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Zia Bhai\Bangladesh Bank\Monthly Trends\"/>
    </mc:Choice>
  </mc:AlternateContent>
  <bookViews>
    <workbookView xWindow="0" yWindow="0" windowWidth="9525" windowHeight="4845" tabRatio="867" firstSheet="13" activeTab="24"/>
  </bookViews>
  <sheets>
    <sheet name="Cover Page" sheetId="55" r:id="rId1"/>
    <sheet name="Contents" sheetId="56" r:id="rId2"/>
    <sheet name="Table IA" sheetId="1" r:id="rId3"/>
    <sheet name="Table IB" sheetId="2" r:id="rId4"/>
    <sheet name="TableIIA" sheetId="3" r:id="rId5"/>
    <sheet name="TableIIB" sheetId="35" r:id="rId6"/>
    <sheet name="TableIIC " sheetId="4" r:id="rId7"/>
    <sheet name="Table IID" sheetId="51" r:id="rId8"/>
    <sheet name="Table IIE" sheetId="5" r:id="rId9"/>
    <sheet name="Table IIF" sheetId="36" r:id="rId10"/>
    <sheet name="Table IIG" sheetId="59" r:id="rId11"/>
    <sheet name="Table III A" sheetId="6" r:id="rId12"/>
    <sheet name="Table IIIB" sheetId="50" r:id="rId13"/>
    <sheet name="Table IV" sheetId="7" r:id="rId14"/>
    <sheet name="Table V" sheetId="8" r:id="rId15"/>
    <sheet name="Table VIA" sheetId="10" r:id="rId16"/>
    <sheet name="Table VIB" sheetId="66" r:id="rId17"/>
    <sheet name="Table VII" sheetId="11" r:id="rId18"/>
    <sheet name="Table VIII" sheetId="13" r:id="rId19"/>
    <sheet name="TableIXA" sheetId="37" r:id="rId20"/>
    <sheet name="TableIXB" sheetId="38" r:id="rId21"/>
    <sheet name="TableIXC" sheetId="68" r:id="rId22"/>
    <sheet name="TableIXD" sheetId="39" r:id="rId23"/>
    <sheet name="TableX" sheetId="40" r:id="rId24"/>
    <sheet name="TableXI" sheetId="41" r:id="rId25"/>
    <sheet name="Table XIIA" sheetId="57" r:id="rId26"/>
    <sheet name="Table XIIB" sheetId="21" r:id="rId27"/>
    <sheet name="TableXIII" sheetId="42" r:id="rId28"/>
    <sheet name="Table XIV" sheetId="53" r:id="rId29"/>
    <sheet name="TableXV" sheetId="43" r:id="rId30"/>
    <sheet name="TableXVI" sheetId="44" r:id="rId31"/>
    <sheet name="Table XVII" sheetId="27" r:id="rId32"/>
    <sheet name="Table XVIII" sheetId="28" r:id="rId33"/>
    <sheet name="TableXIX" sheetId="45" r:id="rId34"/>
    <sheet name="TableXX" sheetId="58" r:id="rId35"/>
    <sheet name="TableXXI" sheetId="47" r:id="rId36"/>
    <sheet name="Table XXII" sheetId="32" r:id="rId37"/>
    <sheet name="Table XXIII" sheetId="33" r:id="rId38"/>
    <sheet name="Table XXIV" sheetId="61" r:id="rId39"/>
    <sheet name="Table XXV" sheetId="60" r:id="rId40"/>
    <sheet name="Table XXVI" sheetId="63" r:id="rId41"/>
    <sheet name="Table XXVII" sheetId="62" r:id="rId42"/>
    <sheet name="Table XXVIII" sheetId="64" r:id="rId43"/>
    <sheet name="Table XXIX" sheetId="65" r:id="rId44"/>
    <sheet name="Appendix- Weights &amp; Measures" sheetId="52" r:id="rId45"/>
  </sheets>
  <definedNames>
    <definedName name="_xlnm._FilterDatabase" localSheetId="2" hidden="1">'Table IA'!#REF!</definedName>
    <definedName name="_xlnm._FilterDatabase" localSheetId="3" hidden="1">'Table IB'!$D$1:$D$280</definedName>
    <definedName name="_xlnm._FilterDatabase" localSheetId="8" hidden="1">'Table IIE'!$A$1:$T$245</definedName>
    <definedName name="_xlnm._FilterDatabase" localSheetId="9" hidden="1">'Table IIF'!$A$1:$N$239</definedName>
    <definedName name="_xlnm._FilterDatabase" localSheetId="10" hidden="1">'Table IIG'!$B$1:$BR$152</definedName>
    <definedName name="_xlnm._FilterDatabase" localSheetId="16" hidden="1">'Table VIB'!$A$3:$I$230</definedName>
    <definedName name="_xlnm._FilterDatabase" localSheetId="25" hidden="1">'Table XIIA'!$BD$1:$BE$217</definedName>
    <definedName name="_xlnm._FilterDatabase" localSheetId="4" hidden="1">TableIIA!$A$1:$P$229</definedName>
    <definedName name="_xlnm._FilterDatabase" localSheetId="23" hidden="1">TableX!$A$3:$K$54</definedName>
    <definedName name="_xlnm._FilterDatabase" localSheetId="27" hidden="1">TableXIII!$M$47:$M$48</definedName>
    <definedName name="_xlnm._FilterDatabase" localSheetId="33" hidden="1">TableXIX!$A$1:$V$104</definedName>
    <definedName name="_xlnm._FilterDatabase" localSheetId="35" hidden="1">TableXXI!$A$1:$AK$191</definedName>
    <definedName name="_xlnm.Print_Area" localSheetId="15">'Table VIA'!$A$1:$L$129</definedName>
    <definedName name="_xlnm.Print_Area" localSheetId="16">'Table VIB'!$A$1:$I$231</definedName>
    <definedName name="_xlnm.Print_Area" localSheetId="18">'Table VIII'!$A$1:$V$230</definedName>
    <definedName name="_xlnm.Print_Area" localSheetId="26">'Table XIIB'!$A$1:$V$49</definedName>
    <definedName name="_xlnm.Print_Area" localSheetId="38">'Table XXIV'!$A$1:$T$151</definedName>
    <definedName name="_xlnm.Print_Area" localSheetId="43">'Table XXIX'!$A$1:$W$37</definedName>
    <definedName name="_xlnm.Print_Area" localSheetId="42">'Table XXVIII'!$A$1:$U$53</definedName>
    <definedName name="_xlnm.Print_Area" localSheetId="21">TableIXC!$A$1:$AM$59</definedName>
    <definedName name="ReportLinkMenu" localSheetId="29">TableXV!#REF!</definedName>
    <definedName name="SectionElements" localSheetId="29">TableXV!#REF!</definedName>
    <definedName name="Z_A374FC54_96E3_45F0_9C12_8450400C12DF_.wvu.Cols" localSheetId="22" hidden="1">TableIXD!$T:$T</definedName>
    <definedName name="Z_A374FC54_96E3_45F0_9C12_8450400C12DF_.wvu.FilterData" localSheetId="3" hidden="1">'Table IB'!$D$1:$D$280</definedName>
    <definedName name="Z_A374FC54_96E3_45F0_9C12_8450400C12DF_.wvu.Rows" localSheetId="14" hidden="1">'Table V'!$39:$46</definedName>
    <definedName name="Z_A374FC54_96E3_45F0_9C12_8450400C12DF_.wvu.Rows" localSheetId="35" hidden="1">TableXXI!#REF!</definedName>
  </definedNames>
  <calcPr calcId="162913"/>
  <customWorkbookViews>
    <customWorkbookView name="7.25*9.75" guid="{A374FC54-96E3-45F0-9C12-8450400C12DF}" maximized="1" xWindow="1" yWindow="1" windowWidth="1366" windowHeight="538" tabRatio="768" activeSheetId="61"/>
  </customWorkbookViews>
  <fileRecoveryPr autoRecover="0"/>
</workbook>
</file>

<file path=xl/calcChain.xml><?xml version="1.0" encoding="utf-8"?>
<calcChain xmlns="http://schemas.openxmlformats.org/spreadsheetml/2006/main">
  <c r="E7" i="11" l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D7" i="11"/>
  <c r="J91" i="50" l="1"/>
  <c r="F91" i="50"/>
  <c r="J90" i="50"/>
  <c r="F90" i="50"/>
  <c r="J89" i="50"/>
  <c r="F89" i="50"/>
  <c r="J88" i="50"/>
  <c r="F88" i="50"/>
  <c r="J87" i="50" l="1"/>
  <c r="F87" i="50"/>
  <c r="J86" i="50"/>
  <c r="F86" i="50"/>
  <c r="J85" i="50"/>
  <c r="F85" i="50"/>
  <c r="J84" i="50"/>
  <c r="F84" i="50"/>
  <c r="J83" i="50"/>
  <c r="F83" i="50"/>
  <c r="J82" i="50"/>
  <c r="F82" i="50"/>
  <c r="J81" i="50"/>
  <c r="F81" i="50"/>
  <c r="J80" i="50"/>
  <c r="F80" i="50"/>
  <c r="F79" i="50" l="1"/>
  <c r="F78" i="50"/>
  <c r="J77" i="50"/>
  <c r="F77" i="50"/>
  <c r="J76" i="50"/>
  <c r="F76" i="50"/>
  <c r="J75" i="50"/>
  <c r="F75" i="50"/>
  <c r="J74" i="50"/>
  <c r="F74" i="50"/>
  <c r="J73" i="50"/>
  <c r="E73" i="50"/>
  <c r="D73" i="50"/>
  <c r="C73" i="50"/>
  <c r="J72" i="50"/>
  <c r="F72" i="50"/>
  <c r="J71" i="50"/>
  <c r="F71" i="50"/>
  <c r="J70" i="50"/>
  <c r="F70" i="50"/>
  <c r="J69" i="50"/>
  <c r="F69" i="50"/>
  <c r="J68" i="50"/>
  <c r="F68" i="50"/>
  <c r="J67" i="50"/>
  <c r="F67" i="50"/>
  <c r="J66" i="50"/>
  <c r="F66" i="50"/>
  <c r="J65" i="50"/>
  <c r="F65" i="50"/>
  <c r="J64" i="50"/>
  <c r="F64" i="50"/>
  <c r="J63" i="50"/>
  <c r="J62" i="50"/>
  <c r="J19" i="50"/>
  <c r="J61" i="50"/>
  <c r="J60" i="50"/>
  <c r="J18" i="50"/>
  <c r="J59" i="50"/>
  <c r="J58" i="50"/>
  <c r="J17" i="50"/>
  <c r="J57" i="50"/>
  <c r="J56" i="50"/>
  <c r="J16" i="50"/>
  <c r="J55" i="50"/>
  <c r="J54" i="50"/>
  <c r="J15" i="50"/>
  <c r="J53" i="50"/>
  <c r="J52" i="50"/>
  <c r="J14" i="50"/>
  <c r="J51" i="50"/>
  <c r="J50" i="50"/>
  <c r="J13" i="50"/>
  <c r="J49" i="50"/>
  <c r="J48" i="50"/>
  <c r="J12" i="50"/>
  <c r="J47" i="50"/>
  <c r="J46" i="50"/>
  <c r="J11" i="50"/>
  <c r="J45" i="50"/>
  <c r="J44" i="50"/>
  <c r="J10" i="50"/>
  <c r="F73" i="50" l="1"/>
  <c r="U83" i="6"/>
  <c r="N83" i="6"/>
  <c r="K83" i="6"/>
  <c r="H83" i="6"/>
  <c r="O83" i="6" s="1"/>
  <c r="V83" i="6" s="1"/>
  <c r="E83" i="6"/>
  <c r="U82" i="6"/>
  <c r="N82" i="6"/>
  <c r="K82" i="6"/>
  <c r="H82" i="6"/>
  <c r="E82" i="6"/>
  <c r="O82" i="6" s="1"/>
  <c r="V82" i="6" s="1"/>
  <c r="U81" i="6"/>
  <c r="N81" i="6"/>
  <c r="K81" i="6"/>
  <c r="H81" i="6"/>
  <c r="E81" i="6"/>
  <c r="O81" i="6" s="1"/>
  <c r="V81" i="6" s="1"/>
  <c r="U80" i="6"/>
  <c r="N80" i="6"/>
  <c r="K80" i="6"/>
  <c r="H80" i="6"/>
  <c r="O80" i="6" s="1"/>
  <c r="V80" i="6" s="1"/>
  <c r="E80" i="6"/>
  <c r="U79" i="6"/>
  <c r="N79" i="6"/>
  <c r="K79" i="6"/>
  <c r="H79" i="6"/>
  <c r="E79" i="6"/>
  <c r="O79" i="6" s="1"/>
  <c r="V79" i="6" s="1"/>
  <c r="U78" i="6"/>
  <c r="O78" i="6"/>
  <c r="V78" i="6" s="1"/>
  <c r="N78" i="6"/>
  <c r="K78" i="6"/>
  <c r="H78" i="6"/>
  <c r="E78" i="6"/>
  <c r="U77" i="6"/>
  <c r="N77" i="6"/>
  <c r="O77" i="6" s="1"/>
  <c r="V77" i="6" s="1"/>
  <c r="K77" i="6"/>
  <c r="H77" i="6"/>
  <c r="E77" i="6"/>
  <c r="U76" i="6"/>
  <c r="N76" i="6"/>
  <c r="K76" i="6"/>
  <c r="H76" i="6"/>
  <c r="E76" i="6"/>
  <c r="O76" i="6" s="1"/>
  <c r="V76" i="6" s="1"/>
  <c r="U75" i="6"/>
  <c r="N75" i="6"/>
  <c r="K75" i="6"/>
  <c r="H75" i="6"/>
  <c r="O75" i="6" s="1"/>
  <c r="V75" i="6" s="1"/>
  <c r="E75" i="6"/>
  <c r="U74" i="6"/>
  <c r="N74" i="6"/>
  <c r="K74" i="6"/>
  <c r="H74" i="6"/>
  <c r="E74" i="6"/>
  <c r="O74" i="6" s="1"/>
  <c r="V74" i="6" s="1"/>
  <c r="U73" i="6"/>
  <c r="N73" i="6"/>
  <c r="K73" i="6"/>
  <c r="H73" i="6"/>
  <c r="E73" i="6"/>
  <c r="O73" i="6" s="1"/>
  <c r="V73" i="6" s="1"/>
  <c r="U72" i="6"/>
  <c r="N72" i="6"/>
  <c r="K72" i="6"/>
  <c r="H72" i="6"/>
  <c r="E72" i="6"/>
  <c r="O72" i="6" s="1"/>
  <c r="V72" i="6" s="1"/>
  <c r="U144" i="6" l="1"/>
  <c r="N144" i="6"/>
  <c r="K144" i="6"/>
  <c r="H144" i="6"/>
  <c r="E144" i="6"/>
  <c r="O144" i="6" s="1"/>
  <c r="V144" i="6" s="1"/>
  <c r="U143" i="6"/>
  <c r="N143" i="6"/>
  <c r="K143" i="6"/>
  <c r="H143" i="6"/>
  <c r="E143" i="6"/>
  <c r="O143" i="6" s="1"/>
  <c r="V143" i="6" s="1"/>
  <c r="U142" i="6"/>
  <c r="O142" i="6"/>
  <c r="V142" i="6" s="1"/>
  <c r="N142" i="6"/>
  <c r="K142" i="6"/>
  <c r="H142" i="6"/>
  <c r="E142" i="6"/>
  <c r="U141" i="6"/>
  <c r="O141" i="6"/>
  <c r="V141" i="6" s="1"/>
  <c r="N141" i="6"/>
  <c r="K141" i="6"/>
  <c r="H141" i="6"/>
  <c r="E141" i="6"/>
  <c r="U140" i="6"/>
  <c r="N140" i="6"/>
  <c r="K140" i="6"/>
  <c r="H140" i="6"/>
  <c r="E140" i="6"/>
  <c r="O140" i="6" s="1"/>
  <c r="V140" i="6" s="1"/>
  <c r="U139" i="6"/>
  <c r="N139" i="6"/>
  <c r="K139" i="6"/>
  <c r="H139" i="6"/>
  <c r="E139" i="6"/>
  <c r="O139" i="6" s="1"/>
  <c r="V139" i="6" s="1"/>
  <c r="U138" i="6"/>
  <c r="N138" i="6"/>
  <c r="K138" i="6"/>
  <c r="H138" i="6"/>
  <c r="E138" i="6"/>
  <c r="O138" i="6" s="1"/>
  <c r="V138" i="6" s="1"/>
  <c r="V137" i="6"/>
  <c r="U137" i="6"/>
  <c r="O137" i="6"/>
  <c r="N137" i="6"/>
  <c r="K137" i="6"/>
  <c r="H137" i="6"/>
  <c r="E137" i="6"/>
  <c r="U136" i="6"/>
  <c r="N136" i="6"/>
  <c r="K136" i="6"/>
  <c r="H136" i="6"/>
  <c r="E136" i="6"/>
  <c r="O136" i="6" s="1"/>
  <c r="V136" i="6" s="1"/>
  <c r="U135" i="6"/>
  <c r="N135" i="6"/>
  <c r="K135" i="6"/>
  <c r="H135" i="6"/>
  <c r="E135" i="6"/>
  <c r="O135" i="6" s="1"/>
  <c r="V135" i="6" s="1"/>
  <c r="U134" i="6"/>
  <c r="N134" i="6"/>
  <c r="K134" i="6"/>
  <c r="H134" i="6"/>
  <c r="E134" i="6"/>
  <c r="O134" i="6" s="1"/>
  <c r="V134" i="6" s="1"/>
  <c r="U133" i="6"/>
  <c r="O133" i="6"/>
  <c r="V133" i="6" s="1"/>
  <c r="N133" i="6"/>
  <c r="K133" i="6"/>
  <c r="H133" i="6"/>
  <c r="E133" i="6"/>
  <c r="U132" i="6"/>
  <c r="N132" i="6"/>
  <c r="K132" i="6"/>
  <c r="H132" i="6"/>
  <c r="E132" i="6"/>
  <c r="O132" i="6" s="1"/>
  <c r="V132" i="6" s="1"/>
  <c r="U131" i="6"/>
  <c r="N131" i="6"/>
  <c r="K131" i="6"/>
  <c r="H131" i="6"/>
  <c r="E131" i="6"/>
  <c r="O131" i="6" s="1"/>
  <c r="V131" i="6" s="1"/>
  <c r="U130" i="6"/>
  <c r="N130" i="6"/>
  <c r="K130" i="6"/>
  <c r="H130" i="6"/>
  <c r="E130" i="6"/>
  <c r="O130" i="6" s="1"/>
  <c r="V130" i="6" s="1"/>
  <c r="U129" i="6"/>
  <c r="O129" i="6"/>
  <c r="V129" i="6" s="1"/>
  <c r="N129" i="6"/>
  <c r="K129" i="6"/>
  <c r="H129" i="6"/>
  <c r="E129" i="6"/>
  <c r="U128" i="6"/>
  <c r="N128" i="6"/>
  <c r="K128" i="6"/>
  <c r="H128" i="6"/>
  <c r="E128" i="6"/>
  <c r="O128" i="6" s="1"/>
  <c r="V128" i="6" s="1"/>
  <c r="U127" i="6"/>
  <c r="N127" i="6"/>
  <c r="K127" i="6"/>
  <c r="H127" i="6"/>
  <c r="E127" i="6"/>
  <c r="O127" i="6" s="1"/>
  <c r="V127" i="6" s="1"/>
  <c r="U126" i="6"/>
  <c r="N126" i="6"/>
  <c r="K126" i="6"/>
  <c r="H126" i="6"/>
  <c r="E126" i="6"/>
  <c r="O126" i="6" s="1"/>
  <c r="V126" i="6" s="1"/>
  <c r="U125" i="6"/>
  <c r="O125" i="6"/>
  <c r="V125" i="6" s="1"/>
  <c r="N125" i="6"/>
  <c r="K125" i="6"/>
  <c r="H125" i="6"/>
  <c r="E125" i="6"/>
  <c r="U120" i="6"/>
  <c r="N120" i="6"/>
  <c r="K120" i="6"/>
  <c r="H120" i="6"/>
  <c r="E120" i="6"/>
  <c r="O120" i="6" s="1"/>
  <c r="V120" i="6" s="1"/>
  <c r="U119" i="6"/>
  <c r="N119" i="6"/>
  <c r="K119" i="6"/>
  <c r="H119" i="6"/>
  <c r="E119" i="6"/>
  <c r="O119" i="6" s="1"/>
  <c r="V119" i="6" s="1"/>
  <c r="U118" i="6"/>
  <c r="N118" i="6"/>
  <c r="K118" i="6"/>
  <c r="H118" i="6"/>
  <c r="E118" i="6"/>
  <c r="O118" i="6" s="1"/>
  <c r="V118" i="6" s="1"/>
  <c r="U117" i="6"/>
  <c r="O117" i="6"/>
  <c r="V117" i="6" s="1"/>
  <c r="N117" i="6"/>
  <c r="K117" i="6"/>
  <c r="H117" i="6"/>
  <c r="E117" i="6"/>
  <c r="U124" i="6"/>
  <c r="N124" i="6"/>
  <c r="K124" i="6"/>
  <c r="H124" i="6"/>
  <c r="E124" i="6"/>
  <c r="O124" i="6" s="1"/>
  <c r="V124" i="6" s="1"/>
  <c r="U123" i="6"/>
  <c r="N123" i="6"/>
  <c r="K123" i="6"/>
  <c r="H123" i="6"/>
  <c r="E123" i="6"/>
  <c r="U122" i="6"/>
  <c r="N122" i="6"/>
  <c r="K122" i="6"/>
  <c r="H122" i="6"/>
  <c r="E122" i="6"/>
  <c r="U121" i="6"/>
  <c r="N121" i="6"/>
  <c r="K121" i="6"/>
  <c r="H121" i="6"/>
  <c r="E121" i="6"/>
  <c r="U71" i="6"/>
  <c r="N71" i="6"/>
  <c r="K71" i="6"/>
  <c r="H71" i="6"/>
  <c r="E71" i="6"/>
  <c r="U70" i="6"/>
  <c r="N70" i="6"/>
  <c r="K70" i="6"/>
  <c r="H70" i="6"/>
  <c r="E70" i="6"/>
  <c r="U69" i="6"/>
  <c r="N69" i="6"/>
  <c r="K69" i="6"/>
  <c r="H69" i="6"/>
  <c r="E69" i="6"/>
  <c r="O69" i="6" s="1"/>
  <c r="V69" i="6" s="1"/>
  <c r="U68" i="6"/>
  <c r="O68" i="6"/>
  <c r="V68" i="6" s="1"/>
  <c r="N68" i="6"/>
  <c r="K68" i="6"/>
  <c r="H68" i="6"/>
  <c r="E68" i="6"/>
  <c r="U67" i="6"/>
  <c r="N67" i="6"/>
  <c r="O67" i="6" s="1"/>
  <c r="V67" i="6" s="1"/>
  <c r="K67" i="6"/>
  <c r="H67" i="6"/>
  <c r="E67" i="6"/>
  <c r="U66" i="6"/>
  <c r="N66" i="6"/>
  <c r="K66" i="6"/>
  <c r="H66" i="6"/>
  <c r="E66" i="6"/>
  <c r="U65" i="6"/>
  <c r="N65" i="6"/>
  <c r="K65" i="6"/>
  <c r="H65" i="6"/>
  <c r="E65" i="6"/>
  <c r="U64" i="6"/>
  <c r="N64" i="6"/>
  <c r="K64" i="6"/>
  <c r="H64" i="6"/>
  <c r="E64" i="6"/>
  <c r="U63" i="6"/>
  <c r="N63" i="6"/>
  <c r="K63" i="6"/>
  <c r="H63" i="6"/>
  <c r="E63" i="6"/>
  <c r="U62" i="6"/>
  <c r="N62" i="6"/>
  <c r="K62" i="6"/>
  <c r="H62" i="6"/>
  <c r="E62" i="6"/>
  <c r="U61" i="6"/>
  <c r="N61" i="6"/>
  <c r="K61" i="6"/>
  <c r="H61" i="6"/>
  <c r="E61" i="6"/>
  <c r="U60" i="6"/>
  <c r="N60" i="6"/>
  <c r="K60" i="6"/>
  <c r="H60" i="6"/>
  <c r="E60" i="6"/>
  <c r="O60" i="6" s="1"/>
  <c r="V60" i="6" s="1"/>
  <c r="U6" i="6"/>
  <c r="N6" i="6"/>
  <c r="K6" i="6"/>
  <c r="H6" i="6"/>
  <c r="E6" i="6"/>
  <c r="U95" i="6"/>
  <c r="N95" i="6"/>
  <c r="K95" i="6"/>
  <c r="H95" i="6"/>
  <c r="E95" i="6"/>
  <c r="U94" i="6"/>
  <c r="N94" i="6"/>
  <c r="K94" i="6"/>
  <c r="H94" i="6"/>
  <c r="E94" i="6"/>
  <c r="U93" i="6"/>
  <c r="N93" i="6"/>
  <c r="K93" i="6"/>
  <c r="H93" i="6"/>
  <c r="E93" i="6"/>
  <c r="U92" i="6"/>
  <c r="N92" i="6"/>
  <c r="K92" i="6"/>
  <c r="H92" i="6"/>
  <c r="E92" i="6"/>
  <c r="U91" i="6"/>
  <c r="N91" i="6"/>
  <c r="K91" i="6"/>
  <c r="H91" i="6"/>
  <c r="E91" i="6"/>
  <c r="U90" i="6"/>
  <c r="N90" i="6"/>
  <c r="K90" i="6"/>
  <c r="H90" i="6"/>
  <c r="E90" i="6"/>
  <c r="U89" i="6"/>
  <c r="N89" i="6"/>
  <c r="K89" i="6"/>
  <c r="H89" i="6"/>
  <c r="E89" i="6"/>
  <c r="U88" i="6"/>
  <c r="N88" i="6"/>
  <c r="K88" i="6"/>
  <c r="H88" i="6"/>
  <c r="E88" i="6"/>
  <c r="U87" i="6"/>
  <c r="N87" i="6"/>
  <c r="K87" i="6"/>
  <c r="H87" i="6"/>
  <c r="E87" i="6"/>
  <c r="U86" i="6"/>
  <c r="N86" i="6"/>
  <c r="K86" i="6"/>
  <c r="H86" i="6"/>
  <c r="E86" i="6"/>
  <c r="U85" i="6"/>
  <c r="N85" i="6"/>
  <c r="K85" i="6"/>
  <c r="H85" i="6"/>
  <c r="E85" i="6"/>
  <c r="U84" i="6"/>
  <c r="N84" i="6"/>
  <c r="K84" i="6"/>
  <c r="H84" i="6"/>
  <c r="E84" i="6"/>
  <c r="U59" i="6"/>
  <c r="N59" i="6"/>
  <c r="K59" i="6"/>
  <c r="H59" i="6"/>
  <c r="E59" i="6"/>
  <c r="U58" i="6"/>
  <c r="N58" i="6"/>
  <c r="K58" i="6"/>
  <c r="H58" i="6"/>
  <c r="E58" i="6"/>
  <c r="U57" i="6"/>
  <c r="N57" i="6"/>
  <c r="K57" i="6"/>
  <c r="H57" i="6"/>
  <c r="E57" i="6"/>
  <c r="U56" i="6"/>
  <c r="N56" i="6"/>
  <c r="K56" i="6"/>
  <c r="H56" i="6"/>
  <c r="E56" i="6"/>
  <c r="U55" i="6"/>
  <c r="N55" i="6"/>
  <c r="K55" i="6"/>
  <c r="H55" i="6"/>
  <c r="E55" i="6"/>
  <c r="U54" i="6"/>
  <c r="N54" i="6"/>
  <c r="K54" i="6"/>
  <c r="H54" i="6"/>
  <c r="E54" i="6"/>
  <c r="U53" i="6"/>
  <c r="N53" i="6"/>
  <c r="K53" i="6"/>
  <c r="H53" i="6"/>
  <c r="E53" i="6"/>
  <c r="U52" i="6"/>
  <c r="N52" i="6"/>
  <c r="K52" i="6"/>
  <c r="H52" i="6"/>
  <c r="E52" i="6"/>
  <c r="U51" i="6"/>
  <c r="N51" i="6"/>
  <c r="K51" i="6"/>
  <c r="H51" i="6"/>
  <c r="E51" i="6"/>
  <c r="U50" i="6"/>
  <c r="N50" i="6"/>
  <c r="K50" i="6"/>
  <c r="H50" i="6"/>
  <c r="E50" i="6"/>
  <c r="U49" i="6"/>
  <c r="N49" i="6"/>
  <c r="K49" i="6"/>
  <c r="H49" i="6"/>
  <c r="E49" i="6"/>
  <c r="U48" i="6"/>
  <c r="N48" i="6"/>
  <c r="K48" i="6"/>
  <c r="H48" i="6"/>
  <c r="E48" i="6"/>
  <c r="O70" i="6" l="1"/>
  <c r="V70" i="6" s="1"/>
  <c r="O58" i="6"/>
  <c r="V58" i="6" s="1"/>
  <c r="O64" i="6"/>
  <c r="V64" i="6" s="1"/>
  <c r="O122" i="6"/>
  <c r="V122" i="6" s="1"/>
  <c r="O61" i="6"/>
  <c r="V61" i="6" s="1"/>
  <c r="O63" i="6"/>
  <c r="V63" i="6" s="1"/>
  <c r="O66" i="6"/>
  <c r="V66" i="6" s="1"/>
  <c r="O71" i="6"/>
  <c r="V71" i="6" s="1"/>
  <c r="O121" i="6"/>
  <c r="V121" i="6" s="1"/>
  <c r="O123" i="6"/>
  <c r="V123" i="6" s="1"/>
  <c r="O62" i="6"/>
  <c r="V62" i="6" s="1"/>
  <c r="O65" i="6"/>
  <c r="V65" i="6" s="1"/>
  <c r="O51" i="6"/>
  <c r="V51" i="6" s="1"/>
  <c r="O6" i="6"/>
  <c r="V6" i="6" s="1"/>
  <c r="O59" i="6"/>
  <c r="V59" i="6" s="1"/>
  <c r="O53" i="6"/>
  <c r="V53" i="6" s="1"/>
  <c r="O50" i="6"/>
  <c r="V50" i="6" s="1"/>
  <c r="O85" i="6"/>
  <c r="V85" i="6" s="1"/>
  <c r="O87" i="6"/>
  <c r="V87" i="6" s="1"/>
  <c r="O95" i="6"/>
  <c r="V95" i="6" s="1"/>
  <c r="O84" i="6"/>
  <c r="V84" i="6" s="1"/>
  <c r="O92" i="6"/>
  <c r="V92" i="6" s="1"/>
  <c r="O91" i="6"/>
  <c r="V91" i="6" s="1"/>
  <c r="O93" i="6"/>
  <c r="V93" i="6" s="1"/>
  <c r="O90" i="6"/>
  <c r="V90" i="6" s="1"/>
  <c r="O86" i="6"/>
  <c r="V86" i="6" s="1"/>
  <c r="O89" i="6"/>
  <c r="V89" i="6" s="1"/>
  <c r="O94" i="6"/>
  <c r="V94" i="6" s="1"/>
  <c r="O88" i="6"/>
  <c r="V88" i="6" s="1"/>
  <c r="O54" i="6"/>
  <c r="V54" i="6" s="1"/>
  <c r="O56" i="6"/>
  <c r="V56" i="6" s="1"/>
  <c r="O49" i="6"/>
  <c r="V49" i="6" s="1"/>
  <c r="O57" i="6"/>
  <c r="V57" i="6" s="1"/>
  <c r="O48" i="6"/>
  <c r="V48" i="6" s="1"/>
  <c r="O55" i="6"/>
  <c r="V55" i="6" s="1"/>
  <c r="O52" i="6"/>
  <c r="V52" i="6" s="1"/>
  <c r="J67" i="36" l="1"/>
  <c r="G67" i="36"/>
  <c r="J66" i="36"/>
  <c r="G66" i="36"/>
  <c r="L66" i="36" s="1"/>
  <c r="J65" i="36"/>
  <c r="L65" i="36" s="1"/>
  <c r="G65" i="36"/>
  <c r="J64" i="36"/>
  <c r="G64" i="36"/>
  <c r="L64" i="36" s="1"/>
  <c r="J63" i="36"/>
  <c r="G63" i="36"/>
  <c r="J62" i="36"/>
  <c r="G62" i="36"/>
  <c r="L62" i="36" s="1"/>
  <c r="J61" i="36"/>
  <c r="G61" i="36"/>
  <c r="L61" i="36" s="1"/>
  <c r="J60" i="36"/>
  <c r="G60" i="36"/>
  <c r="L60" i="36" s="1"/>
  <c r="J59" i="36"/>
  <c r="G59" i="36"/>
  <c r="J58" i="36"/>
  <c r="G58" i="36"/>
  <c r="L58" i="36" s="1"/>
  <c r="J57" i="36"/>
  <c r="G57" i="36"/>
  <c r="J56" i="36"/>
  <c r="G56" i="36"/>
  <c r="L56" i="36" s="1"/>
  <c r="J55" i="36"/>
  <c r="G55" i="36"/>
  <c r="J54" i="36"/>
  <c r="G54" i="36"/>
  <c r="L54" i="36" s="1"/>
  <c r="J53" i="36"/>
  <c r="G53" i="36"/>
  <c r="J52" i="36"/>
  <c r="G52" i="36"/>
  <c r="L52" i="36" s="1"/>
  <c r="J51" i="36"/>
  <c r="L51" i="36" s="1"/>
  <c r="G51" i="36"/>
  <c r="J50" i="36"/>
  <c r="G50" i="36"/>
  <c r="J49" i="36"/>
  <c r="G49" i="36"/>
  <c r="L49" i="36" s="1"/>
  <c r="J48" i="36"/>
  <c r="G48" i="36"/>
  <c r="J47" i="36"/>
  <c r="G47" i="36"/>
  <c r="J46" i="36"/>
  <c r="G46" i="36"/>
  <c r="J45" i="36"/>
  <c r="G45" i="36"/>
  <c r="L45" i="36" s="1"/>
  <c r="J44" i="36"/>
  <c r="G44" i="36"/>
  <c r="J43" i="36"/>
  <c r="G43" i="36"/>
  <c r="J42" i="36"/>
  <c r="L42" i="36" s="1"/>
  <c r="G42" i="36"/>
  <c r="J41" i="36"/>
  <c r="G41" i="36"/>
  <c r="L41" i="36" s="1"/>
  <c r="J40" i="36"/>
  <c r="G40" i="36"/>
  <c r="J39" i="36"/>
  <c r="L39" i="36" s="1"/>
  <c r="G39" i="36"/>
  <c r="J38" i="36"/>
  <c r="G38" i="36"/>
  <c r="J37" i="36"/>
  <c r="G37" i="36"/>
  <c r="J36" i="36"/>
  <c r="G36" i="36"/>
  <c r="J35" i="36"/>
  <c r="G35" i="36"/>
  <c r="J34" i="36"/>
  <c r="G34" i="36"/>
  <c r="J33" i="36"/>
  <c r="G33" i="36"/>
  <c r="J32" i="36"/>
  <c r="G32" i="36"/>
  <c r="J243" i="36"/>
  <c r="G243" i="36"/>
  <c r="L243" i="36" s="1"/>
  <c r="L187" i="36"/>
  <c r="J187" i="36"/>
  <c r="G187" i="36"/>
  <c r="J186" i="36"/>
  <c r="G186" i="36"/>
  <c r="L186" i="36" s="1"/>
  <c r="J185" i="36"/>
  <c r="G185" i="36"/>
  <c r="J184" i="36"/>
  <c r="G184" i="36"/>
  <c r="L184" i="36" s="1"/>
  <c r="J183" i="36"/>
  <c r="G183" i="36"/>
  <c r="J182" i="36"/>
  <c r="G182" i="36"/>
  <c r="J181" i="36"/>
  <c r="G181" i="36"/>
  <c r="J180" i="36"/>
  <c r="G180" i="36"/>
  <c r="J179" i="36"/>
  <c r="G179" i="36"/>
  <c r="L179" i="36" s="1"/>
  <c r="J178" i="36"/>
  <c r="G178" i="36"/>
  <c r="J177" i="36"/>
  <c r="G177" i="36"/>
  <c r="J176" i="36"/>
  <c r="G176" i="36"/>
  <c r="L34" i="36" l="1"/>
  <c r="L38" i="36"/>
  <c r="L50" i="36"/>
  <c r="L177" i="36"/>
  <c r="L181" i="36"/>
  <c r="L185" i="36"/>
  <c r="L43" i="36"/>
  <c r="L47" i="36"/>
  <c r="L36" i="36"/>
  <c r="L178" i="36"/>
  <c r="L35" i="36"/>
  <c r="L46" i="36"/>
  <c r="L53" i="36"/>
  <c r="L57" i="36"/>
  <c r="L32" i="36"/>
  <c r="L182" i="36"/>
  <c r="L183" i="36"/>
  <c r="L33" i="36"/>
  <c r="L40" i="36"/>
  <c r="L55" i="36"/>
  <c r="L59" i="36"/>
  <c r="L176" i="36"/>
  <c r="L180" i="36"/>
  <c r="L37" i="36"/>
  <c r="L44" i="36"/>
  <c r="L48" i="36"/>
  <c r="L63" i="36"/>
  <c r="L67" i="36"/>
  <c r="J175" i="36"/>
  <c r="G175" i="36"/>
  <c r="J174" i="36"/>
  <c r="G174" i="36"/>
  <c r="L174" i="36" s="1"/>
  <c r="J173" i="36"/>
  <c r="G173" i="36"/>
  <c r="J172" i="36"/>
  <c r="G172" i="36"/>
  <c r="L172" i="36" s="1"/>
  <c r="J171" i="36"/>
  <c r="G171" i="36"/>
  <c r="J170" i="36"/>
  <c r="G170" i="36"/>
  <c r="L169" i="36"/>
  <c r="J169" i="36"/>
  <c r="G169" i="36"/>
  <c r="J168" i="36"/>
  <c r="G168" i="36"/>
  <c r="J167" i="36"/>
  <c r="G167" i="36"/>
  <c r="L167" i="36" s="1"/>
  <c r="L166" i="36"/>
  <c r="J166" i="36"/>
  <c r="G166" i="36"/>
  <c r="J165" i="36"/>
  <c r="G165" i="36"/>
  <c r="J164" i="36"/>
  <c r="G164" i="36"/>
  <c r="J151" i="36"/>
  <c r="G151" i="36"/>
  <c r="L151" i="36" s="1"/>
  <c r="J150" i="36"/>
  <c r="G150" i="36"/>
  <c r="L150" i="36" s="1"/>
  <c r="J149" i="36"/>
  <c r="G149" i="36"/>
  <c r="J148" i="36"/>
  <c r="G148" i="36"/>
  <c r="J147" i="36"/>
  <c r="G147" i="36"/>
  <c r="J146" i="36"/>
  <c r="G146" i="36"/>
  <c r="L146" i="36" s="1"/>
  <c r="J145" i="36"/>
  <c r="G145" i="36"/>
  <c r="L145" i="36" s="1"/>
  <c r="J144" i="36"/>
  <c r="G144" i="36"/>
  <c r="J143" i="36"/>
  <c r="G143" i="36"/>
  <c r="L143" i="36" s="1"/>
  <c r="J142" i="36"/>
  <c r="G142" i="36"/>
  <c r="L142" i="36" s="1"/>
  <c r="J141" i="36"/>
  <c r="G141" i="36"/>
  <c r="J140" i="36"/>
  <c r="G140" i="36"/>
  <c r="L144" i="36" l="1"/>
  <c r="L148" i="36"/>
  <c r="L164" i="36"/>
  <c r="L171" i="36"/>
  <c r="L175" i="36"/>
  <c r="L141" i="36"/>
  <c r="L170" i="36"/>
  <c r="L149" i="36"/>
  <c r="L165" i="36"/>
  <c r="L168" i="36"/>
  <c r="L140" i="36"/>
  <c r="L147" i="36"/>
  <c r="L173" i="36"/>
  <c r="J163" i="36"/>
  <c r="G163" i="36"/>
  <c r="J162" i="36"/>
  <c r="G162" i="36"/>
  <c r="J161" i="36"/>
  <c r="G161" i="36"/>
  <c r="L161" i="36" s="1"/>
  <c r="J160" i="36"/>
  <c r="G160" i="36"/>
  <c r="J159" i="36"/>
  <c r="G159" i="36"/>
  <c r="L159" i="36" s="1"/>
  <c r="J158" i="36"/>
  <c r="G158" i="36"/>
  <c r="J157" i="36"/>
  <c r="G157" i="36"/>
  <c r="L157" i="36" s="1"/>
  <c r="J156" i="36"/>
  <c r="G156" i="36"/>
  <c r="L156" i="36" s="1"/>
  <c r="J155" i="36"/>
  <c r="G155" i="36"/>
  <c r="J154" i="36"/>
  <c r="G154" i="36"/>
  <c r="J153" i="36"/>
  <c r="G153" i="36"/>
  <c r="L153" i="36" s="1"/>
  <c r="J152" i="36"/>
  <c r="G152" i="36"/>
  <c r="L152" i="36" s="1"/>
  <c r="J139" i="36"/>
  <c r="G139" i="36"/>
  <c r="L139" i="36" s="1"/>
  <c r="J138" i="36"/>
  <c r="G138" i="36"/>
  <c r="J137" i="36"/>
  <c r="G137" i="36"/>
  <c r="J136" i="36"/>
  <c r="G136" i="36"/>
  <c r="L136" i="36" s="1"/>
  <c r="J135" i="36"/>
  <c r="G135" i="36"/>
  <c r="L135" i="36" s="1"/>
  <c r="J134" i="36"/>
  <c r="G134" i="36"/>
  <c r="J133" i="36"/>
  <c r="G133" i="36"/>
  <c r="L133" i="36" s="1"/>
  <c r="J132" i="36"/>
  <c r="G132" i="36"/>
  <c r="L132" i="36" s="1"/>
  <c r="J131" i="36"/>
  <c r="G131" i="36"/>
  <c r="L131" i="36" s="1"/>
  <c r="J130" i="36"/>
  <c r="G130" i="36"/>
  <c r="J129" i="36"/>
  <c r="G129" i="36"/>
  <c r="J128" i="36"/>
  <c r="G128" i="36"/>
  <c r="L128" i="36" s="1"/>
  <c r="J127" i="36"/>
  <c r="G127" i="36"/>
  <c r="J126" i="36"/>
  <c r="G126" i="36"/>
  <c r="J125" i="36"/>
  <c r="G125" i="36"/>
  <c r="L125" i="36" s="1"/>
  <c r="J124" i="36"/>
  <c r="G124" i="36"/>
  <c r="L124" i="36" s="1"/>
  <c r="J123" i="36"/>
  <c r="G123" i="36"/>
  <c r="L123" i="36" s="1"/>
  <c r="J122" i="36"/>
  <c r="G122" i="36"/>
  <c r="J121" i="36"/>
  <c r="G121" i="36"/>
  <c r="L121" i="36" s="1"/>
  <c r="J120" i="36"/>
  <c r="G120" i="36"/>
  <c r="L120" i="36" s="1"/>
  <c r="J119" i="36"/>
  <c r="G119" i="36"/>
  <c r="J118" i="36"/>
  <c r="G118" i="36"/>
  <c r="J117" i="36"/>
  <c r="G117" i="36"/>
  <c r="L117" i="36" s="1"/>
  <c r="J116" i="36"/>
  <c r="G116" i="36"/>
  <c r="L116" i="36" s="1"/>
  <c r="L160" i="36" l="1"/>
  <c r="L137" i="36"/>
  <c r="L122" i="36"/>
  <c r="L130" i="36"/>
  <c r="L134" i="36"/>
  <c r="L158" i="36"/>
  <c r="L119" i="36"/>
  <c r="L126" i="36"/>
  <c r="L138" i="36"/>
  <c r="L127" i="36"/>
  <c r="L154" i="36"/>
  <c r="L155" i="36"/>
  <c r="L162" i="36"/>
  <c r="L118" i="36"/>
  <c r="L129" i="36"/>
  <c r="L163" i="36"/>
  <c r="J115" i="36"/>
  <c r="G115" i="36"/>
  <c r="J114" i="36"/>
  <c r="G114" i="36"/>
  <c r="L114" i="36" s="1"/>
  <c r="J113" i="36"/>
  <c r="G113" i="36"/>
  <c r="J112" i="36"/>
  <c r="G112" i="36"/>
  <c r="L112" i="36" s="1"/>
  <c r="J111" i="36"/>
  <c r="G111" i="36"/>
  <c r="J110" i="36"/>
  <c r="G110" i="36"/>
  <c r="L110" i="36" s="1"/>
  <c r="J109" i="36"/>
  <c r="G109" i="36"/>
  <c r="J108" i="36"/>
  <c r="G108" i="36"/>
  <c r="L108" i="36" s="1"/>
  <c r="J107" i="36"/>
  <c r="G107" i="36"/>
  <c r="J106" i="36"/>
  <c r="G106" i="36"/>
  <c r="L106" i="36" s="1"/>
  <c r="J105" i="36"/>
  <c r="G105" i="36"/>
  <c r="J104" i="36"/>
  <c r="G104" i="36"/>
  <c r="L104" i="36" s="1"/>
  <c r="J103" i="36"/>
  <c r="G103" i="36"/>
  <c r="J102" i="36"/>
  <c r="G102" i="36"/>
  <c r="L102" i="36" s="1"/>
  <c r="J101" i="36"/>
  <c r="G101" i="36"/>
  <c r="J100" i="36"/>
  <c r="G100" i="36"/>
  <c r="J99" i="36"/>
  <c r="L99" i="36" s="1"/>
  <c r="G99" i="36"/>
  <c r="J98" i="36"/>
  <c r="G98" i="36"/>
  <c r="L98" i="36" s="1"/>
  <c r="J97" i="36"/>
  <c r="G97" i="36"/>
  <c r="J96" i="36"/>
  <c r="G96" i="36"/>
  <c r="J95" i="36"/>
  <c r="G95" i="36"/>
  <c r="L95" i="36" s="1"/>
  <c r="J94" i="36"/>
  <c r="G94" i="36"/>
  <c r="L94" i="36" s="1"/>
  <c r="J93" i="36"/>
  <c r="G93" i="36"/>
  <c r="J92" i="36"/>
  <c r="G92" i="36"/>
  <c r="J91" i="36"/>
  <c r="E91" i="36"/>
  <c r="G91" i="36" s="1"/>
  <c r="L91" i="36" s="1"/>
  <c r="J90" i="36"/>
  <c r="G90" i="36"/>
  <c r="L90" i="36" s="1"/>
  <c r="J89" i="36"/>
  <c r="G89" i="36"/>
  <c r="L89" i="36" s="1"/>
  <c r="J88" i="36"/>
  <c r="G88" i="36"/>
  <c r="J87" i="36"/>
  <c r="G87" i="36"/>
  <c r="J86" i="36"/>
  <c r="G86" i="36"/>
  <c r="L86" i="36" s="1"/>
  <c r="J85" i="36"/>
  <c r="G85" i="36"/>
  <c r="L85" i="36" s="1"/>
  <c r="G84" i="36"/>
  <c r="L84" i="36" s="1"/>
  <c r="J83" i="36"/>
  <c r="G83" i="36"/>
  <c r="K82" i="36"/>
  <c r="J82" i="36"/>
  <c r="G82" i="36"/>
  <c r="L82" i="36" s="1"/>
  <c r="J81" i="36"/>
  <c r="G81" i="36"/>
  <c r="J80" i="36"/>
  <c r="G80" i="36"/>
  <c r="J79" i="36"/>
  <c r="G79" i="36"/>
  <c r="L79" i="36" s="1"/>
  <c r="J78" i="36"/>
  <c r="G78" i="36"/>
  <c r="L78" i="36" s="1"/>
  <c r="J77" i="36"/>
  <c r="G77" i="36"/>
  <c r="J76" i="36"/>
  <c r="G76" i="36"/>
  <c r="J75" i="36"/>
  <c r="G75" i="36"/>
  <c r="L75" i="36" s="1"/>
  <c r="J74" i="36"/>
  <c r="G74" i="36"/>
  <c r="L74" i="36" s="1"/>
  <c r="J73" i="36"/>
  <c r="G73" i="36"/>
  <c r="L73" i="36" s="1"/>
  <c r="J72" i="36"/>
  <c r="G72" i="36"/>
  <c r="J71" i="36"/>
  <c r="G71" i="36"/>
  <c r="L71" i="36" s="1"/>
  <c r="J70" i="36"/>
  <c r="G70" i="36"/>
  <c r="J69" i="36"/>
  <c r="G69" i="36"/>
  <c r="L69" i="36" s="1"/>
  <c r="J68" i="36"/>
  <c r="G68" i="36"/>
  <c r="P66" i="5"/>
  <c r="M66" i="5"/>
  <c r="J66" i="5"/>
  <c r="F66" i="5"/>
  <c r="P65" i="5"/>
  <c r="M65" i="5"/>
  <c r="Q65" i="5" s="1"/>
  <c r="S65" i="5" s="1"/>
  <c r="J65" i="5"/>
  <c r="F65" i="5"/>
  <c r="T65" i="5" s="1"/>
  <c r="P64" i="5"/>
  <c r="M64" i="5"/>
  <c r="J64" i="5"/>
  <c r="Q64" i="5" s="1"/>
  <c r="S64" i="5" s="1"/>
  <c r="F64" i="5"/>
  <c r="P63" i="5"/>
  <c r="M63" i="5"/>
  <c r="J63" i="5"/>
  <c r="Q63" i="5" s="1"/>
  <c r="S63" i="5" s="1"/>
  <c r="F63" i="5"/>
  <c r="P62" i="5"/>
  <c r="M62" i="5"/>
  <c r="J62" i="5"/>
  <c r="Q62" i="5" s="1"/>
  <c r="S62" i="5" s="1"/>
  <c r="F62" i="5"/>
  <c r="P61" i="5"/>
  <c r="M61" i="5"/>
  <c r="J61" i="5"/>
  <c r="Q61" i="5" s="1"/>
  <c r="S61" i="5" s="1"/>
  <c r="T61" i="5" s="1"/>
  <c r="F61" i="5"/>
  <c r="P60" i="5"/>
  <c r="M60" i="5"/>
  <c r="J60" i="5"/>
  <c r="Q60" i="5" s="1"/>
  <c r="S60" i="5" s="1"/>
  <c r="F60" i="5"/>
  <c r="Q59" i="5"/>
  <c r="S59" i="5" s="1"/>
  <c r="T59" i="5" s="1"/>
  <c r="P59" i="5"/>
  <c r="M59" i="5"/>
  <c r="J59" i="5"/>
  <c r="F59" i="5"/>
  <c r="P58" i="5"/>
  <c r="M58" i="5"/>
  <c r="J58" i="5"/>
  <c r="F58" i="5"/>
  <c r="P57" i="5"/>
  <c r="M57" i="5"/>
  <c r="Q57" i="5" s="1"/>
  <c r="S57" i="5" s="1"/>
  <c r="J57" i="5"/>
  <c r="F57" i="5"/>
  <c r="P56" i="5"/>
  <c r="M56" i="5"/>
  <c r="J56" i="5"/>
  <c r="Q56" i="5" s="1"/>
  <c r="S56" i="5" s="1"/>
  <c r="F56" i="5"/>
  <c r="P55" i="5"/>
  <c r="M55" i="5"/>
  <c r="J55" i="5"/>
  <c r="Q55" i="5" s="1"/>
  <c r="S55" i="5" s="1"/>
  <c r="F55" i="5"/>
  <c r="L97" i="36" l="1"/>
  <c r="L77" i="36"/>
  <c r="L81" i="36"/>
  <c r="L109" i="36"/>
  <c r="L83" i="36"/>
  <c r="L103" i="36"/>
  <c r="L107" i="36"/>
  <c r="L111" i="36"/>
  <c r="L115" i="36"/>
  <c r="L68" i="36"/>
  <c r="L72" i="36"/>
  <c r="L76" i="36"/>
  <c r="L80" i="36"/>
  <c r="L88" i="36"/>
  <c r="L96" i="36"/>
  <c r="L100" i="36"/>
  <c r="L93" i="36"/>
  <c r="L87" i="36"/>
  <c r="L101" i="36"/>
  <c r="L113" i="36"/>
  <c r="L70" i="36"/>
  <c r="L92" i="36"/>
  <c r="L105" i="36"/>
  <c r="T60" i="5"/>
  <c r="T55" i="5"/>
  <c r="Q58" i="5"/>
  <c r="S58" i="5" s="1"/>
  <c r="T58" i="5" s="1"/>
  <c r="T62" i="5"/>
  <c r="T64" i="5"/>
  <c r="Q66" i="5"/>
  <c r="S66" i="5" s="1"/>
  <c r="T66" i="5" s="1"/>
  <c r="T57" i="5"/>
  <c r="T56" i="5"/>
  <c r="T63" i="5"/>
  <c r="H243" i="51"/>
  <c r="J243" i="51" s="1"/>
  <c r="K243" i="51" s="1"/>
  <c r="G27" i="4" l="1"/>
  <c r="I26" i="4"/>
  <c r="G26" i="4"/>
  <c r="I25" i="4"/>
  <c r="G25" i="4"/>
  <c r="I24" i="4"/>
  <c r="G24" i="4"/>
  <c r="H23" i="4"/>
  <c r="I23" i="4" s="1"/>
  <c r="G23" i="4"/>
  <c r="I22" i="4"/>
  <c r="H22" i="4"/>
  <c r="G22" i="4"/>
  <c r="H21" i="4"/>
  <c r="I21" i="4" s="1"/>
  <c r="G21" i="4"/>
  <c r="H20" i="4"/>
  <c r="I20" i="4" s="1"/>
  <c r="G20" i="4"/>
  <c r="I19" i="4"/>
  <c r="G19" i="4"/>
  <c r="I18" i="4"/>
  <c r="G18" i="4"/>
  <c r="I17" i="4"/>
  <c r="G17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G29" i="4"/>
  <c r="G30" i="4"/>
  <c r="G31" i="4"/>
  <c r="G32" i="4"/>
  <c r="G33" i="4"/>
  <c r="D10" i="35"/>
  <c r="C10" i="35"/>
  <c r="D9" i="35"/>
  <c r="C9" i="35"/>
  <c r="D7" i="5" l="1"/>
  <c r="E7" i="5" s="1"/>
  <c r="F7" i="5" s="1"/>
  <c r="G7" i="5" s="1"/>
  <c r="H7" i="5" s="1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L22" i="5"/>
  <c r="M22" i="5" s="1"/>
  <c r="E22" i="5"/>
  <c r="L21" i="5"/>
  <c r="M21" i="5" s="1"/>
  <c r="E21" i="5"/>
  <c r="G21" i="5" s="1"/>
  <c r="O21" i="5" s="1"/>
  <c r="P21" i="5" s="1"/>
  <c r="R21" i="5" s="1"/>
  <c r="L20" i="5"/>
  <c r="M20" i="5" s="1"/>
  <c r="E20" i="5"/>
  <c r="G20" i="5" s="1"/>
  <c r="O20" i="5" s="1"/>
  <c r="P20" i="5" s="1"/>
  <c r="R20" i="5" s="1"/>
  <c r="L19" i="5"/>
  <c r="M19" i="5" s="1"/>
  <c r="E19" i="5"/>
  <c r="L18" i="5"/>
  <c r="M18" i="5" s="1"/>
  <c r="E18" i="5"/>
  <c r="L17" i="5"/>
  <c r="M17" i="5" s="1"/>
  <c r="E17" i="5"/>
  <c r="L16" i="5"/>
  <c r="M16" i="5" s="1"/>
  <c r="E16" i="5"/>
  <c r="G16" i="5" s="1"/>
  <c r="O16" i="5" s="1"/>
  <c r="P16" i="5" s="1"/>
  <c r="R16" i="5" s="1"/>
  <c r="E15" i="5"/>
  <c r="G15" i="5" s="1"/>
  <c r="L14" i="5"/>
  <c r="M14" i="5" s="1"/>
  <c r="E14" i="5"/>
  <c r="G14" i="5" s="1"/>
  <c r="O14" i="5" s="1"/>
  <c r="P14" i="5" s="1"/>
  <c r="R14" i="5" s="1"/>
  <c r="L13" i="5"/>
  <c r="M13" i="5" s="1"/>
  <c r="E13" i="5"/>
  <c r="L12" i="5"/>
  <c r="M12" i="5" s="1"/>
  <c r="E12" i="5"/>
  <c r="L11" i="5"/>
  <c r="M11" i="5" s="1"/>
  <c r="E11" i="5"/>
  <c r="L10" i="5"/>
  <c r="M10" i="5" s="1"/>
  <c r="E10" i="5"/>
  <c r="G10" i="5" s="1"/>
  <c r="O10" i="5" s="1"/>
  <c r="P10" i="5" s="1"/>
  <c r="R10" i="5" s="1"/>
  <c r="L9" i="5"/>
  <c r="M9" i="5" s="1"/>
  <c r="E9" i="5"/>
  <c r="L8" i="5"/>
  <c r="M8" i="5" s="1"/>
  <c r="E8" i="5"/>
  <c r="G12" i="5" l="1"/>
  <c r="O12" i="5" s="1"/>
  <c r="P12" i="5" s="1"/>
  <c r="R12" i="5" s="1"/>
  <c r="G9" i="5"/>
  <c r="O9" i="5" s="1"/>
  <c r="P9" i="5" s="1"/>
  <c r="R9" i="5" s="1"/>
  <c r="G11" i="5"/>
  <c r="O11" i="5" s="1"/>
  <c r="P11" i="5" s="1"/>
  <c r="R11" i="5" s="1"/>
  <c r="G17" i="5"/>
  <c r="O17" i="5" s="1"/>
  <c r="P17" i="5" s="1"/>
  <c r="R17" i="5" s="1"/>
  <c r="G18" i="5"/>
  <c r="O18" i="5" s="1"/>
  <c r="P18" i="5" s="1"/>
  <c r="R18" i="5" s="1"/>
  <c r="G8" i="5"/>
  <c r="O8" i="5" s="1"/>
  <c r="P8" i="5" s="1"/>
  <c r="R8" i="5" s="1"/>
  <c r="G13" i="5"/>
  <c r="O13" i="5" s="1"/>
  <c r="P13" i="5" s="1"/>
  <c r="R13" i="5" s="1"/>
  <c r="G22" i="5"/>
  <c r="O22" i="5" s="1"/>
  <c r="P22" i="5" s="1"/>
  <c r="G19" i="5"/>
  <c r="O19" i="5" s="1"/>
  <c r="P19" i="5" s="1"/>
  <c r="R19" i="5" s="1"/>
  <c r="P22" i="7" l="1"/>
  <c r="AM22" i="7" s="1"/>
  <c r="M22" i="7"/>
  <c r="AN22" i="7" s="1"/>
  <c r="AM21" i="7"/>
  <c r="P21" i="7"/>
  <c r="M21" i="7"/>
  <c r="AN21" i="7" s="1"/>
  <c r="AM20" i="7"/>
  <c r="AN20" i="7" s="1"/>
  <c r="P20" i="7"/>
  <c r="M20" i="7"/>
  <c r="AM19" i="7"/>
  <c r="P19" i="7"/>
  <c r="M19" i="7"/>
  <c r="AN19" i="7" s="1"/>
  <c r="AM18" i="7"/>
  <c r="AN18" i="7" s="1"/>
  <c r="P18" i="7"/>
  <c r="M18" i="7"/>
  <c r="P17" i="7"/>
  <c r="AM17" i="7" s="1"/>
  <c r="M17" i="7"/>
  <c r="AN17" i="7" s="1"/>
  <c r="AM16" i="7"/>
  <c r="AN16" i="7" s="1"/>
  <c r="P16" i="7"/>
  <c r="M16" i="7"/>
  <c r="AM15" i="7"/>
  <c r="P15" i="7"/>
  <c r="M15" i="7"/>
  <c r="AN15" i="7" s="1"/>
  <c r="AM14" i="7"/>
  <c r="AN14" i="7" s="1"/>
  <c r="P14" i="7"/>
  <c r="M14" i="7"/>
  <c r="AM13" i="7"/>
  <c r="P13" i="7"/>
  <c r="M13" i="7"/>
  <c r="AN13" i="7" s="1"/>
  <c r="AM12" i="7"/>
  <c r="AN12" i="7" s="1"/>
  <c r="P12" i="7"/>
  <c r="M12" i="7"/>
  <c r="P11" i="7"/>
  <c r="AM11" i="7" s="1"/>
  <c r="M11" i="7"/>
  <c r="AM10" i="7"/>
  <c r="AN10" i="7" s="1"/>
  <c r="P10" i="7"/>
  <c r="M10" i="7"/>
  <c r="AL94" i="7"/>
  <c r="AK94" i="7"/>
  <c r="P94" i="7"/>
  <c r="AM94" i="7" s="1"/>
  <c r="M94" i="7"/>
  <c r="G94" i="7"/>
  <c r="L94" i="7" s="1"/>
  <c r="AL93" i="7"/>
  <c r="AK93" i="7"/>
  <c r="P93" i="7"/>
  <c r="AM93" i="7" s="1"/>
  <c r="M93" i="7"/>
  <c r="G93" i="7"/>
  <c r="L93" i="7" s="1"/>
  <c r="AL92" i="7"/>
  <c r="AK92" i="7"/>
  <c r="P92" i="7"/>
  <c r="AM92" i="7" s="1"/>
  <c r="M92" i="7"/>
  <c r="L92" i="7"/>
  <c r="AK91" i="7"/>
  <c r="AL91" i="7" s="1"/>
  <c r="P91" i="7"/>
  <c r="M91" i="7"/>
  <c r="L91" i="7"/>
  <c r="AK90" i="7"/>
  <c r="AL90" i="7" s="1"/>
  <c r="AM90" i="7" s="1"/>
  <c r="AN90" i="7" s="1"/>
  <c r="P90" i="7"/>
  <c r="M90" i="7"/>
  <c r="L90" i="7" s="1"/>
  <c r="G90" i="7"/>
  <c r="AK89" i="7"/>
  <c r="AL89" i="7" s="1"/>
  <c r="AM89" i="7" s="1"/>
  <c r="AN89" i="7" s="1"/>
  <c r="P89" i="7"/>
  <c r="M89" i="7"/>
  <c r="G89" i="7"/>
  <c r="L89" i="7" s="1"/>
  <c r="AM88" i="7"/>
  <c r="AN88" i="7" s="1"/>
  <c r="AL88" i="7"/>
  <c r="AK88" i="7"/>
  <c r="P88" i="7"/>
  <c r="M88" i="7"/>
  <c r="L88" i="7"/>
  <c r="AL87" i="7"/>
  <c r="AM87" i="7" s="1"/>
  <c r="AK87" i="7"/>
  <c r="P87" i="7"/>
  <c r="M87" i="7"/>
  <c r="L87" i="7" s="1"/>
  <c r="G87" i="7"/>
  <c r="AL86" i="7"/>
  <c r="AM86" i="7" s="1"/>
  <c r="AN86" i="7" s="1"/>
  <c r="AK86" i="7"/>
  <c r="P86" i="7"/>
  <c r="M86" i="7"/>
  <c r="L86" i="7" s="1"/>
  <c r="G86" i="7"/>
  <c r="AL85" i="7"/>
  <c r="AM85" i="7" s="1"/>
  <c r="AN85" i="7" s="1"/>
  <c r="AK85" i="7"/>
  <c r="P85" i="7"/>
  <c r="M85" i="7"/>
  <c r="L85" i="7" s="1"/>
  <c r="G85" i="7"/>
  <c r="AL84" i="7"/>
  <c r="AM84" i="7" s="1"/>
  <c r="AN84" i="7" s="1"/>
  <c r="AK84" i="7"/>
  <c r="P84" i="7"/>
  <c r="M84" i="7"/>
  <c r="L84" i="7" s="1"/>
  <c r="G84" i="7"/>
  <c r="AL83" i="7"/>
  <c r="AM83" i="7" s="1"/>
  <c r="AN83" i="7" s="1"/>
  <c r="AK83" i="7"/>
  <c r="P83" i="7"/>
  <c r="M83" i="7"/>
  <c r="L83" i="7" s="1"/>
  <c r="G83" i="7"/>
  <c r="AL270" i="7"/>
  <c r="P270" i="7"/>
  <c r="AM270" i="7" s="1"/>
  <c r="M270" i="7"/>
  <c r="H270" i="7"/>
  <c r="G270" i="7"/>
  <c r="L270" i="7" s="1"/>
  <c r="F270" i="7"/>
  <c r="E270" i="7"/>
  <c r="D270" i="7"/>
  <c r="C270" i="7"/>
  <c r="C268" i="7"/>
  <c r="D268" i="7"/>
  <c r="E268" i="7"/>
  <c r="F268" i="7"/>
  <c r="G268" i="7"/>
  <c r="H268" i="7"/>
  <c r="M268" i="7"/>
  <c r="P268" i="7"/>
  <c r="AM268" i="7" s="1"/>
  <c r="AL268" i="7"/>
  <c r="C269" i="7"/>
  <c r="D269" i="7"/>
  <c r="E269" i="7"/>
  <c r="F269" i="7"/>
  <c r="G269" i="7"/>
  <c r="H269" i="7"/>
  <c r="M269" i="7"/>
  <c r="L269" i="7" s="1"/>
  <c r="P269" i="7"/>
  <c r="AL269" i="7"/>
  <c r="AM269" i="7" s="1"/>
  <c r="AN269" i="7" s="1"/>
  <c r="AN11" i="7" l="1"/>
  <c r="AN92" i="7"/>
  <c r="AN94" i="7"/>
  <c r="AM91" i="7"/>
  <c r="AN91" i="7" s="1"/>
  <c r="AN93" i="7"/>
  <c r="AN87" i="7"/>
  <c r="AN270" i="7"/>
  <c r="AN268" i="7"/>
  <c r="L268" i="7"/>
  <c r="AK70" i="7" l="1"/>
  <c r="AL70" i="7" s="1"/>
  <c r="P70" i="7"/>
  <c r="M70" i="7"/>
  <c r="G70" i="7"/>
  <c r="L70" i="7" s="1"/>
  <c r="AK69" i="7"/>
  <c r="AL69" i="7" s="1"/>
  <c r="P69" i="7"/>
  <c r="M69" i="7"/>
  <c r="G69" i="7"/>
  <c r="L69" i="7" s="1"/>
  <c r="AK68" i="7"/>
  <c r="AL68" i="7" s="1"/>
  <c r="P68" i="7"/>
  <c r="M68" i="7"/>
  <c r="G68" i="7"/>
  <c r="L68" i="7" s="1"/>
  <c r="AK67" i="7"/>
  <c r="AL67" i="7" s="1"/>
  <c r="P67" i="7"/>
  <c r="M67" i="7"/>
  <c r="G67" i="7"/>
  <c r="L67" i="7" s="1"/>
  <c r="AK66" i="7"/>
  <c r="AL66" i="7" s="1"/>
  <c r="P66" i="7"/>
  <c r="M66" i="7"/>
  <c r="G66" i="7"/>
  <c r="L66" i="7" s="1"/>
  <c r="AK65" i="7"/>
  <c r="AL65" i="7" s="1"/>
  <c r="P65" i="7"/>
  <c r="M65" i="7"/>
  <c r="G65" i="7"/>
  <c r="L65" i="7" s="1"/>
  <c r="AK64" i="7"/>
  <c r="AL64" i="7" s="1"/>
  <c r="P64" i="7"/>
  <c r="M64" i="7"/>
  <c r="G64" i="7"/>
  <c r="L64" i="7" s="1"/>
  <c r="AK63" i="7"/>
  <c r="AL63" i="7" s="1"/>
  <c r="P63" i="7"/>
  <c r="L63" i="7"/>
  <c r="G63" i="7"/>
  <c r="M63" i="7" s="1"/>
  <c r="AK62" i="7"/>
  <c r="AL62" i="7" s="1"/>
  <c r="P62" i="7"/>
  <c r="G62" i="7"/>
  <c r="M62" i="7" s="1"/>
  <c r="AK61" i="7"/>
  <c r="AL61" i="7" s="1"/>
  <c r="P61" i="7"/>
  <c r="AM61" i="7" s="1"/>
  <c r="AN61" i="7" s="1"/>
  <c r="M61" i="7"/>
  <c r="G61" i="7"/>
  <c r="AM60" i="7"/>
  <c r="AL60" i="7"/>
  <c r="AK60" i="7"/>
  <c r="P60" i="7"/>
  <c r="M60" i="7"/>
  <c r="AN60" i="7" s="1"/>
  <c r="L60" i="7"/>
  <c r="G60" i="7"/>
  <c r="AM59" i="7"/>
  <c r="AL59" i="7"/>
  <c r="AK59" i="7"/>
  <c r="P59" i="7"/>
  <c r="M59" i="7"/>
  <c r="AN59" i="7" s="1"/>
  <c r="G59" i="7"/>
  <c r="AK58" i="7"/>
  <c r="AL58" i="7" s="1"/>
  <c r="P58" i="7"/>
  <c r="AM58" i="7" s="1"/>
  <c r="M58" i="7"/>
  <c r="G58" i="7"/>
  <c r="AL57" i="7"/>
  <c r="AK57" i="7"/>
  <c r="P57" i="7"/>
  <c r="AM57" i="7" s="1"/>
  <c r="AN57" i="7" s="1"/>
  <c r="M57" i="7"/>
  <c r="G57" i="7"/>
  <c r="AK56" i="7"/>
  <c r="AL56" i="7" s="1"/>
  <c r="AM56" i="7" s="1"/>
  <c r="P56" i="7"/>
  <c r="M56" i="7"/>
  <c r="G56" i="7"/>
  <c r="AL55" i="7"/>
  <c r="AK55" i="7"/>
  <c r="P55" i="7"/>
  <c r="AM55" i="7" s="1"/>
  <c r="G55" i="7"/>
  <c r="M55" i="7" s="1"/>
  <c r="AK54" i="7"/>
  <c r="AL54" i="7" s="1"/>
  <c r="AM54" i="7" s="1"/>
  <c r="P54" i="7"/>
  <c r="L54" i="7"/>
  <c r="G54" i="7"/>
  <c r="M54" i="7" s="1"/>
  <c r="AK53" i="7"/>
  <c r="AL53" i="7" s="1"/>
  <c r="AM53" i="7" s="1"/>
  <c r="P53" i="7"/>
  <c r="M53" i="7"/>
  <c r="AN53" i="7" s="1"/>
  <c r="G53" i="7"/>
  <c r="AL52" i="7"/>
  <c r="AK52" i="7"/>
  <c r="P52" i="7"/>
  <c r="AM52" i="7" s="1"/>
  <c r="G52" i="7"/>
  <c r="M52" i="7" s="1"/>
  <c r="AN52" i="7" s="1"/>
  <c r="AM51" i="7"/>
  <c r="AL51" i="7"/>
  <c r="AK51" i="7"/>
  <c r="P51" i="7"/>
  <c r="M51" i="7"/>
  <c r="AN51" i="7" s="1"/>
  <c r="L51" i="7"/>
  <c r="G51" i="7"/>
  <c r="AM50" i="7"/>
  <c r="AL50" i="7"/>
  <c r="AK50" i="7"/>
  <c r="P50" i="7"/>
  <c r="M50" i="7"/>
  <c r="AN50" i="7" s="1"/>
  <c r="G50" i="7"/>
  <c r="AL49" i="7"/>
  <c r="AK49" i="7"/>
  <c r="P49" i="7"/>
  <c r="AM49" i="7" s="1"/>
  <c r="AN49" i="7" s="1"/>
  <c r="M49" i="7"/>
  <c r="AL48" i="7"/>
  <c r="P48" i="7"/>
  <c r="AM48" i="7" s="1"/>
  <c r="AN48" i="7" s="1"/>
  <c r="M48" i="7"/>
  <c r="AL47" i="7"/>
  <c r="P47" i="7"/>
  <c r="AM47" i="7" s="1"/>
  <c r="AN47" i="7" s="1"/>
  <c r="M47" i="7"/>
  <c r="AN82" i="7"/>
  <c r="AM82" i="7"/>
  <c r="AL82" i="7"/>
  <c r="AK82" i="7"/>
  <c r="P82" i="7"/>
  <c r="M82" i="7"/>
  <c r="L82" i="7"/>
  <c r="G82" i="7"/>
  <c r="AN81" i="7"/>
  <c r="AM81" i="7"/>
  <c r="AL81" i="7"/>
  <c r="AK81" i="7"/>
  <c r="P81" i="7"/>
  <c r="M81" i="7"/>
  <c r="L81" i="7"/>
  <c r="G81" i="7"/>
  <c r="AN80" i="7"/>
  <c r="AM80" i="7"/>
  <c r="AL80" i="7"/>
  <c r="AK80" i="7"/>
  <c r="P80" i="7"/>
  <c r="M80" i="7"/>
  <c r="L80" i="7"/>
  <c r="G80" i="7"/>
  <c r="AN79" i="7"/>
  <c r="AM79" i="7"/>
  <c r="AL79" i="7"/>
  <c r="AK79" i="7"/>
  <c r="P79" i="7"/>
  <c r="M79" i="7"/>
  <c r="L79" i="7"/>
  <c r="G79" i="7"/>
  <c r="AN78" i="7"/>
  <c r="AM78" i="7"/>
  <c r="AL78" i="7"/>
  <c r="AK78" i="7"/>
  <c r="P78" i="7"/>
  <c r="M78" i="7"/>
  <c r="L78" i="7"/>
  <c r="G78" i="7"/>
  <c r="AN77" i="7"/>
  <c r="AM77" i="7"/>
  <c r="AL77" i="7"/>
  <c r="AK77" i="7"/>
  <c r="P77" i="7"/>
  <c r="M77" i="7"/>
  <c r="L77" i="7"/>
  <c r="G77" i="7"/>
  <c r="AN76" i="7"/>
  <c r="AM76" i="7"/>
  <c r="AL76" i="7"/>
  <c r="AK76" i="7"/>
  <c r="P76" i="7"/>
  <c r="M76" i="7"/>
  <c r="L76" i="7"/>
  <c r="G76" i="7"/>
  <c r="AN75" i="7"/>
  <c r="AM75" i="7"/>
  <c r="AL75" i="7"/>
  <c r="AK75" i="7"/>
  <c r="P75" i="7"/>
  <c r="M75" i="7"/>
  <c r="L75" i="7"/>
  <c r="G75" i="7"/>
  <c r="AN74" i="7"/>
  <c r="AM74" i="7"/>
  <c r="AL74" i="7"/>
  <c r="AK74" i="7"/>
  <c r="P74" i="7"/>
  <c r="M74" i="7"/>
  <c r="L74" i="7"/>
  <c r="G74" i="7"/>
  <c r="AN73" i="7"/>
  <c r="AM73" i="7"/>
  <c r="AL73" i="7"/>
  <c r="AK73" i="7"/>
  <c r="P73" i="7"/>
  <c r="M73" i="7"/>
  <c r="L73" i="7"/>
  <c r="G73" i="7"/>
  <c r="AN72" i="7"/>
  <c r="AM72" i="7"/>
  <c r="AL72" i="7"/>
  <c r="AK72" i="7"/>
  <c r="P72" i="7"/>
  <c r="M72" i="7"/>
  <c r="L72" i="7"/>
  <c r="G72" i="7"/>
  <c r="AN71" i="7"/>
  <c r="AM71" i="7"/>
  <c r="AL71" i="7"/>
  <c r="AK71" i="7"/>
  <c r="P71" i="7"/>
  <c r="M71" i="7"/>
  <c r="L71" i="7"/>
  <c r="G71" i="7"/>
  <c r="AL118" i="7"/>
  <c r="AM118" i="7" s="1"/>
  <c r="AN118" i="7" s="1"/>
  <c r="AK118" i="7"/>
  <c r="P118" i="7"/>
  <c r="M118" i="7"/>
  <c r="L118" i="7" s="1"/>
  <c r="G118" i="7"/>
  <c r="AL117" i="7"/>
  <c r="AM117" i="7" s="1"/>
  <c r="AN117" i="7" s="1"/>
  <c r="AK117" i="7"/>
  <c r="P117" i="7"/>
  <c r="M117" i="7"/>
  <c r="L117" i="7" s="1"/>
  <c r="G117" i="7"/>
  <c r="AL116" i="7"/>
  <c r="AM116" i="7" s="1"/>
  <c r="AN116" i="7" s="1"/>
  <c r="AK116" i="7"/>
  <c r="P116" i="7"/>
  <c r="M116" i="7"/>
  <c r="L116" i="7" s="1"/>
  <c r="G116" i="7"/>
  <c r="AL115" i="7"/>
  <c r="AM115" i="7" s="1"/>
  <c r="AN115" i="7" s="1"/>
  <c r="AK115" i="7"/>
  <c r="P115" i="7"/>
  <c r="M115" i="7"/>
  <c r="L115" i="7" s="1"/>
  <c r="G115" i="7"/>
  <c r="AL114" i="7"/>
  <c r="AM114" i="7" s="1"/>
  <c r="AN114" i="7" s="1"/>
  <c r="AK114" i="7"/>
  <c r="P114" i="7"/>
  <c r="M114" i="7"/>
  <c r="L114" i="7" s="1"/>
  <c r="G114" i="7"/>
  <c r="AL113" i="7"/>
  <c r="AM113" i="7" s="1"/>
  <c r="AN113" i="7" s="1"/>
  <c r="AK113" i="7"/>
  <c r="P113" i="7"/>
  <c r="M113" i="7"/>
  <c r="L113" i="7" s="1"/>
  <c r="G113" i="7"/>
  <c r="AL112" i="7"/>
  <c r="AM112" i="7" s="1"/>
  <c r="AN112" i="7" s="1"/>
  <c r="AK112" i="7"/>
  <c r="P112" i="7"/>
  <c r="M112" i="7"/>
  <c r="L112" i="7" s="1"/>
  <c r="G112" i="7"/>
  <c r="AL111" i="7"/>
  <c r="AM111" i="7" s="1"/>
  <c r="AN111" i="7" s="1"/>
  <c r="AK111" i="7"/>
  <c r="P111" i="7"/>
  <c r="M111" i="7"/>
  <c r="L111" i="7" s="1"/>
  <c r="G111" i="7"/>
  <c r="AL110" i="7"/>
  <c r="AM110" i="7" s="1"/>
  <c r="AN110" i="7" s="1"/>
  <c r="AK110" i="7"/>
  <c r="P110" i="7"/>
  <c r="M110" i="7"/>
  <c r="L110" i="7" s="1"/>
  <c r="G110" i="7"/>
  <c r="AL109" i="7"/>
  <c r="AM109" i="7" s="1"/>
  <c r="AN109" i="7" s="1"/>
  <c r="AK109" i="7"/>
  <c r="P109" i="7"/>
  <c r="M109" i="7"/>
  <c r="L109" i="7" s="1"/>
  <c r="G109" i="7"/>
  <c r="AL108" i="7"/>
  <c r="AM108" i="7" s="1"/>
  <c r="AN108" i="7" s="1"/>
  <c r="AK108" i="7"/>
  <c r="P108" i="7"/>
  <c r="M108" i="7"/>
  <c r="L108" i="7" s="1"/>
  <c r="G108" i="7"/>
  <c r="AL107" i="7"/>
  <c r="AM107" i="7" s="1"/>
  <c r="AN107" i="7" s="1"/>
  <c r="AK107" i="7"/>
  <c r="P107" i="7"/>
  <c r="M107" i="7"/>
  <c r="L107" i="7" s="1"/>
  <c r="G107" i="7"/>
  <c r="AN106" i="7"/>
  <c r="AM106" i="7"/>
  <c r="AL106" i="7"/>
  <c r="AK106" i="7"/>
  <c r="P106" i="7"/>
  <c r="M106" i="7"/>
  <c r="L106" i="7" s="1"/>
  <c r="G106" i="7"/>
  <c r="AN105" i="7"/>
  <c r="AM105" i="7"/>
  <c r="AL105" i="7"/>
  <c r="AK105" i="7"/>
  <c r="P105" i="7"/>
  <c r="M105" i="7"/>
  <c r="L105" i="7" s="1"/>
  <c r="G105" i="7"/>
  <c r="AN104" i="7"/>
  <c r="AM104" i="7"/>
  <c r="AL104" i="7"/>
  <c r="AK104" i="7"/>
  <c r="P104" i="7"/>
  <c r="M104" i="7"/>
  <c r="L104" i="7" s="1"/>
  <c r="G104" i="7"/>
  <c r="AN103" i="7"/>
  <c r="AM103" i="7"/>
  <c r="AL103" i="7"/>
  <c r="AK103" i="7"/>
  <c r="P103" i="7"/>
  <c r="M103" i="7"/>
  <c r="L103" i="7" s="1"/>
  <c r="G103" i="7"/>
  <c r="AN102" i="7"/>
  <c r="AM102" i="7"/>
  <c r="AL102" i="7"/>
  <c r="AK102" i="7"/>
  <c r="P102" i="7"/>
  <c r="M102" i="7"/>
  <c r="L102" i="7" s="1"/>
  <c r="G102" i="7"/>
  <c r="AN101" i="7"/>
  <c r="AM101" i="7"/>
  <c r="AL101" i="7"/>
  <c r="AK101" i="7"/>
  <c r="P101" i="7"/>
  <c r="M101" i="7"/>
  <c r="L101" i="7" s="1"/>
  <c r="G101" i="7"/>
  <c r="AN100" i="7"/>
  <c r="AM100" i="7"/>
  <c r="AL100" i="7"/>
  <c r="AK100" i="7"/>
  <c r="P100" i="7"/>
  <c r="M100" i="7"/>
  <c r="L100" i="7" s="1"/>
  <c r="G100" i="7"/>
  <c r="AN99" i="7"/>
  <c r="AM99" i="7"/>
  <c r="AL99" i="7"/>
  <c r="AK99" i="7"/>
  <c r="P99" i="7"/>
  <c r="M99" i="7"/>
  <c r="L99" i="7" s="1"/>
  <c r="G99" i="7"/>
  <c r="AN98" i="7"/>
  <c r="AM98" i="7"/>
  <c r="AL98" i="7"/>
  <c r="AK98" i="7"/>
  <c r="P98" i="7"/>
  <c r="M98" i="7"/>
  <c r="L98" i="7" s="1"/>
  <c r="G98" i="7"/>
  <c r="AN97" i="7"/>
  <c r="AM97" i="7"/>
  <c r="AL97" i="7"/>
  <c r="AK97" i="7"/>
  <c r="P97" i="7"/>
  <c r="M97" i="7"/>
  <c r="L97" i="7" s="1"/>
  <c r="G97" i="7"/>
  <c r="AN96" i="7"/>
  <c r="AM96" i="7"/>
  <c r="AL96" i="7"/>
  <c r="AK96" i="7"/>
  <c r="P96" i="7"/>
  <c r="M96" i="7"/>
  <c r="L96" i="7" s="1"/>
  <c r="G96" i="7"/>
  <c r="AN95" i="7"/>
  <c r="AM95" i="7"/>
  <c r="AL95" i="7"/>
  <c r="AK95" i="7"/>
  <c r="P95" i="7"/>
  <c r="M95" i="7"/>
  <c r="L95" i="7" s="1"/>
  <c r="G95" i="7"/>
  <c r="AM63" i="7" l="1"/>
  <c r="AN63" i="7" s="1"/>
  <c r="AM65" i="7"/>
  <c r="AN65" i="7" s="1"/>
  <c r="AM67" i="7"/>
  <c r="AN67" i="7" s="1"/>
  <c r="AM69" i="7"/>
  <c r="AN69" i="7" s="1"/>
  <c r="AM62" i="7"/>
  <c r="AN62" i="7" s="1"/>
  <c r="AM64" i="7"/>
  <c r="AN64" i="7" s="1"/>
  <c r="AM66" i="7"/>
  <c r="AN66" i="7" s="1"/>
  <c r="AM68" i="7"/>
  <c r="AN68" i="7" s="1"/>
  <c r="AM70" i="7"/>
  <c r="AN70" i="7" s="1"/>
  <c r="AN54" i="7"/>
  <c r="AN56" i="7"/>
  <c r="AN58" i="7"/>
  <c r="AN55" i="7"/>
  <c r="AL153" i="7"/>
  <c r="P153" i="7"/>
  <c r="AM153" i="7" s="1"/>
  <c r="M153" i="7"/>
  <c r="AN153" i="7" s="1"/>
  <c r="G153" i="7"/>
  <c r="L153" i="7" s="1"/>
  <c r="AL152" i="7"/>
  <c r="P152" i="7"/>
  <c r="AM152" i="7" s="1"/>
  <c r="AN152" i="7" s="1"/>
  <c r="M152" i="7"/>
  <c r="G152" i="7"/>
  <c r="L152" i="7" s="1"/>
  <c r="AM151" i="7"/>
  <c r="AN151" i="7" s="1"/>
  <c r="AL151" i="7"/>
  <c r="P151" i="7"/>
  <c r="M151" i="7"/>
  <c r="G151" i="7"/>
  <c r="L151" i="7" s="1"/>
  <c r="AL150" i="7"/>
  <c r="AM150" i="7" s="1"/>
  <c r="AN150" i="7" s="1"/>
  <c r="P150" i="7"/>
  <c r="M150" i="7"/>
  <c r="G150" i="7"/>
  <c r="L150" i="7" s="1"/>
  <c r="AL149" i="7"/>
  <c r="P149" i="7"/>
  <c r="AM149" i="7" s="1"/>
  <c r="AN149" i="7" s="1"/>
  <c r="M149" i="7"/>
  <c r="G149" i="7"/>
  <c r="L149" i="7" s="1"/>
  <c r="AL148" i="7"/>
  <c r="P148" i="7"/>
  <c r="AM148" i="7" s="1"/>
  <c r="M148" i="7"/>
  <c r="L148" i="7" s="1"/>
  <c r="G148" i="7"/>
  <c r="AL147" i="7"/>
  <c r="P147" i="7"/>
  <c r="AM147" i="7" s="1"/>
  <c r="M147" i="7"/>
  <c r="L147" i="7"/>
  <c r="G147" i="7"/>
  <c r="AL146" i="7"/>
  <c r="P146" i="7"/>
  <c r="AM146" i="7" s="1"/>
  <c r="M146" i="7"/>
  <c r="G146" i="7"/>
  <c r="L146" i="7" s="1"/>
  <c r="AL145" i="7"/>
  <c r="P145" i="7"/>
  <c r="AM145" i="7" s="1"/>
  <c r="M145" i="7"/>
  <c r="AN145" i="7" s="1"/>
  <c r="G145" i="7"/>
  <c r="L145" i="7" s="1"/>
  <c r="AL144" i="7"/>
  <c r="P144" i="7"/>
  <c r="AM144" i="7" s="1"/>
  <c r="AN144" i="7" s="1"/>
  <c r="M144" i="7"/>
  <c r="G144" i="7"/>
  <c r="L144" i="7" s="1"/>
  <c r="AM143" i="7"/>
  <c r="AN143" i="7" s="1"/>
  <c r="AL143" i="7"/>
  <c r="P143" i="7"/>
  <c r="M143" i="7"/>
  <c r="G143" i="7"/>
  <c r="L143" i="7" s="1"/>
  <c r="AL142" i="7"/>
  <c r="AM142" i="7" s="1"/>
  <c r="AN142" i="7" s="1"/>
  <c r="P142" i="7"/>
  <c r="M142" i="7"/>
  <c r="G142" i="7"/>
  <c r="L142" i="7" s="1"/>
  <c r="AK141" i="7"/>
  <c r="AL141" i="7" s="1"/>
  <c r="AM141" i="7" s="1"/>
  <c r="AN141" i="7" s="1"/>
  <c r="P141" i="7"/>
  <c r="M141" i="7"/>
  <c r="L141" i="7"/>
  <c r="AK140" i="7"/>
  <c r="AL140" i="7" s="1"/>
  <c r="P140" i="7"/>
  <c r="M140" i="7"/>
  <c r="L140" i="7"/>
  <c r="AK139" i="7"/>
  <c r="AL139" i="7" s="1"/>
  <c r="P139" i="7"/>
  <c r="M139" i="7"/>
  <c r="L139" i="7" s="1"/>
  <c r="AK138" i="7"/>
  <c r="AL138" i="7" s="1"/>
  <c r="P138" i="7"/>
  <c r="AM138" i="7" s="1"/>
  <c r="M138" i="7"/>
  <c r="L138" i="7"/>
  <c r="AK137" i="7"/>
  <c r="AL137" i="7" s="1"/>
  <c r="P137" i="7"/>
  <c r="AM137" i="7" s="1"/>
  <c r="M137" i="7"/>
  <c r="L137" i="7"/>
  <c r="AK136" i="7"/>
  <c r="AL136" i="7" s="1"/>
  <c r="P136" i="7"/>
  <c r="AM136" i="7" s="1"/>
  <c r="AN136" i="7" s="1"/>
  <c r="M136" i="7"/>
  <c r="L136" i="7"/>
  <c r="AK135" i="7"/>
  <c r="AL135" i="7" s="1"/>
  <c r="AM135" i="7" s="1"/>
  <c r="AN135" i="7" s="1"/>
  <c r="P135" i="7"/>
  <c r="M135" i="7"/>
  <c r="L135" i="7" s="1"/>
  <c r="AL134" i="7"/>
  <c r="AM134" i="7" s="1"/>
  <c r="AN134" i="7" s="1"/>
  <c r="AK134" i="7"/>
  <c r="P134" i="7"/>
  <c r="M134" i="7"/>
  <c r="L134" i="7"/>
  <c r="AK133" i="7"/>
  <c r="AL133" i="7" s="1"/>
  <c r="AM133" i="7" s="1"/>
  <c r="AN133" i="7" s="1"/>
  <c r="P133" i="7"/>
  <c r="M133" i="7"/>
  <c r="L133" i="7"/>
  <c r="AK132" i="7"/>
  <c r="AL132" i="7" s="1"/>
  <c r="P132" i="7"/>
  <c r="AM132" i="7" s="1"/>
  <c r="AN132" i="7" s="1"/>
  <c r="M132" i="7"/>
  <c r="L132" i="7"/>
  <c r="AK131" i="7"/>
  <c r="AL131" i="7" s="1"/>
  <c r="P131" i="7"/>
  <c r="M131" i="7"/>
  <c r="L131" i="7" s="1"/>
  <c r="AL130" i="7"/>
  <c r="AK130" i="7"/>
  <c r="P130" i="7"/>
  <c r="AM130" i="7" s="1"/>
  <c r="M130" i="7"/>
  <c r="L130" i="7"/>
  <c r="AK129" i="7"/>
  <c r="AL129" i="7" s="1"/>
  <c r="P129" i="7"/>
  <c r="M129" i="7"/>
  <c r="L129" i="7"/>
  <c r="AK128" i="7"/>
  <c r="AL128" i="7" s="1"/>
  <c r="P128" i="7"/>
  <c r="AM128" i="7" s="1"/>
  <c r="AN128" i="7" s="1"/>
  <c r="M128" i="7"/>
  <c r="L128" i="7"/>
  <c r="AK127" i="7"/>
  <c r="AL127" i="7" s="1"/>
  <c r="AM127" i="7" s="1"/>
  <c r="AN127" i="7" s="1"/>
  <c r="P127" i="7"/>
  <c r="M127" i="7"/>
  <c r="L127" i="7" s="1"/>
  <c r="AL126" i="7"/>
  <c r="AM126" i="7" s="1"/>
  <c r="AN126" i="7" s="1"/>
  <c r="AK126" i="7"/>
  <c r="P126" i="7"/>
  <c r="M126" i="7"/>
  <c r="L126" i="7"/>
  <c r="AK125" i="7"/>
  <c r="AL125" i="7" s="1"/>
  <c r="AM125" i="7" s="1"/>
  <c r="AN125" i="7" s="1"/>
  <c r="P125" i="7"/>
  <c r="M125" i="7"/>
  <c r="L125" i="7"/>
  <c r="AK124" i="7"/>
  <c r="AL124" i="7" s="1"/>
  <c r="P124" i="7"/>
  <c r="AM124" i="7" s="1"/>
  <c r="AN124" i="7" s="1"/>
  <c r="M124" i="7"/>
  <c r="L124" i="7"/>
  <c r="AK123" i="7"/>
  <c r="AL123" i="7" s="1"/>
  <c r="P123" i="7"/>
  <c r="M123" i="7"/>
  <c r="L123" i="7" s="1"/>
  <c r="AL122" i="7"/>
  <c r="AK122" i="7"/>
  <c r="P122" i="7"/>
  <c r="AM122" i="7" s="1"/>
  <c r="M122" i="7"/>
  <c r="L122" i="7"/>
  <c r="AK121" i="7"/>
  <c r="AL121" i="7" s="1"/>
  <c r="P121" i="7"/>
  <c r="M121" i="7"/>
  <c r="L121" i="7"/>
  <c r="AK120" i="7"/>
  <c r="AL120" i="7" s="1"/>
  <c r="P120" i="7"/>
  <c r="AM120" i="7" s="1"/>
  <c r="AN120" i="7" s="1"/>
  <c r="M120" i="7"/>
  <c r="L120" i="7"/>
  <c r="AK119" i="7"/>
  <c r="AL119" i="7" s="1"/>
  <c r="AM119" i="7" s="1"/>
  <c r="AN119" i="7" s="1"/>
  <c r="P119" i="7"/>
  <c r="M119" i="7"/>
  <c r="L119" i="7" s="1"/>
  <c r="AK177" i="7"/>
  <c r="AL177" i="7" s="1"/>
  <c r="P177" i="7"/>
  <c r="AM177" i="7" s="1"/>
  <c r="AN177" i="7" s="1"/>
  <c r="M177" i="7"/>
  <c r="G177" i="7"/>
  <c r="L177" i="7" s="1"/>
  <c r="AK176" i="7"/>
  <c r="AL176" i="7" s="1"/>
  <c r="P176" i="7"/>
  <c r="AM176" i="7" s="1"/>
  <c r="AN176" i="7" s="1"/>
  <c r="M176" i="7"/>
  <c r="G176" i="7"/>
  <c r="L176" i="7" s="1"/>
  <c r="AK175" i="7"/>
  <c r="AL175" i="7" s="1"/>
  <c r="P175" i="7"/>
  <c r="AM175" i="7" s="1"/>
  <c r="AN175" i="7" s="1"/>
  <c r="M175" i="7"/>
  <c r="G175" i="7"/>
  <c r="L175" i="7" s="1"/>
  <c r="AK174" i="7"/>
  <c r="AL174" i="7" s="1"/>
  <c r="P174" i="7"/>
  <c r="AM174" i="7" s="1"/>
  <c r="AN174" i="7" s="1"/>
  <c r="M174" i="7"/>
  <c r="G174" i="7"/>
  <c r="L174" i="7" s="1"/>
  <c r="AK173" i="7"/>
  <c r="AL173" i="7" s="1"/>
  <c r="P173" i="7"/>
  <c r="AM173" i="7" s="1"/>
  <c r="AN173" i="7" s="1"/>
  <c r="M173" i="7"/>
  <c r="G173" i="7"/>
  <c r="L173" i="7" s="1"/>
  <c r="AK172" i="7"/>
  <c r="AL172" i="7" s="1"/>
  <c r="P172" i="7"/>
  <c r="AM172" i="7" s="1"/>
  <c r="AN172" i="7" s="1"/>
  <c r="M172" i="7"/>
  <c r="G172" i="7"/>
  <c r="L172" i="7" s="1"/>
  <c r="AK171" i="7"/>
  <c r="AL171" i="7" s="1"/>
  <c r="P171" i="7"/>
  <c r="AM171" i="7" s="1"/>
  <c r="AN171" i="7" s="1"/>
  <c r="M171" i="7"/>
  <c r="G171" i="7"/>
  <c r="L171" i="7" s="1"/>
  <c r="AK170" i="7"/>
  <c r="AL170" i="7" s="1"/>
  <c r="P170" i="7"/>
  <c r="AM170" i="7" s="1"/>
  <c r="AN170" i="7" s="1"/>
  <c r="M170" i="7"/>
  <c r="G170" i="7"/>
  <c r="L170" i="7" s="1"/>
  <c r="AK169" i="7"/>
  <c r="AL169" i="7" s="1"/>
  <c r="P169" i="7"/>
  <c r="AM169" i="7" s="1"/>
  <c r="AN169" i="7" s="1"/>
  <c r="M169" i="7"/>
  <c r="G169" i="7"/>
  <c r="L169" i="7" s="1"/>
  <c r="AK168" i="7"/>
  <c r="AL168" i="7" s="1"/>
  <c r="P168" i="7"/>
  <c r="AM168" i="7" s="1"/>
  <c r="AN168" i="7" s="1"/>
  <c r="M168" i="7"/>
  <c r="G168" i="7"/>
  <c r="L168" i="7" s="1"/>
  <c r="AK167" i="7"/>
  <c r="AL167" i="7" s="1"/>
  <c r="P167" i="7"/>
  <c r="AM167" i="7" s="1"/>
  <c r="AN167" i="7" s="1"/>
  <c r="M167" i="7"/>
  <c r="G167" i="7"/>
  <c r="L167" i="7" s="1"/>
  <c r="AK166" i="7"/>
  <c r="AL166" i="7" s="1"/>
  <c r="P166" i="7"/>
  <c r="AM166" i="7" s="1"/>
  <c r="AN166" i="7" s="1"/>
  <c r="M166" i="7"/>
  <c r="G166" i="7"/>
  <c r="L166" i="7" s="1"/>
  <c r="AL165" i="7"/>
  <c r="P165" i="7"/>
  <c r="AM165" i="7" s="1"/>
  <c r="M165" i="7"/>
  <c r="G165" i="7"/>
  <c r="L165" i="7" s="1"/>
  <c r="AL164" i="7"/>
  <c r="P164" i="7"/>
  <c r="AM164" i="7" s="1"/>
  <c r="AN164" i="7" s="1"/>
  <c r="M164" i="7"/>
  <c r="G164" i="7"/>
  <c r="L164" i="7" s="1"/>
  <c r="AL163" i="7"/>
  <c r="P163" i="7"/>
  <c r="AM163" i="7" s="1"/>
  <c r="AN163" i="7" s="1"/>
  <c r="M163" i="7"/>
  <c r="L163" i="7" s="1"/>
  <c r="G163" i="7"/>
  <c r="AL162" i="7"/>
  <c r="P162" i="7"/>
  <c r="M162" i="7"/>
  <c r="L162" i="7"/>
  <c r="G162" i="7"/>
  <c r="AL161" i="7"/>
  <c r="P161" i="7"/>
  <c r="AM161" i="7" s="1"/>
  <c r="AN161" i="7" s="1"/>
  <c r="M161" i="7"/>
  <c r="G161" i="7"/>
  <c r="L161" i="7" s="1"/>
  <c r="AL160" i="7"/>
  <c r="P160" i="7"/>
  <c r="AM160" i="7" s="1"/>
  <c r="M160" i="7"/>
  <c r="L160" i="7" s="1"/>
  <c r="G160" i="7"/>
  <c r="AL159" i="7"/>
  <c r="P159" i="7"/>
  <c r="AM159" i="7" s="1"/>
  <c r="M159" i="7"/>
  <c r="L159" i="7"/>
  <c r="G159" i="7"/>
  <c r="AL158" i="7"/>
  <c r="P158" i="7"/>
  <c r="AM158" i="7" s="1"/>
  <c r="M158" i="7"/>
  <c r="G158" i="7"/>
  <c r="L158" i="7" s="1"/>
  <c r="AL157" i="7"/>
  <c r="P157" i="7"/>
  <c r="AM157" i="7" s="1"/>
  <c r="M157" i="7"/>
  <c r="AN157" i="7" s="1"/>
  <c r="G157" i="7"/>
  <c r="L157" i="7" s="1"/>
  <c r="AL156" i="7"/>
  <c r="P156" i="7"/>
  <c r="AM156" i="7" s="1"/>
  <c r="AN156" i="7" s="1"/>
  <c r="M156" i="7"/>
  <c r="G156" i="7"/>
  <c r="L156" i="7" s="1"/>
  <c r="AL155" i="7"/>
  <c r="P155" i="7"/>
  <c r="AM155" i="7" s="1"/>
  <c r="AN155" i="7" s="1"/>
  <c r="M155" i="7"/>
  <c r="L155" i="7" s="1"/>
  <c r="G155" i="7"/>
  <c r="AL154" i="7"/>
  <c r="P154" i="7"/>
  <c r="M154" i="7"/>
  <c r="L154" i="7"/>
  <c r="G154" i="7"/>
  <c r="AM162" i="7" l="1"/>
  <c r="AN162" i="7" s="1"/>
  <c r="AN158" i="7"/>
  <c r="AM154" i="7"/>
  <c r="AN154" i="7" s="1"/>
  <c r="AN159" i="7"/>
  <c r="AN165" i="7"/>
  <c r="AN137" i="7"/>
  <c r="AM139" i="7"/>
  <c r="AN139" i="7" s="1"/>
  <c r="AM121" i="7"/>
  <c r="AN121" i="7" s="1"/>
  <c r="AM123" i="7"/>
  <c r="AM129" i="7"/>
  <c r="AN129" i="7" s="1"/>
  <c r="AM131" i="7"/>
  <c r="AN131" i="7" s="1"/>
  <c r="AN147" i="7"/>
  <c r="AN122" i="7"/>
  <c r="AN130" i="7"/>
  <c r="AN138" i="7"/>
  <c r="AM140" i="7"/>
  <c r="AN140" i="7" s="1"/>
  <c r="AN146" i="7"/>
  <c r="AN148" i="7"/>
  <c r="AN123" i="7"/>
  <c r="AN160" i="7"/>
  <c r="AN213" i="7" l="1"/>
  <c r="P213" i="7"/>
  <c r="AO213" i="7" s="1"/>
  <c r="M213" i="7"/>
  <c r="AP213" i="7" s="1"/>
  <c r="G213" i="7"/>
  <c r="L213" i="7" s="1"/>
  <c r="AP212" i="7"/>
  <c r="AO212" i="7"/>
  <c r="AN212" i="7"/>
  <c r="P212" i="7"/>
  <c r="M212" i="7"/>
  <c r="G212" i="7"/>
  <c r="L212" i="7" s="1"/>
  <c r="AO211" i="7"/>
  <c r="AP211" i="7" s="1"/>
  <c r="AN211" i="7"/>
  <c r="P211" i="7"/>
  <c r="M211" i="7"/>
  <c r="L211" i="7" s="1"/>
  <c r="G211" i="7"/>
  <c r="AN210" i="7"/>
  <c r="AO210" i="7" s="1"/>
  <c r="AP210" i="7" s="1"/>
  <c r="P210" i="7"/>
  <c r="M210" i="7"/>
  <c r="L210" i="7" s="1"/>
  <c r="G210" i="7"/>
  <c r="AN209" i="7"/>
  <c r="P209" i="7"/>
  <c r="AO209" i="7" s="1"/>
  <c r="AP209" i="7" s="1"/>
  <c r="M209" i="7"/>
  <c r="L209" i="7" s="1"/>
  <c r="G209" i="7"/>
  <c r="AN208" i="7"/>
  <c r="P208" i="7"/>
  <c r="AO208" i="7" s="1"/>
  <c r="M208" i="7"/>
  <c r="L208" i="7" s="1"/>
  <c r="G208" i="7"/>
  <c r="AN207" i="7"/>
  <c r="P207" i="7"/>
  <c r="AO207" i="7" s="1"/>
  <c r="M207" i="7"/>
  <c r="L207" i="7"/>
  <c r="G207" i="7"/>
  <c r="AN206" i="7"/>
  <c r="P206" i="7"/>
  <c r="AO206" i="7" s="1"/>
  <c r="M206" i="7"/>
  <c r="AP206" i="7" s="1"/>
  <c r="G206" i="7"/>
  <c r="L206" i="7" s="1"/>
  <c r="AN205" i="7"/>
  <c r="P205" i="7"/>
  <c r="AO205" i="7" s="1"/>
  <c r="M205" i="7"/>
  <c r="AP205" i="7" s="1"/>
  <c r="G205" i="7"/>
  <c r="L205" i="7" s="1"/>
  <c r="AN204" i="7"/>
  <c r="AO204" i="7" s="1"/>
  <c r="AP204" i="7" s="1"/>
  <c r="P204" i="7"/>
  <c r="M204" i="7"/>
  <c r="L204" i="7"/>
  <c r="G204" i="7"/>
  <c r="AO203" i="7"/>
  <c r="AP203" i="7" s="1"/>
  <c r="AN203" i="7"/>
  <c r="P203" i="7"/>
  <c r="M203" i="7"/>
  <c r="L203" i="7" s="1"/>
  <c r="G203" i="7"/>
  <c r="AN202" i="7"/>
  <c r="AO202" i="7" s="1"/>
  <c r="AP202" i="7" s="1"/>
  <c r="P202" i="7"/>
  <c r="M202" i="7"/>
  <c r="L202" i="7" s="1"/>
  <c r="G202" i="7"/>
  <c r="AP207" i="7" l="1"/>
  <c r="AP208" i="7"/>
  <c r="AL201" i="7" l="1"/>
  <c r="P201" i="7"/>
  <c r="AM201" i="7" s="1"/>
  <c r="M201" i="7"/>
  <c r="AN201" i="7" s="1"/>
  <c r="L201" i="7"/>
  <c r="G201" i="7"/>
  <c r="AL200" i="7"/>
  <c r="P200" i="7"/>
  <c r="AM200" i="7" s="1"/>
  <c r="AN200" i="7" s="1"/>
  <c r="M200" i="7"/>
  <c r="L200" i="7" s="1"/>
  <c r="G200" i="7"/>
  <c r="AM199" i="7"/>
  <c r="AN199" i="7" s="1"/>
  <c r="AL199" i="7"/>
  <c r="P199" i="7"/>
  <c r="M199" i="7"/>
  <c r="L199" i="7" s="1"/>
  <c r="AL198" i="7"/>
  <c r="P198" i="7"/>
  <c r="AM198" i="7" s="1"/>
  <c r="M198" i="7"/>
  <c r="AN198" i="7" s="1"/>
  <c r="G198" i="7"/>
  <c r="L198" i="7" s="1"/>
  <c r="AL197" i="7"/>
  <c r="P197" i="7"/>
  <c r="AM197" i="7" s="1"/>
  <c r="M197" i="7"/>
  <c r="L197" i="7" s="1"/>
  <c r="AM196" i="7"/>
  <c r="AL196" i="7"/>
  <c r="P196" i="7"/>
  <c r="M196" i="7"/>
  <c r="AN196" i="7" s="1"/>
  <c r="G196" i="7"/>
  <c r="AL195" i="7"/>
  <c r="P195" i="7"/>
  <c r="AM195" i="7" s="1"/>
  <c r="M195" i="7"/>
  <c r="AN195" i="7" s="1"/>
  <c r="L195" i="7"/>
  <c r="G195" i="7"/>
  <c r="AL194" i="7"/>
  <c r="P194" i="7"/>
  <c r="AM194" i="7" s="1"/>
  <c r="AN194" i="7" s="1"/>
  <c r="M194" i="7"/>
  <c r="G194" i="7"/>
  <c r="L194" i="7" s="1"/>
  <c r="AM193" i="7"/>
  <c r="AN193" i="7" s="1"/>
  <c r="AL193" i="7"/>
  <c r="P193" i="7"/>
  <c r="M193" i="7"/>
  <c r="L193" i="7" s="1"/>
  <c r="G193" i="7"/>
  <c r="AL192" i="7"/>
  <c r="AM192" i="7" s="1"/>
  <c r="AN192" i="7" s="1"/>
  <c r="P192" i="7"/>
  <c r="M192" i="7"/>
  <c r="L192" i="7"/>
  <c r="G192" i="7"/>
  <c r="AL191" i="7"/>
  <c r="P191" i="7"/>
  <c r="AM191" i="7" s="1"/>
  <c r="M191" i="7"/>
  <c r="L191" i="7" s="1"/>
  <c r="G191" i="7"/>
  <c r="AL190" i="7"/>
  <c r="P190" i="7"/>
  <c r="AM190" i="7" s="1"/>
  <c r="M190" i="7"/>
  <c r="L190" i="7" s="1"/>
  <c r="G190" i="7"/>
  <c r="AL189" i="7"/>
  <c r="P189" i="7"/>
  <c r="AM189" i="7" s="1"/>
  <c r="M189" i="7"/>
  <c r="AN189" i="7" s="1"/>
  <c r="G189" i="7"/>
  <c r="L189" i="7" s="1"/>
  <c r="AL188" i="7"/>
  <c r="P188" i="7"/>
  <c r="AM188" i="7" s="1"/>
  <c r="AN188" i="7" s="1"/>
  <c r="M188" i="7"/>
  <c r="G188" i="7"/>
  <c r="L188" i="7" s="1"/>
  <c r="AM187" i="7"/>
  <c r="AN187" i="7" s="1"/>
  <c r="AL187" i="7"/>
  <c r="P187" i="7"/>
  <c r="M187" i="7"/>
  <c r="G187" i="7"/>
  <c r="L187" i="7" s="1"/>
  <c r="AL186" i="7"/>
  <c r="AM186" i="7" s="1"/>
  <c r="AN186" i="7" s="1"/>
  <c r="P186" i="7"/>
  <c r="M186" i="7"/>
  <c r="G186" i="7"/>
  <c r="L186" i="7" s="1"/>
  <c r="AL185" i="7"/>
  <c r="P185" i="7"/>
  <c r="AM185" i="7" s="1"/>
  <c r="AN185" i="7" s="1"/>
  <c r="M185" i="7"/>
  <c r="G185" i="7"/>
  <c r="L185" i="7" s="1"/>
  <c r="AL184" i="7"/>
  <c r="P184" i="7"/>
  <c r="AM184" i="7" s="1"/>
  <c r="M184" i="7"/>
  <c r="L184" i="7" s="1"/>
  <c r="G184" i="7"/>
  <c r="AL183" i="7"/>
  <c r="P183" i="7"/>
  <c r="AM183" i="7" s="1"/>
  <c r="M183" i="7"/>
  <c r="AN183" i="7" s="1"/>
  <c r="L183" i="7"/>
  <c r="AL182" i="7"/>
  <c r="P182" i="7"/>
  <c r="AM182" i="7" s="1"/>
  <c r="M182" i="7"/>
  <c r="AN182" i="7" s="1"/>
  <c r="G182" i="7"/>
  <c r="L182" i="7" s="1"/>
  <c r="AL181" i="7"/>
  <c r="P181" i="7"/>
  <c r="AM181" i="7" s="1"/>
  <c r="AN181" i="7" s="1"/>
  <c r="M181" i="7"/>
  <c r="L181" i="7"/>
  <c r="AL180" i="7"/>
  <c r="AM180" i="7" s="1"/>
  <c r="AN180" i="7" s="1"/>
  <c r="P180" i="7"/>
  <c r="M180" i="7"/>
  <c r="L180" i="7"/>
  <c r="AL179" i="7"/>
  <c r="P179" i="7"/>
  <c r="AM179" i="7" s="1"/>
  <c r="M179" i="7"/>
  <c r="L179" i="7" s="1"/>
  <c r="G179" i="7"/>
  <c r="AL178" i="7"/>
  <c r="P178" i="7"/>
  <c r="AM178" i="7" s="1"/>
  <c r="M178" i="7"/>
  <c r="AN178" i="7" s="1"/>
  <c r="L178" i="7"/>
  <c r="G178" i="7"/>
  <c r="L196" i="7" l="1"/>
  <c r="AN191" i="7"/>
  <c r="AN190" i="7"/>
  <c r="AN197" i="7"/>
  <c r="AN179" i="7"/>
  <c r="AN184" i="7"/>
  <c r="N159" i="5" l="1"/>
  <c r="P159" i="5" s="1"/>
  <c r="K159" i="5"/>
  <c r="M159" i="5" s="1"/>
  <c r="G159" i="5"/>
  <c r="J159" i="5" s="1"/>
  <c r="Q159" i="5" s="1"/>
  <c r="S159" i="5" s="1"/>
  <c r="C159" i="5"/>
  <c r="F159" i="5" s="1"/>
  <c r="N158" i="5"/>
  <c r="P158" i="5" s="1"/>
  <c r="K158" i="5"/>
  <c r="M158" i="5" s="1"/>
  <c r="G158" i="5"/>
  <c r="J158" i="5" s="1"/>
  <c r="F158" i="5"/>
  <c r="C158" i="5"/>
  <c r="N157" i="5"/>
  <c r="P157" i="5" s="1"/>
  <c r="K157" i="5"/>
  <c r="M157" i="5" s="1"/>
  <c r="G157" i="5"/>
  <c r="J157" i="5" s="1"/>
  <c r="C157" i="5"/>
  <c r="F157" i="5" s="1"/>
  <c r="N156" i="5"/>
  <c r="P156" i="5" s="1"/>
  <c r="K156" i="5"/>
  <c r="M156" i="5" s="1"/>
  <c r="G156" i="5"/>
  <c r="J156" i="5" s="1"/>
  <c r="C156" i="5"/>
  <c r="F156" i="5" s="1"/>
  <c r="N155" i="5"/>
  <c r="P155" i="5" s="1"/>
  <c r="K155" i="5"/>
  <c r="M155" i="5" s="1"/>
  <c r="G155" i="5"/>
  <c r="J155" i="5" s="1"/>
  <c r="C155" i="5"/>
  <c r="F155" i="5" s="1"/>
  <c r="N154" i="5"/>
  <c r="P154" i="5" s="1"/>
  <c r="K154" i="5"/>
  <c r="M154" i="5" s="1"/>
  <c r="G154" i="5"/>
  <c r="J154" i="5" s="1"/>
  <c r="C154" i="5"/>
  <c r="F154" i="5" s="1"/>
  <c r="N153" i="5"/>
  <c r="P153" i="5" s="1"/>
  <c r="K153" i="5"/>
  <c r="M153" i="5" s="1"/>
  <c r="G153" i="5"/>
  <c r="J153" i="5" s="1"/>
  <c r="C153" i="5"/>
  <c r="F153" i="5" s="1"/>
  <c r="N152" i="5"/>
  <c r="P152" i="5" s="1"/>
  <c r="K152" i="5"/>
  <c r="M152" i="5" s="1"/>
  <c r="G152" i="5"/>
  <c r="J152" i="5" s="1"/>
  <c r="C152" i="5"/>
  <c r="F152" i="5" s="1"/>
  <c r="N151" i="5"/>
  <c r="P151" i="5" s="1"/>
  <c r="K151" i="5"/>
  <c r="M151" i="5" s="1"/>
  <c r="G151" i="5"/>
  <c r="J151" i="5" s="1"/>
  <c r="C151" i="5"/>
  <c r="F151" i="5" s="1"/>
  <c r="N150" i="5"/>
  <c r="P150" i="5" s="1"/>
  <c r="K150" i="5"/>
  <c r="M150" i="5" s="1"/>
  <c r="G150" i="5"/>
  <c r="J150" i="5" s="1"/>
  <c r="C150" i="5"/>
  <c r="F150" i="5" s="1"/>
  <c r="N149" i="5"/>
  <c r="P149" i="5" s="1"/>
  <c r="K149" i="5"/>
  <c r="M149" i="5" s="1"/>
  <c r="G149" i="5"/>
  <c r="J149" i="5" s="1"/>
  <c r="C149" i="5"/>
  <c r="F149" i="5" s="1"/>
  <c r="N148" i="5"/>
  <c r="P148" i="5" s="1"/>
  <c r="K148" i="5"/>
  <c r="M148" i="5" s="1"/>
  <c r="G148" i="5"/>
  <c r="J148" i="5" s="1"/>
  <c r="C148" i="5"/>
  <c r="F148" i="5" s="1"/>
  <c r="N171" i="5"/>
  <c r="P171" i="5" s="1"/>
  <c r="K171" i="5"/>
  <c r="M171" i="5" s="1"/>
  <c r="G171" i="5"/>
  <c r="J171" i="5" s="1"/>
  <c r="C171" i="5"/>
  <c r="F171" i="5" s="1"/>
  <c r="N170" i="5"/>
  <c r="P170" i="5" s="1"/>
  <c r="K170" i="5"/>
  <c r="M170" i="5" s="1"/>
  <c r="G170" i="5"/>
  <c r="J170" i="5" s="1"/>
  <c r="C170" i="5"/>
  <c r="F170" i="5" s="1"/>
  <c r="N169" i="5"/>
  <c r="P169" i="5" s="1"/>
  <c r="K169" i="5"/>
  <c r="M169" i="5" s="1"/>
  <c r="G169" i="5"/>
  <c r="J169" i="5" s="1"/>
  <c r="F169" i="5"/>
  <c r="C169" i="5"/>
  <c r="N168" i="5"/>
  <c r="P168" i="5" s="1"/>
  <c r="K168" i="5"/>
  <c r="M168" i="5" s="1"/>
  <c r="G168" i="5"/>
  <c r="J168" i="5" s="1"/>
  <c r="C168" i="5"/>
  <c r="F168" i="5" s="1"/>
  <c r="N167" i="5"/>
  <c r="P167" i="5" s="1"/>
  <c r="K167" i="5"/>
  <c r="M167" i="5" s="1"/>
  <c r="G167" i="5"/>
  <c r="J167" i="5" s="1"/>
  <c r="C167" i="5"/>
  <c r="F167" i="5" s="1"/>
  <c r="N166" i="5"/>
  <c r="P166" i="5" s="1"/>
  <c r="K166" i="5"/>
  <c r="M166" i="5" s="1"/>
  <c r="G166" i="5"/>
  <c r="J166" i="5" s="1"/>
  <c r="C166" i="5"/>
  <c r="F166" i="5" s="1"/>
  <c r="N165" i="5"/>
  <c r="P165" i="5" s="1"/>
  <c r="K165" i="5"/>
  <c r="M165" i="5" s="1"/>
  <c r="G165" i="5"/>
  <c r="J165" i="5" s="1"/>
  <c r="C165" i="5"/>
  <c r="F165" i="5" s="1"/>
  <c r="N164" i="5"/>
  <c r="P164" i="5" s="1"/>
  <c r="K164" i="5"/>
  <c r="M164" i="5" s="1"/>
  <c r="G164" i="5"/>
  <c r="J164" i="5" s="1"/>
  <c r="C164" i="5"/>
  <c r="F164" i="5" s="1"/>
  <c r="N163" i="5"/>
  <c r="P163" i="5" s="1"/>
  <c r="K163" i="5"/>
  <c r="M163" i="5" s="1"/>
  <c r="G163" i="5"/>
  <c r="J163" i="5" s="1"/>
  <c r="C163" i="5"/>
  <c r="F163" i="5" s="1"/>
  <c r="N162" i="5"/>
  <c r="P162" i="5" s="1"/>
  <c r="K162" i="5"/>
  <c r="M162" i="5" s="1"/>
  <c r="G162" i="5"/>
  <c r="J162" i="5" s="1"/>
  <c r="C162" i="5"/>
  <c r="F162" i="5" s="1"/>
  <c r="N161" i="5"/>
  <c r="P161" i="5" s="1"/>
  <c r="K161" i="5"/>
  <c r="M161" i="5" s="1"/>
  <c r="G161" i="5"/>
  <c r="J161" i="5" s="1"/>
  <c r="C161" i="5"/>
  <c r="F161" i="5" s="1"/>
  <c r="N160" i="5"/>
  <c r="P160" i="5" s="1"/>
  <c r="K160" i="5"/>
  <c r="M160" i="5" s="1"/>
  <c r="J160" i="5"/>
  <c r="G160" i="5"/>
  <c r="C160" i="5"/>
  <c r="F160" i="5" s="1"/>
  <c r="N183" i="5"/>
  <c r="P183" i="5" s="1"/>
  <c r="K183" i="5"/>
  <c r="M183" i="5" s="1"/>
  <c r="G183" i="5"/>
  <c r="J183" i="5" s="1"/>
  <c r="C183" i="5"/>
  <c r="F183" i="5" s="1"/>
  <c r="N182" i="5"/>
  <c r="P182" i="5" s="1"/>
  <c r="K182" i="5"/>
  <c r="M182" i="5" s="1"/>
  <c r="G182" i="5"/>
  <c r="J182" i="5" s="1"/>
  <c r="C182" i="5"/>
  <c r="F182" i="5" s="1"/>
  <c r="N181" i="5"/>
  <c r="P181" i="5" s="1"/>
  <c r="K181" i="5"/>
  <c r="M181" i="5" s="1"/>
  <c r="G181" i="5"/>
  <c r="J181" i="5" s="1"/>
  <c r="F181" i="5"/>
  <c r="C181" i="5"/>
  <c r="N180" i="5"/>
  <c r="P180" i="5" s="1"/>
  <c r="K180" i="5"/>
  <c r="M180" i="5" s="1"/>
  <c r="G180" i="5"/>
  <c r="J180" i="5" s="1"/>
  <c r="F180" i="5"/>
  <c r="C180" i="5"/>
  <c r="P179" i="5"/>
  <c r="N179" i="5"/>
  <c r="K179" i="5"/>
  <c r="M179" i="5" s="1"/>
  <c r="G179" i="5"/>
  <c r="J179" i="5" s="1"/>
  <c r="C179" i="5"/>
  <c r="F179" i="5" s="1"/>
  <c r="P178" i="5"/>
  <c r="N178" i="5"/>
  <c r="K178" i="5"/>
  <c r="M178" i="5" s="1"/>
  <c r="G178" i="5"/>
  <c r="J178" i="5" s="1"/>
  <c r="C178" i="5"/>
  <c r="F178" i="5" s="1"/>
  <c r="N177" i="5"/>
  <c r="P177" i="5" s="1"/>
  <c r="K177" i="5"/>
  <c r="M177" i="5" s="1"/>
  <c r="G177" i="5"/>
  <c r="J177" i="5" s="1"/>
  <c r="C177" i="5"/>
  <c r="F177" i="5" s="1"/>
  <c r="N176" i="5"/>
  <c r="P176" i="5" s="1"/>
  <c r="K176" i="5"/>
  <c r="M176" i="5" s="1"/>
  <c r="G176" i="5"/>
  <c r="J176" i="5" s="1"/>
  <c r="C176" i="5"/>
  <c r="F176" i="5" s="1"/>
  <c r="P175" i="5"/>
  <c r="N175" i="5"/>
  <c r="K175" i="5"/>
  <c r="M175" i="5" s="1"/>
  <c r="G175" i="5"/>
  <c r="J175" i="5" s="1"/>
  <c r="C175" i="5"/>
  <c r="F175" i="5" s="1"/>
  <c r="P174" i="5"/>
  <c r="N174" i="5"/>
  <c r="K174" i="5"/>
  <c r="M174" i="5" s="1"/>
  <c r="G174" i="5"/>
  <c r="J174" i="5" s="1"/>
  <c r="C174" i="5"/>
  <c r="F174" i="5" s="1"/>
  <c r="N173" i="5"/>
  <c r="P173" i="5" s="1"/>
  <c r="K173" i="5"/>
  <c r="M173" i="5" s="1"/>
  <c r="G173" i="5"/>
  <c r="J173" i="5" s="1"/>
  <c r="C173" i="5"/>
  <c r="F173" i="5" s="1"/>
  <c r="N172" i="5"/>
  <c r="P172" i="5" s="1"/>
  <c r="K172" i="5"/>
  <c r="M172" i="5" s="1"/>
  <c r="G172" i="5"/>
  <c r="J172" i="5" s="1"/>
  <c r="C172" i="5"/>
  <c r="F172" i="5" s="1"/>
  <c r="H54" i="51"/>
  <c r="J54" i="51" s="1"/>
  <c r="K54" i="51" s="1"/>
  <c r="H53" i="51"/>
  <c r="J53" i="51" s="1"/>
  <c r="K53" i="51" s="1"/>
  <c r="H52" i="51"/>
  <c r="J52" i="51" s="1"/>
  <c r="K52" i="51" s="1"/>
  <c r="H51" i="51"/>
  <c r="J51" i="51" s="1"/>
  <c r="K51" i="51" s="1"/>
  <c r="H50" i="51"/>
  <c r="J50" i="51" s="1"/>
  <c r="K50" i="51" s="1"/>
  <c r="H49" i="51"/>
  <c r="J49" i="51" s="1"/>
  <c r="K49" i="51" s="1"/>
  <c r="H48" i="51"/>
  <c r="J48" i="51" s="1"/>
  <c r="K48" i="51" s="1"/>
  <c r="H47" i="51"/>
  <c r="J47" i="51" s="1"/>
  <c r="K47" i="51" s="1"/>
  <c r="H46" i="51"/>
  <c r="J46" i="51" s="1"/>
  <c r="K46" i="51" s="1"/>
  <c r="H45" i="51"/>
  <c r="J45" i="51" s="1"/>
  <c r="K45" i="51" s="1"/>
  <c r="J44" i="51"/>
  <c r="K44" i="51" s="1"/>
  <c r="H44" i="51"/>
  <c r="C44" i="51"/>
  <c r="I43" i="51"/>
  <c r="H43" i="51"/>
  <c r="J43" i="51" s="1"/>
  <c r="C43" i="51"/>
  <c r="H90" i="51"/>
  <c r="J90" i="51" s="1"/>
  <c r="K90" i="51" s="1"/>
  <c r="I89" i="51"/>
  <c r="H89" i="51"/>
  <c r="I88" i="51"/>
  <c r="H88" i="51"/>
  <c r="J88" i="51" s="1"/>
  <c r="K88" i="51" s="1"/>
  <c r="H87" i="51"/>
  <c r="J87" i="51" s="1"/>
  <c r="K87" i="51" s="1"/>
  <c r="J86" i="51"/>
  <c r="K86" i="51" s="1"/>
  <c r="H86" i="51"/>
  <c r="H85" i="51"/>
  <c r="J85" i="51" s="1"/>
  <c r="K85" i="51" s="1"/>
  <c r="H84" i="51"/>
  <c r="J84" i="51" s="1"/>
  <c r="K84" i="51" s="1"/>
  <c r="H83" i="51"/>
  <c r="J83" i="51" s="1"/>
  <c r="K83" i="51" s="1"/>
  <c r="H82" i="51"/>
  <c r="J82" i="51" s="1"/>
  <c r="K82" i="51" s="1"/>
  <c r="H81" i="51"/>
  <c r="J81" i="51" s="1"/>
  <c r="K81" i="51" s="1"/>
  <c r="H80" i="51"/>
  <c r="J80" i="51" s="1"/>
  <c r="K80" i="51" s="1"/>
  <c r="H79" i="51"/>
  <c r="J79" i="51" s="1"/>
  <c r="K79" i="51" s="1"/>
  <c r="H78" i="51"/>
  <c r="J78" i="51" s="1"/>
  <c r="K78" i="51" s="1"/>
  <c r="H77" i="51"/>
  <c r="J77" i="51" s="1"/>
  <c r="K77" i="51" s="1"/>
  <c r="H76" i="51"/>
  <c r="J76" i="51" s="1"/>
  <c r="K76" i="51" s="1"/>
  <c r="J75" i="51"/>
  <c r="K75" i="51" s="1"/>
  <c r="H75" i="51"/>
  <c r="H74" i="51"/>
  <c r="J74" i="51" s="1"/>
  <c r="K74" i="51" s="1"/>
  <c r="H73" i="51"/>
  <c r="J73" i="51" s="1"/>
  <c r="K73" i="51" s="1"/>
  <c r="H72" i="51"/>
  <c r="J72" i="51" s="1"/>
  <c r="K72" i="51" s="1"/>
  <c r="H71" i="51"/>
  <c r="J71" i="51" s="1"/>
  <c r="K71" i="51" s="1"/>
  <c r="H70" i="51"/>
  <c r="J70" i="51" s="1"/>
  <c r="K70" i="51" s="1"/>
  <c r="H69" i="51"/>
  <c r="J69" i="51" s="1"/>
  <c r="K69" i="51" s="1"/>
  <c r="J68" i="51"/>
  <c r="K68" i="51" s="1"/>
  <c r="H68" i="51"/>
  <c r="H67" i="51"/>
  <c r="J67" i="51" s="1"/>
  <c r="K67" i="51" s="1"/>
  <c r="I66" i="51"/>
  <c r="H66" i="51"/>
  <c r="J66" i="51" s="1"/>
  <c r="K66" i="51" s="1"/>
  <c r="I65" i="51"/>
  <c r="H65" i="51"/>
  <c r="I64" i="51"/>
  <c r="H64" i="51"/>
  <c r="I63" i="51"/>
  <c r="H63" i="51"/>
  <c r="J63" i="51" s="1"/>
  <c r="K63" i="51" s="1"/>
  <c r="I62" i="51"/>
  <c r="H62" i="51"/>
  <c r="J62" i="51" s="1"/>
  <c r="K62" i="51" s="1"/>
  <c r="I61" i="51"/>
  <c r="H61" i="51"/>
  <c r="I60" i="51"/>
  <c r="H60" i="51"/>
  <c r="I59" i="51"/>
  <c r="H59" i="51"/>
  <c r="J59" i="51" s="1"/>
  <c r="K59" i="51" s="1"/>
  <c r="I58" i="51"/>
  <c r="H58" i="51"/>
  <c r="J58" i="51" s="1"/>
  <c r="K58" i="51" s="1"/>
  <c r="I57" i="51"/>
  <c r="H57" i="51"/>
  <c r="J57" i="51" s="1"/>
  <c r="K57" i="51" s="1"/>
  <c r="I56" i="51"/>
  <c r="H56" i="51"/>
  <c r="J56" i="51" s="1"/>
  <c r="K56" i="51" s="1"/>
  <c r="I55" i="51"/>
  <c r="H55" i="51"/>
  <c r="J55" i="51" s="1"/>
  <c r="K55" i="51" s="1"/>
  <c r="H114" i="51"/>
  <c r="J114" i="51" s="1"/>
  <c r="K114" i="51" s="1"/>
  <c r="H113" i="51"/>
  <c r="J113" i="51" s="1"/>
  <c r="K113" i="51" s="1"/>
  <c r="H112" i="51"/>
  <c r="J112" i="51" s="1"/>
  <c r="K112" i="51" s="1"/>
  <c r="J111" i="51"/>
  <c r="K111" i="51" s="1"/>
  <c r="H111" i="51"/>
  <c r="K110" i="51"/>
  <c r="H110" i="51"/>
  <c r="K109" i="51"/>
  <c r="H109" i="51"/>
  <c r="H108" i="51"/>
  <c r="J108" i="51" s="1"/>
  <c r="K108" i="51" s="1"/>
  <c r="H107" i="51"/>
  <c r="J107" i="51" s="1"/>
  <c r="K107" i="51" s="1"/>
  <c r="H106" i="51"/>
  <c r="J106" i="51" s="1"/>
  <c r="K106" i="51" s="1"/>
  <c r="H105" i="51"/>
  <c r="J105" i="51" s="1"/>
  <c r="K105" i="51" s="1"/>
  <c r="H104" i="51"/>
  <c r="J104" i="51" s="1"/>
  <c r="K104" i="51" s="1"/>
  <c r="H103" i="51"/>
  <c r="J103" i="51" s="1"/>
  <c r="K103" i="51" s="1"/>
  <c r="H102" i="51"/>
  <c r="J102" i="51" s="1"/>
  <c r="K102" i="51" s="1"/>
  <c r="H101" i="51"/>
  <c r="J101" i="51" s="1"/>
  <c r="K101" i="51" s="1"/>
  <c r="H100" i="51"/>
  <c r="J100" i="51" s="1"/>
  <c r="K100" i="51" s="1"/>
  <c r="I99" i="51"/>
  <c r="H99" i="51"/>
  <c r="H98" i="51"/>
  <c r="J98" i="51" s="1"/>
  <c r="K98" i="51" s="1"/>
  <c r="H97" i="51"/>
  <c r="J97" i="51" s="1"/>
  <c r="K97" i="51" s="1"/>
  <c r="I96" i="51"/>
  <c r="H96" i="51"/>
  <c r="J96" i="51" s="1"/>
  <c r="K96" i="51" s="1"/>
  <c r="H95" i="51"/>
  <c r="J95" i="51" s="1"/>
  <c r="K95" i="51" s="1"/>
  <c r="H94" i="51"/>
  <c r="J94" i="51" s="1"/>
  <c r="K94" i="51" s="1"/>
  <c r="H93" i="51"/>
  <c r="J93" i="51" s="1"/>
  <c r="K93" i="51" s="1"/>
  <c r="I92" i="51"/>
  <c r="H92" i="51"/>
  <c r="J92" i="51" s="1"/>
  <c r="K92" i="51" s="1"/>
  <c r="H91" i="51"/>
  <c r="J91" i="51" s="1"/>
  <c r="K91" i="51" s="1"/>
  <c r="H126" i="51"/>
  <c r="J126" i="51" s="1"/>
  <c r="K126" i="51" s="1"/>
  <c r="H125" i="51"/>
  <c r="J125" i="51" s="1"/>
  <c r="K125" i="51" s="1"/>
  <c r="H124" i="51"/>
  <c r="J124" i="51" s="1"/>
  <c r="K124" i="51" s="1"/>
  <c r="H123" i="51"/>
  <c r="J123" i="51" s="1"/>
  <c r="K123" i="51" s="1"/>
  <c r="H122" i="51"/>
  <c r="J122" i="51" s="1"/>
  <c r="K122" i="51" s="1"/>
  <c r="H121" i="51"/>
  <c r="J121" i="51" s="1"/>
  <c r="K121" i="51" s="1"/>
  <c r="H120" i="51"/>
  <c r="J120" i="51" s="1"/>
  <c r="K120" i="51" s="1"/>
  <c r="H119" i="51"/>
  <c r="J119" i="51" s="1"/>
  <c r="K119" i="51" s="1"/>
  <c r="H118" i="51"/>
  <c r="J118" i="51" s="1"/>
  <c r="K118" i="51" s="1"/>
  <c r="H117" i="51"/>
  <c r="J117" i="51" s="1"/>
  <c r="K117" i="51" s="1"/>
  <c r="H116" i="51"/>
  <c r="J116" i="51" s="1"/>
  <c r="K116" i="51" s="1"/>
  <c r="H115" i="51"/>
  <c r="J115" i="51" s="1"/>
  <c r="K115" i="51" s="1"/>
  <c r="H150" i="51"/>
  <c r="J150" i="51" s="1"/>
  <c r="K150" i="51" s="1"/>
  <c r="H149" i="51"/>
  <c r="J149" i="51" s="1"/>
  <c r="K149" i="51" s="1"/>
  <c r="H148" i="51"/>
  <c r="J148" i="51" s="1"/>
  <c r="K148" i="51" s="1"/>
  <c r="H147" i="51"/>
  <c r="J147" i="51" s="1"/>
  <c r="K147" i="51" s="1"/>
  <c r="H146" i="51"/>
  <c r="J146" i="51" s="1"/>
  <c r="K146" i="51" s="1"/>
  <c r="H145" i="51"/>
  <c r="J145" i="51" s="1"/>
  <c r="K145" i="51" s="1"/>
  <c r="H144" i="51"/>
  <c r="J144" i="51" s="1"/>
  <c r="K144" i="51" s="1"/>
  <c r="H143" i="51"/>
  <c r="J143" i="51" s="1"/>
  <c r="K143" i="51" s="1"/>
  <c r="H142" i="51"/>
  <c r="J142" i="51" s="1"/>
  <c r="K142" i="51" s="1"/>
  <c r="H141" i="51"/>
  <c r="J141" i="51" s="1"/>
  <c r="K141" i="51" s="1"/>
  <c r="H140" i="51"/>
  <c r="J140" i="51" s="1"/>
  <c r="K140" i="51" s="1"/>
  <c r="H139" i="51"/>
  <c r="J139" i="51" s="1"/>
  <c r="K139" i="51" s="1"/>
  <c r="H138" i="51"/>
  <c r="J138" i="51" s="1"/>
  <c r="K138" i="51" s="1"/>
  <c r="J137" i="51"/>
  <c r="K137" i="51" s="1"/>
  <c r="H137" i="51"/>
  <c r="H136" i="51"/>
  <c r="J136" i="51" s="1"/>
  <c r="K136" i="51" s="1"/>
  <c r="H135" i="51"/>
  <c r="J135" i="51" s="1"/>
  <c r="K135" i="51" s="1"/>
  <c r="H134" i="51"/>
  <c r="J134" i="51" s="1"/>
  <c r="K134" i="51" s="1"/>
  <c r="J133" i="51"/>
  <c r="K133" i="51" s="1"/>
  <c r="H133" i="51"/>
  <c r="H132" i="51"/>
  <c r="J132" i="51" s="1"/>
  <c r="K132" i="51" s="1"/>
  <c r="H131" i="51"/>
  <c r="J131" i="51" s="1"/>
  <c r="K131" i="51" s="1"/>
  <c r="H130" i="51"/>
  <c r="J130" i="51" s="1"/>
  <c r="K130" i="51" s="1"/>
  <c r="H129" i="51"/>
  <c r="J129" i="51" s="1"/>
  <c r="K129" i="51" s="1"/>
  <c r="H128" i="51"/>
  <c r="J128" i="51" s="1"/>
  <c r="K128" i="51" s="1"/>
  <c r="H127" i="51"/>
  <c r="J127" i="51" s="1"/>
  <c r="K127" i="51" s="1"/>
  <c r="H162" i="51"/>
  <c r="J162" i="51" s="1"/>
  <c r="K162" i="51" s="1"/>
  <c r="H161" i="51"/>
  <c r="J161" i="51" s="1"/>
  <c r="K161" i="51" s="1"/>
  <c r="H160" i="51"/>
  <c r="J160" i="51" s="1"/>
  <c r="K160" i="51" s="1"/>
  <c r="H159" i="51"/>
  <c r="J159" i="51" s="1"/>
  <c r="K159" i="51" s="1"/>
  <c r="H158" i="51"/>
  <c r="J158" i="51" s="1"/>
  <c r="K158" i="51" s="1"/>
  <c r="H157" i="51"/>
  <c r="J157" i="51" s="1"/>
  <c r="K157" i="51" s="1"/>
  <c r="H156" i="51"/>
  <c r="J156" i="51" s="1"/>
  <c r="K156" i="51" s="1"/>
  <c r="H155" i="51"/>
  <c r="J155" i="51" s="1"/>
  <c r="K155" i="51" s="1"/>
  <c r="H154" i="51"/>
  <c r="J154" i="51" s="1"/>
  <c r="K154" i="51" s="1"/>
  <c r="H153" i="51"/>
  <c r="J153" i="51" s="1"/>
  <c r="K153" i="51" s="1"/>
  <c r="H152" i="51"/>
  <c r="J152" i="51" s="1"/>
  <c r="K152" i="51" s="1"/>
  <c r="H151" i="51"/>
  <c r="J151" i="51" s="1"/>
  <c r="K151" i="51" s="1"/>
  <c r="H186" i="51"/>
  <c r="J186" i="51" s="1"/>
  <c r="K186" i="51" s="1"/>
  <c r="H185" i="51"/>
  <c r="J185" i="51" s="1"/>
  <c r="K185" i="51" s="1"/>
  <c r="H184" i="51"/>
  <c r="J184" i="51" s="1"/>
  <c r="K184" i="51" s="1"/>
  <c r="H183" i="51"/>
  <c r="J183" i="51" s="1"/>
  <c r="K183" i="51" s="1"/>
  <c r="H182" i="51"/>
  <c r="J182" i="51" s="1"/>
  <c r="K182" i="51" s="1"/>
  <c r="H181" i="51"/>
  <c r="J181" i="51" s="1"/>
  <c r="K181" i="51" s="1"/>
  <c r="H180" i="51"/>
  <c r="J180" i="51" s="1"/>
  <c r="K180" i="51" s="1"/>
  <c r="H179" i="51"/>
  <c r="J179" i="51" s="1"/>
  <c r="K179" i="51" s="1"/>
  <c r="H178" i="51"/>
  <c r="J178" i="51" s="1"/>
  <c r="K178" i="51" s="1"/>
  <c r="H177" i="51"/>
  <c r="J177" i="51" s="1"/>
  <c r="K177" i="51" s="1"/>
  <c r="H176" i="51"/>
  <c r="J176" i="51" s="1"/>
  <c r="K176" i="51" s="1"/>
  <c r="H175" i="51"/>
  <c r="J175" i="51" s="1"/>
  <c r="K175" i="51" s="1"/>
  <c r="H174" i="51"/>
  <c r="J174" i="51" s="1"/>
  <c r="K174" i="51" s="1"/>
  <c r="H173" i="51"/>
  <c r="J173" i="51" s="1"/>
  <c r="K173" i="51" s="1"/>
  <c r="H172" i="51"/>
  <c r="J172" i="51" s="1"/>
  <c r="K172" i="51" s="1"/>
  <c r="H171" i="51"/>
  <c r="J171" i="51" s="1"/>
  <c r="K171" i="51" s="1"/>
  <c r="H170" i="51"/>
  <c r="J170" i="51" s="1"/>
  <c r="K170" i="51" s="1"/>
  <c r="H169" i="51"/>
  <c r="J169" i="51" s="1"/>
  <c r="K169" i="51" s="1"/>
  <c r="H168" i="51"/>
  <c r="J168" i="51" s="1"/>
  <c r="K168" i="51" s="1"/>
  <c r="H167" i="51"/>
  <c r="J167" i="51" s="1"/>
  <c r="K167" i="51" s="1"/>
  <c r="H166" i="51"/>
  <c r="J166" i="51" s="1"/>
  <c r="K166" i="51" s="1"/>
  <c r="H165" i="51"/>
  <c r="J165" i="51" s="1"/>
  <c r="K165" i="51" s="1"/>
  <c r="H164" i="51"/>
  <c r="J164" i="51" s="1"/>
  <c r="K164" i="51" s="1"/>
  <c r="H163" i="51"/>
  <c r="J163" i="51" s="1"/>
  <c r="K163" i="51" s="1"/>
  <c r="Q157" i="5" l="1"/>
  <c r="S157" i="5" s="1"/>
  <c r="Q183" i="5"/>
  <c r="S183" i="5" s="1"/>
  <c r="Q182" i="5"/>
  <c r="S182" i="5" s="1"/>
  <c r="Q175" i="5"/>
  <c r="S175" i="5" s="1"/>
  <c r="Q174" i="5"/>
  <c r="S174" i="5" s="1"/>
  <c r="Q179" i="5"/>
  <c r="S179" i="5" s="1"/>
  <c r="T179" i="5" s="1"/>
  <c r="Q177" i="5"/>
  <c r="S177" i="5" s="1"/>
  <c r="T177" i="5" s="1"/>
  <c r="T157" i="5"/>
  <c r="Q153" i="5"/>
  <c r="S153" i="5" s="1"/>
  <c r="T153" i="5"/>
  <c r="Q150" i="5"/>
  <c r="S150" i="5" s="1"/>
  <c r="T150" i="5" s="1"/>
  <c r="Q172" i="5"/>
  <c r="S172" i="5" s="1"/>
  <c r="T172" i="5" s="1"/>
  <c r="Q156" i="5"/>
  <c r="S156" i="5" s="1"/>
  <c r="T156" i="5" s="1"/>
  <c r="J99" i="51"/>
  <c r="K99" i="51" s="1"/>
  <c r="J61" i="51"/>
  <c r="K61" i="51" s="1"/>
  <c r="J65" i="51"/>
  <c r="K65" i="51" s="1"/>
  <c r="K43" i="51"/>
  <c r="J89" i="51"/>
  <c r="K89" i="51" s="1"/>
  <c r="J60" i="51"/>
  <c r="K60" i="51" s="1"/>
  <c r="J64" i="51"/>
  <c r="K64" i="51" s="1"/>
  <c r="Q176" i="5"/>
  <c r="S176" i="5" s="1"/>
  <c r="T176" i="5" s="1"/>
  <c r="Q181" i="5"/>
  <c r="S181" i="5" s="1"/>
  <c r="T181" i="5" s="1"/>
  <c r="Q162" i="5"/>
  <c r="S162" i="5" s="1"/>
  <c r="T162" i="5" s="1"/>
  <c r="Q164" i="5"/>
  <c r="S164" i="5" s="1"/>
  <c r="T164" i="5" s="1"/>
  <c r="Q148" i="5"/>
  <c r="S148" i="5" s="1"/>
  <c r="T148" i="5" s="1"/>
  <c r="Q180" i="5"/>
  <c r="S180" i="5" s="1"/>
  <c r="T180" i="5" s="1"/>
  <c r="Q160" i="5"/>
  <c r="S160" i="5" s="1"/>
  <c r="T160" i="5" s="1"/>
  <c r="Q168" i="5"/>
  <c r="S168" i="5" s="1"/>
  <c r="T168" i="5" s="1"/>
  <c r="Q151" i="5"/>
  <c r="S151" i="5" s="1"/>
  <c r="T151" i="5" s="1"/>
  <c r="Q154" i="5"/>
  <c r="S154" i="5" s="1"/>
  <c r="T154" i="5" s="1"/>
  <c r="Q167" i="5"/>
  <c r="S167" i="5" s="1"/>
  <c r="T167" i="5" s="1"/>
  <c r="Q166" i="5"/>
  <c r="S166" i="5" s="1"/>
  <c r="T166" i="5" s="1"/>
  <c r="Q173" i="5"/>
  <c r="S173" i="5" s="1"/>
  <c r="T173" i="5" s="1"/>
  <c r="Q178" i="5"/>
  <c r="S178" i="5" s="1"/>
  <c r="T178" i="5" s="1"/>
  <c r="Q170" i="5"/>
  <c r="S170" i="5" s="1"/>
  <c r="T170" i="5" s="1"/>
  <c r="Q165" i="5"/>
  <c r="S165" i="5" s="1"/>
  <c r="T165" i="5" s="1"/>
  <c r="Q161" i="5"/>
  <c r="S161" i="5" s="1"/>
  <c r="T161" i="5" s="1"/>
  <c r="Q169" i="5"/>
  <c r="S169" i="5" s="1"/>
  <c r="T169" i="5" s="1"/>
  <c r="Q152" i="5"/>
  <c r="S152" i="5" s="1"/>
  <c r="T152" i="5" s="1"/>
  <c r="T159" i="5"/>
  <c r="Q149" i="5"/>
  <c r="S149" i="5" s="1"/>
  <c r="T149" i="5" s="1"/>
  <c r="Q155" i="5"/>
  <c r="S155" i="5" s="1"/>
  <c r="T155" i="5" s="1"/>
  <c r="Q158" i="5"/>
  <c r="S158" i="5" s="1"/>
  <c r="T158" i="5" s="1"/>
  <c r="Q163" i="5"/>
  <c r="S163" i="5" s="1"/>
  <c r="T163" i="5" s="1"/>
  <c r="Q171" i="5"/>
  <c r="S171" i="5" s="1"/>
  <c r="T171" i="5" s="1"/>
  <c r="T174" i="5"/>
  <c r="T175" i="5"/>
  <c r="T182" i="5"/>
  <c r="T183" i="5"/>
  <c r="G242" i="4" l="1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I61" i="4" s="1"/>
  <c r="G60" i="4"/>
  <c r="I60" i="4" s="1"/>
  <c r="G59" i="4"/>
  <c r="I59" i="4" s="1"/>
  <c r="G58" i="4"/>
  <c r="G57" i="4"/>
  <c r="G56" i="4"/>
  <c r="G55" i="4"/>
  <c r="G54" i="4"/>
  <c r="G53" i="4"/>
  <c r="I53" i="4" s="1"/>
  <c r="G52" i="4"/>
  <c r="I52" i="4" s="1"/>
  <c r="G51" i="4"/>
  <c r="I51" i="4" s="1"/>
  <c r="G50" i="4"/>
  <c r="G49" i="4"/>
  <c r="G48" i="4"/>
  <c r="G47" i="4"/>
  <c r="G46" i="4"/>
  <c r="G45" i="4"/>
  <c r="I45" i="4" s="1"/>
  <c r="G44" i="4"/>
  <c r="I44" i="4" s="1"/>
  <c r="G43" i="4"/>
  <c r="I43" i="4" s="1"/>
  <c r="G39" i="4"/>
  <c r="G38" i="4"/>
  <c r="G37" i="4"/>
  <c r="I37" i="4" s="1"/>
  <c r="G36" i="4"/>
  <c r="G35" i="4"/>
  <c r="G34" i="4"/>
  <c r="I34" i="4" s="1"/>
  <c r="I33" i="4"/>
  <c r="I32" i="4"/>
  <c r="I29" i="4"/>
  <c r="I39" i="4"/>
  <c r="I38" i="4"/>
  <c r="I36" i="4"/>
  <c r="I35" i="4"/>
  <c r="I31" i="4"/>
  <c r="I30" i="4"/>
  <c r="I66" i="4"/>
  <c r="I65" i="4"/>
  <c r="I64" i="4"/>
  <c r="I63" i="4"/>
  <c r="I62" i="4"/>
  <c r="I58" i="4"/>
  <c r="I57" i="4"/>
  <c r="I56" i="4"/>
  <c r="I55" i="4"/>
  <c r="I54" i="4"/>
  <c r="I50" i="4"/>
  <c r="I49" i="4"/>
  <c r="I48" i="4"/>
  <c r="I47" i="4"/>
  <c r="I46" i="4"/>
  <c r="I78" i="4"/>
  <c r="I77" i="4"/>
  <c r="I76" i="4"/>
  <c r="I75" i="4"/>
  <c r="I74" i="4"/>
  <c r="I73" i="4"/>
  <c r="I72" i="4"/>
  <c r="I71" i="4"/>
  <c r="I70" i="4"/>
  <c r="I69" i="4"/>
  <c r="I68" i="4"/>
  <c r="I67" i="4"/>
  <c r="H90" i="4"/>
  <c r="I90" i="4" s="1"/>
  <c r="H89" i="4"/>
  <c r="I89" i="4" s="1"/>
  <c r="H88" i="4"/>
  <c r="I88" i="4" s="1"/>
  <c r="H87" i="4"/>
  <c r="I87" i="4" s="1"/>
  <c r="I86" i="4"/>
  <c r="I85" i="4"/>
  <c r="I84" i="4"/>
  <c r="I83" i="4"/>
  <c r="I82" i="4"/>
  <c r="I81" i="4"/>
  <c r="I80" i="4"/>
  <c r="I79" i="4"/>
  <c r="I102" i="4"/>
  <c r="I101" i="4"/>
  <c r="I100" i="4"/>
  <c r="I99" i="4"/>
  <c r="I98" i="4"/>
  <c r="I97" i="4"/>
  <c r="I96" i="4"/>
  <c r="H95" i="4"/>
  <c r="I95" i="4" s="1"/>
  <c r="H94" i="4"/>
  <c r="I94" i="4" s="1"/>
  <c r="H93" i="4"/>
  <c r="I93" i="4" s="1"/>
  <c r="I92" i="4"/>
  <c r="I91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26" i="4"/>
  <c r="I125" i="4"/>
  <c r="I124" i="4"/>
  <c r="H123" i="4"/>
  <c r="I123" i="4" s="1"/>
  <c r="H122" i="4"/>
  <c r="I122" i="4" s="1"/>
  <c r="I121" i="4"/>
  <c r="I120" i="4"/>
  <c r="I119" i="4"/>
  <c r="I118" i="4"/>
  <c r="I117" i="4"/>
  <c r="I116" i="4"/>
  <c r="I115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62" i="4" l="1"/>
  <c r="I161" i="4"/>
  <c r="I160" i="4"/>
  <c r="I159" i="4"/>
  <c r="I158" i="4"/>
  <c r="I157" i="4"/>
  <c r="I156" i="4"/>
  <c r="I155" i="4"/>
  <c r="I154" i="4"/>
  <c r="I153" i="4"/>
  <c r="I152" i="4"/>
  <c r="I151" i="4"/>
  <c r="H150" i="4" l="1"/>
  <c r="I150" i="4" s="1"/>
  <c r="H149" i="4"/>
  <c r="I149" i="4" s="1"/>
  <c r="H148" i="4"/>
  <c r="I148" i="4" s="1"/>
  <c r="I147" i="4"/>
  <c r="I146" i="4"/>
  <c r="I145" i="4"/>
  <c r="I144" i="4"/>
  <c r="I143" i="4"/>
  <c r="I142" i="4"/>
  <c r="I141" i="4"/>
  <c r="I140" i="4"/>
  <c r="I139" i="4"/>
  <c r="I174" i="4" l="1"/>
  <c r="I173" i="4"/>
  <c r="I172" i="4"/>
  <c r="I171" i="4"/>
  <c r="I170" i="4"/>
  <c r="I169" i="4"/>
  <c r="I168" i="4"/>
  <c r="I167" i="4"/>
  <c r="I166" i="4"/>
  <c r="I165" i="4"/>
  <c r="I164" i="4"/>
  <c r="I163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L83" i="2" l="1"/>
  <c r="K106" i="2"/>
  <c r="K105" i="2"/>
  <c r="K104" i="2"/>
  <c r="K103" i="2"/>
  <c r="K102" i="2"/>
  <c r="K101" i="2"/>
  <c r="K100" i="2"/>
  <c r="K99" i="2"/>
  <c r="K98" i="2"/>
  <c r="K97" i="2"/>
  <c r="K96" i="2"/>
  <c r="K95" i="2"/>
  <c r="L50" i="3" l="1"/>
  <c r="K50" i="3"/>
  <c r="H50" i="3"/>
  <c r="M50" i="3" s="1"/>
  <c r="O50" i="3" s="1"/>
  <c r="P50" i="3" s="1"/>
  <c r="E50" i="3"/>
  <c r="L49" i="3"/>
  <c r="K49" i="3"/>
  <c r="H49" i="3"/>
  <c r="E49" i="3"/>
  <c r="L48" i="3"/>
  <c r="K48" i="3"/>
  <c r="H48" i="3"/>
  <c r="M48" i="3" s="1"/>
  <c r="O48" i="3" s="1"/>
  <c r="E48" i="3"/>
  <c r="L47" i="3"/>
  <c r="K47" i="3"/>
  <c r="H47" i="3"/>
  <c r="M47" i="3" s="1"/>
  <c r="O47" i="3" s="1"/>
  <c r="E47" i="3"/>
  <c r="L46" i="3"/>
  <c r="K46" i="3"/>
  <c r="M46" i="3" s="1"/>
  <c r="O46" i="3" s="1"/>
  <c r="H46" i="3"/>
  <c r="E46" i="3"/>
  <c r="L45" i="3"/>
  <c r="K45" i="3"/>
  <c r="H45" i="3"/>
  <c r="M45" i="3" s="1"/>
  <c r="O45" i="3" s="1"/>
  <c r="P45" i="3" s="1"/>
  <c r="E45" i="3"/>
  <c r="L44" i="3"/>
  <c r="I44" i="3"/>
  <c r="K44" i="3" s="1"/>
  <c r="H44" i="3"/>
  <c r="E44" i="3"/>
  <c r="L43" i="3"/>
  <c r="K43" i="3"/>
  <c r="H43" i="3"/>
  <c r="M43" i="3" s="1"/>
  <c r="O43" i="3" s="1"/>
  <c r="E43" i="3"/>
  <c r="L42" i="3"/>
  <c r="K42" i="3"/>
  <c r="H42" i="3"/>
  <c r="M42" i="3" s="1"/>
  <c r="O42" i="3" s="1"/>
  <c r="E42" i="3"/>
  <c r="L41" i="3"/>
  <c r="K41" i="3"/>
  <c r="H41" i="3"/>
  <c r="E41" i="3"/>
  <c r="L40" i="3"/>
  <c r="K40" i="3"/>
  <c r="H40" i="3"/>
  <c r="E40" i="3"/>
  <c r="L39" i="3"/>
  <c r="K39" i="3"/>
  <c r="H39" i="3"/>
  <c r="E39" i="3"/>
  <c r="L62" i="3"/>
  <c r="K62" i="3"/>
  <c r="H62" i="3"/>
  <c r="M62" i="3" s="1"/>
  <c r="O62" i="3" s="1"/>
  <c r="P62" i="3" s="1"/>
  <c r="E62" i="3"/>
  <c r="L61" i="3"/>
  <c r="K61" i="3"/>
  <c r="H61" i="3"/>
  <c r="E61" i="3"/>
  <c r="N60" i="3"/>
  <c r="L60" i="3"/>
  <c r="K60" i="3"/>
  <c r="M60" i="3" s="1"/>
  <c r="O60" i="3" s="1"/>
  <c r="H60" i="3"/>
  <c r="E60" i="3"/>
  <c r="L59" i="3"/>
  <c r="K59" i="3"/>
  <c r="H59" i="3"/>
  <c r="E59" i="3"/>
  <c r="L58" i="3"/>
  <c r="K58" i="3"/>
  <c r="H58" i="3"/>
  <c r="E58" i="3"/>
  <c r="L57" i="3"/>
  <c r="K57" i="3"/>
  <c r="H57" i="3"/>
  <c r="M57" i="3" s="1"/>
  <c r="O57" i="3" s="1"/>
  <c r="E57" i="3"/>
  <c r="L56" i="3"/>
  <c r="K56" i="3"/>
  <c r="H56" i="3"/>
  <c r="E56" i="3"/>
  <c r="L55" i="3"/>
  <c r="K55" i="3"/>
  <c r="H55" i="3"/>
  <c r="M55" i="3" s="1"/>
  <c r="O55" i="3" s="1"/>
  <c r="P55" i="3" s="1"/>
  <c r="E55" i="3"/>
  <c r="L54" i="3"/>
  <c r="K54" i="3"/>
  <c r="M54" i="3" s="1"/>
  <c r="O54" i="3" s="1"/>
  <c r="H54" i="3"/>
  <c r="E54" i="3"/>
  <c r="L53" i="3"/>
  <c r="K53" i="3"/>
  <c r="H53" i="3"/>
  <c r="M53" i="3" s="1"/>
  <c r="O53" i="3" s="1"/>
  <c r="P53" i="3" s="1"/>
  <c r="E53" i="3"/>
  <c r="L52" i="3"/>
  <c r="K52" i="3"/>
  <c r="E52" i="3"/>
  <c r="L51" i="3"/>
  <c r="K51" i="3"/>
  <c r="H51" i="3"/>
  <c r="E51" i="3"/>
  <c r="G47" i="35"/>
  <c r="L47" i="35" s="1"/>
  <c r="J94" i="35"/>
  <c r="L94" i="35" s="1"/>
  <c r="G94" i="35"/>
  <c r="J93" i="35"/>
  <c r="G93" i="35"/>
  <c r="L93" i="35" s="1"/>
  <c r="J92" i="35"/>
  <c r="G92" i="35"/>
  <c r="L92" i="35" s="1"/>
  <c r="J91" i="35"/>
  <c r="G91" i="35"/>
  <c r="L91" i="35" s="1"/>
  <c r="J90" i="35"/>
  <c r="G90" i="35"/>
  <c r="L90" i="35" s="1"/>
  <c r="J89" i="35"/>
  <c r="G89" i="35"/>
  <c r="L89" i="35" s="1"/>
  <c r="J88" i="35"/>
  <c r="G88" i="35"/>
  <c r="L88" i="35" s="1"/>
  <c r="J87" i="35"/>
  <c r="G87" i="35"/>
  <c r="L87" i="35" s="1"/>
  <c r="J86" i="35"/>
  <c r="G86" i="35"/>
  <c r="J85" i="35"/>
  <c r="G85" i="35"/>
  <c r="L85" i="35" s="1"/>
  <c r="J84" i="35"/>
  <c r="G84" i="35"/>
  <c r="J83" i="35"/>
  <c r="G83" i="35"/>
  <c r="L83" i="35" s="1"/>
  <c r="J82" i="35"/>
  <c r="L82" i="35" s="1"/>
  <c r="G82" i="35"/>
  <c r="J81" i="35"/>
  <c r="G81" i="35"/>
  <c r="J80" i="35"/>
  <c r="G80" i="35"/>
  <c r="J79" i="35"/>
  <c r="G79" i="35"/>
  <c r="L79" i="35" s="1"/>
  <c r="J78" i="35"/>
  <c r="G78" i="35"/>
  <c r="L78" i="35" s="1"/>
  <c r="L77" i="35"/>
  <c r="J77" i="35"/>
  <c r="G77" i="35"/>
  <c r="J76" i="35"/>
  <c r="G76" i="35"/>
  <c r="L76" i="35" s="1"/>
  <c r="J75" i="35"/>
  <c r="G75" i="35"/>
  <c r="L75" i="35" s="1"/>
  <c r="J74" i="35"/>
  <c r="G74" i="35"/>
  <c r="J73" i="35"/>
  <c r="G73" i="35"/>
  <c r="L73" i="35" s="1"/>
  <c r="J72" i="35"/>
  <c r="G72" i="35"/>
  <c r="L72" i="35" s="1"/>
  <c r="J71" i="35"/>
  <c r="G71" i="35"/>
  <c r="L71" i="35" s="1"/>
  <c r="J70" i="35"/>
  <c r="L70" i="35" s="1"/>
  <c r="G70" i="35"/>
  <c r="J69" i="35"/>
  <c r="L69" i="35" s="1"/>
  <c r="G69" i="35"/>
  <c r="J68" i="35"/>
  <c r="G68" i="35"/>
  <c r="L67" i="35"/>
  <c r="J67" i="35"/>
  <c r="G67" i="35"/>
  <c r="J66" i="35"/>
  <c r="G66" i="35"/>
  <c r="L66" i="35" s="1"/>
  <c r="J65" i="35"/>
  <c r="G65" i="35"/>
  <c r="L65" i="35" s="1"/>
  <c r="J64" i="35"/>
  <c r="G64" i="35"/>
  <c r="L64" i="35" s="1"/>
  <c r="J63" i="35"/>
  <c r="G63" i="35"/>
  <c r="L63" i="35" s="1"/>
  <c r="J62" i="35"/>
  <c r="G62" i="35"/>
  <c r="J61" i="35"/>
  <c r="G61" i="35"/>
  <c r="J60" i="35"/>
  <c r="G60" i="35"/>
  <c r="L60" i="35" s="1"/>
  <c r="J59" i="35"/>
  <c r="G59" i="35"/>
  <c r="L59" i="35" s="1"/>
  <c r="J58" i="35"/>
  <c r="G58" i="35"/>
  <c r="L58" i="35" s="1"/>
  <c r="J57" i="35"/>
  <c r="G57" i="35"/>
  <c r="L57" i="35" s="1"/>
  <c r="J56" i="35"/>
  <c r="G56" i="35"/>
  <c r="L56" i="35" s="1"/>
  <c r="J55" i="35"/>
  <c r="G55" i="35"/>
  <c r="L55" i="35" s="1"/>
  <c r="J54" i="35"/>
  <c r="G54" i="35"/>
  <c r="L54" i="35" s="1"/>
  <c r="J53" i="35"/>
  <c r="G53" i="35"/>
  <c r="L53" i="35" s="1"/>
  <c r="L52" i="35"/>
  <c r="J52" i="35"/>
  <c r="G52" i="35"/>
  <c r="J51" i="35"/>
  <c r="G51" i="35"/>
  <c r="L51" i="35" s="1"/>
  <c r="J50" i="35"/>
  <c r="G50" i="35"/>
  <c r="L50" i="35" s="1"/>
  <c r="J49" i="35"/>
  <c r="G49" i="35"/>
  <c r="L49" i="35" s="1"/>
  <c r="J48" i="35"/>
  <c r="G48" i="35"/>
  <c r="L48" i="35" s="1"/>
  <c r="L61" i="35" l="1"/>
  <c r="L68" i="35"/>
  <c r="L62" i="35"/>
  <c r="L86" i="35"/>
  <c r="L80" i="35"/>
  <c r="L84" i="35"/>
  <c r="L74" i="35"/>
  <c r="L81" i="35"/>
  <c r="P60" i="3"/>
  <c r="M56" i="3"/>
  <c r="O56" i="3" s="1"/>
  <c r="P56" i="3" s="1"/>
  <c r="M58" i="3"/>
  <c r="O58" i="3" s="1"/>
  <c r="M49" i="3"/>
  <c r="O49" i="3" s="1"/>
  <c r="P49" i="3" s="1"/>
  <c r="P42" i="3"/>
  <c r="M51" i="3"/>
  <c r="O51" i="3" s="1"/>
  <c r="P51" i="3" s="1"/>
  <c r="M40" i="3"/>
  <c r="O40" i="3" s="1"/>
  <c r="P40" i="3" s="1"/>
  <c r="P46" i="3"/>
  <c r="P54" i="3"/>
  <c r="M59" i="3"/>
  <c r="O59" i="3" s="1"/>
  <c r="M52" i="3"/>
  <c r="O52" i="3" s="1"/>
  <c r="P52" i="3" s="1"/>
  <c r="M61" i="3"/>
  <c r="O61" i="3" s="1"/>
  <c r="P61" i="3" s="1"/>
  <c r="M39" i="3"/>
  <c r="O39" i="3" s="1"/>
  <c r="P39" i="3" s="1"/>
  <c r="M41" i="3"/>
  <c r="O41" i="3" s="1"/>
  <c r="P41" i="3" s="1"/>
  <c r="M44" i="3"/>
  <c r="O44" i="3" s="1"/>
  <c r="P44" i="3" s="1"/>
  <c r="P48" i="3"/>
  <c r="P43" i="3"/>
  <c r="P47" i="3"/>
  <c r="P58" i="3"/>
  <c r="P57" i="3"/>
  <c r="P59" i="3"/>
  <c r="L118" i="35"/>
  <c r="J117" i="35"/>
  <c r="G117" i="35"/>
  <c r="L117" i="35" s="1"/>
  <c r="J116" i="35"/>
  <c r="G116" i="35"/>
  <c r="L116" i="35" s="1"/>
  <c r="J115" i="35"/>
  <c r="G115" i="35"/>
  <c r="L115" i="35" s="1"/>
  <c r="J114" i="35"/>
  <c r="G114" i="35"/>
  <c r="L114" i="35" s="1"/>
  <c r="J113" i="35"/>
  <c r="G113" i="35"/>
  <c r="L113" i="35" s="1"/>
  <c r="J112" i="35"/>
  <c r="G112" i="35"/>
  <c r="J111" i="35"/>
  <c r="G111" i="35"/>
  <c r="L111" i="35" s="1"/>
  <c r="J110" i="35"/>
  <c r="G110" i="35"/>
  <c r="L109" i="35"/>
  <c r="J108" i="35"/>
  <c r="G108" i="35"/>
  <c r="L108" i="35" s="1"/>
  <c r="J107" i="35"/>
  <c r="G107" i="35"/>
  <c r="L107" i="35" s="1"/>
  <c r="J106" i="35"/>
  <c r="G106" i="35"/>
  <c r="J105" i="35"/>
  <c r="G105" i="35"/>
  <c r="L105" i="35" s="1"/>
  <c r="J104" i="35"/>
  <c r="G104" i="35"/>
  <c r="J103" i="35"/>
  <c r="G103" i="35"/>
  <c r="L103" i="35" s="1"/>
  <c r="J102" i="35"/>
  <c r="G102" i="35"/>
  <c r="J101" i="35"/>
  <c r="G101" i="35"/>
  <c r="L101" i="35" s="1"/>
  <c r="J100" i="35"/>
  <c r="G100" i="35"/>
  <c r="L100" i="35" s="1"/>
  <c r="J99" i="35"/>
  <c r="G99" i="35"/>
  <c r="J98" i="35"/>
  <c r="G98" i="35"/>
  <c r="J97" i="35"/>
  <c r="G97" i="35"/>
  <c r="L97" i="35" s="1"/>
  <c r="J96" i="35"/>
  <c r="G96" i="35"/>
  <c r="L95" i="35"/>
  <c r="J95" i="35"/>
  <c r="G95" i="35"/>
  <c r="J130" i="35"/>
  <c r="G130" i="35"/>
  <c r="L130" i="35" s="1"/>
  <c r="J129" i="35"/>
  <c r="G129" i="35"/>
  <c r="L129" i="35" s="1"/>
  <c r="J128" i="35"/>
  <c r="G128" i="35"/>
  <c r="J127" i="35"/>
  <c r="G127" i="35"/>
  <c r="L127" i="35" s="1"/>
  <c r="J126" i="35"/>
  <c r="G126" i="35"/>
  <c r="L126" i="35" s="1"/>
  <c r="J125" i="35"/>
  <c r="G125" i="35"/>
  <c r="J124" i="35"/>
  <c r="G124" i="35"/>
  <c r="J123" i="35"/>
  <c r="G123" i="35"/>
  <c r="L123" i="35" s="1"/>
  <c r="J122" i="35"/>
  <c r="G122" i="35"/>
  <c r="L122" i="35" s="1"/>
  <c r="J121" i="35"/>
  <c r="G121" i="35"/>
  <c r="L121" i="35" s="1"/>
  <c r="J120" i="35"/>
  <c r="G120" i="35"/>
  <c r="J119" i="35"/>
  <c r="G119" i="35"/>
  <c r="L96" i="35" l="1"/>
  <c r="L119" i="35"/>
  <c r="L104" i="35"/>
  <c r="L112" i="35"/>
  <c r="L106" i="35"/>
  <c r="L120" i="35"/>
  <c r="L98" i="35"/>
  <c r="L125" i="35"/>
  <c r="L124" i="35"/>
  <c r="L128" i="35"/>
  <c r="L99" i="35"/>
  <c r="L102" i="35"/>
  <c r="L110" i="35"/>
  <c r="J154" i="35"/>
  <c r="L154" i="35" s="1"/>
  <c r="L153" i="35"/>
  <c r="J153" i="35"/>
  <c r="G153" i="35"/>
  <c r="J152" i="35"/>
  <c r="G152" i="35"/>
  <c r="L152" i="35" s="1"/>
  <c r="J151" i="35"/>
  <c r="G151" i="35"/>
  <c r="L151" i="35" s="1"/>
  <c r="J150" i="35"/>
  <c r="G150" i="35"/>
  <c r="J149" i="35"/>
  <c r="G149" i="35"/>
  <c r="L149" i="35" s="1"/>
  <c r="J148" i="35"/>
  <c r="G148" i="35"/>
  <c r="L148" i="35" s="1"/>
  <c r="J147" i="35"/>
  <c r="G147" i="35"/>
  <c r="L147" i="35" s="1"/>
  <c r="J146" i="35"/>
  <c r="L146" i="35" s="1"/>
  <c r="G146" i="35"/>
  <c r="J145" i="35"/>
  <c r="G145" i="35"/>
  <c r="L145" i="35" s="1"/>
  <c r="J144" i="35"/>
  <c r="G144" i="35"/>
  <c r="L144" i="35" s="1"/>
  <c r="J143" i="35"/>
  <c r="L143" i="35" s="1"/>
  <c r="G143" i="35"/>
  <c r="J142" i="35"/>
  <c r="G142" i="35"/>
  <c r="J141" i="35"/>
  <c r="G141" i="35"/>
  <c r="J140" i="35"/>
  <c r="G140" i="35"/>
  <c r="L140" i="35" s="1"/>
  <c r="L139" i="35"/>
  <c r="J139" i="35"/>
  <c r="G139" i="35"/>
  <c r="J138" i="35"/>
  <c r="G138" i="35"/>
  <c r="L138" i="35" s="1"/>
  <c r="J137" i="35"/>
  <c r="G137" i="35"/>
  <c r="L137" i="35" s="1"/>
  <c r="J136" i="35"/>
  <c r="G136" i="35"/>
  <c r="J135" i="35"/>
  <c r="G135" i="35"/>
  <c r="L135" i="35" s="1"/>
  <c r="J134" i="35"/>
  <c r="G134" i="35"/>
  <c r="J133" i="35"/>
  <c r="G133" i="35"/>
  <c r="J132" i="35"/>
  <c r="G132" i="35"/>
  <c r="J131" i="35"/>
  <c r="G131" i="35"/>
  <c r="L131" i="35" s="1"/>
  <c r="L141" i="35" l="1"/>
  <c r="L133" i="35"/>
  <c r="L134" i="35"/>
  <c r="L142" i="35"/>
  <c r="L132" i="35"/>
  <c r="L136" i="35"/>
  <c r="L150" i="35"/>
  <c r="J166" i="35"/>
  <c r="G166" i="35"/>
  <c r="J165" i="35"/>
  <c r="G165" i="35"/>
  <c r="L165" i="35" s="1"/>
  <c r="J164" i="35"/>
  <c r="G164" i="35"/>
  <c r="L164" i="35" s="1"/>
  <c r="J163" i="35"/>
  <c r="G163" i="35"/>
  <c r="L162" i="35"/>
  <c r="J162" i="35"/>
  <c r="G162" i="35"/>
  <c r="J161" i="35"/>
  <c r="G161" i="35"/>
  <c r="L161" i="35" s="1"/>
  <c r="J160" i="35"/>
  <c r="G160" i="35"/>
  <c r="L160" i="35" s="1"/>
  <c r="J159" i="35"/>
  <c r="G159" i="35"/>
  <c r="J158" i="35"/>
  <c r="G158" i="35"/>
  <c r="L158" i="35" s="1"/>
  <c r="J157" i="35"/>
  <c r="G157" i="35"/>
  <c r="L157" i="35" s="1"/>
  <c r="J156" i="35"/>
  <c r="G156" i="35"/>
  <c r="L156" i="35" s="1"/>
  <c r="J155" i="35"/>
  <c r="L155" i="35" s="1"/>
  <c r="G155" i="35"/>
  <c r="J190" i="35"/>
  <c r="G190" i="35"/>
  <c r="L190" i="35" s="1"/>
  <c r="J189" i="35"/>
  <c r="G189" i="35"/>
  <c r="L189" i="35" s="1"/>
  <c r="J188" i="35"/>
  <c r="G188" i="35"/>
  <c r="L188" i="35" s="1"/>
  <c r="J187" i="35"/>
  <c r="G187" i="35"/>
  <c r="L187" i="35" s="1"/>
  <c r="J186" i="35"/>
  <c r="G186" i="35"/>
  <c r="L186" i="35" s="1"/>
  <c r="J185" i="35"/>
  <c r="G185" i="35"/>
  <c r="J184" i="35"/>
  <c r="G184" i="35"/>
  <c r="L184" i="35" s="1"/>
  <c r="J183" i="35"/>
  <c r="G183" i="35"/>
  <c r="L183" i="35" s="1"/>
  <c r="J182" i="35"/>
  <c r="G182" i="35"/>
  <c r="L182" i="35" s="1"/>
  <c r="J181" i="35"/>
  <c r="G181" i="35"/>
  <c r="L181" i="35" s="1"/>
  <c r="J180" i="35"/>
  <c r="G180" i="35"/>
  <c r="J179" i="35"/>
  <c r="G179" i="35"/>
  <c r="L179" i="35" s="1"/>
  <c r="L163" i="35" l="1"/>
  <c r="L185" i="35"/>
  <c r="L180" i="35"/>
  <c r="L159" i="35"/>
  <c r="L166" i="35"/>
  <c r="J178" i="35"/>
  <c r="G178" i="35"/>
  <c r="L178" i="35" s="1"/>
  <c r="J177" i="35"/>
  <c r="G177" i="35"/>
  <c r="L177" i="35" s="1"/>
  <c r="J176" i="35"/>
  <c r="G176" i="35"/>
  <c r="L176" i="35" s="1"/>
  <c r="J175" i="35"/>
  <c r="G175" i="35"/>
  <c r="L175" i="35" s="1"/>
  <c r="J174" i="35"/>
  <c r="G174" i="35"/>
  <c r="L174" i="35" s="1"/>
  <c r="J173" i="35"/>
  <c r="G173" i="35"/>
  <c r="J172" i="35"/>
  <c r="G172" i="35"/>
  <c r="L172" i="35" s="1"/>
  <c r="J171" i="35"/>
  <c r="G171" i="35"/>
  <c r="L171" i="35" s="1"/>
  <c r="J170" i="35"/>
  <c r="L170" i="35" s="1"/>
  <c r="G170" i="35"/>
  <c r="J169" i="35"/>
  <c r="G169" i="35"/>
  <c r="L169" i="35" s="1"/>
  <c r="J168" i="35"/>
  <c r="G168" i="35"/>
  <c r="L168" i="35" s="1"/>
  <c r="J167" i="35"/>
  <c r="G167" i="35"/>
  <c r="L167" i="35" s="1"/>
  <c r="L173" i="35" l="1"/>
  <c r="I74" i="3"/>
  <c r="K74" i="3" s="1"/>
  <c r="H74" i="3"/>
  <c r="M74" i="3" s="1"/>
  <c r="O74" i="3" s="1"/>
  <c r="E74" i="3"/>
  <c r="K73" i="3"/>
  <c r="H73" i="3"/>
  <c r="M73" i="3" s="1"/>
  <c r="O73" i="3" s="1"/>
  <c r="P73" i="3" s="1"/>
  <c r="E73" i="3"/>
  <c r="K72" i="3"/>
  <c r="M72" i="3" s="1"/>
  <c r="O72" i="3" s="1"/>
  <c r="P72" i="3" s="1"/>
  <c r="H72" i="3"/>
  <c r="E72" i="3"/>
  <c r="K71" i="3"/>
  <c r="H71" i="3"/>
  <c r="M71" i="3" s="1"/>
  <c r="O71" i="3" s="1"/>
  <c r="E71" i="3"/>
  <c r="K70" i="3"/>
  <c r="H70" i="3"/>
  <c r="M70" i="3" s="1"/>
  <c r="O70" i="3" s="1"/>
  <c r="E70" i="3"/>
  <c r="P70" i="3" s="1"/>
  <c r="K69" i="3"/>
  <c r="H69" i="3"/>
  <c r="M69" i="3" s="1"/>
  <c r="O69" i="3" s="1"/>
  <c r="P69" i="3" s="1"/>
  <c r="E69" i="3"/>
  <c r="K68" i="3"/>
  <c r="H68" i="3"/>
  <c r="M68" i="3" s="1"/>
  <c r="O68" i="3" s="1"/>
  <c r="P68" i="3" s="1"/>
  <c r="E68" i="3"/>
  <c r="K67" i="3"/>
  <c r="H67" i="3"/>
  <c r="E67" i="3"/>
  <c r="K66" i="3"/>
  <c r="H66" i="3"/>
  <c r="M66" i="3" s="1"/>
  <c r="O66" i="3" s="1"/>
  <c r="E66" i="3"/>
  <c r="L65" i="3"/>
  <c r="K65" i="3"/>
  <c r="H65" i="3"/>
  <c r="M65" i="3" s="1"/>
  <c r="O65" i="3" s="1"/>
  <c r="P65" i="3" s="1"/>
  <c r="E65" i="3"/>
  <c r="L64" i="3"/>
  <c r="K64" i="3"/>
  <c r="H64" i="3"/>
  <c r="M64" i="3" s="1"/>
  <c r="O64" i="3" s="1"/>
  <c r="P64" i="3" s="1"/>
  <c r="E64" i="3"/>
  <c r="M63" i="3"/>
  <c r="O63" i="3" s="1"/>
  <c r="P63" i="3" s="1"/>
  <c r="L63" i="3"/>
  <c r="K63" i="3"/>
  <c r="H63" i="3"/>
  <c r="E63" i="3"/>
  <c r="K86" i="3"/>
  <c r="M86" i="3" s="1"/>
  <c r="O86" i="3" s="1"/>
  <c r="H86" i="3"/>
  <c r="E86" i="3"/>
  <c r="P86" i="3" s="1"/>
  <c r="K85" i="3"/>
  <c r="H85" i="3"/>
  <c r="E85" i="3"/>
  <c r="K84" i="3"/>
  <c r="H84" i="3"/>
  <c r="E84" i="3"/>
  <c r="K83" i="3"/>
  <c r="H83" i="3"/>
  <c r="M83" i="3" s="1"/>
  <c r="O83" i="3" s="1"/>
  <c r="E83" i="3"/>
  <c r="P83" i="3" s="1"/>
  <c r="K82" i="3"/>
  <c r="H82" i="3"/>
  <c r="E82" i="3"/>
  <c r="K81" i="3"/>
  <c r="H81" i="3"/>
  <c r="M81" i="3" s="1"/>
  <c r="O81" i="3" s="1"/>
  <c r="E81" i="3"/>
  <c r="I80" i="3"/>
  <c r="K80" i="3" s="1"/>
  <c r="M80" i="3" s="1"/>
  <c r="O80" i="3" s="1"/>
  <c r="H80" i="3"/>
  <c r="E80" i="3"/>
  <c r="I79" i="3"/>
  <c r="K79" i="3" s="1"/>
  <c r="H79" i="3"/>
  <c r="E79" i="3"/>
  <c r="I78" i="3"/>
  <c r="K78" i="3" s="1"/>
  <c r="H78" i="3"/>
  <c r="M78" i="3" s="1"/>
  <c r="O78" i="3" s="1"/>
  <c r="E78" i="3"/>
  <c r="I77" i="3"/>
  <c r="K77" i="3" s="1"/>
  <c r="H77" i="3"/>
  <c r="E77" i="3"/>
  <c r="I76" i="3"/>
  <c r="K76" i="3" s="1"/>
  <c r="M76" i="3" s="1"/>
  <c r="O76" i="3" s="1"/>
  <c r="H76" i="3"/>
  <c r="E76" i="3"/>
  <c r="K75" i="3"/>
  <c r="H75" i="3"/>
  <c r="E75" i="3"/>
  <c r="K98" i="3"/>
  <c r="H98" i="3"/>
  <c r="M98" i="3" s="1"/>
  <c r="O98" i="3" s="1"/>
  <c r="E98" i="3"/>
  <c r="M97" i="3"/>
  <c r="O97" i="3" s="1"/>
  <c r="P97" i="3" s="1"/>
  <c r="K97" i="3"/>
  <c r="H97" i="3"/>
  <c r="E97" i="3"/>
  <c r="K96" i="3"/>
  <c r="H96" i="3"/>
  <c r="M96" i="3" s="1"/>
  <c r="O96" i="3" s="1"/>
  <c r="P96" i="3" s="1"/>
  <c r="E96" i="3"/>
  <c r="K95" i="3"/>
  <c r="H95" i="3"/>
  <c r="E95" i="3"/>
  <c r="K94" i="3"/>
  <c r="H94" i="3"/>
  <c r="M94" i="3" s="1"/>
  <c r="O94" i="3" s="1"/>
  <c r="E94" i="3"/>
  <c r="K93" i="3"/>
  <c r="H93" i="3"/>
  <c r="M93" i="3" s="1"/>
  <c r="O93" i="3" s="1"/>
  <c r="P93" i="3" s="1"/>
  <c r="E93" i="3"/>
  <c r="K92" i="3"/>
  <c r="H92" i="3"/>
  <c r="M92" i="3" s="1"/>
  <c r="O92" i="3" s="1"/>
  <c r="P92" i="3" s="1"/>
  <c r="E92" i="3"/>
  <c r="K91" i="3"/>
  <c r="M91" i="3" s="1"/>
  <c r="O91" i="3" s="1"/>
  <c r="H91" i="3"/>
  <c r="E91" i="3"/>
  <c r="K90" i="3"/>
  <c r="H90" i="3"/>
  <c r="E90" i="3"/>
  <c r="M89" i="3"/>
  <c r="O89" i="3" s="1"/>
  <c r="P89" i="3" s="1"/>
  <c r="K89" i="3"/>
  <c r="H89" i="3"/>
  <c r="E89" i="3"/>
  <c r="K88" i="3"/>
  <c r="M88" i="3" s="1"/>
  <c r="O88" i="3" s="1"/>
  <c r="P88" i="3" s="1"/>
  <c r="H88" i="3"/>
  <c r="E88" i="3"/>
  <c r="K87" i="3"/>
  <c r="H87" i="3"/>
  <c r="E87" i="3"/>
  <c r="L110" i="3"/>
  <c r="K110" i="3"/>
  <c r="H110" i="3"/>
  <c r="M110" i="3" s="1"/>
  <c r="O110" i="3" s="1"/>
  <c r="E110" i="3"/>
  <c r="L109" i="3"/>
  <c r="K109" i="3"/>
  <c r="H109" i="3"/>
  <c r="E109" i="3"/>
  <c r="L108" i="3"/>
  <c r="K108" i="3"/>
  <c r="H108" i="3"/>
  <c r="M108" i="3" s="1"/>
  <c r="O108" i="3" s="1"/>
  <c r="P108" i="3" s="1"/>
  <c r="E108" i="3"/>
  <c r="L107" i="3"/>
  <c r="K107" i="3"/>
  <c r="H107" i="3"/>
  <c r="M107" i="3" s="1"/>
  <c r="O107" i="3" s="1"/>
  <c r="P107" i="3" s="1"/>
  <c r="E107" i="3"/>
  <c r="K106" i="3"/>
  <c r="H106" i="3"/>
  <c r="E106" i="3"/>
  <c r="L105" i="3"/>
  <c r="K105" i="3"/>
  <c r="H105" i="3"/>
  <c r="E105" i="3"/>
  <c r="K104" i="3"/>
  <c r="H104" i="3"/>
  <c r="M104" i="3" s="1"/>
  <c r="O104" i="3" s="1"/>
  <c r="E104" i="3"/>
  <c r="P104" i="3" s="1"/>
  <c r="K103" i="3"/>
  <c r="H103" i="3"/>
  <c r="M103" i="3" s="1"/>
  <c r="O103" i="3" s="1"/>
  <c r="P103" i="3" s="1"/>
  <c r="E103" i="3"/>
  <c r="K102" i="3"/>
  <c r="H102" i="3"/>
  <c r="M102" i="3" s="1"/>
  <c r="O102" i="3" s="1"/>
  <c r="P102" i="3" s="1"/>
  <c r="E102" i="3"/>
  <c r="K101" i="3"/>
  <c r="H101" i="3"/>
  <c r="M101" i="3" s="1"/>
  <c r="O101" i="3" s="1"/>
  <c r="E101" i="3"/>
  <c r="K100" i="3"/>
  <c r="H100" i="3"/>
  <c r="M100" i="3" s="1"/>
  <c r="O100" i="3" s="1"/>
  <c r="P100" i="3" s="1"/>
  <c r="E100" i="3"/>
  <c r="K99" i="3"/>
  <c r="M99" i="3" s="1"/>
  <c r="O99" i="3" s="1"/>
  <c r="P99" i="3" s="1"/>
  <c r="H99" i="3"/>
  <c r="E99" i="3"/>
  <c r="M106" i="3" l="1"/>
  <c r="O106" i="3" s="1"/>
  <c r="P78" i="3"/>
  <c r="M90" i="3"/>
  <c r="O90" i="3" s="1"/>
  <c r="P90" i="3" s="1"/>
  <c r="P81" i="3"/>
  <c r="P87" i="3"/>
  <c r="M105" i="3"/>
  <c r="O105" i="3" s="1"/>
  <c r="P105" i="3" s="1"/>
  <c r="M109" i="3"/>
  <c r="O109" i="3" s="1"/>
  <c r="P109" i="3" s="1"/>
  <c r="P91" i="3"/>
  <c r="P101" i="3"/>
  <c r="M87" i="3"/>
  <c r="O87" i="3" s="1"/>
  <c r="M79" i="3"/>
  <c r="O79" i="3" s="1"/>
  <c r="P79" i="3" s="1"/>
  <c r="M84" i="3"/>
  <c r="O84" i="3" s="1"/>
  <c r="P84" i="3" s="1"/>
  <c r="P80" i="3"/>
  <c r="P106" i="3"/>
  <c r="M95" i="3"/>
  <c r="O95" i="3" s="1"/>
  <c r="P95" i="3" s="1"/>
  <c r="M75" i="3"/>
  <c r="O75" i="3" s="1"/>
  <c r="P75" i="3" s="1"/>
  <c r="M77" i="3"/>
  <c r="O77" i="3" s="1"/>
  <c r="P77" i="3" s="1"/>
  <c r="M82" i="3"/>
  <c r="O82" i="3" s="1"/>
  <c r="P82" i="3" s="1"/>
  <c r="M85" i="3"/>
  <c r="O85" i="3" s="1"/>
  <c r="P85" i="3" s="1"/>
  <c r="M67" i="3"/>
  <c r="O67" i="3" s="1"/>
  <c r="P67" i="3" s="1"/>
  <c r="P66" i="3"/>
  <c r="P71" i="3"/>
  <c r="P74" i="3"/>
  <c r="P76" i="3"/>
  <c r="P94" i="3"/>
  <c r="P98" i="3"/>
  <c r="P110" i="3"/>
  <c r="L146" i="3" l="1"/>
  <c r="K146" i="3"/>
  <c r="H146" i="3"/>
  <c r="M146" i="3" s="1"/>
  <c r="O146" i="3" s="1"/>
  <c r="E146" i="3"/>
  <c r="P146" i="3" s="1"/>
  <c r="L145" i="3"/>
  <c r="K145" i="3"/>
  <c r="H145" i="3"/>
  <c r="M145" i="3" s="1"/>
  <c r="O145" i="3" s="1"/>
  <c r="C145" i="3"/>
  <c r="E145" i="3" s="1"/>
  <c r="L144" i="3"/>
  <c r="K144" i="3"/>
  <c r="H144" i="3"/>
  <c r="M144" i="3" s="1"/>
  <c r="O144" i="3" s="1"/>
  <c r="P144" i="3" s="1"/>
  <c r="E144" i="3"/>
  <c r="L143" i="3"/>
  <c r="K143" i="3"/>
  <c r="H143" i="3"/>
  <c r="E143" i="3"/>
  <c r="L142" i="3"/>
  <c r="K142" i="3"/>
  <c r="H142" i="3"/>
  <c r="M142" i="3" s="1"/>
  <c r="O142" i="3" s="1"/>
  <c r="P142" i="3" s="1"/>
  <c r="E142" i="3"/>
  <c r="L141" i="3"/>
  <c r="K141" i="3"/>
  <c r="H141" i="3"/>
  <c r="E141" i="3"/>
  <c r="L140" i="3"/>
  <c r="K140" i="3"/>
  <c r="H140" i="3"/>
  <c r="M140" i="3" s="1"/>
  <c r="O140" i="3" s="1"/>
  <c r="E140" i="3"/>
  <c r="P140" i="3" s="1"/>
  <c r="L139" i="3"/>
  <c r="K139" i="3"/>
  <c r="H139" i="3"/>
  <c r="E139" i="3"/>
  <c r="L138" i="3"/>
  <c r="K138" i="3"/>
  <c r="H138" i="3"/>
  <c r="M138" i="3" s="1"/>
  <c r="O138" i="3" s="1"/>
  <c r="E138" i="3"/>
  <c r="P138" i="3" s="1"/>
  <c r="L137" i="3"/>
  <c r="K137" i="3"/>
  <c r="H137" i="3"/>
  <c r="E137" i="3"/>
  <c r="L136" i="3"/>
  <c r="K136" i="3"/>
  <c r="H136" i="3"/>
  <c r="M136" i="3" s="1"/>
  <c r="O136" i="3" s="1"/>
  <c r="P136" i="3" s="1"/>
  <c r="E136" i="3"/>
  <c r="L135" i="3"/>
  <c r="K135" i="3"/>
  <c r="H135" i="3"/>
  <c r="E135" i="3"/>
  <c r="M143" i="3" l="1"/>
  <c r="O143" i="3" s="1"/>
  <c r="P143" i="3" s="1"/>
  <c r="M137" i="3"/>
  <c r="O137" i="3" s="1"/>
  <c r="P137" i="3" s="1"/>
  <c r="M141" i="3"/>
  <c r="O141" i="3" s="1"/>
  <c r="P141" i="3" s="1"/>
  <c r="M139" i="3"/>
  <c r="O139" i="3" s="1"/>
  <c r="P139" i="3" s="1"/>
  <c r="M135" i="3"/>
  <c r="O135" i="3" s="1"/>
  <c r="P135" i="3" s="1"/>
  <c r="P145" i="3"/>
  <c r="L122" i="3" l="1"/>
  <c r="K122" i="3"/>
  <c r="H122" i="3"/>
  <c r="M122" i="3" s="1"/>
  <c r="O122" i="3" s="1"/>
  <c r="E122" i="3"/>
  <c r="L121" i="3"/>
  <c r="K121" i="3"/>
  <c r="H121" i="3"/>
  <c r="M121" i="3" s="1"/>
  <c r="O121" i="3" s="1"/>
  <c r="E121" i="3"/>
  <c r="L120" i="3"/>
  <c r="K120" i="3"/>
  <c r="H120" i="3"/>
  <c r="M120" i="3" s="1"/>
  <c r="O120" i="3" s="1"/>
  <c r="P120" i="3" s="1"/>
  <c r="E120" i="3"/>
  <c r="L119" i="3"/>
  <c r="K119" i="3"/>
  <c r="H119" i="3"/>
  <c r="M119" i="3" s="1"/>
  <c r="O119" i="3" s="1"/>
  <c r="P119" i="3" s="1"/>
  <c r="E119" i="3"/>
  <c r="L118" i="3"/>
  <c r="K118" i="3"/>
  <c r="H118" i="3"/>
  <c r="E118" i="3"/>
  <c r="L117" i="3"/>
  <c r="K117" i="3"/>
  <c r="H117" i="3"/>
  <c r="E117" i="3"/>
  <c r="L116" i="3"/>
  <c r="K116" i="3"/>
  <c r="H116" i="3"/>
  <c r="E116" i="3"/>
  <c r="L115" i="3"/>
  <c r="K115" i="3"/>
  <c r="H115" i="3"/>
  <c r="M115" i="3" s="1"/>
  <c r="O115" i="3" s="1"/>
  <c r="E115" i="3"/>
  <c r="L114" i="3"/>
  <c r="K114" i="3"/>
  <c r="H114" i="3"/>
  <c r="E114" i="3"/>
  <c r="L113" i="3"/>
  <c r="K113" i="3"/>
  <c r="H113" i="3"/>
  <c r="M113" i="3" s="1"/>
  <c r="O113" i="3" s="1"/>
  <c r="P113" i="3" s="1"/>
  <c r="E113" i="3"/>
  <c r="L112" i="3"/>
  <c r="K112" i="3"/>
  <c r="H112" i="3"/>
  <c r="E112" i="3"/>
  <c r="L111" i="3"/>
  <c r="K111" i="3"/>
  <c r="M111" i="3" s="1"/>
  <c r="O111" i="3" s="1"/>
  <c r="P111" i="3" s="1"/>
  <c r="H111" i="3"/>
  <c r="E111" i="3"/>
  <c r="L134" i="3"/>
  <c r="K134" i="3"/>
  <c r="H134" i="3"/>
  <c r="E134" i="3"/>
  <c r="L133" i="3"/>
  <c r="K133" i="3"/>
  <c r="H133" i="3"/>
  <c r="E133" i="3"/>
  <c r="L132" i="3"/>
  <c r="K132" i="3"/>
  <c r="H132" i="3"/>
  <c r="M132" i="3" s="1"/>
  <c r="O132" i="3" s="1"/>
  <c r="E132" i="3"/>
  <c r="L131" i="3"/>
  <c r="M131" i="3" s="1"/>
  <c r="O131" i="3" s="1"/>
  <c r="P131" i="3" s="1"/>
  <c r="K131" i="3"/>
  <c r="H131" i="3"/>
  <c r="E131" i="3"/>
  <c r="L130" i="3"/>
  <c r="K130" i="3"/>
  <c r="H130" i="3"/>
  <c r="M130" i="3" s="1"/>
  <c r="O130" i="3" s="1"/>
  <c r="E130" i="3"/>
  <c r="L129" i="3"/>
  <c r="K129" i="3"/>
  <c r="H129" i="3"/>
  <c r="E129" i="3"/>
  <c r="L128" i="3"/>
  <c r="K128" i="3"/>
  <c r="H128" i="3"/>
  <c r="M128" i="3" s="1"/>
  <c r="O128" i="3" s="1"/>
  <c r="E128" i="3"/>
  <c r="L127" i="3"/>
  <c r="K127" i="3"/>
  <c r="H127" i="3"/>
  <c r="E127" i="3"/>
  <c r="L126" i="3"/>
  <c r="K126" i="3"/>
  <c r="H126" i="3"/>
  <c r="M126" i="3" s="1"/>
  <c r="O126" i="3" s="1"/>
  <c r="E126" i="3"/>
  <c r="M125" i="3"/>
  <c r="O125" i="3" s="1"/>
  <c r="P125" i="3" s="1"/>
  <c r="L125" i="3"/>
  <c r="K125" i="3"/>
  <c r="H125" i="3"/>
  <c r="E125" i="3"/>
  <c r="L124" i="3"/>
  <c r="K124" i="3"/>
  <c r="H124" i="3"/>
  <c r="E124" i="3"/>
  <c r="L123" i="3"/>
  <c r="K123" i="3"/>
  <c r="H123" i="3"/>
  <c r="M123" i="3" s="1"/>
  <c r="O123" i="3" s="1"/>
  <c r="P123" i="3" s="1"/>
  <c r="E123" i="3"/>
  <c r="P130" i="3" l="1"/>
  <c r="P121" i="3"/>
  <c r="P132" i="3"/>
  <c r="M134" i="3"/>
  <c r="O134" i="3" s="1"/>
  <c r="P134" i="3" s="1"/>
  <c r="P114" i="3"/>
  <c r="M117" i="3"/>
  <c r="O117" i="3" s="1"/>
  <c r="P117" i="3" s="1"/>
  <c r="M124" i="3"/>
  <c r="O124" i="3" s="1"/>
  <c r="P124" i="3" s="1"/>
  <c r="M112" i="3"/>
  <c r="O112" i="3" s="1"/>
  <c r="P112" i="3" s="1"/>
  <c r="M114" i="3"/>
  <c r="O114" i="3" s="1"/>
  <c r="M116" i="3"/>
  <c r="O116" i="3" s="1"/>
  <c r="P116" i="3" s="1"/>
  <c r="M127" i="3"/>
  <c r="O127" i="3" s="1"/>
  <c r="P127" i="3" s="1"/>
  <c r="M118" i="3"/>
  <c r="O118" i="3" s="1"/>
  <c r="P118" i="3" s="1"/>
  <c r="M129" i="3"/>
  <c r="O129" i="3" s="1"/>
  <c r="P129" i="3" s="1"/>
  <c r="M133" i="3"/>
  <c r="O133" i="3" s="1"/>
  <c r="P133" i="3" s="1"/>
  <c r="P122" i="3"/>
  <c r="P115" i="3"/>
  <c r="P126" i="3"/>
  <c r="P128" i="3"/>
  <c r="L158" i="3" l="1"/>
  <c r="K158" i="3"/>
  <c r="H158" i="3"/>
  <c r="M158" i="3" s="1"/>
  <c r="O158" i="3" s="1"/>
  <c r="P158" i="3" s="1"/>
  <c r="E158" i="3"/>
  <c r="L157" i="3"/>
  <c r="K157" i="3"/>
  <c r="H157" i="3"/>
  <c r="E157" i="3"/>
  <c r="L156" i="3"/>
  <c r="K156" i="3"/>
  <c r="H156" i="3"/>
  <c r="E156" i="3"/>
  <c r="L155" i="3"/>
  <c r="K155" i="3"/>
  <c r="H155" i="3"/>
  <c r="M155" i="3" s="1"/>
  <c r="O155" i="3" s="1"/>
  <c r="E155" i="3"/>
  <c r="L154" i="3"/>
  <c r="K154" i="3"/>
  <c r="H154" i="3"/>
  <c r="E154" i="3"/>
  <c r="L153" i="3"/>
  <c r="K153" i="3"/>
  <c r="H153" i="3"/>
  <c r="M153" i="3" s="1"/>
  <c r="O153" i="3" s="1"/>
  <c r="E153" i="3"/>
  <c r="L152" i="3"/>
  <c r="K152" i="3"/>
  <c r="H152" i="3"/>
  <c r="E152" i="3"/>
  <c r="L151" i="3"/>
  <c r="K151" i="3"/>
  <c r="H151" i="3"/>
  <c r="M151" i="3" s="1"/>
  <c r="O151" i="3" s="1"/>
  <c r="P151" i="3" s="1"/>
  <c r="E151" i="3"/>
  <c r="L150" i="3"/>
  <c r="K150" i="3"/>
  <c r="H150" i="3"/>
  <c r="M150" i="3" s="1"/>
  <c r="O150" i="3" s="1"/>
  <c r="P150" i="3" s="1"/>
  <c r="E150" i="3"/>
  <c r="L149" i="3"/>
  <c r="K149" i="3"/>
  <c r="H149" i="3"/>
  <c r="E149" i="3"/>
  <c r="L148" i="3"/>
  <c r="K148" i="3"/>
  <c r="H148" i="3"/>
  <c r="E148" i="3"/>
  <c r="L147" i="3"/>
  <c r="K147" i="3"/>
  <c r="H147" i="3"/>
  <c r="E147" i="3"/>
  <c r="L170" i="3"/>
  <c r="K170" i="3"/>
  <c r="H170" i="3"/>
  <c r="E170" i="3"/>
  <c r="L169" i="3"/>
  <c r="K169" i="3"/>
  <c r="H169" i="3"/>
  <c r="E169" i="3"/>
  <c r="L168" i="3"/>
  <c r="K168" i="3"/>
  <c r="H168" i="3"/>
  <c r="M168" i="3" s="1"/>
  <c r="O168" i="3" s="1"/>
  <c r="E168" i="3"/>
  <c r="L167" i="3"/>
  <c r="K167" i="3"/>
  <c r="H167" i="3"/>
  <c r="E167" i="3"/>
  <c r="L166" i="3"/>
  <c r="K166" i="3"/>
  <c r="H166" i="3"/>
  <c r="M166" i="3" s="1"/>
  <c r="O166" i="3" s="1"/>
  <c r="E166" i="3"/>
  <c r="L165" i="3"/>
  <c r="K165" i="3"/>
  <c r="H165" i="3"/>
  <c r="E165" i="3"/>
  <c r="L164" i="3"/>
  <c r="K164" i="3"/>
  <c r="H164" i="3"/>
  <c r="M164" i="3" s="1"/>
  <c r="O164" i="3" s="1"/>
  <c r="P164" i="3" s="1"/>
  <c r="E164" i="3"/>
  <c r="L163" i="3"/>
  <c r="M163" i="3" s="1"/>
  <c r="O163" i="3" s="1"/>
  <c r="P163" i="3" s="1"/>
  <c r="K163" i="3"/>
  <c r="H163" i="3"/>
  <c r="E163" i="3"/>
  <c r="L162" i="3"/>
  <c r="K162" i="3"/>
  <c r="H162" i="3"/>
  <c r="M162" i="3" s="1"/>
  <c r="O162" i="3" s="1"/>
  <c r="E162" i="3"/>
  <c r="L161" i="3"/>
  <c r="K161" i="3"/>
  <c r="H161" i="3"/>
  <c r="M161" i="3" s="1"/>
  <c r="O161" i="3" s="1"/>
  <c r="E161" i="3"/>
  <c r="L160" i="3"/>
  <c r="K160" i="3"/>
  <c r="H160" i="3"/>
  <c r="M160" i="3" s="1"/>
  <c r="O160" i="3" s="1"/>
  <c r="E160" i="3"/>
  <c r="L159" i="3"/>
  <c r="K159" i="3"/>
  <c r="H159" i="3"/>
  <c r="M159" i="3" s="1"/>
  <c r="O159" i="3" s="1"/>
  <c r="E159" i="3"/>
  <c r="M149" i="3" l="1"/>
  <c r="O149" i="3" s="1"/>
  <c r="P149" i="3" s="1"/>
  <c r="P166" i="3"/>
  <c r="P168" i="3"/>
  <c r="M157" i="3"/>
  <c r="O157" i="3" s="1"/>
  <c r="P157" i="3" s="1"/>
  <c r="P159" i="3"/>
  <c r="P161" i="3"/>
  <c r="M170" i="3"/>
  <c r="O170" i="3" s="1"/>
  <c r="P170" i="3" s="1"/>
  <c r="M148" i="3"/>
  <c r="O148" i="3" s="1"/>
  <c r="P148" i="3" s="1"/>
  <c r="M152" i="3"/>
  <c r="O152" i="3" s="1"/>
  <c r="P152" i="3" s="1"/>
  <c r="M154" i="3"/>
  <c r="O154" i="3" s="1"/>
  <c r="M156" i="3"/>
  <c r="O156" i="3" s="1"/>
  <c r="P156" i="3" s="1"/>
  <c r="P167" i="3"/>
  <c r="P169" i="3"/>
  <c r="P147" i="3"/>
  <c r="M165" i="3"/>
  <c r="O165" i="3" s="1"/>
  <c r="P165" i="3" s="1"/>
  <c r="M167" i="3"/>
  <c r="O167" i="3" s="1"/>
  <c r="M169" i="3"/>
  <c r="O169" i="3" s="1"/>
  <c r="M147" i="3"/>
  <c r="O147" i="3" s="1"/>
  <c r="P153" i="3"/>
  <c r="P155" i="3"/>
  <c r="P154" i="3"/>
  <c r="P160" i="3"/>
  <c r="P162" i="3"/>
  <c r="BJ223" i="1" l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175" i="1"/>
  <c r="BR90" i="1"/>
  <c r="AX90" i="1"/>
  <c r="AW90" i="1"/>
  <c r="AV90" i="1"/>
  <c r="AU90" i="1"/>
  <c r="AY90" i="1" s="1"/>
  <c r="AM90" i="1"/>
  <c r="AO90" i="1" s="1"/>
  <c r="AP90" i="1" s="1"/>
  <c r="AQ90" i="1" s="1"/>
  <c r="AL90" i="1"/>
  <c r="AG90" i="1"/>
  <c r="AF90" i="1"/>
  <c r="AE90" i="1"/>
  <c r="AD90" i="1"/>
  <c r="Z90" i="1"/>
  <c r="V90" i="1"/>
  <c r="AH90" i="1" s="1"/>
  <c r="BM90" i="1" s="1"/>
  <c r="L90" i="1"/>
  <c r="M90" i="1" s="1"/>
  <c r="E90" i="1"/>
  <c r="G90" i="1" s="1"/>
  <c r="P90" i="1" s="1"/>
  <c r="Q90" i="1" s="1"/>
  <c r="BR89" i="1"/>
  <c r="AX89" i="1"/>
  <c r="AW89" i="1"/>
  <c r="AV89" i="1"/>
  <c r="AU89" i="1"/>
  <c r="AM89" i="1"/>
  <c r="BN89" i="1" s="1"/>
  <c r="AL89" i="1"/>
  <c r="AG89" i="1"/>
  <c r="AF89" i="1"/>
  <c r="AE89" i="1"/>
  <c r="AD89" i="1"/>
  <c r="Z89" i="1"/>
  <c r="V89" i="1"/>
  <c r="L89" i="1"/>
  <c r="M89" i="1" s="1"/>
  <c r="E89" i="1"/>
  <c r="AT89" i="1" s="1"/>
  <c r="BR88" i="1"/>
  <c r="AX88" i="1"/>
  <c r="AW88" i="1"/>
  <c r="AV88" i="1"/>
  <c r="AU88" i="1"/>
  <c r="AY88" i="1" s="1"/>
  <c r="AM88" i="1"/>
  <c r="BN88" i="1" s="1"/>
  <c r="AL88" i="1"/>
  <c r="AG88" i="1"/>
  <c r="AF88" i="1"/>
  <c r="AE88" i="1"/>
  <c r="AD88" i="1"/>
  <c r="Z88" i="1"/>
  <c r="V88" i="1"/>
  <c r="L88" i="1"/>
  <c r="M88" i="1" s="1"/>
  <c r="E88" i="1"/>
  <c r="AT88" i="1" s="1"/>
  <c r="BR87" i="1"/>
  <c r="AX87" i="1"/>
  <c r="AW87" i="1"/>
  <c r="AV87" i="1"/>
  <c r="AU87" i="1"/>
  <c r="AM87" i="1"/>
  <c r="AO87" i="1" s="1"/>
  <c r="AP87" i="1" s="1"/>
  <c r="AQ87" i="1" s="1"/>
  <c r="AL87" i="1"/>
  <c r="AG87" i="1"/>
  <c r="AF87" i="1"/>
  <c r="AE87" i="1"/>
  <c r="AD87" i="1"/>
  <c r="Z87" i="1"/>
  <c r="V87" i="1"/>
  <c r="L87" i="1"/>
  <c r="M87" i="1" s="1"/>
  <c r="E87" i="1"/>
  <c r="G87" i="1" s="1"/>
  <c r="P87" i="1" s="1"/>
  <c r="Q87" i="1" s="1"/>
  <c r="BR86" i="1"/>
  <c r="AX86" i="1"/>
  <c r="AW86" i="1"/>
  <c r="AV86" i="1"/>
  <c r="AU86" i="1"/>
  <c r="AM86" i="1"/>
  <c r="BN86" i="1" s="1"/>
  <c r="AL86" i="1"/>
  <c r="AG86" i="1"/>
  <c r="AF86" i="1"/>
  <c r="AE86" i="1"/>
  <c r="AD86" i="1"/>
  <c r="Z86" i="1"/>
  <c r="V86" i="1"/>
  <c r="L86" i="1"/>
  <c r="M86" i="1" s="1"/>
  <c r="E86" i="1"/>
  <c r="AT86" i="1" s="1"/>
  <c r="BR85" i="1"/>
  <c r="AX85" i="1"/>
  <c r="AW85" i="1"/>
  <c r="AV85" i="1"/>
  <c r="AU85" i="1"/>
  <c r="AM85" i="1"/>
  <c r="AO85" i="1" s="1"/>
  <c r="AP85" i="1" s="1"/>
  <c r="AQ85" i="1" s="1"/>
  <c r="AL85" i="1"/>
  <c r="AG85" i="1"/>
  <c r="AF85" i="1"/>
  <c r="AE85" i="1"/>
  <c r="AD85" i="1"/>
  <c r="Z85" i="1"/>
  <c r="V85" i="1"/>
  <c r="L85" i="1"/>
  <c r="M85" i="1" s="1"/>
  <c r="E85" i="1"/>
  <c r="AT85" i="1" s="1"/>
  <c r="BR84" i="1"/>
  <c r="AX84" i="1"/>
  <c r="AW84" i="1"/>
  <c r="AV84" i="1"/>
  <c r="AU84" i="1"/>
  <c r="AM84" i="1"/>
  <c r="AO84" i="1" s="1"/>
  <c r="AP84" i="1" s="1"/>
  <c r="AQ84" i="1" s="1"/>
  <c r="AL84" i="1"/>
  <c r="AG84" i="1"/>
  <c r="AF84" i="1"/>
  <c r="AE84" i="1"/>
  <c r="AD84" i="1"/>
  <c r="Z84" i="1"/>
  <c r="V84" i="1"/>
  <c r="L84" i="1"/>
  <c r="M84" i="1" s="1"/>
  <c r="E84" i="1"/>
  <c r="AT84" i="1" s="1"/>
  <c r="BR83" i="1"/>
  <c r="AX83" i="1"/>
  <c r="AW83" i="1"/>
  <c r="AV83" i="1"/>
  <c r="AU83" i="1"/>
  <c r="AM83" i="1"/>
  <c r="BN83" i="1" s="1"/>
  <c r="AL83" i="1"/>
  <c r="AG83" i="1"/>
  <c r="AF83" i="1"/>
  <c r="AE83" i="1"/>
  <c r="AD83" i="1"/>
  <c r="Z83" i="1"/>
  <c r="V83" i="1"/>
  <c r="L83" i="1"/>
  <c r="M83" i="1" s="1"/>
  <c r="E83" i="1"/>
  <c r="G83" i="1" s="1"/>
  <c r="P83" i="1" s="1"/>
  <c r="Q83" i="1" s="1"/>
  <c r="BR82" i="1"/>
  <c r="AX82" i="1"/>
  <c r="AW82" i="1"/>
  <c r="AV82" i="1"/>
  <c r="AU82" i="1"/>
  <c r="AM82" i="1"/>
  <c r="BN82" i="1" s="1"/>
  <c r="AL82" i="1"/>
  <c r="AG82" i="1"/>
  <c r="AF82" i="1"/>
  <c r="AE82" i="1"/>
  <c r="AD82" i="1"/>
  <c r="Z82" i="1"/>
  <c r="V82" i="1"/>
  <c r="L82" i="1"/>
  <c r="M82" i="1" s="1"/>
  <c r="E82" i="1"/>
  <c r="G82" i="1" s="1"/>
  <c r="P82" i="1" s="1"/>
  <c r="Q82" i="1" s="1"/>
  <c r="BR81" i="1"/>
  <c r="AX81" i="1"/>
  <c r="AW81" i="1"/>
  <c r="AV81" i="1"/>
  <c r="AU81" i="1"/>
  <c r="AM81" i="1"/>
  <c r="BN81" i="1" s="1"/>
  <c r="AL81" i="1"/>
  <c r="AG81" i="1"/>
  <c r="AF81" i="1"/>
  <c r="AE81" i="1"/>
  <c r="AD81" i="1"/>
  <c r="Z81" i="1"/>
  <c r="V81" i="1"/>
  <c r="L81" i="1"/>
  <c r="M81" i="1" s="1"/>
  <c r="E81" i="1"/>
  <c r="G81" i="1" s="1"/>
  <c r="P81" i="1" s="1"/>
  <c r="Q81" i="1" s="1"/>
  <c r="BR80" i="1"/>
  <c r="AX80" i="1"/>
  <c r="AW80" i="1"/>
  <c r="AV80" i="1"/>
  <c r="AU80" i="1"/>
  <c r="AM80" i="1"/>
  <c r="BN80" i="1" s="1"/>
  <c r="AL80" i="1"/>
  <c r="AG80" i="1"/>
  <c r="AF80" i="1"/>
  <c r="AE80" i="1"/>
  <c r="AD80" i="1"/>
  <c r="Z80" i="1"/>
  <c r="V80" i="1"/>
  <c r="L80" i="1"/>
  <c r="M80" i="1" s="1"/>
  <c r="E80" i="1"/>
  <c r="AT80" i="1" s="1"/>
  <c r="BR79" i="1"/>
  <c r="AX79" i="1"/>
  <c r="AW79" i="1"/>
  <c r="AV79" i="1"/>
  <c r="AU79" i="1"/>
  <c r="AM79" i="1"/>
  <c r="AO79" i="1" s="1"/>
  <c r="AP79" i="1" s="1"/>
  <c r="AQ79" i="1" s="1"/>
  <c r="AL79" i="1"/>
  <c r="AG79" i="1"/>
  <c r="AF79" i="1"/>
  <c r="AE79" i="1"/>
  <c r="AD79" i="1"/>
  <c r="Z79" i="1"/>
  <c r="V79" i="1"/>
  <c r="L79" i="1"/>
  <c r="M79" i="1" s="1"/>
  <c r="E79" i="1"/>
  <c r="AT79" i="1" s="1"/>
  <c r="G88" i="1" l="1"/>
  <c r="P88" i="1" s="1"/>
  <c r="Q88" i="1" s="1"/>
  <c r="AY86" i="1"/>
  <c r="AH88" i="1"/>
  <c r="BN87" i="1"/>
  <c r="AY83" i="1"/>
  <c r="BL84" i="1"/>
  <c r="AY81" i="1"/>
  <c r="BL85" i="1"/>
  <c r="BN85" i="1"/>
  <c r="BL87" i="1"/>
  <c r="AY89" i="1"/>
  <c r="G80" i="1"/>
  <c r="P80" i="1" s="1"/>
  <c r="Q80" i="1" s="1"/>
  <c r="AO82" i="1"/>
  <c r="AP82" i="1" s="1"/>
  <c r="AQ82" i="1" s="1"/>
  <c r="AH85" i="1"/>
  <c r="BM85" i="1" s="1"/>
  <c r="AT90" i="1"/>
  <c r="AH82" i="1"/>
  <c r="BM82" i="1" s="1"/>
  <c r="AT82" i="1"/>
  <c r="AH86" i="1"/>
  <c r="BL81" i="1"/>
  <c r="AY82" i="1"/>
  <c r="G84" i="1"/>
  <c r="P84" i="1" s="1"/>
  <c r="Q84" i="1" s="1"/>
  <c r="AH89" i="1"/>
  <c r="BM89" i="1" s="1"/>
  <c r="BL79" i="1"/>
  <c r="AH80" i="1"/>
  <c r="BM80" i="1" s="1"/>
  <c r="AO81" i="1"/>
  <c r="AP81" i="1" s="1"/>
  <c r="AQ81" i="1" s="1"/>
  <c r="AH83" i="1"/>
  <c r="BM83" i="1" s="1"/>
  <c r="AT83" i="1"/>
  <c r="AH87" i="1"/>
  <c r="BM87" i="1" s="1"/>
  <c r="AT87" i="1"/>
  <c r="BL89" i="1"/>
  <c r="AO89" i="1"/>
  <c r="AP89" i="1" s="1"/>
  <c r="AQ89" i="1" s="1"/>
  <c r="G79" i="1"/>
  <c r="P79" i="1" s="1"/>
  <c r="Q79" i="1" s="1"/>
  <c r="BN79" i="1"/>
  <c r="AY80" i="1"/>
  <c r="AH81" i="1"/>
  <c r="BM81" i="1" s="1"/>
  <c r="AH84" i="1"/>
  <c r="BK84" i="1" s="1"/>
  <c r="AY87" i="1"/>
  <c r="BL90" i="1"/>
  <c r="BN90" i="1"/>
  <c r="AH79" i="1"/>
  <c r="BK79" i="1" s="1"/>
  <c r="BL82" i="1"/>
  <c r="AO86" i="1"/>
  <c r="AP86" i="1" s="1"/>
  <c r="AQ86" i="1" s="1"/>
  <c r="AY79" i="1"/>
  <c r="AY84" i="1"/>
  <c r="AY85" i="1"/>
  <c r="BM88" i="1"/>
  <c r="BK88" i="1"/>
  <c r="BM86" i="1"/>
  <c r="BK86" i="1"/>
  <c r="G89" i="1"/>
  <c r="P89" i="1" s="1"/>
  <c r="Q89" i="1" s="1"/>
  <c r="AO80" i="1"/>
  <c r="AP80" i="1" s="1"/>
  <c r="AQ80" i="1" s="1"/>
  <c r="AT81" i="1"/>
  <c r="BN84" i="1"/>
  <c r="G86" i="1"/>
  <c r="P86" i="1" s="1"/>
  <c r="Q86" i="1" s="1"/>
  <c r="BL86" i="1"/>
  <c r="AO88" i="1"/>
  <c r="AP88" i="1" s="1"/>
  <c r="AQ88" i="1" s="1"/>
  <c r="BL83" i="1"/>
  <c r="BL80" i="1"/>
  <c r="BL88" i="1"/>
  <c r="AO83" i="1"/>
  <c r="AP83" i="1" s="1"/>
  <c r="AQ83" i="1" s="1"/>
  <c r="G85" i="1"/>
  <c r="P85" i="1" s="1"/>
  <c r="Q85" i="1" s="1"/>
  <c r="BK90" i="1"/>
  <c r="BQ78" i="1"/>
  <c r="AX78" i="1"/>
  <c r="AW78" i="1"/>
  <c r="AV78" i="1"/>
  <c r="AU78" i="1"/>
  <c r="AM78" i="1"/>
  <c r="BK78" i="1" s="1"/>
  <c r="AL78" i="1"/>
  <c r="AG78" i="1"/>
  <c r="AF78" i="1"/>
  <c r="AE78" i="1"/>
  <c r="AD78" i="1"/>
  <c r="Z78" i="1"/>
  <c r="V78" i="1"/>
  <c r="L78" i="1"/>
  <c r="M78" i="1" s="1"/>
  <c r="E78" i="1"/>
  <c r="AT78" i="1" s="1"/>
  <c r="BQ77" i="1"/>
  <c r="AX77" i="1"/>
  <c r="AW77" i="1"/>
  <c r="AV77" i="1"/>
  <c r="AU77" i="1"/>
  <c r="AM77" i="1"/>
  <c r="BM77" i="1" s="1"/>
  <c r="AL77" i="1"/>
  <c r="AG77" i="1"/>
  <c r="AF77" i="1"/>
  <c r="AE77" i="1"/>
  <c r="AD77" i="1"/>
  <c r="Z77" i="1"/>
  <c r="V77" i="1"/>
  <c r="L77" i="1"/>
  <c r="M77" i="1" s="1"/>
  <c r="E77" i="1"/>
  <c r="AT77" i="1" s="1"/>
  <c r="BQ76" i="1"/>
  <c r="AX76" i="1"/>
  <c r="AW76" i="1"/>
  <c r="AV76" i="1"/>
  <c r="AU76" i="1"/>
  <c r="AM76" i="1"/>
  <c r="BM76" i="1" s="1"/>
  <c r="AL76" i="1"/>
  <c r="AG76" i="1"/>
  <c r="AF76" i="1"/>
  <c r="AE76" i="1"/>
  <c r="AD76" i="1"/>
  <c r="Z76" i="1"/>
  <c r="V76" i="1"/>
  <c r="L76" i="1"/>
  <c r="M76" i="1" s="1"/>
  <c r="E76" i="1"/>
  <c r="G76" i="1" s="1"/>
  <c r="O76" i="1" s="1"/>
  <c r="P76" i="1" s="1"/>
  <c r="R76" i="1" s="1"/>
  <c r="BQ75" i="1"/>
  <c r="AX75" i="1"/>
  <c r="AW75" i="1"/>
  <c r="AM75" i="1"/>
  <c r="BK75" i="1" s="1"/>
  <c r="AL75" i="1"/>
  <c r="AG75" i="1"/>
  <c r="AF75" i="1"/>
  <c r="AE75" i="1"/>
  <c r="AD75" i="1"/>
  <c r="Z75" i="1"/>
  <c r="V75" i="1"/>
  <c r="L75" i="1"/>
  <c r="M75" i="1" s="1"/>
  <c r="E75" i="1"/>
  <c r="G75" i="1" s="1"/>
  <c r="O75" i="1" s="1"/>
  <c r="P75" i="1" s="1"/>
  <c r="R75" i="1" s="1"/>
  <c r="BQ74" i="1"/>
  <c r="AX74" i="1"/>
  <c r="AW74" i="1"/>
  <c r="AM74" i="1"/>
  <c r="BM74" i="1" s="1"/>
  <c r="AL74" i="1"/>
  <c r="AG74" i="1"/>
  <c r="AF74" i="1"/>
  <c r="AE74" i="1"/>
  <c r="AD74" i="1"/>
  <c r="Z74" i="1"/>
  <c r="V74" i="1"/>
  <c r="L74" i="1"/>
  <c r="M74" i="1" s="1"/>
  <c r="E74" i="1"/>
  <c r="G74" i="1" s="1"/>
  <c r="O74" i="1" s="1"/>
  <c r="P74" i="1" s="1"/>
  <c r="R74" i="1" s="1"/>
  <c r="BQ73" i="1"/>
  <c r="AX73" i="1"/>
  <c r="AW73" i="1"/>
  <c r="AM73" i="1"/>
  <c r="BK73" i="1" s="1"/>
  <c r="AL73" i="1"/>
  <c r="AG73" i="1"/>
  <c r="AF73" i="1"/>
  <c r="AE73" i="1"/>
  <c r="AD73" i="1"/>
  <c r="Z73" i="1"/>
  <c r="V73" i="1"/>
  <c r="L73" i="1"/>
  <c r="M73" i="1" s="1"/>
  <c r="E73" i="1"/>
  <c r="G73" i="1" s="1"/>
  <c r="O73" i="1" s="1"/>
  <c r="P73" i="1" s="1"/>
  <c r="R73" i="1" s="1"/>
  <c r="BQ72" i="1"/>
  <c r="AX72" i="1"/>
  <c r="AW72" i="1"/>
  <c r="AM72" i="1"/>
  <c r="BM72" i="1" s="1"/>
  <c r="AL72" i="1"/>
  <c r="AG72" i="1"/>
  <c r="AF72" i="1"/>
  <c r="AE72" i="1"/>
  <c r="AD72" i="1"/>
  <c r="Z72" i="1"/>
  <c r="V72" i="1"/>
  <c r="L72" i="1"/>
  <c r="M72" i="1" s="1"/>
  <c r="E72" i="1"/>
  <c r="G72" i="1" s="1"/>
  <c r="O72" i="1" s="1"/>
  <c r="P72" i="1" s="1"/>
  <c r="R72" i="1" s="1"/>
  <c r="BQ71" i="1"/>
  <c r="AX71" i="1"/>
  <c r="AW71" i="1"/>
  <c r="AV71" i="1"/>
  <c r="AU71" i="1"/>
  <c r="AM71" i="1"/>
  <c r="BM71" i="1" s="1"/>
  <c r="AL71" i="1"/>
  <c r="AG71" i="1"/>
  <c r="AF71" i="1"/>
  <c r="AE71" i="1"/>
  <c r="AD71" i="1"/>
  <c r="Z71" i="1"/>
  <c r="V71" i="1"/>
  <c r="L71" i="1"/>
  <c r="M71" i="1" s="1"/>
  <c r="E71" i="1"/>
  <c r="G71" i="1" s="1"/>
  <c r="O71" i="1" s="1"/>
  <c r="P71" i="1" s="1"/>
  <c r="R71" i="1" s="1"/>
  <c r="BQ70" i="1"/>
  <c r="AX70" i="1"/>
  <c r="AW70" i="1"/>
  <c r="AV70" i="1"/>
  <c r="AU70" i="1"/>
  <c r="AM70" i="1"/>
  <c r="AO70" i="1" s="1"/>
  <c r="AP70" i="1" s="1"/>
  <c r="AQ70" i="1" s="1"/>
  <c r="AG70" i="1"/>
  <c r="AF70" i="1"/>
  <c r="AE70" i="1"/>
  <c r="AD70" i="1"/>
  <c r="Z70" i="1"/>
  <c r="V70" i="1"/>
  <c r="L70" i="1"/>
  <c r="M70" i="1" s="1"/>
  <c r="E70" i="1"/>
  <c r="G70" i="1" s="1"/>
  <c r="O70" i="1" s="1"/>
  <c r="P70" i="1" s="1"/>
  <c r="R70" i="1" s="1"/>
  <c r="BQ69" i="1"/>
  <c r="AX69" i="1"/>
  <c r="AW69" i="1"/>
  <c r="AV69" i="1"/>
  <c r="AU69" i="1"/>
  <c r="AM69" i="1"/>
  <c r="BM69" i="1" s="1"/>
  <c r="AL69" i="1"/>
  <c r="AG69" i="1"/>
  <c r="AF69" i="1"/>
  <c r="AE69" i="1"/>
  <c r="AD69" i="1"/>
  <c r="Z69" i="1"/>
  <c r="V69" i="1"/>
  <c r="L69" i="1"/>
  <c r="M69" i="1" s="1"/>
  <c r="E69" i="1"/>
  <c r="AT69" i="1" s="1"/>
  <c r="BQ68" i="1"/>
  <c r="AX68" i="1"/>
  <c r="AW68" i="1"/>
  <c r="AM68" i="1"/>
  <c r="BK68" i="1" s="1"/>
  <c r="AG68" i="1"/>
  <c r="AF68" i="1"/>
  <c r="AE68" i="1"/>
  <c r="AD68" i="1"/>
  <c r="Z68" i="1"/>
  <c r="V68" i="1"/>
  <c r="L68" i="1"/>
  <c r="M68" i="1" s="1"/>
  <c r="E68" i="1"/>
  <c r="G68" i="1" s="1"/>
  <c r="O68" i="1" s="1"/>
  <c r="P68" i="1" s="1"/>
  <c r="R68" i="1" s="1"/>
  <c r="BQ67" i="1"/>
  <c r="AX67" i="1"/>
  <c r="AW67" i="1"/>
  <c r="AY67" i="1" s="1"/>
  <c r="AM67" i="1"/>
  <c r="BM67" i="1" s="1"/>
  <c r="AG67" i="1"/>
  <c r="AF67" i="1"/>
  <c r="AE67" i="1"/>
  <c r="AD67" i="1"/>
  <c r="Z67" i="1"/>
  <c r="V67" i="1"/>
  <c r="L67" i="1"/>
  <c r="M67" i="1" s="1"/>
  <c r="E67" i="1"/>
  <c r="AT67" i="1" s="1"/>
  <c r="BU102" i="1"/>
  <c r="BR102" i="1"/>
  <c r="AX102" i="1"/>
  <c r="AW102" i="1"/>
  <c r="AV102" i="1"/>
  <c r="AU102" i="1"/>
  <c r="AM102" i="1"/>
  <c r="BN102" i="1" s="1"/>
  <c r="AL102" i="1"/>
  <c r="AG102" i="1"/>
  <c r="AF102" i="1"/>
  <c r="AE102" i="1"/>
  <c r="AD102" i="1"/>
  <c r="Z102" i="1"/>
  <c r="V102" i="1"/>
  <c r="O102" i="1"/>
  <c r="P102" i="1" s="1"/>
  <c r="R102" i="1" s="1"/>
  <c r="L102" i="1"/>
  <c r="M102" i="1" s="1"/>
  <c r="E102" i="1"/>
  <c r="AT102" i="1" s="1"/>
  <c r="BR101" i="1"/>
  <c r="AX101" i="1"/>
  <c r="AW101" i="1"/>
  <c r="AV101" i="1"/>
  <c r="AU101" i="1"/>
  <c r="AM101" i="1"/>
  <c r="BN101" i="1" s="1"/>
  <c r="AL101" i="1"/>
  <c r="AC101" i="1"/>
  <c r="AB101" i="1"/>
  <c r="AA101" i="1"/>
  <c r="AE101" i="1" s="1"/>
  <c r="Y101" i="1"/>
  <c r="X101" i="1"/>
  <c r="U101" i="1"/>
  <c r="T101" i="1"/>
  <c r="N101" i="1"/>
  <c r="L101" i="1"/>
  <c r="M101" i="1" s="1"/>
  <c r="E101" i="1"/>
  <c r="AT101" i="1" s="1"/>
  <c r="BR100" i="1"/>
  <c r="AX100" i="1"/>
  <c r="AW100" i="1"/>
  <c r="AV100" i="1"/>
  <c r="AU100" i="1"/>
  <c r="AM100" i="1"/>
  <c r="AO100" i="1" s="1"/>
  <c r="AP100" i="1" s="1"/>
  <c r="AQ100" i="1" s="1"/>
  <c r="AL100" i="1"/>
  <c r="AC100" i="1"/>
  <c r="AB100" i="1"/>
  <c r="AA100" i="1"/>
  <c r="AE100" i="1" s="1"/>
  <c r="Y100" i="1"/>
  <c r="X100" i="1"/>
  <c r="T100" i="1"/>
  <c r="N100" i="1"/>
  <c r="L100" i="1"/>
  <c r="M100" i="1" s="1"/>
  <c r="E100" i="1"/>
  <c r="AT100" i="1" s="1"/>
  <c r="BR99" i="1"/>
  <c r="AX99" i="1"/>
  <c r="AW99" i="1"/>
  <c r="AV99" i="1"/>
  <c r="AU99" i="1"/>
  <c r="AM99" i="1"/>
  <c r="BN99" i="1" s="1"/>
  <c r="AL99" i="1"/>
  <c r="AC99" i="1"/>
  <c r="AB99" i="1"/>
  <c r="AA99" i="1"/>
  <c r="AE99" i="1" s="1"/>
  <c r="Y99" i="1"/>
  <c r="X99" i="1"/>
  <c r="U99" i="1"/>
  <c r="T99" i="1"/>
  <c r="L99" i="1"/>
  <c r="M99" i="1" s="1"/>
  <c r="E99" i="1"/>
  <c r="AT99" i="1" s="1"/>
  <c r="BR98" i="1"/>
  <c r="BN98" i="1"/>
  <c r="BL98" i="1"/>
  <c r="AV98" i="1"/>
  <c r="AU98" i="1"/>
  <c r="AY98" i="1" s="1"/>
  <c r="AO98" i="1"/>
  <c r="AP98" i="1" s="1"/>
  <c r="AQ98" i="1" s="1"/>
  <c r="AG98" i="1"/>
  <c r="AF98" i="1"/>
  <c r="AE98" i="1"/>
  <c r="AD98" i="1"/>
  <c r="Z98" i="1"/>
  <c r="V98" i="1"/>
  <c r="L98" i="1"/>
  <c r="M98" i="1" s="1"/>
  <c r="E98" i="1"/>
  <c r="AT98" i="1" s="1"/>
  <c r="BR97" i="1"/>
  <c r="BN97" i="1"/>
  <c r="BL97" i="1"/>
  <c r="AX97" i="1"/>
  <c r="AW97" i="1"/>
  <c r="AV97" i="1"/>
  <c r="AU97" i="1"/>
  <c r="AO97" i="1"/>
  <c r="AP97" i="1" s="1"/>
  <c r="AQ97" i="1" s="1"/>
  <c r="AG97" i="1"/>
  <c r="AF97" i="1"/>
  <c r="AE97" i="1"/>
  <c r="AD97" i="1"/>
  <c r="Z97" i="1"/>
  <c r="V97" i="1"/>
  <c r="L97" i="1"/>
  <c r="M97" i="1" s="1"/>
  <c r="E97" i="1"/>
  <c r="AT97" i="1" s="1"/>
  <c r="BR96" i="1"/>
  <c r="AX96" i="1"/>
  <c r="AW96" i="1"/>
  <c r="AV96" i="1"/>
  <c r="AU96" i="1"/>
  <c r="AM96" i="1"/>
  <c r="BN96" i="1" s="1"/>
  <c r="AL96" i="1"/>
  <c r="AG96" i="1"/>
  <c r="AF96" i="1"/>
  <c r="AE96" i="1"/>
  <c r="AD96" i="1"/>
  <c r="Z96" i="1"/>
  <c r="V96" i="1"/>
  <c r="N96" i="1"/>
  <c r="L96" i="1"/>
  <c r="M96" i="1" s="1"/>
  <c r="E96" i="1"/>
  <c r="AT96" i="1" s="1"/>
  <c r="BR95" i="1"/>
  <c r="BN95" i="1"/>
  <c r="BL95" i="1"/>
  <c r="AW95" i="1"/>
  <c r="AV95" i="1"/>
  <c r="AU95" i="1"/>
  <c r="AO95" i="1"/>
  <c r="AP95" i="1" s="1"/>
  <c r="AQ95" i="1" s="1"/>
  <c r="AG95" i="1"/>
  <c r="AF95" i="1"/>
  <c r="AE95" i="1"/>
  <c r="AD95" i="1"/>
  <c r="Z95" i="1"/>
  <c r="V95" i="1"/>
  <c r="L95" i="1"/>
  <c r="M95" i="1" s="1"/>
  <c r="E95" i="1"/>
  <c r="G95" i="1" s="1"/>
  <c r="O95" i="1" s="1"/>
  <c r="P95" i="1" s="1"/>
  <c r="R95" i="1" s="1"/>
  <c r="BR94" i="1"/>
  <c r="AW94" i="1"/>
  <c r="AV94" i="1"/>
  <c r="AU94" i="1"/>
  <c r="AM94" i="1"/>
  <c r="BL94" i="1" s="1"/>
  <c r="AG94" i="1"/>
  <c r="AF94" i="1"/>
  <c r="AE94" i="1"/>
  <c r="AD94" i="1"/>
  <c r="Z94" i="1"/>
  <c r="V94" i="1"/>
  <c r="L94" i="1"/>
  <c r="M94" i="1" s="1"/>
  <c r="E94" i="1"/>
  <c r="G94" i="1" s="1"/>
  <c r="O94" i="1" s="1"/>
  <c r="P94" i="1" s="1"/>
  <c r="R94" i="1" s="1"/>
  <c r="BR93" i="1"/>
  <c r="AX93" i="1"/>
  <c r="AW93" i="1"/>
  <c r="AV93" i="1"/>
  <c r="AU93" i="1"/>
  <c r="AM93" i="1"/>
  <c r="BL93" i="1" s="1"/>
  <c r="AL93" i="1"/>
  <c r="AG93" i="1"/>
  <c r="AF93" i="1"/>
  <c r="AE93" i="1"/>
  <c r="AD93" i="1"/>
  <c r="Z93" i="1"/>
  <c r="V93" i="1"/>
  <c r="L93" i="1"/>
  <c r="M93" i="1" s="1"/>
  <c r="E93" i="1"/>
  <c r="AT93" i="1" s="1"/>
  <c r="BR92" i="1"/>
  <c r="AX92" i="1"/>
  <c r="AW92" i="1"/>
  <c r="AV92" i="1"/>
  <c r="AU92" i="1"/>
  <c r="AM92" i="1"/>
  <c r="BL92" i="1" s="1"/>
  <c r="AL92" i="1"/>
  <c r="AG92" i="1"/>
  <c r="AF92" i="1"/>
  <c r="AE92" i="1"/>
  <c r="AD92" i="1"/>
  <c r="Z92" i="1"/>
  <c r="V92" i="1"/>
  <c r="L92" i="1"/>
  <c r="M92" i="1" s="1"/>
  <c r="E92" i="1"/>
  <c r="AT92" i="1" s="1"/>
  <c r="BR91" i="1"/>
  <c r="AX91" i="1"/>
  <c r="AW91" i="1"/>
  <c r="AV91" i="1"/>
  <c r="AU91" i="1"/>
  <c r="AM91" i="1"/>
  <c r="BN91" i="1" s="1"/>
  <c r="AL91" i="1"/>
  <c r="AG91" i="1"/>
  <c r="AF91" i="1"/>
  <c r="AE91" i="1"/>
  <c r="AD91" i="1"/>
  <c r="Z91" i="1"/>
  <c r="V91" i="1"/>
  <c r="L91" i="1"/>
  <c r="M91" i="1" s="1"/>
  <c r="E91" i="1"/>
  <c r="AT91" i="1" s="1"/>
  <c r="AX126" i="1"/>
  <c r="AW126" i="1"/>
  <c r="AM126" i="1"/>
  <c r="BL126" i="1" s="1"/>
  <c r="AG126" i="1"/>
  <c r="AF126" i="1"/>
  <c r="AE126" i="1"/>
  <c r="AD126" i="1"/>
  <c r="Z126" i="1"/>
  <c r="V126" i="1"/>
  <c r="L126" i="1"/>
  <c r="M126" i="1" s="1"/>
  <c r="E126" i="1"/>
  <c r="G126" i="1" s="1"/>
  <c r="O126" i="1" s="1"/>
  <c r="P126" i="1" s="1"/>
  <c r="AX125" i="1"/>
  <c r="AW125" i="1"/>
  <c r="AM125" i="1"/>
  <c r="BN125" i="1" s="1"/>
  <c r="AG125" i="1"/>
  <c r="AF125" i="1"/>
  <c r="AE125" i="1"/>
  <c r="AD125" i="1"/>
  <c r="Z125" i="1"/>
  <c r="V125" i="1"/>
  <c r="L125" i="1"/>
  <c r="M125" i="1" s="1"/>
  <c r="E125" i="1"/>
  <c r="AT125" i="1" s="1"/>
  <c r="AX124" i="1"/>
  <c r="AW124" i="1"/>
  <c r="AM124" i="1"/>
  <c r="BN124" i="1" s="1"/>
  <c r="AG124" i="1"/>
  <c r="AF124" i="1"/>
  <c r="AE124" i="1"/>
  <c r="AD124" i="1"/>
  <c r="Z124" i="1"/>
  <c r="V124" i="1"/>
  <c r="L124" i="1"/>
  <c r="M124" i="1" s="1"/>
  <c r="E124" i="1"/>
  <c r="G124" i="1" s="1"/>
  <c r="O124" i="1" s="1"/>
  <c r="P124" i="1" s="1"/>
  <c r="AX123" i="1"/>
  <c r="AW123" i="1"/>
  <c r="AM123" i="1"/>
  <c r="BN123" i="1" s="1"/>
  <c r="AL123" i="1"/>
  <c r="AG123" i="1"/>
  <c r="AF123" i="1"/>
  <c r="AE123" i="1"/>
  <c r="AD123" i="1"/>
  <c r="Z123" i="1"/>
  <c r="V123" i="1"/>
  <c r="L123" i="1"/>
  <c r="M123" i="1" s="1"/>
  <c r="E123" i="1"/>
  <c r="AT123" i="1" s="1"/>
  <c r="AX122" i="1"/>
  <c r="AW122" i="1"/>
  <c r="AV122" i="1"/>
  <c r="AM122" i="1"/>
  <c r="AO122" i="1" s="1"/>
  <c r="AP122" i="1" s="1"/>
  <c r="AQ122" i="1" s="1"/>
  <c r="AG122" i="1"/>
  <c r="AF122" i="1"/>
  <c r="AE122" i="1"/>
  <c r="AD122" i="1"/>
  <c r="Z122" i="1"/>
  <c r="V122" i="1"/>
  <c r="L122" i="1"/>
  <c r="M122" i="1" s="1"/>
  <c r="E122" i="1"/>
  <c r="AT122" i="1" s="1"/>
  <c r="AX121" i="1"/>
  <c r="AW121" i="1"/>
  <c r="AM121" i="1"/>
  <c r="BN121" i="1" s="1"/>
  <c r="AL121" i="1"/>
  <c r="AG121" i="1"/>
  <c r="AF121" i="1"/>
  <c r="AE121" i="1"/>
  <c r="AD121" i="1"/>
  <c r="Z121" i="1"/>
  <c r="V121" i="1"/>
  <c r="L121" i="1"/>
  <c r="M121" i="1" s="1"/>
  <c r="E121" i="1"/>
  <c r="AT121" i="1" s="1"/>
  <c r="AX120" i="1"/>
  <c r="AW120" i="1"/>
  <c r="AM120" i="1"/>
  <c r="BN120" i="1" s="1"/>
  <c r="AL120" i="1"/>
  <c r="AG120" i="1"/>
  <c r="AF120" i="1"/>
  <c r="AE120" i="1"/>
  <c r="AD120" i="1"/>
  <c r="Z120" i="1"/>
  <c r="V120" i="1"/>
  <c r="L120" i="1"/>
  <c r="M120" i="1" s="1"/>
  <c r="E120" i="1"/>
  <c r="AT120" i="1" s="1"/>
  <c r="AX119" i="1"/>
  <c r="AW119" i="1"/>
  <c r="AM119" i="1"/>
  <c r="BN119" i="1" s="1"/>
  <c r="AL119" i="1"/>
  <c r="AG119" i="1"/>
  <c r="AF119" i="1"/>
  <c r="AD119" i="1"/>
  <c r="AA119" i="1"/>
  <c r="AE119" i="1" s="1"/>
  <c r="Z119" i="1"/>
  <c r="V119" i="1"/>
  <c r="L119" i="1"/>
  <c r="M119" i="1" s="1"/>
  <c r="E119" i="1"/>
  <c r="AT119" i="1" s="1"/>
  <c r="AX118" i="1"/>
  <c r="AW118" i="1"/>
  <c r="AM118" i="1"/>
  <c r="BL118" i="1" s="1"/>
  <c r="AL118" i="1"/>
  <c r="AG118" i="1"/>
  <c r="AF118" i="1"/>
  <c r="AE118" i="1"/>
  <c r="AD118" i="1"/>
  <c r="Z118" i="1"/>
  <c r="V118" i="1"/>
  <c r="L118" i="1"/>
  <c r="M118" i="1" s="1"/>
  <c r="E118" i="1"/>
  <c r="AT118" i="1" s="1"/>
  <c r="AX117" i="1"/>
  <c r="AW117" i="1"/>
  <c r="AU117" i="1"/>
  <c r="AM117" i="1"/>
  <c r="BN117" i="1" s="1"/>
  <c r="AL117" i="1"/>
  <c r="AG117" i="1"/>
  <c r="AF117" i="1"/>
  <c r="AE117" i="1"/>
  <c r="AD117" i="1"/>
  <c r="Z117" i="1"/>
  <c r="V117" i="1"/>
  <c r="L117" i="1"/>
  <c r="M117" i="1" s="1"/>
  <c r="E117" i="1"/>
  <c r="AT117" i="1" s="1"/>
  <c r="AX116" i="1"/>
  <c r="AW116" i="1"/>
  <c r="AM116" i="1"/>
  <c r="BN116" i="1" s="1"/>
  <c r="AL116" i="1"/>
  <c r="AG116" i="1"/>
  <c r="AF116" i="1"/>
  <c r="AE116" i="1"/>
  <c r="AD116" i="1"/>
  <c r="Z116" i="1"/>
  <c r="V116" i="1"/>
  <c r="L116" i="1"/>
  <c r="M116" i="1" s="1"/>
  <c r="E116" i="1"/>
  <c r="AT116" i="1" s="1"/>
  <c r="AX115" i="1"/>
  <c r="AW115" i="1"/>
  <c r="AU115" i="1"/>
  <c r="AM115" i="1"/>
  <c r="AO115" i="1" s="1"/>
  <c r="AP115" i="1" s="1"/>
  <c r="AQ115" i="1" s="1"/>
  <c r="AL115" i="1"/>
  <c r="AG115" i="1"/>
  <c r="AF115" i="1"/>
  <c r="AE115" i="1"/>
  <c r="AD115" i="1"/>
  <c r="Z115" i="1"/>
  <c r="V115" i="1"/>
  <c r="L115" i="1"/>
  <c r="M115" i="1" s="1"/>
  <c r="E115" i="1"/>
  <c r="AT115" i="1" s="1"/>
  <c r="BR114" i="1"/>
  <c r="AX114" i="1"/>
  <c r="AW114" i="1"/>
  <c r="AM114" i="1"/>
  <c r="BN114" i="1" s="1"/>
  <c r="AL114" i="1"/>
  <c r="AG114" i="1"/>
  <c r="AF114" i="1"/>
  <c r="AE114" i="1"/>
  <c r="AD114" i="1"/>
  <c r="Z114" i="1"/>
  <c r="V114" i="1"/>
  <c r="L114" i="1"/>
  <c r="M114" i="1" s="1"/>
  <c r="E114" i="1"/>
  <c r="AT114" i="1" s="1"/>
  <c r="BR113" i="1"/>
  <c r="AX113" i="1"/>
  <c r="AW113" i="1"/>
  <c r="AM113" i="1"/>
  <c r="BN113" i="1" s="1"/>
  <c r="AL113" i="1"/>
  <c r="AG113" i="1"/>
  <c r="AF113" i="1"/>
  <c r="AE113" i="1"/>
  <c r="AD113" i="1"/>
  <c r="Z113" i="1"/>
  <c r="V113" i="1"/>
  <c r="L113" i="1"/>
  <c r="M113" i="1" s="1"/>
  <c r="E113" i="1"/>
  <c r="AT113" i="1" s="1"/>
  <c r="BR112" i="1"/>
  <c r="AX112" i="1"/>
  <c r="AW112" i="1"/>
  <c r="AV112" i="1"/>
  <c r="AU112" i="1"/>
  <c r="AM112" i="1"/>
  <c r="BL112" i="1" s="1"/>
  <c r="AL112" i="1"/>
  <c r="AG112" i="1"/>
  <c r="AF112" i="1"/>
  <c r="AE112" i="1"/>
  <c r="AD112" i="1"/>
  <c r="Z112" i="1"/>
  <c r="V112" i="1"/>
  <c r="L112" i="1"/>
  <c r="M112" i="1" s="1"/>
  <c r="E112" i="1"/>
  <c r="AT112" i="1" s="1"/>
  <c r="BR111" i="1"/>
  <c r="AX111" i="1"/>
  <c r="AW111" i="1"/>
  <c r="AV111" i="1"/>
  <c r="AU111" i="1"/>
  <c r="AM111" i="1"/>
  <c r="AO111" i="1" s="1"/>
  <c r="AP111" i="1" s="1"/>
  <c r="AQ111" i="1" s="1"/>
  <c r="AL111" i="1"/>
  <c r="AG111" i="1"/>
  <c r="AF111" i="1"/>
  <c r="AD111" i="1"/>
  <c r="AA111" i="1"/>
  <c r="AE111" i="1" s="1"/>
  <c r="Z111" i="1"/>
  <c r="V111" i="1"/>
  <c r="L111" i="1"/>
  <c r="M111" i="1" s="1"/>
  <c r="E111" i="1"/>
  <c r="AT111" i="1" s="1"/>
  <c r="BR110" i="1"/>
  <c r="AX110" i="1"/>
  <c r="AW110" i="1"/>
  <c r="AV110" i="1"/>
  <c r="AU110" i="1"/>
  <c r="AM110" i="1"/>
  <c r="BN110" i="1" s="1"/>
  <c r="AL110" i="1"/>
  <c r="AG110" i="1"/>
  <c r="AF110" i="1"/>
  <c r="AE110" i="1"/>
  <c r="AD110" i="1"/>
  <c r="Z110" i="1"/>
  <c r="V110" i="1"/>
  <c r="L110" i="1"/>
  <c r="M110" i="1" s="1"/>
  <c r="E110" i="1"/>
  <c r="AT110" i="1" s="1"/>
  <c r="BR109" i="1"/>
  <c r="AX109" i="1"/>
  <c r="AW109" i="1"/>
  <c r="AV109" i="1"/>
  <c r="AU109" i="1"/>
  <c r="AM109" i="1"/>
  <c r="BL109" i="1" s="1"/>
  <c r="AL109" i="1"/>
  <c r="AG109" i="1"/>
  <c r="AF109" i="1"/>
  <c r="AE109" i="1"/>
  <c r="AD109" i="1"/>
  <c r="Z109" i="1"/>
  <c r="V109" i="1"/>
  <c r="L109" i="1"/>
  <c r="M109" i="1" s="1"/>
  <c r="E109" i="1"/>
  <c r="AT109" i="1" s="1"/>
  <c r="BR108" i="1"/>
  <c r="AX108" i="1"/>
  <c r="AW108" i="1"/>
  <c r="AV108" i="1"/>
  <c r="AU108" i="1"/>
  <c r="AM108" i="1"/>
  <c r="AO108" i="1" s="1"/>
  <c r="AP108" i="1" s="1"/>
  <c r="AQ108" i="1" s="1"/>
  <c r="AL108" i="1"/>
  <c r="AG108" i="1"/>
  <c r="AF108" i="1"/>
  <c r="AE108" i="1"/>
  <c r="AD108" i="1"/>
  <c r="Z108" i="1"/>
  <c r="V108" i="1"/>
  <c r="L108" i="1"/>
  <c r="M108" i="1" s="1"/>
  <c r="E108" i="1"/>
  <c r="AT108" i="1" s="1"/>
  <c r="BR107" i="1"/>
  <c r="AX107" i="1"/>
  <c r="AW107" i="1"/>
  <c r="AV107" i="1"/>
  <c r="AU107" i="1"/>
  <c r="AM107" i="1"/>
  <c r="BL107" i="1" s="1"/>
  <c r="AL107" i="1"/>
  <c r="AG107" i="1"/>
  <c r="AF107" i="1"/>
  <c r="AE107" i="1"/>
  <c r="AD107" i="1"/>
  <c r="Z107" i="1"/>
  <c r="V107" i="1"/>
  <c r="L107" i="1"/>
  <c r="M107" i="1" s="1"/>
  <c r="E107" i="1"/>
  <c r="AT107" i="1" s="1"/>
  <c r="BR106" i="1"/>
  <c r="AX106" i="1"/>
  <c r="AW106" i="1"/>
  <c r="AV106" i="1"/>
  <c r="AU106" i="1"/>
  <c r="AM106" i="1"/>
  <c r="BL106" i="1" s="1"/>
  <c r="AL106" i="1"/>
  <c r="AG106" i="1"/>
  <c r="AF106" i="1"/>
  <c r="AE106" i="1"/>
  <c r="AD106" i="1"/>
  <c r="Z106" i="1"/>
  <c r="V106" i="1"/>
  <c r="L106" i="1"/>
  <c r="M106" i="1" s="1"/>
  <c r="E106" i="1"/>
  <c r="G106" i="1" s="1"/>
  <c r="O106" i="1" s="1"/>
  <c r="P106" i="1" s="1"/>
  <c r="BR105" i="1"/>
  <c r="AX105" i="1"/>
  <c r="AW105" i="1"/>
  <c r="AV105" i="1"/>
  <c r="AU105" i="1"/>
  <c r="AM105" i="1"/>
  <c r="BL105" i="1" s="1"/>
  <c r="AL105" i="1"/>
  <c r="AC105" i="1"/>
  <c r="AB105" i="1"/>
  <c r="AD105" i="1" s="1"/>
  <c r="AA105" i="1"/>
  <c r="AE105" i="1" s="1"/>
  <c r="Y105" i="1"/>
  <c r="X105" i="1"/>
  <c r="U105" i="1"/>
  <c r="T105" i="1"/>
  <c r="L105" i="1"/>
  <c r="M105" i="1" s="1"/>
  <c r="E105" i="1"/>
  <c r="AT105" i="1" s="1"/>
  <c r="BR104" i="1"/>
  <c r="BN104" i="1"/>
  <c r="BL104" i="1"/>
  <c r="AX104" i="1"/>
  <c r="AV104" i="1"/>
  <c r="AU104" i="1"/>
  <c r="AO104" i="1"/>
  <c r="AP104" i="1" s="1"/>
  <c r="AQ104" i="1" s="1"/>
  <c r="AL104" i="1"/>
  <c r="AG104" i="1"/>
  <c r="AF104" i="1"/>
  <c r="AE104" i="1"/>
  <c r="AD104" i="1"/>
  <c r="Z104" i="1"/>
  <c r="V104" i="1"/>
  <c r="L104" i="1"/>
  <c r="M104" i="1" s="1"/>
  <c r="E104" i="1"/>
  <c r="G104" i="1" s="1"/>
  <c r="O104" i="1" s="1"/>
  <c r="P104" i="1" s="1"/>
  <c r="BR103" i="1"/>
  <c r="BN103" i="1"/>
  <c r="BL103" i="1"/>
  <c r="AX103" i="1"/>
  <c r="AW103" i="1"/>
  <c r="AV103" i="1"/>
  <c r="AU103" i="1"/>
  <c r="AO103" i="1"/>
  <c r="AP103" i="1" s="1"/>
  <c r="AQ103" i="1" s="1"/>
  <c r="AL103" i="1"/>
  <c r="AG103" i="1"/>
  <c r="AF103" i="1"/>
  <c r="AE103" i="1"/>
  <c r="AD103" i="1"/>
  <c r="Z103" i="1"/>
  <c r="V103" i="1"/>
  <c r="L103" i="1"/>
  <c r="M103" i="1" s="1"/>
  <c r="E103" i="1"/>
  <c r="AT103" i="1" s="1"/>
  <c r="BU150" i="1"/>
  <c r="BR150" i="1"/>
  <c r="AY150" i="1"/>
  <c r="AM150" i="1"/>
  <c r="BN150" i="1" s="1"/>
  <c r="AG150" i="1"/>
  <c r="AF150" i="1"/>
  <c r="AE150" i="1"/>
  <c r="AD150" i="1"/>
  <c r="Z150" i="1"/>
  <c r="V150" i="1"/>
  <c r="L150" i="1"/>
  <c r="M150" i="1" s="1"/>
  <c r="E150" i="1"/>
  <c r="AT150" i="1" s="1"/>
  <c r="BU149" i="1"/>
  <c r="BR149" i="1"/>
  <c r="AY149" i="1"/>
  <c r="AM149" i="1"/>
  <c r="AO149" i="1" s="1"/>
  <c r="AP149" i="1" s="1"/>
  <c r="AQ149" i="1" s="1"/>
  <c r="AG149" i="1"/>
  <c r="AF149" i="1"/>
  <c r="AE149" i="1"/>
  <c r="AD149" i="1"/>
  <c r="Z149" i="1"/>
  <c r="V149" i="1"/>
  <c r="L149" i="1"/>
  <c r="M149" i="1" s="1"/>
  <c r="E149" i="1"/>
  <c r="AT149" i="1" s="1"/>
  <c r="BU148" i="1"/>
  <c r="BR148" i="1"/>
  <c r="AY148" i="1"/>
  <c r="AM148" i="1"/>
  <c r="BN148" i="1" s="1"/>
  <c r="AG148" i="1"/>
  <c r="AF148" i="1"/>
  <c r="AE148" i="1"/>
  <c r="AD148" i="1"/>
  <c r="Z148" i="1"/>
  <c r="V148" i="1"/>
  <c r="L148" i="1"/>
  <c r="M148" i="1" s="1"/>
  <c r="E148" i="1"/>
  <c r="G148" i="1" s="1"/>
  <c r="O148" i="1" s="1"/>
  <c r="P148" i="1" s="1"/>
  <c r="BU147" i="1"/>
  <c r="BR147" i="1"/>
  <c r="AY147" i="1"/>
  <c r="AM147" i="1"/>
  <c r="BN147" i="1" s="1"/>
  <c r="AG147" i="1"/>
  <c r="AF147" i="1"/>
  <c r="AE147" i="1"/>
  <c r="AD147" i="1"/>
  <c r="Z147" i="1"/>
  <c r="V147" i="1"/>
  <c r="L147" i="1"/>
  <c r="M147" i="1" s="1"/>
  <c r="E147" i="1"/>
  <c r="AT147" i="1" s="1"/>
  <c r="BU146" i="1"/>
  <c r="BR146" i="1"/>
  <c r="AY146" i="1"/>
  <c r="AM146" i="1"/>
  <c r="BN146" i="1" s="1"/>
  <c r="AG146" i="1"/>
  <c r="AF146" i="1"/>
  <c r="AE146" i="1"/>
  <c r="AD146" i="1"/>
  <c r="Z146" i="1"/>
  <c r="V146" i="1"/>
  <c r="L146" i="1"/>
  <c r="M146" i="1" s="1"/>
  <c r="E146" i="1"/>
  <c r="G146" i="1" s="1"/>
  <c r="O146" i="1" s="1"/>
  <c r="P146" i="1" s="1"/>
  <c r="BU145" i="1"/>
  <c r="BR145" i="1"/>
  <c r="AY145" i="1"/>
  <c r="AM145" i="1"/>
  <c r="BN145" i="1" s="1"/>
  <c r="AG145" i="1"/>
  <c r="AF145" i="1"/>
  <c r="AE145" i="1"/>
  <c r="AD145" i="1"/>
  <c r="Z145" i="1"/>
  <c r="V145" i="1"/>
  <c r="L145" i="1"/>
  <c r="M145" i="1" s="1"/>
  <c r="E145" i="1"/>
  <c r="AT145" i="1" s="1"/>
  <c r="BU144" i="1"/>
  <c r="BR144" i="1"/>
  <c r="AY144" i="1"/>
  <c r="AM144" i="1"/>
  <c r="BL144" i="1" s="1"/>
  <c r="AG144" i="1"/>
  <c r="AF144" i="1"/>
  <c r="AE144" i="1"/>
  <c r="AD144" i="1"/>
  <c r="Z144" i="1"/>
  <c r="V144" i="1"/>
  <c r="L144" i="1"/>
  <c r="M144" i="1" s="1"/>
  <c r="E144" i="1"/>
  <c r="AT144" i="1" s="1"/>
  <c r="BU143" i="1"/>
  <c r="BR143" i="1"/>
  <c r="AY143" i="1"/>
  <c r="AM143" i="1"/>
  <c r="BN143" i="1" s="1"/>
  <c r="AG143" i="1"/>
  <c r="AF143" i="1"/>
  <c r="AE143" i="1"/>
  <c r="AD143" i="1"/>
  <c r="Z143" i="1"/>
  <c r="V143" i="1"/>
  <c r="L143" i="1"/>
  <c r="M143" i="1" s="1"/>
  <c r="E143" i="1"/>
  <c r="AT143" i="1" s="1"/>
  <c r="BU142" i="1"/>
  <c r="BR142" i="1"/>
  <c r="AY142" i="1"/>
  <c r="AM142" i="1"/>
  <c r="BN142" i="1" s="1"/>
  <c r="AG142" i="1"/>
  <c r="AF142" i="1"/>
  <c r="AE142" i="1"/>
  <c r="AD142" i="1"/>
  <c r="Z142" i="1"/>
  <c r="V142" i="1"/>
  <c r="L142" i="1"/>
  <c r="M142" i="1" s="1"/>
  <c r="E142" i="1"/>
  <c r="AT142" i="1" s="1"/>
  <c r="BU141" i="1"/>
  <c r="BR141" i="1"/>
  <c r="AY141" i="1"/>
  <c r="AM141" i="1"/>
  <c r="AO141" i="1" s="1"/>
  <c r="AP141" i="1" s="1"/>
  <c r="AQ141" i="1" s="1"/>
  <c r="AG141" i="1"/>
  <c r="AF141" i="1"/>
  <c r="AE141" i="1"/>
  <c r="AD141" i="1"/>
  <c r="Z141" i="1"/>
  <c r="V141" i="1"/>
  <c r="L141" i="1"/>
  <c r="M141" i="1" s="1"/>
  <c r="E141" i="1"/>
  <c r="AT141" i="1" s="1"/>
  <c r="BU140" i="1"/>
  <c r="BR140" i="1"/>
  <c r="AY140" i="1"/>
  <c r="AM140" i="1"/>
  <c r="BN140" i="1" s="1"/>
  <c r="AG140" i="1"/>
  <c r="AF140" i="1"/>
  <c r="AE140" i="1"/>
  <c r="AD140" i="1"/>
  <c r="Z140" i="1"/>
  <c r="V140" i="1"/>
  <c r="L140" i="1"/>
  <c r="M140" i="1" s="1"/>
  <c r="E140" i="1"/>
  <c r="G140" i="1" s="1"/>
  <c r="O140" i="1" s="1"/>
  <c r="P140" i="1" s="1"/>
  <c r="BU139" i="1"/>
  <c r="BR139" i="1"/>
  <c r="AY139" i="1"/>
  <c r="AM139" i="1"/>
  <c r="BN139" i="1" s="1"/>
  <c r="AG139" i="1"/>
  <c r="AF139" i="1"/>
  <c r="AE139" i="1"/>
  <c r="AD139" i="1"/>
  <c r="Z139" i="1"/>
  <c r="V139" i="1"/>
  <c r="L139" i="1"/>
  <c r="M139" i="1" s="1"/>
  <c r="E139" i="1"/>
  <c r="AT139" i="1" s="1"/>
  <c r="BU138" i="1"/>
  <c r="BR138" i="1"/>
  <c r="AY138" i="1"/>
  <c r="AM138" i="1"/>
  <c r="BN138" i="1" s="1"/>
  <c r="AG138" i="1"/>
  <c r="AF138" i="1"/>
  <c r="AE138" i="1"/>
  <c r="AD138" i="1"/>
  <c r="Z138" i="1"/>
  <c r="V138" i="1"/>
  <c r="L138" i="1"/>
  <c r="M138" i="1" s="1"/>
  <c r="E138" i="1"/>
  <c r="AT138" i="1" s="1"/>
  <c r="BU137" i="1"/>
  <c r="BR137" i="1"/>
  <c r="AY137" i="1"/>
  <c r="AM137" i="1"/>
  <c r="BN137" i="1" s="1"/>
  <c r="AG137" i="1"/>
  <c r="AF137" i="1"/>
  <c r="AE137" i="1"/>
  <c r="AD137" i="1"/>
  <c r="Z137" i="1"/>
  <c r="V137" i="1"/>
  <c r="L137" i="1"/>
  <c r="M137" i="1" s="1"/>
  <c r="E137" i="1"/>
  <c r="AT137" i="1" s="1"/>
  <c r="BU136" i="1"/>
  <c r="BR136" i="1"/>
  <c r="AY136" i="1"/>
  <c r="AM136" i="1"/>
  <c r="BL136" i="1" s="1"/>
  <c r="AG136" i="1"/>
  <c r="AF136" i="1"/>
  <c r="AE136" i="1"/>
  <c r="AD136" i="1"/>
  <c r="Z136" i="1"/>
  <c r="V136" i="1"/>
  <c r="L136" i="1"/>
  <c r="M136" i="1" s="1"/>
  <c r="G136" i="1"/>
  <c r="O136" i="1" s="1"/>
  <c r="P136" i="1" s="1"/>
  <c r="E136" i="1"/>
  <c r="AT136" i="1" s="1"/>
  <c r="BU135" i="1"/>
  <c r="BR135" i="1"/>
  <c r="AY135" i="1"/>
  <c r="AM135" i="1"/>
  <c r="BN135" i="1" s="1"/>
  <c r="AG135" i="1"/>
  <c r="AF135" i="1"/>
  <c r="AE135" i="1"/>
  <c r="AD135" i="1"/>
  <c r="Z135" i="1"/>
  <c r="V135" i="1"/>
  <c r="L135" i="1"/>
  <c r="M135" i="1" s="1"/>
  <c r="E135" i="1"/>
  <c r="AT135" i="1" s="1"/>
  <c r="BU134" i="1"/>
  <c r="BR134" i="1"/>
  <c r="AY134" i="1"/>
  <c r="AM134" i="1"/>
  <c r="BN134" i="1" s="1"/>
  <c r="AG134" i="1"/>
  <c r="AF134" i="1"/>
  <c r="AE134" i="1"/>
  <c r="AD134" i="1"/>
  <c r="Z134" i="1"/>
  <c r="V134" i="1"/>
  <c r="L134" i="1"/>
  <c r="M134" i="1" s="1"/>
  <c r="E134" i="1"/>
  <c r="AT134" i="1" s="1"/>
  <c r="BU133" i="1"/>
  <c r="BR133" i="1"/>
  <c r="AY133" i="1"/>
  <c r="AM133" i="1"/>
  <c r="BN133" i="1" s="1"/>
  <c r="AG133" i="1"/>
  <c r="AF133" i="1"/>
  <c r="AE133" i="1"/>
  <c r="AD133" i="1"/>
  <c r="Z133" i="1"/>
  <c r="V133" i="1"/>
  <c r="L133" i="1"/>
  <c r="M133" i="1" s="1"/>
  <c r="E133" i="1"/>
  <c r="G133" i="1" s="1"/>
  <c r="O133" i="1" s="1"/>
  <c r="P133" i="1" s="1"/>
  <c r="BU132" i="1"/>
  <c r="BR132" i="1"/>
  <c r="AY132" i="1"/>
  <c r="AM132" i="1"/>
  <c r="BL132" i="1" s="1"/>
  <c r="AG132" i="1"/>
  <c r="AF132" i="1"/>
  <c r="AE132" i="1"/>
  <c r="AD132" i="1"/>
  <c r="Z132" i="1"/>
  <c r="V132" i="1"/>
  <c r="L132" i="1"/>
  <c r="M132" i="1" s="1"/>
  <c r="E132" i="1"/>
  <c r="AT132" i="1" s="1"/>
  <c r="BU131" i="1"/>
  <c r="BR131" i="1"/>
  <c r="AY131" i="1"/>
  <c r="AM131" i="1"/>
  <c r="BN131" i="1" s="1"/>
  <c r="AG131" i="1"/>
  <c r="AF131" i="1"/>
  <c r="AE131" i="1"/>
  <c r="AD131" i="1"/>
  <c r="Z131" i="1"/>
  <c r="V131" i="1"/>
  <c r="L131" i="1"/>
  <c r="M131" i="1" s="1"/>
  <c r="E131" i="1"/>
  <c r="AT131" i="1" s="1"/>
  <c r="BU130" i="1"/>
  <c r="BR130" i="1"/>
  <c r="AY130" i="1"/>
  <c r="AM130" i="1"/>
  <c r="BN130" i="1" s="1"/>
  <c r="AG130" i="1"/>
  <c r="AF130" i="1"/>
  <c r="AE130" i="1"/>
  <c r="AD130" i="1"/>
  <c r="Z130" i="1"/>
  <c r="V130" i="1"/>
  <c r="L130" i="1"/>
  <c r="M130" i="1" s="1"/>
  <c r="E130" i="1"/>
  <c r="AT130" i="1" s="1"/>
  <c r="BU129" i="1"/>
  <c r="BR129" i="1"/>
  <c r="AY129" i="1"/>
  <c r="AM129" i="1"/>
  <c r="BN129" i="1" s="1"/>
  <c r="AG129" i="1"/>
  <c r="AF129" i="1"/>
  <c r="AE129" i="1"/>
  <c r="AD129" i="1"/>
  <c r="Z129" i="1"/>
  <c r="V129" i="1"/>
  <c r="L129" i="1"/>
  <c r="M129" i="1" s="1"/>
  <c r="E129" i="1"/>
  <c r="AT129" i="1" s="1"/>
  <c r="BU128" i="1"/>
  <c r="BR128" i="1"/>
  <c r="AY128" i="1"/>
  <c r="AM128" i="1"/>
  <c r="BL128" i="1" s="1"/>
  <c r="AG128" i="1"/>
  <c r="AF128" i="1"/>
  <c r="AE128" i="1"/>
  <c r="AD128" i="1"/>
  <c r="Z128" i="1"/>
  <c r="V128" i="1"/>
  <c r="L128" i="1"/>
  <c r="M128" i="1" s="1"/>
  <c r="E128" i="1"/>
  <c r="G128" i="1" s="1"/>
  <c r="O128" i="1" s="1"/>
  <c r="P128" i="1" s="1"/>
  <c r="BU127" i="1"/>
  <c r="BR127" i="1"/>
  <c r="AX127" i="1"/>
  <c r="AW127" i="1"/>
  <c r="AM127" i="1"/>
  <c r="BN127" i="1" s="1"/>
  <c r="AG127" i="1"/>
  <c r="AF127" i="1"/>
  <c r="AE127" i="1"/>
  <c r="AD127" i="1"/>
  <c r="Z127" i="1"/>
  <c r="V127" i="1"/>
  <c r="L127" i="1"/>
  <c r="M127" i="1" s="1"/>
  <c r="E127" i="1"/>
  <c r="G127" i="1" s="1"/>
  <c r="O127" i="1" s="1"/>
  <c r="P127" i="1" s="1"/>
  <c r="AH115" i="1" l="1"/>
  <c r="AH77" i="1"/>
  <c r="BL77" i="1" s="1"/>
  <c r="AH126" i="1"/>
  <c r="AD101" i="1"/>
  <c r="BK82" i="1"/>
  <c r="AH127" i="1"/>
  <c r="AY126" i="1"/>
  <c r="AF100" i="1"/>
  <c r="AH76" i="1"/>
  <c r="BL76" i="1" s="1"/>
  <c r="AY123" i="1"/>
  <c r="AO105" i="1"/>
  <c r="AP105" i="1" s="1"/>
  <c r="AQ105" i="1" s="1"/>
  <c r="AO106" i="1"/>
  <c r="AP106" i="1" s="1"/>
  <c r="AQ106" i="1" s="1"/>
  <c r="AG100" i="1"/>
  <c r="BK85" i="1"/>
  <c r="AH114" i="1"/>
  <c r="AY114" i="1"/>
  <c r="AD99" i="1"/>
  <c r="AH146" i="1"/>
  <c r="BM146" i="1" s="1"/>
  <c r="AY119" i="1"/>
  <c r="AY121" i="1"/>
  <c r="AO69" i="1"/>
  <c r="AP69" i="1" s="1"/>
  <c r="AQ69" i="1" s="1"/>
  <c r="AH141" i="1"/>
  <c r="BK81" i="1"/>
  <c r="AY112" i="1"/>
  <c r="AH75" i="1"/>
  <c r="BL75" i="1" s="1"/>
  <c r="AY75" i="1"/>
  <c r="AY127" i="1"/>
  <c r="AY115" i="1"/>
  <c r="G117" i="1"/>
  <c r="O117" i="1" s="1"/>
  <c r="P117" i="1" s="1"/>
  <c r="BL101" i="1"/>
  <c r="AY74" i="1"/>
  <c r="AY76" i="1"/>
  <c r="AY95" i="1"/>
  <c r="BM68" i="1"/>
  <c r="BM73" i="1"/>
  <c r="BN107" i="1"/>
  <c r="BN108" i="1"/>
  <c r="AY71" i="1"/>
  <c r="BK77" i="1"/>
  <c r="AH132" i="1"/>
  <c r="BK132" i="1" s="1"/>
  <c r="AH104" i="1"/>
  <c r="AT104" i="1"/>
  <c r="AY94" i="1"/>
  <c r="BK80" i="1"/>
  <c r="BN100" i="1"/>
  <c r="AG101" i="1"/>
  <c r="AH69" i="1"/>
  <c r="BL69" i="1" s="1"/>
  <c r="AH70" i="1"/>
  <c r="BL70" i="1" s="1"/>
  <c r="AH144" i="1"/>
  <c r="G122" i="1"/>
  <c r="O122" i="1" s="1"/>
  <c r="P122" i="1" s="1"/>
  <c r="AY97" i="1"/>
  <c r="V99" i="1"/>
  <c r="AO76" i="1"/>
  <c r="AP76" i="1" s="1"/>
  <c r="AQ76" i="1" s="1"/>
  <c r="BK87" i="1"/>
  <c r="AO116" i="1"/>
  <c r="AP116" i="1" s="1"/>
  <c r="AQ116" i="1" s="1"/>
  <c r="AY120" i="1"/>
  <c r="AY122" i="1"/>
  <c r="AO96" i="1"/>
  <c r="AP96" i="1" s="1"/>
  <c r="AQ96" i="1" s="1"/>
  <c r="AG99" i="1"/>
  <c r="BN141" i="1"/>
  <c r="AY116" i="1"/>
  <c r="AO119" i="1"/>
  <c r="AP119" i="1" s="1"/>
  <c r="AQ119" i="1" s="1"/>
  <c r="AH122" i="1"/>
  <c r="Z99" i="1"/>
  <c r="Z100" i="1"/>
  <c r="AH71" i="1"/>
  <c r="BL71" i="1" s="1"/>
  <c r="AT71" i="1"/>
  <c r="AH72" i="1"/>
  <c r="BL72" i="1" s="1"/>
  <c r="AY72" i="1"/>
  <c r="AY77" i="1"/>
  <c r="BL143" i="1"/>
  <c r="BL141" i="1"/>
  <c r="AO135" i="1"/>
  <c r="AP135" i="1" s="1"/>
  <c r="AQ135" i="1" s="1"/>
  <c r="BL138" i="1"/>
  <c r="AH145" i="1"/>
  <c r="BK145" i="1" s="1"/>
  <c r="AY104" i="1"/>
  <c r="AY105" i="1"/>
  <c r="AY110" i="1"/>
  <c r="AY111" i="1"/>
  <c r="BL116" i="1"/>
  <c r="AO93" i="1"/>
  <c r="AP93" i="1" s="1"/>
  <c r="AQ93" i="1" s="1"/>
  <c r="AY96" i="1"/>
  <c r="AO68" i="1"/>
  <c r="AP68" i="1" s="1"/>
  <c r="AQ68" i="1" s="1"/>
  <c r="AY69" i="1"/>
  <c r="BK127" i="1"/>
  <c r="AH129" i="1"/>
  <c r="AH131" i="1"/>
  <c r="AH133" i="1"/>
  <c r="BK133" i="1" s="1"/>
  <c r="BL149" i="1"/>
  <c r="BL119" i="1"/>
  <c r="AO91" i="1"/>
  <c r="AP91" i="1" s="1"/>
  <c r="AQ91" i="1" s="1"/>
  <c r="AY93" i="1"/>
  <c r="AO101" i="1"/>
  <c r="AP101" i="1" s="1"/>
  <c r="AQ101" i="1" s="1"/>
  <c r="AH68" i="1"/>
  <c r="BL68" i="1" s="1"/>
  <c r="BK69" i="1"/>
  <c r="AY118" i="1"/>
  <c r="AY125" i="1"/>
  <c r="G99" i="1"/>
  <c r="O99" i="1" s="1"/>
  <c r="P99" i="1" s="1"/>
  <c r="R99" i="1" s="1"/>
  <c r="BL100" i="1"/>
  <c r="Z101" i="1"/>
  <c r="AY101" i="1"/>
  <c r="AO67" i="1"/>
  <c r="AP67" i="1" s="1"/>
  <c r="AQ67" i="1" s="1"/>
  <c r="BM70" i="1"/>
  <c r="G78" i="1"/>
  <c r="O78" i="1" s="1"/>
  <c r="P78" i="1" s="1"/>
  <c r="R78" i="1" s="1"/>
  <c r="AH137" i="1"/>
  <c r="AH142" i="1"/>
  <c r="BM142" i="1" s="1"/>
  <c r="AH149" i="1"/>
  <c r="AH112" i="1"/>
  <c r="AH98" i="1"/>
  <c r="AH73" i="1"/>
  <c r="BL73" i="1" s="1"/>
  <c r="AH110" i="1"/>
  <c r="AH111" i="1"/>
  <c r="BM111" i="1" s="1"/>
  <c r="AH119" i="1"/>
  <c r="AH120" i="1"/>
  <c r="BM120" i="1" s="1"/>
  <c r="G77" i="1"/>
  <c r="O77" i="1" s="1"/>
  <c r="P77" i="1" s="1"/>
  <c r="R77" i="1" s="1"/>
  <c r="AH130" i="1"/>
  <c r="AT126" i="1"/>
  <c r="AH134" i="1"/>
  <c r="BM134" i="1" s="1"/>
  <c r="AH136" i="1"/>
  <c r="AH118" i="1"/>
  <c r="BK118" i="1" s="1"/>
  <c r="AT75" i="1"/>
  <c r="BK89" i="1"/>
  <c r="AH150" i="1"/>
  <c r="AT68" i="1"/>
  <c r="AH78" i="1"/>
  <c r="BL78" i="1" s="1"/>
  <c r="BM84" i="1"/>
  <c r="AH106" i="1"/>
  <c r="G110" i="1"/>
  <c r="O110" i="1" s="1"/>
  <c r="P110" i="1" s="1"/>
  <c r="AT95" i="1"/>
  <c r="AH102" i="1"/>
  <c r="BM102" i="1" s="1"/>
  <c r="AT106" i="1"/>
  <c r="AH108" i="1"/>
  <c r="G119" i="1"/>
  <c r="O119" i="1" s="1"/>
  <c r="P119" i="1" s="1"/>
  <c r="G120" i="1"/>
  <c r="O120" i="1" s="1"/>
  <c r="P120" i="1" s="1"/>
  <c r="G92" i="1"/>
  <c r="O92" i="1" s="1"/>
  <c r="P92" i="1" s="1"/>
  <c r="R92" i="1" s="1"/>
  <c r="AO123" i="1"/>
  <c r="AP123" i="1" s="1"/>
  <c r="AQ123" i="1" s="1"/>
  <c r="AO128" i="1"/>
  <c r="AP128" i="1" s="1"/>
  <c r="AQ128" i="1" s="1"/>
  <c r="AH135" i="1"/>
  <c r="BK135" i="1" s="1"/>
  <c r="AO139" i="1"/>
  <c r="AP139" i="1" s="1"/>
  <c r="AQ139" i="1" s="1"/>
  <c r="AT140" i="1"/>
  <c r="G144" i="1"/>
  <c r="O144" i="1" s="1"/>
  <c r="P144" i="1" s="1"/>
  <c r="AO147" i="1"/>
  <c r="AP147" i="1" s="1"/>
  <c r="AQ147" i="1" s="1"/>
  <c r="AT148" i="1"/>
  <c r="BN149" i="1"/>
  <c r="BN109" i="1"/>
  <c r="AO121" i="1"/>
  <c r="AP121" i="1" s="1"/>
  <c r="AQ121" i="1" s="1"/>
  <c r="AH123" i="1"/>
  <c r="BN126" i="1"/>
  <c r="BL91" i="1"/>
  <c r="BL96" i="1"/>
  <c r="AY68" i="1"/>
  <c r="AO77" i="1"/>
  <c r="AP77" i="1" s="1"/>
  <c r="AQ77" i="1" s="1"/>
  <c r="AO78" i="1"/>
  <c r="AP78" i="1" s="1"/>
  <c r="AQ78" i="1" s="1"/>
  <c r="BM78" i="1"/>
  <c r="BK70" i="1"/>
  <c r="BK74" i="1"/>
  <c r="G105" i="1"/>
  <c r="O105" i="1" s="1"/>
  <c r="P105" i="1" s="1"/>
  <c r="BN92" i="1"/>
  <c r="AH128" i="1"/>
  <c r="BM128" i="1" s="1"/>
  <c r="AT128" i="1"/>
  <c r="G132" i="1"/>
  <c r="O132" i="1" s="1"/>
  <c r="P132" i="1" s="1"/>
  <c r="BL135" i="1"/>
  <c r="AH139" i="1"/>
  <c r="AH140" i="1"/>
  <c r="AO143" i="1"/>
  <c r="AP143" i="1" s="1"/>
  <c r="AQ143" i="1" s="1"/>
  <c r="BL145" i="1"/>
  <c r="AT146" i="1"/>
  <c r="AH147" i="1"/>
  <c r="BK147" i="1" s="1"/>
  <c r="AH148" i="1"/>
  <c r="AH107" i="1"/>
  <c r="BM107" i="1" s="1"/>
  <c r="AY107" i="1"/>
  <c r="AH117" i="1"/>
  <c r="BM117" i="1" s="1"/>
  <c r="AH121" i="1"/>
  <c r="BM121" i="1" s="1"/>
  <c r="AO124" i="1"/>
  <c r="AP124" i="1" s="1"/>
  <c r="AQ124" i="1" s="1"/>
  <c r="AH92" i="1"/>
  <c r="BM92" i="1" s="1"/>
  <c r="AO72" i="1"/>
  <c r="AP72" i="1" s="1"/>
  <c r="AQ72" i="1" s="1"/>
  <c r="BM79" i="1"/>
  <c r="BK83" i="1"/>
  <c r="AO92" i="1"/>
  <c r="AP92" i="1" s="1"/>
  <c r="AQ92" i="1" s="1"/>
  <c r="AT127" i="1"/>
  <c r="AO131" i="1"/>
  <c r="AP131" i="1" s="1"/>
  <c r="AQ131" i="1" s="1"/>
  <c r="AT133" i="1"/>
  <c r="BL134" i="1"/>
  <c r="BN136" i="1"/>
  <c r="BL139" i="1"/>
  <c r="AH143" i="1"/>
  <c r="BK143" i="1" s="1"/>
  <c r="BL147" i="1"/>
  <c r="AF105" i="1"/>
  <c r="BN105" i="1"/>
  <c r="AY106" i="1"/>
  <c r="AH113" i="1"/>
  <c r="BM113" i="1" s="1"/>
  <c r="AY113" i="1"/>
  <c r="BL115" i="1"/>
  <c r="AY117" i="1"/>
  <c r="AH124" i="1"/>
  <c r="AT124" i="1"/>
  <c r="AH125" i="1"/>
  <c r="BK125" i="1" s="1"/>
  <c r="AY92" i="1"/>
  <c r="BN93" i="1"/>
  <c r="BN94" i="1"/>
  <c r="AH95" i="1"/>
  <c r="BK95" i="1" s="1"/>
  <c r="G100" i="1"/>
  <c r="O100" i="1" s="1"/>
  <c r="P100" i="1" s="1"/>
  <c r="R100" i="1" s="1"/>
  <c r="AT70" i="1"/>
  <c r="BM75" i="1"/>
  <c r="BK67" i="1"/>
  <c r="BK71" i="1"/>
  <c r="AH94" i="1"/>
  <c r="BM94" i="1" s="1"/>
  <c r="V100" i="1"/>
  <c r="BN128" i="1"/>
  <c r="BK146" i="1"/>
  <c r="AH103" i="1"/>
  <c r="AY108" i="1"/>
  <c r="BN111" i="1"/>
  <c r="BL121" i="1"/>
  <c r="BL122" i="1"/>
  <c r="AY124" i="1"/>
  <c r="AH91" i="1"/>
  <c r="BK91" i="1" s="1"/>
  <c r="AY70" i="1"/>
  <c r="BL131" i="1"/>
  <c r="BL133" i="1"/>
  <c r="BL146" i="1"/>
  <c r="AY103" i="1"/>
  <c r="Z105" i="1"/>
  <c r="AH109" i="1"/>
  <c r="BM109" i="1" s="1"/>
  <c r="AY109" i="1"/>
  <c r="G111" i="1"/>
  <c r="O111" i="1" s="1"/>
  <c r="P111" i="1" s="1"/>
  <c r="BN112" i="1"/>
  <c r="BL123" i="1"/>
  <c r="AY91" i="1"/>
  <c r="AH93" i="1"/>
  <c r="BM93" i="1" s="1"/>
  <c r="AH96" i="1"/>
  <c r="BK96" i="1" s="1"/>
  <c r="AH99" i="1"/>
  <c r="BM99" i="1" s="1"/>
  <c r="AY99" i="1"/>
  <c r="AY100" i="1"/>
  <c r="AF101" i="1"/>
  <c r="AH67" i="1"/>
  <c r="BL67" i="1" s="1"/>
  <c r="G69" i="1"/>
  <c r="O69" i="1" s="1"/>
  <c r="P69" i="1" s="1"/>
  <c r="R69" i="1" s="1"/>
  <c r="AT73" i="1"/>
  <c r="AH74" i="1"/>
  <c r="BL74" i="1" s="1"/>
  <c r="AO74" i="1"/>
  <c r="AP74" i="1" s="1"/>
  <c r="AQ74" i="1" s="1"/>
  <c r="AY78" i="1"/>
  <c r="BK72" i="1"/>
  <c r="BK76" i="1"/>
  <c r="AO136" i="1"/>
  <c r="AP136" i="1" s="1"/>
  <c r="AQ136" i="1" s="1"/>
  <c r="AO107" i="1"/>
  <c r="AP107" i="1" s="1"/>
  <c r="AQ107" i="1" s="1"/>
  <c r="G113" i="1"/>
  <c r="O113" i="1" s="1"/>
  <c r="P113" i="1" s="1"/>
  <c r="AH116" i="1"/>
  <c r="BM116" i="1" s="1"/>
  <c r="G96" i="1"/>
  <c r="O96" i="1" s="1"/>
  <c r="P96" i="1" s="1"/>
  <c r="R96" i="1" s="1"/>
  <c r="BL130" i="1"/>
  <c r="AH138" i="1"/>
  <c r="BK138" i="1" s="1"/>
  <c r="AG105" i="1"/>
  <c r="G121" i="1"/>
  <c r="O121" i="1" s="1"/>
  <c r="P121" i="1" s="1"/>
  <c r="BL124" i="1"/>
  <c r="AT94" i="1"/>
  <c r="AH97" i="1"/>
  <c r="BM97" i="1" s="1"/>
  <c r="AD100" i="1"/>
  <c r="AY102" i="1"/>
  <c r="AY73" i="1"/>
  <c r="G67" i="1"/>
  <c r="O67" i="1" s="1"/>
  <c r="P67" i="1" s="1"/>
  <c r="R67" i="1" s="1"/>
  <c r="AO71" i="1"/>
  <c r="AP71" i="1" s="1"/>
  <c r="AQ71" i="1" s="1"/>
  <c r="AT72" i="1"/>
  <c r="AT74" i="1"/>
  <c r="AT76" i="1"/>
  <c r="AO73" i="1"/>
  <c r="AP73" i="1" s="1"/>
  <c r="AQ73" i="1" s="1"/>
  <c r="AO75" i="1"/>
  <c r="AP75" i="1" s="1"/>
  <c r="AQ75" i="1" s="1"/>
  <c r="BM91" i="1"/>
  <c r="BM98" i="1"/>
  <c r="BK98" i="1"/>
  <c r="G93" i="1"/>
  <c r="O93" i="1" s="1"/>
  <c r="P93" i="1" s="1"/>
  <c r="R93" i="1" s="1"/>
  <c r="G98" i="1"/>
  <c r="O98" i="1" s="1"/>
  <c r="P98" i="1" s="1"/>
  <c r="R98" i="1" s="1"/>
  <c r="AO99" i="1"/>
  <c r="AP99" i="1" s="1"/>
  <c r="AQ99" i="1" s="1"/>
  <c r="AO102" i="1"/>
  <c r="AP102" i="1" s="1"/>
  <c r="AQ102" i="1" s="1"/>
  <c r="BL99" i="1"/>
  <c r="BL102" i="1"/>
  <c r="AF99" i="1"/>
  <c r="G91" i="1"/>
  <c r="O91" i="1" s="1"/>
  <c r="P91" i="1" s="1"/>
  <c r="R91" i="1" s="1"/>
  <c r="AO94" i="1"/>
  <c r="AP94" i="1" s="1"/>
  <c r="AQ94" i="1" s="1"/>
  <c r="G97" i="1"/>
  <c r="O97" i="1" s="1"/>
  <c r="P97" i="1" s="1"/>
  <c r="R97" i="1" s="1"/>
  <c r="G101" i="1"/>
  <c r="O101" i="1" s="1"/>
  <c r="P101" i="1" s="1"/>
  <c r="R101" i="1" s="1"/>
  <c r="V101" i="1"/>
  <c r="AH101" i="1" s="1"/>
  <c r="BK117" i="1"/>
  <c r="BM124" i="1"/>
  <c r="BK124" i="1"/>
  <c r="BK115" i="1"/>
  <c r="BM115" i="1"/>
  <c r="BM119" i="1"/>
  <c r="BK119" i="1"/>
  <c r="BM126" i="1"/>
  <c r="BK126" i="1"/>
  <c r="BK122" i="1"/>
  <c r="BM122" i="1"/>
  <c r="BM123" i="1"/>
  <c r="BK123" i="1"/>
  <c r="G115" i="1"/>
  <c r="O115" i="1" s="1"/>
  <c r="P115" i="1" s="1"/>
  <c r="G118" i="1"/>
  <c r="O118" i="1" s="1"/>
  <c r="P118" i="1" s="1"/>
  <c r="BN118" i="1"/>
  <c r="BN115" i="1"/>
  <c r="BN122" i="1"/>
  <c r="G116" i="1"/>
  <c r="O116" i="1" s="1"/>
  <c r="P116" i="1" s="1"/>
  <c r="AO117" i="1"/>
  <c r="AP117" i="1" s="1"/>
  <c r="AQ117" i="1" s="1"/>
  <c r="AO120" i="1"/>
  <c r="AP120" i="1" s="1"/>
  <c r="AQ120" i="1" s="1"/>
  <c r="BL120" i="1"/>
  <c r="G123" i="1"/>
  <c r="O123" i="1" s="1"/>
  <c r="P123" i="1" s="1"/>
  <c r="AO125" i="1"/>
  <c r="AP125" i="1" s="1"/>
  <c r="AQ125" i="1" s="1"/>
  <c r="BL125" i="1"/>
  <c r="BL117" i="1"/>
  <c r="AO126" i="1"/>
  <c r="AP126" i="1" s="1"/>
  <c r="AQ126" i="1" s="1"/>
  <c r="AO118" i="1"/>
  <c r="AP118" i="1" s="1"/>
  <c r="AQ118" i="1" s="1"/>
  <c r="G125" i="1"/>
  <c r="O125" i="1" s="1"/>
  <c r="P125" i="1" s="1"/>
  <c r="BM108" i="1"/>
  <c r="BK108" i="1"/>
  <c r="BM103" i="1"/>
  <c r="BK103" i="1"/>
  <c r="BK106" i="1"/>
  <c r="BM106" i="1"/>
  <c r="BM110" i="1"/>
  <c r="BK110" i="1"/>
  <c r="BM104" i="1"/>
  <c r="BK104" i="1"/>
  <c r="BM112" i="1"/>
  <c r="BK112" i="1"/>
  <c r="BM114" i="1"/>
  <c r="BK114" i="1"/>
  <c r="BK113" i="1"/>
  <c r="BN106" i="1"/>
  <c r="G108" i="1"/>
  <c r="O108" i="1" s="1"/>
  <c r="P108" i="1" s="1"/>
  <c r="BL108" i="1"/>
  <c r="AO110" i="1"/>
  <c r="AP110" i="1" s="1"/>
  <c r="AQ110" i="1" s="1"/>
  <c r="BL111" i="1"/>
  <c r="AO113" i="1"/>
  <c r="AP113" i="1" s="1"/>
  <c r="AQ113" i="1" s="1"/>
  <c r="BL113" i="1"/>
  <c r="V105" i="1"/>
  <c r="BL110" i="1"/>
  <c r="G103" i="1"/>
  <c r="O103" i="1" s="1"/>
  <c r="P103" i="1" s="1"/>
  <c r="G107" i="1"/>
  <c r="O107" i="1" s="1"/>
  <c r="P107" i="1" s="1"/>
  <c r="AO109" i="1"/>
  <c r="AP109" i="1" s="1"/>
  <c r="AQ109" i="1" s="1"/>
  <c r="AO112" i="1"/>
  <c r="AP112" i="1" s="1"/>
  <c r="AQ112" i="1" s="1"/>
  <c r="AO114" i="1"/>
  <c r="AP114" i="1" s="1"/>
  <c r="AQ114" i="1" s="1"/>
  <c r="BL114" i="1"/>
  <c r="G109" i="1"/>
  <c r="O109" i="1" s="1"/>
  <c r="P109" i="1" s="1"/>
  <c r="G112" i="1"/>
  <c r="O112" i="1" s="1"/>
  <c r="P112" i="1" s="1"/>
  <c r="G114" i="1"/>
  <c r="O114" i="1" s="1"/>
  <c r="P114" i="1" s="1"/>
  <c r="BM150" i="1"/>
  <c r="BK150" i="1"/>
  <c r="BK139" i="1"/>
  <c r="BM139" i="1"/>
  <c r="BM140" i="1"/>
  <c r="BK140" i="1"/>
  <c r="BM148" i="1"/>
  <c r="BK148" i="1"/>
  <c r="BM141" i="1"/>
  <c r="BK141" i="1"/>
  <c r="BK144" i="1"/>
  <c r="BM144" i="1"/>
  <c r="BM149" i="1"/>
  <c r="BK149" i="1"/>
  <c r="BN144" i="1"/>
  <c r="G149" i="1"/>
  <c r="O149" i="1" s="1"/>
  <c r="P149" i="1" s="1"/>
  <c r="G142" i="1"/>
  <c r="O142" i="1" s="1"/>
  <c r="P142" i="1" s="1"/>
  <c r="AO145" i="1"/>
  <c r="AP145" i="1" s="1"/>
  <c r="AQ145" i="1" s="1"/>
  <c r="G150" i="1"/>
  <c r="O150" i="1" s="1"/>
  <c r="P150" i="1" s="1"/>
  <c r="BL140" i="1"/>
  <c r="G143" i="1"/>
  <c r="O143" i="1" s="1"/>
  <c r="P143" i="1" s="1"/>
  <c r="AO146" i="1"/>
  <c r="AP146" i="1" s="1"/>
  <c r="AQ146" i="1" s="1"/>
  <c r="BL148" i="1"/>
  <c r="G141" i="1"/>
  <c r="O141" i="1" s="1"/>
  <c r="P141" i="1" s="1"/>
  <c r="AO144" i="1"/>
  <c r="AP144" i="1" s="1"/>
  <c r="AQ144" i="1" s="1"/>
  <c r="BM145" i="1"/>
  <c r="AO140" i="1"/>
  <c r="AP140" i="1" s="1"/>
  <c r="AQ140" i="1" s="1"/>
  <c r="BL142" i="1"/>
  <c r="G145" i="1"/>
  <c r="O145" i="1" s="1"/>
  <c r="P145" i="1" s="1"/>
  <c r="AO148" i="1"/>
  <c r="AP148" i="1" s="1"/>
  <c r="AQ148" i="1" s="1"/>
  <c r="BL150" i="1"/>
  <c r="G139" i="1"/>
  <c r="O139" i="1" s="1"/>
  <c r="P139" i="1" s="1"/>
  <c r="AO142" i="1"/>
  <c r="AP142" i="1" s="1"/>
  <c r="AQ142" i="1" s="1"/>
  <c r="G147" i="1"/>
  <c r="O147" i="1" s="1"/>
  <c r="P147" i="1" s="1"/>
  <c r="AO150" i="1"/>
  <c r="AP150" i="1" s="1"/>
  <c r="AQ150" i="1" s="1"/>
  <c r="BM131" i="1"/>
  <c r="BK131" i="1"/>
  <c r="BM137" i="1"/>
  <c r="BK137" i="1"/>
  <c r="BM129" i="1"/>
  <c r="BK129" i="1"/>
  <c r="BM136" i="1"/>
  <c r="BK136" i="1"/>
  <c r="BM130" i="1"/>
  <c r="BK130" i="1"/>
  <c r="BK128" i="1"/>
  <c r="G129" i="1"/>
  <c r="O129" i="1" s="1"/>
  <c r="P129" i="1" s="1"/>
  <c r="BN132" i="1"/>
  <c r="G137" i="1"/>
  <c r="O137" i="1" s="1"/>
  <c r="P137" i="1" s="1"/>
  <c r="AO127" i="1"/>
  <c r="AP127" i="1" s="1"/>
  <c r="AQ127" i="1" s="1"/>
  <c r="AO133" i="1"/>
  <c r="AP133" i="1" s="1"/>
  <c r="AQ133" i="1" s="1"/>
  <c r="G138" i="1"/>
  <c r="O138" i="1" s="1"/>
  <c r="P138" i="1" s="1"/>
  <c r="BM127" i="1"/>
  <c r="G131" i="1"/>
  <c r="O131" i="1" s="1"/>
  <c r="P131" i="1" s="1"/>
  <c r="AO134" i="1"/>
  <c r="AP134" i="1" s="1"/>
  <c r="AQ134" i="1" s="1"/>
  <c r="AO132" i="1"/>
  <c r="AP132" i="1" s="1"/>
  <c r="AQ132" i="1" s="1"/>
  <c r="BL127" i="1"/>
  <c r="G130" i="1"/>
  <c r="O130" i="1" s="1"/>
  <c r="P130" i="1" s="1"/>
  <c r="BL129" i="1"/>
  <c r="BL137" i="1"/>
  <c r="AO129" i="1"/>
  <c r="AP129" i="1" s="1"/>
  <c r="AQ129" i="1" s="1"/>
  <c r="G134" i="1"/>
  <c r="O134" i="1" s="1"/>
  <c r="P134" i="1" s="1"/>
  <c r="AO137" i="1"/>
  <c r="AP137" i="1" s="1"/>
  <c r="AQ137" i="1" s="1"/>
  <c r="AO130" i="1"/>
  <c r="AP130" i="1" s="1"/>
  <c r="AQ130" i="1" s="1"/>
  <c r="G135" i="1"/>
  <c r="O135" i="1" s="1"/>
  <c r="P135" i="1" s="1"/>
  <c r="AO138" i="1"/>
  <c r="AP138" i="1" s="1"/>
  <c r="AQ138" i="1" s="1"/>
  <c r="BM132" i="1" l="1"/>
  <c r="BM125" i="1"/>
  <c r="BK111" i="1"/>
  <c r="BK121" i="1"/>
  <c r="AH100" i="1"/>
  <c r="BK107" i="1"/>
  <c r="BM143" i="1"/>
  <c r="BM95" i="1"/>
  <c r="BK120" i="1"/>
  <c r="BM138" i="1"/>
  <c r="BK142" i="1"/>
  <c r="BK102" i="1"/>
  <c r="BM135" i="1"/>
  <c r="BM133" i="1"/>
  <c r="BK109" i="1"/>
  <c r="BM118" i="1"/>
  <c r="BM147" i="1"/>
  <c r="BK93" i="1"/>
  <c r="BK134" i="1"/>
  <c r="BK97" i="1"/>
  <c r="BK99" i="1"/>
  <c r="BK92" i="1"/>
  <c r="BK116" i="1"/>
  <c r="BM96" i="1"/>
  <c r="BK94" i="1"/>
  <c r="AH105" i="1"/>
  <c r="BM105" i="1" s="1"/>
  <c r="BM101" i="1"/>
  <c r="BK101" i="1"/>
  <c r="BK100" i="1"/>
  <c r="BM100" i="1"/>
  <c r="BU162" i="1"/>
  <c r="BR162" i="1"/>
  <c r="AY162" i="1"/>
  <c r="AM162" i="1"/>
  <c r="BN162" i="1" s="1"/>
  <c r="AG162" i="1"/>
  <c r="AF162" i="1"/>
  <c r="AE162" i="1"/>
  <c r="AD162" i="1"/>
  <c r="Z162" i="1"/>
  <c r="V162" i="1"/>
  <c r="L162" i="1"/>
  <c r="M162" i="1" s="1"/>
  <c r="E162" i="1"/>
  <c r="G162" i="1" s="1"/>
  <c r="O162" i="1" s="1"/>
  <c r="P162" i="1" s="1"/>
  <c r="BU161" i="1"/>
  <c r="BR161" i="1"/>
  <c r="AY161" i="1"/>
  <c r="AM161" i="1"/>
  <c r="AO161" i="1" s="1"/>
  <c r="AG161" i="1"/>
  <c r="AF161" i="1"/>
  <c r="AE161" i="1"/>
  <c r="AD161" i="1"/>
  <c r="Z161" i="1"/>
  <c r="V161" i="1"/>
  <c r="L161" i="1"/>
  <c r="M161" i="1" s="1"/>
  <c r="E161" i="1"/>
  <c r="AT161" i="1" s="1"/>
  <c r="BU160" i="1"/>
  <c r="BR160" i="1"/>
  <c r="AY160" i="1"/>
  <c r="AM160" i="1"/>
  <c r="BN160" i="1" s="1"/>
  <c r="AG160" i="1"/>
  <c r="AF160" i="1"/>
  <c r="AE160" i="1"/>
  <c r="AD160" i="1"/>
  <c r="Z160" i="1"/>
  <c r="V160" i="1"/>
  <c r="L160" i="1"/>
  <c r="M160" i="1" s="1"/>
  <c r="E160" i="1"/>
  <c r="AT160" i="1" s="1"/>
  <c r="BU159" i="1"/>
  <c r="BR159" i="1"/>
  <c r="AY159" i="1"/>
  <c r="AM159" i="1"/>
  <c r="BN159" i="1" s="1"/>
  <c r="AG159" i="1"/>
  <c r="AF159" i="1"/>
  <c r="AE159" i="1"/>
  <c r="AD159" i="1"/>
  <c r="Z159" i="1"/>
  <c r="V159" i="1"/>
  <c r="L159" i="1"/>
  <c r="M159" i="1" s="1"/>
  <c r="E159" i="1"/>
  <c r="AT159" i="1" s="1"/>
  <c r="BU158" i="1"/>
  <c r="BR158" i="1"/>
  <c r="AY158" i="1"/>
  <c r="AM158" i="1"/>
  <c r="BN158" i="1" s="1"/>
  <c r="AG158" i="1"/>
  <c r="AF158" i="1"/>
  <c r="AE158" i="1"/>
  <c r="AD158" i="1"/>
  <c r="Z158" i="1"/>
  <c r="V158" i="1"/>
  <c r="L158" i="1"/>
  <c r="M158" i="1" s="1"/>
  <c r="E158" i="1"/>
  <c r="AT158" i="1" s="1"/>
  <c r="BU157" i="1"/>
  <c r="BR157" i="1"/>
  <c r="AY157" i="1"/>
  <c r="AM157" i="1"/>
  <c r="BL157" i="1" s="1"/>
  <c r="AG157" i="1"/>
  <c r="AF157" i="1"/>
  <c r="AE157" i="1"/>
  <c r="AD157" i="1"/>
  <c r="Z157" i="1"/>
  <c r="V157" i="1"/>
  <c r="L157" i="1"/>
  <c r="M157" i="1" s="1"/>
  <c r="E157" i="1"/>
  <c r="AT157" i="1" s="1"/>
  <c r="BU156" i="1"/>
  <c r="BR156" i="1"/>
  <c r="AY156" i="1"/>
  <c r="AM156" i="1"/>
  <c r="BL156" i="1" s="1"/>
  <c r="AG156" i="1"/>
  <c r="AF156" i="1"/>
  <c r="AE156" i="1"/>
  <c r="AD156" i="1"/>
  <c r="Z156" i="1"/>
  <c r="V156" i="1"/>
  <c r="L156" i="1"/>
  <c r="M156" i="1" s="1"/>
  <c r="E156" i="1"/>
  <c r="AT156" i="1" s="1"/>
  <c r="BU155" i="1"/>
  <c r="BR155" i="1"/>
  <c r="AY155" i="1"/>
  <c r="AM155" i="1"/>
  <c r="BN155" i="1" s="1"/>
  <c r="AG155" i="1"/>
  <c r="AF155" i="1"/>
  <c r="AE155" i="1"/>
  <c r="AD155" i="1"/>
  <c r="Z155" i="1"/>
  <c r="V155" i="1"/>
  <c r="L155" i="1"/>
  <c r="M155" i="1" s="1"/>
  <c r="E155" i="1"/>
  <c r="AT155" i="1" s="1"/>
  <c r="BU154" i="1"/>
  <c r="BR154" i="1"/>
  <c r="AY154" i="1"/>
  <c r="AM154" i="1"/>
  <c r="BN154" i="1" s="1"/>
  <c r="AG154" i="1"/>
  <c r="AF154" i="1"/>
  <c r="AE154" i="1"/>
  <c r="AD154" i="1"/>
  <c r="Z154" i="1"/>
  <c r="V154" i="1"/>
  <c r="L154" i="1"/>
  <c r="M154" i="1" s="1"/>
  <c r="E154" i="1"/>
  <c r="AT154" i="1" s="1"/>
  <c r="BU153" i="1"/>
  <c r="BR153" i="1"/>
  <c r="AY153" i="1"/>
  <c r="AM153" i="1"/>
  <c r="BN153" i="1" s="1"/>
  <c r="AG153" i="1"/>
  <c r="AF153" i="1"/>
  <c r="AE153" i="1"/>
  <c r="AD153" i="1"/>
  <c r="Z153" i="1"/>
  <c r="V153" i="1"/>
  <c r="L153" i="1"/>
  <c r="M153" i="1" s="1"/>
  <c r="E153" i="1"/>
  <c r="G153" i="1" s="1"/>
  <c r="O153" i="1" s="1"/>
  <c r="P153" i="1" s="1"/>
  <c r="BU152" i="1"/>
  <c r="BR152" i="1"/>
  <c r="AY152" i="1"/>
  <c r="AM152" i="1"/>
  <c r="BN152" i="1" s="1"/>
  <c r="AG152" i="1"/>
  <c r="AF152" i="1"/>
  <c r="AE152" i="1"/>
  <c r="AD152" i="1"/>
  <c r="Z152" i="1"/>
  <c r="V152" i="1"/>
  <c r="L152" i="1"/>
  <c r="M152" i="1" s="1"/>
  <c r="E152" i="1"/>
  <c r="AT152" i="1" s="1"/>
  <c r="BU151" i="1"/>
  <c r="BR151" i="1"/>
  <c r="AY151" i="1"/>
  <c r="AM151" i="1"/>
  <c r="BN151" i="1" s="1"/>
  <c r="AG151" i="1"/>
  <c r="AF151" i="1"/>
  <c r="AE151" i="1"/>
  <c r="AD151" i="1"/>
  <c r="Z151" i="1"/>
  <c r="V151" i="1"/>
  <c r="L151" i="1"/>
  <c r="M151" i="1" s="1"/>
  <c r="E151" i="1"/>
  <c r="AT151" i="1" s="1"/>
  <c r="AH157" i="1" l="1"/>
  <c r="AH153" i="1"/>
  <c r="BL161" i="1"/>
  <c r="BK105" i="1"/>
  <c r="G160" i="1"/>
  <c r="O160" i="1" s="1"/>
  <c r="P160" i="1" s="1"/>
  <c r="G158" i="1"/>
  <c r="O158" i="1" s="1"/>
  <c r="P158" i="1" s="1"/>
  <c r="AH159" i="1"/>
  <c r="BM159" i="1" s="1"/>
  <c r="G161" i="1"/>
  <c r="O161" i="1" s="1"/>
  <c r="P161" i="1" s="1"/>
  <c r="AH154" i="1"/>
  <c r="BK154" i="1" s="1"/>
  <c r="AH158" i="1"/>
  <c r="BK158" i="1" s="1"/>
  <c r="BN161" i="1"/>
  <c r="AH151" i="1"/>
  <c r="BM151" i="1" s="1"/>
  <c r="BL151" i="1"/>
  <c r="AT153" i="1"/>
  <c r="AH156" i="1"/>
  <c r="BM156" i="1" s="1"/>
  <c r="BL158" i="1"/>
  <c r="BL159" i="1"/>
  <c r="G151" i="1"/>
  <c r="O151" i="1" s="1"/>
  <c r="P151" i="1" s="1"/>
  <c r="BN156" i="1"/>
  <c r="AO156" i="1"/>
  <c r="AP158" i="1" s="1"/>
  <c r="AQ158" i="1" s="1"/>
  <c r="AH155" i="1"/>
  <c r="BM155" i="1" s="1"/>
  <c r="AH152" i="1"/>
  <c r="BK152" i="1" s="1"/>
  <c r="AH161" i="1"/>
  <c r="BK161" i="1" s="1"/>
  <c r="AH162" i="1"/>
  <c r="BK162" i="1" s="1"/>
  <c r="AH160" i="1"/>
  <c r="BK160" i="1" s="1"/>
  <c r="AO154" i="1"/>
  <c r="AP156" i="1" s="1"/>
  <c r="AQ156" i="1" s="1"/>
  <c r="BK157" i="1"/>
  <c r="BM157" i="1"/>
  <c r="BM153" i="1"/>
  <c r="BK153" i="1"/>
  <c r="BM152" i="1"/>
  <c r="AO157" i="1"/>
  <c r="AP159" i="1" s="1"/>
  <c r="AQ159" i="1" s="1"/>
  <c r="AT162" i="1"/>
  <c r="BL152" i="1"/>
  <c r="G155" i="1"/>
  <c r="O155" i="1" s="1"/>
  <c r="P155" i="1" s="1"/>
  <c r="AO158" i="1"/>
  <c r="AP160" i="1" s="1"/>
  <c r="AQ160" i="1" s="1"/>
  <c r="BL160" i="1"/>
  <c r="G154" i="1"/>
  <c r="O154" i="1" s="1"/>
  <c r="P154" i="1" s="1"/>
  <c r="AO151" i="1"/>
  <c r="BL153" i="1"/>
  <c r="G156" i="1"/>
  <c r="O156" i="1" s="1"/>
  <c r="P156" i="1" s="1"/>
  <c r="AO159" i="1"/>
  <c r="AP161" i="1" s="1"/>
  <c r="AQ161" i="1" s="1"/>
  <c r="BN157" i="1"/>
  <c r="AO152" i="1"/>
  <c r="BL154" i="1"/>
  <c r="G157" i="1"/>
  <c r="O157" i="1" s="1"/>
  <c r="P157" i="1" s="1"/>
  <c r="AO160" i="1"/>
  <c r="AP162" i="1" s="1"/>
  <c r="AQ162" i="1" s="1"/>
  <c r="BL162" i="1"/>
  <c r="AO153" i="1"/>
  <c r="AP155" i="1" s="1"/>
  <c r="AQ155" i="1" s="1"/>
  <c r="BL155" i="1"/>
  <c r="G159" i="1"/>
  <c r="O159" i="1" s="1"/>
  <c r="P159" i="1" s="1"/>
  <c r="AO162" i="1"/>
  <c r="G152" i="1"/>
  <c r="O152" i="1" s="1"/>
  <c r="P152" i="1" s="1"/>
  <c r="AO155" i="1"/>
  <c r="AP157" i="1" s="1"/>
  <c r="AQ157" i="1" s="1"/>
  <c r="BK159" i="1" l="1"/>
  <c r="BM158" i="1"/>
  <c r="BM154" i="1"/>
  <c r="BM161" i="1"/>
  <c r="BK156" i="1"/>
  <c r="BK155" i="1"/>
  <c r="BK151" i="1"/>
  <c r="BM162" i="1"/>
  <c r="BM160" i="1"/>
  <c r="AP154" i="1"/>
  <c r="AQ154" i="1" s="1"/>
  <c r="AP152" i="1"/>
  <c r="AQ152" i="1" s="1"/>
  <c r="AP153" i="1"/>
  <c r="AQ153" i="1" s="1"/>
  <c r="AP151" i="1"/>
  <c r="AQ151" i="1" s="1"/>
  <c r="BU174" i="1" l="1"/>
  <c r="BR174" i="1"/>
  <c r="AY174" i="1"/>
  <c r="AR174" i="1"/>
  <c r="AM174" i="1"/>
  <c r="AO174" i="1" s="1"/>
  <c r="AG174" i="1"/>
  <c r="AF174" i="1"/>
  <c r="AE174" i="1"/>
  <c r="AD174" i="1"/>
  <c r="Z174" i="1"/>
  <c r="V174" i="1"/>
  <c r="L174" i="1"/>
  <c r="M174" i="1" s="1"/>
  <c r="E174" i="1"/>
  <c r="G174" i="1" s="1"/>
  <c r="P174" i="1" s="1"/>
  <c r="Q174" i="1" s="1"/>
  <c r="BU173" i="1"/>
  <c r="BR173" i="1"/>
  <c r="AY173" i="1"/>
  <c r="AR173" i="1"/>
  <c r="AM173" i="1"/>
  <c r="BN173" i="1" s="1"/>
  <c r="AG173" i="1"/>
  <c r="AF173" i="1"/>
  <c r="AE173" i="1"/>
  <c r="AD173" i="1"/>
  <c r="Z173" i="1"/>
  <c r="V173" i="1"/>
  <c r="L173" i="1"/>
  <c r="M173" i="1" s="1"/>
  <c r="E173" i="1"/>
  <c r="G173" i="1" s="1"/>
  <c r="P173" i="1" s="1"/>
  <c r="Q173" i="1" s="1"/>
  <c r="BU172" i="1"/>
  <c r="BR172" i="1"/>
  <c r="AY172" i="1"/>
  <c r="AR172" i="1"/>
  <c r="AM172" i="1"/>
  <c r="BL172" i="1" s="1"/>
  <c r="AG172" i="1"/>
  <c r="AF172" i="1"/>
  <c r="AE172" i="1"/>
  <c r="AD172" i="1"/>
  <c r="Z172" i="1"/>
  <c r="V172" i="1"/>
  <c r="AH172" i="1" s="1"/>
  <c r="L172" i="1"/>
  <c r="M172" i="1" s="1"/>
  <c r="E172" i="1"/>
  <c r="BU171" i="1"/>
  <c r="BR171" i="1"/>
  <c r="AY171" i="1"/>
  <c r="AR171" i="1"/>
  <c r="AM171" i="1"/>
  <c r="BL171" i="1" s="1"/>
  <c r="AG171" i="1"/>
  <c r="AF171" i="1"/>
  <c r="AE171" i="1"/>
  <c r="AD171" i="1"/>
  <c r="Z171" i="1"/>
  <c r="V171" i="1"/>
  <c r="L171" i="1"/>
  <c r="M171" i="1" s="1"/>
  <c r="E171" i="1"/>
  <c r="G171" i="1" s="1"/>
  <c r="P171" i="1" s="1"/>
  <c r="Q171" i="1" s="1"/>
  <c r="BU170" i="1"/>
  <c r="BR170" i="1"/>
  <c r="AY170" i="1"/>
  <c r="AR170" i="1"/>
  <c r="BN170" i="1" s="1"/>
  <c r="AM170" i="1"/>
  <c r="AO170" i="1" s="1"/>
  <c r="AP172" i="1" s="1"/>
  <c r="AG170" i="1"/>
  <c r="AF170" i="1"/>
  <c r="AE170" i="1"/>
  <c r="AD170" i="1"/>
  <c r="Z170" i="1"/>
  <c r="V170" i="1"/>
  <c r="L170" i="1"/>
  <c r="M170" i="1" s="1"/>
  <c r="E170" i="1"/>
  <c r="G170" i="1" s="1"/>
  <c r="P170" i="1" s="1"/>
  <c r="Q170" i="1" s="1"/>
  <c r="BU169" i="1"/>
  <c r="BR169" i="1"/>
  <c r="AY169" i="1"/>
  <c r="AR169" i="1"/>
  <c r="AM169" i="1"/>
  <c r="AO169" i="1" s="1"/>
  <c r="AP171" i="1" s="1"/>
  <c r="AQ171" i="1" s="1"/>
  <c r="AG169" i="1"/>
  <c r="AF169" i="1"/>
  <c r="AE169" i="1"/>
  <c r="AD169" i="1"/>
  <c r="Z169" i="1"/>
  <c r="V169" i="1"/>
  <c r="AH169" i="1" s="1"/>
  <c r="L169" i="1"/>
  <c r="M169" i="1" s="1"/>
  <c r="E169" i="1"/>
  <c r="G169" i="1" s="1"/>
  <c r="P169" i="1" s="1"/>
  <c r="Q169" i="1" s="1"/>
  <c r="BU168" i="1"/>
  <c r="BR168" i="1"/>
  <c r="AY168" i="1"/>
  <c r="AR168" i="1"/>
  <c r="AM168" i="1"/>
  <c r="BL168" i="1" s="1"/>
  <c r="AG168" i="1"/>
  <c r="AF168" i="1"/>
  <c r="AE168" i="1"/>
  <c r="AD168" i="1"/>
  <c r="Z168" i="1"/>
  <c r="V168" i="1"/>
  <c r="L168" i="1"/>
  <c r="M168" i="1" s="1"/>
  <c r="E168" i="1"/>
  <c r="BU167" i="1"/>
  <c r="BR167" i="1"/>
  <c r="AY167" i="1"/>
  <c r="AR167" i="1"/>
  <c r="AM167" i="1"/>
  <c r="BL167" i="1" s="1"/>
  <c r="AG167" i="1"/>
  <c r="AF167" i="1"/>
  <c r="AE167" i="1"/>
  <c r="AD167" i="1"/>
  <c r="Z167" i="1"/>
  <c r="V167" i="1"/>
  <c r="L167" i="1"/>
  <c r="M167" i="1" s="1"/>
  <c r="E167" i="1"/>
  <c r="G167" i="1" s="1"/>
  <c r="P167" i="1" s="1"/>
  <c r="Q167" i="1" s="1"/>
  <c r="BU166" i="1"/>
  <c r="BR166" i="1"/>
  <c r="AY166" i="1"/>
  <c r="AR166" i="1"/>
  <c r="AM166" i="1"/>
  <c r="AO166" i="1" s="1"/>
  <c r="AP168" i="1" s="1"/>
  <c r="AQ168" i="1" s="1"/>
  <c r="AG166" i="1"/>
  <c r="AF166" i="1"/>
  <c r="AE166" i="1"/>
  <c r="AD166" i="1"/>
  <c r="Z166" i="1"/>
  <c r="V166" i="1"/>
  <c r="L166" i="1"/>
  <c r="M166" i="1" s="1"/>
  <c r="E166" i="1"/>
  <c r="G166" i="1" s="1"/>
  <c r="P166" i="1" s="1"/>
  <c r="Q166" i="1" s="1"/>
  <c r="BU165" i="1"/>
  <c r="BR165" i="1"/>
  <c r="AY165" i="1"/>
  <c r="AR165" i="1"/>
  <c r="AM165" i="1"/>
  <c r="AO165" i="1" s="1"/>
  <c r="AP167" i="1" s="1"/>
  <c r="AG165" i="1"/>
  <c r="AF165" i="1"/>
  <c r="AE165" i="1"/>
  <c r="AD165" i="1"/>
  <c r="Z165" i="1"/>
  <c r="V165" i="1"/>
  <c r="L165" i="1"/>
  <c r="M165" i="1" s="1"/>
  <c r="E165" i="1"/>
  <c r="G165" i="1" s="1"/>
  <c r="P165" i="1" s="1"/>
  <c r="Q165" i="1" s="1"/>
  <c r="BU164" i="1"/>
  <c r="BR164" i="1"/>
  <c r="AY164" i="1"/>
  <c r="AR164" i="1"/>
  <c r="AM164" i="1"/>
  <c r="BL164" i="1" s="1"/>
  <c r="AG164" i="1"/>
  <c r="AF164" i="1"/>
  <c r="AE164" i="1"/>
  <c r="AD164" i="1"/>
  <c r="Z164" i="1"/>
  <c r="V164" i="1"/>
  <c r="L164" i="1"/>
  <c r="M164" i="1" s="1"/>
  <c r="E164" i="1"/>
  <c r="BU163" i="1"/>
  <c r="BR163" i="1"/>
  <c r="AY163" i="1"/>
  <c r="AR163" i="1"/>
  <c r="AP163" i="1"/>
  <c r="AM163" i="1"/>
  <c r="BL163" i="1" s="1"/>
  <c r="AG163" i="1"/>
  <c r="AF163" i="1"/>
  <c r="AE163" i="1"/>
  <c r="AD163" i="1"/>
  <c r="Z163" i="1"/>
  <c r="V163" i="1"/>
  <c r="L163" i="1"/>
  <c r="M163" i="1" s="1"/>
  <c r="E163" i="1"/>
  <c r="AT163" i="1" s="1"/>
  <c r="AT172" i="1" l="1"/>
  <c r="AO163" i="1"/>
  <c r="AP165" i="1" s="1"/>
  <c r="AQ165" i="1" s="1"/>
  <c r="AQ167" i="1"/>
  <c r="AT164" i="1"/>
  <c r="BN167" i="1"/>
  <c r="AT168" i="1"/>
  <c r="AQ172" i="1"/>
  <c r="AH163" i="1"/>
  <c r="BK163" i="1" s="1"/>
  <c r="AH166" i="1"/>
  <c r="BM166" i="1" s="1"/>
  <c r="BN166" i="1"/>
  <c r="BK172" i="1"/>
  <c r="AH165" i="1"/>
  <c r="BM165" i="1" s="1"/>
  <c r="G163" i="1"/>
  <c r="P163" i="1" s="1"/>
  <c r="Q163" i="1" s="1"/>
  <c r="BN164" i="1"/>
  <c r="AO167" i="1"/>
  <c r="AP169" i="1" s="1"/>
  <c r="AQ169" i="1" s="1"/>
  <c r="BN169" i="1"/>
  <c r="AT165" i="1"/>
  <c r="BN174" i="1"/>
  <c r="AH164" i="1"/>
  <c r="BM164" i="1" s="1"/>
  <c r="AO168" i="1"/>
  <c r="AP170" i="1" s="1"/>
  <c r="AQ170" i="1" s="1"/>
  <c r="AT169" i="1"/>
  <c r="AH170" i="1"/>
  <c r="BM170" i="1" s="1"/>
  <c r="AO173" i="1"/>
  <c r="BN163" i="1"/>
  <c r="BN168" i="1"/>
  <c r="AH173" i="1"/>
  <c r="BK173" i="1" s="1"/>
  <c r="AH167" i="1"/>
  <c r="BM167" i="1" s="1"/>
  <c r="AO171" i="1"/>
  <c r="AP173" i="1" s="1"/>
  <c r="AQ173" i="1" s="1"/>
  <c r="AO172" i="1"/>
  <c r="AP174" i="1" s="1"/>
  <c r="AQ174" i="1" s="1"/>
  <c r="AT173" i="1"/>
  <c r="AH174" i="1"/>
  <c r="BK174" i="1" s="1"/>
  <c r="BN165" i="1"/>
  <c r="AT167" i="1"/>
  <c r="AH168" i="1"/>
  <c r="BM168" i="1" s="1"/>
  <c r="AH171" i="1"/>
  <c r="BM171" i="1" s="1"/>
  <c r="BN171" i="1"/>
  <c r="BN172" i="1"/>
  <c r="AT171" i="1"/>
  <c r="BM169" i="1"/>
  <c r="BK169" i="1"/>
  <c r="AQ163" i="1"/>
  <c r="AO164" i="1"/>
  <c r="AP166" i="1" s="1"/>
  <c r="AQ166" i="1" s="1"/>
  <c r="AT166" i="1"/>
  <c r="AT170" i="1"/>
  <c r="BM172" i="1"/>
  <c r="AT174" i="1"/>
  <c r="BL165" i="1"/>
  <c r="BL169" i="1"/>
  <c r="BL173" i="1"/>
  <c r="G164" i="1"/>
  <c r="P164" i="1" s="1"/>
  <c r="Q164" i="1" s="1"/>
  <c r="BL166" i="1"/>
  <c r="G168" i="1"/>
  <c r="P168" i="1" s="1"/>
  <c r="Q168" i="1" s="1"/>
  <c r="BL170" i="1"/>
  <c r="G172" i="1"/>
  <c r="P172" i="1" s="1"/>
  <c r="Q172" i="1" s="1"/>
  <c r="BL174" i="1"/>
  <c r="BK165" i="1" l="1"/>
  <c r="BK170" i="1"/>
  <c r="BK166" i="1"/>
  <c r="BM163" i="1"/>
  <c r="BM173" i="1"/>
  <c r="BM174" i="1"/>
  <c r="BK171" i="1"/>
  <c r="BK164" i="1"/>
  <c r="BK167" i="1"/>
  <c r="BK168" i="1"/>
  <c r="BU186" i="1"/>
  <c r="BR186" i="1"/>
  <c r="AY186" i="1"/>
  <c r="AR186" i="1"/>
  <c r="AM186" i="1"/>
  <c r="AO186" i="1" s="1"/>
  <c r="AG186" i="1"/>
  <c r="AF186" i="1"/>
  <c r="AE186" i="1"/>
  <c r="AD186" i="1"/>
  <c r="Z186" i="1"/>
  <c r="V186" i="1"/>
  <c r="L186" i="1"/>
  <c r="M186" i="1" s="1"/>
  <c r="E186" i="1"/>
  <c r="G186" i="1" s="1"/>
  <c r="P186" i="1" s="1"/>
  <c r="Q186" i="1" s="1"/>
  <c r="BU185" i="1"/>
  <c r="BR185" i="1"/>
  <c r="AY185" i="1"/>
  <c r="AR185" i="1"/>
  <c r="AM185" i="1"/>
  <c r="BL185" i="1" s="1"/>
  <c r="AG185" i="1"/>
  <c r="AF185" i="1"/>
  <c r="AE185" i="1"/>
  <c r="AD185" i="1"/>
  <c r="Z185" i="1"/>
  <c r="V185" i="1"/>
  <c r="L185" i="1"/>
  <c r="M185" i="1" s="1"/>
  <c r="E185" i="1"/>
  <c r="G185" i="1" s="1"/>
  <c r="P185" i="1" s="1"/>
  <c r="Q185" i="1" s="1"/>
  <c r="BU184" i="1"/>
  <c r="BR184" i="1"/>
  <c r="AY184" i="1"/>
  <c r="AR184" i="1"/>
  <c r="AM184" i="1"/>
  <c r="BL184" i="1" s="1"/>
  <c r="AG184" i="1"/>
  <c r="AF184" i="1"/>
  <c r="AE184" i="1"/>
  <c r="AD184" i="1"/>
  <c r="Z184" i="1"/>
  <c r="V184" i="1"/>
  <c r="AH184" i="1" s="1"/>
  <c r="L184" i="1"/>
  <c r="M184" i="1" s="1"/>
  <c r="E184" i="1"/>
  <c r="G184" i="1" s="1"/>
  <c r="P184" i="1" s="1"/>
  <c r="Q184" i="1" s="1"/>
  <c r="BU183" i="1"/>
  <c r="BR183" i="1"/>
  <c r="AY183" i="1"/>
  <c r="AR183" i="1"/>
  <c r="AM183" i="1"/>
  <c r="BL183" i="1" s="1"/>
  <c r="AG183" i="1"/>
  <c r="AF183" i="1"/>
  <c r="AE183" i="1"/>
  <c r="AD183" i="1"/>
  <c r="Z183" i="1"/>
  <c r="V183" i="1"/>
  <c r="L183" i="1"/>
  <c r="M183" i="1" s="1"/>
  <c r="E183" i="1"/>
  <c r="BU182" i="1"/>
  <c r="BR182" i="1"/>
  <c r="AY182" i="1"/>
  <c r="AR182" i="1"/>
  <c r="AM182" i="1"/>
  <c r="AO182" i="1" s="1"/>
  <c r="AP184" i="1" s="1"/>
  <c r="AG182" i="1"/>
  <c r="AF182" i="1"/>
  <c r="AE182" i="1"/>
  <c r="AD182" i="1"/>
  <c r="Z182" i="1"/>
  <c r="V182" i="1"/>
  <c r="L182" i="1"/>
  <c r="M182" i="1" s="1"/>
  <c r="E182" i="1"/>
  <c r="G182" i="1" s="1"/>
  <c r="P182" i="1" s="1"/>
  <c r="Q182" i="1" s="1"/>
  <c r="BU181" i="1"/>
  <c r="BR181" i="1"/>
  <c r="AY181" i="1"/>
  <c r="AR181" i="1"/>
  <c r="AM181" i="1"/>
  <c r="BL181" i="1" s="1"/>
  <c r="AG181" i="1"/>
  <c r="AF181" i="1"/>
  <c r="AE181" i="1"/>
  <c r="AD181" i="1"/>
  <c r="Z181" i="1"/>
  <c r="V181" i="1"/>
  <c r="L181" i="1"/>
  <c r="M181" i="1" s="1"/>
  <c r="E181" i="1"/>
  <c r="G181" i="1" s="1"/>
  <c r="P181" i="1" s="1"/>
  <c r="Q181" i="1" s="1"/>
  <c r="BU180" i="1"/>
  <c r="BR180" i="1"/>
  <c r="AY180" i="1"/>
  <c r="AR180" i="1"/>
  <c r="AM180" i="1"/>
  <c r="BL180" i="1" s="1"/>
  <c r="AG180" i="1"/>
  <c r="AF180" i="1"/>
  <c r="AE180" i="1"/>
  <c r="AD180" i="1"/>
  <c r="Z180" i="1"/>
  <c r="V180" i="1"/>
  <c r="L180" i="1"/>
  <c r="M180" i="1" s="1"/>
  <c r="E180" i="1"/>
  <c r="G180" i="1" s="1"/>
  <c r="P180" i="1" s="1"/>
  <c r="Q180" i="1" s="1"/>
  <c r="BU179" i="1"/>
  <c r="BR179" i="1"/>
  <c r="AY179" i="1"/>
  <c r="AR179" i="1"/>
  <c r="AM179" i="1"/>
  <c r="BL179" i="1" s="1"/>
  <c r="AG179" i="1"/>
  <c r="AF179" i="1"/>
  <c r="AE179" i="1"/>
  <c r="AD179" i="1"/>
  <c r="Z179" i="1"/>
  <c r="V179" i="1"/>
  <c r="L179" i="1"/>
  <c r="M179" i="1" s="1"/>
  <c r="E179" i="1"/>
  <c r="BU178" i="1"/>
  <c r="BR178" i="1"/>
  <c r="AY178" i="1"/>
  <c r="AR178" i="1"/>
  <c r="AM178" i="1"/>
  <c r="BL178" i="1" s="1"/>
  <c r="AG178" i="1"/>
  <c r="AF178" i="1"/>
  <c r="AE178" i="1"/>
  <c r="AD178" i="1"/>
  <c r="Z178" i="1"/>
  <c r="V178" i="1"/>
  <c r="L178" i="1"/>
  <c r="M178" i="1" s="1"/>
  <c r="E178" i="1"/>
  <c r="G178" i="1" s="1"/>
  <c r="P178" i="1" s="1"/>
  <c r="Q178" i="1" s="1"/>
  <c r="BU177" i="1"/>
  <c r="BR177" i="1"/>
  <c r="AY177" i="1"/>
  <c r="AR177" i="1"/>
  <c r="AM177" i="1"/>
  <c r="BL177" i="1" s="1"/>
  <c r="AG177" i="1"/>
  <c r="AF177" i="1"/>
  <c r="AE177" i="1"/>
  <c r="AD177" i="1"/>
  <c r="Z177" i="1"/>
  <c r="V177" i="1"/>
  <c r="L177" i="1"/>
  <c r="M177" i="1" s="1"/>
  <c r="E177" i="1"/>
  <c r="G177" i="1" s="1"/>
  <c r="P177" i="1" s="1"/>
  <c r="Q177" i="1" s="1"/>
  <c r="BU176" i="1"/>
  <c r="BR176" i="1"/>
  <c r="AY176" i="1"/>
  <c r="AR176" i="1"/>
  <c r="AP176" i="1"/>
  <c r="AM176" i="1"/>
  <c r="AO176" i="1" s="1"/>
  <c r="AP178" i="1" s="1"/>
  <c r="AQ178" i="1" s="1"/>
  <c r="AG176" i="1"/>
  <c r="AF176" i="1"/>
  <c r="AE176" i="1"/>
  <c r="AD176" i="1"/>
  <c r="Z176" i="1"/>
  <c r="V176" i="1"/>
  <c r="L176" i="1"/>
  <c r="M176" i="1" s="1"/>
  <c r="E176" i="1"/>
  <c r="G176" i="1" s="1"/>
  <c r="P176" i="1" s="1"/>
  <c r="Q176" i="1" s="1"/>
  <c r="BU175" i="1"/>
  <c r="BR175" i="1"/>
  <c r="AY175" i="1"/>
  <c r="AR175" i="1"/>
  <c r="AP175" i="1"/>
  <c r="AM175" i="1"/>
  <c r="BL175" i="1" s="1"/>
  <c r="AG175" i="1"/>
  <c r="AF175" i="1"/>
  <c r="AE175" i="1"/>
  <c r="AD175" i="1"/>
  <c r="Z175" i="1"/>
  <c r="V175" i="1"/>
  <c r="L175" i="1"/>
  <c r="M175" i="1" s="1"/>
  <c r="E175" i="1"/>
  <c r="BU198" i="1"/>
  <c r="BR198" i="1"/>
  <c r="AY198" i="1"/>
  <c r="AR198" i="1"/>
  <c r="AM198" i="1"/>
  <c r="AO198" i="1" s="1"/>
  <c r="AG198" i="1"/>
  <c r="AF198" i="1"/>
  <c r="AE198" i="1"/>
  <c r="AD198" i="1"/>
  <c r="Z198" i="1"/>
  <c r="V198" i="1"/>
  <c r="L198" i="1"/>
  <c r="M198" i="1" s="1"/>
  <c r="E198" i="1"/>
  <c r="G198" i="1" s="1"/>
  <c r="P198" i="1" s="1"/>
  <c r="Q198" i="1" s="1"/>
  <c r="BU197" i="1"/>
  <c r="BR197" i="1"/>
  <c r="AY197" i="1"/>
  <c r="AR197" i="1"/>
  <c r="AM197" i="1"/>
  <c r="BL197" i="1" s="1"/>
  <c r="AG197" i="1"/>
  <c r="AF197" i="1"/>
  <c r="AE197" i="1"/>
  <c r="AD197" i="1"/>
  <c r="Z197" i="1"/>
  <c r="V197" i="1"/>
  <c r="L197" i="1"/>
  <c r="M197" i="1" s="1"/>
  <c r="E197" i="1"/>
  <c r="G197" i="1" s="1"/>
  <c r="P197" i="1" s="1"/>
  <c r="Q197" i="1" s="1"/>
  <c r="BU196" i="1"/>
  <c r="BR196" i="1"/>
  <c r="AY196" i="1"/>
  <c r="AR196" i="1"/>
  <c r="AM196" i="1"/>
  <c r="BL196" i="1" s="1"/>
  <c r="AG196" i="1"/>
  <c r="AF196" i="1"/>
  <c r="AE196" i="1"/>
  <c r="AD196" i="1"/>
  <c r="Z196" i="1"/>
  <c r="V196" i="1"/>
  <c r="L196" i="1"/>
  <c r="M196" i="1" s="1"/>
  <c r="E196" i="1"/>
  <c r="G196" i="1" s="1"/>
  <c r="P196" i="1" s="1"/>
  <c r="Q196" i="1" s="1"/>
  <c r="BU195" i="1"/>
  <c r="BR195" i="1"/>
  <c r="AY195" i="1"/>
  <c r="AR195" i="1"/>
  <c r="AM195" i="1"/>
  <c r="BL195" i="1" s="1"/>
  <c r="AG195" i="1"/>
  <c r="AF195" i="1"/>
  <c r="AE195" i="1"/>
  <c r="AD195" i="1"/>
  <c r="Z195" i="1"/>
  <c r="V195" i="1"/>
  <c r="L195" i="1"/>
  <c r="M195" i="1" s="1"/>
  <c r="E195" i="1"/>
  <c r="BU194" i="1"/>
  <c r="BR194" i="1"/>
  <c r="AY194" i="1"/>
  <c r="AR194" i="1"/>
  <c r="AM194" i="1"/>
  <c r="AO194" i="1" s="1"/>
  <c r="AP196" i="1" s="1"/>
  <c r="AG194" i="1"/>
  <c r="AF194" i="1"/>
  <c r="AE194" i="1"/>
  <c r="AD194" i="1"/>
  <c r="Z194" i="1"/>
  <c r="V194" i="1"/>
  <c r="L194" i="1"/>
  <c r="M194" i="1" s="1"/>
  <c r="E194" i="1"/>
  <c r="G194" i="1" s="1"/>
  <c r="P194" i="1" s="1"/>
  <c r="Q194" i="1" s="1"/>
  <c r="BU193" i="1"/>
  <c r="BR193" i="1"/>
  <c r="AY193" i="1"/>
  <c r="AR193" i="1"/>
  <c r="AM193" i="1"/>
  <c r="BL193" i="1" s="1"/>
  <c r="AG193" i="1"/>
  <c r="AF193" i="1"/>
  <c r="AE193" i="1"/>
  <c r="AD193" i="1"/>
  <c r="Z193" i="1"/>
  <c r="V193" i="1"/>
  <c r="L193" i="1"/>
  <c r="M193" i="1" s="1"/>
  <c r="E193" i="1"/>
  <c r="G193" i="1" s="1"/>
  <c r="P193" i="1" s="1"/>
  <c r="Q193" i="1" s="1"/>
  <c r="BU192" i="1"/>
  <c r="BR192" i="1"/>
  <c r="AY192" i="1"/>
  <c r="AR192" i="1"/>
  <c r="AM192" i="1"/>
  <c r="BL192" i="1" s="1"/>
  <c r="AG192" i="1"/>
  <c r="AF192" i="1"/>
  <c r="AE192" i="1"/>
  <c r="AD192" i="1"/>
  <c r="Z192" i="1"/>
  <c r="V192" i="1"/>
  <c r="L192" i="1"/>
  <c r="M192" i="1" s="1"/>
  <c r="E192" i="1"/>
  <c r="G192" i="1" s="1"/>
  <c r="P192" i="1" s="1"/>
  <c r="Q192" i="1" s="1"/>
  <c r="BU191" i="1"/>
  <c r="BR191" i="1"/>
  <c r="AY191" i="1"/>
  <c r="AR191" i="1"/>
  <c r="AM191" i="1"/>
  <c r="BL191" i="1" s="1"/>
  <c r="AG191" i="1"/>
  <c r="AF191" i="1"/>
  <c r="AE191" i="1"/>
  <c r="AD191" i="1"/>
  <c r="Z191" i="1"/>
  <c r="V191" i="1"/>
  <c r="L191" i="1"/>
  <c r="M191" i="1" s="1"/>
  <c r="E191" i="1"/>
  <c r="BU190" i="1"/>
  <c r="BR190" i="1"/>
  <c r="AY190" i="1"/>
  <c r="AR190" i="1"/>
  <c r="AM190" i="1"/>
  <c r="AO190" i="1" s="1"/>
  <c r="AP192" i="1" s="1"/>
  <c r="AG190" i="1"/>
  <c r="AF190" i="1"/>
  <c r="AE190" i="1"/>
  <c r="AD190" i="1"/>
  <c r="Z190" i="1"/>
  <c r="V190" i="1"/>
  <c r="L190" i="1"/>
  <c r="M190" i="1" s="1"/>
  <c r="E190" i="1"/>
  <c r="G190" i="1" s="1"/>
  <c r="P190" i="1" s="1"/>
  <c r="Q190" i="1" s="1"/>
  <c r="BU189" i="1"/>
  <c r="BR189" i="1"/>
  <c r="AY189" i="1"/>
  <c r="AR189" i="1"/>
  <c r="AM189" i="1"/>
  <c r="BL189" i="1" s="1"/>
  <c r="AG189" i="1"/>
  <c r="AF189" i="1"/>
  <c r="AE189" i="1"/>
  <c r="AD189" i="1"/>
  <c r="Z189" i="1"/>
  <c r="V189" i="1"/>
  <c r="L189" i="1"/>
  <c r="M189" i="1" s="1"/>
  <c r="E189" i="1"/>
  <c r="G189" i="1" s="1"/>
  <c r="P189" i="1" s="1"/>
  <c r="Q189" i="1" s="1"/>
  <c r="BU188" i="1"/>
  <c r="BR188" i="1"/>
  <c r="AY188" i="1"/>
  <c r="AR188" i="1"/>
  <c r="AM188" i="1"/>
  <c r="AO188" i="1" s="1"/>
  <c r="AP190" i="1" s="1"/>
  <c r="AQ190" i="1" s="1"/>
  <c r="AG188" i="1"/>
  <c r="AF188" i="1"/>
  <c r="AE188" i="1"/>
  <c r="AD188" i="1"/>
  <c r="Z188" i="1"/>
  <c r="V188" i="1"/>
  <c r="L188" i="1"/>
  <c r="M188" i="1" s="1"/>
  <c r="E188" i="1"/>
  <c r="G188" i="1" s="1"/>
  <c r="P188" i="1" s="1"/>
  <c r="Q188" i="1" s="1"/>
  <c r="BU187" i="1"/>
  <c r="BR187" i="1"/>
  <c r="AY187" i="1"/>
  <c r="AR187" i="1"/>
  <c r="AM187" i="1"/>
  <c r="BL187" i="1" s="1"/>
  <c r="AG187" i="1"/>
  <c r="AF187" i="1"/>
  <c r="AE187" i="1"/>
  <c r="AD187" i="1"/>
  <c r="Z187" i="1"/>
  <c r="V187" i="1"/>
  <c r="L187" i="1"/>
  <c r="M187" i="1" s="1"/>
  <c r="E187" i="1"/>
  <c r="AT187" i="1" s="1"/>
  <c r="BN190" i="1" l="1"/>
  <c r="AH196" i="1"/>
  <c r="BN177" i="1"/>
  <c r="AT191" i="1"/>
  <c r="BN189" i="1"/>
  <c r="BN183" i="1"/>
  <c r="AH197" i="1"/>
  <c r="AH179" i="1"/>
  <c r="BM179" i="1" s="1"/>
  <c r="BN179" i="1"/>
  <c r="AH182" i="1"/>
  <c r="BM182" i="1" s="1"/>
  <c r="BK184" i="1"/>
  <c r="AO179" i="1"/>
  <c r="AP181" i="1" s="1"/>
  <c r="AQ181" i="1" s="1"/>
  <c r="BN175" i="1"/>
  <c r="BN181" i="1"/>
  <c r="BN187" i="1"/>
  <c r="AH190" i="1"/>
  <c r="BM190" i="1" s="1"/>
  <c r="BN194" i="1"/>
  <c r="AH187" i="1"/>
  <c r="BK187" i="1" s="1"/>
  <c r="AH177" i="1"/>
  <c r="BM177" i="1" s="1"/>
  <c r="AH183" i="1"/>
  <c r="BM183" i="1" s="1"/>
  <c r="AH186" i="1"/>
  <c r="BM186" i="1" s="1"/>
  <c r="AH193" i="1"/>
  <c r="BM193" i="1" s="1"/>
  <c r="BN198" i="1"/>
  <c r="AO185" i="1"/>
  <c r="AP188" i="1" s="1"/>
  <c r="AQ188" i="1" s="1"/>
  <c r="BN193" i="1"/>
  <c r="AO197" i="1"/>
  <c r="AH180" i="1"/>
  <c r="BK180" i="1" s="1"/>
  <c r="BN185" i="1"/>
  <c r="AH188" i="1"/>
  <c r="BK188" i="1" s="1"/>
  <c r="BN197" i="1"/>
  <c r="AT177" i="1"/>
  <c r="BN191" i="1"/>
  <c r="AT197" i="1"/>
  <c r="AO195" i="1"/>
  <c r="AP197" i="1" s="1"/>
  <c r="AQ197" i="1" s="1"/>
  <c r="AH176" i="1"/>
  <c r="BM176" i="1" s="1"/>
  <c r="AT176" i="1"/>
  <c r="AT179" i="1"/>
  <c r="AH192" i="1"/>
  <c r="BK192" i="1" s="1"/>
  <c r="BN195" i="1"/>
  <c r="AH195" i="1"/>
  <c r="BK195" i="1" s="1"/>
  <c r="BK196" i="1"/>
  <c r="AH198" i="1"/>
  <c r="BK198" i="1" s="1"/>
  <c r="AO183" i="1"/>
  <c r="AP185" i="1" s="1"/>
  <c r="AQ185" i="1" s="1"/>
  <c r="AO191" i="1"/>
  <c r="AP193" i="1" s="1"/>
  <c r="AQ193" i="1" s="1"/>
  <c r="AO193" i="1"/>
  <c r="AP195" i="1" s="1"/>
  <c r="AQ195" i="1" s="1"/>
  <c r="AH185" i="1"/>
  <c r="BM185" i="1" s="1"/>
  <c r="AT185" i="1"/>
  <c r="AH191" i="1"/>
  <c r="BM191" i="1" s="1"/>
  <c r="AH194" i="1"/>
  <c r="BM194" i="1" s="1"/>
  <c r="AT196" i="1"/>
  <c r="AO181" i="1"/>
  <c r="AP183" i="1" s="1"/>
  <c r="AQ183" i="1" s="1"/>
  <c r="BN182" i="1"/>
  <c r="AT184" i="1"/>
  <c r="AO187" i="1"/>
  <c r="AP189" i="1" s="1"/>
  <c r="AQ189" i="1" s="1"/>
  <c r="AO189" i="1"/>
  <c r="AP191" i="1" s="1"/>
  <c r="AQ191" i="1" s="1"/>
  <c r="AT193" i="1"/>
  <c r="AT175" i="1"/>
  <c r="AT192" i="1"/>
  <c r="AH181" i="1"/>
  <c r="BM181" i="1" s="1"/>
  <c r="AT181" i="1"/>
  <c r="AH189" i="1"/>
  <c r="BK189" i="1" s="1"/>
  <c r="AT189" i="1"/>
  <c r="AT195" i="1"/>
  <c r="AO175" i="1"/>
  <c r="AP177" i="1" s="1"/>
  <c r="AQ177" i="1" s="1"/>
  <c r="AO177" i="1"/>
  <c r="AP179" i="1" s="1"/>
  <c r="AQ179" i="1" s="1"/>
  <c r="BN178" i="1"/>
  <c r="AT180" i="1"/>
  <c r="AT188" i="1"/>
  <c r="AH175" i="1"/>
  <c r="BK175" i="1" s="1"/>
  <c r="AQ175" i="1"/>
  <c r="AH178" i="1"/>
  <c r="BM178" i="1" s="1"/>
  <c r="AT183" i="1"/>
  <c r="BK182" i="1"/>
  <c r="BK183" i="1"/>
  <c r="BL176" i="1"/>
  <c r="AT178" i="1"/>
  <c r="AO180" i="1"/>
  <c r="AP182" i="1" s="1"/>
  <c r="AQ182" i="1" s="1"/>
  <c r="AT182" i="1"/>
  <c r="AO184" i="1"/>
  <c r="AT186" i="1"/>
  <c r="G175" i="1"/>
  <c r="P175" i="1" s="1"/>
  <c r="Q175" i="1" s="1"/>
  <c r="BN176" i="1"/>
  <c r="G179" i="1"/>
  <c r="P179" i="1" s="1"/>
  <c r="Q179" i="1" s="1"/>
  <c r="BN180" i="1"/>
  <c r="G183" i="1"/>
  <c r="P183" i="1" s="1"/>
  <c r="Q183" i="1" s="1"/>
  <c r="BN184" i="1"/>
  <c r="BM184" i="1"/>
  <c r="AQ176" i="1"/>
  <c r="AQ184" i="1"/>
  <c r="BL182" i="1"/>
  <c r="BL186" i="1"/>
  <c r="AO178" i="1"/>
  <c r="AP180" i="1" s="1"/>
  <c r="AQ180" i="1" s="1"/>
  <c r="BN186" i="1"/>
  <c r="BM197" i="1"/>
  <c r="BK197" i="1"/>
  <c r="BL188" i="1"/>
  <c r="AO192" i="1"/>
  <c r="AP194" i="1" s="1"/>
  <c r="AQ194" i="1" s="1"/>
  <c r="AT194" i="1"/>
  <c r="AO196" i="1"/>
  <c r="AP198" i="1" s="1"/>
  <c r="AQ198" i="1" s="1"/>
  <c r="BM196" i="1"/>
  <c r="AT198" i="1"/>
  <c r="G187" i="1"/>
  <c r="P187" i="1" s="1"/>
  <c r="Q187" i="1" s="1"/>
  <c r="BN188" i="1"/>
  <c r="G191" i="1"/>
  <c r="P191" i="1" s="1"/>
  <c r="Q191" i="1" s="1"/>
  <c r="BN192" i="1"/>
  <c r="G195" i="1"/>
  <c r="P195" i="1" s="1"/>
  <c r="Q195" i="1" s="1"/>
  <c r="BN196" i="1"/>
  <c r="AT190" i="1"/>
  <c r="AQ192" i="1"/>
  <c r="AQ196" i="1"/>
  <c r="BL190" i="1"/>
  <c r="BL194" i="1"/>
  <c r="BL198" i="1"/>
  <c r="BK191" i="1" l="1"/>
  <c r="BM187" i="1"/>
  <c r="BK190" i="1"/>
  <c r="BK179" i="1"/>
  <c r="BK181" i="1"/>
  <c r="BK176" i="1"/>
  <c r="BM188" i="1"/>
  <c r="BK177" i="1"/>
  <c r="BM180" i="1"/>
  <c r="BK193" i="1"/>
  <c r="BM189" i="1"/>
  <c r="BK186" i="1"/>
  <c r="BM198" i="1"/>
  <c r="BM195" i="1"/>
  <c r="BK194" i="1"/>
  <c r="BM192" i="1"/>
  <c r="BM175" i="1"/>
  <c r="BK185" i="1"/>
  <c r="BK178" i="1"/>
  <c r="AP186" i="1"/>
  <c r="AQ186" i="1" s="1"/>
  <c r="AP187" i="1"/>
  <c r="AQ187" i="1" s="1"/>
  <c r="C18" i="32" l="1"/>
  <c r="D18" i="32"/>
  <c r="E18" i="32"/>
  <c r="F18" i="32"/>
  <c r="G18" i="32"/>
  <c r="H18" i="32"/>
  <c r="I18" i="32"/>
  <c r="J18" i="32"/>
  <c r="L18" i="32"/>
  <c r="N18" i="32"/>
  <c r="O18" i="32"/>
  <c r="P18" i="32"/>
  <c r="Q18" i="32"/>
  <c r="R18" i="32"/>
  <c r="S18" i="32"/>
  <c r="T18" i="32"/>
  <c r="U18" i="32"/>
  <c r="C19" i="32"/>
  <c r="D19" i="32"/>
  <c r="E19" i="32"/>
  <c r="F19" i="32"/>
  <c r="G19" i="32"/>
  <c r="H19" i="32"/>
  <c r="I19" i="32"/>
  <c r="J19" i="32"/>
  <c r="L19" i="32"/>
  <c r="N19" i="32"/>
  <c r="P19" i="32"/>
  <c r="Q19" i="32"/>
  <c r="R19" i="32"/>
  <c r="S19" i="32"/>
  <c r="T19" i="32"/>
  <c r="U19" i="32"/>
  <c r="M55" i="61" l="1"/>
  <c r="G55" i="61"/>
  <c r="M54" i="61"/>
  <c r="G54" i="61"/>
  <c r="M53" i="61"/>
  <c r="G53" i="61"/>
  <c r="M52" i="61"/>
  <c r="G52" i="61"/>
  <c r="M51" i="61"/>
  <c r="G51" i="61"/>
  <c r="M50" i="61"/>
  <c r="G50" i="61"/>
  <c r="M49" i="61"/>
  <c r="G49" i="61"/>
  <c r="M48" i="61"/>
  <c r="G48" i="61"/>
  <c r="M47" i="61"/>
  <c r="G47" i="61"/>
  <c r="M46" i="61"/>
  <c r="G46" i="61"/>
  <c r="M45" i="61"/>
  <c r="G45" i="61"/>
  <c r="M44" i="61"/>
  <c r="G44" i="61"/>
  <c r="K33" i="33" l="1"/>
  <c r="L33" i="33" s="1"/>
  <c r="K32" i="33"/>
  <c r="L32" i="33" s="1"/>
  <c r="K31" i="33"/>
  <c r="L31" i="33" s="1"/>
  <c r="K30" i="33"/>
  <c r="L30" i="33" s="1"/>
  <c r="K29" i="33"/>
  <c r="L29" i="33" s="1"/>
  <c r="K28" i="33"/>
  <c r="L28" i="33" s="1"/>
  <c r="K27" i="33"/>
  <c r="L27" i="33" s="1"/>
  <c r="K26" i="33"/>
  <c r="L26" i="33" s="1"/>
  <c r="K25" i="33"/>
  <c r="L25" i="33" s="1"/>
  <c r="K24" i="33"/>
  <c r="L24" i="33" s="1"/>
  <c r="K23" i="33"/>
  <c r="L23" i="33" s="1"/>
  <c r="K22" i="33"/>
  <c r="L22" i="33" s="1"/>
  <c r="K45" i="33"/>
  <c r="L45" i="33" s="1"/>
  <c r="K44" i="33"/>
  <c r="G44" i="33"/>
  <c r="L44" i="33" s="1"/>
  <c r="L43" i="33"/>
  <c r="K43" i="33"/>
  <c r="L42" i="33"/>
  <c r="K42" i="33"/>
  <c r="K41" i="33"/>
  <c r="L41" i="33" s="1"/>
  <c r="L40" i="33"/>
  <c r="K40" i="33"/>
  <c r="L39" i="33"/>
  <c r="K39" i="33"/>
  <c r="L38" i="33"/>
  <c r="K38" i="33"/>
  <c r="K37" i="33"/>
  <c r="L37" i="33" s="1"/>
  <c r="L36" i="33"/>
  <c r="K36" i="33"/>
  <c r="L35" i="33"/>
  <c r="K35" i="33"/>
  <c r="L34" i="33"/>
  <c r="K34" i="33"/>
  <c r="K69" i="33"/>
  <c r="L69" i="33" s="1"/>
  <c r="K68" i="33"/>
  <c r="L68" i="33" s="1"/>
  <c r="L67" i="33"/>
  <c r="K67" i="33"/>
  <c r="K66" i="33"/>
  <c r="L66" i="33" s="1"/>
  <c r="K65" i="33"/>
  <c r="L65" i="33" s="1"/>
  <c r="K64" i="33"/>
  <c r="L64" i="33" s="1"/>
  <c r="L63" i="33"/>
  <c r="K63" i="33"/>
  <c r="K62" i="33"/>
  <c r="L62" i="33" s="1"/>
  <c r="L61" i="33"/>
  <c r="K61" i="33"/>
  <c r="K60" i="33"/>
  <c r="L60" i="33" s="1"/>
  <c r="L59" i="33"/>
  <c r="K59" i="33"/>
  <c r="K58" i="33"/>
  <c r="L58" i="33" s="1"/>
  <c r="K57" i="33"/>
  <c r="L57" i="33" s="1"/>
  <c r="K56" i="33"/>
  <c r="L56" i="33" s="1"/>
  <c r="K55" i="33"/>
  <c r="L55" i="33" s="1"/>
  <c r="K54" i="33"/>
  <c r="L54" i="33" s="1"/>
  <c r="K53" i="33"/>
  <c r="H53" i="33"/>
  <c r="L53" i="33" s="1"/>
  <c r="L52" i="33"/>
  <c r="K52" i="33"/>
  <c r="K51" i="33"/>
  <c r="L51" i="33" s="1"/>
  <c r="L50" i="33"/>
  <c r="K50" i="33"/>
  <c r="G50" i="33"/>
  <c r="K49" i="33"/>
  <c r="J49" i="33"/>
  <c r="H49" i="33"/>
  <c r="G49" i="33"/>
  <c r="L49" i="33" s="1"/>
  <c r="L48" i="33"/>
  <c r="K48" i="33"/>
  <c r="J48" i="33"/>
  <c r="I48" i="33"/>
  <c r="H48" i="33"/>
  <c r="G48" i="33"/>
  <c r="K47" i="33"/>
  <c r="I47" i="33"/>
  <c r="L47" i="33" s="1"/>
  <c r="H47" i="33"/>
  <c r="G47" i="33"/>
  <c r="K46" i="33"/>
  <c r="J46" i="33"/>
  <c r="I46" i="33"/>
  <c r="H46" i="33"/>
  <c r="G46" i="33"/>
  <c r="L46" i="33" s="1"/>
  <c r="K81" i="33"/>
  <c r="K80" i="33"/>
  <c r="K79" i="33"/>
  <c r="K78" i="33"/>
  <c r="K77" i="33"/>
  <c r="K76" i="33"/>
  <c r="K75" i="33"/>
  <c r="K74" i="33"/>
  <c r="K73" i="33"/>
  <c r="K72" i="33"/>
  <c r="K71" i="33"/>
  <c r="K70" i="33"/>
  <c r="K117" i="33" l="1"/>
  <c r="L117" i="33" s="1"/>
  <c r="K116" i="33"/>
  <c r="L116" i="33" s="1"/>
  <c r="K115" i="33"/>
  <c r="L115" i="33" s="1"/>
  <c r="K114" i="33"/>
  <c r="L114" i="33" s="1"/>
  <c r="K113" i="33"/>
  <c r="L113" i="33" s="1"/>
  <c r="K112" i="33"/>
  <c r="L112" i="33" s="1"/>
  <c r="K111" i="33"/>
  <c r="L111" i="33" s="1"/>
  <c r="K110" i="33"/>
  <c r="L110" i="33" s="1"/>
  <c r="K109" i="33"/>
  <c r="L109" i="33" s="1"/>
  <c r="K108" i="33"/>
  <c r="L108" i="33" s="1"/>
  <c r="K107" i="33"/>
  <c r="L107" i="33" s="1"/>
  <c r="K106" i="33"/>
  <c r="L106" i="33" s="1"/>
  <c r="K105" i="33" l="1"/>
  <c r="L105" i="33" s="1"/>
  <c r="L104" i="33"/>
  <c r="K104" i="33"/>
  <c r="K103" i="33"/>
  <c r="L103" i="33" s="1"/>
  <c r="K102" i="33"/>
  <c r="L102" i="33" s="1"/>
  <c r="L101" i="33"/>
  <c r="K101" i="33"/>
  <c r="L100" i="33"/>
  <c r="K100" i="33"/>
  <c r="K99" i="33"/>
  <c r="L99" i="33" s="1"/>
  <c r="K98" i="33"/>
  <c r="L98" i="33" s="1"/>
  <c r="L97" i="33"/>
  <c r="K97" i="33"/>
  <c r="L96" i="33"/>
  <c r="K96" i="33"/>
  <c r="K95" i="33"/>
  <c r="L95" i="33" s="1"/>
  <c r="K94" i="33"/>
  <c r="L94" i="33" s="1"/>
  <c r="K93" i="33"/>
  <c r="L93" i="33" s="1"/>
  <c r="L92" i="33"/>
  <c r="K92" i="33"/>
  <c r="L91" i="33"/>
  <c r="K91" i="33"/>
  <c r="K90" i="33"/>
  <c r="L90" i="33" s="1"/>
  <c r="K89" i="33"/>
  <c r="L89" i="33" s="1"/>
  <c r="L88" i="33"/>
  <c r="K88" i="33"/>
  <c r="L87" i="33"/>
  <c r="K87" i="33"/>
  <c r="K86" i="33"/>
  <c r="L86" i="33" s="1"/>
  <c r="K85" i="33"/>
  <c r="L85" i="33" s="1"/>
  <c r="L84" i="33"/>
  <c r="K84" i="33"/>
  <c r="L83" i="33"/>
  <c r="K83" i="33"/>
  <c r="K82" i="33"/>
  <c r="L82" i="33" s="1"/>
  <c r="L141" i="33"/>
  <c r="L140" i="33"/>
  <c r="L139" i="33"/>
  <c r="L138" i="33"/>
  <c r="L137" i="33"/>
  <c r="L136" i="33"/>
  <c r="L135" i="33"/>
  <c r="L134" i="33"/>
  <c r="L133" i="33"/>
  <c r="L132" i="33"/>
  <c r="L131" i="33"/>
  <c r="L130" i="33"/>
  <c r="L129" i="33"/>
  <c r="K129" i="33"/>
  <c r="L128" i="33"/>
  <c r="K128" i="33"/>
  <c r="L127" i="33"/>
  <c r="K127" i="33"/>
  <c r="L126" i="33"/>
  <c r="K126" i="33"/>
  <c r="L125" i="33"/>
  <c r="K125" i="33"/>
  <c r="L124" i="33"/>
  <c r="K124" i="33"/>
  <c r="L123" i="33"/>
  <c r="K123" i="33"/>
  <c r="L122" i="33"/>
  <c r="K122" i="33"/>
  <c r="L121" i="33"/>
  <c r="K121" i="33"/>
  <c r="L120" i="33"/>
  <c r="K120" i="33"/>
  <c r="L119" i="33"/>
  <c r="K119" i="33"/>
  <c r="L118" i="33"/>
  <c r="K118" i="33"/>
  <c r="K67" i="61"/>
  <c r="F67" i="61"/>
  <c r="K66" i="61"/>
  <c r="F66" i="61"/>
  <c r="K65" i="61"/>
  <c r="F65" i="61"/>
  <c r="K64" i="61"/>
  <c r="F64" i="61"/>
  <c r="K63" i="61"/>
  <c r="F63" i="61"/>
  <c r="K62" i="61"/>
  <c r="F62" i="61"/>
  <c r="K61" i="61"/>
  <c r="F61" i="61"/>
  <c r="K60" i="61"/>
  <c r="F60" i="61"/>
  <c r="K59" i="61"/>
  <c r="F59" i="61"/>
  <c r="K58" i="61"/>
  <c r="F58" i="61"/>
  <c r="K57" i="61"/>
  <c r="F57" i="61"/>
  <c r="K56" i="61"/>
  <c r="F56" i="61"/>
  <c r="K148" i="60"/>
  <c r="F148" i="60"/>
  <c r="K147" i="60"/>
  <c r="F147" i="60"/>
  <c r="K146" i="60"/>
  <c r="F146" i="60"/>
  <c r="K145" i="60"/>
  <c r="F145" i="60"/>
  <c r="K144" i="60"/>
  <c r="F144" i="60"/>
  <c r="K143" i="60"/>
  <c r="F143" i="60"/>
  <c r="K142" i="60"/>
  <c r="F142" i="60"/>
  <c r="K141" i="60"/>
  <c r="F141" i="60"/>
  <c r="K140" i="60"/>
  <c r="F140" i="60"/>
  <c r="K139" i="60"/>
  <c r="F139" i="60"/>
  <c r="K138" i="60"/>
  <c r="F138" i="60"/>
  <c r="K137" i="60"/>
  <c r="F137" i="60"/>
  <c r="K172" i="60" l="1"/>
  <c r="F172" i="60"/>
  <c r="K171" i="60"/>
  <c r="F171" i="60"/>
  <c r="K170" i="60"/>
  <c r="F170" i="60"/>
  <c r="K169" i="60"/>
  <c r="F169" i="60"/>
  <c r="K168" i="60"/>
  <c r="F168" i="60"/>
  <c r="K167" i="60"/>
  <c r="F167" i="60"/>
  <c r="K166" i="60"/>
  <c r="F166" i="60"/>
  <c r="K165" i="60"/>
  <c r="F165" i="60"/>
  <c r="K164" i="60"/>
  <c r="F164" i="60"/>
  <c r="K163" i="60"/>
  <c r="F163" i="60"/>
  <c r="K162" i="60"/>
  <c r="F162" i="60"/>
  <c r="K161" i="60"/>
  <c r="F161" i="60"/>
  <c r="K160" i="60"/>
  <c r="F160" i="60"/>
  <c r="K159" i="60"/>
  <c r="F159" i="60"/>
  <c r="K158" i="60"/>
  <c r="F158" i="60"/>
  <c r="K157" i="60"/>
  <c r="F157" i="60"/>
  <c r="K156" i="60"/>
  <c r="F156" i="60"/>
  <c r="K155" i="60"/>
  <c r="F155" i="60"/>
  <c r="K154" i="60"/>
  <c r="F154" i="60"/>
  <c r="K153" i="60"/>
  <c r="F153" i="60"/>
  <c r="K152" i="60"/>
  <c r="F152" i="60"/>
  <c r="K151" i="60"/>
  <c r="F151" i="60"/>
  <c r="K150" i="60"/>
  <c r="F150" i="60"/>
  <c r="K149" i="60"/>
  <c r="F149" i="60"/>
  <c r="K208" i="60"/>
  <c r="F208" i="60"/>
  <c r="K207" i="60"/>
  <c r="F207" i="60"/>
  <c r="K206" i="60"/>
  <c r="F206" i="60"/>
  <c r="K205" i="60"/>
  <c r="F205" i="60"/>
  <c r="K204" i="60"/>
  <c r="F204" i="60"/>
  <c r="K203" i="60"/>
  <c r="F203" i="60"/>
  <c r="K202" i="60"/>
  <c r="F202" i="60"/>
  <c r="K201" i="60"/>
  <c r="F201" i="60"/>
  <c r="K200" i="60"/>
  <c r="F200" i="60"/>
  <c r="K199" i="60"/>
  <c r="F199" i="60"/>
  <c r="K198" i="60"/>
  <c r="F198" i="60"/>
  <c r="K197" i="60"/>
  <c r="F197" i="60"/>
  <c r="K196" i="60" l="1"/>
  <c r="F196" i="60"/>
  <c r="K195" i="60"/>
  <c r="F195" i="60"/>
  <c r="K194" i="60"/>
  <c r="F194" i="60"/>
  <c r="K193" i="60"/>
  <c r="F193" i="60"/>
  <c r="K192" i="60"/>
  <c r="F192" i="60"/>
  <c r="K191" i="60"/>
  <c r="F191" i="60"/>
  <c r="K190" i="60"/>
  <c r="F190" i="60"/>
  <c r="K189" i="60"/>
  <c r="F189" i="60"/>
  <c r="K188" i="60"/>
  <c r="F188" i="60"/>
  <c r="K187" i="60"/>
  <c r="F187" i="60"/>
  <c r="K186" i="60"/>
  <c r="F186" i="60"/>
  <c r="K185" i="60"/>
  <c r="F185" i="60"/>
  <c r="K184" i="60"/>
  <c r="F184" i="60"/>
  <c r="K183" i="60"/>
  <c r="F183" i="60"/>
  <c r="K182" i="60"/>
  <c r="F182" i="60"/>
  <c r="K181" i="60"/>
  <c r="F181" i="60"/>
  <c r="K180" i="60"/>
  <c r="F180" i="60"/>
  <c r="K179" i="60"/>
  <c r="F179" i="60"/>
  <c r="K178" i="60"/>
  <c r="F178" i="60"/>
  <c r="K177" i="60"/>
  <c r="F177" i="60"/>
  <c r="K176" i="60"/>
  <c r="F176" i="60"/>
  <c r="K175" i="60"/>
  <c r="F175" i="60"/>
  <c r="K174" i="60"/>
  <c r="F174" i="60"/>
  <c r="K173" i="60"/>
  <c r="F173" i="60"/>
  <c r="F233" i="60"/>
  <c r="K233" i="60"/>
  <c r="F234" i="60"/>
  <c r="K234" i="60"/>
  <c r="F235" i="60"/>
  <c r="K235" i="60"/>
  <c r="M115" i="61" l="1"/>
  <c r="G115" i="61"/>
  <c r="M114" i="61"/>
  <c r="G114" i="61"/>
  <c r="M113" i="61"/>
  <c r="G113" i="61"/>
  <c r="M112" i="61"/>
  <c r="G112" i="61"/>
  <c r="M111" i="61"/>
  <c r="G111" i="61"/>
  <c r="M110" i="61"/>
  <c r="G110" i="61"/>
  <c r="M109" i="61"/>
  <c r="G109" i="61"/>
  <c r="M108" i="61"/>
  <c r="G108" i="61"/>
  <c r="M107" i="61"/>
  <c r="G107" i="61"/>
  <c r="M106" i="61"/>
  <c r="G106" i="61"/>
  <c r="M105" i="61"/>
  <c r="G105" i="61"/>
  <c r="M104" i="61"/>
  <c r="G104" i="61"/>
  <c r="M103" i="61" l="1"/>
  <c r="G103" i="61"/>
  <c r="M102" i="61"/>
  <c r="G102" i="61"/>
  <c r="M101" i="61"/>
  <c r="G101" i="61"/>
  <c r="M100" i="61"/>
  <c r="G100" i="61"/>
  <c r="M99" i="61"/>
  <c r="G99" i="61"/>
  <c r="M98" i="61"/>
  <c r="G98" i="61"/>
  <c r="M97" i="61"/>
  <c r="G97" i="61"/>
  <c r="M96" i="61"/>
  <c r="G96" i="61"/>
  <c r="M95" i="61"/>
  <c r="G95" i="61"/>
  <c r="M94" i="61"/>
  <c r="G94" i="61"/>
  <c r="M93" i="61"/>
  <c r="G93" i="61"/>
  <c r="M92" i="61"/>
  <c r="G92" i="61"/>
  <c r="M91" i="61"/>
  <c r="G91" i="61"/>
  <c r="M90" i="61"/>
  <c r="G90" i="61"/>
  <c r="M89" i="61"/>
  <c r="G89" i="61"/>
  <c r="M88" i="61"/>
  <c r="G88" i="61"/>
  <c r="M87" i="61"/>
  <c r="G87" i="61"/>
  <c r="M86" i="61"/>
  <c r="G86" i="61"/>
  <c r="M85" i="61"/>
  <c r="G85" i="61"/>
  <c r="M84" i="61"/>
  <c r="G84" i="61"/>
  <c r="M83" i="61"/>
  <c r="G83" i="61"/>
  <c r="M82" i="61"/>
  <c r="G82" i="61"/>
  <c r="M81" i="61"/>
  <c r="G81" i="61"/>
  <c r="M80" i="61"/>
  <c r="G80" i="61"/>
  <c r="M79" i="61"/>
  <c r="G79" i="61"/>
  <c r="M78" i="61"/>
  <c r="G78" i="61"/>
  <c r="M77" i="61"/>
  <c r="G77" i="61"/>
  <c r="M76" i="61"/>
  <c r="G76" i="61"/>
  <c r="M75" i="61"/>
  <c r="G75" i="61"/>
  <c r="M74" i="61"/>
  <c r="G74" i="61"/>
  <c r="M73" i="61"/>
  <c r="G73" i="61"/>
  <c r="M72" i="61"/>
  <c r="G72" i="61"/>
  <c r="M71" i="61"/>
  <c r="G71" i="61"/>
  <c r="M70" i="61"/>
  <c r="G70" i="61"/>
  <c r="M69" i="61"/>
  <c r="G69" i="61"/>
  <c r="M68" i="61"/>
  <c r="G68" i="61"/>
  <c r="K189" i="33"/>
  <c r="L189" i="33" s="1"/>
  <c r="L188" i="33"/>
  <c r="K188" i="33"/>
  <c r="L187" i="33"/>
  <c r="K187" i="33"/>
  <c r="K186" i="33"/>
  <c r="L186" i="33" s="1"/>
  <c r="K185" i="33"/>
  <c r="L185" i="33" s="1"/>
  <c r="L184" i="33"/>
  <c r="K184" i="33"/>
  <c r="L183" i="33"/>
  <c r="K183" i="33"/>
  <c r="K182" i="33"/>
  <c r="L182" i="33" s="1"/>
  <c r="K181" i="33"/>
  <c r="L181" i="33" s="1"/>
  <c r="L180" i="33"/>
  <c r="K180" i="33"/>
  <c r="L179" i="33"/>
  <c r="K179" i="33"/>
  <c r="K178" i="33"/>
  <c r="L178" i="33" s="1"/>
  <c r="K177" i="33"/>
  <c r="L177" i="33" s="1"/>
  <c r="K176" i="33"/>
  <c r="L176" i="33" s="1"/>
  <c r="L175" i="33"/>
  <c r="K175" i="33"/>
  <c r="K174" i="33"/>
  <c r="L174" i="33" s="1"/>
  <c r="K173" i="33"/>
  <c r="L173" i="33" s="1"/>
  <c r="K172" i="33"/>
  <c r="L172" i="33" s="1"/>
  <c r="K171" i="33"/>
  <c r="L171" i="33" s="1"/>
  <c r="K170" i="33"/>
  <c r="L170" i="33" s="1"/>
  <c r="K169" i="33"/>
  <c r="L169" i="33" s="1"/>
  <c r="K168" i="33"/>
  <c r="L168" i="33" s="1"/>
  <c r="K167" i="33"/>
  <c r="L167" i="33" s="1"/>
  <c r="K166" i="33"/>
  <c r="L166" i="33" s="1"/>
  <c r="K165" i="33"/>
  <c r="L165" i="33" s="1"/>
  <c r="K164" i="33"/>
  <c r="L164" i="33" s="1"/>
  <c r="L163" i="33"/>
  <c r="K163" i="33"/>
  <c r="L162" i="33"/>
  <c r="K162" i="33"/>
  <c r="K161" i="33"/>
  <c r="L161" i="33" s="1"/>
  <c r="K160" i="33"/>
  <c r="L160" i="33" s="1"/>
  <c r="L159" i="33"/>
  <c r="K159" i="33"/>
  <c r="L158" i="33"/>
  <c r="K158" i="33"/>
  <c r="K157" i="33"/>
  <c r="L157" i="33" s="1"/>
  <c r="K156" i="33"/>
  <c r="L156" i="33" s="1"/>
  <c r="L155" i="33"/>
  <c r="K155" i="33"/>
  <c r="L154" i="33"/>
  <c r="K154" i="33"/>
  <c r="L153" i="33"/>
  <c r="K153" i="33"/>
  <c r="L152" i="33"/>
  <c r="K152" i="33"/>
  <c r="L151" i="33"/>
  <c r="K151" i="33"/>
  <c r="K150" i="33"/>
  <c r="L150" i="33" s="1"/>
  <c r="K149" i="33"/>
  <c r="L149" i="33" s="1"/>
  <c r="L148" i="33"/>
  <c r="K148" i="33"/>
  <c r="L147" i="33"/>
  <c r="K147" i="33"/>
  <c r="K146" i="33"/>
  <c r="L146" i="33" s="1"/>
  <c r="K145" i="33"/>
  <c r="L145" i="33" s="1"/>
  <c r="L144" i="33"/>
  <c r="K144" i="33"/>
  <c r="L143" i="33"/>
  <c r="K143" i="33"/>
  <c r="K142" i="33"/>
  <c r="L142" i="33" s="1"/>
  <c r="V70" i="45" l="1"/>
  <c r="V69" i="45"/>
  <c r="V68" i="45"/>
  <c r="V67" i="45"/>
  <c r="V66" i="45"/>
  <c r="V65" i="45"/>
  <c r="V64" i="45"/>
  <c r="V63" i="45"/>
  <c r="V62" i="45"/>
  <c r="V61" i="45"/>
  <c r="V60" i="45"/>
  <c r="V59" i="45"/>
  <c r="V58" i="45"/>
  <c r="V57" i="45"/>
  <c r="V56" i="45"/>
  <c r="V55" i="45"/>
  <c r="V54" i="45"/>
  <c r="V53" i="45"/>
  <c r="V52" i="45"/>
  <c r="V51" i="45"/>
  <c r="V50" i="45"/>
  <c r="V49" i="45"/>
  <c r="V48" i="45"/>
  <c r="V47" i="45"/>
  <c r="Q93" i="41" l="1"/>
  <c r="R93" i="41" s="1"/>
  <c r="Q92" i="41"/>
  <c r="R92" i="41" s="1"/>
  <c r="Q91" i="41"/>
  <c r="R91" i="41" s="1"/>
  <c r="Q90" i="41"/>
  <c r="R90" i="41" s="1"/>
  <c r="R89" i="41"/>
  <c r="Q89" i="41"/>
  <c r="Q88" i="41"/>
  <c r="R88" i="41" s="1"/>
  <c r="Q87" i="41"/>
  <c r="R87" i="41" s="1"/>
  <c r="Q86" i="41"/>
  <c r="R86" i="41" s="1"/>
  <c r="R85" i="41"/>
  <c r="Q85" i="41"/>
  <c r="Q84" i="41"/>
  <c r="R84" i="41" s="1"/>
  <c r="Q83" i="41"/>
  <c r="R83" i="41" s="1"/>
  <c r="Q82" i="41"/>
  <c r="R82" i="41" s="1"/>
  <c r="R81" i="41"/>
  <c r="Q81" i="41"/>
  <c r="Q80" i="41"/>
  <c r="R80" i="41" s="1"/>
  <c r="Q79" i="41"/>
  <c r="R79" i="41" s="1"/>
  <c r="Q78" i="41"/>
  <c r="R78" i="41" s="1"/>
  <c r="R77" i="41"/>
  <c r="Q77" i="41"/>
  <c r="Q76" i="41"/>
  <c r="R76" i="41" s="1"/>
  <c r="Q75" i="41"/>
  <c r="R75" i="41" s="1"/>
  <c r="Q74" i="41"/>
  <c r="R74" i="41" s="1"/>
  <c r="R73" i="41"/>
  <c r="Q73" i="41"/>
  <c r="Q72" i="41"/>
  <c r="R72" i="41" s="1"/>
  <c r="Q71" i="41"/>
  <c r="R71" i="41" s="1"/>
  <c r="Q70" i="41"/>
  <c r="R70" i="41" s="1"/>
  <c r="J95" i="10" l="1"/>
  <c r="P237" i="7"/>
  <c r="AM237" i="7" s="1"/>
  <c r="AN237" i="7" s="1"/>
  <c r="L237" i="7"/>
  <c r="P236" i="7"/>
  <c r="AM236" i="7" s="1"/>
  <c r="AN236" i="7" s="1"/>
  <c r="L236" i="7"/>
  <c r="P235" i="7"/>
  <c r="AM235" i="7" s="1"/>
  <c r="AN235" i="7" s="1"/>
  <c r="L235" i="7"/>
  <c r="P234" i="7"/>
  <c r="AM234" i="7" s="1"/>
  <c r="AN234" i="7" s="1"/>
  <c r="L234" i="7"/>
  <c r="P233" i="7"/>
  <c r="AM233" i="7" s="1"/>
  <c r="AN233" i="7" s="1"/>
  <c r="L233" i="7"/>
  <c r="P232" i="7"/>
  <c r="AM232" i="7" s="1"/>
  <c r="AN232" i="7" s="1"/>
  <c r="L232" i="7"/>
  <c r="P231" i="7"/>
  <c r="AM231" i="7" s="1"/>
  <c r="AN231" i="7" s="1"/>
  <c r="L231" i="7"/>
  <c r="P230" i="7"/>
  <c r="AM230" i="7" s="1"/>
  <c r="AN230" i="7" s="1"/>
  <c r="L230" i="7"/>
  <c r="AM229" i="7"/>
  <c r="AN229" i="7" s="1"/>
  <c r="P229" i="7"/>
  <c r="L229" i="7"/>
  <c r="P228" i="7"/>
  <c r="AM228" i="7" s="1"/>
  <c r="AN228" i="7" s="1"/>
  <c r="L228" i="7"/>
  <c r="P227" i="7"/>
  <c r="AM227" i="7" s="1"/>
  <c r="AN227" i="7" s="1"/>
  <c r="L227" i="7"/>
  <c r="P226" i="7"/>
  <c r="AM226" i="7" s="1"/>
  <c r="AN226" i="7" s="1"/>
  <c r="L226" i="7"/>
  <c r="AN225" i="7"/>
  <c r="P225" i="7"/>
  <c r="L225" i="7"/>
  <c r="AN224" i="7"/>
  <c r="P224" i="7"/>
  <c r="L224" i="7"/>
  <c r="AN223" i="7"/>
  <c r="P223" i="7"/>
  <c r="L223" i="7"/>
  <c r="AN222" i="7"/>
  <c r="P222" i="7"/>
  <c r="L222" i="7"/>
  <c r="AN221" i="7"/>
  <c r="P221" i="7"/>
  <c r="L221" i="7"/>
  <c r="AN220" i="7"/>
  <c r="P220" i="7"/>
  <c r="L220" i="7"/>
  <c r="AN219" i="7"/>
  <c r="P219" i="7"/>
  <c r="L219" i="7"/>
  <c r="AN218" i="7"/>
  <c r="P218" i="7"/>
  <c r="L218" i="7"/>
  <c r="AN217" i="7"/>
  <c r="P217" i="7"/>
  <c r="L217" i="7"/>
  <c r="AN216" i="7"/>
  <c r="P216" i="7"/>
  <c r="L216" i="7"/>
  <c r="AN215" i="7"/>
  <c r="P215" i="7"/>
  <c r="L215" i="7"/>
  <c r="AN214" i="7"/>
  <c r="P214" i="7"/>
  <c r="L214" i="7"/>
  <c r="U156" i="6"/>
  <c r="N156" i="6"/>
  <c r="K156" i="6"/>
  <c r="H156" i="6"/>
  <c r="E156" i="6"/>
  <c r="U155" i="6"/>
  <c r="N155" i="6"/>
  <c r="K155" i="6"/>
  <c r="H155" i="6"/>
  <c r="E155" i="6"/>
  <c r="O155" i="6" s="1"/>
  <c r="V155" i="6" s="1"/>
  <c r="U154" i="6"/>
  <c r="N154" i="6"/>
  <c r="K154" i="6"/>
  <c r="H154" i="6"/>
  <c r="E154" i="6"/>
  <c r="U153" i="6"/>
  <c r="N153" i="6"/>
  <c r="K153" i="6"/>
  <c r="H153" i="6"/>
  <c r="E153" i="6"/>
  <c r="U152" i="6"/>
  <c r="N152" i="6"/>
  <c r="K152" i="6"/>
  <c r="H152" i="6"/>
  <c r="E152" i="6"/>
  <c r="U151" i="6"/>
  <c r="N151" i="6"/>
  <c r="K151" i="6"/>
  <c r="H151" i="6"/>
  <c r="E151" i="6"/>
  <c r="U150" i="6"/>
  <c r="N150" i="6"/>
  <c r="K150" i="6"/>
  <c r="H150" i="6"/>
  <c r="E150" i="6"/>
  <c r="U149" i="6"/>
  <c r="N149" i="6"/>
  <c r="K149" i="6"/>
  <c r="H149" i="6"/>
  <c r="E149" i="6"/>
  <c r="O149" i="6" s="1"/>
  <c r="V149" i="6" s="1"/>
  <c r="U148" i="6"/>
  <c r="N148" i="6"/>
  <c r="K148" i="6"/>
  <c r="H148" i="6"/>
  <c r="E148" i="6"/>
  <c r="U147" i="6"/>
  <c r="N147" i="6"/>
  <c r="K147" i="6"/>
  <c r="H147" i="6"/>
  <c r="E147" i="6"/>
  <c r="U146" i="6"/>
  <c r="N146" i="6"/>
  <c r="K146" i="6"/>
  <c r="H146" i="6"/>
  <c r="E146" i="6"/>
  <c r="U145" i="6"/>
  <c r="N145" i="6"/>
  <c r="K145" i="6"/>
  <c r="H145" i="6"/>
  <c r="E145" i="6"/>
  <c r="O151" i="6" l="1"/>
  <c r="V151" i="6" s="1"/>
  <c r="O153" i="6"/>
  <c r="V153" i="6" s="1"/>
  <c r="O146" i="6"/>
  <c r="V146" i="6" s="1"/>
  <c r="O152" i="6"/>
  <c r="V152" i="6" s="1"/>
  <c r="O154" i="6"/>
  <c r="V154" i="6" s="1"/>
  <c r="O147" i="6"/>
  <c r="V147" i="6" s="1"/>
  <c r="O156" i="6"/>
  <c r="V156" i="6" s="1"/>
  <c r="O145" i="6"/>
  <c r="V145" i="6" s="1"/>
  <c r="O148" i="6"/>
  <c r="V148" i="6" s="1"/>
  <c r="O150" i="6"/>
  <c r="V150" i="6" s="1"/>
  <c r="T31" i="6"/>
  <c r="S31" i="6"/>
  <c r="R31" i="6"/>
  <c r="Q31" i="6"/>
  <c r="P31" i="6"/>
  <c r="M31" i="6"/>
  <c r="L31" i="6"/>
  <c r="J31" i="6"/>
  <c r="I31" i="6"/>
  <c r="G31" i="6"/>
  <c r="F31" i="6"/>
  <c r="D31" i="6"/>
  <c r="C31" i="6"/>
  <c r="E157" i="6"/>
  <c r="H157" i="6"/>
  <c r="K157" i="6"/>
  <c r="N157" i="6"/>
  <c r="U157" i="6"/>
  <c r="E158" i="6"/>
  <c r="H158" i="6"/>
  <c r="K158" i="6"/>
  <c r="N158" i="6"/>
  <c r="U158" i="6"/>
  <c r="E159" i="6"/>
  <c r="H159" i="6"/>
  <c r="K159" i="6"/>
  <c r="N159" i="6"/>
  <c r="U159" i="6"/>
  <c r="E160" i="6"/>
  <c r="H160" i="6"/>
  <c r="K160" i="6"/>
  <c r="N160" i="6"/>
  <c r="U160" i="6"/>
  <c r="O159" i="6" l="1"/>
  <c r="V159" i="6" s="1"/>
  <c r="O157" i="6"/>
  <c r="V157" i="6" s="1"/>
  <c r="O160" i="6"/>
  <c r="V160" i="6" s="1"/>
  <c r="O158" i="6"/>
  <c r="V158" i="6" s="1"/>
  <c r="D29" i="6"/>
  <c r="AJ48" i="57"/>
  <c r="AA47" i="57"/>
  <c r="I39" i="57"/>
  <c r="R37" i="57"/>
  <c r="I28" i="57"/>
  <c r="BB10" i="57"/>
  <c r="R126" i="41" l="1"/>
  <c r="Q126" i="41"/>
  <c r="Q125" i="41"/>
  <c r="R125" i="41" s="1"/>
  <c r="Q124" i="41"/>
  <c r="R124" i="41" s="1"/>
  <c r="Q123" i="41"/>
  <c r="R123" i="41" s="1"/>
  <c r="Q122" i="41"/>
  <c r="R122" i="41" s="1"/>
  <c r="Q121" i="41"/>
  <c r="R121" i="41" s="1"/>
  <c r="Q120" i="41"/>
  <c r="R120" i="41" s="1"/>
  <c r="Q119" i="41"/>
  <c r="R119" i="41" s="1"/>
  <c r="Q118" i="41"/>
  <c r="R118" i="41" s="1"/>
  <c r="Q117" i="41"/>
  <c r="R117" i="41" s="1"/>
  <c r="R20" i="41" s="1"/>
  <c r="Q116" i="41"/>
  <c r="R116" i="41" s="1"/>
  <c r="Q115" i="41"/>
  <c r="R115" i="41" s="1"/>
  <c r="Q114" i="41"/>
  <c r="R114" i="41" s="1"/>
  <c r="Q113" i="41"/>
  <c r="R113" i="41" s="1"/>
  <c r="Q112" i="41"/>
  <c r="R112" i="41" s="1"/>
  <c r="Q111" i="41"/>
  <c r="R111" i="41" s="1"/>
  <c r="Q110" i="41"/>
  <c r="R110" i="41" s="1"/>
  <c r="Q109" i="41"/>
  <c r="R109" i="41" s="1"/>
  <c r="Q108" i="41"/>
  <c r="R108" i="41" s="1"/>
  <c r="Q107" i="41"/>
  <c r="R107" i="41" s="1"/>
  <c r="Q106" i="41"/>
  <c r="R106" i="41" s="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Q105" i="41"/>
  <c r="R105" i="41" s="1"/>
  <c r="R19" i="41" s="1"/>
  <c r="Q104" i="41"/>
  <c r="R104" i="41" s="1"/>
  <c r="Q103" i="41"/>
  <c r="R103" i="41" s="1"/>
  <c r="Q102" i="41"/>
  <c r="R102" i="41" s="1"/>
  <c r="Q101" i="41"/>
  <c r="R101" i="41" s="1"/>
  <c r="Q100" i="41"/>
  <c r="R100" i="41" s="1"/>
  <c r="Q99" i="41"/>
  <c r="R99" i="41" s="1"/>
  <c r="Q98" i="41"/>
  <c r="R98" i="41" s="1"/>
  <c r="Q97" i="41"/>
  <c r="R97" i="41" s="1"/>
  <c r="Q96" i="41"/>
  <c r="R96" i="41" s="1"/>
  <c r="Q95" i="41"/>
  <c r="R95" i="41" s="1"/>
  <c r="Q94" i="41"/>
  <c r="R94" i="41" s="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F50" i="40"/>
  <c r="E50" i="40"/>
  <c r="F49" i="40"/>
  <c r="E49" i="40"/>
  <c r="F48" i="40"/>
  <c r="E48" i="40"/>
  <c r="F47" i="40"/>
  <c r="E47" i="40"/>
  <c r="F46" i="40"/>
  <c r="E46" i="40"/>
  <c r="F45" i="40"/>
  <c r="E45" i="40"/>
  <c r="F44" i="40"/>
  <c r="E44" i="40"/>
  <c r="F43" i="40"/>
  <c r="E43" i="40"/>
  <c r="F42" i="40"/>
  <c r="E42" i="40"/>
  <c r="F41" i="40"/>
  <c r="E41" i="40"/>
  <c r="F40" i="40"/>
  <c r="E40" i="40"/>
  <c r="F39" i="40"/>
  <c r="E39" i="40"/>
  <c r="F38" i="40"/>
  <c r="E38" i="40"/>
  <c r="F37" i="40"/>
  <c r="E37" i="40"/>
  <c r="F36" i="40"/>
  <c r="E36" i="40"/>
  <c r="F35" i="40"/>
  <c r="E35" i="40"/>
  <c r="F34" i="40"/>
  <c r="E34" i="40"/>
  <c r="F17" i="40"/>
  <c r="E17" i="40"/>
  <c r="D17" i="40"/>
  <c r="C17" i="40"/>
  <c r="F33" i="40"/>
  <c r="F16" i="40" s="1"/>
  <c r="E33" i="40"/>
  <c r="E16" i="40" s="1"/>
  <c r="F32" i="40"/>
  <c r="E32" i="40"/>
  <c r="F31" i="40"/>
  <c r="E31" i="40"/>
  <c r="F30" i="40"/>
  <c r="E30" i="40"/>
  <c r="F27" i="40"/>
  <c r="E27" i="40"/>
  <c r="F26" i="40"/>
  <c r="E26" i="40"/>
  <c r="F25" i="40"/>
  <c r="E25" i="40"/>
  <c r="F24" i="40"/>
  <c r="E24" i="40"/>
  <c r="F23" i="40"/>
  <c r="E23" i="40"/>
  <c r="F22" i="40"/>
  <c r="D16" i="40"/>
  <c r="C16" i="40"/>
  <c r="Q19" i="41" l="1"/>
  <c r="J256" i="2"/>
  <c r="J257" i="2"/>
  <c r="AR253" i="1" l="1"/>
  <c r="AM253" i="1"/>
  <c r="AM254" i="1" l="1"/>
  <c r="AR254" i="1" l="1"/>
  <c r="AL267" i="7" l="1"/>
  <c r="P267" i="7"/>
  <c r="M267" i="7"/>
  <c r="H267" i="7"/>
  <c r="G267" i="7"/>
  <c r="F267" i="7"/>
  <c r="E267" i="7"/>
  <c r="D267" i="7"/>
  <c r="C267" i="7"/>
  <c r="AL266" i="7"/>
  <c r="P266" i="7"/>
  <c r="M266" i="7"/>
  <c r="H266" i="7"/>
  <c r="G266" i="7"/>
  <c r="F266" i="7"/>
  <c r="E266" i="7"/>
  <c r="D266" i="7"/>
  <c r="C266" i="7"/>
  <c r="AL265" i="7"/>
  <c r="P265" i="7"/>
  <c r="L265" i="7"/>
  <c r="AL264" i="7"/>
  <c r="P264" i="7"/>
  <c r="M264" i="7"/>
  <c r="H264" i="7"/>
  <c r="G264" i="7"/>
  <c r="F264" i="7"/>
  <c r="E264" i="7"/>
  <c r="D264" i="7"/>
  <c r="C264" i="7"/>
  <c r="AL263" i="7"/>
  <c r="P263" i="7"/>
  <c r="M263" i="7"/>
  <c r="H263" i="7"/>
  <c r="G263" i="7"/>
  <c r="F263" i="7"/>
  <c r="D263" i="7"/>
  <c r="C263" i="7"/>
  <c r="AL262" i="7"/>
  <c r="P262" i="7"/>
  <c r="M262" i="7"/>
  <c r="H262" i="7"/>
  <c r="G262" i="7"/>
  <c r="F262" i="7"/>
  <c r="E262" i="7"/>
  <c r="D262" i="7"/>
  <c r="C262" i="7"/>
  <c r="AL261" i="7"/>
  <c r="P261" i="7"/>
  <c r="M261" i="7"/>
  <c r="H261" i="7"/>
  <c r="G261" i="7"/>
  <c r="F261" i="7"/>
  <c r="E261" i="7"/>
  <c r="D261" i="7"/>
  <c r="C261" i="7"/>
  <c r="AL260" i="7"/>
  <c r="P260" i="7"/>
  <c r="M260" i="7"/>
  <c r="H260" i="7"/>
  <c r="G260" i="7"/>
  <c r="F260" i="7"/>
  <c r="E260" i="7"/>
  <c r="D260" i="7"/>
  <c r="C260" i="7"/>
  <c r="AL259" i="7"/>
  <c r="P259" i="7"/>
  <c r="M259" i="7"/>
  <c r="H259" i="7"/>
  <c r="G259" i="7"/>
  <c r="F259" i="7"/>
  <c r="E259" i="7"/>
  <c r="D259" i="7"/>
  <c r="C259" i="7"/>
  <c r="AL258" i="7"/>
  <c r="P258" i="7"/>
  <c r="M258" i="7"/>
  <c r="H258" i="7"/>
  <c r="G258" i="7"/>
  <c r="F258" i="7"/>
  <c r="E258" i="7"/>
  <c r="D258" i="7"/>
  <c r="C258" i="7"/>
  <c r="AL257" i="7"/>
  <c r="P257" i="7"/>
  <c r="M257" i="7"/>
  <c r="H257" i="7"/>
  <c r="G257" i="7"/>
  <c r="F257" i="7"/>
  <c r="E257" i="7"/>
  <c r="D257" i="7"/>
  <c r="C257" i="7"/>
  <c r="AL256" i="7"/>
  <c r="P256" i="7"/>
  <c r="M256" i="7"/>
  <c r="H256" i="7"/>
  <c r="G256" i="7"/>
  <c r="F256" i="7"/>
  <c r="E256" i="7"/>
  <c r="D256" i="7"/>
  <c r="C256" i="7"/>
  <c r="AL255" i="7"/>
  <c r="P255" i="7"/>
  <c r="M255" i="7"/>
  <c r="H255" i="7"/>
  <c r="G255" i="7"/>
  <c r="F255" i="7"/>
  <c r="E255" i="7"/>
  <c r="D255" i="7"/>
  <c r="C255" i="7"/>
  <c r="AL254" i="7"/>
  <c r="P254" i="7"/>
  <c r="M254" i="7"/>
  <c r="H254" i="7"/>
  <c r="G254" i="7"/>
  <c r="F254" i="7"/>
  <c r="E254" i="7"/>
  <c r="D254" i="7"/>
  <c r="C254" i="7"/>
  <c r="AL253" i="7"/>
  <c r="P253" i="7"/>
  <c r="M253" i="7"/>
  <c r="H253" i="7"/>
  <c r="G253" i="7"/>
  <c r="F253" i="7"/>
  <c r="E253" i="7"/>
  <c r="D253" i="7"/>
  <c r="C253" i="7"/>
  <c r="AL252" i="7"/>
  <c r="P252" i="7"/>
  <c r="M252" i="7"/>
  <c r="H252" i="7"/>
  <c r="G252" i="7"/>
  <c r="F252" i="7"/>
  <c r="E252" i="7"/>
  <c r="D252" i="7"/>
  <c r="C252" i="7"/>
  <c r="AL251" i="7"/>
  <c r="P251" i="7"/>
  <c r="M251" i="7"/>
  <c r="H251" i="7"/>
  <c r="G251" i="7"/>
  <c r="F251" i="7"/>
  <c r="E251" i="7"/>
  <c r="D251" i="7"/>
  <c r="C251" i="7"/>
  <c r="AL250" i="7"/>
  <c r="P250" i="7"/>
  <c r="M250" i="7"/>
  <c r="H250" i="7"/>
  <c r="G250" i="7"/>
  <c r="F250" i="7"/>
  <c r="E250" i="7"/>
  <c r="D250" i="7"/>
  <c r="C250" i="7"/>
  <c r="AL249" i="7"/>
  <c r="P249" i="7"/>
  <c r="M249" i="7"/>
  <c r="H249" i="7"/>
  <c r="G249" i="7"/>
  <c r="F249" i="7"/>
  <c r="E249" i="7"/>
  <c r="D249" i="7"/>
  <c r="C249" i="7"/>
  <c r="AL248" i="7"/>
  <c r="P248" i="7"/>
  <c r="M248" i="7"/>
  <c r="H248" i="7"/>
  <c r="G248" i="7"/>
  <c r="F248" i="7"/>
  <c r="E248" i="7"/>
  <c r="D248" i="7"/>
  <c r="C248" i="7"/>
  <c r="AL247" i="7"/>
  <c r="P247" i="7"/>
  <c r="M247" i="7"/>
  <c r="H247" i="7"/>
  <c r="G247" i="7"/>
  <c r="F247" i="7"/>
  <c r="E247" i="7"/>
  <c r="D247" i="7"/>
  <c r="C247" i="7"/>
  <c r="AL246" i="7"/>
  <c r="P246" i="7"/>
  <c r="M246" i="7"/>
  <c r="H246" i="7"/>
  <c r="G246" i="7"/>
  <c r="F246" i="7"/>
  <c r="D246" i="7"/>
  <c r="C246" i="7"/>
  <c r="AL245" i="7"/>
  <c r="P245" i="7"/>
  <c r="M245" i="7"/>
  <c r="H245" i="7"/>
  <c r="G245" i="7"/>
  <c r="F245" i="7"/>
  <c r="D245" i="7"/>
  <c r="AL244" i="7"/>
  <c r="P244" i="7"/>
  <c r="M244" i="7"/>
  <c r="H244" i="7"/>
  <c r="G244" i="7"/>
  <c r="F244" i="7"/>
  <c r="E244" i="7"/>
  <c r="D244" i="7"/>
  <c r="C244" i="7"/>
  <c r="AL243" i="7"/>
  <c r="P243" i="7"/>
  <c r="M243" i="7"/>
  <c r="H243" i="7"/>
  <c r="G243" i="7"/>
  <c r="F243" i="7"/>
  <c r="E243" i="7"/>
  <c r="D243" i="7"/>
  <c r="C243" i="7"/>
  <c r="AL242" i="7"/>
  <c r="P242" i="7"/>
  <c r="M242" i="7"/>
  <c r="H242" i="7"/>
  <c r="G242" i="7"/>
  <c r="F242" i="7"/>
  <c r="E242" i="7"/>
  <c r="D242" i="7"/>
  <c r="C242" i="7"/>
  <c r="AL241" i="7"/>
  <c r="P241" i="7"/>
  <c r="M241" i="7"/>
  <c r="H241" i="7"/>
  <c r="G241" i="7"/>
  <c r="F241" i="7"/>
  <c r="E241" i="7"/>
  <c r="D241" i="7"/>
  <c r="C241" i="7"/>
  <c r="AL240" i="7"/>
  <c r="P240" i="7"/>
  <c r="M240" i="7"/>
  <c r="H240" i="7"/>
  <c r="G240" i="7"/>
  <c r="F240" i="7"/>
  <c r="E240" i="7"/>
  <c r="D240" i="7"/>
  <c r="C240" i="7"/>
  <c r="AL239" i="7"/>
  <c r="P239" i="7"/>
  <c r="M239" i="7"/>
  <c r="H239" i="7"/>
  <c r="G239" i="7"/>
  <c r="F239" i="7"/>
  <c r="E239" i="7"/>
  <c r="D239" i="7"/>
  <c r="C239" i="7"/>
  <c r="AL238" i="7"/>
  <c r="P238" i="7"/>
  <c r="M238" i="7"/>
  <c r="H238" i="7"/>
  <c r="G238" i="7"/>
  <c r="F238" i="7"/>
  <c r="E238" i="7"/>
  <c r="D238" i="7"/>
  <c r="C238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O40" i="7"/>
  <c r="N40" i="7"/>
  <c r="K40" i="7"/>
  <c r="J40" i="7"/>
  <c r="I40" i="7"/>
  <c r="AN37" i="7"/>
  <c r="AN36" i="7"/>
  <c r="AN35" i="7"/>
  <c r="AN34" i="7"/>
  <c r="AN33" i="7"/>
  <c r="AN32" i="7"/>
  <c r="AN31" i="7"/>
  <c r="AN30" i="7"/>
  <c r="AN29" i="7"/>
  <c r="U183" i="6"/>
  <c r="N183" i="6"/>
  <c r="O183" i="6" s="1"/>
  <c r="U182" i="6"/>
  <c r="N182" i="6"/>
  <c r="O182" i="6" s="1"/>
  <c r="U181" i="6"/>
  <c r="N181" i="6"/>
  <c r="O181" i="6" s="1"/>
  <c r="U180" i="6"/>
  <c r="N180" i="6"/>
  <c r="O180" i="6" s="1"/>
  <c r="U179" i="6"/>
  <c r="N179" i="6"/>
  <c r="O179" i="6" s="1"/>
  <c r="U178" i="6"/>
  <c r="N178" i="6"/>
  <c r="O178" i="6" s="1"/>
  <c r="V178" i="6" s="1"/>
  <c r="U177" i="6"/>
  <c r="N177" i="6"/>
  <c r="O177" i="6" s="1"/>
  <c r="U176" i="6"/>
  <c r="N176" i="6"/>
  <c r="K176" i="6"/>
  <c r="H176" i="6"/>
  <c r="E176" i="6"/>
  <c r="U175" i="6"/>
  <c r="N175" i="6"/>
  <c r="K175" i="6"/>
  <c r="H175" i="6"/>
  <c r="E175" i="6"/>
  <c r="U174" i="6"/>
  <c r="N174" i="6"/>
  <c r="K174" i="6"/>
  <c r="H174" i="6"/>
  <c r="E174" i="6"/>
  <c r="U173" i="6"/>
  <c r="N173" i="6"/>
  <c r="K173" i="6"/>
  <c r="H173" i="6"/>
  <c r="E173" i="6"/>
  <c r="T33" i="6"/>
  <c r="S33" i="6"/>
  <c r="R33" i="6"/>
  <c r="Q33" i="6"/>
  <c r="P33" i="6"/>
  <c r="M33" i="6"/>
  <c r="L33" i="6"/>
  <c r="J33" i="6"/>
  <c r="I33" i="6"/>
  <c r="G33" i="6"/>
  <c r="F33" i="6"/>
  <c r="D33" i="6"/>
  <c r="C33" i="6"/>
  <c r="U172" i="6"/>
  <c r="N172" i="6"/>
  <c r="K172" i="6"/>
  <c r="H172" i="6"/>
  <c r="E172" i="6"/>
  <c r="U171" i="6"/>
  <c r="N171" i="6"/>
  <c r="K171" i="6"/>
  <c r="H171" i="6"/>
  <c r="E171" i="6"/>
  <c r="U170" i="6"/>
  <c r="N170" i="6"/>
  <c r="K170" i="6"/>
  <c r="H170" i="6"/>
  <c r="E170" i="6"/>
  <c r="U169" i="6"/>
  <c r="N169" i="6"/>
  <c r="K169" i="6"/>
  <c r="H169" i="6"/>
  <c r="E169" i="6"/>
  <c r="T32" i="6"/>
  <c r="S32" i="6"/>
  <c r="R32" i="6"/>
  <c r="Q32" i="6"/>
  <c r="P32" i="6"/>
  <c r="M32" i="6"/>
  <c r="L32" i="6"/>
  <c r="J32" i="6"/>
  <c r="I32" i="6"/>
  <c r="G32" i="6"/>
  <c r="F32" i="6"/>
  <c r="D32" i="6"/>
  <c r="C32" i="6"/>
  <c r="U168" i="6"/>
  <c r="N168" i="6"/>
  <c r="K168" i="6"/>
  <c r="H168" i="6"/>
  <c r="E168" i="6"/>
  <c r="U167" i="6"/>
  <c r="N167" i="6"/>
  <c r="K167" i="6"/>
  <c r="H167" i="6"/>
  <c r="E167" i="6"/>
  <c r="U166" i="6"/>
  <c r="N166" i="6"/>
  <c r="K166" i="6"/>
  <c r="H166" i="6"/>
  <c r="E166" i="6"/>
  <c r="U165" i="6"/>
  <c r="N165" i="6"/>
  <c r="K165" i="6"/>
  <c r="H165" i="6"/>
  <c r="E165" i="6"/>
  <c r="U164" i="6"/>
  <c r="N164" i="6"/>
  <c r="K164" i="6"/>
  <c r="H164" i="6"/>
  <c r="E164" i="6"/>
  <c r="U163" i="6"/>
  <c r="N163" i="6"/>
  <c r="K163" i="6"/>
  <c r="H163" i="6"/>
  <c r="E163" i="6"/>
  <c r="U162" i="6"/>
  <c r="N162" i="6"/>
  <c r="K162" i="6"/>
  <c r="H162" i="6"/>
  <c r="E162" i="6"/>
  <c r="U161" i="6"/>
  <c r="N161" i="6"/>
  <c r="K161" i="6"/>
  <c r="H161" i="6"/>
  <c r="E161" i="6"/>
  <c r="T30" i="6"/>
  <c r="S30" i="6"/>
  <c r="R30" i="6"/>
  <c r="Q30" i="6"/>
  <c r="P30" i="6"/>
  <c r="M30" i="6"/>
  <c r="L30" i="6"/>
  <c r="J30" i="6"/>
  <c r="I30" i="6"/>
  <c r="G30" i="6"/>
  <c r="F30" i="6"/>
  <c r="D30" i="6"/>
  <c r="C30" i="6"/>
  <c r="N29" i="6"/>
  <c r="U29" i="6"/>
  <c r="T29" i="6"/>
  <c r="S29" i="6"/>
  <c r="R29" i="6"/>
  <c r="Q29" i="6"/>
  <c r="P29" i="6"/>
  <c r="M29" i="6"/>
  <c r="L29" i="6"/>
  <c r="J29" i="6"/>
  <c r="I29" i="6"/>
  <c r="G29" i="6"/>
  <c r="F29" i="6"/>
  <c r="C29" i="6"/>
  <c r="V179" i="6" l="1"/>
  <c r="V183" i="6"/>
  <c r="AM244" i="7"/>
  <c r="AM247" i="7"/>
  <c r="O163" i="6"/>
  <c r="V163" i="6" s="1"/>
  <c r="V177" i="6"/>
  <c r="N33" i="6"/>
  <c r="V181" i="6"/>
  <c r="V182" i="6"/>
  <c r="O167" i="6"/>
  <c r="V167" i="6" s="1"/>
  <c r="N32" i="6"/>
  <c r="U33" i="6"/>
  <c r="H31" i="6"/>
  <c r="U32" i="6"/>
  <c r="O161" i="6"/>
  <c r="V161" i="6" s="1"/>
  <c r="K31" i="6"/>
  <c r="N30" i="6"/>
  <c r="N31" i="6"/>
  <c r="O168" i="6"/>
  <c r="V168" i="6" s="1"/>
  <c r="U30" i="6"/>
  <c r="U31" i="6"/>
  <c r="O162" i="6"/>
  <c r="V162" i="6" s="1"/>
  <c r="E31" i="6"/>
  <c r="AM263" i="7"/>
  <c r="AM249" i="7"/>
  <c r="AN249" i="7" s="1"/>
  <c r="AM266" i="7"/>
  <c r="C40" i="7"/>
  <c r="AM267" i="7"/>
  <c r="AN267" i="7" s="1"/>
  <c r="L245" i="7"/>
  <c r="M40" i="7"/>
  <c r="F40" i="7"/>
  <c r="AM248" i="7"/>
  <c r="AN248" i="7" s="1"/>
  <c r="AM264" i="7"/>
  <c r="AN264" i="7" s="1"/>
  <c r="H30" i="6"/>
  <c r="O170" i="6"/>
  <c r="V170" i="6" s="1"/>
  <c r="O173" i="6"/>
  <c r="V173" i="6" s="1"/>
  <c r="O175" i="6"/>
  <c r="V175" i="6" s="1"/>
  <c r="P40" i="7"/>
  <c r="AM250" i="7"/>
  <c r="AN250" i="7" s="1"/>
  <c r="AM265" i="7"/>
  <c r="AN265" i="7" s="1"/>
  <c r="O165" i="6"/>
  <c r="V165" i="6" s="1"/>
  <c r="O172" i="6"/>
  <c r="V172" i="6" s="1"/>
  <c r="L239" i="7"/>
  <c r="AM240" i="7"/>
  <c r="AN240" i="7" s="1"/>
  <c r="AM252" i="7"/>
  <c r="AM260" i="7"/>
  <c r="AN260" i="7" s="1"/>
  <c r="O174" i="6"/>
  <c r="V174" i="6" s="1"/>
  <c r="E40" i="7"/>
  <c r="D40" i="7"/>
  <c r="O164" i="6"/>
  <c r="V164" i="6" s="1"/>
  <c r="AM242" i="7"/>
  <c r="AN242" i="7" s="1"/>
  <c r="H29" i="6"/>
  <c r="O169" i="6"/>
  <c r="O171" i="6"/>
  <c r="V171" i="6" s="1"/>
  <c r="O176" i="6"/>
  <c r="V176" i="6" s="1"/>
  <c r="AM246" i="7"/>
  <c r="AN246" i="7" s="1"/>
  <c r="L257" i="7"/>
  <c r="H33" i="6"/>
  <c r="H32" i="6"/>
  <c r="V180" i="6"/>
  <c r="L241" i="7"/>
  <c r="L243" i="7"/>
  <c r="AM257" i="7"/>
  <c r="L246" i="7"/>
  <c r="L251" i="7"/>
  <c r="L259" i="7"/>
  <c r="AM239" i="7"/>
  <c r="AN239" i="7" s="1"/>
  <c r="AM243" i="7"/>
  <c r="AN243" i="7" s="1"/>
  <c r="AN244" i="7"/>
  <c r="H40" i="7"/>
  <c r="AM256" i="7"/>
  <c r="AN256" i="7" s="1"/>
  <c r="AN257" i="7"/>
  <c r="L264" i="7"/>
  <c r="AM238" i="7"/>
  <c r="AN238" i="7" s="1"/>
  <c r="AM254" i="7"/>
  <c r="AN254" i="7" s="1"/>
  <c r="AM255" i="7"/>
  <c r="AN255" i="7" s="1"/>
  <c r="AM262" i="7"/>
  <c r="AN262" i="7" s="1"/>
  <c r="L248" i="7"/>
  <c r="L255" i="7"/>
  <c r="G40" i="7"/>
  <c r="AM241" i="7"/>
  <c r="AN241" i="7" s="1"/>
  <c r="AM253" i="7"/>
  <c r="AN253" i="7" s="1"/>
  <c r="AM261" i="7"/>
  <c r="AN261" i="7" s="1"/>
  <c r="L263" i="7"/>
  <c r="L267" i="7"/>
  <c r="L253" i="7"/>
  <c r="L261" i="7"/>
  <c r="AM245" i="7"/>
  <c r="AN245" i="7" s="1"/>
  <c r="AM251" i="7"/>
  <c r="AN251" i="7" s="1"/>
  <c r="AM258" i="7"/>
  <c r="AN258" i="7" s="1"/>
  <c r="AM259" i="7"/>
  <c r="AN259" i="7" s="1"/>
  <c r="AN266" i="7"/>
  <c r="AN247" i="7"/>
  <c r="AN252" i="7"/>
  <c r="L250" i="7"/>
  <c r="L252" i="7"/>
  <c r="L254" i="7"/>
  <c r="L256" i="7"/>
  <c r="L258" i="7"/>
  <c r="L260" i="7"/>
  <c r="L262" i="7"/>
  <c r="AN263" i="7"/>
  <c r="L266" i="7"/>
  <c r="L247" i="7"/>
  <c r="L249" i="7"/>
  <c r="L238" i="7"/>
  <c r="L240" i="7"/>
  <c r="L242" i="7"/>
  <c r="L244" i="7"/>
  <c r="AL40" i="7"/>
  <c r="O29" i="6"/>
  <c r="V29" i="6"/>
  <c r="E30" i="6"/>
  <c r="E32" i="6"/>
  <c r="E33" i="6"/>
  <c r="E29" i="6"/>
  <c r="K29" i="6"/>
  <c r="K30" i="6"/>
  <c r="K32" i="6"/>
  <c r="K33" i="6"/>
  <c r="O166" i="6"/>
  <c r="V166" i="6" s="1"/>
  <c r="O33" i="6" l="1"/>
  <c r="O30" i="6"/>
  <c r="O32" i="6"/>
  <c r="O31" i="6"/>
  <c r="V31" i="6"/>
  <c r="V169" i="6"/>
  <c r="V32" i="6" s="1"/>
  <c r="V30" i="6"/>
  <c r="AN40" i="7"/>
  <c r="V33" i="6"/>
  <c r="AM40" i="7"/>
  <c r="L40" i="7"/>
  <c r="J121" i="50" l="1"/>
  <c r="F121" i="50"/>
  <c r="G148" i="59" l="1"/>
  <c r="K231" i="35"/>
  <c r="K234" i="35"/>
  <c r="K221" i="33" l="1"/>
  <c r="L221" i="33" s="1"/>
  <c r="J234" i="35"/>
  <c r="G234" i="35"/>
  <c r="L234" i="35" l="1"/>
  <c r="J242" i="36"/>
  <c r="G242" i="36"/>
  <c r="L242" i="36" l="1"/>
  <c r="I230" i="4" l="1"/>
  <c r="H236" i="51"/>
  <c r="J236" i="51" s="1"/>
  <c r="K236" i="51" s="1"/>
  <c r="P236" i="5" l="1"/>
  <c r="P237" i="5"/>
  <c r="P238" i="5"/>
  <c r="P239" i="5"/>
  <c r="F238" i="5" l="1"/>
  <c r="H148" i="59" l="1"/>
  <c r="BE148" i="59"/>
  <c r="F239" i="5" l="1"/>
  <c r="J239" i="5"/>
  <c r="M239" i="5"/>
  <c r="I242" i="4"/>
  <c r="K226" i="3"/>
  <c r="H226" i="3"/>
  <c r="E226" i="3"/>
  <c r="BU254" i="1"/>
  <c r="BR254" i="1"/>
  <c r="BN254" i="1"/>
  <c r="AY254" i="1"/>
  <c r="AO254" i="1"/>
  <c r="AG254" i="1"/>
  <c r="AD254" i="1"/>
  <c r="AE254" i="1"/>
  <c r="AF254" i="1"/>
  <c r="Z254" i="1"/>
  <c r="L254" i="1"/>
  <c r="E254" i="1"/>
  <c r="G254" i="1" s="1"/>
  <c r="P254" i="1" s="1"/>
  <c r="Q254" i="1" s="1"/>
  <c r="K59" i="39"/>
  <c r="I59" i="39"/>
  <c r="H59" i="39"/>
  <c r="F59" i="39"/>
  <c r="E59" i="39"/>
  <c r="D59" i="39"/>
  <c r="C59" i="39"/>
  <c r="B59" i="39"/>
  <c r="W58" i="39"/>
  <c r="U58" i="39"/>
  <c r="Q58" i="39"/>
  <c r="L58" i="39"/>
  <c r="J58" i="39"/>
  <c r="G58" i="39"/>
  <c r="T46" i="38"/>
  <c r="R46" i="38"/>
  <c r="G46" i="38"/>
  <c r="W45" i="38"/>
  <c r="P46" i="38" s="1"/>
  <c r="U43" i="38"/>
  <c r="W43" i="38" s="1"/>
  <c r="U42" i="38"/>
  <c r="W41" i="38"/>
  <c r="Q42" i="38" s="1"/>
  <c r="U41" i="38"/>
  <c r="U39" i="38"/>
  <c r="U37" i="38"/>
  <c r="U35" i="38"/>
  <c r="W35" i="38" s="1"/>
  <c r="T36" i="38" s="1"/>
  <c r="U33" i="38"/>
  <c r="U31" i="38"/>
  <c r="W31" i="38" s="1"/>
  <c r="T30" i="38"/>
  <c r="I30" i="38"/>
  <c r="W29" i="38"/>
  <c r="W30" i="38" s="1"/>
  <c r="U29" i="38"/>
  <c r="U27" i="38"/>
  <c r="W27" i="38" s="1"/>
  <c r="T25" i="38"/>
  <c r="M25" i="38"/>
  <c r="K25" i="38"/>
  <c r="D25" i="38"/>
  <c r="W24" i="38"/>
  <c r="Q25" i="38" s="1"/>
  <c r="V23" i="38"/>
  <c r="T23" i="38"/>
  <c r="M23" i="38"/>
  <c r="K23" i="38"/>
  <c r="F23" i="38"/>
  <c r="D23" i="38"/>
  <c r="W22" i="38"/>
  <c r="Q23" i="38" s="1"/>
  <c r="U20" i="38"/>
  <c r="U18" i="38"/>
  <c r="U16" i="38"/>
  <c r="W14" i="38"/>
  <c r="T15" i="38" s="1"/>
  <c r="U14" i="38"/>
  <c r="U12" i="38"/>
  <c r="U10" i="38"/>
  <c r="W10" i="38" s="1"/>
  <c r="T9" i="38"/>
  <c r="I9" i="38"/>
  <c r="W8" i="38"/>
  <c r="W9" i="38" s="1"/>
  <c r="U8" i="38"/>
  <c r="U6" i="38"/>
  <c r="W6" i="38" s="1"/>
  <c r="V32" i="38" l="1"/>
  <c r="R32" i="38"/>
  <c r="J32" i="38"/>
  <c r="B32" i="38"/>
  <c r="V11" i="38"/>
  <c r="I11" i="38"/>
  <c r="C11" i="38"/>
  <c r="B11" i="38"/>
  <c r="Y10" i="38"/>
  <c r="R11" i="38"/>
  <c r="J11" i="38"/>
  <c r="K11" i="38"/>
  <c r="U21" i="38"/>
  <c r="U9" i="38"/>
  <c r="J9" i="38"/>
  <c r="V9" i="38"/>
  <c r="W20" i="38"/>
  <c r="E23" i="38"/>
  <c r="U23" i="38"/>
  <c r="L25" i="38"/>
  <c r="U30" i="38"/>
  <c r="J30" i="38"/>
  <c r="V30" i="38"/>
  <c r="I46" i="38"/>
  <c r="S46" i="38"/>
  <c r="Y8" i="38"/>
  <c r="L9" i="38"/>
  <c r="N25" i="38"/>
  <c r="Y29" i="38"/>
  <c r="L30" i="38"/>
  <c r="Y45" i="38"/>
  <c r="K46" i="38"/>
  <c r="U46" i="38"/>
  <c r="AT254" i="1"/>
  <c r="B9" i="38"/>
  <c r="N9" i="38"/>
  <c r="U15" i="38"/>
  <c r="L23" i="38"/>
  <c r="C25" i="38"/>
  <c r="S25" i="38"/>
  <c r="B30" i="38"/>
  <c r="N30" i="38"/>
  <c r="B46" i="38"/>
  <c r="L46" i="38"/>
  <c r="W46" i="38"/>
  <c r="U36" i="38"/>
  <c r="K9" i="38"/>
  <c r="K30" i="38"/>
  <c r="Q9" i="38"/>
  <c r="C30" i="38"/>
  <c r="Q30" i="38"/>
  <c r="C46" i="38"/>
  <c r="M46" i="38"/>
  <c r="J46" i="38"/>
  <c r="C9" i="38"/>
  <c r="D9" i="38"/>
  <c r="R9" i="38"/>
  <c r="N23" i="38"/>
  <c r="E25" i="38"/>
  <c r="U25" i="38"/>
  <c r="D30" i="38"/>
  <c r="R30" i="38"/>
  <c r="E42" i="38"/>
  <c r="D46" i="38"/>
  <c r="O46" i="38"/>
  <c r="F9" i="38"/>
  <c r="S9" i="38"/>
  <c r="C23" i="38"/>
  <c r="S23" i="38"/>
  <c r="F25" i="38"/>
  <c r="V25" i="38"/>
  <c r="F30" i="38"/>
  <c r="S30" i="38"/>
  <c r="M42" i="38"/>
  <c r="E46" i="38"/>
  <c r="Q46" i="38"/>
  <c r="M226" i="3"/>
  <c r="BL254" i="1"/>
  <c r="AP254" i="1"/>
  <c r="AH254" i="1"/>
  <c r="BK254" i="1" s="1"/>
  <c r="M254" i="1"/>
  <c r="Q239" i="5"/>
  <c r="S239" i="5" s="1"/>
  <c r="T239" i="5" s="1"/>
  <c r="P44" i="38"/>
  <c r="H44" i="38"/>
  <c r="Q44" i="38"/>
  <c r="I44" i="38"/>
  <c r="Y43" i="38"/>
  <c r="R44" i="38"/>
  <c r="J44" i="38"/>
  <c r="B44" i="38"/>
  <c r="T44" i="38"/>
  <c r="S44" i="38"/>
  <c r="K44" i="38"/>
  <c r="C44" i="38"/>
  <c r="L44" i="38"/>
  <c r="M44" i="38"/>
  <c r="E44" i="38"/>
  <c r="D44" i="38"/>
  <c r="V44" i="38"/>
  <c r="N44" i="38"/>
  <c r="F44" i="38"/>
  <c r="W44" i="38"/>
  <c r="O44" i="38"/>
  <c r="G44" i="38"/>
  <c r="P7" i="38"/>
  <c r="H7" i="38"/>
  <c r="I7" i="38"/>
  <c r="J7" i="38"/>
  <c r="Q7" i="38"/>
  <c r="Y6" i="38"/>
  <c r="B7" i="38"/>
  <c r="T7" i="38"/>
  <c r="R7" i="38"/>
  <c r="L7" i="38"/>
  <c r="S7" i="38"/>
  <c r="K7" i="38"/>
  <c r="C7" i="38"/>
  <c r="U7" i="38"/>
  <c r="M7" i="38"/>
  <c r="E7" i="38"/>
  <c r="V7" i="38"/>
  <c r="N7" i="38"/>
  <c r="F7" i="38"/>
  <c r="W7" i="38"/>
  <c r="O7" i="38"/>
  <c r="G7" i="38"/>
  <c r="D7" i="38"/>
  <c r="P28" i="38"/>
  <c r="H28" i="38"/>
  <c r="I28" i="38"/>
  <c r="Y27" i="38"/>
  <c r="L28" i="38"/>
  <c r="Q28" i="38"/>
  <c r="T28" i="38"/>
  <c r="R28" i="38"/>
  <c r="J28" i="38"/>
  <c r="B28" i="38"/>
  <c r="D28" i="38"/>
  <c r="S28" i="38"/>
  <c r="K28" i="38"/>
  <c r="C28" i="38"/>
  <c r="U28" i="38"/>
  <c r="M28" i="38"/>
  <c r="E28" i="38"/>
  <c r="V28" i="38"/>
  <c r="N28" i="38"/>
  <c r="F28" i="38"/>
  <c r="W28" i="38"/>
  <c r="O28" i="38"/>
  <c r="G28" i="38"/>
  <c r="E11" i="38"/>
  <c r="M11" i="38"/>
  <c r="U11" i="38"/>
  <c r="C15" i="38"/>
  <c r="K15" i="38"/>
  <c r="S15" i="38"/>
  <c r="H21" i="38"/>
  <c r="P21" i="38"/>
  <c r="H23" i="38"/>
  <c r="P23" i="38"/>
  <c r="H25" i="38"/>
  <c r="P25" i="38"/>
  <c r="E32" i="38"/>
  <c r="M32" i="38"/>
  <c r="U32" i="38"/>
  <c r="C36" i="38"/>
  <c r="K36" i="38"/>
  <c r="S36" i="38"/>
  <c r="H42" i="38"/>
  <c r="P42" i="38"/>
  <c r="E9" i="38"/>
  <c r="M9" i="38"/>
  <c r="D11" i="38"/>
  <c r="L11" i="38"/>
  <c r="T11" i="38"/>
  <c r="B15" i="38"/>
  <c r="J15" i="38"/>
  <c r="R15" i="38"/>
  <c r="W18" i="38"/>
  <c r="G21" i="38"/>
  <c r="O21" i="38"/>
  <c r="W21" i="38"/>
  <c r="G23" i="38"/>
  <c r="O23" i="38"/>
  <c r="W23" i="38"/>
  <c r="G25" i="38"/>
  <c r="O25" i="38"/>
  <c r="W25" i="38"/>
  <c r="E30" i="38"/>
  <c r="M30" i="38"/>
  <c r="D32" i="38"/>
  <c r="L32" i="38"/>
  <c r="T32" i="38"/>
  <c r="B36" i="38"/>
  <c r="J36" i="38"/>
  <c r="R36" i="38"/>
  <c r="W39" i="38"/>
  <c r="U40" i="38" s="1"/>
  <c r="G42" i="38"/>
  <c r="O42" i="38"/>
  <c r="W42" i="38"/>
  <c r="F46" i="38"/>
  <c r="N46" i="38"/>
  <c r="V46" i="38"/>
  <c r="S11" i="38"/>
  <c r="Y14" i="38"/>
  <c r="I15" i="38"/>
  <c r="Q15" i="38"/>
  <c r="W16" i="38"/>
  <c r="U17" i="38" s="1"/>
  <c r="C32" i="38"/>
  <c r="K32" i="38"/>
  <c r="S32" i="38"/>
  <c r="Y35" i="38"/>
  <c r="I36" i="38"/>
  <c r="Q36" i="38"/>
  <c r="W37" i="38"/>
  <c r="F42" i="38"/>
  <c r="N42" i="38"/>
  <c r="V42" i="38"/>
  <c r="U44" i="38"/>
  <c r="Q11" i="38"/>
  <c r="W12" i="38"/>
  <c r="U13" i="38" s="1"/>
  <c r="G15" i="38"/>
  <c r="O15" i="38"/>
  <c r="W15" i="38"/>
  <c r="Y31" i="38"/>
  <c r="I32" i="38"/>
  <c r="Q32" i="38"/>
  <c r="W33" i="38"/>
  <c r="G36" i="38"/>
  <c r="O36" i="38"/>
  <c r="W36" i="38"/>
  <c r="D42" i="38"/>
  <c r="L42" i="38"/>
  <c r="T42" i="38"/>
  <c r="H15" i="38"/>
  <c r="P15" i="38"/>
  <c r="H36" i="38"/>
  <c r="P11" i="38"/>
  <c r="N15" i="38"/>
  <c r="V15" i="38"/>
  <c r="H32" i="38"/>
  <c r="P32" i="38"/>
  <c r="F36" i="38"/>
  <c r="N36" i="38"/>
  <c r="V36" i="38"/>
  <c r="C42" i="38"/>
  <c r="K42" i="38"/>
  <c r="S42" i="38"/>
  <c r="P36" i="38"/>
  <c r="H9" i="38"/>
  <c r="P9" i="38"/>
  <c r="O11" i="38"/>
  <c r="E15" i="38"/>
  <c r="J21" i="38"/>
  <c r="B23" i="38"/>
  <c r="R23" i="38"/>
  <c r="R25" i="38"/>
  <c r="G32" i="38"/>
  <c r="O32" i="38"/>
  <c r="E36" i="38"/>
  <c r="M36" i="38"/>
  <c r="B42" i="38"/>
  <c r="R42" i="38"/>
  <c r="H11" i="38"/>
  <c r="F15" i="38"/>
  <c r="G11" i="38"/>
  <c r="W11" i="38"/>
  <c r="M15" i="38"/>
  <c r="B21" i="38"/>
  <c r="R21" i="38"/>
  <c r="J23" i="38"/>
  <c r="B25" i="38"/>
  <c r="J25" i="38"/>
  <c r="H30" i="38"/>
  <c r="P30" i="38"/>
  <c r="W32" i="38"/>
  <c r="J42" i="38"/>
  <c r="G9" i="38"/>
  <c r="O9" i="38"/>
  <c r="F11" i="38"/>
  <c r="N11" i="38"/>
  <c r="D15" i="38"/>
  <c r="L15" i="38"/>
  <c r="Y20" i="38"/>
  <c r="I21" i="38"/>
  <c r="Y22" i="38"/>
  <c r="I23" i="38"/>
  <c r="Y24" i="38"/>
  <c r="I25" i="38"/>
  <c r="G30" i="38"/>
  <c r="O30" i="38"/>
  <c r="F32" i="38"/>
  <c r="N32" i="38"/>
  <c r="D36" i="38"/>
  <c r="L36" i="38"/>
  <c r="Y41" i="38"/>
  <c r="I42" i="38"/>
  <c r="H46" i="38"/>
  <c r="Q21" i="38" l="1"/>
  <c r="L21" i="38"/>
  <c r="S21" i="38"/>
  <c r="K21" i="38"/>
  <c r="V21" i="38"/>
  <c r="F21" i="38"/>
  <c r="C21" i="38"/>
  <c r="E21" i="38"/>
  <c r="T21" i="38"/>
  <c r="D21" i="38"/>
  <c r="N21" i="38"/>
  <c r="M21" i="38"/>
  <c r="O226" i="3"/>
  <c r="AQ254" i="1"/>
  <c r="BM254" i="1"/>
  <c r="S38" i="38"/>
  <c r="K38" i="38"/>
  <c r="C38" i="38"/>
  <c r="T38" i="38"/>
  <c r="L38" i="38"/>
  <c r="D38" i="38"/>
  <c r="W38" i="38"/>
  <c r="M38" i="38"/>
  <c r="E38" i="38"/>
  <c r="O38" i="38"/>
  <c r="V38" i="38"/>
  <c r="N38" i="38"/>
  <c r="F38" i="38"/>
  <c r="P38" i="38"/>
  <c r="H38" i="38"/>
  <c r="Q38" i="38"/>
  <c r="I38" i="38"/>
  <c r="Y37" i="38"/>
  <c r="R38" i="38"/>
  <c r="J38" i="38"/>
  <c r="B38" i="38"/>
  <c r="G38" i="38"/>
  <c r="S17" i="38"/>
  <c r="K17" i="38"/>
  <c r="C17" i="38"/>
  <c r="L17" i="38"/>
  <c r="D17" i="38"/>
  <c r="W17" i="38"/>
  <c r="T17" i="38"/>
  <c r="M17" i="38"/>
  <c r="E17" i="38"/>
  <c r="G17" i="38"/>
  <c r="V17" i="38"/>
  <c r="N17" i="38"/>
  <c r="F17" i="38"/>
  <c r="P17" i="38"/>
  <c r="H17" i="38"/>
  <c r="Q17" i="38"/>
  <c r="I17" i="38"/>
  <c r="Y16" i="38"/>
  <c r="R17" i="38"/>
  <c r="J17" i="38"/>
  <c r="B17" i="38"/>
  <c r="O17" i="38"/>
  <c r="R19" i="38"/>
  <c r="J19" i="38"/>
  <c r="B19" i="38"/>
  <c r="K19" i="38"/>
  <c r="C19" i="38"/>
  <c r="S19" i="38"/>
  <c r="L19" i="38"/>
  <c r="V19" i="38"/>
  <c r="T19" i="38"/>
  <c r="D19" i="38"/>
  <c r="N19" i="38"/>
  <c r="M19" i="38"/>
  <c r="E19" i="38"/>
  <c r="W19" i="38"/>
  <c r="O19" i="38"/>
  <c r="G19" i="38"/>
  <c r="F19" i="38"/>
  <c r="P19" i="38"/>
  <c r="H19" i="38"/>
  <c r="Q19" i="38"/>
  <c r="I19" i="38"/>
  <c r="Y18" i="38"/>
  <c r="M34" i="38"/>
  <c r="E34" i="38"/>
  <c r="V34" i="38"/>
  <c r="N34" i="38"/>
  <c r="F34" i="38"/>
  <c r="Q34" i="38"/>
  <c r="W34" i="38"/>
  <c r="O34" i="38"/>
  <c r="G34" i="38"/>
  <c r="P34" i="38"/>
  <c r="H34" i="38"/>
  <c r="R34" i="38"/>
  <c r="J34" i="38"/>
  <c r="B34" i="38"/>
  <c r="Y33" i="38"/>
  <c r="S34" i="38"/>
  <c r="K34" i="38"/>
  <c r="C34" i="38"/>
  <c r="T34" i="38"/>
  <c r="L34" i="38"/>
  <c r="D34" i="38"/>
  <c r="I34" i="38"/>
  <c r="M13" i="38"/>
  <c r="E13" i="38"/>
  <c r="V13" i="38"/>
  <c r="F13" i="38"/>
  <c r="G13" i="38"/>
  <c r="Q13" i="38"/>
  <c r="N13" i="38"/>
  <c r="Y12" i="38"/>
  <c r="W13" i="38"/>
  <c r="O13" i="38"/>
  <c r="I13" i="38"/>
  <c r="P13" i="38"/>
  <c r="H13" i="38"/>
  <c r="R13" i="38"/>
  <c r="J13" i="38"/>
  <c r="B13" i="38"/>
  <c r="S13" i="38"/>
  <c r="K13" i="38"/>
  <c r="C13" i="38"/>
  <c r="T13" i="38"/>
  <c r="L13" i="38"/>
  <c r="D13" i="38"/>
  <c r="R40" i="38"/>
  <c r="J40" i="38"/>
  <c r="B40" i="38"/>
  <c r="N40" i="38"/>
  <c r="S40" i="38"/>
  <c r="K40" i="38"/>
  <c r="C40" i="38"/>
  <c r="T40" i="38"/>
  <c r="L40" i="38"/>
  <c r="D40" i="38"/>
  <c r="V40" i="38"/>
  <c r="F40" i="38"/>
  <c r="M40" i="38"/>
  <c r="E40" i="38"/>
  <c r="W40" i="38"/>
  <c r="O40" i="38"/>
  <c r="G40" i="38"/>
  <c r="P40" i="38"/>
  <c r="H40" i="38"/>
  <c r="Q40" i="38"/>
  <c r="I40" i="38"/>
  <c r="Y39" i="38"/>
  <c r="U38" i="38"/>
  <c r="U19" i="38"/>
  <c r="U34" i="38"/>
  <c r="P226" i="3" l="1"/>
  <c r="J120" i="50"/>
  <c r="F120" i="50"/>
  <c r="J119" i="50"/>
  <c r="F119" i="50"/>
  <c r="J118" i="50"/>
  <c r="F118" i="50"/>
  <c r="J117" i="50"/>
  <c r="F117" i="50"/>
  <c r="J116" i="50"/>
  <c r="F116" i="50"/>
  <c r="I35" i="50"/>
  <c r="H35" i="50"/>
  <c r="G35" i="50"/>
  <c r="E35" i="50"/>
  <c r="D35" i="50"/>
  <c r="C35" i="50"/>
  <c r="J115" i="50"/>
  <c r="F115" i="50"/>
  <c r="J114" i="50"/>
  <c r="F114" i="50"/>
  <c r="J113" i="50"/>
  <c r="F113" i="50"/>
  <c r="J112" i="50"/>
  <c r="F112" i="50"/>
  <c r="I34" i="50"/>
  <c r="H34" i="50"/>
  <c r="G34" i="50"/>
  <c r="E34" i="50"/>
  <c r="D34" i="50"/>
  <c r="C34" i="50"/>
  <c r="J111" i="50"/>
  <c r="F111" i="50"/>
  <c r="J110" i="50"/>
  <c r="F110" i="50"/>
  <c r="J109" i="50"/>
  <c r="F109" i="50"/>
  <c r="J108" i="50"/>
  <c r="F108" i="50"/>
  <c r="I33" i="50"/>
  <c r="H33" i="50"/>
  <c r="G33" i="50"/>
  <c r="E33" i="50"/>
  <c r="D33" i="50"/>
  <c r="C33" i="50"/>
  <c r="J107" i="50"/>
  <c r="F107" i="50"/>
  <c r="J106" i="50"/>
  <c r="F106" i="50"/>
  <c r="J105" i="50"/>
  <c r="F105" i="50"/>
  <c r="J104" i="50"/>
  <c r="F104" i="50"/>
  <c r="I32" i="50"/>
  <c r="H32" i="50"/>
  <c r="G32" i="50"/>
  <c r="E32" i="50"/>
  <c r="D32" i="50"/>
  <c r="C32" i="50"/>
  <c r="J103" i="50"/>
  <c r="F103" i="50"/>
  <c r="J102" i="50"/>
  <c r="F102" i="50"/>
  <c r="J101" i="50"/>
  <c r="F101" i="50"/>
  <c r="J100" i="50"/>
  <c r="F100" i="50"/>
  <c r="I31" i="50"/>
  <c r="H31" i="50"/>
  <c r="G31" i="50"/>
  <c r="E31" i="50"/>
  <c r="D31" i="50"/>
  <c r="C31" i="50"/>
  <c r="J99" i="50"/>
  <c r="F99" i="50"/>
  <c r="J98" i="50"/>
  <c r="F98" i="50"/>
  <c r="J97" i="50"/>
  <c r="F97" i="50"/>
  <c r="J96" i="50"/>
  <c r="F96" i="50"/>
  <c r="I30" i="50"/>
  <c r="H30" i="50"/>
  <c r="G30" i="50"/>
  <c r="E30" i="50"/>
  <c r="D30" i="50"/>
  <c r="C30" i="50"/>
  <c r="J95" i="50"/>
  <c r="F95" i="50"/>
  <c r="J94" i="50"/>
  <c r="F94" i="50"/>
  <c r="J93" i="50"/>
  <c r="F93" i="50"/>
  <c r="J92" i="50"/>
  <c r="F92" i="50"/>
  <c r="I29" i="50"/>
  <c r="H29" i="50"/>
  <c r="G29" i="50"/>
  <c r="E29" i="50"/>
  <c r="D29" i="50"/>
  <c r="C29" i="50"/>
  <c r="J31" i="50" l="1"/>
  <c r="J35" i="50"/>
  <c r="J32" i="50"/>
  <c r="J30" i="50"/>
  <c r="J29" i="50"/>
  <c r="F32" i="50"/>
  <c r="F31" i="50"/>
  <c r="F35" i="50"/>
  <c r="J34" i="50"/>
  <c r="F29" i="50"/>
  <c r="J33" i="50"/>
  <c r="F33" i="50"/>
  <c r="F34" i="50"/>
  <c r="F30" i="50"/>
  <c r="BE147" i="59" l="1"/>
  <c r="K214" i="33"/>
  <c r="K215" i="33"/>
  <c r="K216" i="33"/>
  <c r="K217" i="33"/>
  <c r="K220" i="33"/>
  <c r="L220" i="33" s="1"/>
  <c r="K233" i="35"/>
  <c r="J233" i="35"/>
  <c r="G233" i="35"/>
  <c r="L233" i="35" l="1"/>
  <c r="H241" i="51"/>
  <c r="J241" i="51" s="1"/>
  <c r="K241" i="51" s="1"/>
  <c r="E253" i="1" l="1"/>
  <c r="G147" i="59" l="1"/>
  <c r="H147" i="59"/>
  <c r="M238" i="5"/>
  <c r="J238" i="5"/>
  <c r="I241" i="4"/>
  <c r="K225" i="3"/>
  <c r="H225" i="3"/>
  <c r="E225" i="3"/>
  <c r="BU253" i="1"/>
  <c r="BR253" i="1"/>
  <c r="BN253" i="1"/>
  <c r="BL253" i="1"/>
  <c r="AY253" i="1"/>
  <c r="AO253" i="1"/>
  <c r="AP253" i="1" s="1"/>
  <c r="AG253" i="1"/>
  <c r="AF253" i="1"/>
  <c r="AE253" i="1"/>
  <c r="AD253" i="1"/>
  <c r="Z253" i="1"/>
  <c r="L253" i="1"/>
  <c r="M253" i="1" s="1"/>
  <c r="G253" i="1"/>
  <c r="K219" i="33"/>
  <c r="L219" i="33" s="1"/>
  <c r="K218" i="33"/>
  <c r="L218" i="33" s="1"/>
  <c r="L217" i="33"/>
  <c r="L216" i="33"/>
  <c r="L215" i="33"/>
  <c r="L214" i="33"/>
  <c r="K213" i="33"/>
  <c r="L213" i="33" s="1"/>
  <c r="K212" i="33"/>
  <c r="L212" i="33" s="1"/>
  <c r="K211" i="33"/>
  <c r="L211" i="33" s="1"/>
  <c r="K210" i="33"/>
  <c r="L210" i="33" s="1"/>
  <c r="L209" i="33"/>
  <c r="K209" i="33"/>
  <c r="K208" i="33"/>
  <c r="L208" i="33" s="1"/>
  <c r="K207" i="33"/>
  <c r="L207" i="33" s="1"/>
  <c r="K206" i="33"/>
  <c r="L206" i="33" s="1"/>
  <c r="K205" i="33"/>
  <c r="L205" i="33" s="1"/>
  <c r="K204" i="33"/>
  <c r="L204" i="33" s="1"/>
  <c r="K203" i="33"/>
  <c r="L203" i="33" s="1"/>
  <c r="K202" i="33"/>
  <c r="L202" i="33" s="1"/>
  <c r="J19" i="33"/>
  <c r="I19" i="33"/>
  <c r="H19" i="33"/>
  <c r="G19" i="33"/>
  <c r="F19" i="33"/>
  <c r="E19" i="33"/>
  <c r="D19" i="33"/>
  <c r="C19" i="33"/>
  <c r="K201" i="33"/>
  <c r="L201" i="33" s="1"/>
  <c r="K200" i="33"/>
  <c r="L200" i="33" s="1"/>
  <c r="K199" i="33"/>
  <c r="L199" i="33" s="1"/>
  <c r="K198" i="33"/>
  <c r="L198" i="33" s="1"/>
  <c r="K197" i="33"/>
  <c r="L197" i="33" s="1"/>
  <c r="K196" i="33"/>
  <c r="L196" i="33" s="1"/>
  <c r="K195" i="33"/>
  <c r="L195" i="33" s="1"/>
  <c r="K194" i="33"/>
  <c r="L194" i="33" s="1"/>
  <c r="K193" i="33"/>
  <c r="L193" i="33" s="1"/>
  <c r="K192" i="33"/>
  <c r="L192" i="33" s="1"/>
  <c r="K191" i="33"/>
  <c r="L191" i="33" s="1"/>
  <c r="K190" i="33"/>
  <c r="L190" i="33" s="1"/>
  <c r="P18" i="33"/>
  <c r="O18" i="33"/>
  <c r="N18" i="33"/>
  <c r="M18" i="33"/>
  <c r="J18" i="33"/>
  <c r="I18" i="33"/>
  <c r="H18" i="33"/>
  <c r="G18" i="33"/>
  <c r="F18" i="33"/>
  <c r="E18" i="33"/>
  <c r="D18" i="33"/>
  <c r="C18" i="33"/>
  <c r="K18" i="33" l="1"/>
  <c r="AQ253" i="1"/>
  <c r="M225" i="3"/>
  <c r="AH253" i="1"/>
  <c r="P253" i="1"/>
  <c r="AT253" i="1"/>
  <c r="Q238" i="5"/>
  <c r="L19" i="33"/>
  <c r="L18" i="33"/>
  <c r="K19" i="33"/>
  <c r="O225" i="3" l="1"/>
  <c r="BK253" i="1"/>
  <c r="BM253" i="1"/>
  <c r="Q253" i="1"/>
  <c r="S238" i="5"/>
  <c r="P225" i="3" l="1"/>
  <c r="T238" i="5"/>
  <c r="N47" i="64" l="1"/>
  <c r="J47" i="64"/>
  <c r="G47" i="64"/>
  <c r="O47" i="64"/>
  <c r="P47" i="64" l="1"/>
  <c r="S47" i="64" s="1"/>
  <c r="BE142" i="59"/>
  <c r="BE143" i="59"/>
  <c r="BE144" i="59"/>
  <c r="BE145" i="59"/>
  <c r="BE146" i="59"/>
  <c r="G144" i="59"/>
  <c r="H144" i="59"/>
  <c r="G145" i="59"/>
  <c r="H145" i="59"/>
  <c r="G146" i="59"/>
  <c r="H146" i="59"/>
  <c r="G40" i="66" l="1"/>
  <c r="J254" i="2"/>
  <c r="J255" i="2"/>
  <c r="J240" i="36" l="1"/>
  <c r="J241" i="36"/>
  <c r="G240" i="36"/>
  <c r="G241" i="36"/>
  <c r="K232" i="35"/>
  <c r="L241" i="36" l="1"/>
  <c r="L240" i="36"/>
  <c r="J232" i="35"/>
  <c r="G232" i="35"/>
  <c r="L232" i="35" l="1"/>
  <c r="L224" i="3" l="1"/>
  <c r="L223" i="3"/>
  <c r="AR252" i="1"/>
  <c r="AM252" i="1" l="1"/>
  <c r="AO252" i="1" s="1"/>
  <c r="M237" i="5" l="1"/>
  <c r="J237" i="5"/>
  <c r="F237" i="5"/>
  <c r="M145" i="61"/>
  <c r="G145" i="61"/>
  <c r="Q237" i="5" l="1"/>
  <c r="S237" i="5" s="1"/>
  <c r="T237" i="5" s="1"/>
  <c r="H240" i="51"/>
  <c r="J240" i="51" s="1"/>
  <c r="K240" i="51" s="1"/>
  <c r="I240" i="4"/>
  <c r="K224" i="3"/>
  <c r="H224" i="3"/>
  <c r="E224" i="3"/>
  <c r="BU252" i="1"/>
  <c r="BR252" i="1"/>
  <c r="BN252" i="1"/>
  <c r="BL252" i="1"/>
  <c r="M224" i="3" l="1"/>
  <c r="O224" i="3" s="1"/>
  <c r="P224" i="3" s="1"/>
  <c r="L252" i="1"/>
  <c r="M252" i="1" s="1"/>
  <c r="AP252" i="1"/>
  <c r="AQ252" i="1" s="1"/>
  <c r="AY252" i="1"/>
  <c r="AE252" i="1"/>
  <c r="AF252" i="1"/>
  <c r="AG252" i="1"/>
  <c r="AD252" i="1"/>
  <c r="Z252" i="1"/>
  <c r="V252" i="1"/>
  <c r="E252" i="1"/>
  <c r="AT252" i="1" s="1"/>
  <c r="H18" i="44"/>
  <c r="G18" i="44"/>
  <c r="F18" i="44"/>
  <c r="E18" i="44"/>
  <c r="D18" i="44"/>
  <c r="C18" i="44"/>
  <c r="C17" i="44"/>
  <c r="AH57" i="68"/>
  <c r="AA57" i="68"/>
  <c r="O57" i="68"/>
  <c r="P57" i="68" s="1"/>
  <c r="R57" i="68" s="1"/>
  <c r="H57" i="68"/>
  <c r="AH55" i="68"/>
  <c r="AA55" i="68"/>
  <c r="O55" i="68"/>
  <c r="P55" i="68" s="1"/>
  <c r="R55" i="68" s="1"/>
  <c r="H55" i="68"/>
  <c r="AH54" i="68"/>
  <c r="AA54" i="68"/>
  <c r="AI54" i="68" s="1"/>
  <c r="AK54" i="68" s="1"/>
  <c r="O54" i="68"/>
  <c r="H54" i="68"/>
  <c r="AH53" i="68"/>
  <c r="AA53" i="68"/>
  <c r="AI53" i="68" s="1"/>
  <c r="AK53" i="68" s="1"/>
  <c r="O53" i="68"/>
  <c r="P53" i="68" s="1"/>
  <c r="R53" i="68" s="1"/>
  <c r="H53" i="68"/>
  <c r="AH52" i="68"/>
  <c r="AI52" i="68" s="1"/>
  <c r="AK52" i="68" s="1"/>
  <c r="AA52" i="68"/>
  <c r="O52" i="68"/>
  <c r="H52" i="68"/>
  <c r="P52" i="68" l="1"/>
  <c r="R52" i="68" s="1"/>
  <c r="AI57" i="68"/>
  <c r="AK57" i="68" s="1"/>
  <c r="AI55" i="68"/>
  <c r="AK55" i="68" s="1"/>
  <c r="G252" i="1"/>
  <c r="P252" i="1" s="1"/>
  <c r="Q252" i="1" s="1"/>
  <c r="P54" i="68"/>
  <c r="R54" i="68" s="1"/>
  <c r="AH252" i="1"/>
  <c r="BM252" i="1" s="1"/>
  <c r="AY251" i="1"/>
  <c r="BK252" i="1" l="1"/>
  <c r="V100" i="45"/>
  <c r="AR250" i="1" l="1"/>
  <c r="AM250" i="1"/>
  <c r="AM251" i="1"/>
  <c r="AR251" i="1" l="1"/>
  <c r="J231" i="35" l="1"/>
  <c r="G231" i="35"/>
  <c r="AR249" i="1"/>
  <c r="M144" i="61"/>
  <c r="G144" i="61"/>
  <c r="O46" i="64"/>
  <c r="N46" i="64"/>
  <c r="J46" i="64"/>
  <c r="G46" i="64"/>
  <c r="M236" i="5"/>
  <c r="J236" i="5"/>
  <c r="F236" i="5"/>
  <c r="G239" i="36"/>
  <c r="J239" i="36"/>
  <c r="H239" i="51"/>
  <c r="J239" i="51" s="1"/>
  <c r="K239" i="51" s="1"/>
  <c r="I239" i="4"/>
  <c r="E223" i="3"/>
  <c r="K223" i="3"/>
  <c r="H223" i="3"/>
  <c r="E251" i="1"/>
  <c r="G251" i="1" s="1"/>
  <c r="P251" i="1" s="1"/>
  <c r="Q251" i="1" s="1"/>
  <c r="L251" i="1"/>
  <c r="M251" i="1" s="1"/>
  <c r="BU251" i="1"/>
  <c r="BR251" i="1"/>
  <c r="AE251" i="1"/>
  <c r="AF251" i="1"/>
  <c r="AG251" i="1"/>
  <c r="AD251" i="1"/>
  <c r="Z251" i="1"/>
  <c r="V251" i="1"/>
  <c r="P46" i="64" l="1"/>
  <c r="S46" i="64" s="1"/>
  <c r="AT251" i="1"/>
  <c r="L239" i="36"/>
  <c r="L231" i="35"/>
  <c r="Q236" i="5"/>
  <c r="S236" i="5" s="1"/>
  <c r="T236" i="5" s="1"/>
  <c r="BN251" i="1"/>
  <c r="BL251" i="1"/>
  <c r="AO251" i="1"/>
  <c r="AP251" i="1" s="1"/>
  <c r="AQ251" i="1" s="1"/>
  <c r="AH251" i="1"/>
  <c r="BK251" i="1" s="1"/>
  <c r="M223" i="3"/>
  <c r="O223" i="3" s="1"/>
  <c r="P223" i="3" s="1"/>
  <c r="BM251" i="1" l="1"/>
  <c r="BU250" i="1"/>
  <c r="BR250" i="1"/>
  <c r="BL250" i="1"/>
  <c r="AY250" i="1"/>
  <c r="AO250" i="1"/>
  <c r="AP250" i="1" s="1"/>
  <c r="AG250" i="1"/>
  <c r="AF250" i="1"/>
  <c r="AE250" i="1"/>
  <c r="AD250" i="1"/>
  <c r="Z250" i="1"/>
  <c r="V250" i="1"/>
  <c r="L250" i="1"/>
  <c r="M250" i="1" s="1"/>
  <c r="E250" i="1"/>
  <c r="AT250" i="1" s="1"/>
  <c r="G250" i="1" l="1"/>
  <c r="P250" i="1" s="1"/>
  <c r="Q250" i="1" s="1"/>
  <c r="AQ250" i="1"/>
  <c r="BN250" i="1"/>
  <c r="AH250" i="1"/>
  <c r="BK250" i="1" s="1"/>
  <c r="BM250" i="1" l="1"/>
  <c r="V98" i="45"/>
  <c r="V99" i="45"/>
  <c r="K11" i="13"/>
  <c r="J11" i="13"/>
  <c r="H11" i="13"/>
  <c r="G11" i="13"/>
  <c r="E11" i="13"/>
  <c r="D11" i="13"/>
  <c r="K10" i="13"/>
  <c r="H10" i="13"/>
  <c r="C40" i="66"/>
  <c r="E40" i="66"/>
  <c r="D40" i="66"/>
  <c r="I39" i="66"/>
  <c r="H39" i="66"/>
  <c r="G39" i="66"/>
  <c r="F39" i="66"/>
  <c r="E39" i="66"/>
  <c r="D39" i="66"/>
  <c r="C39" i="66"/>
  <c r="I38" i="66"/>
  <c r="H38" i="66"/>
  <c r="G38" i="66"/>
  <c r="F38" i="66"/>
  <c r="E38" i="66"/>
  <c r="D38" i="66"/>
  <c r="C38" i="66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L21" i="10"/>
  <c r="K21" i="10"/>
  <c r="I21" i="10"/>
  <c r="H21" i="10"/>
  <c r="G21" i="10"/>
  <c r="F21" i="10"/>
  <c r="E21" i="10"/>
  <c r="D21" i="10"/>
  <c r="C21" i="10"/>
  <c r="J100" i="10"/>
  <c r="J99" i="10"/>
  <c r="J98" i="10"/>
  <c r="J97" i="10"/>
  <c r="J96" i="10"/>
  <c r="L20" i="10"/>
  <c r="K20" i="10"/>
  <c r="I20" i="10"/>
  <c r="H20" i="10"/>
  <c r="G20" i="10"/>
  <c r="F20" i="10"/>
  <c r="E20" i="10"/>
  <c r="D20" i="10"/>
  <c r="C20" i="10"/>
  <c r="H143" i="59"/>
  <c r="G143" i="59"/>
  <c r="H142" i="59"/>
  <c r="G142" i="59"/>
  <c r="BE141" i="59"/>
  <c r="H141" i="59"/>
  <c r="G141" i="59"/>
  <c r="BE139" i="59"/>
  <c r="H139" i="59"/>
  <c r="G139" i="59"/>
  <c r="BE138" i="59"/>
  <c r="H138" i="59"/>
  <c r="G138" i="59"/>
  <c r="BE137" i="59"/>
  <c r="H137" i="59"/>
  <c r="G137" i="59"/>
  <c r="BE136" i="59"/>
  <c r="H136" i="59"/>
  <c r="G136" i="59"/>
  <c r="BE135" i="59"/>
  <c r="H135" i="59"/>
  <c r="G135" i="59"/>
  <c r="BE134" i="59"/>
  <c r="H134" i="59"/>
  <c r="G134" i="59"/>
  <c r="BE133" i="59"/>
  <c r="H133" i="59"/>
  <c r="G133" i="59"/>
  <c r="BE132" i="59"/>
  <c r="H132" i="59"/>
  <c r="G132" i="59"/>
  <c r="BE131" i="59"/>
  <c r="H131" i="59"/>
  <c r="G131" i="59"/>
  <c r="BE130" i="59"/>
  <c r="H130" i="59"/>
  <c r="G130" i="59"/>
  <c r="BE129" i="59"/>
  <c r="H129" i="59"/>
  <c r="G129" i="59"/>
  <c r="BE128" i="59"/>
  <c r="H128" i="59"/>
  <c r="G128" i="59"/>
  <c r="BE127" i="59"/>
  <c r="BE39" i="59" s="1"/>
  <c r="H127" i="59"/>
  <c r="G127" i="59"/>
  <c r="BE126" i="59"/>
  <c r="H126" i="59"/>
  <c r="G126" i="59"/>
  <c r="BE125" i="59"/>
  <c r="H125" i="59"/>
  <c r="G125" i="59"/>
  <c r="BE124" i="59"/>
  <c r="H124" i="59"/>
  <c r="G124" i="59"/>
  <c r="BE123" i="59"/>
  <c r="H123" i="59"/>
  <c r="G123" i="59"/>
  <c r="BE122" i="59"/>
  <c r="H122" i="59"/>
  <c r="G122" i="59"/>
  <c r="BE121" i="59"/>
  <c r="H121" i="59"/>
  <c r="G121" i="59"/>
  <c r="BE120" i="59"/>
  <c r="H120" i="59"/>
  <c r="G120" i="59"/>
  <c r="BE119" i="59"/>
  <c r="H119" i="59"/>
  <c r="BE118" i="59"/>
  <c r="H118" i="59"/>
  <c r="G118" i="59"/>
  <c r="BE117" i="59"/>
  <c r="H117" i="59"/>
  <c r="G117" i="59"/>
  <c r="BE116" i="59"/>
  <c r="H116" i="59"/>
  <c r="G116" i="59"/>
  <c r="BR39" i="59"/>
  <c r="BQ39" i="59"/>
  <c r="BP39" i="59"/>
  <c r="BO39" i="59"/>
  <c r="BN39" i="59"/>
  <c r="BM39" i="59"/>
  <c r="BL39" i="59"/>
  <c r="BK39" i="59"/>
  <c r="BJ39" i="59"/>
  <c r="BI39" i="59"/>
  <c r="BH39" i="59"/>
  <c r="BG39" i="59"/>
  <c r="BF39" i="59"/>
  <c r="BD39" i="59"/>
  <c r="BC39" i="59"/>
  <c r="BB39" i="59"/>
  <c r="BA39" i="59"/>
  <c r="AZ39" i="59"/>
  <c r="AY39" i="59"/>
  <c r="AX39" i="59"/>
  <c r="AW39" i="59"/>
  <c r="AV39" i="59"/>
  <c r="AU39" i="59"/>
  <c r="AT39" i="59"/>
  <c r="AS39" i="59"/>
  <c r="AR39" i="59"/>
  <c r="AQ39" i="59"/>
  <c r="AP39" i="59"/>
  <c r="AO39" i="59"/>
  <c r="AN39" i="59"/>
  <c r="AM39" i="59"/>
  <c r="AL39" i="59"/>
  <c r="AK39" i="59"/>
  <c r="AJ39" i="59"/>
  <c r="AI39" i="59"/>
  <c r="AH39" i="59"/>
  <c r="AG39" i="59"/>
  <c r="AF39" i="59"/>
  <c r="AE39" i="59"/>
  <c r="AD39" i="59"/>
  <c r="AC39" i="59"/>
  <c r="AB39" i="59"/>
  <c r="AA39" i="59"/>
  <c r="Z39" i="59"/>
  <c r="Y39" i="59"/>
  <c r="X39" i="59"/>
  <c r="W39" i="59"/>
  <c r="V39" i="59"/>
  <c r="U39" i="59"/>
  <c r="T39" i="59"/>
  <c r="S39" i="59"/>
  <c r="R39" i="59"/>
  <c r="Q39" i="59"/>
  <c r="P39" i="59"/>
  <c r="O39" i="59"/>
  <c r="N39" i="59"/>
  <c r="M39" i="59"/>
  <c r="L39" i="59"/>
  <c r="K39" i="59"/>
  <c r="J39" i="59"/>
  <c r="I39" i="59"/>
  <c r="F39" i="59"/>
  <c r="E39" i="59"/>
  <c r="D39" i="59"/>
  <c r="C39" i="59"/>
  <c r="J20" i="10" l="1"/>
  <c r="J21" i="10"/>
  <c r="G39" i="59"/>
  <c r="H39" i="59"/>
  <c r="H238" i="51" l="1"/>
  <c r="J238" i="51" s="1"/>
  <c r="K238" i="51" s="1"/>
  <c r="H237" i="51"/>
  <c r="J237" i="51" s="1"/>
  <c r="K237" i="51" s="1"/>
  <c r="H235" i="51"/>
  <c r="J235" i="51" s="1"/>
  <c r="K235" i="51" s="1"/>
  <c r="H234" i="51"/>
  <c r="H233" i="51"/>
  <c r="J233" i="51" s="1"/>
  <c r="K233" i="51" s="1"/>
  <c r="H232" i="51"/>
  <c r="J232" i="51" s="1"/>
  <c r="K232" i="51" s="1"/>
  <c r="H231" i="51"/>
  <c r="J231" i="51" s="1"/>
  <c r="K231" i="51" s="1"/>
  <c r="H230" i="51"/>
  <c r="J230" i="51" s="1"/>
  <c r="K230" i="51" s="1"/>
  <c r="H229" i="51"/>
  <c r="J229" i="51" s="1"/>
  <c r="K229" i="51" s="1"/>
  <c r="H228" i="51"/>
  <c r="J228" i="51" s="1"/>
  <c r="K228" i="51" s="1"/>
  <c r="H227" i="51"/>
  <c r="J227" i="51" s="1"/>
  <c r="K227" i="51" s="1"/>
  <c r="H226" i="51"/>
  <c r="J226" i="51" s="1"/>
  <c r="K226" i="51" s="1"/>
  <c r="H225" i="51"/>
  <c r="J225" i="51" s="1"/>
  <c r="K225" i="51" s="1"/>
  <c r="H224" i="51"/>
  <c r="J224" i="51" s="1"/>
  <c r="K224" i="51" s="1"/>
  <c r="H223" i="51"/>
  <c r="J223" i="51" s="1"/>
  <c r="K223" i="51" s="1"/>
  <c r="H222" i="51"/>
  <c r="H39" i="51" s="1"/>
  <c r="H221" i="51"/>
  <c r="J221" i="51" s="1"/>
  <c r="K221" i="51" s="1"/>
  <c r="H220" i="51"/>
  <c r="J220" i="51" s="1"/>
  <c r="K220" i="51" s="1"/>
  <c r="H219" i="51"/>
  <c r="J219" i="51" s="1"/>
  <c r="K219" i="51" s="1"/>
  <c r="H218" i="51"/>
  <c r="J218" i="51" s="1"/>
  <c r="K218" i="51" s="1"/>
  <c r="H217" i="51"/>
  <c r="J217" i="51" s="1"/>
  <c r="K217" i="51" s="1"/>
  <c r="H216" i="51"/>
  <c r="J216" i="51" s="1"/>
  <c r="K216" i="51" s="1"/>
  <c r="H215" i="51"/>
  <c r="J215" i="51" s="1"/>
  <c r="K215" i="51" s="1"/>
  <c r="H214" i="51"/>
  <c r="J214" i="51" s="1"/>
  <c r="K214" i="51" s="1"/>
  <c r="H213" i="51"/>
  <c r="J213" i="51" s="1"/>
  <c r="K213" i="51" s="1"/>
  <c r="H212" i="51"/>
  <c r="J212" i="51" s="1"/>
  <c r="K212" i="51" s="1"/>
  <c r="H211" i="51"/>
  <c r="J211" i="51" s="1"/>
  <c r="K211" i="51" s="1"/>
  <c r="I39" i="51"/>
  <c r="G39" i="51"/>
  <c r="F39" i="51"/>
  <c r="E39" i="51"/>
  <c r="D39" i="51"/>
  <c r="C39" i="51"/>
  <c r="I238" i="4"/>
  <c r="I237" i="4"/>
  <c r="I236" i="4"/>
  <c r="I235" i="4"/>
  <c r="I234" i="4"/>
  <c r="I233" i="4"/>
  <c r="I232" i="4"/>
  <c r="I231" i="4"/>
  <c r="I229" i="4"/>
  <c r="I228" i="4"/>
  <c r="I227" i="4"/>
  <c r="I226" i="4"/>
  <c r="I225" i="4"/>
  <c r="I224" i="4"/>
  <c r="I223" i="4"/>
  <c r="H41" i="4"/>
  <c r="F41" i="4"/>
  <c r="E41" i="4"/>
  <c r="G41" i="4" s="1"/>
  <c r="D41" i="4"/>
  <c r="C41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H40" i="4"/>
  <c r="H28" i="4" s="1"/>
  <c r="F40" i="4"/>
  <c r="F28" i="4" s="1"/>
  <c r="E40" i="4"/>
  <c r="D40" i="4"/>
  <c r="D28" i="4" s="1"/>
  <c r="C40" i="4"/>
  <c r="E222" i="3"/>
  <c r="H222" i="3"/>
  <c r="K222" i="3"/>
  <c r="L222" i="3"/>
  <c r="C28" i="4" l="1"/>
  <c r="G40" i="4"/>
  <c r="I40" i="4" s="1"/>
  <c r="I28" i="4" s="1"/>
  <c r="E28" i="4"/>
  <c r="G28" i="4" s="1"/>
  <c r="I41" i="4"/>
  <c r="J234" i="51"/>
  <c r="J222" i="51"/>
  <c r="M222" i="3"/>
  <c r="O222" i="3" s="1"/>
  <c r="P222" i="3" s="1"/>
  <c r="N235" i="5"/>
  <c r="P235" i="5" s="1"/>
  <c r="K235" i="5"/>
  <c r="M235" i="5" s="1"/>
  <c r="J235" i="5"/>
  <c r="F235" i="5"/>
  <c r="K234" i="51" l="1"/>
  <c r="J39" i="51"/>
  <c r="K222" i="51"/>
  <c r="K39" i="51" s="1"/>
  <c r="Q235" i="5"/>
  <c r="S235" i="5" s="1"/>
  <c r="T235" i="5" s="1"/>
  <c r="K230" i="35" l="1"/>
  <c r="J230" i="35"/>
  <c r="G230" i="35"/>
  <c r="L230" i="35" l="1"/>
  <c r="J252" i="2" l="1"/>
  <c r="J253" i="2"/>
  <c r="O45" i="64" l="1"/>
  <c r="K236" i="60"/>
  <c r="F236" i="60"/>
  <c r="N45" i="64" l="1"/>
  <c r="J45" i="64"/>
  <c r="G45" i="64"/>
  <c r="P45" i="64" l="1"/>
  <c r="S45" i="64" s="1"/>
  <c r="O44" i="64"/>
  <c r="N44" i="64"/>
  <c r="J44" i="64"/>
  <c r="G44" i="64"/>
  <c r="O43" i="64"/>
  <c r="N43" i="64"/>
  <c r="J43" i="64"/>
  <c r="G43" i="64"/>
  <c r="O42" i="64"/>
  <c r="N42" i="64"/>
  <c r="J42" i="64"/>
  <c r="G42" i="64"/>
  <c r="O41" i="64"/>
  <c r="N41" i="64"/>
  <c r="J41" i="64"/>
  <c r="G41" i="64"/>
  <c r="O40" i="64"/>
  <c r="N40" i="64"/>
  <c r="J40" i="64"/>
  <c r="G40" i="64"/>
  <c r="O39" i="64"/>
  <c r="N39" i="64"/>
  <c r="J39" i="64"/>
  <c r="G39" i="64"/>
  <c r="O38" i="64"/>
  <c r="N38" i="64"/>
  <c r="J38" i="64"/>
  <c r="G38" i="64"/>
  <c r="O37" i="64"/>
  <c r="N37" i="64"/>
  <c r="J37" i="64"/>
  <c r="G37" i="64"/>
  <c r="O36" i="64"/>
  <c r="N36" i="64"/>
  <c r="J36" i="64"/>
  <c r="G36" i="64"/>
  <c r="O35" i="64"/>
  <c r="N35" i="64"/>
  <c r="J35" i="64"/>
  <c r="G35" i="64"/>
  <c r="O34" i="64"/>
  <c r="N34" i="64"/>
  <c r="J34" i="64"/>
  <c r="G34" i="64"/>
  <c r="O33" i="64"/>
  <c r="N33" i="64"/>
  <c r="J33" i="64"/>
  <c r="G33" i="64"/>
  <c r="O32" i="64"/>
  <c r="N32" i="64"/>
  <c r="J32" i="64"/>
  <c r="G32" i="64"/>
  <c r="O31" i="64"/>
  <c r="N31" i="64"/>
  <c r="J31" i="64"/>
  <c r="G31" i="64"/>
  <c r="O30" i="64"/>
  <c r="N30" i="64"/>
  <c r="J30" i="64"/>
  <c r="G30" i="64"/>
  <c r="R14" i="64"/>
  <c r="Q14" i="64"/>
  <c r="M14" i="64"/>
  <c r="L14" i="64"/>
  <c r="K14" i="64"/>
  <c r="I14" i="64"/>
  <c r="H14" i="64"/>
  <c r="F14" i="64"/>
  <c r="E14" i="64"/>
  <c r="D14" i="64"/>
  <c r="C14" i="64"/>
  <c r="O29" i="64"/>
  <c r="N29" i="64"/>
  <c r="J29" i="64"/>
  <c r="G29" i="64"/>
  <c r="O28" i="64"/>
  <c r="N28" i="64"/>
  <c r="J28" i="64"/>
  <c r="G28" i="64"/>
  <c r="O27" i="64"/>
  <c r="N27" i="64"/>
  <c r="J27" i="64"/>
  <c r="G27" i="64"/>
  <c r="O26" i="64"/>
  <c r="N26" i="64"/>
  <c r="J26" i="64"/>
  <c r="G26" i="64"/>
  <c r="O25" i="64"/>
  <c r="N25" i="64"/>
  <c r="J25" i="64"/>
  <c r="G25" i="64"/>
  <c r="N24" i="64"/>
  <c r="J24" i="64"/>
  <c r="G24" i="64"/>
  <c r="O23" i="64"/>
  <c r="N23" i="64"/>
  <c r="J23" i="64"/>
  <c r="G23" i="64"/>
  <c r="O22" i="64"/>
  <c r="N22" i="64"/>
  <c r="J22" i="64"/>
  <c r="G22" i="64"/>
  <c r="O21" i="64"/>
  <c r="N21" i="64"/>
  <c r="J21" i="64"/>
  <c r="G21" i="64"/>
  <c r="O20" i="64"/>
  <c r="N20" i="64"/>
  <c r="J20" i="64"/>
  <c r="G20" i="64"/>
  <c r="O19" i="64"/>
  <c r="N19" i="64"/>
  <c r="J19" i="64"/>
  <c r="G19" i="64"/>
  <c r="O18" i="64"/>
  <c r="N18" i="64"/>
  <c r="J18" i="64"/>
  <c r="G18" i="64"/>
  <c r="R13" i="64"/>
  <c r="Q13" i="64"/>
  <c r="M13" i="64"/>
  <c r="L13" i="64"/>
  <c r="K13" i="64"/>
  <c r="I13" i="64"/>
  <c r="H13" i="64"/>
  <c r="F13" i="64"/>
  <c r="E13" i="64"/>
  <c r="D13" i="64"/>
  <c r="C13" i="64"/>
  <c r="O7" i="64"/>
  <c r="N7" i="64"/>
  <c r="J7" i="64"/>
  <c r="G7" i="64"/>
  <c r="K232" i="60"/>
  <c r="K14" i="60" s="1"/>
  <c r="F232" i="60"/>
  <c r="F14" i="60" s="1"/>
  <c r="K231" i="60"/>
  <c r="F231" i="60"/>
  <c r="K230" i="60"/>
  <c r="F230" i="60"/>
  <c r="K229" i="60"/>
  <c r="F229" i="60"/>
  <c r="K228" i="60"/>
  <c r="F228" i="60"/>
  <c r="K227" i="60"/>
  <c r="F227" i="60"/>
  <c r="K226" i="60"/>
  <c r="F226" i="60"/>
  <c r="K225" i="60"/>
  <c r="F225" i="60"/>
  <c r="K224" i="60"/>
  <c r="F224" i="60"/>
  <c r="K223" i="60"/>
  <c r="F223" i="60"/>
  <c r="K222" i="60"/>
  <c r="F222" i="60"/>
  <c r="K221" i="60"/>
  <c r="F221" i="60"/>
  <c r="R14" i="60"/>
  <c r="Q14" i="60"/>
  <c r="P14" i="60"/>
  <c r="O14" i="60"/>
  <c r="N14" i="60"/>
  <c r="M14" i="60"/>
  <c r="L14" i="60"/>
  <c r="J14" i="60"/>
  <c r="I14" i="60"/>
  <c r="H14" i="60"/>
  <c r="G14" i="60"/>
  <c r="E14" i="60"/>
  <c r="D14" i="60"/>
  <c r="C14" i="60"/>
  <c r="K220" i="60"/>
  <c r="K13" i="60" s="1"/>
  <c r="F220" i="60"/>
  <c r="F13" i="60" s="1"/>
  <c r="K219" i="60"/>
  <c r="F219" i="60"/>
  <c r="K218" i="60"/>
  <c r="F218" i="60"/>
  <c r="K217" i="60"/>
  <c r="F217" i="60"/>
  <c r="K216" i="60"/>
  <c r="F216" i="60"/>
  <c r="K215" i="60"/>
  <c r="F215" i="60"/>
  <c r="K214" i="60"/>
  <c r="F214" i="60"/>
  <c r="K213" i="60"/>
  <c r="F213" i="60"/>
  <c r="K212" i="60"/>
  <c r="F212" i="60"/>
  <c r="K211" i="60"/>
  <c r="F211" i="60"/>
  <c r="K210" i="60"/>
  <c r="F210" i="60"/>
  <c r="K209" i="60"/>
  <c r="F209" i="60"/>
  <c r="R13" i="60"/>
  <c r="Q13" i="60"/>
  <c r="P13" i="60"/>
  <c r="O13" i="60"/>
  <c r="N13" i="60"/>
  <c r="M13" i="60"/>
  <c r="L13" i="60"/>
  <c r="J13" i="60"/>
  <c r="I13" i="60"/>
  <c r="H13" i="60"/>
  <c r="G13" i="60"/>
  <c r="E13" i="60"/>
  <c r="D13" i="60"/>
  <c r="C13" i="60"/>
  <c r="M143" i="61"/>
  <c r="G143" i="61"/>
  <c r="M142" i="61"/>
  <c r="G142" i="61"/>
  <c r="M141" i="61"/>
  <c r="G141" i="61"/>
  <c r="M140" i="61"/>
  <c r="G140" i="61"/>
  <c r="M139" i="61"/>
  <c r="M18" i="61" s="1"/>
  <c r="G139" i="61"/>
  <c r="G18" i="61" s="1"/>
  <c r="M138" i="61"/>
  <c r="G138" i="61"/>
  <c r="M137" i="61"/>
  <c r="G137" i="61"/>
  <c r="M136" i="61"/>
  <c r="G136" i="61"/>
  <c r="M135" i="61"/>
  <c r="G135" i="61"/>
  <c r="M134" i="61"/>
  <c r="G134" i="61"/>
  <c r="M133" i="61"/>
  <c r="G133" i="61"/>
  <c r="M132" i="61"/>
  <c r="G132" i="61"/>
  <c r="M131" i="61"/>
  <c r="G131" i="61"/>
  <c r="M130" i="61"/>
  <c r="G130" i="61"/>
  <c r="M129" i="61"/>
  <c r="G129" i="61"/>
  <c r="M128" i="61"/>
  <c r="G128" i="61"/>
  <c r="T18" i="61"/>
  <c r="S18" i="61"/>
  <c r="R18" i="61"/>
  <c r="Q18" i="61"/>
  <c r="P18" i="61"/>
  <c r="O18" i="61"/>
  <c r="N18" i="61"/>
  <c r="L18" i="61"/>
  <c r="K18" i="61"/>
  <c r="J18" i="61"/>
  <c r="I18" i="61"/>
  <c r="H18" i="61"/>
  <c r="F18" i="61"/>
  <c r="E18" i="61"/>
  <c r="D18" i="61"/>
  <c r="C18" i="61"/>
  <c r="M127" i="61"/>
  <c r="M17" i="61" s="1"/>
  <c r="G127" i="61"/>
  <c r="G17" i="61" s="1"/>
  <c r="M126" i="61"/>
  <c r="G126" i="61"/>
  <c r="M125" i="61"/>
  <c r="G125" i="61"/>
  <c r="M124" i="61"/>
  <c r="G124" i="61"/>
  <c r="M123" i="61"/>
  <c r="G123" i="61"/>
  <c r="M122" i="61"/>
  <c r="G122" i="61"/>
  <c r="M121" i="61"/>
  <c r="G121" i="61"/>
  <c r="M120" i="61"/>
  <c r="G120" i="61"/>
  <c r="M119" i="61"/>
  <c r="G119" i="61"/>
  <c r="M118" i="61"/>
  <c r="G118" i="61"/>
  <c r="M117" i="61"/>
  <c r="G117" i="61"/>
  <c r="M116" i="61"/>
  <c r="G116" i="61"/>
  <c r="T17" i="61"/>
  <c r="S17" i="61"/>
  <c r="R17" i="61"/>
  <c r="Q17" i="61"/>
  <c r="P17" i="61"/>
  <c r="O17" i="61"/>
  <c r="N17" i="61"/>
  <c r="L17" i="61"/>
  <c r="K17" i="61"/>
  <c r="J17" i="61"/>
  <c r="I17" i="61"/>
  <c r="H17" i="61"/>
  <c r="F17" i="61"/>
  <c r="E17" i="61"/>
  <c r="D17" i="61"/>
  <c r="C17" i="61"/>
  <c r="P37" i="64" l="1"/>
  <c r="S37" i="64" s="1"/>
  <c r="P30" i="64"/>
  <c r="S30" i="64" s="1"/>
  <c r="T30" i="64" s="1"/>
  <c r="P18" i="64"/>
  <c r="S18" i="64" s="1"/>
  <c r="P20" i="64"/>
  <c r="S20" i="64" s="1"/>
  <c r="P26" i="64"/>
  <c r="S26" i="64" s="1"/>
  <c r="P44" i="64"/>
  <c r="S44" i="64" s="1"/>
  <c r="O14" i="64"/>
  <c r="P38" i="64"/>
  <c r="S38" i="64" s="1"/>
  <c r="P19" i="64"/>
  <c r="S19" i="64" s="1"/>
  <c r="P36" i="64"/>
  <c r="S36" i="64" s="1"/>
  <c r="P42" i="64"/>
  <c r="S42" i="64" s="1"/>
  <c r="P21" i="64"/>
  <c r="S21" i="64" s="1"/>
  <c r="P23" i="64"/>
  <c r="S23" i="64" s="1"/>
  <c r="P25" i="64"/>
  <c r="S25" i="64" s="1"/>
  <c r="P27" i="64"/>
  <c r="S27" i="64" s="1"/>
  <c r="P28" i="64"/>
  <c r="S28" i="64" s="1"/>
  <c r="P39" i="64"/>
  <c r="S39" i="64" s="1"/>
  <c r="P41" i="64"/>
  <c r="S41" i="64" s="1"/>
  <c r="P24" i="64"/>
  <c r="S24" i="64" s="1"/>
  <c r="N14" i="64"/>
  <c r="P29" i="64"/>
  <c r="S29" i="64" s="1"/>
  <c r="P34" i="64"/>
  <c r="S34" i="64" s="1"/>
  <c r="G13" i="64"/>
  <c r="P40" i="64"/>
  <c r="S40" i="64" s="1"/>
  <c r="P33" i="64"/>
  <c r="S33" i="64" s="1"/>
  <c r="P43" i="64"/>
  <c r="S43" i="64" s="1"/>
  <c r="P7" i="64"/>
  <c r="O13" i="64"/>
  <c r="J14" i="64"/>
  <c r="N13" i="64"/>
  <c r="P32" i="64"/>
  <c r="S32" i="64" s="1"/>
  <c r="J13" i="64"/>
  <c r="P35" i="64"/>
  <c r="S35" i="64" s="1"/>
  <c r="G14" i="64"/>
  <c r="T18" i="64"/>
  <c r="P22" i="64"/>
  <c r="S22" i="64" s="1"/>
  <c r="P31" i="64"/>
  <c r="S31" i="64" s="1"/>
  <c r="T19" i="64" l="1"/>
  <c r="T20" i="64" s="1"/>
  <c r="T21" i="64" s="1"/>
  <c r="T22" i="64" s="1"/>
  <c r="T23" i="64" s="1"/>
  <c r="T24" i="64" s="1"/>
  <c r="T25" i="64" s="1"/>
  <c r="T26" i="64" s="1"/>
  <c r="T27" i="64" s="1"/>
  <c r="T28" i="64" s="1"/>
  <c r="T29" i="64" s="1"/>
  <c r="T13" i="64" s="1"/>
  <c r="P13" i="64"/>
  <c r="S13" i="64"/>
  <c r="T31" i="64"/>
  <c r="T32" i="64" s="1"/>
  <c r="T33" i="64" s="1"/>
  <c r="T34" i="64" s="1"/>
  <c r="T35" i="64" s="1"/>
  <c r="T36" i="64" s="1"/>
  <c r="T37" i="64" s="1"/>
  <c r="T38" i="64" s="1"/>
  <c r="T39" i="64" s="1"/>
  <c r="T40" i="64" s="1"/>
  <c r="T41" i="64" s="1"/>
  <c r="S14" i="64"/>
  <c r="P14" i="64"/>
  <c r="T14" i="64" l="1"/>
  <c r="T42" i="64"/>
  <c r="T43" i="64" s="1"/>
  <c r="T44" i="64" s="1"/>
  <c r="T45" i="64" s="1"/>
  <c r="T46" i="64" s="1"/>
  <c r="T47" i="64" s="1"/>
  <c r="AM249" i="1" l="1"/>
  <c r="N234" i="5" l="1"/>
  <c r="P234" i="5" s="1"/>
  <c r="K234" i="5"/>
  <c r="M234" i="5" s="1"/>
  <c r="G234" i="5"/>
  <c r="J234" i="5" s="1"/>
  <c r="C234" i="5"/>
  <c r="F234" i="5" s="1"/>
  <c r="Q234" i="5" l="1"/>
  <c r="S234" i="5" s="1"/>
  <c r="T234" i="5" s="1"/>
  <c r="J229" i="35"/>
  <c r="G229" i="35"/>
  <c r="G236" i="36"/>
  <c r="J236" i="36"/>
  <c r="J238" i="36"/>
  <c r="J237" i="36"/>
  <c r="G238" i="36"/>
  <c r="G237" i="36"/>
  <c r="L236" i="36" l="1"/>
  <c r="L238" i="36"/>
  <c r="L237" i="36"/>
  <c r="L229" i="35"/>
  <c r="L221" i="3" l="1"/>
  <c r="K221" i="3"/>
  <c r="H221" i="3"/>
  <c r="E221" i="3"/>
  <c r="BU249" i="1"/>
  <c r="BR249" i="1"/>
  <c r="BL249" i="1"/>
  <c r="BN249" i="1"/>
  <c r="AY249" i="1"/>
  <c r="AO249" i="1"/>
  <c r="AP249" i="1" s="1"/>
  <c r="AD249" i="1"/>
  <c r="AG249" i="1"/>
  <c r="AF249" i="1"/>
  <c r="AE249" i="1"/>
  <c r="Z249" i="1"/>
  <c r="V249" i="1"/>
  <c r="L249" i="1"/>
  <c r="M249" i="1" s="1"/>
  <c r="E249" i="1"/>
  <c r="AT249" i="1" s="1"/>
  <c r="AR248" i="1"/>
  <c r="M221" i="3" l="1"/>
  <c r="O221" i="3" s="1"/>
  <c r="P221" i="3" s="1"/>
  <c r="G249" i="1"/>
  <c r="P249" i="1" s="1"/>
  <c r="Q249" i="1" s="1"/>
  <c r="AH249" i="1"/>
  <c r="AQ249" i="1"/>
  <c r="AM248" i="1"/>
  <c r="BK249" i="1" l="1"/>
  <c r="BM249" i="1"/>
  <c r="N233" i="5" l="1"/>
  <c r="K233" i="5"/>
  <c r="G233" i="5"/>
  <c r="C233" i="5"/>
  <c r="P233" i="5" l="1"/>
  <c r="M233" i="5"/>
  <c r="J233" i="5"/>
  <c r="F233" i="5"/>
  <c r="J228" i="35"/>
  <c r="G228" i="35"/>
  <c r="Q233" i="5" l="1"/>
  <c r="S233" i="5" s="1"/>
  <c r="T233" i="5" s="1"/>
  <c r="L228" i="35"/>
  <c r="J251" i="2" l="1"/>
  <c r="V97" i="45" l="1"/>
  <c r="L220" i="3" l="1"/>
  <c r="K220" i="3"/>
  <c r="H220" i="3"/>
  <c r="E220" i="3"/>
  <c r="BU248" i="1"/>
  <c r="BR248" i="1"/>
  <c r="BN248" i="1"/>
  <c r="AY248" i="1"/>
  <c r="AS248" i="1"/>
  <c r="AO248" i="1"/>
  <c r="AP248" i="1" s="1"/>
  <c r="AD248" i="1"/>
  <c r="AG248" i="1"/>
  <c r="AF248" i="1"/>
  <c r="AE248" i="1"/>
  <c r="Z248" i="1"/>
  <c r="V248" i="1"/>
  <c r="L248" i="1"/>
  <c r="M248" i="1" s="1"/>
  <c r="E248" i="1"/>
  <c r="AT248" i="1" s="1"/>
  <c r="AH248" i="1" l="1"/>
  <c r="BK248" i="1" s="1"/>
  <c r="G248" i="1"/>
  <c r="P248" i="1" s="1"/>
  <c r="Q248" i="1" s="1"/>
  <c r="AQ248" i="1"/>
  <c r="M220" i="3"/>
  <c r="O220" i="3" s="1"/>
  <c r="P220" i="3" s="1"/>
  <c r="BL248" i="1"/>
  <c r="BM248" i="1" l="1"/>
  <c r="V91" i="45"/>
  <c r="V92" i="45"/>
  <c r="V93" i="45"/>
  <c r="V94" i="45"/>
  <c r="V95" i="45"/>
  <c r="V96" i="45"/>
  <c r="N232" i="5" l="1"/>
  <c r="G232" i="5"/>
  <c r="K232" i="5"/>
  <c r="C232" i="5"/>
  <c r="P232" i="5" l="1"/>
  <c r="M232" i="5"/>
  <c r="J232" i="5"/>
  <c r="F232" i="5"/>
  <c r="N231" i="5"/>
  <c r="K231" i="5"/>
  <c r="G231" i="5"/>
  <c r="C231" i="5"/>
  <c r="F231" i="5" s="1"/>
  <c r="N230" i="5"/>
  <c r="P230" i="5" s="1"/>
  <c r="K230" i="5"/>
  <c r="M230" i="5" s="1"/>
  <c r="G230" i="5"/>
  <c r="J230" i="5" s="1"/>
  <c r="C230" i="5"/>
  <c r="F230" i="5" s="1"/>
  <c r="N229" i="5"/>
  <c r="P229" i="5" s="1"/>
  <c r="K229" i="5"/>
  <c r="M229" i="5" s="1"/>
  <c r="G229" i="5"/>
  <c r="J229" i="5" s="1"/>
  <c r="C229" i="5"/>
  <c r="F229" i="5" s="1"/>
  <c r="N228" i="5"/>
  <c r="P228" i="5" s="1"/>
  <c r="K228" i="5"/>
  <c r="M228" i="5" s="1"/>
  <c r="G228" i="5"/>
  <c r="J228" i="5" s="1"/>
  <c r="C228" i="5"/>
  <c r="F228" i="5" s="1"/>
  <c r="N227" i="5"/>
  <c r="P227" i="5" s="1"/>
  <c r="K227" i="5"/>
  <c r="M227" i="5" s="1"/>
  <c r="G227" i="5"/>
  <c r="J227" i="5" s="1"/>
  <c r="C227" i="5"/>
  <c r="F227" i="5" s="1"/>
  <c r="N226" i="5"/>
  <c r="P226" i="5" s="1"/>
  <c r="K226" i="5"/>
  <c r="M226" i="5" s="1"/>
  <c r="G226" i="5"/>
  <c r="J226" i="5" s="1"/>
  <c r="C226" i="5"/>
  <c r="F226" i="5" s="1"/>
  <c r="N225" i="5"/>
  <c r="P225" i="5" s="1"/>
  <c r="K225" i="5"/>
  <c r="M225" i="5" s="1"/>
  <c r="G225" i="5"/>
  <c r="J225" i="5" s="1"/>
  <c r="C225" i="5"/>
  <c r="F225" i="5" s="1"/>
  <c r="N224" i="5"/>
  <c r="P224" i="5" s="1"/>
  <c r="K224" i="5"/>
  <c r="M224" i="5" s="1"/>
  <c r="G224" i="5"/>
  <c r="J224" i="5" s="1"/>
  <c r="C224" i="5"/>
  <c r="F224" i="5" s="1"/>
  <c r="N223" i="5"/>
  <c r="P223" i="5" s="1"/>
  <c r="K223" i="5"/>
  <c r="M223" i="5" s="1"/>
  <c r="G223" i="5"/>
  <c r="J223" i="5" s="1"/>
  <c r="C223" i="5"/>
  <c r="F223" i="5" s="1"/>
  <c r="N222" i="5"/>
  <c r="P222" i="5" s="1"/>
  <c r="K222" i="5"/>
  <c r="M222" i="5" s="1"/>
  <c r="G222" i="5"/>
  <c r="J222" i="5" s="1"/>
  <c r="C222" i="5"/>
  <c r="F222" i="5" s="1"/>
  <c r="N221" i="5"/>
  <c r="P221" i="5" s="1"/>
  <c r="K221" i="5"/>
  <c r="M221" i="5" s="1"/>
  <c r="G221" i="5"/>
  <c r="J221" i="5" s="1"/>
  <c r="C221" i="5"/>
  <c r="F221" i="5" s="1"/>
  <c r="N220" i="5"/>
  <c r="P220" i="5" s="1"/>
  <c r="K220" i="5"/>
  <c r="M220" i="5" s="1"/>
  <c r="G220" i="5"/>
  <c r="J220" i="5" s="1"/>
  <c r="C220" i="5"/>
  <c r="F220" i="5" s="1"/>
  <c r="N219" i="5"/>
  <c r="K219" i="5"/>
  <c r="G219" i="5"/>
  <c r="J219" i="5" s="1"/>
  <c r="C219" i="5"/>
  <c r="N218" i="5"/>
  <c r="P218" i="5" s="1"/>
  <c r="K218" i="5"/>
  <c r="M218" i="5" s="1"/>
  <c r="G218" i="5"/>
  <c r="J218" i="5" s="1"/>
  <c r="C218" i="5"/>
  <c r="F218" i="5" s="1"/>
  <c r="N217" i="5"/>
  <c r="P217" i="5" s="1"/>
  <c r="K217" i="5"/>
  <c r="M217" i="5" s="1"/>
  <c r="G217" i="5"/>
  <c r="J217" i="5" s="1"/>
  <c r="C217" i="5"/>
  <c r="F217" i="5" s="1"/>
  <c r="N216" i="5"/>
  <c r="P216" i="5" s="1"/>
  <c r="K216" i="5"/>
  <c r="M216" i="5" s="1"/>
  <c r="G216" i="5"/>
  <c r="J216" i="5" s="1"/>
  <c r="C216" i="5"/>
  <c r="F216" i="5" s="1"/>
  <c r="N215" i="5"/>
  <c r="P215" i="5" s="1"/>
  <c r="K215" i="5"/>
  <c r="M215" i="5" s="1"/>
  <c r="G215" i="5"/>
  <c r="J215" i="5" s="1"/>
  <c r="C215" i="5"/>
  <c r="F215" i="5" s="1"/>
  <c r="N214" i="5"/>
  <c r="P214" i="5" s="1"/>
  <c r="K214" i="5"/>
  <c r="M214" i="5" s="1"/>
  <c r="G214" i="5"/>
  <c r="J214" i="5" s="1"/>
  <c r="C214" i="5"/>
  <c r="F214" i="5" s="1"/>
  <c r="N213" i="5"/>
  <c r="P213" i="5" s="1"/>
  <c r="K213" i="5"/>
  <c r="M213" i="5" s="1"/>
  <c r="G213" i="5"/>
  <c r="J213" i="5" s="1"/>
  <c r="C213" i="5"/>
  <c r="F213" i="5" s="1"/>
  <c r="N212" i="5"/>
  <c r="P212" i="5" s="1"/>
  <c r="K212" i="5"/>
  <c r="M212" i="5" s="1"/>
  <c r="G212" i="5"/>
  <c r="J212" i="5" s="1"/>
  <c r="C212" i="5"/>
  <c r="F212" i="5" s="1"/>
  <c r="N211" i="5"/>
  <c r="P211" i="5" s="1"/>
  <c r="K211" i="5"/>
  <c r="M211" i="5" s="1"/>
  <c r="G211" i="5"/>
  <c r="J211" i="5" s="1"/>
  <c r="C211" i="5"/>
  <c r="F211" i="5" s="1"/>
  <c r="N210" i="5"/>
  <c r="P210" i="5" s="1"/>
  <c r="K210" i="5"/>
  <c r="M210" i="5" s="1"/>
  <c r="G210" i="5"/>
  <c r="J210" i="5" s="1"/>
  <c r="C210" i="5"/>
  <c r="F210" i="5" s="1"/>
  <c r="N209" i="5"/>
  <c r="P209" i="5" s="1"/>
  <c r="K209" i="5"/>
  <c r="M209" i="5" s="1"/>
  <c r="G209" i="5"/>
  <c r="J209" i="5" s="1"/>
  <c r="C209" i="5"/>
  <c r="F209" i="5" s="1"/>
  <c r="N208" i="5"/>
  <c r="P208" i="5" s="1"/>
  <c r="K208" i="5"/>
  <c r="M208" i="5" s="1"/>
  <c r="G208" i="5"/>
  <c r="J208" i="5" s="1"/>
  <c r="C208" i="5"/>
  <c r="F208" i="5" s="1"/>
  <c r="M219" i="5" l="1"/>
  <c r="P219" i="5"/>
  <c r="Q232" i="5"/>
  <c r="S232" i="5" s="1"/>
  <c r="T232" i="5" s="1"/>
  <c r="Q209" i="5"/>
  <c r="S209" i="5" s="1"/>
  <c r="T209" i="5" s="1"/>
  <c r="Q227" i="5"/>
  <c r="S227" i="5" s="1"/>
  <c r="T227" i="5" s="1"/>
  <c r="J231" i="5"/>
  <c r="Q217" i="5"/>
  <c r="S217" i="5" s="1"/>
  <c r="T217" i="5" s="1"/>
  <c r="F219" i="5"/>
  <c r="P231" i="5"/>
  <c r="Q222" i="5"/>
  <c r="S222" i="5" s="1"/>
  <c r="T222" i="5" s="1"/>
  <c r="Q210" i="5"/>
  <c r="S210" i="5" s="1"/>
  <c r="T210" i="5" s="1"/>
  <c r="Q224" i="5"/>
  <c r="S224" i="5" s="1"/>
  <c r="T224" i="5" s="1"/>
  <c r="Q220" i="5"/>
  <c r="S220" i="5" s="1"/>
  <c r="T220" i="5" s="1"/>
  <c r="Q215" i="5"/>
  <c r="S215" i="5" s="1"/>
  <c r="T215" i="5" s="1"/>
  <c r="Q216" i="5"/>
  <c r="S216" i="5" s="1"/>
  <c r="T216" i="5" s="1"/>
  <c r="Q218" i="5"/>
  <c r="S218" i="5" s="1"/>
  <c r="T218" i="5" s="1"/>
  <c r="Q229" i="5"/>
  <c r="S229" i="5" s="1"/>
  <c r="T229" i="5" s="1"/>
  <c r="Q221" i="5"/>
  <c r="S221" i="5" s="1"/>
  <c r="T221" i="5" s="1"/>
  <c r="Q211" i="5"/>
  <c r="S211" i="5" s="1"/>
  <c r="T211" i="5" s="1"/>
  <c r="Q212" i="5"/>
  <c r="S212" i="5" s="1"/>
  <c r="T212" i="5" s="1"/>
  <c r="Q208" i="5"/>
  <c r="S208" i="5" s="1"/>
  <c r="T208" i="5" s="1"/>
  <c r="Q214" i="5"/>
  <c r="S214" i="5" s="1"/>
  <c r="T214" i="5" s="1"/>
  <c r="Q226" i="5"/>
  <c r="S226" i="5" s="1"/>
  <c r="T226" i="5" s="1"/>
  <c r="Q228" i="5"/>
  <c r="S228" i="5" s="1"/>
  <c r="T228" i="5" s="1"/>
  <c r="Q223" i="5"/>
  <c r="S223" i="5" s="1"/>
  <c r="T223" i="5" s="1"/>
  <c r="Q213" i="5"/>
  <c r="S213" i="5" s="1"/>
  <c r="T213" i="5" s="1"/>
  <c r="Q230" i="5"/>
  <c r="S230" i="5" s="1"/>
  <c r="T230" i="5" s="1"/>
  <c r="Q225" i="5"/>
  <c r="S225" i="5" s="1"/>
  <c r="T225" i="5" s="1"/>
  <c r="M231" i="5"/>
  <c r="Q219" i="5" l="1"/>
  <c r="S219" i="5" s="1"/>
  <c r="Q231" i="5"/>
  <c r="S231" i="5" s="1"/>
  <c r="T219" i="5" l="1"/>
  <c r="T231" i="5"/>
  <c r="K235" i="36" l="1"/>
  <c r="J235" i="36"/>
  <c r="G235" i="36"/>
  <c r="L235" i="36" l="1"/>
  <c r="V33" i="65" l="1"/>
  <c r="V32" i="65"/>
  <c r="N33" i="65"/>
  <c r="N32" i="65"/>
  <c r="R32" i="65" s="1"/>
  <c r="I33" i="65"/>
  <c r="I32" i="65"/>
  <c r="D33" i="65"/>
  <c r="F33" i="65" s="1"/>
  <c r="D32" i="65"/>
  <c r="F32" i="65" s="1"/>
  <c r="R33" i="65" l="1"/>
  <c r="S32" i="65"/>
  <c r="S33" i="65"/>
  <c r="G227" i="35"/>
  <c r="J227" i="35"/>
  <c r="L227" i="35" l="1"/>
  <c r="L219" i="3"/>
  <c r="L218" i="3"/>
  <c r="K219" i="3"/>
  <c r="H219" i="3"/>
  <c r="E219" i="3"/>
  <c r="BU247" i="1"/>
  <c r="BR247" i="1"/>
  <c r="AY247" i="1"/>
  <c r="AR247" i="1"/>
  <c r="M219" i="3" l="1"/>
  <c r="O219" i="3" s="1"/>
  <c r="P219" i="3" s="1"/>
  <c r="AR246" i="1"/>
  <c r="AM247" i="1"/>
  <c r="AO247" i="1" s="1"/>
  <c r="AP247" i="1" s="1"/>
  <c r="AQ247" i="1" s="1"/>
  <c r="BN247" i="1" l="1"/>
  <c r="BL247" i="1"/>
  <c r="AM246" i="1"/>
  <c r="AG247" i="1"/>
  <c r="AF247" i="1"/>
  <c r="AE247" i="1"/>
  <c r="AD247" i="1"/>
  <c r="Z247" i="1"/>
  <c r="V247" i="1"/>
  <c r="L247" i="1"/>
  <c r="M247" i="1" s="1"/>
  <c r="E247" i="1"/>
  <c r="AT247" i="1" s="1"/>
  <c r="AH247" i="1" l="1"/>
  <c r="BK247" i="1" s="1"/>
  <c r="G247" i="1"/>
  <c r="P247" i="1" s="1"/>
  <c r="Q247" i="1" s="1"/>
  <c r="BM247" i="1" l="1"/>
  <c r="C20" i="28" l="1"/>
  <c r="K30" i="35" l="1"/>
  <c r="I30" i="35"/>
  <c r="H30" i="35"/>
  <c r="F30" i="35"/>
  <c r="E30" i="35"/>
  <c r="D30" i="35"/>
  <c r="C30" i="35"/>
  <c r="J226" i="35"/>
  <c r="G226" i="35"/>
  <c r="G30" i="35" s="1"/>
  <c r="L226" i="35" l="1"/>
  <c r="L30" i="35" s="1"/>
  <c r="J30" i="35"/>
  <c r="L25" i="3"/>
  <c r="K218" i="3"/>
  <c r="K25" i="3" s="1"/>
  <c r="H218" i="3"/>
  <c r="H25" i="3" s="1"/>
  <c r="E218" i="3"/>
  <c r="E25" i="3" s="1"/>
  <c r="N25" i="3"/>
  <c r="J25" i="3"/>
  <c r="I25" i="3"/>
  <c r="G25" i="3"/>
  <c r="F25" i="3"/>
  <c r="D25" i="3"/>
  <c r="C25" i="3"/>
  <c r="BU246" i="1"/>
  <c r="BR246" i="1"/>
  <c r="BN246" i="1"/>
  <c r="AY246" i="1"/>
  <c r="AO246" i="1"/>
  <c r="AP246" i="1" s="1"/>
  <c r="AD246" i="1"/>
  <c r="AE246" i="1"/>
  <c r="AF246" i="1"/>
  <c r="AG246" i="1"/>
  <c r="Z246" i="1"/>
  <c r="V246" i="1"/>
  <c r="L246" i="1"/>
  <c r="E246" i="1"/>
  <c r="AQ246" i="1" l="1"/>
  <c r="M218" i="3"/>
  <c r="O218" i="3" s="1"/>
  <c r="O25" i="3" s="1"/>
  <c r="AH246" i="1"/>
  <c r="AT246" i="1"/>
  <c r="BL246" i="1"/>
  <c r="G246" i="1"/>
  <c r="M246" i="1"/>
  <c r="J234" i="36"/>
  <c r="G234" i="36"/>
  <c r="L234" i="36" l="1"/>
  <c r="M25" i="3"/>
  <c r="P218" i="3"/>
  <c r="P25" i="3" s="1"/>
  <c r="BK246" i="1"/>
  <c r="BM246" i="1"/>
  <c r="P246" i="1"/>
  <c r="Q246" i="1" l="1"/>
  <c r="AR245" i="1" l="1"/>
  <c r="AR244" i="1" l="1"/>
  <c r="AM245" i="1" l="1"/>
  <c r="AM244" i="1" l="1"/>
  <c r="AO245" i="1" l="1"/>
  <c r="AP245" i="1" s="1"/>
  <c r="AQ245" i="1" s="1"/>
  <c r="AD245" i="1"/>
  <c r="AE245" i="1"/>
  <c r="AF245" i="1"/>
  <c r="AG245" i="1"/>
  <c r="Z245" i="1"/>
  <c r="V245" i="1"/>
  <c r="L245" i="1"/>
  <c r="M245" i="1" s="1"/>
  <c r="E245" i="1"/>
  <c r="AT245" i="1" s="1"/>
  <c r="AY245" i="1"/>
  <c r="BN245" i="1"/>
  <c r="BU245" i="1"/>
  <c r="BR245" i="1"/>
  <c r="G245" i="1" l="1"/>
  <c r="P245" i="1" s="1"/>
  <c r="Q245" i="1" s="1"/>
  <c r="BL245" i="1"/>
  <c r="AH245" i="1"/>
  <c r="BM245" i="1" s="1"/>
  <c r="BK245" i="1" l="1"/>
  <c r="K217" i="3" l="1"/>
  <c r="H217" i="3"/>
  <c r="M217" i="3" s="1"/>
  <c r="O217" i="3" s="1"/>
  <c r="E217" i="3"/>
  <c r="P217" i="3" l="1"/>
  <c r="J225" i="35"/>
  <c r="G225" i="35"/>
  <c r="L225" i="35" l="1"/>
  <c r="K232" i="36"/>
  <c r="K231" i="36"/>
  <c r="K230" i="36"/>
  <c r="J233" i="36"/>
  <c r="G233" i="36"/>
  <c r="K226" i="36"/>
  <c r="E20" i="28"/>
  <c r="D20" i="28"/>
  <c r="D20" i="45"/>
  <c r="C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V20" i="45" l="1"/>
  <c r="L233" i="36"/>
  <c r="J224" i="35"/>
  <c r="G224" i="35"/>
  <c r="L224" i="35" l="1"/>
  <c r="K215" i="3" l="1"/>
  <c r="K216" i="3"/>
  <c r="H215" i="3"/>
  <c r="H216" i="3"/>
  <c r="E215" i="3"/>
  <c r="E216" i="3"/>
  <c r="M215" i="3" l="1"/>
  <c r="O215" i="3" s="1"/>
  <c r="P215" i="3" s="1"/>
  <c r="M216" i="3"/>
  <c r="O216" i="3" s="1"/>
  <c r="P216" i="3" s="1"/>
  <c r="BU244" i="1" l="1"/>
  <c r="BR244" i="1"/>
  <c r="BN244" i="1"/>
  <c r="AY244" i="1"/>
  <c r="AO244" i="1"/>
  <c r="AP244" i="1" s="1"/>
  <c r="AD244" i="1"/>
  <c r="AE244" i="1"/>
  <c r="AF244" i="1"/>
  <c r="AG244" i="1"/>
  <c r="Z244" i="1"/>
  <c r="V244" i="1"/>
  <c r="L243" i="1"/>
  <c r="M243" i="1" s="1"/>
  <c r="L244" i="1"/>
  <c r="M244" i="1" s="1"/>
  <c r="E243" i="1"/>
  <c r="G243" i="1" s="1"/>
  <c r="P243" i="1" s="1"/>
  <c r="Q243" i="1" s="1"/>
  <c r="E244" i="1"/>
  <c r="AT244" i="1" s="1"/>
  <c r="V243" i="1"/>
  <c r="Z243" i="1"/>
  <c r="AD243" i="1"/>
  <c r="AE243" i="1"/>
  <c r="AF243" i="1"/>
  <c r="AG243" i="1"/>
  <c r="AM243" i="1"/>
  <c r="AO243" i="1" s="1"/>
  <c r="AP243" i="1" s="1"/>
  <c r="AR243" i="1"/>
  <c r="AY243" i="1"/>
  <c r="BR243" i="1"/>
  <c r="BU243" i="1"/>
  <c r="AH244" i="1" l="1"/>
  <c r="BK244" i="1" s="1"/>
  <c r="G244" i="1"/>
  <c r="P244" i="1" s="1"/>
  <c r="Q244" i="1" s="1"/>
  <c r="AQ243" i="1"/>
  <c r="AT243" i="1"/>
  <c r="BL243" i="1"/>
  <c r="BL244" i="1"/>
  <c r="AQ244" i="1"/>
  <c r="AH243" i="1"/>
  <c r="BK243" i="1" s="1"/>
  <c r="BN243" i="1"/>
  <c r="BM244" i="1" l="1"/>
  <c r="BM243" i="1"/>
  <c r="J232" i="36" l="1"/>
  <c r="G232" i="36"/>
  <c r="J223" i="35"/>
  <c r="G223" i="35"/>
  <c r="J231" i="36"/>
  <c r="G231" i="36"/>
  <c r="G222" i="35"/>
  <c r="J222" i="35"/>
  <c r="L231" i="36" l="1"/>
  <c r="L232" i="36"/>
  <c r="L223" i="35"/>
  <c r="L222" i="35"/>
  <c r="AR242" i="1" l="1"/>
  <c r="AR241" i="1"/>
  <c r="AR240" i="1"/>
  <c r="AM242" i="1"/>
  <c r="AM241" i="1"/>
  <c r="J230" i="36" l="1"/>
  <c r="G230" i="36"/>
  <c r="J221" i="35"/>
  <c r="G221" i="35"/>
  <c r="J220" i="35"/>
  <c r="G220" i="35"/>
  <c r="J219" i="35"/>
  <c r="G219" i="35"/>
  <c r="K218" i="35"/>
  <c r="J218" i="35"/>
  <c r="G218" i="35"/>
  <c r="J217" i="35"/>
  <c r="G217" i="35"/>
  <c r="L217" i="35" s="1"/>
  <c r="K216" i="35"/>
  <c r="J216" i="35"/>
  <c r="G216" i="35"/>
  <c r="K215" i="35"/>
  <c r="J215" i="35"/>
  <c r="G215" i="35"/>
  <c r="K214" i="35"/>
  <c r="K29" i="35" s="1"/>
  <c r="J214" i="35"/>
  <c r="G214" i="35"/>
  <c r="G29" i="35" s="1"/>
  <c r="K213" i="35"/>
  <c r="J213" i="35"/>
  <c r="G213" i="35"/>
  <c r="J212" i="35"/>
  <c r="G212" i="35"/>
  <c r="K211" i="35"/>
  <c r="J211" i="35"/>
  <c r="G211" i="35"/>
  <c r="K210" i="35"/>
  <c r="J210" i="35"/>
  <c r="G210" i="35"/>
  <c r="J209" i="35"/>
  <c r="G209" i="35"/>
  <c r="J208" i="35"/>
  <c r="G208" i="35"/>
  <c r="J207" i="35"/>
  <c r="G207" i="35"/>
  <c r="J206" i="35"/>
  <c r="G206" i="35"/>
  <c r="J205" i="35"/>
  <c r="G205" i="35"/>
  <c r="J204" i="35"/>
  <c r="G204" i="35"/>
  <c r="J203" i="35"/>
  <c r="G203" i="35"/>
  <c r="J29" i="35"/>
  <c r="I29" i="35"/>
  <c r="H29" i="35"/>
  <c r="F29" i="35"/>
  <c r="E29" i="35"/>
  <c r="D29" i="35"/>
  <c r="C29" i="35"/>
  <c r="L214" i="35" l="1"/>
  <c r="L29" i="35" s="1"/>
  <c r="L213" i="35"/>
  <c r="L208" i="35"/>
  <c r="L220" i="35"/>
  <c r="L215" i="35"/>
  <c r="L219" i="35"/>
  <c r="L204" i="35"/>
  <c r="L205" i="35"/>
  <c r="L218" i="35"/>
  <c r="L206" i="35"/>
  <c r="L210" i="35"/>
  <c r="L203" i="35"/>
  <c r="L209" i="35"/>
  <c r="L211" i="35"/>
  <c r="L207" i="35"/>
  <c r="L212" i="35"/>
  <c r="L216" i="35"/>
  <c r="L230" i="36"/>
  <c r="L221" i="35"/>
  <c r="L214" i="3" l="1"/>
  <c r="K214" i="3"/>
  <c r="H214" i="3"/>
  <c r="E214" i="3"/>
  <c r="L213" i="3"/>
  <c r="K213" i="3"/>
  <c r="H213" i="3"/>
  <c r="E213" i="3"/>
  <c r="L212" i="3"/>
  <c r="K212" i="3"/>
  <c r="H212" i="3"/>
  <c r="E212" i="3"/>
  <c r="L211" i="3"/>
  <c r="K211" i="3"/>
  <c r="H211" i="3"/>
  <c r="E211" i="3"/>
  <c r="L210" i="3"/>
  <c r="K210" i="3"/>
  <c r="H210" i="3"/>
  <c r="E210" i="3"/>
  <c r="L209" i="3"/>
  <c r="K209" i="3"/>
  <c r="H209" i="3"/>
  <c r="E209" i="3"/>
  <c r="L208" i="3"/>
  <c r="K208" i="3"/>
  <c r="H208" i="3"/>
  <c r="E208" i="3"/>
  <c r="L207" i="3"/>
  <c r="K207" i="3"/>
  <c r="H207" i="3"/>
  <c r="E207" i="3"/>
  <c r="L206" i="3"/>
  <c r="L22" i="3" s="1"/>
  <c r="K206" i="3"/>
  <c r="K22" i="3" s="1"/>
  <c r="H206" i="3"/>
  <c r="H22" i="3" s="1"/>
  <c r="E206" i="3"/>
  <c r="L205" i="3"/>
  <c r="K205" i="3"/>
  <c r="H205" i="3"/>
  <c r="E205" i="3"/>
  <c r="L204" i="3"/>
  <c r="K204" i="3"/>
  <c r="H204" i="3"/>
  <c r="E204" i="3"/>
  <c r="L203" i="3"/>
  <c r="K203" i="3"/>
  <c r="H203" i="3"/>
  <c r="E203" i="3"/>
  <c r="L202" i="3"/>
  <c r="K202" i="3"/>
  <c r="H202" i="3"/>
  <c r="E202" i="3"/>
  <c r="L201" i="3"/>
  <c r="K201" i="3"/>
  <c r="H201" i="3"/>
  <c r="E201" i="3"/>
  <c r="L200" i="3"/>
  <c r="K200" i="3"/>
  <c r="H200" i="3"/>
  <c r="E200" i="3"/>
  <c r="L199" i="3"/>
  <c r="K199" i="3"/>
  <c r="H199" i="3"/>
  <c r="E199" i="3"/>
  <c r="L198" i="3"/>
  <c r="K198" i="3"/>
  <c r="H198" i="3"/>
  <c r="E198" i="3"/>
  <c r="L197" i="3"/>
  <c r="K197" i="3"/>
  <c r="H197" i="3"/>
  <c r="E197" i="3"/>
  <c r="L196" i="3"/>
  <c r="K196" i="3"/>
  <c r="H196" i="3"/>
  <c r="E196" i="3"/>
  <c r="L195" i="3"/>
  <c r="K195" i="3"/>
  <c r="H195" i="3"/>
  <c r="E195" i="3"/>
  <c r="N22" i="3"/>
  <c r="J22" i="3"/>
  <c r="I22" i="3"/>
  <c r="G22" i="3"/>
  <c r="F22" i="3"/>
  <c r="D22" i="3"/>
  <c r="C22" i="3"/>
  <c r="O11" i="3"/>
  <c r="P11" i="3" s="1"/>
  <c r="E10" i="3"/>
  <c r="K9" i="3"/>
  <c r="H9" i="3"/>
  <c r="E9" i="3"/>
  <c r="BU242" i="1"/>
  <c r="BR242" i="1"/>
  <c r="BL242" i="1"/>
  <c r="AY242" i="1"/>
  <c r="AO242" i="1"/>
  <c r="AP242" i="1" s="1"/>
  <c r="AQ242" i="1" s="1"/>
  <c r="AG242" i="1"/>
  <c r="AF242" i="1"/>
  <c r="AE242" i="1"/>
  <c r="AD242" i="1"/>
  <c r="Z242" i="1"/>
  <c r="V242" i="1"/>
  <c r="L242" i="1"/>
  <c r="M242" i="1" s="1"/>
  <c r="E242" i="1"/>
  <c r="G242" i="1" s="1"/>
  <c r="P242" i="1" s="1"/>
  <c r="Q242" i="1" s="1"/>
  <c r="BU241" i="1"/>
  <c r="BR241" i="1"/>
  <c r="AY241" i="1"/>
  <c r="BN241" i="1"/>
  <c r="AO241" i="1"/>
  <c r="AP241" i="1" s="1"/>
  <c r="AG241" i="1"/>
  <c r="AF241" i="1"/>
  <c r="AE241" i="1"/>
  <c r="AD241" i="1"/>
  <c r="Z241" i="1"/>
  <c r="V241" i="1"/>
  <c r="L241" i="1"/>
  <c r="M241" i="1" s="1"/>
  <c r="E241" i="1"/>
  <c r="AT241" i="1" s="1"/>
  <c r="BU240" i="1"/>
  <c r="BR240" i="1"/>
  <c r="AY240" i="1"/>
  <c r="AM240" i="1"/>
  <c r="AO240" i="1" s="1"/>
  <c r="AP240" i="1" s="1"/>
  <c r="AQ240" i="1" s="1"/>
  <c r="AG240" i="1"/>
  <c r="AF240" i="1"/>
  <c r="AE240" i="1"/>
  <c r="AD240" i="1"/>
  <c r="Z240" i="1"/>
  <c r="V240" i="1"/>
  <c r="L240" i="1"/>
  <c r="M240" i="1" s="1"/>
  <c r="E240" i="1"/>
  <c r="AT240" i="1" s="1"/>
  <c r="BU239" i="1"/>
  <c r="BR239" i="1"/>
  <c r="AY239" i="1"/>
  <c r="AR239" i="1"/>
  <c r="AM239" i="1"/>
  <c r="AO239" i="1" s="1"/>
  <c r="AP239" i="1" s="1"/>
  <c r="AG239" i="1"/>
  <c r="AF239" i="1"/>
  <c r="AE239" i="1"/>
  <c r="AD239" i="1"/>
  <c r="Z239" i="1"/>
  <c r="V239" i="1"/>
  <c r="L239" i="1"/>
  <c r="M239" i="1" s="1"/>
  <c r="E239" i="1"/>
  <c r="G239" i="1" s="1"/>
  <c r="P239" i="1" s="1"/>
  <c r="Q239" i="1" s="1"/>
  <c r="BU238" i="1"/>
  <c r="BR238" i="1"/>
  <c r="AY238" i="1"/>
  <c r="AR238" i="1"/>
  <c r="AM238" i="1"/>
  <c r="AO238" i="1" s="1"/>
  <c r="AP238" i="1" s="1"/>
  <c r="AG238" i="1"/>
  <c r="AF238" i="1"/>
  <c r="AE238" i="1"/>
  <c r="AD238" i="1"/>
  <c r="Z238" i="1"/>
  <c r="V238" i="1"/>
  <c r="L238" i="1"/>
  <c r="M238" i="1" s="1"/>
  <c r="E238" i="1"/>
  <c r="G238" i="1" s="1"/>
  <c r="P238" i="1" s="1"/>
  <c r="Q238" i="1" s="1"/>
  <c r="BU237" i="1"/>
  <c r="BR237" i="1"/>
  <c r="AY237" i="1"/>
  <c r="AR237" i="1"/>
  <c r="AM237" i="1"/>
  <c r="AG237" i="1"/>
  <c r="AF237" i="1"/>
  <c r="AE237" i="1"/>
  <c r="AD237" i="1"/>
  <c r="Z237" i="1"/>
  <c r="V237" i="1"/>
  <c r="L237" i="1"/>
  <c r="M237" i="1" s="1"/>
  <c r="E237" i="1"/>
  <c r="G237" i="1" s="1"/>
  <c r="P237" i="1" s="1"/>
  <c r="Q237" i="1" s="1"/>
  <c r="BU236" i="1"/>
  <c r="BR236" i="1"/>
  <c r="AY236" i="1"/>
  <c r="AR236" i="1"/>
  <c r="AM236" i="1"/>
  <c r="AO236" i="1" s="1"/>
  <c r="AP236" i="1" s="1"/>
  <c r="AG236" i="1"/>
  <c r="AF236" i="1"/>
  <c r="AE236" i="1"/>
  <c r="AD236" i="1"/>
  <c r="Z236" i="1"/>
  <c r="V236" i="1"/>
  <c r="L236" i="1"/>
  <c r="M236" i="1" s="1"/>
  <c r="E236" i="1"/>
  <c r="G236" i="1" s="1"/>
  <c r="P236" i="1" s="1"/>
  <c r="Q236" i="1" s="1"/>
  <c r="BU235" i="1"/>
  <c r="BR235" i="1"/>
  <c r="AY235" i="1"/>
  <c r="AR235" i="1"/>
  <c r="AM235" i="1"/>
  <c r="AO235" i="1" s="1"/>
  <c r="AP235" i="1" s="1"/>
  <c r="AG235" i="1"/>
  <c r="AF235" i="1"/>
  <c r="AE235" i="1"/>
  <c r="AD235" i="1"/>
  <c r="Z235" i="1"/>
  <c r="V235" i="1"/>
  <c r="L235" i="1"/>
  <c r="M235" i="1" s="1"/>
  <c r="E235" i="1"/>
  <c r="G235" i="1" s="1"/>
  <c r="P235" i="1" s="1"/>
  <c r="Q235" i="1" s="1"/>
  <c r="BU234" i="1"/>
  <c r="BR234" i="1"/>
  <c r="AY234" i="1"/>
  <c r="AR234" i="1"/>
  <c r="AM234" i="1"/>
  <c r="AO234" i="1" s="1"/>
  <c r="AG234" i="1"/>
  <c r="AF234" i="1"/>
  <c r="AE234" i="1"/>
  <c r="AD234" i="1"/>
  <c r="Z234" i="1"/>
  <c r="V234" i="1"/>
  <c r="L234" i="1"/>
  <c r="M234" i="1" s="1"/>
  <c r="E234" i="1"/>
  <c r="BU233" i="1"/>
  <c r="BR233" i="1"/>
  <c r="AY233" i="1"/>
  <c r="AR233" i="1"/>
  <c r="AM233" i="1"/>
  <c r="AO233" i="1" s="1"/>
  <c r="AP233" i="1" s="1"/>
  <c r="AG233" i="1"/>
  <c r="AF233" i="1"/>
  <c r="AE233" i="1"/>
  <c r="AD233" i="1"/>
  <c r="Z233" i="1"/>
  <c r="V233" i="1"/>
  <c r="L233" i="1"/>
  <c r="M233" i="1" s="1"/>
  <c r="E233" i="1"/>
  <c r="BU232" i="1"/>
  <c r="BR232" i="1"/>
  <c r="AY232" i="1"/>
  <c r="AR232" i="1"/>
  <c r="AM232" i="1"/>
  <c r="AG232" i="1"/>
  <c r="AF232" i="1"/>
  <c r="AE232" i="1"/>
  <c r="AD232" i="1"/>
  <c r="Z232" i="1"/>
  <c r="V232" i="1"/>
  <c r="L232" i="1"/>
  <c r="M232" i="1" s="1"/>
  <c r="E232" i="1"/>
  <c r="G232" i="1" s="1"/>
  <c r="P232" i="1" s="1"/>
  <c r="Q232" i="1" s="1"/>
  <c r="BU231" i="1"/>
  <c r="BR231" i="1"/>
  <c r="AY231" i="1"/>
  <c r="AR231" i="1"/>
  <c r="AM231" i="1"/>
  <c r="AO231" i="1" s="1"/>
  <c r="AP231" i="1" s="1"/>
  <c r="AG231" i="1"/>
  <c r="AF231" i="1"/>
  <c r="AE231" i="1"/>
  <c r="AD231" i="1"/>
  <c r="Z231" i="1"/>
  <c r="V231" i="1"/>
  <c r="L231" i="1"/>
  <c r="M231" i="1" s="1"/>
  <c r="E231" i="1"/>
  <c r="G231" i="1" s="1"/>
  <c r="P231" i="1" s="1"/>
  <c r="Q231" i="1" s="1"/>
  <c r="BU230" i="1"/>
  <c r="BR230" i="1"/>
  <c r="AY230" i="1"/>
  <c r="AR230" i="1"/>
  <c r="AM230" i="1"/>
  <c r="AO230" i="1" s="1"/>
  <c r="AP230" i="1" s="1"/>
  <c r="AG230" i="1"/>
  <c r="AF230" i="1"/>
  <c r="AE230" i="1"/>
  <c r="AD230" i="1"/>
  <c r="Z230" i="1"/>
  <c r="V230" i="1"/>
  <c r="L230" i="1"/>
  <c r="M230" i="1" s="1"/>
  <c r="E230" i="1"/>
  <c r="G230" i="1" s="1"/>
  <c r="P230" i="1" s="1"/>
  <c r="Q230" i="1" s="1"/>
  <c r="BU229" i="1"/>
  <c r="BR229" i="1"/>
  <c r="AY229" i="1"/>
  <c r="AR229" i="1"/>
  <c r="AM229" i="1"/>
  <c r="AO229" i="1" s="1"/>
  <c r="AP229" i="1" s="1"/>
  <c r="AG229" i="1"/>
  <c r="AF229" i="1"/>
  <c r="AE229" i="1"/>
  <c r="AD229" i="1"/>
  <c r="Z229" i="1"/>
  <c r="V229" i="1"/>
  <c r="L229" i="1"/>
  <c r="M229" i="1" s="1"/>
  <c r="E229" i="1"/>
  <c r="G229" i="1" s="1"/>
  <c r="P229" i="1" s="1"/>
  <c r="Q229" i="1" s="1"/>
  <c r="BU228" i="1"/>
  <c r="BR228" i="1"/>
  <c r="AY228" i="1"/>
  <c r="AR228" i="1"/>
  <c r="AM228" i="1"/>
  <c r="AG228" i="1"/>
  <c r="AF228" i="1"/>
  <c r="AE228" i="1"/>
  <c r="AD228" i="1"/>
  <c r="Z228" i="1"/>
  <c r="V228" i="1"/>
  <c r="L228" i="1"/>
  <c r="M228" i="1" s="1"/>
  <c r="E228" i="1"/>
  <c r="G228" i="1" s="1"/>
  <c r="P228" i="1" s="1"/>
  <c r="Q228" i="1" s="1"/>
  <c r="BU227" i="1"/>
  <c r="BR227" i="1"/>
  <c r="AY227" i="1"/>
  <c r="AR227" i="1"/>
  <c r="AM227" i="1"/>
  <c r="AO227" i="1" s="1"/>
  <c r="AP227" i="1" s="1"/>
  <c r="AG227" i="1"/>
  <c r="AF227" i="1"/>
  <c r="AE227" i="1"/>
  <c r="AD227" i="1"/>
  <c r="Z227" i="1"/>
  <c r="V227" i="1"/>
  <c r="L227" i="1"/>
  <c r="M227" i="1" s="1"/>
  <c r="E227" i="1"/>
  <c r="BU226" i="1"/>
  <c r="BR226" i="1"/>
  <c r="AY226" i="1"/>
  <c r="AR226" i="1"/>
  <c r="AM226" i="1"/>
  <c r="AG226" i="1"/>
  <c r="AF226" i="1"/>
  <c r="AE226" i="1"/>
  <c r="AD226" i="1"/>
  <c r="Z226" i="1"/>
  <c r="V226" i="1"/>
  <c r="L226" i="1"/>
  <c r="M226" i="1" s="1"/>
  <c r="E226" i="1"/>
  <c r="G226" i="1" s="1"/>
  <c r="P226" i="1" s="1"/>
  <c r="Q226" i="1" s="1"/>
  <c r="BU225" i="1"/>
  <c r="BR225" i="1"/>
  <c r="AY225" i="1"/>
  <c r="AR225" i="1"/>
  <c r="AM225" i="1"/>
  <c r="AG225" i="1"/>
  <c r="AF225" i="1"/>
  <c r="AE225" i="1"/>
  <c r="AD225" i="1"/>
  <c r="Z225" i="1"/>
  <c r="V225" i="1"/>
  <c r="L225" i="1"/>
  <c r="M225" i="1" s="1"/>
  <c r="E225" i="1"/>
  <c r="BU224" i="1"/>
  <c r="BR224" i="1"/>
  <c r="AY224" i="1"/>
  <c r="AR224" i="1"/>
  <c r="AM224" i="1"/>
  <c r="AO224" i="1" s="1"/>
  <c r="AP224" i="1" s="1"/>
  <c r="AG224" i="1"/>
  <c r="AF224" i="1"/>
  <c r="AE224" i="1"/>
  <c r="AD224" i="1"/>
  <c r="Z224" i="1"/>
  <c r="V224" i="1"/>
  <c r="L224" i="1"/>
  <c r="M224" i="1" s="1"/>
  <c r="E224" i="1"/>
  <c r="BU223" i="1"/>
  <c r="BR223" i="1"/>
  <c r="AY223" i="1"/>
  <c r="AR223" i="1"/>
  <c r="AM223" i="1"/>
  <c r="AO223" i="1" s="1"/>
  <c r="AP223" i="1" s="1"/>
  <c r="AG223" i="1"/>
  <c r="AF223" i="1"/>
  <c r="AE223" i="1"/>
  <c r="AD223" i="1"/>
  <c r="Z223" i="1"/>
  <c r="V223" i="1"/>
  <c r="L223" i="1"/>
  <c r="M223" i="1" s="1"/>
  <c r="E223" i="1"/>
  <c r="G223" i="1" s="1"/>
  <c r="P223" i="1" s="1"/>
  <c r="Q223" i="1" s="1"/>
  <c r="BN237" i="1" l="1"/>
  <c r="M200" i="3"/>
  <c r="O200" i="3" s="1"/>
  <c r="P200" i="3" s="1"/>
  <c r="M208" i="3"/>
  <c r="O208" i="3" s="1"/>
  <c r="P208" i="3" s="1"/>
  <c r="AT227" i="1"/>
  <c r="AH236" i="1"/>
  <c r="BM236" i="1" s="1"/>
  <c r="M214" i="3"/>
  <c r="O214" i="3" s="1"/>
  <c r="P214" i="3" s="1"/>
  <c r="G227" i="1"/>
  <c r="P227" i="1" s="1"/>
  <c r="Q227" i="1" s="1"/>
  <c r="M197" i="3"/>
  <c r="O197" i="3" s="1"/>
  <c r="P197" i="3" s="1"/>
  <c r="BN228" i="1"/>
  <c r="M209" i="3"/>
  <c r="O209" i="3" s="1"/>
  <c r="P209" i="3" s="1"/>
  <c r="M213" i="3"/>
  <c r="O213" i="3" s="1"/>
  <c r="P213" i="3" s="1"/>
  <c r="M205" i="3"/>
  <c r="O205" i="3" s="1"/>
  <c r="P205" i="3" s="1"/>
  <c r="M198" i="3"/>
  <c r="O198" i="3" s="1"/>
  <c r="P198" i="3" s="1"/>
  <c r="M201" i="3"/>
  <c r="O201" i="3" s="1"/>
  <c r="P201" i="3" s="1"/>
  <c r="M196" i="3"/>
  <c r="O196" i="3" s="1"/>
  <c r="P196" i="3" s="1"/>
  <c r="M199" i="3"/>
  <c r="O199" i="3" s="1"/>
  <c r="P199" i="3" s="1"/>
  <c r="M203" i="3"/>
  <c r="O203" i="3" s="1"/>
  <c r="P203" i="3" s="1"/>
  <c r="M210" i="3"/>
  <c r="O210" i="3" s="1"/>
  <c r="P210" i="3" s="1"/>
  <c r="M206" i="3"/>
  <c r="M9" i="3"/>
  <c r="M212" i="3"/>
  <c r="O212" i="3" s="1"/>
  <c r="P212" i="3" s="1"/>
  <c r="M204" i="3"/>
  <c r="O204" i="3" s="1"/>
  <c r="P204" i="3" s="1"/>
  <c r="M211" i="3"/>
  <c r="O211" i="3" s="1"/>
  <c r="P211" i="3" s="1"/>
  <c r="M195" i="3"/>
  <c r="O195" i="3" s="1"/>
  <c r="P195" i="3" s="1"/>
  <c r="E22" i="3"/>
  <c r="M207" i="3"/>
  <c r="O207" i="3" s="1"/>
  <c r="P207" i="3" s="1"/>
  <c r="M202" i="3"/>
  <c r="O202" i="3" s="1"/>
  <c r="P202" i="3" s="1"/>
  <c r="AH224" i="1"/>
  <c r="BM224" i="1" s="1"/>
  <c r="BL231" i="1"/>
  <c r="AT225" i="1"/>
  <c r="BL234" i="1"/>
  <c r="AH229" i="1"/>
  <c r="BM229" i="1" s="1"/>
  <c r="AH232" i="1"/>
  <c r="BK232" i="1" s="1"/>
  <c r="BL226" i="1"/>
  <c r="AT224" i="1"/>
  <c r="AT233" i="1"/>
  <c r="G234" i="1"/>
  <c r="P234" i="1" s="1"/>
  <c r="Q234" i="1" s="1"/>
  <c r="BL232" i="1"/>
  <c r="AQ236" i="1"/>
  <c r="AO226" i="1"/>
  <c r="AP226" i="1" s="1"/>
  <c r="AQ226" i="1" s="1"/>
  <c r="BL240" i="1"/>
  <c r="AQ231" i="1"/>
  <c r="AH228" i="1"/>
  <c r="BK228" i="1" s="1"/>
  <c r="AH235" i="1"/>
  <c r="BK235" i="1" s="1"/>
  <c r="AH225" i="1"/>
  <c r="BK225" i="1" s="1"/>
  <c r="AH238" i="1"/>
  <c r="BK238" i="1" s="1"/>
  <c r="AH226" i="1"/>
  <c r="BM226" i="1" s="1"/>
  <c r="AH230" i="1"/>
  <c r="BM230" i="1" s="1"/>
  <c r="AH231" i="1"/>
  <c r="BM231" i="1" s="1"/>
  <c r="G225" i="1"/>
  <c r="P225" i="1" s="1"/>
  <c r="Q225" i="1" s="1"/>
  <c r="AT223" i="1"/>
  <c r="G224" i="1"/>
  <c r="P224" i="1" s="1"/>
  <c r="Q224" i="1" s="1"/>
  <c r="BN227" i="1"/>
  <c r="G233" i="1"/>
  <c r="P233" i="1" s="1"/>
  <c r="Q233" i="1" s="1"/>
  <c r="BL227" i="1"/>
  <c r="BN236" i="1"/>
  <c r="BN224" i="1"/>
  <c r="BL230" i="1"/>
  <c r="BL236" i="1"/>
  <c r="BL233" i="1"/>
  <c r="BL224" i="1"/>
  <c r="BN238" i="1"/>
  <c r="BL239" i="1"/>
  <c r="BN225" i="1"/>
  <c r="AT230" i="1"/>
  <c r="BN240" i="1"/>
  <c r="G240" i="1"/>
  <c r="P240" i="1" s="1"/>
  <c r="Q240" i="1" s="1"/>
  <c r="AP234" i="1"/>
  <c r="AP164" i="1"/>
  <c r="AQ164" i="1" s="1"/>
  <c r="BN232" i="1"/>
  <c r="AO232" i="1"/>
  <c r="AP232" i="1" s="1"/>
  <c r="AQ232" i="1" s="1"/>
  <c r="BL228" i="1"/>
  <c r="AH234" i="1"/>
  <c r="AH223" i="1"/>
  <c r="BK223" i="1" s="1"/>
  <c r="BN230" i="1"/>
  <c r="AQ239" i="1"/>
  <c r="AH233" i="1"/>
  <c r="BM233" i="1" s="1"/>
  <c r="BN231" i="1"/>
  <c r="BL223" i="1"/>
  <c r="BL225" i="1"/>
  <c r="AT235" i="1"/>
  <c r="BL238" i="1"/>
  <c r="AQ235" i="1"/>
  <c r="BL237" i="1"/>
  <c r="AH241" i="1"/>
  <c r="BK241" i="1" s="1"/>
  <c r="AH240" i="1"/>
  <c r="BK240" i="1" s="1"/>
  <c r="AQ223" i="1"/>
  <c r="AH227" i="1"/>
  <c r="BM227" i="1" s="1"/>
  <c r="AH239" i="1"/>
  <c r="BM239" i="1" s="1"/>
  <c r="G241" i="1"/>
  <c r="P241" i="1" s="1"/>
  <c r="Q241" i="1" s="1"/>
  <c r="BL235" i="1"/>
  <c r="AQ233" i="1"/>
  <c r="BN234" i="1"/>
  <c r="AH237" i="1"/>
  <c r="BM237" i="1" s="1"/>
  <c r="AH242" i="1"/>
  <c r="BM242" i="1" s="1"/>
  <c r="AQ229" i="1"/>
  <c r="AQ227" i="1"/>
  <c r="AQ224" i="1"/>
  <c r="BN235" i="1"/>
  <c r="AT237" i="1"/>
  <c r="BL241" i="1"/>
  <c r="AT234" i="1"/>
  <c r="AQ230" i="1"/>
  <c r="BN229" i="1"/>
  <c r="AT231" i="1"/>
  <c r="BN226" i="1"/>
  <c r="AT228" i="1"/>
  <c r="BN242" i="1"/>
  <c r="BN223" i="1"/>
  <c r="BL229" i="1"/>
  <c r="AO237" i="1"/>
  <c r="AP237" i="1" s="1"/>
  <c r="AQ237" i="1" s="1"/>
  <c r="BN239" i="1"/>
  <c r="AT238" i="1"/>
  <c r="BN233" i="1"/>
  <c r="AQ241" i="1"/>
  <c r="AO228" i="1"/>
  <c r="AP228" i="1" s="1"/>
  <c r="AQ228" i="1" s="1"/>
  <c r="AT232" i="1"/>
  <c r="AQ238" i="1"/>
  <c r="AO225" i="1"/>
  <c r="AP225" i="1" s="1"/>
  <c r="AQ225" i="1" s="1"/>
  <c r="AT229" i="1"/>
  <c r="AT226" i="1"/>
  <c r="AT242" i="1"/>
  <c r="AT239" i="1"/>
  <c r="AT236" i="1"/>
  <c r="BM234" i="1" l="1"/>
  <c r="BK234" i="1"/>
  <c r="BK236" i="1"/>
  <c r="M22" i="3"/>
  <c r="O206" i="3"/>
  <c r="BK224" i="1"/>
  <c r="BM228" i="1"/>
  <c r="BK229" i="1"/>
  <c r="BK230" i="1"/>
  <c r="BM232" i="1"/>
  <c r="BK226" i="1"/>
  <c r="BM225" i="1"/>
  <c r="BM238" i="1"/>
  <c r="BM223" i="1"/>
  <c r="BK231" i="1"/>
  <c r="BK227" i="1"/>
  <c r="BK239" i="1"/>
  <c r="BM235" i="1"/>
  <c r="AQ234" i="1"/>
  <c r="BM241" i="1"/>
  <c r="BK237" i="1"/>
  <c r="BK233" i="1"/>
  <c r="BM240" i="1"/>
  <c r="BK242" i="1"/>
  <c r="O22" i="3" l="1"/>
  <c r="P206" i="3"/>
  <c r="P22" i="3" s="1"/>
  <c r="O42" i="68"/>
  <c r="V90" i="45" l="1"/>
  <c r="E19" i="28" l="1"/>
  <c r="D19" i="28"/>
  <c r="C19" i="28"/>
  <c r="K227" i="36" l="1"/>
  <c r="J228" i="36"/>
  <c r="J229" i="36"/>
  <c r="G228" i="36"/>
  <c r="G229" i="36"/>
  <c r="L229" i="36" l="1"/>
  <c r="L228" i="36"/>
  <c r="W50" i="39" l="1"/>
  <c r="U50" i="39"/>
  <c r="U54" i="39"/>
  <c r="U56" i="39"/>
  <c r="L56" i="39"/>
  <c r="L54" i="39"/>
  <c r="L50" i="39"/>
  <c r="L52" i="39"/>
  <c r="K57" i="39"/>
  <c r="K55" i="39"/>
  <c r="K53" i="39"/>
  <c r="K51" i="39"/>
  <c r="J56" i="39"/>
  <c r="J54" i="39"/>
  <c r="I57" i="39"/>
  <c r="I55" i="39"/>
  <c r="I53" i="39"/>
  <c r="I51" i="39"/>
  <c r="H57" i="39"/>
  <c r="H55" i="39"/>
  <c r="H53" i="39"/>
  <c r="H51" i="39"/>
  <c r="G56" i="39"/>
  <c r="G54" i="39"/>
  <c r="F57" i="39"/>
  <c r="E57" i="39"/>
  <c r="D57" i="39"/>
  <c r="C57" i="39"/>
  <c r="C55" i="39"/>
  <c r="D55" i="39"/>
  <c r="E55" i="39"/>
  <c r="F55" i="39"/>
  <c r="C53" i="39"/>
  <c r="D53" i="39"/>
  <c r="E53" i="39"/>
  <c r="F53" i="39"/>
  <c r="C51" i="39"/>
  <c r="D51" i="39"/>
  <c r="E51" i="39"/>
  <c r="F51" i="39"/>
  <c r="B57" i="39"/>
  <c r="V89" i="45" l="1"/>
  <c r="V88" i="45" l="1"/>
  <c r="J227" i="36" l="1"/>
  <c r="G227" i="36"/>
  <c r="L227" i="36" l="1"/>
  <c r="D17" i="44" l="1"/>
  <c r="E17" i="44"/>
  <c r="H17" i="44"/>
  <c r="G17" i="44"/>
  <c r="F17" i="44"/>
  <c r="V87" i="45" l="1"/>
  <c r="J226" i="36" l="1"/>
  <c r="G226" i="36"/>
  <c r="V86" i="45"/>
  <c r="L226" i="36" l="1"/>
  <c r="AH50" i="68"/>
  <c r="AA50" i="68"/>
  <c r="O50" i="68"/>
  <c r="H50" i="68"/>
  <c r="P50" i="68" l="1"/>
  <c r="R50" i="68" s="1"/>
  <c r="AI50" i="68"/>
  <c r="AK50" i="68" s="1"/>
  <c r="J225" i="36" l="1"/>
  <c r="G225" i="36"/>
  <c r="L225" i="36" l="1"/>
  <c r="V85" i="45"/>
  <c r="K223" i="36" l="1"/>
  <c r="K222" i="36"/>
  <c r="J224" i="36"/>
  <c r="G224" i="36"/>
  <c r="L224" i="36" l="1"/>
  <c r="V84" i="45" l="1"/>
  <c r="V83" i="45" l="1"/>
  <c r="G223" i="36" l="1"/>
  <c r="J223" i="36"/>
  <c r="L223" i="36" l="1"/>
  <c r="J222" i="36" l="1"/>
  <c r="G222" i="36"/>
  <c r="L222" i="36" l="1"/>
  <c r="D19" i="45" l="1"/>
  <c r="E19" i="45"/>
  <c r="F19" i="45"/>
  <c r="G19" i="45"/>
  <c r="H19" i="45"/>
  <c r="I19" i="45"/>
  <c r="J19" i="45"/>
  <c r="K19" i="45"/>
  <c r="L19" i="45"/>
  <c r="M19" i="45"/>
  <c r="N19" i="45"/>
  <c r="O19" i="45"/>
  <c r="P19" i="45"/>
  <c r="Q19" i="45"/>
  <c r="R19" i="45"/>
  <c r="S19" i="45"/>
  <c r="T19" i="45"/>
  <c r="U19" i="45"/>
  <c r="C19" i="45"/>
  <c r="V82" i="45"/>
  <c r="V81" i="45"/>
  <c r="V80" i="45"/>
  <c r="V79" i="45"/>
  <c r="V78" i="45"/>
  <c r="V77" i="45"/>
  <c r="AH49" i="68" l="1"/>
  <c r="AA49" i="68"/>
  <c r="O49" i="68"/>
  <c r="H49" i="68"/>
  <c r="AI49" i="68" l="1"/>
  <c r="AK49" i="68" s="1"/>
  <c r="P49" i="68"/>
  <c r="R49" i="68" s="1"/>
  <c r="J221" i="36" l="1"/>
  <c r="G221" i="36"/>
  <c r="L221" i="36" l="1"/>
  <c r="W56" i="39"/>
  <c r="Q56" i="39"/>
  <c r="K220" i="36" l="1"/>
  <c r="K219" i="36"/>
  <c r="K218" i="36"/>
  <c r="K217" i="36"/>
  <c r="K216" i="36"/>
  <c r="K213" i="36"/>
  <c r="G220" i="36" l="1"/>
  <c r="G219" i="36"/>
  <c r="J220" i="36"/>
  <c r="J219" i="36"/>
  <c r="L219" i="36" l="1"/>
  <c r="L220" i="36"/>
  <c r="AH48" i="68"/>
  <c r="AA48" i="68"/>
  <c r="AI48" i="68" l="1"/>
  <c r="AK48" i="68" s="1"/>
  <c r="O48" i="68"/>
  <c r="H48" i="68"/>
  <c r="P48" i="68" l="1"/>
  <c r="R48" i="68" s="1"/>
  <c r="AH47" i="68" l="1"/>
  <c r="AA47" i="68"/>
  <c r="O47" i="68"/>
  <c r="H47" i="68"/>
  <c r="AH45" i="68"/>
  <c r="AA45" i="68"/>
  <c r="O45" i="68"/>
  <c r="H45" i="68"/>
  <c r="AH44" i="68"/>
  <c r="AA44" i="68"/>
  <c r="O44" i="68"/>
  <c r="H44" i="68"/>
  <c r="AH43" i="68"/>
  <c r="AA43" i="68"/>
  <c r="O43" i="68"/>
  <c r="H43" i="68"/>
  <c r="AH42" i="68"/>
  <c r="AA42" i="68"/>
  <c r="H42" i="68"/>
  <c r="P42" i="68" s="1"/>
  <c r="AH40" i="68"/>
  <c r="AA40" i="68"/>
  <c r="O40" i="68"/>
  <c r="H40" i="68"/>
  <c r="AH39" i="68"/>
  <c r="AA39" i="68"/>
  <c r="O39" i="68"/>
  <c r="H39" i="68"/>
  <c r="AH38" i="68"/>
  <c r="AA38" i="68"/>
  <c r="O38" i="68"/>
  <c r="H38" i="68"/>
  <c r="AH37" i="68"/>
  <c r="AA37" i="68"/>
  <c r="O37" i="68"/>
  <c r="H37" i="68"/>
  <c r="AH35" i="68"/>
  <c r="AA35" i="68"/>
  <c r="O35" i="68"/>
  <c r="H35" i="68"/>
  <c r="AH34" i="68"/>
  <c r="AI34" i="68" s="1"/>
  <c r="AK34" i="68" s="1"/>
  <c r="AA34" i="68"/>
  <c r="O34" i="68"/>
  <c r="H34" i="68"/>
  <c r="AH33" i="68"/>
  <c r="AA33" i="68"/>
  <c r="O33" i="68"/>
  <c r="P33" i="68" s="1"/>
  <c r="R33" i="68" s="1"/>
  <c r="H33" i="68"/>
  <c r="AH32" i="68"/>
  <c r="AA32" i="68"/>
  <c r="O32" i="68"/>
  <c r="H32" i="68"/>
  <c r="AH30" i="68"/>
  <c r="AA30" i="68"/>
  <c r="O30" i="68"/>
  <c r="H30" i="68"/>
  <c r="AH29" i="68"/>
  <c r="AA29" i="68"/>
  <c r="O29" i="68"/>
  <c r="H29" i="68"/>
  <c r="AH28" i="68"/>
  <c r="AA28" i="68"/>
  <c r="O28" i="68"/>
  <c r="H28" i="68"/>
  <c r="AH27" i="68"/>
  <c r="AA27" i="68"/>
  <c r="O27" i="68"/>
  <c r="H27" i="68"/>
  <c r="AH25" i="68"/>
  <c r="AA25" i="68"/>
  <c r="O25" i="68"/>
  <c r="H25" i="68"/>
  <c r="AH24" i="68"/>
  <c r="AI24" i="68" s="1"/>
  <c r="AK24" i="68" s="1"/>
  <c r="AA24" i="68"/>
  <c r="O24" i="68"/>
  <c r="H24" i="68"/>
  <c r="AH23" i="68"/>
  <c r="AA23" i="68"/>
  <c r="O23" i="68"/>
  <c r="H23" i="68"/>
  <c r="AH22" i="68"/>
  <c r="AA22" i="68"/>
  <c r="O22" i="68"/>
  <c r="H22" i="68"/>
  <c r="AH20" i="68"/>
  <c r="AA20" i="68"/>
  <c r="O20" i="68"/>
  <c r="H20" i="68"/>
  <c r="AH19" i="68"/>
  <c r="AA19" i="68"/>
  <c r="O19" i="68"/>
  <c r="H19" i="68"/>
  <c r="AH18" i="68"/>
  <c r="AA18" i="68"/>
  <c r="O18" i="68"/>
  <c r="H18" i="68"/>
  <c r="AH17" i="68"/>
  <c r="AA17" i="68"/>
  <c r="O17" i="68"/>
  <c r="H17" i="68"/>
  <c r="AH15" i="68"/>
  <c r="AA15" i="68"/>
  <c r="O15" i="68"/>
  <c r="H15" i="68"/>
  <c r="AH14" i="68"/>
  <c r="AA14" i="68"/>
  <c r="O14" i="68"/>
  <c r="H14" i="68"/>
  <c r="AH13" i="68"/>
  <c r="AA13" i="68"/>
  <c r="O13" i="68"/>
  <c r="H13" i="68"/>
  <c r="AH12" i="68"/>
  <c r="AA12" i="68"/>
  <c r="O12" i="68"/>
  <c r="P12" i="68" s="1"/>
  <c r="R12" i="68" s="1"/>
  <c r="H12" i="68"/>
  <c r="AH10" i="68"/>
  <c r="AA10" i="68"/>
  <c r="O10" i="68"/>
  <c r="H10" i="68"/>
  <c r="AH9" i="68"/>
  <c r="AA9" i="68"/>
  <c r="O9" i="68"/>
  <c r="H9" i="68"/>
  <c r="AH8" i="68"/>
  <c r="AA8" i="68"/>
  <c r="O8" i="68"/>
  <c r="H8" i="68"/>
  <c r="AH7" i="68"/>
  <c r="AA7" i="68"/>
  <c r="O7" i="68"/>
  <c r="H7" i="68"/>
  <c r="P10" i="68" l="1"/>
  <c r="R10" i="68" s="1"/>
  <c r="AI15" i="68"/>
  <c r="AK15" i="68" s="1"/>
  <c r="AI20" i="68"/>
  <c r="AK20" i="68" s="1"/>
  <c r="P30" i="68"/>
  <c r="R30" i="68" s="1"/>
  <c r="P22" i="68"/>
  <c r="R22" i="68" s="1"/>
  <c r="P28" i="68"/>
  <c r="R28" i="68" s="1"/>
  <c r="AI25" i="68"/>
  <c r="AK25" i="68" s="1"/>
  <c r="P19" i="68"/>
  <c r="R19" i="68" s="1"/>
  <c r="AI33" i="68"/>
  <c r="AK33" i="68" s="1"/>
  <c r="AI35" i="68"/>
  <c r="AK35" i="68" s="1"/>
  <c r="P29" i="68"/>
  <c r="R29" i="68" s="1"/>
  <c r="P32" i="68"/>
  <c r="R32" i="68" s="1"/>
  <c r="P34" i="68"/>
  <c r="R34" i="68" s="1"/>
  <c r="P8" i="68"/>
  <c r="R8" i="68" s="1"/>
  <c r="P17" i="68"/>
  <c r="R17" i="68" s="1"/>
  <c r="P7" i="68"/>
  <c r="R7" i="68" s="1"/>
  <c r="AI18" i="68"/>
  <c r="AK18" i="68" s="1"/>
  <c r="AI14" i="68"/>
  <c r="AK14" i="68" s="1"/>
  <c r="P24" i="68"/>
  <c r="R24" i="68" s="1"/>
  <c r="AI23" i="68"/>
  <c r="AK23" i="68" s="1"/>
  <c r="P35" i="68"/>
  <c r="R35" i="68" s="1"/>
  <c r="P25" i="68"/>
  <c r="R25" i="68" s="1"/>
  <c r="P15" i="68"/>
  <c r="R15" i="68" s="1"/>
  <c r="P27" i="68"/>
  <c r="R27" i="68" s="1"/>
  <c r="P13" i="68"/>
  <c r="R13" i="68" s="1"/>
  <c r="AI13" i="68"/>
  <c r="AK13" i="68" s="1"/>
  <c r="P23" i="68"/>
  <c r="R23" i="68" s="1"/>
  <c r="P9" i="68"/>
  <c r="R9" i="68" s="1"/>
  <c r="AI28" i="68"/>
  <c r="AK28" i="68" s="1"/>
  <c r="P43" i="68"/>
  <c r="R43" i="68" s="1"/>
  <c r="P47" i="68"/>
  <c r="R47" i="68" s="1"/>
  <c r="P14" i="68"/>
  <c r="R14" i="68" s="1"/>
  <c r="P18" i="68"/>
  <c r="R18" i="68" s="1"/>
  <c r="AI30" i="68"/>
  <c r="AK30" i="68" s="1"/>
  <c r="AI7" i="68"/>
  <c r="AK7" i="68" s="1"/>
  <c r="P20" i="68"/>
  <c r="R20" i="68" s="1"/>
  <c r="AI9" i="68"/>
  <c r="AK9" i="68" s="1"/>
  <c r="AI19" i="68"/>
  <c r="AK19" i="68" s="1"/>
  <c r="AI45" i="68"/>
  <c r="AK45" i="68" s="1"/>
  <c r="AI44" i="68"/>
  <c r="AK44" i="68" s="1"/>
  <c r="AI43" i="68"/>
  <c r="AK43" i="68" s="1"/>
  <c r="AI40" i="68"/>
  <c r="AK40" i="68" s="1"/>
  <c r="AI39" i="68"/>
  <c r="AK39" i="68" s="1"/>
  <c r="AI38" i="68"/>
  <c r="AK38" i="68" s="1"/>
  <c r="P45" i="68"/>
  <c r="R45" i="68" s="1"/>
  <c r="P44" i="68"/>
  <c r="R44" i="68" s="1"/>
  <c r="R42" i="68"/>
  <c r="P40" i="68"/>
  <c r="R40" i="68" s="1"/>
  <c r="P39" i="68"/>
  <c r="R39" i="68" s="1"/>
  <c r="P38" i="68"/>
  <c r="R38" i="68" s="1"/>
  <c r="P37" i="68"/>
  <c r="R37" i="68" s="1"/>
  <c r="AI17" i="68"/>
  <c r="AK17" i="68" s="1"/>
  <c r="AI37" i="68"/>
  <c r="AK37" i="68" s="1"/>
  <c r="AI47" i="68"/>
  <c r="AK47" i="68" s="1"/>
  <c r="AI8" i="68"/>
  <c r="AK8" i="68" s="1"/>
  <c r="AI22" i="68"/>
  <c r="AK22" i="68" s="1"/>
  <c r="AI42" i="68"/>
  <c r="AK42" i="68" s="1"/>
  <c r="AI27" i="68"/>
  <c r="AK27" i="68" s="1"/>
  <c r="AI10" i="68"/>
  <c r="AK10" i="68" s="1"/>
  <c r="AI12" i="68"/>
  <c r="AK12" i="68" s="1"/>
  <c r="AI32" i="68"/>
  <c r="AK32" i="68" s="1"/>
  <c r="AI29" i="68"/>
  <c r="AK29" i="68" s="1"/>
  <c r="J218" i="36" l="1"/>
  <c r="G218" i="36"/>
  <c r="L218" i="36" l="1"/>
  <c r="H16" i="44"/>
  <c r="G16" i="44"/>
  <c r="F16" i="44"/>
  <c r="E16" i="44"/>
  <c r="D16" i="44"/>
  <c r="C16" i="44"/>
  <c r="E4" i="63" l="1"/>
  <c r="D4" i="63"/>
  <c r="H4" i="63"/>
  <c r="B55" i="39"/>
  <c r="W54" i="39"/>
  <c r="Q54" i="39"/>
  <c r="V53" i="39"/>
  <c r="B53" i="39"/>
  <c r="W52" i="39"/>
  <c r="U52" i="39"/>
  <c r="Q52" i="39"/>
  <c r="J52" i="39"/>
  <c r="G52" i="39"/>
  <c r="V51" i="39"/>
  <c r="B51" i="39"/>
  <c r="Q50" i="39"/>
  <c r="J50" i="39"/>
  <c r="G50" i="39"/>
  <c r="V49" i="39"/>
  <c r="S49" i="39"/>
  <c r="K49" i="39"/>
  <c r="I49" i="39"/>
  <c r="H49" i="39"/>
  <c r="F49" i="39"/>
  <c r="E49" i="39"/>
  <c r="D49" i="39"/>
  <c r="C49" i="39"/>
  <c r="B49" i="39"/>
  <c r="W48" i="39"/>
  <c r="U48" i="39"/>
  <c r="Q48" i="39"/>
  <c r="L48" i="39"/>
  <c r="J48" i="39"/>
  <c r="G48" i="39"/>
  <c r="V47" i="39"/>
  <c r="S47" i="39"/>
  <c r="K47" i="39"/>
  <c r="I47" i="39"/>
  <c r="H47" i="39"/>
  <c r="F47" i="39"/>
  <c r="E47" i="39"/>
  <c r="D47" i="39"/>
  <c r="C47" i="39"/>
  <c r="B47" i="39"/>
  <c r="W46" i="39"/>
  <c r="U46" i="39"/>
  <c r="Q46" i="39"/>
  <c r="L46" i="39"/>
  <c r="J46" i="39"/>
  <c r="G46" i="39"/>
  <c r="V45" i="39"/>
  <c r="S45" i="39"/>
  <c r="K45" i="39"/>
  <c r="I45" i="39"/>
  <c r="H45" i="39"/>
  <c r="F45" i="39"/>
  <c r="E45" i="39"/>
  <c r="D45" i="39"/>
  <c r="C45" i="39"/>
  <c r="B45" i="39"/>
  <c r="W44" i="39"/>
  <c r="U44" i="39"/>
  <c r="Q44" i="39"/>
  <c r="L44" i="39"/>
  <c r="J44" i="39"/>
  <c r="G44" i="39"/>
  <c r="V43" i="39"/>
  <c r="S43" i="39"/>
  <c r="K43" i="39"/>
  <c r="I43" i="39"/>
  <c r="H43" i="39"/>
  <c r="F43" i="39"/>
  <c r="E43" i="39"/>
  <c r="D43" i="39"/>
  <c r="C43" i="39"/>
  <c r="B43" i="39"/>
  <c r="W42" i="39"/>
  <c r="U42" i="39"/>
  <c r="Q42" i="39"/>
  <c r="L42" i="39"/>
  <c r="J42" i="39"/>
  <c r="G42" i="39"/>
  <c r="V41" i="39"/>
  <c r="S41" i="39"/>
  <c r="K41" i="39"/>
  <c r="I41" i="39"/>
  <c r="H41" i="39"/>
  <c r="F41" i="39"/>
  <c r="E41" i="39"/>
  <c r="D41" i="39"/>
  <c r="C41" i="39"/>
  <c r="B41" i="39"/>
  <c r="W40" i="39"/>
  <c r="U40" i="39"/>
  <c r="Q40" i="39"/>
  <c r="L40" i="39"/>
  <c r="J40" i="39"/>
  <c r="G40" i="39"/>
  <c r="K38" i="39"/>
  <c r="I38" i="39"/>
  <c r="H38" i="39"/>
  <c r="F38" i="39"/>
  <c r="E38" i="39"/>
  <c r="D38" i="39"/>
  <c r="C38" i="39"/>
  <c r="B38" i="39"/>
  <c r="W37" i="39"/>
  <c r="V37" i="39"/>
  <c r="V38" i="39" s="1"/>
  <c r="U37" i="39"/>
  <c r="S37" i="39"/>
  <c r="S38" i="39" s="1"/>
  <c r="Q37" i="39"/>
  <c r="L37" i="39"/>
  <c r="J37" i="39"/>
  <c r="G37" i="39"/>
  <c r="K36" i="39"/>
  <c r="I36" i="39"/>
  <c r="H36" i="39"/>
  <c r="F36" i="39"/>
  <c r="E36" i="39"/>
  <c r="D36" i="39"/>
  <c r="C36" i="39"/>
  <c r="B36" i="39"/>
  <c r="W35" i="39"/>
  <c r="V35" i="39"/>
  <c r="V36" i="39" s="1"/>
  <c r="U35" i="39"/>
  <c r="S35" i="39"/>
  <c r="S36" i="39" s="1"/>
  <c r="Q35" i="39"/>
  <c r="L35" i="39"/>
  <c r="J35" i="39"/>
  <c r="G35" i="39"/>
  <c r="K34" i="39"/>
  <c r="I34" i="39"/>
  <c r="H34" i="39"/>
  <c r="F34" i="39"/>
  <c r="E34" i="39"/>
  <c r="D34" i="39"/>
  <c r="C34" i="39"/>
  <c r="B34" i="39"/>
  <c r="W33" i="39"/>
  <c r="V33" i="39"/>
  <c r="V34" i="39" s="1"/>
  <c r="U33" i="39"/>
  <c r="S33" i="39"/>
  <c r="S34" i="39" s="1"/>
  <c r="Q33" i="39"/>
  <c r="L33" i="39"/>
  <c r="J33" i="39"/>
  <c r="G33" i="39"/>
  <c r="K32" i="39"/>
  <c r="I32" i="39"/>
  <c r="H32" i="39"/>
  <c r="F32" i="39"/>
  <c r="E32" i="39"/>
  <c r="D32" i="39"/>
  <c r="C32" i="39"/>
  <c r="B32" i="39"/>
  <c r="W31" i="39"/>
  <c r="V31" i="39"/>
  <c r="V32" i="39" s="1"/>
  <c r="U31" i="39"/>
  <c r="S31" i="39"/>
  <c r="S32" i="39" s="1"/>
  <c r="Q31" i="39"/>
  <c r="L31" i="39"/>
  <c r="J31" i="39"/>
  <c r="G31" i="39"/>
  <c r="S30" i="39"/>
  <c r="K30" i="39"/>
  <c r="I30" i="39"/>
  <c r="H30" i="39"/>
  <c r="F30" i="39"/>
  <c r="E30" i="39"/>
  <c r="D30" i="39"/>
  <c r="C30" i="39"/>
  <c r="B30" i="39"/>
  <c r="W29" i="39"/>
  <c r="V29" i="39"/>
  <c r="V30" i="39" s="1"/>
  <c r="U29" i="39"/>
  <c r="Q29" i="39"/>
  <c r="L29" i="39"/>
  <c r="J29" i="39"/>
  <c r="G29" i="39"/>
  <c r="V28" i="39"/>
  <c r="S28" i="39"/>
  <c r="K28" i="39"/>
  <c r="I28" i="39"/>
  <c r="H28" i="39"/>
  <c r="F28" i="39"/>
  <c r="E28" i="39"/>
  <c r="D28" i="39"/>
  <c r="C28" i="39"/>
  <c r="B28" i="39"/>
  <c r="Q27" i="39"/>
  <c r="L27" i="39"/>
  <c r="J27" i="39"/>
  <c r="G27" i="39"/>
  <c r="V26" i="39"/>
  <c r="S26" i="39"/>
  <c r="K26" i="39"/>
  <c r="I26" i="39"/>
  <c r="H26" i="39"/>
  <c r="F26" i="39"/>
  <c r="E26" i="39"/>
  <c r="D26" i="39"/>
  <c r="C26" i="39"/>
  <c r="B26" i="39"/>
  <c r="Q25" i="39"/>
  <c r="L25" i="39"/>
  <c r="J25" i="39"/>
  <c r="G25" i="39"/>
  <c r="V24" i="39"/>
  <c r="S24" i="39"/>
  <c r="K24" i="39"/>
  <c r="I24" i="39"/>
  <c r="H24" i="39"/>
  <c r="F24" i="39"/>
  <c r="E24" i="39"/>
  <c r="D24" i="39"/>
  <c r="C24" i="39"/>
  <c r="B24" i="39"/>
  <c r="Q23" i="39"/>
  <c r="L23" i="39"/>
  <c r="J23" i="39"/>
  <c r="G23" i="39"/>
  <c r="V22" i="39"/>
  <c r="S22" i="39"/>
  <c r="K22" i="39"/>
  <c r="I22" i="39"/>
  <c r="H22" i="39"/>
  <c r="F22" i="39"/>
  <c r="E22" i="39"/>
  <c r="D22" i="39"/>
  <c r="C22" i="39"/>
  <c r="B22" i="39"/>
  <c r="Q21" i="39"/>
  <c r="L21" i="39"/>
  <c r="J21" i="39"/>
  <c r="G21" i="39"/>
  <c r="V20" i="39"/>
  <c r="S20" i="39"/>
  <c r="K20" i="39"/>
  <c r="I20" i="39"/>
  <c r="H20" i="39"/>
  <c r="F20" i="39"/>
  <c r="E20" i="39"/>
  <c r="D20" i="39"/>
  <c r="C20" i="39"/>
  <c r="B20" i="39"/>
  <c r="Q19" i="39"/>
  <c r="L19" i="39"/>
  <c r="J19" i="39"/>
  <c r="G19" i="39"/>
  <c r="V18" i="39"/>
  <c r="S18" i="39"/>
  <c r="K18" i="39"/>
  <c r="I18" i="39"/>
  <c r="H18" i="39"/>
  <c r="F18" i="39"/>
  <c r="E18" i="39"/>
  <c r="D18" i="39"/>
  <c r="C18" i="39"/>
  <c r="B18" i="39"/>
  <c r="Q17" i="39"/>
  <c r="L17" i="39"/>
  <c r="J17" i="39"/>
  <c r="G17" i="39"/>
  <c r="V16" i="39"/>
  <c r="S16" i="39"/>
  <c r="K16" i="39"/>
  <c r="I16" i="39"/>
  <c r="H16" i="39"/>
  <c r="F16" i="39"/>
  <c r="E16" i="39"/>
  <c r="D16" i="39"/>
  <c r="C16" i="39"/>
  <c r="B16" i="39"/>
  <c r="Q15" i="39"/>
  <c r="L15" i="39"/>
  <c r="J15" i="39"/>
  <c r="G15" i="39"/>
  <c r="V14" i="39"/>
  <c r="S14" i="39"/>
  <c r="K14" i="39"/>
  <c r="I14" i="39"/>
  <c r="H14" i="39"/>
  <c r="F14" i="39"/>
  <c r="E14" i="39"/>
  <c r="D14" i="39"/>
  <c r="C14" i="39"/>
  <c r="B14" i="39"/>
  <c r="Q13" i="39"/>
  <c r="L13" i="39"/>
  <c r="J13" i="39"/>
  <c r="G13" i="39"/>
  <c r="V12" i="39"/>
  <c r="S12" i="39"/>
  <c r="K12" i="39"/>
  <c r="I12" i="39"/>
  <c r="H12" i="39"/>
  <c r="F12" i="39"/>
  <c r="E12" i="39"/>
  <c r="D12" i="39"/>
  <c r="C12" i="39"/>
  <c r="B12" i="39"/>
  <c r="Q11" i="39"/>
  <c r="L11" i="39"/>
  <c r="J11" i="39"/>
  <c r="G11" i="39"/>
  <c r="V10" i="39"/>
  <c r="S10" i="39"/>
  <c r="K10" i="39"/>
  <c r="I10" i="39"/>
  <c r="H10" i="39"/>
  <c r="F10" i="39"/>
  <c r="E10" i="39"/>
  <c r="D10" i="39"/>
  <c r="C10" i="39"/>
  <c r="B10" i="39"/>
  <c r="Q9" i="39"/>
  <c r="L9" i="39"/>
  <c r="J9" i="39"/>
  <c r="G9" i="39"/>
  <c r="V8" i="39"/>
  <c r="S8" i="39"/>
  <c r="K8" i="39"/>
  <c r="I8" i="39"/>
  <c r="H8" i="39"/>
  <c r="F8" i="39"/>
  <c r="E8" i="39"/>
  <c r="D8" i="39"/>
  <c r="C8" i="39"/>
  <c r="B8" i="39"/>
  <c r="Q7" i="39"/>
  <c r="L7" i="39"/>
  <c r="J7" i="39"/>
  <c r="G7" i="39"/>
  <c r="J217" i="36" l="1"/>
  <c r="G217" i="36"/>
  <c r="L217" i="36" l="1"/>
  <c r="G4" i="63"/>
  <c r="J4" i="63"/>
  <c r="I4" i="63"/>
  <c r="J216" i="36" l="1"/>
  <c r="G216" i="36"/>
  <c r="L216" i="36" s="1"/>
  <c r="V76" i="45" l="1"/>
  <c r="J215" i="36" l="1"/>
  <c r="G215" i="36"/>
  <c r="L215" i="36" l="1"/>
  <c r="V75" i="45"/>
  <c r="J213" i="36" l="1"/>
  <c r="J214" i="36"/>
  <c r="G214" i="36"/>
  <c r="V74" i="45"/>
  <c r="L214" i="36" l="1"/>
  <c r="G213" i="36"/>
  <c r="V73" i="45"/>
  <c r="L213" i="36" l="1"/>
  <c r="W39" i="27"/>
  <c r="J212" i="36" l="1"/>
  <c r="G212" i="36"/>
  <c r="V72" i="45"/>
  <c r="V71" i="45"/>
  <c r="L212" i="36" l="1"/>
  <c r="V19" i="45"/>
  <c r="R17" i="11" l="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Q69" i="37" l="1"/>
  <c r="S69" i="37" s="1"/>
  <c r="Q67" i="37"/>
  <c r="S67" i="37" s="1"/>
  <c r="Q65" i="37"/>
  <c r="S65" i="37" s="1"/>
  <c r="Q63" i="37"/>
  <c r="S63" i="37" s="1"/>
  <c r="Q61" i="37"/>
  <c r="S61" i="37" s="1"/>
  <c r="S59" i="37"/>
  <c r="E60" i="37" s="1"/>
  <c r="Q59" i="37"/>
  <c r="Q57" i="37"/>
  <c r="S57" i="37" s="1"/>
  <c r="Q55" i="37"/>
  <c r="Q53" i="37"/>
  <c r="S53" i="37" s="1"/>
  <c r="H54" i="37" s="1"/>
  <c r="S51" i="37"/>
  <c r="E52" i="37" s="1"/>
  <c r="Q51" i="37"/>
  <c r="Q49" i="37"/>
  <c r="S49" i="37" s="1"/>
  <c r="Q47" i="37"/>
  <c r="S47" i="37" s="1"/>
  <c r="Q45" i="37"/>
  <c r="S45" i="37" s="1"/>
  <c r="H46" i="37" s="1"/>
  <c r="S43" i="37"/>
  <c r="E44" i="37" s="1"/>
  <c r="Q43" i="37"/>
  <c r="Q41" i="37"/>
  <c r="S41" i="37" s="1"/>
  <c r="S39" i="37"/>
  <c r="K40" i="37" s="1"/>
  <c r="Q39" i="37"/>
  <c r="S36" i="37"/>
  <c r="H37" i="37" s="1"/>
  <c r="Q36" i="37"/>
  <c r="Q34" i="37"/>
  <c r="S34" i="37" s="1"/>
  <c r="E35" i="37" s="1"/>
  <c r="Q32" i="37"/>
  <c r="S32" i="37" s="1"/>
  <c r="S30" i="37"/>
  <c r="K31" i="37" s="1"/>
  <c r="Q30" i="37"/>
  <c r="Q28" i="37"/>
  <c r="S28" i="37" s="1"/>
  <c r="H29" i="37" s="1"/>
  <c r="Q26" i="37"/>
  <c r="S26" i="37" s="1"/>
  <c r="Q24" i="37"/>
  <c r="S24" i="37" s="1"/>
  <c r="Q22" i="37"/>
  <c r="S22" i="37" s="1"/>
  <c r="Q20" i="37"/>
  <c r="S20" i="37" s="1"/>
  <c r="H21" i="37" s="1"/>
  <c r="Q18" i="37"/>
  <c r="S18" i="37" s="1"/>
  <c r="Q16" i="37"/>
  <c r="S16" i="37" s="1"/>
  <c r="Q14" i="37"/>
  <c r="S14" i="37" s="1"/>
  <c r="Q12" i="37"/>
  <c r="S12" i="37" s="1"/>
  <c r="Q10" i="37"/>
  <c r="S10" i="37" s="1"/>
  <c r="Q8" i="37"/>
  <c r="S8" i="37" s="1"/>
  <c r="Q6" i="37"/>
  <c r="S6" i="37" s="1"/>
  <c r="K64" i="37" l="1"/>
  <c r="D64" i="37"/>
  <c r="C64" i="37"/>
  <c r="G64" i="37"/>
  <c r="B64" i="37"/>
  <c r="O64" i="37"/>
  <c r="N64" i="37"/>
  <c r="F64" i="37"/>
  <c r="E64" i="37"/>
  <c r="K7" i="37"/>
  <c r="U6" i="37"/>
  <c r="R7" i="37"/>
  <c r="M23" i="37"/>
  <c r="B23" i="37"/>
  <c r="B31" i="37"/>
  <c r="U51" i="37"/>
  <c r="U59" i="37"/>
  <c r="H52" i="37"/>
  <c r="D31" i="37"/>
  <c r="B40" i="37"/>
  <c r="U43" i="37"/>
  <c r="C31" i="37"/>
  <c r="C40" i="37"/>
  <c r="D40" i="37"/>
  <c r="E40" i="37"/>
  <c r="F40" i="37"/>
  <c r="E19" i="37"/>
  <c r="I19" i="37"/>
  <c r="M19" i="37"/>
  <c r="U18" i="37"/>
  <c r="K15" i="37"/>
  <c r="R15" i="37"/>
  <c r="U14" i="37"/>
  <c r="B15" i="37"/>
  <c r="P15" i="37"/>
  <c r="Q15" i="37"/>
  <c r="R11" i="37"/>
  <c r="U10" i="37"/>
  <c r="I11" i="37"/>
  <c r="M11" i="37"/>
  <c r="Q31" i="37"/>
  <c r="Q23" i="37"/>
  <c r="I60" i="37"/>
  <c r="F44" i="37"/>
  <c r="H60" i="37"/>
  <c r="E68" i="37"/>
  <c r="M68" i="37"/>
  <c r="U67" i="37"/>
  <c r="F68" i="37"/>
  <c r="H68" i="37"/>
  <c r="R68" i="37"/>
  <c r="K48" i="37"/>
  <c r="L48" i="37"/>
  <c r="Q48" i="37"/>
  <c r="N48" i="37"/>
  <c r="E48" i="37"/>
  <c r="O48" i="37"/>
  <c r="P48" i="37"/>
  <c r="D48" i="37"/>
  <c r="G48" i="37"/>
  <c r="R48" i="37"/>
  <c r="C48" i="37"/>
  <c r="S48" i="37"/>
  <c r="B48" i="37"/>
  <c r="F48" i="37"/>
  <c r="E27" i="37"/>
  <c r="U26" i="37"/>
  <c r="I27" i="37"/>
  <c r="M27" i="37"/>
  <c r="O7" i="37"/>
  <c r="N15" i="37"/>
  <c r="Q52" i="37"/>
  <c r="M15" i="37"/>
  <c r="S40" i="37"/>
  <c r="S23" i="37"/>
  <c r="P23" i="37"/>
  <c r="M7" i="37"/>
  <c r="O23" i="37"/>
  <c r="L15" i="37"/>
  <c r="N23" i="37"/>
  <c r="Q29" i="37"/>
  <c r="P31" i="37"/>
  <c r="R40" i="37"/>
  <c r="S55" i="37"/>
  <c r="Q56" i="37" s="1"/>
  <c r="R23" i="37"/>
  <c r="R31" i="37"/>
  <c r="Q68" i="37"/>
  <c r="O15" i="37"/>
  <c r="F7" i="37"/>
  <c r="P7" i="37"/>
  <c r="Q44" i="37"/>
  <c r="G23" i="37"/>
  <c r="Q40" i="37"/>
  <c r="P40" i="37"/>
  <c r="D7" i="37"/>
  <c r="Q11" i="37"/>
  <c r="E15" i="37"/>
  <c r="Q19" i="37"/>
  <c r="E23" i="37"/>
  <c r="G31" i="37"/>
  <c r="M35" i="37"/>
  <c r="O40" i="37"/>
  <c r="Q46" i="37"/>
  <c r="Q54" i="37"/>
  <c r="S64" i="37"/>
  <c r="Q7" i="37"/>
  <c r="N7" i="37"/>
  <c r="Q60" i="37"/>
  <c r="E7" i="37"/>
  <c r="Q37" i="37"/>
  <c r="C7" i="37"/>
  <c r="D15" i="37"/>
  <c r="D23" i="37"/>
  <c r="F31" i="37"/>
  <c r="I35" i="37"/>
  <c r="N40" i="37"/>
  <c r="M44" i="37"/>
  <c r="M52" i="37"/>
  <c r="R64" i="37"/>
  <c r="Q35" i="37"/>
  <c r="S31" i="37"/>
  <c r="Q21" i="37"/>
  <c r="G7" i="37"/>
  <c r="G15" i="37"/>
  <c r="O31" i="37"/>
  <c r="F15" i="37"/>
  <c r="F23" i="37"/>
  <c r="N31" i="37"/>
  <c r="B7" i="37"/>
  <c r="S7" i="37"/>
  <c r="C15" i="37"/>
  <c r="S15" i="37"/>
  <c r="C23" i="37"/>
  <c r="Q27" i="37"/>
  <c r="E31" i="37"/>
  <c r="U34" i="37"/>
  <c r="G40" i="37"/>
  <c r="I44" i="37"/>
  <c r="I52" i="37"/>
  <c r="M60" i="37"/>
  <c r="P64" i="37"/>
  <c r="N42" i="37"/>
  <c r="B42" i="37"/>
  <c r="C42" i="37"/>
  <c r="P42" i="37"/>
  <c r="D42" i="37"/>
  <c r="Q42" i="37"/>
  <c r="E42" i="37"/>
  <c r="R42" i="37"/>
  <c r="F42" i="37"/>
  <c r="S42" i="37"/>
  <c r="G42" i="37"/>
  <c r="H42" i="37"/>
  <c r="I42" i="37"/>
  <c r="J42" i="37"/>
  <c r="K42" i="37"/>
  <c r="O42" i="37"/>
  <c r="L42" i="37"/>
  <c r="M42" i="37"/>
  <c r="U41" i="37"/>
  <c r="N50" i="37"/>
  <c r="B50" i="37"/>
  <c r="O50" i="37"/>
  <c r="C50" i="37"/>
  <c r="P50" i="37"/>
  <c r="D50" i="37"/>
  <c r="Q50" i="37"/>
  <c r="E50" i="37"/>
  <c r="R50" i="37"/>
  <c r="F50" i="37"/>
  <c r="S50" i="37"/>
  <c r="G50" i="37"/>
  <c r="H50" i="37"/>
  <c r="I50" i="37"/>
  <c r="J50" i="37"/>
  <c r="K50" i="37"/>
  <c r="L50" i="37"/>
  <c r="M50" i="37"/>
  <c r="U49" i="37"/>
  <c r="N58" i="37"/>
  <c r="B58" i="37"/>
  <c r="O58" i="37"/>
  <c r="C58" i="37"/>
  <c r="P58" i="37"/>
  <c r="D58" i="37"/>
  <c r="Q58" i="37"/>
  <c r="E58" i="37"/>
  <c r="R58" i="37"/>
  <c r="F58" i="37"/>
  <c r="S58" i="37"/>
  <c r="G58" i="37"/>
  <c r="H58" i="37"/>
  <c r="I58" i="37"/>
  <c r="J58" i="37"/>
  <c r="K58" i="37"/>
  <c r="L58" i="37"/>
  <c r="M58" i="37"/>
  <c r="U57" i="37"/>
  <c r="N66" i="37"/>
  <c r="B66" i="37"/>
  <c r="O66" i="37"/>
  <c r="C66" i="37"/>
  <c r="P66" i="37"/>
  <c r="D66" i="37"/>
  <c r="Q66" i="37"/>
  <c r="E66" i="37"/>
  <c r="R66" i="37"/>
  <c r="F66" i="37"/>
  <c r="S66" i="37"/>
  <c r="G66" i="37"/>
  <c r="H66" i="37"/>
  <c r="I66" i="37"/>
  <c r="J66" i="37"/>
  <c r="K66" i="37"/>
  <c r="L66" i="37"/>
  <c r="M66" i="37"/>
  <c r="U65" i="37"/>
  <c r="N17" i="37"/>
  <c r="B17" i="37"/>
  <c r="Q17" i="37"/>
  <c r="P17" i="37"/>
  <c r="D17" i="37"/>
  <c r="R17" i="37"/>
  <c r="F17" i="37"/>
  <c r="S17" i="37"/>
  <c r="G17" i="37"/>
  <c r="H17" i="37"/>
  <c r="I17" i="37"/>
  <c r="J17" i="37"/>
  <c r="K17" i="37"/>
  <c r="E17" i="37"/>
  <c r="L17" i="37"/>
  <c r="C17" i="37"/>
  <c r="M17" i="37"/>
  <c r="U16" i="37"/>
  <c r="O17" i="37"/>
  <c r="H62" i="37"/>
  <c r="I62" i="37"/>
  <c r="J62" i="37"/>
  <c r="K62" i="37"/>
  <c r="L62" i="37"/>
  <c r="M62" i="37"/>
  <c r="U61" i="37"/>
  <c r="N62" i="37"/>
  <c r="B62" i="37"/>
  <c r="O62" i="37"/>
  <c r="C62" i="37"/>
  <c r="P62" i="37"/>
  <c r="D62" i="37"/>
  <c r="E62" i="37"/>
  <c r="R62" i="37"/>
  <c r="F62" i="37"/>
  <c r="S62" i="37"/>
  <c r="G62" i="37"/>
  <c r="N25" i="37"/>
  <c r="P25" i="37"/>
  <c r="D25" i="37"/>
  <c r="Q25" i="37"/>
  <c r="E25" i="37"/>
  <c r="R25" i="37"/>
  <c r="F25" i="37"/>
  <c r="S25" i="37"/>
  <c r="G25" i="37"/>
  <c r="H25" i="37"/>
  <c r="I25" i="37"/>
  <c r="J25" i="37"/>
  <c r="K25" i="37"/>
  <c r="L25" i="37"/>
  <c r="C25" i="37"/>
  <c r="M25" i="37"/>
  <c r="U24" i="37"/>
  <c r="B25" i="37"/>
  <c r="O25" i="37"/>
  <c r="H70" i="37"/>
  <c r="I70" i="37"/>
  <c r="J70" i="37"/>
  <c r="K70" i="37"/>
  <c r="L70" i="37"/>
  <c r="M70" i="37"/>
  <c r="U69" i="37"/>
  <c r="N70" i="37"/>
  <c r="B70" i="37"/>
  <c r="O70" i="37"/>
  <c r="C70" i="37"/>
  <c r="P70" i="37"/>
  <c r="D70" i="37"/>
  <c r="E70" i="37"/>
  <c r="R70" i="37"/>
  <c r="F70" i="37"/>
  <c r="S70" i="37"/>
  <c r="G70" i="37"/>
  <c r="H13" i="37"/>
  <c r="J13" i="37"/>
  <c r="K13" i="37"/>
  <c r="L13" i="37"/>
  <c r="M13" i="37"/>
  <c r="U12" i="37"/>
  <c r="N13" i="37"/>
  <c r="B13" i="37"/>
  <c r="O13" i="37"/>
  <c r="C13" i="37"/>
  <c r="P13" i="37"/>
  <c r="D13" i="37"/>
  <c r="E13" i="37"/>
  <c r="R13" i="37"/>
  <c r="F13" i="37"/>
  <c r="I13" i="37"/>
  <c r="S13" i="37"/>
  <c r="G13" i="37"/>
  <c r="N9" i="37"/>
  <c r="C9" i="37"/>
  <c r="P9" i="37"/>
  <c r="D9" i="37"/>
  <c r="Q9" i="37"/>
  <c r="E9" i="37"/>
  <c r="R9" i="37"/>
  <c r="F9" i="37"/>
  <c r="S9" i="37"/>
  <c r="G9" i="37"/>
  <c r="H9" i="37"/>
  <c r="I9" i="37"/>
  <c r="J9" i="37"/>
  <c r="K9" i="37"/>
  <c r="L9" i="37"/>
  <c r="O9" i="37"/>
  <c r="M9" i="37"/>
  <c r="U8" i="37"/>
  <c r="B9" i="37"/>
  <c r="N33" i="37"/>
  <c r="B33" i="37"/>
  <c r="P33" i="37"/>
  <c r="D33" i="37"/>
  <c r="Q33" i="37"/>
  <c r="E33" i="37"/>
  <c r="R33" i="37"/>
  <c r="F33" i="37"/>
  <c r="S33" i="37"/>
  <c r="G33" i="37"/>
  <c r="H33" i="37"/>
  <c r="I33" i="37"/>
  <c r="J33" i="37"/>
  <c r="K33" i="37"/>
  <c r="L33" i="37"/>
  <c r="O33" i="37"/>
  <c r="M33" i="37"/>
  <c r="U32" i="37"/>
  <c r="C33" i="37"/>
  <c r="L7" i="37"/>
  <c r="F11" i="37"/>
  <c r="R19" i="37"/>
  <c r="L23" i="37"/>
  <c r="I29" i="37"/>
  <c r="R35" i="37"/>
  <c r="L40" i="37"/>
  <c r="I46" i="37"/>
  <c r="J7" i="37"/>
  <c r="D11" i="37"/>
  <c r="P11" i="37"/>
  <c r="J15" i="37"/>
  <c r="D19" i="37"/>
  <c r="P19" i="37"/>
  <c r="G21" i="37"/>
  <c r="S21" i="37"/>
  <c r="J23" i="37"/>
  <c r="D27" i="37"/>
  <c r="P27" i="37"/>
  <c r="G29" i="37"/>
  <c r="S29" i="37"/>
  <c r="J31" i="37"/>
  <c r="D35" i="37"/>
  <c r="P35" i="37"/>
  <c r="G37" i="37"/>
  <c r="S37" i="37"/>
  <c r="J40" i="37"/>
  <c r="D44" i="37"/>
  <c r="P44" i="37"/>
  <c r="G46" i="37"/>
  <c r="S46" i="37"/>
  <c r="J48" i="37"/>
  <c r="D52" i="37"/>
  <c r="P52" i="37"/>
  <c r="G54" i="37"/>
  <c r="S54" i="37"/>
  <c r="J56" i="37"/>
  <c r="D60" i="37"/>
  <c r="P60" i="37"/>
  <c r="J64" i="37"/>
  <c r="D68" i="37"/>
  <c r="P68" i="37"/>
  <c r="F19" i="37"/>
  <c r="I21" i="37"/>
  <c r="F27" i="37"/>
  <c r="E11" i="37"/>
  <c r="K23" i="37"/>
  <c r="I7" i="37"/>
  <c r="C11" i="37"/>
  <c r="O11" i="37"/>
  <c r="I15" i="37"/>
  <c r="C19" i="37"/>
  <c r="O19" i="37"/>
  <c r="F21" i="37"/>
  <c r="R21" i="37"/>
  <c r="I23" i="37"/>
  <c r="C27" i="37"/>
  <c r="O27" i="37"/>
  <c r="F29" i="37"/>
  <c r="R29" i="37"/>
  <c r="I31" i="37"/>
  <c r="C35" i="37"/>
  <c r="O35" i="37"/>
  <c r="F37" i="37"/>
  <c r="R37" i="37"/>
  <c r="I40" i="37"/>
  <c r="C44" i="37"/>
  <c r="O44" i="37"/>
  <c r="F46" i="37"/>
  <c r="R46" i="37"/>
  <c r="I48" i="37"/>
  <c r="C52" i="37"/>
  <c r="O52" i="37"/>
  <c r="F54" i="37"/>
  <c r="R54" i="37"/>
  <c r="I56" i="37"/>
  <c r="C60" i="37"/>
  <c r="O60" i="37"/>
  <c r="I64" i="37"/>
  <c r="C68" i="37"/>
  <c r="O68" i="37"/>
  <c r="H7" i="37"/>
  <c r="B11" i="37"/>
  <c r="N11" i="37"/>
  <c r="Q13" i="37"/>
  <c r="H15" i="37"/>
  <c r="B19" i="37"/>
  <c r="N19" i="37"/>
  <c r="E21" i="37"/>
  <c r="H23" i="37"/>
  <c r="B27" i="37"/>
  <c r="N27" i="37"/>
  <c r="E29" i="37"/>
  <c r="H31" i="37"/>
  <c r="B35" i="37"/>
  <c r="N35" i="37"/>
  <c r="E37" i="37"/>
  <c r="H40" i="37"/>
  <c r="B44" i="37"/>
  <c r="N44" i="37"/>
  <c r="E46" i="37"/>
  <c r="H48" i="37"/>
  <c r="B52" i="37"/>
  <c r="N52" i="37"/>
  <c r="E54" i="37"/>
  <c r="H56" i="37"/>
  <c r="B60" i="37"/>
  <c r="N60" i="37"/>
  <c r="Q62" i="37"/>
  <c r="H64" i="37"/>
  <c r="B68" i="37"/>
  <c r="N68" i="37"/>
  <c r="Q70" i="37"/>
  <c r="D21" i="37"/>
  <c r="P21" i="37"/>
  <c r="D29" i="37"/>
  <c r="P29" i="37"/>
  <c r="D37" i="37"/>
  <c r="P37" i="37"/>
  <c r="D46" i="37"/>
  <c r="P46" i="37"/>
  <c r="D54" i="37"/>
  <c r="P54" i="37"/>
  <c r="L11" i="37"/>
  <c r="L19" i="37"/>
  <c r="C21" i="37"/>
  <c r="O21" i="37"/>
  <c r="L27" i="37"/>
  <c r="C29" i="37"/>
  <c r="O29" i="37"/>
  <c r="L35" i="37"/>
  <c r="C37" i="37"/>
  <c r="O37" i="37"/>
  <c r="L44" i="37"/>
  <c r="C46" i="37"/>
  <c r="O46" i="37"/>
  <c r="L52" i="37"/>
  <c r="C54" i="37"/>
  <c r="O54" i="37"/>
  <c r="L60" i="37"/>
  <c r="L68" i="37"/>
  <c r="K11" i="37"/>
  <c r="K19" i="37"/>
  <c r="B21" i="37"/>
  <c r="N21" i="37"/>
  <c r="K27" i="37"/>
  <c r="B29" i="37"/>
  <c r="N29" i="37"/>
  <c r="K35" i="37"/>
  <c r="B37" i="37"/>
  <c r="N37" i="37"/>
  <c r="K44" i="37"/>
  <c r="B46" i="37"/>
  <c r="N46" i="37"/>
  <c r="K52" i="37"/>
  <c r="B54" i="37"/>
  <c r="N54" i="37"/>
  <c r="K60" i="37"/>
  <c r="Q64" i="37"/>
  <c r="K68" i="37"/>
  <c r="J11" i="37"/>
  <c r="J19" i="37"/>
  <c r="U20" i="37"/>
  <c r="M21" i="37"/>
  <c r="J27" i="37"/>
  <c r="U28" i="37"/>
  <c r="M29" i="37"/>
  <c r="J35" i="37"/>
  <c r="U36" i="37"/>
  <c r="M37" i="37"/>
  <c r="J44" i="37"/>
  <c r="U45" i="37"/>
  <c r="M46" i="37"/>
  <c r="J52" i="37"/>
  <c r="U53" i="37"/>
  <c r="M54" i="37"/>
  <c r="J60" i="37"/>
  <c r="J68" i="37"/>
  <c r="L21" i="37"/>
  <c r="L29" i="37"/>
  <c r="L37" i="37"/>
  <c r="L46" i="37"/>
  <c r="L54" i="37"/>
  <c r="I68" i="37"/>
  <c r="H11" i="37"/>
  <c r="H19" i="37"/>
  <c r="K21" i="37"/>
  <c r="H27" i="37"/>
  <c r="K29" i="37"/>
  <c r="H35" i="37"/>
  <c r="K37" i="37"/>
  <c r="H44" i="37"/>
  <c r="K46" i="37"/>
  <c r="K54" i="37"/>
  <c r="G11" i="37"/>
  <c r="S11" i="37"/>
  <c r="G19" i="37"/>
  <c r="S19" i="37"/>
  <c r="J21" i="37"/>
  <c r="U22" i="37"/>
  <c r="G27" i="37"/>
  <c r="S27" i="37"/>
  <c r="J29" i="37"/>
  <c r="U30" i="37"/>
  <c r="M31" i="37"/>
  <c r="G35" i="37"/>
  <c r="S35" i="37"/>
  <c r="J37" i="37"/>
  <c r="U39" i="37"/>
  <c r="M40" i="37"/>
  <c r="G44" i="37"/>
  <c r="S44" i="37"/>
  <c r="J46" i="37"/>
  <c r="U47" i="37"/>
  <c r="M48" i="37"/>
  <c r="G52" i="37"/>
  <c r="S52" i="37"/>
  <c r="J54" i="37"/>
  <c r="U55" i="37"/>
  <c r="M56" i="37"/>
  <c r="G60" i="37"/>
  <c r="S60" i="37"/>
  <c r="U63" i="37"/>
  <c r="M64" i="37"/>
  <c r="G68" i="37"/>
  <c r="S68" i="37"/>
  <c r="R27" i="37"/>
  <c r="L31" i="37"/>
  <c r="F35" i="37"/>
  <c r="I37" i="37"/>
  <c r="R44" i="37"/>
  <c r="F52" i="37"/>
  <c r="R52" i="37"/>
  <c r="I54" i="37"/>
  <c r="L56" i="37"/>
  <c r="F60" i="37"/>
  <c r="R60" i="37"/>
  <c r="L64" i="37"/>
  <c r="K56" i="37" l="1"/>
  <c r="N56" i="37"/>
  <c r="C56" i="37"/>
  <c r="O56" i="37"/>
  <c r="P56" i="37"/>
  <c r="R56" i="37"/>
  <c r="G56" i="37"/>
  <c r="S56" i="37"/>
  <c r="D56" i="37"/>
  <c r="B56" i="37"/>
  <c r="E56" i="37"/>
  <c r="F56" i="37"/>
  <c r="W38" i="27" l="1"/>
  <c r="W37" i="27"/>
  <c r="F4" i="63" l="1"/>
  <c r="V19" i="32" l="1"/>
  <c r="V18" i="32"/>
  <c r="V8" i="45"/>
  <c r="V7" i="45"/>
  <c r="V6" i="45"/>
  <c r="V5" i="45"/>
  <c r="W36" i="27"/>
  <c r="W35" i="27"/>
  <c r="W34" i="27"/>
  <c r="W33" i="27"/>
  <c r="R32" i="27"/>
  <c r="Q32" i="27"/>
  <c r="P32" i="27"/>
  <c r="O32" i="27"/>
  <c r="R31" i="27"/>
  <c r="Q31" i="27"/>
  <c r="P31" i="27"/>
  <c r="O31" i="27"/>
  <c r="R30" i="27"/>
  <c r="Q30" i="27"/>
  <c r="P30" i="27"/>
  <c r="O30" i="27"/>
  <c r="R29" i="27"/>
  <c r="Q29" i="27"/>
  <c r="P29" i="27"/>
  <c r="O29" i="27"/>
  <c r="R28" i="27"/>
  <c r="Q28" i="27"/>
  <c r="P28" i="27"/>
  <c r="O28" i="27"/>
  <c r="R27" i="27"/>
  <c r="Q27" i="27"/>
  <c r="P27" i="27"/>
  <c r="O27" i="27"/>
  <c r="AB26" i="27"/>
  <c r="AA26" i="27"/>
  <c r="Z26" i="27"/>
  <c r="Y26" i="27"/>
  <c r="R26" i="27"/>
  <c r="Q26" i="27"/>
  <c r="P26" i="27"/>
  <c r="O26" i="27"/>
  <c r="R25" i="27"/>
  <c r="Q25" i="27"/>
  <c r="P25" i="27"/>
  <c r="O25" i="27"/>
  <c r="X24" i="27"/>
  <c r="R24" i="27"/>
  <c r="Q24" i="27"/>
  <c r="P24" i="27"/>
  <c r="O24" i="27"/>
  <c r="X23" i="27"/>
  <c r="R23" i="27"/>
  <c r="Q23" i="27"/>
  <c r="P23" i="27"/>
  <c r="O23" i="27"/>
  <c r="X21" i="27"/>
  <c r="W19" i="27"/>
</calcChain>
</file>

<file path=xl/sharedStrings.xml><?xml version="1.0" encoding="utf-8"?>
<sst xmlns="http://schemas.openxmlformats.org/spreadsheetml/2006/main" count="19723" uniqueCount="3226">
  <si>
    <t>(In million US$)</t>
  </si>
  <si>
    <t>28.01.09</t>
  </si>
  <si>
    <t>25.02.09</t>
  </si>
  <si>
    <t>25.02.29</t>
  </si>
  <si>
    <t>25.03.09</t>
  </si>
  <si>
    <t>25.03.29</t>
  </si>
  <si>
    <t>29.04.09</t>
  </si>
  <si>
    <t>29.04.29</t>
  </si>
  <si>
    <t>27.05.09</t>
  </si>
  <si>
    <t>27.05.29</t>
  </si>
  <si>
    <t>24.06.09</t>
  </si>
  <si>
    <t>24.06.29</t>
  </si>
  <si>
    <t>29.07.09</t>
  </si>
  <si>
    <t>29.07.29</t>
  </si>
  <si>
    <t>26.08.09</t>
  </si>
  <si>
    <t>26.08.29</t>
  </si>
  <si>
    <t>Source :</t>
  </si>
  <si>
    <t>RATES OF INTEREST ON NON-RESIDENT FOREIGN CURRENCY DEPOSIT (NFCD) ACCOUNT                             PRIVATE BANKS</t>
  </si>
  <si>
    <t>RATES OF INTEREST ON NON-RESIDENT FOREIGN CURRENCY DEPOSIT (NFCD) ACCOUNT                              FOREIGN BANKS</t>
  </si>
  <si>
    <t>Clothing &amp; Footwear</t>
  </si>
  <si>
    <t>Gross rent, Fuel &amp; Lighting</t>
  </si>
  <si>
    <t xml:space="preserve"> Period</t>
  </si>
  <si>
    <t>DMBs Borrowings</t>
  </si>
  <si>
    <t>DMBs Deposits (Excluding BSBL &amp; Inter-Bank)</t>
  </si>
  <si>
    <t>(Taka in crore)</t>
  </si>
  <si>
    <t>Particulars</t>
  </si>
  <si>
    <t>Savings Deposits:</t>
  </si>
  <si>
    <t>Fixed Deposits:</t>
  </si>
  <si>
    <t>Term Loan to Small Industry</t>
  </si>
  <si>
    <t>Net Profit After Tax</t>
  </si>
  <si>
    <t>Note:</t>
  </si>
  <si>
    <t>23.01.08</t>
  </si>
  <si>
    <t>27.02.08</t>
  </si>
  <si>
    <t>27.03.08</t>
  </si>
  <si>
    <t>23.04.08</t>
  </si>
  <si>
    <t>28.05.08</t>
  </si>
  <si>
    <t>27.08.08</t>
  </si>
  <si>
    <t>24.09.08</t>
  </si>
  <si>
    <t>29.10.08</t>
  </si>
  <si>
    <t>26.11.08</t>
  </si>
  <si>
    <t>24.12.08</t>
  </si>
  <si>
    <r>
      <t xml:space="preserve">United States </t>
    </r>
    <r>
      <rPr>
        <sz val="6"/>
        <color indexed="8"/>
        <rFont val="Times New Roman"/>
        <family val="1"/>
      </rPr>
      <t>(Rotterdam)</t>
    </r>
  </si>
  <si>
    <t>28.01.29</t>
  </si>
  <si>
    <t>23.01.28</t>
  </si>
  <si>
    <t>27.02.28</t>
  </si>
  <si>
    <t>27.03.28</t>
  </si>
  <si>
    <t>23.04.28</t>
  </si>
  <si>
    <t>28.05.28</t>
  </si>
  <si>
    <t>24.09.28</t>
  </si>
  <si>
    <t>29.10.28</t>
  </si>
  <si>
    <t>26.11.28</t>
  </si>
  <si>
    <t>24.12.28</t>
  </si>
  <si>
    <t>-</t>
  </si>
  <si>
    <t>Mudaraba Short Term Deposits</t>
  </si>
  <si>
    <t>Mudaraba Hajj Savings Deposits :</t>
  </si>
  <si>
    <t>Cash Waqf.</t>
  </si>
  <si>
    <t>Chinese  Yuan</t>
  </si>
  <si>
    <t>RATES OF INTEREST ON NON-RESIDENT FOREIGN CURRENCY DEPOSIT (NFCD) ACCOUNT                                       STATE OWNED COMMERCIAL BANKS</t>
  </si>
  <si>
    <t>Hong Kong Dollar</t>
  </si>
  <si>
    <t>Japanese Yen</t>
  </si>
  <si>
    <t xml:space="preserve">No. of Persons </t>
  </si>
  <si>
    <t xml:space="preserve">Remittances </t>
  </si>
  <si>
    <t>Saudi Arabia</t>
  </si>
  <si>
    <t>Kuwait</t>
  </si>
  <si>
    <t>Libya</t>
  </si>
  <si>
    <t>Qatar</t>
  </si>
  <si>
    <t>Oman</t>
  </si>
  <si>
    <t>Singapore</t>
  </si>
  <si>
    <t>Germany</t>
  </si>
  <si>
    <t>Bahrain</t>
  </si>
  <si>
    <t>Iran</t>
  </si>
  <si>
    <t>Japan</t>
  </si>
  <si>
    <t>Other Countries</t>
  </si>
  <si>
    <t>Total Income</t>
  </si>
  <si>
    <t>Total Expenditure</t>
  </si>
  <si>
    <t>Bangladesh Bank (Central Bank)</t>
  </si>
  <si>
    <t>Specialized Banks</t>
  </si>
  <si>
    <t>Total Manpower</t>
  </si>
  <si>
    <t>1 month</t>
  </si>
  <si>
    <t>1 year</t>
  </si>
  <si>
    <t>Pound Sterling</t>
  </si>
  <si>
    <t>2009-10</t>
  </si>
  <si>
    <t>A.</t>
  </si>
  <si>
    <t>Bank Rate</t>
  </si>
  <si>
    <t>C.</t>
  </si>
  <si>
    <t>2008-09</t>
  </si>
  <si>
    <t>Engineering </t>
  </si>
  <si>
    <t>Jute Industries</t>
  </si>
  <si>
    <t>Exports</t>
  </si>
  <si>
    <t>Cement Industries</t>
  </si>
  <si>
    <t>Total Market Capitalisation</t>
  </si>
  <si>
    <t>Retail Market Price of Dhaka City</t>
  </si>
  <si>
    <t>Inflation (Food)</t>
  </si>
  <si>
    <t>Inflation (Non-food)</t>
  </si>
  <si>
    <t>Point -to- Point</t>
  </si>
  <si>
    <t>12- Month Average</t>
  </si>
  <si>
    <t xml:space="preserve">Social Islami Bank </t>
  </si>
  <si>
    <t>State Owned Commercial Banks</t>
  </si>
  <si>
    <t>5 years</t>
  </si>
  <si>
    <t>8 years</t>
  </si>
  <si>
    <t>Double Benefit Scheme</t>
  </si>
  <si>
    <t>Triple Benefit Scheme</t>
  </si>
  <si>
    <t>Mudaraba Steady Money</t>
  </si>
  <si>
    <t>Mudaraba Super Savings</t>
  </si>
  <si>
    <t>Mudaraba Multi Plus Savings</t>
  </si>
  <si>
    <t>Mudaraba Smart Saver Deposits</t>
  </si>
  <si>
    <t>Mudaraba Lakhopati Deposits Scheme</t>
  </si>
  <si>
    <t>Mudaraba Future Deposits Scheme</t>
  </si>
  <si>
    <t>Mudaraba Housing  Savings Scheme</t>
  </si>
  <si>
    <t>Children Savings Scheme</t>
  </si>
  <si>
    <t>Point -to-Point</t>
  </si>
  <si>
    <t>Tea</t>
  </si>
  <si>
    <t xml:space="preserve">August </t>
  </si>
  <si>
    <t>Clinker</t>
  </si>
  <si>
    <t>Cotton</t>
  </si>
  <si>
    <t>Banking Sector</t>
  </si>
  <si>
    <t>TRADE</t>
  </si>
  <si>
    <t>FOREIGN</t>
  </si>
  <si>
    <t xml:space="preserve">PRODUCTION OF MAJOR </t>
  </si>
  <si>
    <t>AGRICULTURAL COMMODITIES</t>
  </si>
  <si>
    <t>Currency in Circulation</t>
  </si>
  <si>
    <t>From</t>
  </si>
  <si>
    <t>PAYMENTS</t>
  </si>
  <si>
    <t>BALANCE OF</t>
  </si>
  <si>
    <t>Monetary Aggregates</t>
  </si>
  <si>
    <t xml:space="preserve">SELECTED ECONOMIC </t>
  </si>
  <si>
    <t>INDICATORS  </t>
  </si>
  <si>
    <t>BB</t>
  </si>
  <si>
    <t>DMBs</t>
  </si>
  <si>
    <t>Advances &amp; Bills</t>
  </si>
  <si>
    <t>Percentage change over end of the last June</t>
  </si>
  <si>
    <t>Income Velocity of  Money</t>
  </si>
  <si>
    <t xml:space="preserve">  </t>
  </si>
  <si>
    <t>Credit (Net) to Gover- nment</t>
  </si>
  <si>
    <t>Credit to Other Public Sector</t>
  </si>
  <si>
    <t>Bank Rate </t>
  </si>
  <si>
    <t>Deposits</t>
  </si>
  <si>
    <t xml:space="preserve"> Advances </t>
  </si>
  <si>
    <t>TABLE- IV (Contd.)</t>
  </si>
  <si>
    <t>Total Domestic credit</t>
  </si>
  <si>
    <t>End of period</t>
  </si>
  <si>
    <t>Interest Rates on</t>
  </si>
  <si>
    <t>Specialised Banks</t>
  </si>
  <si>
    <t>Private Banks</t>
  </si>
  <si>
    <t>RAKUB</t>
  </si>
  <si>
    <t>TABLE- IIE</t>
  </si>
  <si>
    <t xml:space="preserve">Lending Rates: </t>
  </si>
  <si>
    <t>Agriculture</t>
  </si>
  <si>
    <t>Sub-Category-1</t>
  </si>
  <si>
    <t>Sub-Category-2</t>
  </si>
  <si>
    <t>Non-Financial  Corporation</t>
  </si>
  <si>
    <t xml:space="preserve">         Deposit Liabilities</t>
  </si>
  <si>
    <t xml:space="preserve">         - =Not applicable</t>
  </si>
  <si>
    <r>
      <t>* Dubai Mediam, Fateh 32</t>
    </r>
    <r>
      <rPr>
        <vertAlign val="superscript"/>
        <sz val="6.5"/>
        <color indexed="8"/>
        <rFont val="Times New Roman"/>
        <family val="1"/>
      </rPr>
      <t xml:space="preserve">o </t>
    </r>
    <r>
      <rPr>
        <sz val="6.5"/>
        <color indexed="8"/>
        <rFont val="Times New Roman"/>
        <family val="1"/>
      </rPr>
      <t>API, Spot, f.o.b. U.K.</t>
    </r>
  </si>
  <si>
    <r>
      <t xml:space="preserve"> @ United Kingdom Light, Brent 38</t>
    </r>
    <r>
      <rPr>
        <vertAlign val="superscript"/>
        <sz val="6.5"/>
        <color indexed="8"/>
        <rFont val="Times New Roman"/>
        <family val="1"/>
      </rPr>
      <t>o</t>
    </r>
    <r>
      <rPr>
        <sz val="6.5"/>
        <color indexed="8"/>
        <rFont val="Times New Roman"/>
        <family val="1"/>
      </rPr>
      <t xml:space="preserve"> API, Spot, f.o.b. U.K.</t>
    </r>
  </si>
  <si>
    <t>Term Loan to Large &amp; Medium Scale Industry</t>
  </si>
  <si>
    <t xml:space="preserve">  Sub-Category-1</t>
  </si>
  <si>
    <t xml:space="preserve">  Sub-Category-2</t>
  </si>
  <si>
    <t>NBDCs</t>
  </si>
  <si>
    <t>Working Capital to Industry</t>
  </si>
  <si>
    <t xml:space="preserve">Trade Financing </t>
  </si>
  <si>
    <t xml:space="preserve">Housing Loan </t>
  </si>
  <si>
    <t xml:space="preserve">Consumer Credit </t>
  </si>
  <si>
    <t xml:space="preserve">Others </t>
  </si>
  <si>
    <t>NCCBL</t>
  </si>
  <si>
    <t>BCBL</t>
  </si>
  <si>
    <t>Bank Asia</t>
  </si>
  <si>
    <t>Woori Bank</t>
  </si>
  <si>
    <t>MERCHANDISE EXPORTS</t>
  </si>
  <si>
    <t>MERCHANDISE IMPORTS</t>
  </si>
  <si>
    <t>MERCHANDISE</t>
  </si>
  <si>
    <t>IMPORTS</t>
  </si>
  <si>
    <t>Aus Rice</t>
  </si>
  <si>
    <t>Aman Rice</t>
  </si>
  <si>
    <t>Boro Rice</t>
  </si>
  <si>
    <t>Currency     in Tills of DMBs</t>
  </si>
  <si>
    <t>Deposit Money Banks  (DMBs)</t>
  </si>
  <si>
    <t>To      Private</t>
  </si>
  <si>
    <t>To    Public</t>
  </si>
  <si>
    <t>Public    Bills</t>
  </si>
  <si>
    <t xml:space="preserve">                       Public                                                                  Sector</t>
  </si>
  <si>
    <t>Invest-ment</t>
  </si>
  <si>
    <t>Credit     to    Private Sector</t>
  </si>
  <si>
    <t>Other                                 Public Sector</t>
  </si>
  <si>
    <t>CPI of Major Non-Food Items / Groups</t>
  </si>
  <si>
    <t>91 percent of savings deposits are included in time deposits with effect from July 2007</t>
  </si>
  <si>
    <t>To     Banks</t>
  </si>
  <si>
    <t xml:space="preserve">                      Rates,             Ratios         &amp;         Average         </t>
  </si>
  <si>
    <t>Foreign Trade (during the period)</t>
  </si>
  <si>
    <t>2010-11</t>
  </si>
  <si>
    <t xml:space="preserve"> Bangladesh Bureau of Statistics</t>
  </si>
  <si>
    <t xml:space="preserve">                 </t>
  </si>
  <si>
    <t>TABLE-IB</t>
  </si>
  <si>
    <t>TABLE-IIA</t>
  </si>
  <si>
    <r>
      <t>Note :</t>
    </r>
    <r>
      <rPr>
        <sz val="7"/>
        <rFont val="Times New Roman"/>
        <family val="1"/>
      </rPr>
      <t xml:space="preserve"> </t>
    </r>
  </si>
  <si>
    <r>
      <t xml:space="preserve">Source    </t>
    </r>
    <r>
      <rPr>
        <sz val="7"/>
        <rFont val="Times New Roman"/>
        <family val="1"/>
      </rPr>
      <t xml:space="preserve">: </t>
    </r>
  </si>
  <si>
    <t>Government       (Net)</t>
  </si>
  <si>
    <t>In FC   Clearing A/C</t>
  </si>
  <si>
    <t>Deposits with BB</t>
  </si>
  <si>
    <t>By  DMBs</t>
  </si>
  <si>
    <t>TABLE-IIC</t>
  </si>
  <si>
    <t>TABLE-IID</t>
  </si>
  <si>
    <t xml:space="preserve">Net Foreign Assets </t>
  </si>
  <si>
    <t>Deposit Money Banks</t>
  </si>
  <si>
    <t>Net Domestic Assets (6+7)</t>
  </si>
  <si>
    <t>Reserve Money (1+8)</t>
  </si>
  <si>
    <t>Currency      in Tills of DMBs</t>
  </si>
  <si>
    <t xml:space="preserve">Note           : </t>
  </si>
  <si>
    <t>TABLE-IIF</t>
  </si>
  <si>
    <t>5 = (3+4)</t>
  </si>
  <si>
    <t>10 = (1+2+5+8+9)</t>
  </si>
  <si>
    <t xml:space="preserve">Note :  </t>
  </si>
  <si>
    <t>8 = (6+7)</t>
  </si>
  <si>
    <t>Commodities  ( others than food grains )</t>
  </si>
  <si>
    <t>( Taka in crore )</t>
  </si>
  <si>
    <t>Pharma-ceutical Products</t>
  </si>
  <si>
    <t>Capital machinery</t>
  </si>
  <si>
    <t>Total Exports     (1         through    10)</t>
  </si>
  <si>
    <t>Commodities                                                                                                ( other than food grains )</t>
  </si>
  <si>
    <t>TABLE-IV (Concld.)</t>
  </si>
  <si>
    <t xml:space="preserve">           </t>
  </si>
  <si>
    <t>Financial Institutions</t>
  </si>
  <si>
    <t>Mutual Funds</t>
  </si>
  <si>
    <t>13=(3+6+9+12)</t>
  </si>
  <si>
    <t>TABLE-V (Contd.)</t>
  </si>
  <si>
    <t>Tax Revenue Receipts (under NBR)</t>
  </si>
  <si>
    <t xml:space="preserve">SELECTED TAX REVENUE RECEIPTS  </t>
  </si>
  <si>
    <t>Telecomm-unication</t>
  </si>
  <si>
    <t>000'  sq. Metres</t>
  </si>
  <si>
    <t>Source : </t>
  </si>
  <si>
    <t xml:space="preserve">                  </t>
  </si>
  <si>
    <t xml:space="preserve">               </t>
  </si>
  <si>
    <t xml:space="preserve">                </t>
  </si>
  <si>
    <t>Monthly Profit Based Deposits</t>
  </si>
  <si>
    <t>Hajj Deposit (Term)</t>
  </si>
  <si>
    <t>Iranian Riyal</t>
  </si>
  <si>
    <t>Myanmar Kyat</t>
  </si>
  <si>
    <t>South Korean Won</t>
  </si>
  <si>
    <t>Soya bean Oil     (US $ /MT)</t>
  </si>
  <si>
    <t>Food      Products</t>
  </si>
  <si>
    <t>Oil      Products</t>
  </si>
  <si>
    <t xml:space="preserve">KEY INDICATORS OF </t>
  </si>
  <si>
    <t>NATIONAL ACCOUNTS</t>
  </si>
  <si>
    <t>GDP at Current Market Price</t>
  </si>
  <si>
    <t>GNI at Current Market Price</t>
  </si>
  <si>
    <t>Net  Current Transfer from Abroad</t>
  </si>
  <si>
    <t>Gross Domestic Savings at Current Market Price</t>
  </si>
  <si>
    <t>Gross National Savings at  Current Market Price</t>
  </si>
  <si>
    <t>National Savings as % of GDP at Current Market Price</t>
  </si>
  <si>
    <t>GDP at Constant Market Price</t>
  </si>
  <si>
    <t>GNI at Constant Market Price</t>
  </si>
  <si>
    <t>Per Capita (Amount in unit)</t>
  </si>
  <si>
    <t>Income at Current Market Price</t>
  </si>
  <si>
    <t>P = Provisional</t>
  </si>
  <si>
    <t>Non-Food</t>
  </si>
  <si>
    <t>Transport &amp; Communi-cations</t>
  </si>
  <si>
    <t>Recreation, Entertain-ment, Education &amp; Cultural Services</t>
  </si>
  <si>
    <t>Source:</t>
  </si>
  <si>
    <r>
      <t>Source</t>
    </r>
    <r>
      <rPr>
        <sz val="7"/>
        <color indexed="8"/>
        <rFont val="Times New Roman"/>
        <family val="1"/>
      </rPr>
      <t>: Bangladesh Bureau of Statistics</t>
    </r>
  </si>
  <si>
    <t>Import Duty</t>
  </si>
  <si>
    <t>Net Primary Income from Abroad</t>
  </si>
  <si>
    <t>Manufa-cturing</t>
  </si>
  <si>
    <t>Constr-uctions</t>
  </si>
  <si>
    <t>Finan-cial     Inter-medi-ations</t>
  </si>
  <si>
    <t>Educa-tion</t>
  </si>
  <si>
    <t>TABLE-X</t>
  </si>
  <si>
    <r>
      <t>Note       :</t>
    </r>
    <r>
      <rPr>
        <sz val="8"/>
        <color indexed="8"/>
        <rFont val="Times New Roman"/>
        <family val="1"/>
      </rPr>
      <t xml:space="preserve"> </t>
    </r>
  </si>
  <si>
    <t>Gross Disposable National  Income at Current Market Price</t>
  </si>
  <si>
    <t>Total Consum-ption at Current Market Price</t>
  </si>
  <si>
    <t>Income at Constant Market Price</t>
  </si>
  <si>
    <t>Annual Growth     of GDP at Constant Market Price %</t>
  </si>
  <si>
    <t>Miscella-neous </t>
  </si>
  <si>
    <t>u)</t>
  </si>
  <si>
    <t>Mudaraba Marriage Savings Scheme</t>
  </si>
  <si>
    <t>DMBs Total Assets/ Liabilities</t>
  </si>
  <si>
    <t>Total Invest-ments as    % of GDP at Current Market Price</t>
  </si>
  <si>
    <t>Total Consum-ption as % of GDP at Current Market Price</t>
  </si>
  <si>
    <t>Export Duty</t>
  </si>
  <si>
    <t xml:space="preserve"> Weighted Average Exchange Rate</t>
  </si>
  <si>
    <t>ii)  Loan above Tk. 15 lacs</t>
  </si>
  <si>
    <t>i)  Loan upto Tk. 15 lacs</t>
  </si>
  <si>
    <t>Sugar Cane</t>
  </si>
  <si>
    <t>Rape &amp; Mustard</t>
  </si>
  <si>
    <t>TABLE-V (Concld.)</t>
  </si>
  <si>
    <t>Moong</t>
  </si>
  <si>
    <t>Masur</t>
  </si>
  <si>
    <t>Tobacco</t>
  </si>
  <si>
    <t>Jute</t>
  </si>
  <si>
    <t>…</t>
  </si>
  <si>
    <t xml:space="preserve">iii) </t>
  </si>
  <si>
    <t xml:space="preserve">iv) </t>
  </si>
  <si>
    <t>iii)</t>
  </si>
  <si>
    <t>iv)</t>
  </si>
  <si>
    <t>Banking)</t>
  </si>
  <si>
    <t>INDICATORS</t>
  </si>
  <si>
    <t>TABLE-IA (Contd.)</t>
  </si>
  <si>
    <t xml:space="preserve"> Euro</t>
  </si>
  <si>
    <t>v)</t>
  </si>
  <si>
    <t>f)</t>
  </si>
  <si>
    <t>i)</t>
  </si>
  <si>
    <t>j)</t>
  </si>
  <si>
    <t>k)</t>
  </si>
  <si>
    <t>l)</t>
  </si>
  <si>
    <t>m)</t>
  </si>
  <si>
    <t>n)</t>
  </si>
  <si>
    <t>o)</t>
  </si>
  <si>
    <t>p)</t>
  </si>
  <si>
    <t xml:space="preserve">Domestic  </t>
  </si>
  <si>
    <t>AT INTERNATIONAL MARKET</t>
  </si>
  <si>
    <t>TABLE-IIIB</t>
  </si>
  <si>
    <t>Cotton (U.S. Cents/ pound)</t>
  </si>
  <si>
    <t>Gold (US $/ Troy Ounce)</t>
  </si>
  <si>
    <t>CURRENCIES AGAINST US DOLLAR</t>
  </si>
  <si>
    <t>(Taka per</t>
  </si>
  <si>
    <t>RATES</t>
  </si>
  <si>
    <t>Currencies)</t>
  </si>
  <si>
    <t>EXCHANGE</t>
  </si>
  <si>
    <t xml:space="preserve">REMITTANCES </t>
  </si>
  <si>
    <t>36.37 Litres</t>
  </si>
  <si>
    <r>
      <t>1(</t>
    </r>
    <r>
      <rPr>
        <vertAlign val="superscript"/>
        <sz val="9"/>
        <color indexed="8"/>
        <rFont val="Times New Roman"/>
        <family val="1"/>
      </rPr>
      <t>0</t>
    </r>
    <r>
      <rPr>
        <sz val="9"/>
        <color indexed="8"/>
        <rFont val="Times New Roman"/>
        <family val="1"/>
      </rPr>
      <t>F)</t>
    </r>
  </si>
  <si>
    <r>
      <t>1.8(</t>
    </r>
    <r>
      <rPr>
        <vertAlign val="superscript"/>
        <sz val="9"/>
        <color indexed="8"/>
        <rFont val="Times New Roman"/>
        <family val="1"/>
      </rPr>
      <t>0</t>
    </r>
    <r>
      <rPr>
        <sz val="9"/>
        <color indexed="8"/>
        <rFont val="Times New Roman"/>
        <family val="1"/>
      </rPr>
      <t>C) + 32</t>
    </r>
  </si>
  <si>
    <t>100 Decimals</t>
  </si>
  <si>
    <t xml:space="preserve">Appendix : </t>
  </si>
  <si>
    <t>TABLE-IIB</t>
  </si>
  <si>
    <t>Services</t>
  </si>
  <si>
    <t>2007-08</t>
  </si>
  <si>
    <t>Liverpool  Index</t>
  </si>
  <si>
    <t>Inflows</t>
  </si>
  <si>
    <t>Stocks</t>
  </si>
  <si>
    <t xml:space="preserve">Total               </t>
  </si>
  <si>
    <t xml:space="preserve">Total                </t>
  </si>
  <si>
    <t>28.10.09</t>
  </si>
  <si>
    <t>28.10.29</t>
  </si>
  <si>
    <t>23.12.09</t>
  </si>
  <si>
    <t>23.12.29</t>
  </si>
  <si>
    <t>24.02.10</t>
  </si>
  <si>
    <t>24.02.30</t>
  </si>
  <si>
    <t>24.03.10</t>
  </si>
  <si>
    <t>24.03.30</t>
  </si>
  <si>
    <t>TABLE-XVI</t>
  </si>
  <si>
    <t xml:space="preserve">g)  </t>
  </si>
  <si>
    <t>Mudaraba Special Deposit  Pension Scheme</t>
  </si>
  <si>
    <t>12 years</t>
  </si>
  <si>
    <t xml:space="preserve"> i) </t>
  </si>
  <si>
    <t xml:space="preserve"> ii) </t>
  </si>
  <si>
    <t>15 years</t>
  </si>
  <si>
    <t>20 years</t>
  </si>
  <si>
    <t>25 years</t>
  </si>
  <si>
    <t>10 years</t>
  </si>
  <si>
    <t>Non Resident Bond</t>
  </si>
  <si>
    <t xml:space="preserve">h) </t>
  </si>
  <si>
    <t xml:space="preserve">e)     </t>
  </si>
  <si>
    <t>Benefit Scheme</t>
  </si>
  <si>
    <t xml:space="preserve">f) </t>
  </si>
  <si>
    <t>Millionaire Scheme Deposit</t>
  </si>
  <si>
    <t>ii)  11 to 25  years</t>
  </si>
  <si>
    <t>iii)  One Time Hajj Deposits</t>
  </si>
  <si>
    <t>i)    1 to 10 years</t>
  </si>
  <si>
    <t>MMPDR / Hajj Deposit (Monthly)</t>
  </si>
  <si>
    <t>... =Not applicable</t>
  </si>
  <si>
    <t xml:space="preserve">               </t>
  </si>
  <si>
    <t>… = Not Available</t>
  </si>
  <si>
    <t xml:space="preserve">Source :      </t>
  </si>
  <si>
    <t xml:space="preserve">Source : </t>
  </si>
  <si>
    <t xml:space="preserve">            </t>
  </si>
  <si>
    <t>TABLE-XVIII</t>
  </si>
  <si>
    <t>Source    :</t>
  </si>
  <si>
    <t>MONETARY</t>
  </si>
  <si>
    <t xml:space="preserve">COUNTRY-WISE WORKERS' </t>
  </si>
  <si>
    <t>Bangladeshi Taka</t>
  </si>
  <si>
    <t>South Korean  Won</t>
  </si>
  <si>
    <t>Sri  Lankan Rupee</t>
  </si>
  <si>
    <t xml:space="preserve">Source   : </t>
  </si>
  <si>
    <t>Deposits with BB other than DMBs</t>
  </si>
  <si>
    <t>DMBs Advances</t>
  </si>
  <si>
    <t>DMBs Investment</t>
  </si>
  <si>
    <t>Other Financial Corporation &amp; NBDCs</t>
  </si>
  <si>
    <t>Public</t>
  </si>
  <si>
    <t>Non-Financial Corporation</t>
  </si>
  <si>
    <t xml:space="preserve">Total </t>
  </si>
  <si>
    <t>1 Maund</t>
  </si>
  <si>
    <t>=</t>
  </si>
  <si>
    <t>37.324 Kgs.</t>
  </si>
  <si>
    <t>1 Bale</t>
  </si>
  <si>
    <t>180 Kgs.</t>
  </si>
  <si>
    <t>82.285 lbs.</t>
  </si>
  <si>
    <t>4.823 Mds.</t>
  </si>
  <si>
    <t>1 Seer</t>
  </si>
  <si>
    <t>0.933 Kg.</t>
  </si>
  <si>
    <t>1 Metric Ton</t>
  </si>
  <si>
    <t>1000 Kgs.</t>
  </si>
  <si>
    <t>Public Sector</t>
  </si>
  <si>
    <t>26.792 Mds.</t>
  </si>
  <si>
    <t>1 Pound (lb)</t>
  </si>
  <si>
    <t>0.4536 Kg.</t>
  </si>
  <si>
    <t>1 Long Ton</t>
  </si>
  <si>
    <t>1016.05 Kgs.</t>
  </si>
  <si>
    <t>1 Tola</t>
  </si>
  <si>
    <t>11.66 gms.</t>
  </si>
  <si>
    <t>27.223 Mds.</t>
  </si>
  <si>
    <t>1 Metre</t>
  </si>
  <si>
    <t>39.37 Inches</t>
  </si>
  <si>
    <t>1 Ounce</t>
  </si>
  <si>
    <t>2.43 Tola</t>
  </si>
  <si>
    <t>3.2808 Ft.</t>
  </si>
  <si>
    <t>28.35 gms.</t>
  </si>
  <si>
    <t>1 Sq. Metre</t>
  </si>
  <si>
    <t>10.764 Sq. Ft.</t>
  </si>
  <si>
    <t>1 Troy ounce</t>
  </si>
  <si>
    <t>1 Mile</t>
  </si>
  <si>
    <t>1.6093 Km.</t>
  </si>
  <si>
    <t>2.666 Tola</t>
  </si>
  <si>
    <t>0.3048 Metre</t>
  </si>
  <si>
    <t>1 Quintal</t>
  </si>
  <si>
    <t>100 Kgs.</t>
  </si>
  <si>
    <t>1 Sq. Ft.</t>
  </si>
  <si>
    <t>0.0929 Sq. Metre</t>
  </si>
  <si>
    <t>220.5 lbs.</t>
  </si>
  <si>
    <t>1 Bigha</t>
  </si>
  <si>
    <t>0.3306 Acre</t>
  </si>
  <si>
    <t>2.679 Mds.</t>
  </si>
  <si>
    <t xml:space="preserve">TABLE-III A (Contd.) </t>
  </si>
  <si>
    <t>TABLE-III A (Concld.)</t>
  </si>
  <si>
    <t>1600 Sq. Yards</t>
  </si>
  <si>
    <t>0.1 Metric Ton</t>
  </si>
  <si>
    <t xml:space="preserve">MONETARY </t>
  </si>
  <si>
    <t>BY THE BANKING SYSTEM</t>
  </si>
  <si>
    <t>1.65 Decimal</t>
  </si>
  <si>
    <t>1 Litre</t>
  </si>
  <si>
    <t>0.22 Gallon</t>
  </si>
  <si>
    <t>720 Sq. Ft.</t>
  </si>
  <si>
    <t>1000 CC</t>
  </si>
  <si>
    <t>66.89 Sq. Metre</t>
  </si>
  <si>
    <t>0.027 Bushel</t>
  </si>
  <si>
    <t>1 Decimal</t>
  </si>
  <si>
    <t>435.6 Sq. Ft.</t>
  </si>
  <si>
    <t>1 Barrel</t>
  </si>
  <si>
    <t>34.9726 Gallon</t>
  </si>
  <si>
    <t>1 Acre</t>
  </si>
  <si>
    <t>0.405 Hectare</t>
  </si>
  <si>
    <t>0.125 M. T.</t>
  </si>
  <si>
    <t>4840 Sq. Yards</t>
  </si>
  <si>
    <t>1 Crore</t>
  </si>
  <si>
    <t>10 Millions</t>
  </si>
  <si>
    <t>100 Lacs.</t>
  </si>
  <si>
    <t>1 Hectare</t>
  </si>
  <si>
    <t>2.47 Acres</t>
  </si>
  <si>
    <t>0.01 Billion</t>
  </si>
  <si>
    <t>1 Megawatt</t>
  </si>
  <si>
    <t>1000 Kilo Watts.</t>
  </si>
  <si>
    <t xml:space="preserve"> --- = Not applicable</t>
  </si>
  <si>
    <t>q)</t>
  </si>
  <si>
    <t>Mudaraba Muhar Savings(10yrs.)</t>
  </si>
  <si>
    <t>r)</t>
  </si>
  <si>
    <t>BDBL</t>
  </si>
  <si>
    <t>Mudaraba Muhar Savings(5yrs.)</t>
  </si>
  <si>
    <t>s)</t>
  </si>
  <si>
    <t>t)</t>
  </si>
  <si>
    <t>26.09.07</t>
  </si>
  <si>
    <t>24.10.07</t>
  </si>
  <si>
    <t>28.11.07</t>
  </si>
  <si>
    <t>26.09.27</t>
  </si>
  <si>
    <t>24.10.27</t>
  </si>
  <si>
    <t>28.11.27</t>
  </si>
  <si>
    <t>ii)</t>
  </si>
  <si>
    <t>1 Katha</t>
  </si>
  <si>
    <t>4046.8468 Sq. Metre</t>
  </si>
  <si>
    <t>1 Feet</t>
  </si>
  <si>
    <t>End of Period</t>
  </si>
  <si>
    <t>Banks</t>
  </si>
  <si>
    <t>Total</t>
  </si>
  <si>
    <t>Private</t>
  </si>
  <si>
    <t>Domestic</t>
  </si>
  <si>
    <t>Average</t>
  </si>
  <si>
    <t>Period</t>
  </si>
  <si>
    <t>Net Foreign Assets</t>
  </si>
  <si>
    <t>Domestic Credit</t>
  </si>
  <si>
    <t>Government (Net)</t>
  </si>
  <si>
    <t>Other Public Sector</t>
  </si>
  <si>
    <t>Goods</t>
  </si>
  <si>
    <t>Receipts</t>
  </si>
  <si>
    <t>Payments</t>
  </si>
  <si>
    <t>Official</t>
  </si>
  <si>
    <t>Others</t>
  </si>
  <si>
    <t>Food grains</t>
  </si>
  <si>
    <t>Rice</t>
  </si>
  <si>
    <t>Wheat</t>
  </si>
  <si>
    <t>Spices</t>
  </si>
  <si>
    <t>Yarn</t>
  </si>
  <si>
    <t>Paper</t>
  </si>
  <si>
    <t>Cigarettes</t>
  </si>
  <si>
    <t>Food</t>
  </si>
  <si>
    <t>Matches</t>
  </si>
  <si>
    <t>CPI</t>
  </si>
  <si>
    <t>General</t>
  </si>
  <si>
    <t>Inflation (General)</t>
  </si>
  <si>
    <t>Fishing</t>
  </si>
  <si>
    <t>Textile Industries</t>
  </si>
  <si>
    <t>Insurance</t>
  </si>
  <si>
    <t>B.</t>
  </si>
  <si>
    <t>(Percent per annum)</t>
  </si>
  <si>
    <t>Maturity of Deposits</t>
  </si>
  <si>
    <t>Borrowing Rate</t>
  </si>
  <si>
    <t>Highest</t>
  </si>
  <si>
    <t>Lowest</t>
  </si>
  <si>
    <t>Lending Rate</t>
  </si>
  <si>
    <t>Malaysia</t>
  </si>
  <si>
    <t>ACU Dollar</t>
  </si>
  <si>
    <t>Bahrain Dinar</t>
  </si>
  <si>
    <t>Canadian Dollar</t>
  </si>
  <si>
    <t>Danish Krone</t>
  </si>
  <si>
    <t>Indian Rupee</t>
  </si>
  <si>
    <t>Indonesian Rupiah</t>
  </si>
  <si>
    <t>Kuwaiti Dinar</t>
  </si>
  <si>
    <t>Nepalese Rupee</t>
  </si>
  <si>
    <t>New Zealand Dollar</t>
  </si>
  <si>
    <t>Norwegian Krone</t>
  </si>
  <si>
    <t>Omani Riyal</t>
  </si>
  <si>
    <t>Pakistani Rupee</t>
  </si>
  <si>
    <t>Philippines Peso</t>
  </si>
  <si>
    <t>Qatar Riyal</t>
  </si>
  <si>
    <t>Russian Ruble</t>
  </si>
  <si>
    <t>Saudi Arabian Riyal</t>
  </si>
  <si>
    <t>Singapore Dollar</t>
  </si>
  <si>
    <t>Swedish Krona</t>
  </si>
  <si>
    <t>SDR</t>
  </si>
  <si>
    <t>UAE Dirham</t>
  </si>
  <si>
    <t>US Dollar</t>
  </si>
  <si>
    <t>Australia</t>
  </si>
  <si>
    <t>Ukraine</t>
  </si>
  <si>
    <t>Argentina</t>
  </si>
  <si>
    <t>VAT</t>
  </si>
  <si>
    <t>Import</t>
  </si>
  <si>
    <t>Supplementary Tax</t>
  </si>
  <si>
    <t>Registration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</si>
  <si>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</si>
  <si>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</si>
  <si>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</si>
  <si>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</si>
  <si>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</si>
  <si>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</si>
  <si>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</si>
  <si>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</si>
  <si>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</si>
  <si>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</si>
  <si>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</si>
  <si>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</si>
  <si>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September</t>
  </si>
  <si>
    <t>December</t>
  </si>
  <si>
    <t>March</t>
  </si>
  <si>
    <t>June</t>
  </si>
  <si>
    <t>2005-06</t>
  </si>
  <si>
    <t>July</t>
  </si>
  <si>
    <t>August</t>
  </si>
  <si>
    <t>October</t>
  </si>
  <si>
    <t>November</t>
  </si>
  <si>
    <t>January</t>
  </si>
  <si>
    <t>February</t>
  </si>
  <si>
    <t>April</t>
  </si>
  <si>
    <t>May</t>
  </si>
  <si>
    <t>2006-07</t>
  </si>
  <si>
    <t>Weight</t>
  </si>
  <si>
    <t>Credit</t>
  </si>
  <si>
    <t>TABLE-IA (concld.)</t>
  </si>
  <si>
    <t>Nature of Deposits</t>
  </si>
  <si>
    <t>Cotton Yarn</t>
  </si>
  <si>
    <t>Cotton Cloth</t>
  </si>
  <si>
    <t>Fertilizers</t>
  </si>
  <si>
    <t>Private Sector</t>
  </si>
  <si>
    <t>Total Domestic Credit (6+9+10)</t>
  </si>
  <si>
    <t>Other Revenue Receipts</t>
  </si>
  <si>
    <t>Post Office Revenue</t>
  </si>
  <si>
    <t>...</t>
  </si>
  <si>
    <t>Items</t>
  </si>
  <si>
    <t>Country of Origin &amp; Market</t>
  </si>
  <si>
    <t>U.K. (London)</t>
  </si>
  <si>
    <t>---</t>
  </si>
  <si>
    <t>Sugar</t>
  </si>
  <si>
    <t>1)</t>
  </si>
  <si>
    <t>2)</t>
  </si>
  <si>
    <t>3)</t>
  </si>
  <si>
    <t>4)</t>
  </si>
  <si>
    <t>5)</t>
  </si>
  <si>
    <t xml:space="preserve">Note     : </t>
  </si>
  <si>
    <t xml:space="preserve">SOME SELECTED COMMODITY PRICES </t>
  </si>
  <si>
    <t>Dubai* Fateh</t>
  </si>
  <si>
    <t>U.K. @ Brent</t>
  </si>
  <si>
    <t>United States (US Gulf Ports)</t>
  </si>
  <si>
    <t>Malaysia (NW Europe)</t>
  </si>
  <si>
    <t>All Origins (Dutch Ports)</t>
  </si>
  <si>
    <t>Working Capital to Large &amp; Medium Scale Industry</t>
  </si>
  <si>
    <t>Working Capital to Small Industry</t>
  </si>
  <si>
    <t>TABLE-XV (Contd.)</t>
  </si>
  <si>
    <t xml:space="preserve">Private                                                                                                                                          Banks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</si>
  <si>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Foreign                                                                                                                              Banks</t>
  </si>
  <si>
    <t>HSBC</t>
  </si>
  <si>
    <t>TABLE-XV (Concld.)</t>
  </si>
  <si>
    <t>Thailand (Bangkok)</t>
  </si>
  <si>
    <t>Thailand </t>
  </si>
  <si>
    <t>Australia </t>
  </si>
  <si>
    <t>E.U Import Price</t>
  </si>
  <si>
    <t>Free Market</t>
  </si>
  <si>
    <t>U.S. Import Price</t>
  </si>
  <si>
    <t>(In Percent) </t>
  </si>
  <si>
    <t>Australian Dollar</t>
  </si>
  <si>
    <t>Malaysian Ringgit</t>
  </si>
  <si>
    <t>Syrian Pound</t>
  </si>
  <si>
    <t>Mudaraba Savings Deposits</t>
  </si>
  <si>
    <t>Mudaraba Term Deposits</t>
  </si>
  <si>
    <t>a)</t>
  </si>
  <si>
    <t>3 years</t>
  </si>
  <si>
    <t>b)</t>
  </si>
  <si>
    <t>2 years</t>
  </si>
  <si>
    <t>c)</t>
  </si>
  <si>
    <t>d)</t>
  </si>
  <si>
    <t>6 months</t>
  </si>
  <si>
    <t>e)</t>
  </si>
  <si>
    <t>3 months</t>
  </si>
  <si>
    <t>Mudaraba Special Notice Deposits</t>
  </si>
  <si>
    <t>Monthly Term Savings Deposit</t>
  </si>
  <si>
    <t>Monthly Savings Investment Deposit</t>
  </si>
  <si>
    <t xml:space="preserve"> </t>
  </si>
  <si>
    <t xml:space="preserve">Deposits with </t>
  </si>
  <si>
    <t xml:space="preserve">MARKET CAPITALISATION (VALUE) OF ORDINARY SHARES OF COMPANIES </t>
  </si>
  <si>
    <t>Euro</t>
  </si>
  <si>
    <t xml:space="preserve">Net             </t>
  </si>
  <si>
    <t xml:space="preserve">Net                 </t>
  </si>
  <si>
    <t>9 = (7-8)</t>
  </si>
  <si>
    <t>6 = (4-5)</t>
  </si>
  <si>
    <t>3 = (1-2)</t>
  </si>
  <si>
    <t xml:space="preserve">Total             </t>
  </si>
  <si>
    <t>12 = (10+11)</t>
  </si>
  <si>
    <t xml:space="preserve">Total                        </t>
  </si>
  <si>
    <t xml:space="preserve">Total           </t>
  </si>
  <si>
    <t>14=(12+13)</t>
  </si>
  <si>
    <t>37=(14+36)</t>
  </si>
  <si>
    <t>38=(11-37)</t>
  </si>
  <si>
    <t>Others (Inclu-ding EPZ)</t>
  </si>
  <si>
    <t>Gross National Income (GNI) (18+19)</t>
  </si>
  <si>
    <t>Total Advances  (excluding    inter-bank)    (18+19)</t>
  </si>
  <si>
    <t>Total Bills   (excluding inter-bank) (22+23)</t>
  </si>
  <si>
    <t>Total Investment  (excluding        inter-bank)      (26+27)</t>
  </si>
  <si>
    <t>To            Banks     (17+21+25)</t>
  </si>
  <si>
    <t>Total    Deposit Liabilities    (37+38)</t>
  </si>
  <si>
    <t xml:space="preserve">Total Credit to Government (Gross) by the                Banking System </t>
  </si>
  <si>
    <t>Swiss Franc</t>
  </si>
  <si>
    <r>
      <rPr>
        <b/>
        <sz val="8"/>
        <color indexed="8"/>
        <rFont val="Times New Roman"/>
        <family val="1"/>
      </rPr>
      <t>Source:</t>
    </r>
    <r>
      <rPr>
        <sz val="8"/>
        <color indexed="8"/>
        <rFont val="Times New Roman"/>
        <family val="1"/>
      </rPr>
      <t xml:space="preserve"> </t>
    </r>
  </si>
  <si>
    <t>12.94</t>
  </si>
  <si>
    <t>26.05.10</t>
  </si>
  <si>
    <t>26.05.30</t>
  </si>
  <si>
    <t>29.07.10</t>
  </si>
  <si>
    <t>29.07.30</t>
  </si>
  <si>
    <t>25.08.10</t>
  </si>
  <si>
    <t>25.08.30</t>
  </si>
  <si>
    <t>29.09.10</t>
  </si>
  <si>
    <t>29.09.30</t>
  </si>
  <si>
    <t>27.10.10</t>
  </si>
  <si>
    <t>27.10.30</t>
  </si>
  <si>
    <t>24.11.10</t>
  </si>
  <si>
    <t>24.11.30</t>
  </si>
  <si>
    <t>29.12.10</t>
  </si>
  <si>
    <t>26.01.11</t>
  </si>
  <si>
    <t>26.01.31</t>
  </si>
  <si>
    <t>23.02.11</t>
  </si>
  <si>
    <t>23.02.31</t>
  </si>
  <si>
    <t>23.03.11</t>
  </si>
  <si>
    <t>23.03.31</t>
  </si>
  <si>
    <t>13.04.11</t>
  </si>
  <si>
    <t>13.04.26</t>
  </si>
  <si>
    <t>27.04.11</t>
  </si>
  <si>
    <t>27.04.31</t>
  </si>
  <si>
    <t>Note :</t>
  </si>
  <si>
    <r>
      <rPr>
        <b/>
        <sz val="8"/>
        <color indexed="8"/>
        <rFont val="Times New Roman"/>
        <family val="1"/>
      </rPr>
      <t>Note:</t>
    </r>
    <r>
      <rPr>
        <sz val="8"/>
        <color indexed="8"/>
        <rFont val="Times New Roman"/>
        <family val="1"/>
      </rPr>
      <t xml:space="preserve">   </t>
    </r>
  </si>
  <si>
    <t>IV</t>
  </si>
  <si>
    <t>V</t>
  </si>
  <si>
    <t>VII</t>
  </si>
  <si>
    <t>VIII</t>
  </si>
  <si>
    <t>X</t>
  </si>
  <si>
    <t>XI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</si>
  <si>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</si>
  <si>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</si>
  <si>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</si>
  <si>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</si>
  <si>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</si>
  <si>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</si>
  <si>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</si>
  <si>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</si>
  <si>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</si>
  <si>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</si>
  <si>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</si>
  <si>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</si>
  <si>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</si>
  <si>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</si>
  <si>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</si>
  <si>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Italy</t>
  </si>
  <si>
    <t xml:space="preserve">     Source :</t>
  </si>
  <si>
    <t>2011-12</t>
  </si>
  <si>
    <t>South Korea</t>
  </si>
  <si>
    <t xml:space="preserve">Source :   </t>
  </si>
  <si>
    <t>1 Bushel</t>
  </si>
  <si>
    <t>STATISTICAL TABLES</t>
  </si>
  <si>
    <t>IA</t>
  </si>
  <si>
    <t>IB</t>
  </si>
  <si>
    <t>IIA</t>
  </si>
  <si>
    <t>IIB</t>
  </si>
  <si>
    <t>Claims on Resident Sector by the Banking System</t>
  </si>
  <si>
    <t>IIC</t>
  </si>
  <si>
    <t>IID</t>
  </si>
  <si>
    <t>IIE</t>
  </si>
  <si>
    <t>IIF</t>
  </si>
  <si>
    <t>IIIA</t>
  </si>
  <si>
    <t>Balance of  Payments</t>
  </si>
  <si>
    <t>IIIB</t>
  </si>
  <si>
    <t>Foreign Trade</t>
  </si>
  <si>
    <t xml:space="preserve">Production of Major Agricultural Commodities </t>
  </si>
  <si>
    <t xml:space="preserve">Production of Major Industrial Commodities (Other than Jute Goods) </t>
  </si>
  <si>
    <t>Average Prices of Selected Commodities</t>
  </si>
  <si>
    <t>Key Indicators of National Accounts</t>
  </si>
  <si>
    <t xml:space="preserve">Interest Rate Structure of Government Securities/Bonds and Savings Instruments </t>
  </si>
  <si>
    <t xml:space="preserve">Rate of Interest on Non-resident Foreign Currency Deposit (NFCD) Accounts </t>
  </si>
  <si>
    <t>Monthly Average Call Money Market Rates</t>
  </si>
  <si>
    <t>Some Indicators of Income, Expenditure &amp; Profitability of the Banking Sector</t>
  </si>
  <si>
    <t>Country-wise Workers’ Remittances</t>
  </si>
  <si>
    <t>Exchange Rates (Taka Per Currencies)</t>
  </si>
  <si>
    <t>Appreciation/Depreciation of Some Selected Currencies Against U.S. Dollar</t>
  </si>
  <si>
    <t>Some Selected Commodity Prices at International Markets</t>
  </si>
  <si>
    <t>Mudaraba Education Deposit Scheme</t>
  </si>
  <si>
    <t>Mudaraba Monthly Profit Deposit Scheme (5 yrs.)</t>
  </si>
  <si>
    <t>Mudaraba Monthly Profit Deposit Scheme (3 yrs.)</t>
  </si>
  <si>
    <t>Market Capitalisation (Value) of Ordinary Shares of Companies Listed with the Dhaka Stock Exchange Ltd.</t>
  </si>
  <si>
    <t>Monetary Survey (M2)</t>
  </si>
  <si>
    <t xml:space="preserve">Monetary Survey (M3)  </t>
  </si>
  <si>
    <t>Cash     Base     of the Economy (3+42)</t>
  </si>
  <si>
    <t>Portfolio  Investment</t>
  </si>
  <si>
    <t>Other Investment</t>
  </si>
  <si>
    <t>Reserve Assets</t>
  </si>
  <si>
    <t>News  Print</t>
  </si>
  <si>
    <t>Ferti-lizers</t>
  </si>
  <si>
    <t>Oil  seeds</t>
  </si>
  <si>
    <t xml:space="preserve">    Edible      oil</t>
  </si>
  <si>
    <t>Staple fibres</t>
  </si>
  <si>
    <t xml:space="preserve">   Customs     Duty</t>
  </si>
  <si>
    <t xml:space="preserve">     Income   Tax</t>
  </si>
  <si>
    <t>Soybean  (US $/ MT)</t>
  </si>
  <si>
    <t>  Total Credit    (excluding        inter-bank)  (20+24+28)</t>
  </si>
  <si>
    <t>Total (excluding inter-bank) (7+10)</t>
  </si>
  <si>
    <t xml:space="preserve">  Other Resident      Sector </t>
  </si>
  <si>
    <t xml:space="preserve">     Other Resident           Sector</t>
  </si>
  <si>
    <t xml:space="preserve">    Equity    Capital</t>
  </si>
  <si>
    <t xml:space="preserve">   Equity    Capital</t>
  </si>
  <si>
    <t xml:space="preserve">    Total   Manpower</t>
  </si>
  <si>
    <t>Total   Manpower</t>
  </si>
  <si>
    <t xml:space="preserve">  Net Profit After Tax</t>
  </si>
  <si>
    <t xml:space="preserve">     Net      Profit</t>
  </si>
  <si>
    <t xml:space="preserve">    Total       Income</t>
  </si>
  <si>
    <t xml:space="preserve">     Total    Manpower</t>
  </si>
  <si>
    <t xml:space="preserve">  Govern-     ment    (Net)</t>
  </si>
  <si>
    <t xml:space="preserve">  Banking Sector</t>
  </si>
  <si>
    <t xml:space="preserve">  Total (1+2+3)</t>
  </si>
  <si>
    <t xml:space="preserve">   Total  (5+6+7)</t>
  </si>
  <si>
    <t>Total (9+10)</t>
  </si>
  <si>
    <t xml:space="preserve">   Banking  Sector</t>
  </si>
  <si>
    <t>Total  (12+13)</t>
  </si>
  <si>
    <t>Editorial Committee</t>
  </si>
  <si>
    <t xml:space="preserve">Statistics Department </t>
  </si>
  <si>
    <t xml:space="preserve">Bangladesh Bank         </t>
  </si>
  <si>
    <t>Ratio of DMBs Credit to Deposits  (in percent) </t>
  </si>
  <si>
    <t xml:space="preserve">       Coal            (US $/MT)</t>
  </si>
  <si>
    <t>Reinvested  Earning</t>
  </si>
  <si>
    <t xml:space="preserve">  Intra-company Loans</t>
  </si>
  <si>
    <t>Intra-company Loans</t>
  </si>
  <si>
    <t>Reinvested Earning</t>
  </si>
  <si>
    <t>Others (Including EPZ)</t>
  </si>
  <si>
    <t xml:space="preserve">  Pulses     (all sorts)</t>
  </si>
  <si>
    <t xml:space="preserve">        Area       (in '000' acres)</t>
  </si>
  <si>
    <t xml:space="preserve">      Total          Manpower</t>
  </si>
  <si>
    <t xml:space="preserve"> Net Profit After Tax</t>
  </si>
  <si>
    <t xml:space="preserve">    Total   Income</t>
  </si>
  <si>
    <t xml:space="preserve">    Total    Income</t>
  </si>
  <si>
    <t>( Inflation, Production Index, Foreign Trade,</t>
  </si>
  <si>
    <t xml:space="preserve">CLAIMS ON RESIDENT SECTORS </t>
  </si>
  <si>
    <t xml:space="preserve"> &lt; 1.00 crore</t>
  </si>
  <si>
    <t>1.00 crore but  &lt; 25.00 crore</t>
  </si>
  <si>
    <t>25.00 crore but  &lt; 50.00 crore</t>
  </si>
  <si>
    <t>50.00 crore but  &lt; 100.00 crore</t>
  </si>
  <si>
    <t>3 months but &lt;6 months</t>
  </si>
  <si>
    <t>6 months but &lt; 1 year</t>
  </si>
  <si>
    <t>1 year but&lt; 2 years</t>
  </si>
  <si>
    <t>2 years but &lt; 3 years</t>
  </si>
  <si>
    <t>3 years &amp; above</t>
  </si>
  <si>
    <t>Special Notice Deposits (SND):</t>
  </si>
  <si>
    <t>Commercial Banks</t>
  </si>
  <si>
    <t>SOME INDICATORS OF INCOME, EXPENDITURE &amp;</t>
  </si>
  <si>
    <t>PROFITABILITY OF THE BANKING SECTOR</t>
  </si>
  <si>
    <t>State Owned Banks</t>
  </si>
  <si>
    <t xml:space="preserve">      Total Income</t>
  </si>
  <si>
    <t xml:space="preserve"> Financial  Corporation</t>
  </si>
  <si>
    <t xml:space="preserve">BANK WISE ANNOUNCED INTEREST RATE STRUCTURE </t>
  </si>
  <si>
    <t xml:space="preserve">Claims on Resident Sectors by Depository Corporations </t>
  </si>
  <si>
    <t>14.97</t>
  </si>
  <si>
    <t>15.16</t>
  </si>
  <si>
    <t>Annual Growth    of GDP at Current Market Price %</t>
  </si>
  <si>
    <t>GDP Deflator</t>
  </si>
  <si>
    <r>
      <rPr>
        <b/>
        <sz val="8"/>
        <rFont val="Times New Roman"/>
        <family val="1"/>
      </rPr>
      <t>Source :</t>
    </r>
    <r>
      <rPr>
        <sz val="8"/>
        <rFont val="Times New Roman"/>
        <family val="1"/>
      </rPr>
      <t xml:space="preserve"> </t>
    </r>
  </si>
  <si>
    <t>2012-13</t>
  </si>
  <si>
    <t>Currency Out side Banks</t>
  </si>
  <si>
    <t>Point- to- Point (Base: 2005-06=100)</t>
  </si>
  <si>
    <t>12- Month Average (Base: 2005-06=100)</t>
  </si>
  <si>
    <t>Chinese Yuan</t>
  </si>
  <si>
    <t xml:space="preserve"> Danish Krone</t>
  </si>
  <si>
    <t xml:space="preserve"> Hongkong Dollar</t>
  </si>
  <si>
    <t>Indone-sian   Rupiah</t>
  </si>
  <si>
    <t>Japanese  Yen</t>
  </si>
  <si>
    <t>Kuwait Dinar</t>
  </si>
  <si>
    <t>Malay-sian Ringgit</t>
  </si>
  <si>
    <t>Myan-mar Kyat</t>
  </si>
  <si>
    <t>Pakistan Rupee</t>
  </si>
  <si>
    <t>Russian Rouble</t>
  </si>
  <si>
    <t xml:space="preserve">  Saudi    Riyal</t>
  </si>
  <si>
    <t xml:space="preserve"> Singapore    Dollar</t>
  </si>
  <si>
    <t xml:space="preserve"> Swedish  Krona</t>
  </si>
  <si>
    <t>Sri Lankan Rupee</t>
  </si>
  <si>
    <t>Foreign Banks</t>
  </si>
  <si>
    <t xml:space="preserve">SOME INDICATORS OF INCOME, EXPENDITURE &amp; </t>
  </si>
  <si>
    <t>APPRECIATION / DEPRECIATION OF SELECTED</t>
  </si>
  <si>
    <t xml:space="preserve">2011-12 </t>
  </si>
  <si>
    <t>Commercial                                                                    Banks</t>
  </si>
  <si>
    <t xml:space="preserve">     Total  Manpower</t>
  </si>
  <si>
    <t>Bangladesh Bank</t>
  </si>
  <si>
    <t xml:space="preserve">Monthly </t>
  </si>
  <si>
    <t>Economic Trends</t>
  </si>
  <si>
    <t>No interest</t>
  </si>
  <si>
    <t xml:space="preserve">No interest </t>
  </si>
  <si>
    <t xml:space="preserve"> No interest</t>
  </si>
  <si>
    <t>i) Before six months from the date of issue</t>
  </si>
  <si>
    <t>ii) On completion of six months but before one year</t>
  </si>
  <si>
    <t>iii) On completion of one year but before 1½ year</t>
  </si>
  <si>
    <t>iv) On completion of 1½ years but before two year</t>
  </si>
  <si>
    <t>v) On completion of two years and thereafter</t>
  </si>
  <si>
    <t xml:space="preserve">vi) On completion of five years and thereafter </t>
  </si>
  <si>
    <t>a) Ordinary Account</t>
  </si>
  <si>
    <t>a) Dhaka and Chittagong Metropolitan Cities</t>
  </si>
  <si>
    <t>b) Other Divisional/District Head Quarters.</t>
  </si>
  <si>
    <t>c) Fixed Deposit Account (Interest after 6 months)</t>
  </si>
  <si>
    <t xml:space="preserve">i) Within one year from the date of issue </t>
  </si>
  <si>
    <t>ii) After completion of one year but within two years</t>
  </si>
  <si>
    <t>iii) After completion of two years but within three years</t>
  </si>
  <si>
    <t>iii) For three years</t>
  </si>
  <si>
    <t>ii) For two years</t>
  </si>
  <si>
    <t>i) For one year</t>
  </si>
  <si>
    <t>b) Fixed Deposit Account (Interest after maturity)</t>
  </si>
  <si>
    <t xml:space="preserve">  Furniture, Furnishing   &amp; Others</t>
  </si>
  <si>
    <t xml:space="preserve">  Misc. Goods &amp; Services</t>
  </si>
  <si>
    <t xml:space="preserve">With effect from 01.07.06  </t>
  </si>
  <si>
    <t>Interest Rates on Deposits with Directorate of National Savings</t>
  </si>
  <si>
    <t>i) Tin Mas Antar Munafa Vittik Sanchayapatra</t>
  </si>
  <si>
    <t>ii) 5-year  Bangladesh Sanchayapatra</t>
  </si>
  <si>
    <t>iii) 5-year  Pensioner Sanchaya Patra after 3-month interest</t>
  </si>
  <si>
    <t>iv) 5-year  Paribar Sanchayapatra after monthly interest</t>
  </si>
  <si>
    <t>iv) After completion of three years</t>
  </si>
  <si>
    <t>With effect from 24.10.01</t>
  </si>
  <si>
    <t>With effect from 30.10.01</t>
  </si>
  <si>
    <t xml:space="preserve">With effect from 17.07.04   </t>
  </si>
  <si>
    <t xml:space="preserve">With effect from 04.12.05   </t>
  </si>
  <si>
    <t xml:space="preserve">With effect from 13.06.07  </t>
  </si>
  <si>
    <t xml:space="preserve">With effect from 01.07.10  </t>
  </si>
  <si>
    <t xml:space="preserve">  With effect from 01.07.11  </t>
  </si>
  <si>
    <t>With effect from 01.03.12</t>
  </si>
  <si>
    <t>Interest Rates on Construction Loans Provided by House Building Finance Corporation</t>
  </si>
  <si>
    <t xml:space="preserve">INTEREST RATE STRUCTURE OF </t>
  </si>
  <si>
    <t>INTEREST RATE STRUCTURE OF</t>
  </si>
  <si>
    <t>GOVERNMENT SECURITIES/BONDS</t>
  </si>
  <si>
    <t>d)  Savings Bond (Islami Bond)</t>
  </si>
  <si>
    <t xml:space="preserve">      Total  Domestic         Credit </t>
  </si>
  <si>
    <t>Income / Primary Income</t>
  </si>
  <si>
    <t>Current Transfers (Net)/ Secondary Income (Net)</t>
  </si>
  <si>
    <t>19=(15+16+17+18)</t>
  </si>
  <si>
    <t xml:space="preserve"> Financial    Account  (Net)</t>
  </si>
  <si>
    <t>Capital Account (Net)</t>
  </si>
  <si>
    <t>Direct  Investment</t>
  </si>
  <si>
    <t>End            of        Period</t>
  </si>
  <si>
    <t>Total          (7+8)</t>
  </si>
  <si>
    <t xml:space="preserve"> Private       Sector</t>
  </si>
  <si>
    <t xml:space="preserve"> Net          Other   Assets</t>
  </si>
  <si>
    <t>Net          Domestic      Assets     (11+12)</t>
  </si>
  <si>
    <t>End                   of             Period</t>
  </si>
  <si>
    <t>Total Domestic Credit</t>
  </si>
  <si>
    <t>Local               Authorities</t>
  </si>
  <si>
    <t>End               of          Period</t>
  </si>
  <si>
    <t>Net  Other Assets</t>
  </si>
  <si>
    <t>End              of        Period</t>
  </si>
  <si>
    <r>
      <t xml:space="preserve">Total         Domestic        Credit       </t>
    </r>
    <r>
      <rPr>
        <sz val="8"/>
        <color indexed="8"/>
        <rFont val="Times New Roman"/>
        <family val="1"/>
      </rPr>
      <t>(8+11+14)</t>
    </r>
  </si>
  <si>
    <t>Net            Other      Assets</t>
  </si>
  <si>
    <t>Net            Domestic         Assets      (15+16)</t>
  </si>
  <si>
    <t xml:space="preserve">Export        (f.o.b) </t>
  </si>
  <si>
    <t>Import        (f.o.b)</t>
  </si>
  <si>
    <t xml:space="preserve">Trade       Balance </t>
  </si>
  <si>
    <t xml:space="preserve">Current            Account        Balance         </t>
  </si>
  <si>
    <t>Crude Petroleum</t>
  </si>
  <si>
    <t xml:space="preserve">Total     Imports        </t>
  </si>
  <si>
    <t>Total   (15 through 35)</t>
  </si>
  <si>
    <t xml:space="preserve">Balance   of Trade         </t>
  </si>
  <si>
    <t xml:space="preserve"> '000'          Metres </t>
  </si>
  <si>
    <t xml:space="preserve"> '000'          Bales</t>
  </si>
  <si>
    <t xml:space="preserve"> Metric      Tons</t>
  </si>
  <si>
    <t xml:space="preserve">  Lac            Sticks</t>
  </si>
  <si>
    <t xml:space="preserve">  Metric   Tons</t>
  </si>
  <si>
    <t xml:space="preserve"> '000'        Gross Box</t>
  </si>
  <si>
    <t xml:space="preserve"> Metric        Tons</t>
  </si>
  <si>
    <t>End of    Period</t>
  </si>
  <si>
    <t>End of        Period</t>
  </si>
  <si>
    <t xml:space="preserve">  End of          Period</t>
  </si>
  <si>
    <t xml:space="preserve">  End of       Period</t>
  </si>
  <si>
    <t>Excise         Duty</t>
  </si>
  <si>
    <t>Land                 Revenue</t>
  </si>
  <si>
    <t>Other          Taxes</t>
  </si>
  <si>
    <t>Total              Tax</t>
  </si>
  <si>
    <t xml:space="preserve"> Forest       Revenue</t>
  </si>
  <si>
    <t xml:space="preserve"> Raw Jute</t>
  </si>
  <si>
    <t>Total (1+2)</t>
  </si>
  <si>
    <t>End                  of             Period</t>
  </si>
  <si>
    <t xml:space="preserve">  1) Post Office Savings Deposits</t>
  </si>
  <si>
    <t xml:space="preserve">  2) Interest Rates on National Savings Certificates</t>
  </si>
  <si>
    <t>18.04.12</t>
  </si>
  <si>
    <t>18.04.27</t>
  </si>
  <si>
    <t>23.05.12</t>
  </si>
  <si>
    <t>23.05.27</t>
  </si>
  <si>
    <t>20.06.12</t>
  </si>
  <si>
    <t>20.06.27</t>
  </si>
  <si>
    <t>18.07.12</t>
  </si>
  <si>
    <t>18.07.27</t>
  </si>
  <si>
    <t>19.09.12</t>
  </si>
  <si>
    <t>19.09.27</t>
  </si>
  <si>
    <t>21.11.12</t>
  </si>
  <si>
    <t>21.11.27</t>
  </si>
  <si>
    <t>19.12.12</t>
  </si>
  <si>
    <t>19.12.27</t>
  </si>
  <si>
    <t>23.11.11</t>
  </si>
  <si>
    <t>23.11.31</t>
  </si>
  <si>
    <t>Total   (8+9)</t>
  </si>
  <si>
    <t>Inter          Bank    Bills</t>
  </si>
  <si>
    <t xml:space="preserve"> Private    Bills</t>
  </si>
  <si>
    <t>Inter         Bank          Invest-   ment</t>
  </si>
  <si>
    <t>To       Public</t>
  </si>
  <si>
    <t>To         Private</t>
  </si>
  <si>
    <t>To             Private     (19+23+27)</t>
  </si>
  <si>
    <t>From      Govern-   ment</t>
  </si>
  <si>
    <t xml:space="preserve">  From        BB</t>
  </si>
  <si>
    <t xml:space="preserve">                           DMBs  Credit                            (Advances + Bills + Investment) </t>
  </si>
  <si>
    <t>10.11.21</t>
  </si>
  <si>
    <t>11.05.11</t>
  </si>
  <si>
    <t>11.05.26</t>
  </si>
  <si>
    <t>15.06.11</t>
  </si>
  <si>
    <t>15.06.26</t>
  </si>
  <si>
    <t>17.08.11</t>
  </si>
  <si>
    <t>17.08.26</t>
  </si>
  <si>
    <t>21.09.11</t>
  </si>
  <si>
    <t>21.09.26</t>
  </si>
  <si>
    <t>16.11.11</t>
  </si>
  <si>
    <t>16.11.26</t>
  </si>
  <si>
    <t>18.01.12</t>
  </si>
  <si>
    <t>18.01.27</t>
  </si>
  <si>
    <t>22.02.12</t>
  </si>
  <si>
    <t>22.02.27</t>
  </si>
  <si>
    <t>21.03.12</t>
  </si>
  <si>
    <t>21.03.27</t>
  </si>
  <si>
    <t xml:space="preserve">Note  : </t>
  </si>
  <si>
    <t>20.03.13</t>
  </si>
  <si>
    <t>20.03.28</t>
  </si>
  <si>
    <t>17.04.13</t>
  </si>
  <si>
    <t>17.04.28</t>
  </si>
  <si>
    <t>22.05.13</t>
  </si>
  <si>
    <t>22.05.28</t>
  </si>
  <si>
    <t>19.06.13</t>
  </si>
  <si>
    <t>19.06.28</t>
  </si>
  <si>
    <t>Ratio of Cash in hand and balances with the BB to Deposits (in percent)</t>
  </si>
  <si>
    <t>Note  :</t>
  </si>
  <si>
    <t>1. Weighted average rates of interest on scheduled banks deposits &amp; advances have been introduced monthly basis instead of  quarterly</t>
  </si>
  <si>
    <t>2013-14</t>
  </si>
  <si>
    <t xml:space="preserve">   Urea        (US $/ MT)</t>
  </si>
  <si>
    <t xml:space="preserve">    Sugar                                              (US cents/pound)</t>
  </si>
  <si>
    <t>Rice             (US $/MT)</t>
  </si>
  <si>
    <t xml:space="preserve">  Petroleum              (US$/ Barrel)</t>
  </si>
  <si>
    <t xml:space="preserve"> DSE Broad                   Index</t>
  </si>
  <si>
    <t xml:space="preserve"> Total                        (1+2)</t>
  </si>
  <si>
    <t xml:space="preserve"> Rice                 (US $/MT) </t>
  </si>
  <si>
    <t xml:space="preserve">  Super        phosphate       (US $/ MT)</t>
  </si>
  <si>
    <t>Period      Average</t>
  </si>
  <si>
    <t>End          Period</t>
  </si>
  <si>
    <t xml:space="preserve"> End                  Period</t>
  </si>
  <si>
    <t>End Period</t>
  </si>
  <si>
    <t>Period Average</t>
  </si>
  <si>
    <t xml:space="preserve">         SOME INDICATORS OF INCOME, EXPENDITURE &amp; </t>
  </si>
  <si>
    <t xml:space="preserve">   PROFITABILITY  OF THE BANKING SECTOR</t>
  </si>
  <si>
    <t>2012-13*</t>
  </si>
  <si>
    <t>26.12.13</t>
  </si>
  <si>
    <t>26.12.33</t>
  </si>
  <si>
    <t xml:space="preserve">Figures relating to Islamic Investment Bond is re-classified as claims on other public sector instead of other assets </t>
  </si>
  <si>
    <t>29.01.14</t>
  </si>
  <si>
    <t>29.01.34</t>
  </si>
  <si>
    <t>29.01.29</t>
  </si>
  <si>
    <t>26.02.14</t>
  </si>
  <si>
    <t>26.02.34</t>
  </si>
  <si>
    <t>26.02.29</t>
  </si>
  <si>
    <t>Short Term FC Deposit Liabilities</t>
  </si>
  <si>
    <t>27.03.14</t>
  </si>
  <si>
    <t>27.03.29</t>
  </si>
  <si>
    <t>23.04.14</t>
  </si>
  <si>
    <t>23.04.29</t>
  </si>
  <si>
    <t>27.03.34</t>
  </si>
  <si>
    <t>23.04.34</t>
  </si>
  <si>
    <t>28.05.14</t>
  </si>
  <si>
    <t>28.05.34</t>
  </si>
  <si>
    <t>25.06.34</t>
  </si>
  <si>
    <t>25.06.14</t>
  </si>
  <si>
    <t>28.05.29</t>
  </si>
  <si>
    <t>25.06.29</t>
  </si>
  <si>
    <t>2011-12*</t>
  </si>
  <si>
    <t>646342</t>
  </si>
  <si>
    <t>14.83</t>
  </si>
  <si>
    <t>6.46</t>
  </si>
  <si>
    <t>688493</t>
  </si>
  <si>
    <t>15.22</t>
  </si>
  <si>
    <t>6.52</t>
  </si>
  <si>
    <t>729897</t>
  </si>
  <si>
    <t>6.01</t>
  </si>
  <si>
    <t>13.62</t>
  </si>
  <si>
    <t>15.37</t>
  </si>
  <si>
    <t>15.58</t>
  </si>
  <si>
    <t>2014-15</t>
  </si>
  <si>
    <t>23.07.14</t>
  </si>
  <si>
    <t>23.07.29</t>
  </si>
  <si>
    <t>27.08.14</t>
  </si>
  <si>
    <t>27.08.29</t>
  </si>
  <si>
    <t>23.07.34</t>
  </si>
  <si>
    <t>27.08.34</t>
  </si>
  <si>
    <t>24.09.14</t>
  </si>
  <si>
    <t>24.09.29</t>
  </si>
  <si>
    <t>24.09.34</t>
  </si>
  <si>
    <t>788602</t>
  </si>
  <si>
    <t>746761</t>
  </si>
  <si>
    <t>697469</t>
  </si>
  <si>
    <t>51311</t>
  </si>
  <si>
    <t>49265</t>
  </si>
  <si>
    <t>46610</t>
  </si>
  <si>
    <t>2012**</t>
  </si>
  <si>
    <t>29.10.14</t>
  </si>
  <si>
    <t>29.10.29</t>
  </si>
  <si>
    <t>26.11.14</t>
  </si>
  <si>
    <t>26.11.29</t>
  </si>
  <si>
    <t>26.11.34</t>
  </si>
  <si>
    <t>29.10.34</t>
  </si>
  <si>
    <t>29.12.30</t>
  </si>
  <si>
    <t>Iron Ore (US $ /MT)</t>
  </si>
  <si>
    <t>China (CFR Tianjin Port)</t>
  </si>
  <si>
    <t>IIG</t>
  </si>
  <si>
    <t>E-Banking &amp; E-Commerce Statistics</t>
  </si>
  <si>
    <t>IXA</t>
  </si>
  <si>
    <t>IXB</t>
  </si>
  <si>
    <t>IXC</t>
  </si>
  <si>
    <t>XIIA</t>
  </si>
  <si>
    <t>XIIB</t>
  </si>
  <si>
    <t xml:space="preserve">TABLE- VII </t>
  </si>
  <si>
    <t>TABLE-IXA</t>
  </si>
  <si>
    <t>TABLE-IXB</t>
  </si>
  <si>
    <t>TABLE-XI</t>
  </si>
  <si>
    <t>TABLE-XIIA (Concld.)</t>
  </si>
  <si>
    <t>TABLE-XIII (Contd.)</t>
  </si>
  <si>
    <t>TABLE-XIII (Concld.)</t>
  </si>
  <si>
    <t>TABLE-XIV</t>
  </si>
  <si>
    <t xml:space="preserve">TABLE-XVII (Contd.) </t>
  </si>
  <si>
    <t xml:space="preserve">TABLE-XVII (Concld.) </t>
  </si>
  <si>
    <t>TABLE-XIX</t>
  </si>
  <si>
    <t>TABLE-XX (Contd.)</t>
  </si>
  <si>
    <t>TABLE-XX (Concld.)</t>
  </si>
  <si>
    <t>TABLE-XXI (Contd.)</t>
  </si>
  <si>
    <t>TABLE-XXI (Concld.)</t>
  </si>
  <si>
    <t>TABLE-XXII</t>
  </si>
  <si>
    <t>Cheque Clearing</t>
  </si>
  <si>
    <t>Agent Banking</t>
  </si>
  <si>
    <t>Credit Cards</t>
  </si>
  <si>
    <t>Debit Cards</t>
  </si>
  <si>
    <t>Prepaid Cards Transactions</t>
  </si>
  <si>
    <t xml:space="preserve">Internationally Issued Cards Transactions                   </t>
  </si>
  <si>
    <t>Non-MICR Clearing</t>
  </si>
  <si>
    <t>Usage at POS</t>
  </si>
  <si>
    <t>E-commerce</t>
  </si>
  <si>
    <t xml:space="preserve">    E-Commerce          </t>
  </si>
  <si>
    <t>Prepaid Cards</t>
  </si>
  <si>
    <t>No. of Internet Banking Customers (as on)</t>
  </si>
  <si>
    <t>No. of Agents (as on)</t>
  </si>
  <si>
    <t>Agent Banking Transactions</t>
  </si>
  <si>
    <t>No. of Agent Banking Subscribers (as on)</t>
  </si>
  <si>
    <t>Local Transactions (Issuing)</t>
  </si>
  <si>
    <t>Abroad Transactions (Issuing)</t>
  </si>
  <si>
    <t>POS Transactions (Acquiring)</t>
  </si>
  <si>
    <t>E-Commerce Transactions (Acquiring)</t>
  </si>
  <si>
    <t>No. of Transactions</t>
  </si>
  <si>
    <t>Number</t>
  </si>
  <si>
    <t>3=1+2</t>
  </si>
  <si>
    <t>11=5+6+7+8+9+10</t>
  </si>
  <si>
    <t>19=13+14+15+16+17+18</t>
  </si>
  <si>
    <t>25=22+23+24</t>
  </si>
  <si>
    <t>26=11+19+20+21+25</t>
  </si>
  <si>
    <t xml:space="preserve">Note: </t>
  </si>
  <si>
    <t>Internet   Banking</t>
  </si>
  <si>
    <t>Tk/US Dollar</t>
  </si>
  <si>
    <t xml:space="preserve">Million US $ </t>
  </si>
  <si>
    <t>UK Pound Sterling</t>
  </si>
  <si>
    <t xml:space="preserve">With effect from 01.07.12  </t>
  </si>
  <si>
    <t>774136</t>
  </si>
  <si>
    <t>12.07</t>
  </si>
  <si>
    <t>6.06</t>
  </si>
  <si>
    <t>15.79</t>
  </si>
  <si>
    <t>482337</t>
  </si>
  <si>
    <t>516383</t>
  </si>
  <si>
    <t>547437</t>
  </si>
  <si>
    <t>575056</t>
  </si>
  <si>
    <t>607097</t>
  </si>
  <si>
    <t>509545</t>
  </si>
  <si>
    <t>549505</t>
  </si>
  <si>
    <t>589547</t>
  </si>
  <si>
    <t>620614</t>
  </si>
  <si>
    <t>656241</t>
  </si>
  <si>
    <t>13.99</t>
  </si>
  <si>
    <t>14.35</t>
  </si>
  <si>
    <t>12.15</t>
  </si>
  <si>
    <t>13.11</t>
  </si>
  <si>
    <t>6.67</t>
  </si>
  <si>
    <t>7.06</t>
  </si>
  <si>
    <t>5.05</t>
  </si>
  <si>
    <t>5.57</t>
  </si>
  <si>
    <t>13.98</t>
  </si>
  <si>
    <t>14.18</t>
  </si>
  <si>
    <t>14.38</t>
  </si>
  <si>
    <t>14.58</t>
  </si>
  <si>
    <t>14.78</t>
  </si>
  <si>
    <t>36448</t>
  </si>
  <si>
    <t>34502</t>
  </si>
  <si>
    <t>36416</t>
  </si>
  <si>
    <t>41000</t>
  </si>
  <si>
    <t>42569</t>
  </si>
  <si>
    <t>44403</t>
  </si>
  <si>
    <t>38753</t>
  </si>
  <si>
    <t>38069</t>
  </si>
  <si>
    <t>39441</t>
  </si>
  <si>
    <t>41076</t>
  </si>
  <si>
    <t>30=27+28+29</t>
  </si>
  <si>
    <t xml:space="preserve">Number </t>
  </si>
  <si>
    <t>Number of Cards (net) (as on)</t>
  </si>
  <si>
    <t>2015-16</t>
  </si>
  <si>
    <t>29.07.15</t>
  </si>
  <si>
    <t>29.07.35</t>
  </si>
  <si>
    <t>23.09.15</t>
  </si>
  <si>
    <t>23.09.30</t>
  </si>
  <si>
    <t xml:space="preserve">... = Not Available </t>
  </si>
  <si>
    <r>
      <t>Total Expenditure</t>
    </r>
    <r>
      <rPr>
        <sz val="8"/>
        <color indexed="8"/>
        <rFont val="Times New Roman"/>
        <family val="1"/>
      </rPr>
      <t>***</t>
    </r>
  </si>
  <si>
    <t>25.11.15</t>
  </si>
  <si>
    <t>25.11.35</t>
  </si>
  <si>
    <t>Jan-Mar</t>
  </si>
  <si>
    <t>Apr-Jun</t>
  </si>
  <si>
    <t>Jul-Sep</t>
  </si>
  <si>
    <t>31.1034768 gms.</t>
  </si>
  <si>
    <t xml:space="preserve">… = Not available  </t>
  </si>
  <si>
    <t>Local        Authorities</t>
  </si>
  <si>
    <t>824862</t>
  </si>
  <si>
    <t>878410</t>
  </si>
  <si>
    <t>12.81</t>
  </si>
  <si>
    <t>6.55</t>
  </si>
  <si>
    <t>53013</t>
  </si>
  <si>
    <t>27.04.16</t>
  </si>
  <si>
    <t>27.04.36</t>
  </si>
  <si>
    <t>6.00-9.00</t>
  </si>
  <si>
    <t>25.05.31</t>
  </si>
  <si>
    <t>2016-17</t>
  </si>
  <si>
    <t>Note: From period 2015 BDBL &amp; BASIC banks are treated as State Owned Banks</t>
  </si>
  <si>
    <t>20.07.16</t>
  </si>
  <si>
    <t>20.07.26</t>
  </si>
  <si>
    <t>29.06.31</t>
  </si>
  <si>
    <t>27.07.31</t>
  </si>
  <si>
    <t>25.05.11</t>
  </si>
  <si>
    <t>29.06.11</t>
  </si>
  <si>
    <t>27.07.11</t>
  </si>
  <si>
    <t>24.08.31</t>
  </si>
  <si>
    <t>Rate of interest of NBFIs (Weighted Average)</t>
  </si>
  <si>
    <t xml:space="preserve">2016-17 </t>
  </si>
  <si>
    <t>COMPANY /SECTOR                                                                                                                                             GROUPS</t>
  </si>
  <si>
    <t xml:space="preserve">Figures relating to Islamic Investment Bond are re-classified as claims on other public sector instead of other assets  </t>
  </si>
  <si>
    <t xml:space="preserve"> By NBDCs       In Taka A/C</t>
  </si>
  <si>
    <t>28.09.31</t>
  </si>
  <si>
    <t>26.10.11</t>
  </si>
  <si>
    <t>24.08.11</t>
  </si>
  <si>
    <t>28.09.11</t>
  </si>
  <si>
    <t>26.10.31</t>
  </si>
  <si>
    <t>28.12.11</t>
  </si>
  <si>
    <t>55631</t>
  </si>
  <si>
    <t>United States (Kansas City)</t>
  </si>
  <si>
    <t>Palm Oil                         (US $/MT)</t>
  </si>
  <si>
    <t>Wheat                                                   (US $/MT)</t>
  </si>
  <si>
    <t>21.12.16</t>
  </si>
  <si>
    <t>28.12.31</t>
  </si>
  <si>
    <t>18.01.17</t>
  </si>
  <si>
    <t>25.01.32</t>
  </si>
  <si>
    <t>Government Notes &amp; Coins</t>
  </si>
  <si>
    <t>from October 2004 to December 2015 and again reclassified as claims on Govt. from January 2016 &amp; onwards</t>
  </si>
  <si>
    <t>Statistics Department,  Bangladesh Bank  </t>
  </si>
  <si>
    <t>Statistics Department , Bangladesh Bank  </t>
  </si>
  <si>
    <t>Statistics Department, Bangladesh Bank  </t>
  </si>
  <si>
    <t>Statistics Department, Bangladesh Bank</t>
  </si>
  <si>
    <t xml:space="preserve">Statistics Department,   Bangladesh Bank      </t>
  </si>
  <si>
    <r>
      <rPr>
        <b/>
        <sz val="8"/>
        <rFont val="Times New Roman"/>
        <family val="1"/>
      </rPr>
      <t>Source  :</t>
    </r>
    <r>
      <rPr>
        <sz val="8"/>
        <rFont val="Times New Roman"/>
        <family val="1"/>
      </rPr>
      <t xml:space="preserve">  Bangladesh Bureau of Statistics</t>
    </r>
  </si>
  <si>
    <r>
      <rPr>
        <b/>
        <sz val="8"/>
        <color indexed="8"/>
        <rFont val="Times New Roman"/>
        <family val="1"/>
      </rPr>
      <t xml:space="preserve">Source : </t>
    </r>
    <r>
      <rPr>
        <sz val="8"/>
        <color indexed="8"/>
        <rFont val="Times New Roman"/>
        <family val="1"/>
      </rPr>
      <t xml:space="preserve"> Bangladesh Bureau of Statistics</t>
    </r>
  </si>
  <si>
    <r>
      <t>Source</t>
    </r>
    <r>
      <rPr>
        <sz val="8"/>
        <rFont val="Times New Roman"/>
        <family val="1"/>
      </rPr>
      <t xml:space="preserve"> : Bangladesh Bureau of Statistics</t>
    </r>
  </si>
  <si>
    <r>
      <t>Source :</t>
    </r>
    <r>
      <rPr>
        <sz val="7"/>
        <color indexed="8"/>
        <rFont val="Times New Roman"/>
        <family val="1"/>
      </rPr>
      <t xml:space="preserve"> Statistics Department, Bangladesh Bank</t>
    </r>
  </si>
  <si>
    <t>Debt Management Department, Bangladesh Bank</t>
  </si>
  <si>
    <t>Source: Statistics Department, Bangladesh Bank</t>
  </si>
  <si>
    <t>Statistics Deparement, Bangladesh Bank</t>
  </si>
  <si>
    <t>International Financial Statistics</t>
  </si>
  <si>
    <t>NSD</t>
  </si>
  <si>
    <t>1. Bangladesh Jute Association</t>
  </si>
  <si>
    <t>27.08.28</t>
  </si>
  <si>
    <t>Pharmaceu-ticals &amp; Chemicals</t>
  </si>
  <si>
    <t>Fuel &amp; Power</t>
  </si>
  <si>
    <t>Food &amp; Allied Products</t>
  </si>
  <si>
    <t>Paper &amp; Printing</t>
  </si>
  <si>
    <t>Services &amp; Real Estate</t>
  </si>
  <si>
    <t>Forex Reserves &amp; Exchange Rate)</t>
  </si>
  <si>
    <t xml:space="preserve">Selected Economic Indicators ( Inflation, Production Index, Foreign Trade, Forex Reserves &amp; Exchange Rate) </t>
  </si>
  <si>
    <t>Reserve Money &amp; its Components</t>
  </si>
  <si>
    <t>Reserve Money &amp; its Sources</t>
  </si>
  <si>
    <t>RESERVE MONEY &amp; ITS COMPONENTS</t>
  </si>
  <si>
    <t>RESERVE MONEY &amp; ITS SOURCES</t>
  </si>
  <si>
    <t xml:space="preserve">Net Errors &amp; Ommissions                                    </t>
  </si>
  <si>
    <t>FOREIGN DIRECT INVESTMENT (FDI) INFLOWS &amp; STOCKS BY COMPONENTS IN BANGLADESH</t>
  </si>
  <si>
    <t>Foreign Direct Investment (FDI) Inflows &amp; Stocks by Components in Bangladesh</t>
  </si>
  <si>
    <t>Naptha, Furnace oil &amp; Bitumen</t>
  </si>
  <si>
    <t>Textile &amp; articles thereof</t>
  </si>
  <si>
    <t xml:space="preserve">CONSUMER PRICE INDEX &amp; </t>
  </si>
  <si>
    <t>Medical care &amp; Health Expenses</t>
  </si>
  <si>
    <t>Hides &amp; Skins (wholesale)</t>
  </si>
  <si>
    <t>Mining &amp; Quarry-ing</t>
  </si>
  <si>
    <t>Whole-sale      &amp; Retail Trade</t>
  </si>
  <si>
    <t>Hotel &amp; Restau-rants</t>
  </si>
  <si>
    <t>Transport, Storage &amp; Commu-nication</t>
  </si>
  <si>
    <t>Real Estate, Renting &amp; Business Activities</t>
  </si>
  <si>
    <t>Public Adminis-tration     &amp; Defence</t>
  </si>
  <si>
    <t>Health &amp;      Social Works</t>
  </si>
  <si>
    <t>Commu-nity, Social &amp; Personal Services</t>
  </si>
  <si>
    <t>Agricul-ture &amp; Forestry</t>
  </si>
  <si>
    <t>Whole-sale     &amp; Retail Trade</t>
  </si>
  <si>
    <t>Index Number of  Ordinary Share Prices, Turn Over, Issued Capital &amp; Total Number of Companies Listed with the Dhaka Stock Exchange Ltd.</t>
  </si>
  <si>
    <t>Bank Rate &amp; Interest Rate Structure of Post Office Savings Bank, House Building Finance Corporation &amp; National Savings Certificates</t>
  </si>
  <si>
    <t>100.00 crore &amp; above</t>
  </si>
  <si>
    <t>1)   Bureau of Manpower, Employment &amp; Training</t>
  </si>
  <si>
    <t>From July'14 Myanmar Kyat has been changed due to floating exchange rate</t>
  </si>
  <si>
    <t>UK  Pound   Sterling</t>
  </si>
  <si>
    <t>UAE  Derham</t>
  </si>
  <si>
    <t>OF THE GOVERNMENT UNDER NBR &amp; OTHERS</t>
  </si>
  <si>
    <t>Selected Tax Revenue Receipts of the Government Under NBR &amp; Others</t>
  </si>
  <si>
    <t>Number of Persons Left for Abroad on Employment &amp; Total Workers’ Remittances</t>
  </si>
  <si>
    <t>NUMBER OF PERSONS LEFT FOR ABROAD ON EMPLOYMENT  &amp;  TOTAL WORKERS'  REMITTANCES</t>
  </si>
  <si>
    <t>Selected Economic Indicators (Money &amp; Banking)</t>
  </si>
  <si>
    <t xml:space="preserve">(Money &amp; </t>
  </si>
  <si>
    <t>(Money &amp;</t>
  </si>
  <si>
    <t xml:space="preserve">            (Money &amp;</t>
  </si>
  <si>
    <t>Appendix : Weights &amp; Measures</t>
  </si>
  <si>
    <t>Weights &amp; Measures</t>
  </si>
  <si>
    <t>Note : F &amp; C indicate Fahrenheit &amp; Celsius Scale Respectively</t>
  </si>
  <si>
    <t>1. Upto June'12 data was complied on the basis of IMFs' BPM5 &amp; From July'12, BPM6 has been implemented</t>
  </si>
  <si>
    <t>2)  Upto May, 2016 Foreign Exchange Policy Department &amp; From June, 2016 Statistics Department, Bangladesh Bank</t>
  </si>
  <si>
    <t>Suggestions/Comments for improvement in the contents of this booklet would  highly be appreciated. Users may kindly contact the following email addresses with their suggestions/comments and queries, if any:</t>
  </si>
  <si>
    <t xml:space="preserve">Head Office, Dhaka    </t>
  </si>
  <si>
    <t>Market price (f.o.b.) of Raw Jute of Narayangonj</t>
  </si>
  <si>
    <t>iii)  9 percent of savings deposits are included in Demand Deposits with effect from July 2007</t>
  </si>
  <si>
    <t>Oct-Dec</t>
  </si>
  <si>
    <t xml:space="preserve"> rates from July 2009 &amp; onwards</t>
  </si>
  <si>
    <t>2. 12- month average changes in CPI indicate the average change of the last  12- month over the corresponding previous 12- month</t>
  </si>
  <si>
    <t>1. Point- to- point changes in CPI indicate the changes over the corresponding month of the previous year</t>
  </si>
  <si>
    <t xml:space="preserve">      deposits held in the banking system (BB &amp; DMBs)</t>
  </si>
  <si>
    <t xml:space="preserve">NBDC  =  Non-Bank Depository Corporation </t>
  </si>
  <si>
    <t xml:space="preserve">NSD =  National Savings Directorate                                                                                                                                                                           </t>
  </si>
  <si>
    <r>
      <t>Note</t>
    </r>
    <r>
      <rPr>
        <sz val="8"/>
        <rFont val="Times New Roman"/>
        <family val="1"/>
      </rPr>
      <t xml:space="preserve">     : Figures within parentheses represent million US dollar</t>
    </r>
  </si>
  <si>
    <t>***Total expenditure includes foreign currency revaluation (loss)                        …= Not applicable/available</t>
  </si>
  <si>
    <t>Six decimal places is used for conversion of US$ to Tk</t>
  </si>
  <si>
    <t>Upto May, 2016 Foreign Exchange Policy Department &amp; From June, 2016 Statistics Department, Bangladesh Bank</t>
  </si>
  <si>
    <t>Oct- Dec</t>
  </si>
  <si>
    <t>Jan- Mar</t>
  </si>
  <si>
    <t>Apr- Jun</t>
  </si>
  <si>
    <t>Jul- Sep</t>
  </si>
  <si>
    <t xml:space="preserve">Al-Arafah  Islami Bank </t>
  </si>
  <si>
    <t>Bangladesh Bank (BB) Notes</t>
  </si>
  <si>
    <t xml:space="preserve">NBDC=Non-Bank Depository Corporation                             </t>
  </si>
  <si>
    <t>(+) indicates appreciation while (-) indicates depreciation</t>
  </si>
  <si>
    <t>Banks have been subdivided into banks and financial institutions &amp; Investment has been renamed as mutual fund from January'10</t>
  </si>
  <si>
    <t>P=Provisional</t>
  </si>
  <si>
    <t>19.07.17</t>
  </si>
  <si>
    <t>2017-18</t>
  </si>
  <si>
    <t>BKB</t>
  </si>
  <si>
    <t>8.00-9.00</t>
  </si>
  <si>
    <r>
      <t>Balances with BB</t>
    </r>
    <r>
      <rPr>
        <b/>
        <vertAlign val="superscript"/>
        <sz val="10"/>
        <rFont val="Times New Roman"/>
        <family val="1"/>
      </rPr>
      <t>1</t>
    </r>
  </si>
  <si>
    <t xml:space="preserve"> currency held in BB &amp; counter entry for government currency    3. Amount in Government over-draft A/C.  is included in loans &amp; advances by Bangladesh Bank </t>
  </si>
  <si>
    <t>1.  Balance with BB excludes FC clearing A/C</t>
  </si>
  <si>
    <r>
      <t>Total Credit to Govt.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(45+46+ 47+48)</t>
    </r>
  </si>
  <si>
    <r>
      <t xml:space="preserve">Loans &amp; Advances </t>
    </r>
    <r>
      <rPr>
        <vertAlign val="superscript"/>
        <sz val="8"/>
        <rFont val="Times New Roman"/>
        <family val="1"/>
      </rPr>
      <t>3</t>
    </r>
  </si>
  <si>
    <r>
      <t>Excess Reserve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 xml:space="preserve">  (42-40)</t>
    </r>
  </si>
  <si>
    <r>
      <t>Total</t>
    </r>
    <r>
      <rPr>
        <vertAlign val="superscript"/>
        <sz val="9"/>
        <rFont val="Times New Roman"/>
        <family val="1"/>
      </rPr>
      <t>1</t>
    </r>
    <r>
      <rPr>
        <sz val="9"/>
        <rFont val="Times New Roman"/>
        <family val="1"/>
      </rPr>
      <t xml:space="preserve">       (4+5)</t>
    </r>
  </si>
  <si>
    <r>
      <t>Government (Net)</t>
    </r>
    <r>
      <rPr>
        <b/>
        <vertAlign val="superscript"/>
        <sz val="9"/>
        <color indexed="8"/>
        <rFont val="Times New Roman"/>
        <family val="1"/>
      </rPr>
      <t>1</t>
    </r>
  </si>
  <si>
    <r>
      <t>General Index/ DSE Broad Index</t>
    </r>
    <r>
      <rPr>
        <vertAlign val="superscript"/>
        <sz val="9"/>
        <rFont val="Times New Roman"/>
        <family val="1"/>
      </rPr>
      <t>1</t>
    </r>
  </si>
  <si>
    <t xml:space="preserve">    Total Issued          Capital  (Tk in crore)</t>
  </si>
  <si>
    <t xml:space="preserve">      Turn Over            (Tk in crore)                                        </t>
  </si>
  <si>
    <t>Total No. of Companies</t>
  </si>
  <si>
    <t xml:space="preserve"> Total No. of Companies</t>
  </si>
  <si>
    <t>LISTED WITH THE DHAKA STOCK EXCHANGE LTD</t>
  </si>
  <si>
    <t>UAE</t>
  </si>
  <si>
    <t>UK</t>
  </si>
  <si>
    <t>USA</t>
  </si>
  <si>
    <t>Total    Liqui-      dity     (M2) </t>
  </si>
  <si>
    <t>SURVEY ( M2)</t>
  </si>
  <si>
    <t xml:space="preserve"> Broad          Money        (M2)      (3+13)</t>
  </si>
  <si>
    <t>SURVEY ( M3)</t>
  </si>
  <si>
    <t>Broad         Money         (M3)     (4+17)</t>
  </si>
  <si>
    <r>
      <t>1. Claims on Govt.(net) reported by the banking sector in M2</t>
    </r>
    <r>
      <rPr>
        <vertAlign val="subscript"/>
        <sz val="7"/>
        <rFont val="Times New Roman"/>
        <family val="1"/>
      </rPr>
      <t xml:space="preserve"> </t>
    </r>
    <r>
      <rPr>
        <sz val="7"/>
        <rFont val="Times New Roman"/>
        <family val="1"/>
      </rPr>
      <t>differs with M3</t>
    </r>
    <r>
      <rPr>
        <vertAlign val="subscript"/>
        <sz val="7"/>
        <rFont val="Times New Roman"/>
        <family val="1"/>
      </rPr>
      <t xml:space="preserve"> </t>
    </r>
    <r>
      <rPr>
        <sz val="7"/>
        <rFont val="Times New Roman"/>
        <family val="1"/>
      </rPr>
      <t xml:space="preserve">due to exclusion of </t>
    </r>
  </si>
  <si>
    <t>TOTAL NUMBER OF COMPANIES LISTED WITH THE DHAKA STOCK EXCHANGE LTD</t>
  </si>
  <si>
    <t>EURO</t>
  </si>
  <si>
    <r>
      <t xml:space="preserve">  3) 5 years Wage Earners Development Bond</t>
    </r>
    <r>
      <rPr>
        <b/>
        <vertAlign val="superscript"/>
        <sz val="9"/>
        <color indexed="8"/>
        <rFont val="Times New Roman"/>
        <family val="1"/>
      </rPr>
      <t xml:space="preserve"> 1</t>
    </r>
  </si>
  <si>
    <r>
      <t xml:space="preserve">  4) 3 years USD Premium Bond</t>
    </r>
    <r>
      <rPr>
        <b/>
        <vertAlign val="superscript"/>
        <sz val="8"/>
        <color indexed="8"/>
        <rFont val="Arial Narrow"/>
        <family val="2"/>
      </rPr>
      <t xml:space="preserve"> </t>
    </r>
    <r>
      <rPr>
        <b/>
        <sz val="8"/>
        <color indexed="8"/>
        <rFont val="Arial Narrow"/>
        <family val="2"/>
      </rPr>
      <t xml:space="preserve">for non-resident Bangladeshi </t>
    </r>
    <r>
      <rPr>
        <b/>
        <vertAlign val="superscript"/>
        <sz val="8"/>
        <color indexed="8"/>
        <rFont val="Arial Narrow"/>
        <family val="2"/>
      </rPr>
      <t>2</t>
    </r>
  </si>
  <si>
    <r>
      <t xml:space="preserve">  5) 3 years USD Investment Bond for non-resident Bangladeshi </t>
    </r>
    <r>
      <rPr>
        <b/>
        <vertAlign val="superscript"/>
        <sz val="8.5"/>
        <color indexed="8"/>
        <rFont val="Arial Narrow"/>
        <family val="2"/>
      </rPr>
      <t>3</t>
    </r>
  </si>
  <si>
    <t>2. Interest is payable in BDT &amp; principal amount will be paid either in  USD or BDT as per option of the bond holder</t>
  </si>
  <si>
    <t>Habib Bank</t>
  </si>
  <si>
    <t>26.09.32</t>
  </si>
  <si>
    <t>Source   :</t>
  </si>
  <si>
    <t>Source     :</t>
  </si>
  <si>
    <t>Note         :</t>
  </si>
  <si>
    <t>End of      Period</t>
  </si>
  <si>
    <t xml:space="preserve">…= Not available   </t>
  </si>
  <si>
    <t>Source      :</t>
  </si>
  <si>
    <t xml:space="preserve">Note        :       </t>
  </si>
  <si>
    <t xml:space="preserve">ii) Claims on Resident Sector exclude BB &amp; ODCs    </t>
  </si>
  <si>
    <r>
      <t xml:space="preserve">Note           : </t>
    </r>
    <r>
      <rPr>
        <sz val="8"/>
        <rFont val="Times New Roman"/>
        <family val="1"/>
      </rPr>
      <t xml:space="preserve">     </t>
    </r>
  </si>
  <si>
    <t>1. *As per BPM6, Net Errors &amp; Ommissions= -(Current Account Balance+Capital Account (Net) - Financial Account (Net))</t>
  </si>
  <si>
    <t>2. As per BPM5, Net Errors &amp; Ommissions= -(Current Account Balance+Capital Account (Net) + Financial Account (Net))</t>
  </si>
  <si>
    <t xml:space="preserve">i) Oil Products = Soya bean + Vegetable Oil (Dalda) </t>
  </si>
  <si>
    <t xml:space="preserve">ii) Fertilizer = Urea + Ammonium Sulphate + TSP + SSP + DAP </t>
  </si>
  <si>
    <t>... = Not Available</t>
  </si>
  <si>
    <t xml:space="preserve">Islami Bank BD </t>
  </si>
  <si>
    <t>ICB Islamic Bank</t>
  </si>
  <si>
    <t>Shahjalal  Islami Bank</t>
  </si>
  <si>
    <t>Union Bank</t>
  </si>
  <si>
    <t>EXIM Bank</t>
  </si>
  <si>
    <t xml:space="preserve">First Security Islami Bank </t>
  </si>
  <si>
    <t>MONTHLY AVERAGE CALL MONEY MARKET RATES (Weighted Average)</t>
  </si>
  <si>
    <r>
      <rPr>
        <b/>
        <sz val="6.5"/>
        <rFont val="Times New Roman"/>
        <family val="1"/>
      </rPr>
      <t xml:space="preserve">Note: </t>
    </r>
    <r>
      <rPr>
        <sz val="6.5"/>
        <rFont val="Times New Roman"/>
        <family val="1"/>
      </rPr>
      <t>Data is discontinued from June'2017 due to dropping of IFS data</t>
    </r>
  </si>
  <si>
    <t>Total       Investments at Current Market Price</t>
  </si>
  <si>
    <t>Total Population (in Crore)</t>
  </si>
  <si>
    <t>18.10.17</t>
  </si>
  <si>
    <t>18.10.27</t>
  </si>
  <si>
    <t>iii) BSFIC: Sugar</t>
  </si>
  <si>
    <t>i) The resident sector has been classified according to the IMF's Monetary &amp; Financial Statistics Manual (MFSM)</t>
  </si>
  <si>
    <t>i) The resident sector has been classified according to the IMF's Monetary &amp; Financial Statistics Manual  (MFSM)</t>
  </si>
  <si>
    <t>savings certificates &amp; prize bonds for avoiding double counting</t>
  </si>
  <si>
    <t>Aman Rice               (Medium)                     (Tk per kg)</t>
  </si>
  <si>
    <t>Gold (Guinea)        (Tk per 10 gms.) </t>
  </si>
  <si>
    <t>Goat Skins                           (Tk per piece)</t>
  </si>
  <si>
    <t>1. Both interest &amp; principal amount are payable in BDT</t>
  </si>
  <si>
    <t>3. Both interest &amp; principal amount are payable in USD</t>
  </si>
  <si>
    <t xml:space="preserve">** From period 2012 the income, expenditure &amp; profitability of specialized banks (BDBL &amp; BASIC) are calculated on calendar year basis </t>
  </si>
  <si>
    <t>Claims on Other Sectors</t>
  </si>
  <si>
    <t>Loans</t>
  </si>
  <si>
    <t>Financial Derivatives</t>
  </si>
  <si>
    <t>Trade Credit &amp; advances</t>
  </si>
  <si>
    <t>Shares &amp; Other Equity</t>
  </si>
  <si>
    <t>Other items (net)</t>
  </si>
  <si>
    <t>Domestic Claims</t>
  </si>
  <si>
    <t>Net Claims on Central Govt.</t>
  </si>
  <si>
    <t>Claims on Other Sector</t>
  </si>
  <si>
    <t>Currency Outside Depository Corporations</t>
  </si>
  <si>
    <t>Other Deposits</t>
  </si>
  <si>
    <t>Other Items (net)</t>
  </si>
  <si>
    <t>Central Bank Survey</t>
  </si>
  <si>
    <t>Claims on Central Govt.(net)</t>
  </si>
  <si>
    <t>Monetary Base</t>
  </si>
  <si>
    <t>Total   (5+6+7+8)</t>
  </si>
  <si>
    <t>Total  (2+3)</t>
  </si>
  <si>
    <t>Total             (3-4)</t>
  </si>
  <si>
    <t>Total  (7+8+9+10)</t>
  </si>
  <si>
    <t>Liabilities to Central Govt.</t>
  </si>
  <si>
    <t>Claims on other Depository Corporations</t>
  </si>
  <si>
    <t>Claims on Central Govt.</t>
  </si>
  <si>
    <t>Trade Credit &amp; Advances</t>
  </si>
  <si>
    <t>27.12.17</t>
  </si>
  <si>
    <t>i)   5 tk is considered as Govt. Currency since June 2016 and  Demand &amp; Time Deposits under Columns 8 &amp; 9 exclude Restricted Deposits</t>
  </si>
  <si>
    <t>18.04.18</t>
  </si>
  <si>
    <t>25.04.18</t>
  </si>
  <si>
    <t>SURVEY</t>
  </si>
  <si>
    <t>Liabilities to other Depository Corporatio-ns</t>
  </si>
  <si>
    <t>20.06.18</t>
  </si>
  <si>
    <t>20.06.28</t>
  </si>
  <si>
    <t>Transfe-rable Deposits</t>
  </si>
  <si>
    <t>Securities Other than Shares, Included in Broad Money</t>
  </si>
  <si>
    <t>Deposits Excluded from Broad Money</t>
  </si>
  <si>
    <t>Securities Other than Shares, excluded from Broad Money</t>
  </si>
  <si>
    <t>Deposits included in Broad Money</t>
  </si>
  <si>
    <t>Deposits excluded from Broad Money</t>
  </si>
  <si>
    <t>Securities  Other than Shares, excluded from Broad Money</t>
  </si>
  <si>
    <t>2018-19</t>
  </si>
  <si>
    <t>25.07.18</t>
  </si>
  <si>
    <t>3.00-3.50</t>
  </si>
  <si>
    <t>Important Economic Indicators of Bangladesh with SAARC Countries</t>
  </si>
  <si>
    <t>Import**</t>
  </si>
  <si>
    <t>Afganistan</t>
  </si>
  <si>
    <t>Bhutan</t>
  </si>
  <si>
    <t>India</t>
  </si>
  <si>
    <t>Maldives</t>
  </si>
  <si>
    <t>Nepal</t>
  </si>
  <si>
    <t>Pakistan</t>
  </si>
  <si>
    <t>Sri Lanka</t>
  </si>
  <si>
    <t>* As per record of EPB (usually on fob basis)</t>
  </si>
  <si>
    <t>** Based on custom records calculated on c&amp;f basis</t>
  </si>
  <si>
    <t>1. Export Promotion Bureau (EPB) for Export Data   2. National Board of Revenue (NBR) for Import Data</t>
  </si>
  <si>
    <t xml:space="preserve">Wage Earners Remittance
</t>
  </si>
  <si>
    <t>Portfolio investment inflows</t>
  </si>
  <si>
    <t>Export (f.o.b)</t>
  </si>
  <si>
    <t>Import (f.o.b)</t>
  </si>
  <si>
    <t>Bank credit to commercial sector</t>
  </si>
  <si>
    <t>Foreign Exchange Reserve</t>
  </si>
  <si>
    <t>Inflation</t>
  </si>
  <si>
    <t>Exchange Rate (CY/$)</t>
  </si>
  <si>
    <t xml:space="preserve">Afganistan </t>
  </si>
  <si>
    <t>Bangladesh</t>
  </si>
  <si>
    <t xml:space="preserve">Important Economic Indicators of SAARC Countries </t>
  </si>
  <si>
    <t>26.09.18</t>
  </si>
  <si>
    <t>26.09.33</t>
  </si>
  <si>
    <t>Sonali
Bank</t>
  </si>
  <si>
    <t>Agrani
Bank</t>
  </si>
  <si>
    <t>Janata
Bank</t>
  </si>
  <si>
    <t>Rupali
Bank</t>
  </si>
  <si>
    <t>BASIC
Bank</t>
  </si>
  <si>
    <t>The City
Bank</t>
  </si>
  <si>
    <t>AB
Bank</t>
  </si>
  <si>
    <t>IFIC
Bank</t>
  </si>
  <si>
    <t>National
Bank</t>
  </si>
  <si>
    <t>Uttara
Bank</t>
  </si>
  <si>
    <t>Pubali
Bank</t>
  </si>
  <si>
    <t>Eastern
Bank</t>
  </si>
  <si>
    <t>Dhaka
Bank</t>
  </si>
  <si>
    <t>Southeast
Bank</t>
  </si>
  <si>
    <t>Prime
Bank</t>
  </si>
  <si>
    <t>Dutch-Bangla
Bank</t>
  </si>
  <si>
    <t>Modhumoti
Bank</t>
  </si>
  <si>
    <t>SBAC
Bank</t>
  </si>
  <si>
    <t>Mercantile
Bank</t>
  </si>
  <si>
    <t>One
Bank</t>
  </si>
  <si>
    <t>Premier
Bank</t>
  </si>
  <si>
    <t>Trust
Bank</t>
  </si>
  <si>
    <t>BRAC
Bank</t>
  </si>
  <si>
    <t>Meghna
Bank</t>
  </si>
  <si>
    <t>Midland
Bank</t>
  </si>
  <si>
    <t>NRB
Bank</t>
  </si>
  <si>
    <t>NRB Comm.
Bank</t>
  </si>
  <si>
    <t>Mutual
Trust Bank</t>
  </si>
  <si>
    <t>Jamuna
Bank</t>
  </si>
  <si>
    <t>Shimanto
Bank</t>
  </si>
  <si>
    <t>Commercail Bank
of Ceylon</t>
  </si>
  <si>
    <t>Standard
Chartered Bank</t>
  </si>
  <si>
    <t>State Bank
of India</t>
  </si>
  <si>
    <t>National Bank
of Pakistan</t>
  </si>
  <si>
    <t>Citi Bank NA</t>
  </si>
  <si>
    <t xml:space="preserve">Joint Director            </t>
  </si>
  <si>
    <t xml:space="preserve">Head Office, Dhaka          </t>
  </si>
  <si>
    <t>22.11.18</t>
  </si>
  <si>
    <t>22.11.28</t>
  </si>
  <si>
    <t>28.11.18</t>
  </si>
  <si>
    <t>28.11.33</t>
  </si>
  <si>
    <t>28.11.38</t>
  </si>
  <si>
    <t>20.03.19</t>
  </si>
  <si>
    <t>17.04.19</t>
  </si>
  <si>
    <t>17.04.29</t>
  </si>
  <si>
    <t>Padma
Bank</t>
  </si>
  <si>
    <t>29.05.19</t>
  </si>
  <si>
    <t>10.07.24</t>
  </si>
  <si>
    <t>19.06.19</t>
  </si>
  <si>
    <t>19.06.29</t>
  </si>
  <si>
    <t>26.06.19</t>
  </si>
  <si>
    <t>26.06.39</t>
  </si>
  <si>
    <t>2019-20</t>
  </si>
  <si>
    <t>FDI inflows(Net)</t>
  </si>
  <si>
    <t>17.07.19</t>
  </si>
  <si>
    <t>21.08.19</t>
  </si>
  <si>
    <t>21.08.29</t>
  </si>
  <si>
    <t>16.10.19</t>
  </si>
  <si>
    <t>1. Exchange rates between Taka &amp; other foreign currencies (except USD) are based on their cross rates with US dollar</t>
  </si>
  <si>
    <t>20.11.19</t>
  </si>
  <si>
    <t>18.12.19</t>
  </si>
  <si>
    <t>18.12.29</t>
  </si>
  <si>
    <t>26.12.19</t>
  </si>
  <si>
    <t>Usage at ATMs &amp; CRM</t>
  </si>
  <si>
    <t>ATM &amp; CRM Transactions (Acquiring)</t>
  </si>
  <si>
    <t>15.01.25</t>
  </si>
  <si>
    <t>2.  Total credit to government (gross) by the banking system equals to total claims on government (gross) excluding government</t>
  </si>
  <si>
    <t>22.01.20</t>
  </si>
  <si>
    <t>22.01.30</t>
  </si>
  <si>
    <t>29.01.20</t>
  </si>
  <si>
    <t>TABLE XXVII</t>
  </si>
  <si>
    <t xml:space="preserve">                    IMPORTANT ECONOMIC INDICATORS OF SAARC COUNTRIES                   </t>
  </si>
  <si>
    <t>IMPORTANT ECONOMIC INDICATORS OF BANGLADESH WITH SAARC COUNTRIES</t>
  </si>
  <si>
    <t>TABLE-XXVI</t>
  </si>
  <si>
    <t>Securities Other than Shares, included in Broad money</t>
  </si>
  <si>
    <t>TABLE-XXIV</t>
  </si>
  <si>
    <t>TABLE-XXIII</t>
  </si>
  <si>
    <t>Thai  Baht</t>
  </si>
  <si>
    <t>Thai Baht</t>
  </si>
  <si>
    <t xml:space="preserve">Taka in Crore </t>
  </si>
  <si>
    <t xml:space="preserve">(Taka in crore)         </t>
  </si>
  <si>
    <t xml:space="preserve">     Production   (in '000' Metric Tons)</t>
  </si>
  <si>
    <t xml:space="preserve">     Production   (in '000' Metric  Tons)</t>
  </si>
  <si>
    <t xml:space="preserve">       Area           (in '000' acres)</t>
  </si>
  <si>
    <t xml:space="preserve">     Area         (in '000' acres)</t>
  </si>
  <si>
    <t>TABLE IIG (Contd.)</t>
  </si>
  <si>
    <t xml:space="preserve">Amount </t>
  </si>
  <si>
    <t>Amount</t>
  </si>
  <si>
    <t xml:space="preserve">With effect from 23.05.15  </t>
  </si>
  <si>
    <t xml:space="preserve">With effect from 13.02.20  </t>
  </si>
  <si>
    <t xml:space="preserve">BUILDING FINANCE CORPORATION &amp; NATIONAL SAVINGS CERTIFICATES     </t>
  </si>
  <si>
    <t xml:space="preserve">          BANK RATE &amp; INTEREST RATE STRUCTURE OF POST OFFICE SAVINGS BANK, HOUSE  </t>
  </si>
  <si>
    <t xml:space="preserve">      (Taka in crore)</t>
  </si>
  <si>
    <t xml:space="preserve">                TABLE -XIIB</t>
  </si>
  <si>
    <t xml:space="preserve">                                  (In Million US$)</t>
  </si>
  <si>
    <t>Depository Corporations Survey</t>
  </si>
  <si>
    <t>17.06.20</t>
  </si>
  <si>
    <t>17.06.30</t>
  </si>
  <si>
    <t>24.06.20</t>
  </si>
  <si>
    <t>24.06.35</t>
  </si>
  <si>
    <t>24.06.40</t>
  </si>
  <si>
    <t>ii)Inflow figures are recorded as during the period but stock figures are recorded as end period</t>
  </si>
  <si>
    <t>…= Not Available</t>
  </si>
  <si>
    <t xml:space="preserve">Note:*From period 2011-12 the income,expenditure &amp; profitability of specialized banks(BKB &amp; RAKUB)are calculated on fiscal year basis </t>
  </si>
  <si>
    <t>2020-21</t>
  </si>
  <si>
    <t>With effect from 16.03.20 </t>
  </si>
  <si>
    <t>22.07.20</t>
  </si>
  <si>
    <t>4.Compilation procedure has been changed since Sep'17 &amp; CRR rate has changed from April'20</t>
  </si>
  <si>
    <t>p=provisional</t>
  </si>
  <si>
    <t xml:space="preserve">       Executive Director (Statistics)</t>
  </si>
  <si>
    <t xml:space="preserve">          (Taka in crore)</t>
  </si>
  <si>
    <t xml:space="preserve">                         TABLE-XIIA (Contd.)</t>
  </si>
  <si>
    <t>TABLE-XIIA(Contd.)</t>
  </si>
  <si>
    <t xml:space="preserve">             (Taka in crore)</t>
  </si>
  <si>
    <t xml:space="preserve">       (Taka in crore)</t>
  </si>
  <si>
    <t>SL No.</t>
  </si>
  <si>
    <t>ISIN</t>
  </si>
  <si>
    <t>Tenor (year)</t>
  </si>
  <si>
    <t>Issue Date</t>
  </si>
  <si>
    <t xml:space="preserve"> Maturity Date</t>
  </si>
  <si>
    <t xml:space="preserve">Reissue Date </t>
  </si>
  <si>
    <t>Outstanding Balance</t>
  </si>
  <si>
    <t>Reissue Date</t>
  </si>
  <si>
    <t>a. BD(Govt) Treasury Bond</t>
  </si>
  <si>
    <t>BD0929221101</t>
  </si>
  <si>
    <t>18.03.20</t>
  </si>
  <si>
    <t>BD0929401158</t>
  </si>
  <si>
    <t>BD0929161208</t>
  </si>
  <si>
    <t>BD0933441208</t>
  </si>
  <si>
    <t>29.05.13</t>
  </si>
  <si>
    <t>29.05.33</t>
  </si>
  <si>
    <t>BD0930261104</t>
  </si>
  <si>
    <t>BD0929441154</t>
  </si>
  <si>
    <t>BD0929201202</t>
  </si>
  <si>
    <t>BD0933481204</t>
  </si>
  <si>
    <t>26.06.13</t>
  </si>
  <si>
    <t>26.06.33</t>
  </si>
  <si>
    <t>BD0930381100</t>
  </si>
  <si>
    <t>07.05.20</t>
  </si>
  <si>
    <t>07.05.30</t>
  </si>
  <si>
    <t>BD0929481150</t>
  </si>
  <si>
    <t>BD0930251204</t>
  </si>
  <si>
    <t>BD0933041206</t>
  </si>
  <si>
    <t>24.07.13</t>
  </si>
  <si>
    <t>24.07.33</t>
  </si>
  <si>
    <t>BD0930431103</t>
  </si>
  <si>
    <t>BD0929041152</t>
  </si>
  <si>
    <t>BD0930281201</t>
  </si>
  <si>
    <t>BD0933081202</t>
  </si>
  <si>
    <t>29.08.13</t>
  </si>
  <si>
    <t>29.08.33</t>
  </si>
  <si>
    <t>BD0930031101</t>
  </si>
  <si>
    <t>22.07.30</t>
  </si>
  <si>
    <t>BD0929081158</t>
  </si>
  <si>
    <t>BD0930321205</t>
  </si>
  <si>
    <t>27.04.10</t>
  </si>
  <si>
    <t>27.04.30</t>
  </si>
  <si>
    <t>BD0933121206</t>
  </si>
  <si>
    <t>25.09.13</t>
  </si>
  <si>
    <t>25.09.33</t>
  </si>
  <si>
    <t>BD0929121152</t>
  </si>
  <si>
    <t>BD0930361201</t>
  </si>
  <si>
    <t>BD0933161202</t>
  </si>
  <si>
    <t>23.10.13</t>
  </si>
  <si>
    <t>23.10.33</t>
  </si>
  <si>
    <t>BD0929161158</t>
  </si>
  <si>
    <t>BD0930401205</t>
  </si>
  <si>
    <t>24.06.10</t>
  </si>
  <si>
    <t>24.06.30</t>
  </si>
  <si>
    <t>BD0933201206</t>
  </si>
  <si>
    <t>27.11.13</t>
  </si>
  <si>
    <t>27.11.33</t>
  </si>
  <si>
    <t>BD0926341159</t>
  </si>
  <si>
    <t>BD0929201152</t>
  </si>
  <si>
    <t>25.02.15</t>
  </si>
  <si>
    <t>BD0930041209</t>
  </si>
  <si>
    <t>BD0933241202</t>
  </si>
  <si>
    <t>BD0926381155</t>
  </si>
  <si>
    <t>BD0930041159</t>
  </si>
  <si>
    <t>BD0930081205</t>
  </si>
  <si>
    <t>BD0934281207</t>
  </si>
  <si>
    <t>BD0926421159</t>
  </si>
  <si>
    <t>BD0930121159</t>
  </si>
  <si>
    <t>BD0930121209</t>
  </si>
  <si>
    <t>BD0934321201</t>
  </si>
  <si>
    <t>BD0926071152</t>
  </si>
  <si>
    <t>BD0931401154</t>
  </si>
  <si>
    <t>BD0930161205</t>
  </si>
  <si>
    <t>BD0934361207</t>
  </si>
  <si>
    <t>BD0926111156</t>
  </si>
  <si>
    <t>BD0933101158</t>
  </si>
  <si>
    <t>BD0930201209</t>
  </si>
  <si>
    <t>BD0934401201</t>
  </si>
  <si>
    <t>BD0926151152</t>
  </si>
  <si>
    <t>18.10.11</t>
  </si>
  <si>
    <t>18.10.26</t>
  </si>
  <si>
    <t>BD0933141154</t>
  </si>
  <si>
    <t>25.03.20</t>
  </si>
  <si>
    <t>BD0930241205</t>
  </si>
  <si>
    <t>BD0934441207</t>
  </si>
  <si>
    <t>BD0926191158</t>
  </si>
  <si>
    <t>BD0935391153</t>
  </si>
  <si>
    <t>13.05.20</t>
  </si>
  <si>
    <t>13.05.35</t>
  </si>
  <si>
    <t>BD0931281200</t>
  </si>
  <si>
    <t>BD0934481203</t>
  </si>
  <si>
    <t>BD0926231152</t>
  </si>
  <si>
    <t>20.12.11</t>
  </si>
  <si>
    <t>20.12.26</t>
  </si>
  <si>
    <t>BD0935441156</t>
  </si>
  <si>
    <t>BD0931321204</t>
  </si>
  <si>
    <t>BD0934041205</t>
  </si>
  <si>
    <t>BD0927271157</t>
  </si>
  <si>
    <t>BD0931361200</t>
  </si>
  <si>
    <t>BD0934081201</t>
  </si>
  <si>
    <t>BD0927311151</t>
  </si>
  <si>
    <t>BD0927081200</t>
  </si>
  <si>
    <t>29.08.07</t>
  </si>
  <si>
    <t>29.08.27</t>
  </si>
  <si>
    <t>BD0931401204</t>
  </si>
  <si>
    <t>BD0934121205</t>
  </si>
  <si>
    <t>BD0927351157</t>
  </si>
  <si>
    <t>BD0927121204</t>
  </si>
  <si>
    <t>BD0931441200</t>
  </si>
  <si>
    <t>BD0934161201</t>
  </si>
  <si>
    <t>BD0927391153</t>
  </si>
  <si>
    <t>BD0927161200</t>
  </si>
  <si>
    <t>BD0931471207</t>
  </si>
  <si>
    <t>BD0934201205</t>
  </si>
  <si>
    <t>BD0927431157</t>
  </si>
  <si>
    <t>BD0927201204</t>
  </si>
  <si>
    <t>BD0931041208</t>
  </si>
  <si>
    <t>BD0935041204</t>
  </si>
  <si>
    <t>BD0927471153</t>
  </si>
  <si>
    <t>BD0927241200</t>
  </si>
  <si>
    <t>BD0931081204</t>
  </si>
  <si>
    <t>BD0935201204</t>
  </si>
  <si>
    <t>BD0927031155</t>
  </si>
  <si>
    <t>BD0928281205</t>
  </si>
  <si>
    <t>BD0931121208</t>
  </si>
  <si>
    <t>BD0936401209</t>
  </si>
  <si>
    <t>BD0927111155</t>
  </si>
  <si>
    <t>BD0928321209</t>
  </si>
  <si>
    <t>BD0931161204</t>
  </si>
  <si>
    <t>BD0938141209</t>
  </si>
  <si>
    <t>BD0928361205</t>
  </si>
  <si>
    <t>BD0931201208</t>
  </si>
  <si>
    <t>BD0939391209</t>
  </si>
  <si>
    <t>BD0927191157</t>
  </si>
  <si>
    <t>BD0928401209</t>
  </si>
  <si>
    <t>BD0931241204</t>
  </si>
  <si>
    <t>BD0940401203</t>
  </si>
  <si>
    <t>20.05.20</t>
  </si>
  <si>
    <t>20.05.40</t>
  </si>
  <si>
    <t>BD0927231151</t>
  </si>
  <si>
    <t>BD0928441205</t>
  </si>
  <si>
    <t>BD0932281209</t>
  </si>
  <si>
    <t>25.01.12</t>
  </si>
  <si>
    <t>BD0940441209</t>
  </si>
  <si>
    <t>BD0928351156</t>
  </si>
  <si>
    <t>BD0928081209</t>
  </si>
  <si>
    <t>BD0932401203</t>
  </si>
  <si>
    <t>26.04.12</t>
  </si>
  <si>
    <t>26.04.32</t>
  </si>
  <si>
    <t>BD0928391152</t>
  </si>
  <si>
    <t>BD0928121203</t>
  </si>
  <si>
    <t>BD0932441209</t>
  </si>
  <si>
    <t>30.05.12</t>
  </si>
  <si>
    <t>30.05.32</t>
  </si>
  <si>
    <t>BD0928431156</t>
  </si>
  <si>
    <t>BD0928161209</t>
  </si>
  <si>
    <t>BD0932481205</t>
  </si>
  <si>
    <t>27.06.12</t>
  </si>
  <si>
    <t>27.06.32</t>
  </si>
  <si>
    <t>BD0928471152</t>
  </si>
  <si>
    <t>BD0928201203</t>
  </si>
  <si>
    <t>BD0932041207</t>
  </si>
  <si>
    <t>25.07.12</t>
  </si>
  <si>
    <t>25.07.32</t>
  </si>
  <si>
    <t>BD0928041153</t>
  </si>
  <si>
    <t>24.07.28</t>
  </si>
  <si>
    <t>BD0928241209</t>
  </si>
  <si>
    <t>BD0932081203</t>
  </si>
  <si>
    <t>29.08.12</t>
  </si>
  <si>
    <t>29.08.32</t>
  </si>
  <si>
    <t>BD0926021108</t>
  </si>
  <si>
    <t>BD0928081159</t>
  </si>
  <si>
    <t>29.08.28</t>
  </si>
  <si>
    <t>BD0929281204</t>
  </si>
  <si>
    <t>BD0932121207</t>
  </si>
  <si>
    <t>26.09.12</t>
  </si>
  <si>
    <t>BD0927251100</t>
  </si>
  <si>
    <t>BD0928121153</t>
  </si>
  <si>
    <t>25.09.28</t>
  </si>
  <si>
    <t>BD0929321208</t>
  </si>
  <si>
    <t>BD0932161203</t>
  </si>
  <si>
    <t>25.10.12</t>
  </si>
  <si>
    <t>25.10.32</t>
  </si>
  <si>
    <t>BD0927101107</t>
  </si>
  <si>
    <t>BD0928161159</t>
  </si>
  <si>
    <t>23.10.28</t>
  </si>
  <si>
    <t>BD0929361204</t>
  </si>
  <si>
    <t>BD0932201207</t>
  </si>
  <si>
    <t>28.11.12</t>
  </si>
  <si>
    <t>28.11.32</t>
  </si>
  <si>
    <t>BD0928331109</t>
  </si>
  <si>
    <t>BD0928201153</t>
  </si>
  <si>
    <t>BD0929401208</t>
  </si>
  <si>
    <t>BD0932241203</t>
  </si>
  <si>
    <t>26.12.12</t>
  </si>
  <si>
    <t>26.12.32</t>
  </si>
  <si>
    <t>BD0928131103</t>
  </si>
  <si>
    <t>BD0929441204</t>
  </si>
  <si>
    <t>BD0933281208</t>
  </si>
  <si>
    <t>23.01.13</t>
  </si>
  <si>
    <t>23.01.33</t>
  </si>
  <si>
    <t>BD0929311100</t>
  </si>
  <si>
    <t>BD0929281154</t>
  </si>
  <si>
    <t>BD0929481200</t>
  </si>
  <si>
    <t>BD0933321202</t>
  </si>
  <si>
    <t>27.02.13</t>
  </si>
  <si>
    <t>27.02.33</t>
  </si>
  <si>
    <t>BD0929381103</t>
  </si>
  <si>
    <t>BD0929321158</t>
  </si>
  <si>
    <t>BD0929041202</t>
  </si>
  <si>
    <t>BD0933361208</t>
  </si>
  <si>
    <t>27.03.13</t>
  </si>
  <si>
    <t>27.03.33</t>
  </si>
  <si>
    <t>BD0929061101</t>
  </si>
  <si>
    <t>BD0929361154</t>
  </si>
  <si>
    <t>BD0929081208</t>
  </si>
  <si>
    <t>BD0933401202</t>
  </si>
  <si>
    <t>24.04.13</t>
  </si>
  <si>
    <t>24.04.33</t>
  </si>
  <si>
    <t>Interest Payments on half yearly &amp; principal payment after maturituy.</t>
  </si>
  <si>
    <t>Cut off Yeild (%)</t>
  </si>
  <si>
    <t>BOND NAME</t>
  </si>
  <si>
    <t xml:space="preserve">Reserve Money   </t>
  </si>
  <si>
    <t>23.09.20</t>
  </si>
  <si>
    <t>BD0930141108</t>
  </si>
  <si>
    <t>21.10.20</t>
  </si>
  <si>
    <t>With  effect  from 08.11.03</t>
  </si>
  <si>
    <t xml:space="preserve">    With   effect from 01.11.02</t>
  </si>
  <si>
    <t xml:space="preserve">      Area       (in '000' acres)</t>
  </si>
  <si>
    <t xml:space="preserve">   </t>
  </si>
  <si>
    <t>PKB</t>
  </si>
  <si>
    <t>CBBL</t>
  </si>
  <si>
    <t>17.12.20</t>
  </si>
  <si>
    <t xml:space="preserve">    ... = Not Available</t>
  </si>
  <si>
    <t>FDI inflows(Net) and Portfolio investment inflows</t>
  </si>
  <si>
    <t>3. Statistics Department of Bangladesh Bank for Service Inflows, Service Outflows , Wage Earners Remittance Data,</t>
  </si>
  <si>
    <t>i)  DMBs advances to public &amp; private include balances with OFIs, NBDCs and money at call &amp; short notice</t>
  </si>
  <si>
    <t>3.00-6.00</t>
  </si>
  <si>
    <t xml:space="preserve"> Statistics Department </t>
  </si>
  <si>
    <t>20.01.21</t>
  </si>
  <si>
    <t>21.10.30</t>
  </si>
  <si>
    <t>26.12.07</t>
  </si>
  <si>
    <t>26.12.27</t>
  </si>
  <si>
    <t xml:space="preserve">                                                              BANK WISE ANNOUNCED INTEREST RATE STRUCTURE </t>
  </si>
  <si>
    <t>BD0931301107</t>
  </si>
  <si>
    <t>17.02.21</t>
  </si>
  <si>
    <t>17.02.31</t>
  </si>
  <si>
    <t xml:space="preserve">     Production        (in '000' Metric Tons)</t>
  </si>
  <si>
    <t xml:space="preserve">     Production        (in '000'   Metric Tons)</t>
  </si>
  <si>
    <t>Coupon Rate (%)</t>
  </si>
  <si>
    <t>27.11.28</t>
  </si>
  <si>
    <r>
      <t>Source</t>
    </r>
    <r>
      <rPr>
        <sz val="8"/>
        <rFont val="Arial"/>
        <family val="1"/>
      </rPr>
      <t xml:space="preserve">: </t>
    </r>
  </si>
  <si>
    <t>28.04.21</t>
  </si>
  <si>
    <t xml:space="preserve">Maturity of Deposits  </t>
  </si>
  <si>
    <t>BD0931401105</t>
  </si>
  <si>
    <t>19.05.21</t>
  </si>
  <si>
    <t>19.05.31</t>
  </si>
  <si>
    <t>Interest Free</t>
  </si>
  <si>
    <t>30.09.19</t>
  </si>
  <si>
    <t>30.09.26</t>
  </si>
  <si>
    <t>Hanif Flyover SPTB</t>
  </si>
  <si>
    <t>Rate of interest of Scheduled Banks (Weighted Average)</t>
  </si>
  <si>
    <t>To               Public      (18+22+26) </t>
  </si>
  <si>
    <t>30.06.21</t>
  </si>
  <si>
    <t>BD0941451207</t>
  </si>
  <si>
    <t>30.06.41</t>
  </si>
  <si>
    <t>BD0926431059</t>
  </si>
  <si>
    <t>16.06.21</t>
  </si>
  <si>
    <t>16.06.26</t>
  </si>
  <si>
    <t>23.06.21</t>
  </si>
  <si>
    <t>2021-22</t>
  </si>
  <si>
    <t>Mudaraba Monthly Profit Deposit Scheme (10 yrs.)</t>
  </si>
  <si>
    <t>14.07.21</t>
  </si>
  <si>
    <t>BD0936491150</t>
  </si>
  <si>
    <t>28.07.21</t>
  </si>
  <si>
    <t>28.07.36</t>
  </si>
  <si>
    <r>
      <t>2020-21</t>
    </r>
    <r>
      <rPr>
        <vertAlign val="superscript"/>
        <sz val="8"/>
        <rFont val="Times New Roman"/>
        <family val="1"/>
      </rPr>
      <t>p</t>
    </r>
  </si>
  <si>
    <t xml:space="preserve">ii) Claims on resident sector exclude inter-bank claims                                                                                                           </t>
  </si>
  <si>
    <t>FDI (Net Inflow)</t>
  </si>
  <si>
    <r>
      <t>Source</t>
    </r>
    <r>
      <rPr>
        <sz val="8"/>
        <rFont val="Times New Roman"/>
        <family val="1"/>
      </rPr>
      <t xml:space="preserve">    </t>
    </r>
    <r>
      <rPr>
        <b/>
        <sz val="8"/>
        <rFont val="Times New Roman"/>
        <family val="1"/>
      </rPr>
      <t xml:space="preserve">: </t>
    </r>
    <r>
      <rPr>
        <sz val="8"/>
        <rFont val="Times New Roman"/>
        <family val="1"/>
      </rPr>
      <t xml:space="preserve">   Dhaka Stock Exchange Ltd (DSE)</t>
    </r>
  </si>
  <si>
    <t>Note:         1. DSE Broad Index has been introduced instead of General Index from August 2013</t>
  </si>
  <si>
    <t>Service inflows***</t>
  </si>
  <si>
    <t>Service outflows***</t>
  </si>
  <si>
    <t xml:space="preserve">       ii) CMT values are not adjusted.</t>
  </si>
  <si>
    <t xml:space="preserve">*** i) Based on banking channel data excluding goods procured in ports by carriers and goods acquired under merchanting </t>
  </si>
  <si>
    <t>15.04.24</t>
  </si>
  <si>
    <t>BD0928271156</t>
  </si>
  <si>
    <t>16.01.13</t>
  </si>
  <si>
    <t>16.01.28</t>
  </si>
  <si>
    <t>BD0928311150</t>
  </si>
  <si>
    <t>20.02.13</t>
  </si>
  <si>
    <t>20.02.28</t>
  </si>
  <si>
    <t>BD0928481201</t>
  </si>
  <si>
    <t>25.06.08</t>
  </si>
  <si>
    <t>25.06.28</t>
  </si>
  <si>
    <t>BD0928041203</t>
  </si>
  <si>
    <t>23.07.08</t>
  </si>
  <si>
    <t>23.08.28</t>
  </si>
  <si>
    <t>BD0932321203</t>
  </si>
  <si>
    <t>29.02.12</t>
  </si>
  <si>
    <t>29.02.32</t>
  </si>
  <si>
    <t>BD0932361209</t>
  </si>
  <si>
    <t>28.03.12</t>
  </si>
  <si>
    <t>28.03.32</t>
  </si>
  <si>
    <t>2.Weighted average rates of interest on deposits &amp; advances of 29 deposits taking Non Bank Financial Institutions (NBFIs)have been introduced from June 2013</t>
  </si>
  <si>
    <t xml:space="preserve">             Table-XXV</t>
  </si>
  <si>
    <t xml:space="preserve"> CENTRAL BANK </t>
  </si>
  <si>
    <t>18.08.21</t>
  </si>
  <si>
    <t>BD0931481107</t>
  </si>
  <si>
    <t>25.07.21</t>
  </si>
  <si>
    <t>25.07.31</t>
  </si>
  <si>
    <t>i)Data have been valued using the concept of the "Own Funds at Book Value (OFBV)" ,which may differ from market value of stocks</t>
  </si>
  <si>
    <t>29.09.21</t>
  </si>
  <si>
    <t>BD0926541055</t>
  </si>
  <si>
    <t>15.09.21</t>
  </si>
  <si>
    <t>15.09.26</t>
  </si>
  <si>
    <t>4.00-6.00</t>
  </si>
  <si>
    <t xml:space="preserve">INVESTMENT UNDER </t>
  </si>
  <si>
    <t>NATIONAL SAVINGS SCHEMES</t>
  </si>
  <si>
    <t>Inv. on Post Office Savings Bank</t>
  </si>
  <si>
    <t>Investment on NRBs Bond</t>
  </si>
  <si>
    <t>Profit Payment</t>
  </si>
  <si>
    <t>5 years BD Sanchayapatra</t>
  </si>
  <si>
    <t>Paribar Sanchayapatra</t>
  </si>
  <si>
    <t>3 Month Profit bearing Sanchayapatra</t>
  </si>
  <si>
    <t>Total (1+2+3+4)</t>
  </si>
  <si>
    <t>General A/C</t>
  </si>
  <si>
    <t>Fixed A/C</t>
  </si>
  <si>
    <t>Total    (6+7)</t>
  </si>
  <si>
    <t>Wage Earner Development Bond</t>
  </si>
  <si>
    <t>Note: *Other Investments includes postal life insurance, Bangladesh prizebond and bonus a/c.</t>
  </si>
  <si>
    <t>XXVIII</t>
  </si>
  <si>
    <t>Investment Under National Savings Schemes</t>
  </si>
  <si>
    <t>BD0931561106</t>
  </si>
  <si>
    <t>19.10.21</t>
  </si>
  <si>
    <t>19.10.31</t>
  </si>
  <si>
    <t>Scheduled Bank Branches</t>
  </si>
  <si>
    <t>Group Bank Branches</t>
  </si>
  <si>
    <t>State owned Banks</t>
  </si>
  <si>
    <t xml:space="preserve"> Spread   (67-66)</t>
  </si>
  <si>
    <t xml:space="preserve"> Spread   (70-69)</t>
  </si>
  <si>
    <t>b. Bangladesh Govt. Investment Sukuk</t>
  </si>
  <si>
    <t>BDS092501059</t>
  </si>
  <si>
    <t>Manufacturing</t>
  </si>
  <si>
    <t>Mining</t>
  </si>
  <si>
    <t>Electricity</t>
  </si>
  <si>
    <t xml:space="preserve">Investment on Sanchayapatra </t>
  </si>
  <si>
    <t>Pensioner Sanchayapatra</t>
  </si>
  <si>
    <t xml:space="preserve">Principal   Repayment </t>
  </si>
  <si>
    <t>Total Investment    (5+8+12+13)</t>
  </si>
  <si>
    <t>Outstanding Savings Position        (As on end period)</t>
  </si>
  <si>
    <t>Average Credit per Scheduled Bank  Branch    (in crore)</t>
  </si>
  <si>
    <t>Total Bank Branches       (56+57+58+59)</t>
  </si>
  <si>
    <t>Coupon Rate(%)</t>
  </si>
  <si>
    <t>Cut off Yeild(%)</t>
  </si>
  <si>
    <t>Coupon/   Renter Rate(%)</t>
  </si>
  <si>
    <t>Cut off Yeild/     Renter Rate (%)</t>
  </si>
  <si>
    <t>c. Other Treasury Bond</t>
  </si>
  <si>
    <t>29.12.20</t>
  </si>
  <si>
    <t>29.12.25</t>
  </si>
  <si>
    <t>10.06.21</t>
  </si>
  <si>
    <t>Other Invest-ments*</t>
  </si>
  <si>
    <t xml:space="preserve">  Qatar     Riyal</t>
  </si>
  <si>
    <t xml:space="preserve"> Swiss    Franc</t>
  </si>
  <si>
    <t>BD0926601057</t>
  </si>
  <si>
    <t>10.11.26</t>
  </si>
  <si>
    <t xml:space="preserve">   Total             (9+10+11)</t>
  </si>
  <si>
    <r>
      <rPr>
        <b/>
        <sz val="7"/>
        <color theme="1"/>
        <rFont val="Times New Roman"/>
        <family val="1"/>
      </rPr>
      <t>Net Investment</t>
    </r>
    <r>
      <rPr>
        <b/>
        <sz val="9"/>
        <color theme="1"/>
        <rFont val="Times New Roman"/>
        <family val="1"/>
      </rPr>
      <t xml:space="preserve">              </t>
    </r>
    <r>
      <rPr>
        <b/>
        <sz val="7"/>
        <color theme="1"/>
        <rFont val="Times New Roman"/>
        <family val="1"/>
      </rPr>
      <t>(14-15)</t>
    </r>
  </si>
  <si>
    <t xml:space="preserve"> Department of National Savings </t>
  </si>
  <si>
    <t xml:space="preserve"> Debt Management Department, Bangladesh Bank</t>
  </si>
  <si>
    <t>15.12.21</t>
  </si>
  <si>
    <t>22.12.21</t>
  </si>
  <si>
    <t xml:space="preserve">     ... =Not applicable</t>
  </si>
  <si>
    <t>(Base:2005-06=100</t>
  </si>
  <si>
    <t xml:space="preserve"> &amp; new base 2015-16=100)</t>
  </si>
  <si>
    <t>(a) Base: 2005-06</t>
  </si>
  <si>
    <t>(b) Base: 2015-16</t>
  </si>
  <si>
    <t>2075821</t>
  </si>
  <si>
    <t>2173075</t>
  </si>
  <si>
    <t>15.99</t>
  </si>
  <si>
    <t>2212623</t>
  </si>
  <si>
    <t>2289017</t>
  </si>
  <si>
    <t>11.97</t>
  </si>
  <si>
    <t>6.59</t>
  </si>
  <si>
    <t>16.18</t>
  </si>
  <si>
    <t>2374574</t>
  </si>
  <si>
    <t>2469533</t>
  </si>
  <si>
    <t>13.55</t>
  </si>
  <si>
    <t>7.32</t>
  </si>
  <si>
    <t>16.37</t>
  </si>
  <si>
    <t>2561736</t>
  </si>
  <si>
    <t>2666668</t>
  </si>
  <si>
    <t>11.83</t>
  </si>
  <si>
    <t>7.88</t>
  </si>
  <si>
    <t>16.56</t>
  </si>
  <si>
    <t>… Not Available</t>
  </si>
  <si>
    <t>CURRENT AND CONSTANT MARKET PRICE (Base:2015-16)</t>
  </si>
  <si>
    <t>Agricul-ture, Forestry &amp; Fishing</t>
  </si>
  <si>
    <t>Electri-city      Gas, Steam &amp; Air Con.</t>
  </si>
  <si>
    <t>Water Supply; Sewerage, Waste Management</t>
  </si>
  <si>
    <t xml:space="preserve">Transport &amp; Storage </t>
  </si>
  <si>
    <t>Accomodation &amp; Food Service</t>
  </si>
  <si>
    <t>Information &amp; Communication</t>
  </si>
  <si>
    <t>Finan-cial &amp; Insurance Activities</t>
  </si>
  <si>
    <t>Real Estate Activities</t>
  </si>
  <si>
    <t>Professional, Scientific &amp; Technical</t>
  </si>
  <si>
    <t>Administrative &amp; Support Service</t>
  </si>
  <si>
    <t>Human Health &amp;      Social Works</t>
  </si>
  <si>
    <t>Arts,entartainment &amp; Recreation</t>
  </si>
  <si>
    <t>Other Service activities</t>
  </si>
  <si>
    <t>Total GVA at Basic Price (1 to 19)</t>
  </si>
  <si>
    <t>Tax Less Subsidy</t>
  </si>
  <si>
    <t>GDP at  Market Price (20+21)</t>
  </si>
  <si>
    <t>Gross National Income (GNI) (22+23)</t>
  </si>
  <si>
    <t>(a) Current Market Price</t>
  </si>
  <si>
    <t>(b) Constant Market Price</t>
  </si>
  <si>
    <r>
      <t>Note :</t>
    </r>
    <r>
      <rPr>
        <sz val="8"/>
        <color indexed="8"/>
        <rFont val="Times New Roman"/>
        <family val="1"/>
      </rPr>
      <t xml:space="preserve"> </t>
    </r>
  </si>
  <si>
    <t>Figures within the parentheses indicate the percentage of total GDP.</t>
  </si>
  <si>
    <r>
      <rPr>
        <b/>
        <sz val="7.5"/>
        <rFont val="Times New Roman"/>
        <family val="1"/>
      </rPr>
      <t>Source:</t>
    </r>
    <r>
      <rPr>
        <sz val="7.5"/>
        <rFont val="Times New Roman"/>
        <family val="1"/>
      </rPr>
      <t xml:space="preserve"> Bangladesh Bureau of Statistics</t>
    </r>
  </si>
  <si>
    <t xml:space="preserve">                                   GROSS DOMESTIC PRODUCT OF BANGLADESH AT </t>
  </si>
  <si>
    <t>CURRENT AND CONSTANT MARKET PRICE (Base:2005-06)</t>
  </si>
  <si>
    <t>Mining &amp; Quarrying</t>
  </si>
  <si>
    <t>Electri-city   Gas &amp; Water Supply</t>
  </si>
  <si>
    <t>Education</t>
  </si>
  <si>
    <t>GDP at Producer Price  (1 to 15)</t>
  </si>
  <si>
    <t>GDP at  Market Price (16+17)</t>
  </si>
  <si>
    <r>
      <t>2020-21</t>
    </r>
    <r>
      <rPr>
        <vertAlign val="superscript"/>
        <sz val="7"/>
        <rFont val="Times New Roman"/>
        <family val="1"/>
      </rPr>
      <t>p</t>
    </r>
  </si>
  <si>
    <t>Figures within the parentheses indicate the percentage of  total GDP.</t>
  </si>
  <si>
    <r>
      <t>Source   :</t>
    </r>
    <r>
      <rPr>
        <sz val="7"/>
        <color indexed="8"/>
        <rFont val="Times New Roman"/>
        <family val="1"/>
      </rPr>
      <t xml:space="preserve"> Bangladesh Bureau of Statistics</t>
    </r>
  </si>
  <si>
    <t xml:space="preserve">                  TABLE IIG (Contd.)</t>
  </si>
  <si>
    <t xml:space="preserve">          TABLE IIG (Concld.)</t>
  </si>
  <si>
    <t xml:space="preserve">                          (Taka in crore)</t>
  </si>
  <si>
    <t>Cards</t>
  </si>
  <si>
    <t>Transactions</t>
  </si>
  <si>
    <t>Card Transactions</t>
  </si>
  <si>
    <t>No. of ATMs  (as on)</t>
  </si>
  <si>
    <t>No. of POS  (as on)</t>
  </si>
  <si>
    <t>Local Transactions  (Issuing)</t>
  </si>
  <si>
    <t xml:space="preserve">No. of Transactions </t>
  </si>
  <si>
    <t>Gross Domestic Product of Bangladesh at Current and Constant Market Price (Base:2015-16)</t>
  </si>
  <si>
    <t>Gross Domestic Product of Bangladesh at Current and Constant Market Price (Base:2005-06)</t>
  </si>
  <si>
    <t xml:space="preserve">  Specialised Banks</t>
  </si>
  <si>
    <t>Bank Alfalah</t>
  </si>
  <si>
    <t>BDS092601050</t>
  </si>
  <si>
    <t>30.12.21</t>
  </si>
  <si>
    <t>30.12.26</t>
  </si>
  <si>
    <t>26.01.22</t>
  </si>
  <si>
    <t>…=Not applicable</t>
  </si>
  <si>
    <t>BD0932691100</t>
  </si>
  <si>
    <t>19.01.22</t>
  </si>
  <si>
    <t>19.01.32</t>
  </si>
  <si>
    <t xml:space="preserve">       TABLE-XXVIII</t>
  </si>
  <si>
    <t xml:space="preserve">    Broad Money Liabilities</t>
  </si>
  <si>
    <t xml:space="preserve">CORPORATIONS SURVEY                        </t>
  </si>
  <si>
    <t xml:space="preserve">        DEPOSITORY</t>
  </si>
  <si>
    <t xml:space="preserve">             ... = Not available                                                    P = Provisional   </t>
  </si>
  <si>
    <r>
      <t>Source:</t>
    </r>
    <r>
      <rPr>
        <sz val="8"/>
        <color indexed="8"/>
        <rFont val="Times New Roman"/>
        <family val="1"/>
      </rPr>
      <t xml:space="preserve">  National Board of Revenue and Bangladesh Bureau of  Statistics</t>
    </r>
  </si>
  <si>
    <t xml:space="preserve">             </t>
  </si>
  <si>
    <t>09.02.22</t>
  </si>
  <si>
    <t>BD0927761058</t>
  </si>
  <si>
    <t>16.03.22</t>
  </si>
  <si>
    <t>16.03.27</t>
  </si>
  <si>
    <t>30.03.22</t>
  </si>
  <si>
    <t>BD0942781206</t>
  </si>
  <si>
    <t>30.03.42</t>
  </si>
  <si>
    <t>With effect from 29.07.20 </t>
  </si>
  <si>
    <r>
      <t>13.24</t>
    </r>
    <r>
      <rPr>
        <vertAlign val="superscript"/>
        <sz val="8"/>
        <color indexed="8"/>
        <rFont val="Times New Roman"/>
        <family val="1"/>
      </rPr>
      <t>A</t>
    </r>
  </si>
  <si>
    <r>
      <t>12.59</t>
    </r>
    <r>
      <rPr>
        <vertAlign val="superscript"/>
        <sz val="8"/>
        <rFont val="Times New Roman"/>
        <family val="1"/>
      </rPr>
      <t>B</t>
    </r>
  </si>
  <si>
    <r>
      <t>13.19</t>
    </r>
    <r>
      <rPr>
        <vertAlign val="superscript"/>
        <sz val="8"/>
        <rFont val="Times New Roman"/>
        <family val="1"/>
      </rPr>
      <t>C</t>
    </r>
  </si>
  <si>
    <r>
      <t>13.45</t>
    </r>
    <r>
      <rPr>
        <vertAlign val="superscript"/>
        <sz val="8"/>
        <rFont val="Times New Roman"/>
        <family val="1"/>
      </rPr>
      <t>D</t>
    </r>
  </si>
  <si>
    <r>
      <t>11.80</t>
    </r>
    <r>
      <rPr>
        <vertAlign val="superscript"/>
        <sz val="8"/>
        <rFont val="Times New Roman"/>
        <family val="1"/>
      </rPr>
      <t>E</t>
    </r>
  </si>
  <si>
    <t>A. including 0.84 %  social security premium (SSP) &amp; will be payable on completion of 3 years</t>
  </si>
  <si>
    <t>B. including 0.79 %  social security premium (SSP) &amp; will be payable on completion of 3 years</t>
  </si>
  <si>
    <t>C. including 0.99 %  social security premium (SSP) &amp; will be payable on completion of 5 years</t>
  </si>
  <si>
    <t>D. including 1.25 %  social security premium (SSP) &amp; will be payable on completion of 5 years</t>
  </si>
  <si>
    <t>E. including 0.80 %  social security premium (SSP) &amp; will be payable on completion of 5 years</t>
  </si>
  <si>
    <r>
      <t>11.28</t>
    </r>
    <r>
      <rPr>
        <vertAlign val="superscript"/>
        <sz val="8"/>
        <color indexed="8"/>
        <rFont val="Times New Roman"/>
        <family val="1"/>
      </rPr>
      <t>A</t>
    </r>
  </si>
  <si>
    <r>
      <t>6.00</t>
    </r>
    <r>
      <rPr>
        <vertAlign val="superscript"/>
        <sz val="8"/>
        <color indexed="8"/>
        <rFont val="Times New Roman"/>
        <family val="1"/>
      </rPr>
      <t>A</t>
    </r>
  </si>
  <si>
    <r>
      <t>11.04</t>
    </r>
    <r>
      <rPr>
        <vertAlign val="superscript"/>
        <sz val="8"/>
        <rFont val="Times New Roman"/>
        <family val="1"/>
      </rPr>
      <t>B</t>
    </r>
  </si>
  <si>
    <r>
      <t>11.28</t>
    </r>
    <r>
      <rPr>
        <vertAlign val="superscript"/>
        <sz val="8"/>
        <rFont val="Times New Roman"/>
        <family val="1"/>
      </rPr>
      <t>C</t>
    </r>
  </si>
  <si>
    <r>
      <t>11.76</t>
    </r>
    <r>
      <rPr>
        <vertAlign val="superscript"/>
        <sz val="8"/>
        <rFont val="Times New Roman"/>
        <family val="1"/>
      </rPr>
      <t>C</t>
    </r>
  </si>
  <si>
    <r>
      <t>11.52</t>
    </r>
    <r>
      <rPr>
        <vertAlign val="superscript"/>
        <sz val="8"/>
        <rFont val="Times New Roman"/>
        <family val="1"/>
      </rPr>
      <t>D</t>
    </r>
  </si>
  <si>
    <r>
      <t>12.00</t>
    </r>
    <r>
      <rPr>
        <vertAlign val="superscript"/>
        <sz val="8"/>
        <rFont val="Times New Roman"/>
        <family val="1"/>
      </rPr>
      <t>E</t>
    </r>
  </si>
  <si>
    <t>20.04.22</t>
  </si>
  <si>
    <t>BD0937821157</t>
  </si>
  <si>
    <t>27.04.22</t>
  </si>
  <si>
    <t>27.04.37</t>
  </si>
  <si>
    <t>20.04.27</t>
  </si>
  <si>
    <t xml:space="preserve">Additional Director  (Statistics)           </t>
  </si>
  <si>
    <t>BD0932851100</t>
  </si>
  <si>
    <t>25.05.22</t>
  </si>
  <si>
    <t>25.05.32</t>
  </si>
  <si>
    <t>BD0927841058</t>
  </si>
  <si>
    <t>18.05.22</t>
  </si>
  <si>
    <t>18.05.27</t>
  </si>
  <si>
    <t>Md. Nurul Islam                          Director (Statistics)</t>
  </si>
  <si>
    <t xml:space="preserve">Standard Bank </t>
  </si>
  <si>
    <t>Global Islami Bank</t>
  </si>
  <si>
    <t xml:space="preserve">v) </t>
  </si>
  <si>
    <t>w)</t>
  </si>
  <si>
    <t>Special Notice Deposit</t>
  </si>
  <si>
    <t>BDS092701051</t>
  </si>
  <si>
    <t xml:space="preserve">  &lt; 1.00 crore</t>
  </si>
  <si>
    <t xml:space="preserve"> 1.00 crore but  &lt; 25.00 crore</t>
  </si>
  <si>
    <t xml:space="preserve"> 25.00 crore but  &lt; 50.00 crore</t>
  </si>
  <si>
    <t>Advisor</t>
  </si>
  <si>
    <t xml:space="preserve">        Deputy Governor</t>
  </si>
  <si>
    <t>Bengal Comm. Bank</t>
  </si>
  <si>
    <t>White Middle               (Kutcha bales)            (Tk per 100 kg) </t>
  </si>
  <si>
    <t>Export of Tea                      (Average Quality)                      (Tk per kg)</t>
  </si>
  <si>
    <t>15.06.22</t>
  </si>
  <si>
    <t>BD0932891106</t>
  </si>
  <si>
    <t>22.06.22</t>
  </si>
  <si>
    <t>22.06.32</t>
  </si>
  <si>
    <t>BD0942901200</t>
  </si>
  <si>
    <t>29.06.22</t>
  </si>
  <si>
    <t>29.06.42</t>
  </si>
  <si>
    <t>BD0937901157</t>
  </si>
  <si>
    <t>29.06.37</t>
  </si>
  <si>
    <t>2022-23</t>
  </si>
  <si>
    <r>
      <t>2022-23</t>
    </r>
    <r>
      <rPr>
        <b/>
        <vertAlign val="superscript"/>
        <sz val="8"/>
        <rFont val="Times New Roman"/>
        <family val="1"/>
      </rPr>
      <t>P</t>
    </r>
  </si>
  <si>
    <t>BD0927021057</t>
  </si>
  <si>
    <t>13.07.22</t>
  </si>
  <si>
    <t>13.07.27</t>
  </si>
  <si>
    <t>20.07.22</t>
  </si>
  <si>
    <t>1.25-1.75</t>
  </si>
  <si>
    <t>3.25-3.50</t>
  </si>
  <si>
    <t>0.50-3.25</t>
  </si>
  <si>
    <t>2.00-2.50</t>
  </si>
  <si>
    <t>0.50-2.00</t>
  </si>
  <si>
    <t>XXIX</t>
  </si>
  <si>
    <t>National Budget Statistics</t>
  </si>
  <si>
    <t xml:space="preserve">    NATIONAL</t>
  </si>
  <si>
    <t>TABLE-XXIX</t>
  </si>
  <si>
    <t>Revenue and Foreign Grants</t>
  </si>
  <si>
    <t>Expenditure                                    Expenditure</t>
  </si>
  <si>
    <t>Financing</t>
  </si>
  <si>
    <t>Tax Revenue</t>
  </si>
  <si>
    <t>Non-Tax Revenue</t>
  </si>
  <si>
    <t>Revenue (1+2)</t>
  </si>
  <si>
    <t>Foreign Grants</t>
  </si>
  <si>
    <t>Total Revenue and Foreign Grants (3+4)</t>
  </si>
  <si>
    <t>Recurrent Expenditure</t>
  </si>
  <si>
    <t>Capital Expenditure</t>
  </si>
  <si>
    <t>ADP</t>
  </si>
  <si>
    <t>Non-ADP Special Projects</t>
  </si>
  <si>
    <t>Scheme</t>
  </si>
  <si>
    <t>Non-ADP FFW and Transfer</t>
  </si>
  <si>
    <t>Development Expenditure (9+10+11+12)</t>
  </si>
  <si>
    <t>Net Outlay for Food A/C Operation</t>
  </si>
  <si>
    <t>Loans &amp; Advances (Net)</t>
  </si>
  <si>
    <t>Others Expenditure</t>
  </si>
  <si>
    <t>Total Expenditure (8+13+14+15+16)</t>
  </si>
  <si>
    <t>Foreign Borrowing (Net)</t>
  </si>
  <si>
    <t>Domestic Borrowing</t>
  </si>
  <si>
    <t>Total Financing (19+20)</t>
  </si>
  <si>
    <t>Finance Division, Ministry of Finance</t>
  </si>
  <si>
    <t>P: Proposed Budget</t>
  </si>
  <si>
    <r>
      <t>2022-23</t>
    </r>
    <r>
      <rPr>
        <b/>
        <vertAlign val="superscript"/>
        <sz val="9"/>
        <color theme="1"/>
        <rFont val="Times New Roman"/>
        <family val="1"/>
      </rPr>
      <t>P</t>
    </r>
  </si>
  <si>
    <t>10.08.22</t>
  </si>
  <si>
    <t>17.08.22</t>
  </si>
  <si>
    <t>4.50-6.50</t>
  </si>
  <si>
    <t>BD0932111109</t>
  </si>
  <si>
    <t>21.09.22</t>
  </si>
  <si>
    <t>21.09.32</t>
  </si>
  <si>
    <t>28.09.22</t>
  </si>
  <si>
    <t>BD0927151151</t>
  </si>
  <si>
    <t>17.10.12</t>
  </si>
  <si>
    <t>17.10.27</t>
  </si>
  <si>
    <t xml:space="preserve">ii)  Deposit Money Banks (DMBs) comprise 61 Scheduled Banks &amp; BSBL </t>
  </si>
  <si>
    <t xml:space="preserve">    In Taka    A/C</t>
  </si>
  <si>
    <t>12.10.22</t>
  </si>
  <si>
    <t>26.10.22</t>
  </si>
  <si>
    <t>Rest of the indicators are applicable for all scheduled banks only.</t>
  </si>
  <si>
    <t>Electronic Fund Transfers (Outward)*</t>
  </si>
  <si>
    <t>MICR Clearing*</t>
  </si>
  <si>
    <t>Total*</t>
  </si>
  <si>
    <r>
      <t>Source:</t>
    </r>
    <r>
      <rPr>
        <sz val="8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Statistics Department, Bangladesh Bank</t>
    </r>
  </si>
  <si>
    <t>November,2018 and also includes Bangladesh Samabaya Bank Ltd and Bangladesh Bank from December, 2018.</t>
  </si>
  <si>
    <t>BD0927181059</t>
  </si>
  <si>
    <t>16.11.22</t>
  </si>
  <si>
    <t>16.11.27</t>
  </si>
  <si>
    <t>Glass       Sheets</t>
  </si>
  <si>
    <t>BD0932231105</t>
  </si>
  <si>
    <t>21.12.22</t>
  </si>
  <si>
    <t>21.12.32</t>
  </si>
  <si>
    <t>28.12.22</t>
  </si>
  <si>
    <t>BD0942241201</t>
  </si>
  <si>
    <t>28.12.42</t>
  </si>
  <si>
    <t>SPTB BKB</t>
  </si>
  <si>
    <t>29.11.22</t>
  </si>
  <si>
    <t>29.11.25</t>
  </si>
  <si>
    <t>BD0928261058</t>
  </si>
  <si>
    <t>11.01.23</t>
  </si>
  <si>
    <t>11.01.28</t>
  </si>
  <si>
    <t>25.01.23</t>
  </si>
  <si>
    <t>BD0943281206</t>
  </si>
  <si>
    <t>25.01.43</t>
  </si>
  <si>
    <t>Cash Reserve Require-ment</t>
  </si>
  <si>
    <t>08.02.23</t>
  </si>
  <si>
    <t>15.02.23</t>
  </si>
  <si>
    <t>Cow Hides Raw                             (Tk per piece)</t>
  </si>
  <si>
    <t>BD0933351100</t>
  </si>
  <si>
    <t>15.03.23</t>
  </si>
  <si>
    <t>15.03.33</t>
  </si>
  <si>
    <t>05.03.25</t>
  </si>
  <si>
    <t>1.03-2.00</t>
  </si>
  <si>
    <t>BD0928381054</t>
  </si>
  <si>
    <t>12.04.23</t>
  </si>
  <si>
    <t>12.04.28</t>
  </si>
  <si>
    <t>24.04.23</t>
  </si>
  <si>
    <t>P: Provisional</t>
  </si>
  <si>
    <t>1.Total credit to government (net) by the banking system equals to total claims on government (gross) excluding government</t>
  </si>
  <si>
    <t>10.05.23</t>
  </si>
  <si>
    <t>Point- to- Point (Base: 2021-22=100)</t>
  </si>
  <si>
    <t>12- Month Average (Base: 2021-22=100)</t>
  </si>
  <si>
    <t>Total Industries</t>
  </si>
  <si>
    <t>3.Rate of inflation (Base: 2005-06) data discontinued from April 2023 due to dropping of BBS data</t>
  </si>
  <si>
    <t xml:space="preserve">  TABLE-VIA</t>
  </si>
  <si>
    <t xml:space="preserve">Food Products &amp; Matches        </t>
  </si>
  <si>
    <t>ii) BCIC: Paper,  Fertilizers &amp; Glass sheet</t>
  </si>
  <si>
    <t xml:space="preserve">AVERAGE PRICES OF SELECTED COMMODITIES                 </t>
  </si>
  <si>
    <t>Bangla white A  (Pucca  bales)  (Tk per 182.25 kg)</t>
  </si>
  <si>
    <t>3. Bangladesh Bureau of Statistics</t>
  </si>
  <si>
    <t>2. Department of Agricultural Marketing</t>
  </si>
  <si>
    <t>4. Bangladesh Tea Board</t>
  </si>
  <si>
    <t>(Other than jute goods)</t>
  </si>
  <si>
    <t xml:space="preserve">PRODUCTION OF MAJOR INDUSTRIAL COMMODITIES </t>
  </si>
  <si>
    <t xml:space="preserve">                                                                     CONSUMER PRICE INDEX &amp; </t>
  </si>
  <si>
    <t>Alcoholic, Beverage, Tobacco</t>
  </si>
  <si>
    <t>Housing, Water, Electricity, Gas</t>
  </si>
  <si>
    <t>Furnishings, Household Equipment</t>
  </si>
  <si>
    <t xml:space="preserve">Health </t>
  </si>
  <si>
    <t xml:space="preserve">Transportation </t>
  </si>
  <si>
    <t>Communication</t>
  </si>
  <si>
    <t>Recreation &amp; Cultural</t>
  </si>
  <si>
    <t>Restaurants and Hotels</t>
  </si>
  <si>
    <t>…=Not Available</t>
  </si>
  <si>
    <t>INFLATION RATE IN BANGLADESH (Base Index:2005-06=100)</t>
  </si>
  <si>
    <t>VIA</t>
  </si>
  <si>
    <t>VIB</t>
  </si>
  <si>
    <t>Consumer Price Index &amp; Inflation Rate in Bangladesh(Base Index: 2005-06=100)</t>
  </si>
  <si>
    <t xml:space="preserve">Consumer Price Index &amp; Inflation Rate in Bangladesh (Base Index 2021-22=100) </t>
  </si>
  <si>
    <t>iii) Food Products = Atta, Maida &amp; Suji</t>
  </si>
  <si>
    <t xml:space="preserve">i) BBS: Cotton Yarn, Cotton Cloth, Cigarettes, Oil Products,     </t>
  </si>
  <si>
    <t xml:space="preserve">             TABLE-VIB</t>
  </si>
  <si>
    <r>
      <t xml:space="preserve">Source : </t>
    </r>
    <r>
      <rPr>
        <sz val="7"/>
        <rFont val="Times New Roman"/>
        <family val="1"/>
      </rPr>
      <t>Dhaka Stock Exchange Ltd (DSE)</t>
    </r>
  </si>
  <si>
    <r>
      <t xml:space="preserve">Note    : </t>
    </r>
    <r>
      <rPr>
        <sz val="7"/>
        <rFont val="Times New Roman"/>
        <family val="1"/>
      </rPr>
      <t xml:space="preserve">Miscellaneous includes IT-Sector, Tannery, Ceramic, Travel &amp; Corporate bond </t>
    </r>
  </si>
  <si>
    <t>BD0928461054</t>
  </si>
  <si>
    <t>14.06.23</t>
  </si>
  <si>
    <t>14.06.28</t>
  </si>
  <si>
    <t>Foreign Trade   (Million US $)</t>
  </si>
  <si>
    <t xml:space="preserve"> Foreign Exchange  Reserves           </t>
  </si>
  <si>
    <t>(Million US $)</t>
  </si>
  <si>
    <t xml:space="preserve">Foreign Exchange Reserves (as per BPM6 ) </t>
  </si>
  <si>
    <t>Provisional Data</t>
  </si>
  <si>
    <t>12.07.23</t>
  </si>
  <si>
    <t>19.07.23</t>
  </si>
  <si>
    <r>
      <t>2023-24</t>
    </r>
    <r>
      <rPr>
        <b/>
        <vertAlign val="superscript"/>
        <sz val="8"/>
        <rFont val="Times New Roman"/>
        <family val="1"/>
      </rPr>
      <t>P</t>
    </r>
  </si>
  <si>
    <t>2023-24</t>
  </si>
  <si>
    <t>BD0928061052</t>
  </si>
  <si>
    <t>09.08.23</t>
  </si>
  <si>
    <t>BD0933071104</t>
  </si>
  <si>
    <t>16.08.23</t>
  </si>
  <si>
    <t>16.08.33</t>
  </si>
  <si>
    <r>
      <t>2023-24</t>
    </r>
    <r>
      <rPr>
        <b/>
        <vertAlign val="superscript"/>
        <sz val="8.5"/>
        <color theme="1"/>
        <rFont val="Times New Roman"/>
        <family val="1"/>
      </rPr>
      <t>P</t>
    </r>
  </si>
  <si>
    <r>
      <t>2023-24</t>
    </r>
    <r>
      <rPr>
        <b/>
        <vertAlign val="superscript"/>
        <sz val="9"/>
        <color theme="1"/>
        <rFont val="Times New Roman"/>
        <family val="1"/>
      </rPr>
      <t>P</t>
    </r>
  </si>
  <si>
    <t>Electri-city,  Gas and Water Supply</t>
  </si>
  <si>
    <t>Industry</t>
  </si>
  <si>
    <t>Whole-sale     &amp; Retail Trade, Repair</t>
  </si>
  <si>
    <t xml:space="preserve">Real Estate,Professional &amp;  Administrative  </t>
  </si>
  <si>
    <t>Public Administration, Health &amp; Education</t>
  </si>
  <si>
    <t>Arts, Recreation &amp;Other Service activities</t>
  </si>
  <si>
    <t>GVA at Basic Price</t>
  </si>
  <si>
    <t>GDP at Current Price</t>
  </si>
  <si>
    <t>Growth Rate</t>
  </si>
  <si>
    <t>6=(2+..+5)</t>
  </si>
  <si>
    <t>Q1</t>
  </si>
  <si>
    <t>Q2</t>
  </si>
  <si>
    <t>Q3</t>
  </si>
  <si>
    <t>Q4</t>
  </si>
  <si>
    <t>IXD</t>
  </si>
  <si>
    <t xml:space="preserve">QUARTERLY GROSS DOMESTIC PRODUCT </t>
  </si>
  <si>
    <t xml:space="preserve">            (Taka in crore)</t>
  </si>
  <si>
    <t xml:space="preserve">Quarterly Gross Domestic Product Of Bangladesh  (Base:2015-16)   </t>
  </si>
  <si>
    <t>TABLE-IXD</t>
  </si>
  <si>
    <t>GDP at Constant Price</t>
  </si>
  <si>
    <t>BD0928101056</t>
  </si>
  <si>
    <t>13.09.23</t>
  </si>
  <si>
    <t>09.08.28</t>
  </si>
  <si>
    <t>13.09.28</t>
  </si>
  <si>
    <t>R=Revised</t>
  </si>
  <si>
    <t>Index of Industrial Production</t>
  </si>
  <si>
    <t>Index of  Manufacturing, Mining &amp;  Electricity</t>
  </si>
  <si>
    <t>25.10.23</t>
  </si>
  <si>
    <t>Mobile Financial Services (MFS)</t>
  </si>
  <si>
    <t>No. of MFS Agents (as on)</t>
  </si>
  <si>
    <t>MFS Transactions</t>
  </si>
  <si>
    <t>No. of MFS Subscribers (as on)</t>
  </si>
  <si>
    <t>BD0928181058</t>
  </si>
  <si>
    <t>15.11.23</t>
  </si>
  <si>
    <t>15.11.28</t>
  </si>
  <si>
    <t>29.11.23</t>
  </si>
  <si>
    <t>1.50-1.75</t>
  </si>
  <si>
    <t>1.50-2.00</t>
  </si>
  <si>
    <t>1.50-2.25</t>
  </si>
  <si>
    <t>1.50-2.50</t>
  </si>
  <si>
    <t>1.50-2.75</t>
  </si>
  <si>
    <t>2.50-5.50</t>
  </si>
  <si>
    <t>5.00-7.00</t>
  </si>
  <si>
    <t>3.00-7.00</t>
  </si>
  <si>
    <t>1.75-4.50</t>
  </si>
  <si>
    <t>3.00-5.00</t>
  </si>
  <si>
    <t>Note:  Rate of inflation (Base: 2005-06) data discontinued from April 2023 due to dropping of BBS data</t>
  </si>
  <si>
    <r>
      <t>Source</t>
    </r>
    <r>
      <rPr>
        <sz val="7"/>
        <color indexed="8"/>
        <rFont val="Times New Roman"/>
        <family val="1"/>
      </rPr>
      <t>: Bangladesh Bureau of Statistics (BBS)</t>
    </r>
  </si>
  <si>
    <t>20.12.23</t>
  </si>
  <si>
    <t>BD0928221052</t>
  </si>
  <si>
    <t>13.12.23</t>
  </si>
  <si>
    <t>13.12.28</t>
  </si>
  <si>
    <t xml:space="preserve">Source  :  Department of Off-site Supervision, Bangladesh Bank                                                                                                                                  </t>
  </si>
  <si>
    <t>With effect from 14.01.24 &amp; onwards</t>
  </si>
  <si>
    <t>8.50-9.00</t>
  </si>
  <si>
    <t xml:space="preserve">Director  (Statistics)           </t>
  </si>
  <si>
    <t>Email: nurul.islam130@bb.org.bd</t>
  </si>
  <si>
    <t>Lead Editor</t>
  </si>
  <si>
    <t>Editor</t>
  </si>
  <si>
    <t>Associate Editors</t>
  </si>
  <si>
    <t>17.01.24</t>
  </si>
  <si>
    <t>24.01.24</t>
  </si>
  <si>
    <t>Jute Manufactures</t>
  </si>
  <si>
    <t>Leather and Leather Manufactures</t>
  </si>
  <si>
    <t>Fish, Shrimp &amp; Prawns</t>
  </si>
  <si>
    <t xml:space="preserve">Ready made Garments    </t>
  </si>
  <si>
    <t xml:space="preserve">   Milk &amp;      Cream</t>
  </si>
  <si>
    <t>POL (Refined)</t>
  </si>
  <si>
    <t>Plastic &amp; Rubber articles</t>
  </si>
  <si>
    <t>Chemicals</t>
  </si>
  <si>
    <t>Dyeing,  Tanning etc</t>
  </si>
  <si>
    <t>Raw Cotton</t>
  </si>
  <si>
    <t>Iron,Steel and other base metals</t>
  </si>
  <si>
    <t>1. Import data are on C&amp;F/CIF basis upto June 2014 and FOB basis from July 2014 &amp; onwards</t>
  </si>
  <si>
    <t>2. EPZ import was included from BEPZA until 2020-21 and EPZ import payment was included by commodity wise from the Banking channel from 2021-22 &amp; onwards.</t>
  </si>
  <si>
    <t>1) Export of EPZ from 2020-21 to 2022-23 are included by commodity-wise.</t>
  </si>
  <si>
    <t>BD0934311103</t>
  </si>
  <si>
    <t>22.02.24</t>
  </si>
  <si>
    <t>22.02.34</t>
  </si>
  <si>
    <t>14.02.24</t>
  </si>
  <si>
    <r>
      <t xml:space="preserve">       </t>
    </r>
    <r>
      <rPr>
        <b/>
        <sz val="5.5"/>
        <rFont val="Times New Roman"/>
        <family val="1"/>
      </rPr>
      <t>Note  :</t>
    </r>
    <r>
      <rPr>
        <sz val="5.5"/>
        <rFont val="Times New Roman"/>
        <family val="1"/>
      </rPr>
      <t xml:space="preserve">  </t>
    </r>
  </si>
  <si>
    <t>5.00-6.00</t>
  </si>
  <si>
    <t>Transportation, Accomodation and Food</t>
  </si>
  <si>
    <t>Agriculture, Forestry &amp; Fishing</t>
  </si>
  <si>
    <t>13=(7+..+12)</t>
  </si>
  <si>
    <t>14=(1+6+13)</t>
  </si>
  <si>
    <t>16=(14+15)</t>
  </si>
  <si>
    <t>23=(19+..+22)</t>
  </si>
  <si>
    <t>30=(24+..+29)</t>
  </si>
  <si>
    <t>31=(18+23+30)</t>
  </si>
  <si>
    <t>33=(31+32)</t>
  </si>
  <si>
    <r>
      <t>2023-24</t>
    </r>
    <r>
      <rPr>
        <b/>
        <vertAlign val="superscript"/>
        <sz val="8"/>
        <rFont val="Times New Roman"/>
        <family val="1"/>
      </rPr>
      <t>p</t>
    </r>
  </si>
  <si>
    <t>OF BANGLADESH  (Base:2015-16)                              TABLE-IXC  (Contd.)</t>
  </si>
  <si>
    <t>OF BANGLADESH (Base:2015-16)                                    TABLE-IXC (Concld.)</t>
  </si>
  <si>
    <t>Dr. Md. Habibur Rahman</t>
  </si>
  <si>
    <t>BGSPB-IFIC</t>
  </si>
  <si>
    <t>04.01.24</t>
  </si>
  <si>
    <t>04.01.32</t>
  </si>
  <si>
    <t>Policy rate</t>
  </si>
  <si>
    <t>BGSPB(Sonali)</t>
  </si>
  <si>
    <t>04.01.33</t>
  </si>
  <si>
    <t>BGSPB(Janata)</t>
  </si>
  <si>
    <t>15.01.24</t>
  </si>
  <si>
    <t>15.01.33</t>
  </si>
  <si>
    <t>BGSPB(Prime)</t>
  </si>
  <si>
    <t>08.02.24</t>
  </si>
  <si>
    <t>08.02.33</t>
  </si>
  <si>
    <t>BGSPB(Meghna)</t>
  </si>
  <si>
    <t>11.02.24</t>
  </si>
  <si>
    <t>11.02.33</t>
  </si>
  <si>
    <t>BGSPB(NCC)</t>
  </si>
  <si>
    <t>BGSPB(Trust)</t>
  </si>
  <si>
    <t>BGSPB(One)</t>
  </si>
  <si>
    <t>BGSPB(NRB)</t>
  </si>
  <si>
    <t>12.02.24</t>
  </si>
  <si>
    <t>12.02.33</t>
  </si>
  <si>
    <t>BGSPB(Madhumoti)</t>
  </si>
  <si>
    <t>BGSPB(Midland)</t>
  </si>
  <si>
    <t>BGSPB(City)</t>
  </si>
  <si>
    <t>24.01.34</t>
  </si>
  <si>
    <t>BGSPB(Pubali)</t>
  </si>
  <si>
    <t>BGSPB(Eastern)</t>
  </si>
  <si>
    <t>29.01.24</t>
  </si>
  <si>
    <t>08.02.34</t>
  </si>
  <si>
    <t>BGSPB(UCB)</t>
  </si>
  <si>
    <t>BGSPB(Rupali)</t>
  </si>
  <si>
    <t>12.02.34</t>
  </si>
  <si>
    <t>BGSPB(MTB)</t>
  </si>
  <si>
    <t>BGSPB(BDBL)</t>
  </si>
  <si>
    <t>BGSPB(Dhaka)</t>
  </si>
  <si>
    <t>08.02.32</t>
  </si>
  <si>
    <t>BGSPB(DBBL)</t>
  </si>
  <si>
    <t>11.02.32</t>
  </si>
  <si>
    <t>BGSPB(Brac)</t>
  </si>
  <si>
    <t>BGSPB(AB)</t>
  </si>
  <si>
    <t>BGSPB(BCB)</t>
  </si>
  <si>
    <t>BGSPB(Jamuna)</t>
  </si>
  <si>
    <t>12.02.32</t>
  </si>
  <si>
    <t>BGSPB(Community)</t>
  </si>
  <si>
    <t>Agrani</t>
  </si>
  <si>
    <t>18.02.24</t>
  </si>
  <si>
    <t>18.02.33</t>
  </si>
  <si>
    <t>UCB</t>
  </si>
  <si>
    <t>18.02.34</t>
  </si>
  <si>
    <t>NRBC</t>
  </si>
  <si>
    <t>Dhaka</t>
  </si>
  <si>
    <t>City</t>
  </si>
  <si>
    <t>IBBL</t>
  </si>
  <si>
    <t>17.01.34</t>
  </si>
  <si>
    <t>Al-Arafah</t>
  </si>
  <si>
    <t>Shahjalal Islami Bank</t>
  </si>
  <si>
    <t>Exim</t>
  </si>
  <si>
    <t>Social Islami Bank</t>
  </si>
  <si>
    <t>ISIN/BOND NAME</t>
  </si>
  <si>
    <t>BD0939371151</t>
  </si>
  <si>
    <t>27.03.24</t>
  </si>
  <si>
    <t>27.03.39</t>
  </si>
  <si>
    <t xml:space="preserve">Source  : </t>
  </si>
  <si>
    <t>4.50-5.00</t>
  </si>
  <si>
    <t>2.00-5.00</t>
  </si>
  <si>
    <t>4.88-5.00</t>
  </si>
  <si>
    <t>7.00-9.25</t>
  </si>
  <si>
    <t>5.50-9.50</t>
  </si>
  <si>
    <t>0.30-6.00</t>
  </si>
  <si>
    <t>BD0926381023</t>
  </si>
  <si>
    <t>03.04.24</t>
  </si>
  <si>
    <t>03.04.26</t>
  </si>
  <si>
    <t>BD0929401059</t>
  </si>
  <si>
    <t>15.04.29</t>
  </si>
  <si>
    <t>BD0934401102</t>
  </si>
  <si>
    <t>17.04.24</t>
  </si>
  <si>
    <t>17.04.34</t>
  </si>
  <si>
    <t>24.04.24</t>
  </si>
  <si>
    <t>….</t>
  </si>
  <si>
    <t>GROSS DOMESTIC PRODUCT OF BANGLADESH AT</t>
  </si>
  <si>
    <t>BD0926421027</t>
  </si>
  <si>
    <t>08.05.24</t>
  </si>
  <si>
    <t>08.05.26</t>
  </si>
  <si>
    <t>23.05.24</t>
  </si>
  <si>
    <t>BD0929431056</t>
  </si>
  <si>
    <t>25.05.24</t>
  </si>
  <si>
    <t>25.05.29</t>
  </si>
  <si>
    <t>9.00-9.50</t>
  </si>
  <si>
    <t xml:space="preserve">             Cards      Transactions                                                                                                                                                             </t>
  </si>
  <si>
    <t xml:space="preserve"> Usage at  ATMs       &amp; CRM</t>
  </si>
  <si>
    <t>Internet  Banking Transactions</t>
  </si>
  <si>
    <t>15.04.32</t>
  </si>
  <si>
    <t>09.04.24</t>
  </si>
  <si>
    <t>23.04.24</t>
  </si>
  <si>
    <t>BGSPB-Sonali</t>
  </si>
  <si>
    <t>BGSPB-Janata</t>
  </si>
  <si>
    <t>BGSPB-Agrani</t>
  </si>
  <si>
    <t>BGSPB-City</t>
  </si>
  <si>
    <t>BGSPB-BIFFL</t>
  </si>
  <si>
    <t>BGSPB-Dhaka</t>
  </si>
  <si>
    <t>BGSPB-BRAC</t>
  </si>
  <si>
    <t>BGSPB-PRIME</t>
  </si>
  <si>
    <t>09.04.32</t>
  </si>
  <si>
    <t>15.04.33</t>
  </si>
  <si>
    <t>BGSPB-Trust</t>
  </si>
  <si>
    <t>BGSPB-UCBL</t>
  </si>
  <si>
    <t>BGSPB-BankAsia</t>
  </si>
  <si>
    <t>BGSPB-Pubali</t>
  </si>
  <si>
    <t>BGSPB-NCCBL</t>
  </si>
  <si>
    <t>BGSPB-ONEBank</t>
  </si>
  <si>
    <t>BGSPB-Modhumoti</t>
  </si>
  <si>
    <t>BGSPB-Rupali</t>
  </si>
  <si>
    <t>BGSPB-MBL</t>
  </si>
  <si>
    <t>25.04.24</t>
  </si>
  <si>
    <t>Sabinco</t>
  </si>
  <si>
    <t>24.04.34</t>
  </si>
  <si>
    <t>25.04.34</t>
  </si>
  <si>
    <t>Islami Bank</t>
  </si>
  <si>
    <t>23.05.34</t>
  </si>
  <si>
    <t>BGSPB-AB</t>
  </si>
  <si>
    <t>BGSPB-Eastern</t>
  </si>
  <si>
    <t>BGSPB-Meghna</t>
  </si>
  <si>
    <t>BGSPB-Midland</t>
  </si>
  <si>
    <t>BGSPB-IDCOL</t>
  </si>
  <si>
    <t xml:space="preserve">     INDEX NUMBER OF ORDINARY SHARE PRICES, TURN OVER, ISSUED CAPITAL &amp; </t>
  </si>
  <si>
    <t>Citizens Bank</t>
  </si>
  <si>
    <t>12.00-14.00</t>
  </si>
  <si>
    <t>13.00-15.00</t>
  </si>
  <si>
    <t>11.00-13.00</t>
  </si>
  <si>
    <t>11.50-13.50</t>
  </si>
  <si>
    <t>12.50-14.50</t>
  </si>
  <si>
    <t>12.75-14.75</t>
  </si>
  <si>
    <t>9.50-11.50</t>
  </si>
  <si>
    <t>13.50-14.50</t>
  </si>
  <si>
    <t>14.00-16.00</t>
  </si>
  <si>
    <t>11.55-13.55</t>
  </si>
  <si>
    <t>10.50-12.50</t>
  </si>
  <si>
    <t>2.00-3.90</t>
  </si>
  <si>
    <t>13.50-15.50</t>
  </si>
  <si>
    <t>3.00-4.00</t>
  </si>
  <si>
    <t>7.50-9.50</t>
  </si>
  <si>
    <t>5.00-14.50</t>
  </si>
  <si>
    <t>12.90-14.90</t>
  </si>
  <si>
    <t>10.00-12.00</t>
  </si>
  <si>
    <t>BD0926461023</t>
  </si>
  <si>
    <t>05.06.24</t>
  </si>
  <si>
    <t>05.06.26</t>
  </si>
  <si>
    <t>BD0934481104</t>
  </si>
  <si>
    <t>20.06.24</t>
  </si>
  <si>
    <t>20.06.34</t>
  </si>
  <si>
    <t xml:space="preserve">                                                                                    BANK WISE ANNOUNCED INTEREST RATE STRUCTURE </t>
  </si>
  <si>
    <t>BD0928241159</t>
  </si>
  <si>
    <t>26.12.28</t>
  </si>
  <si>
    <t>27.06.24</t>
  </si>
  <si>
    <t>27.06.34</t>
  </si>
  <si>
    <t>27.06.33</t>
  </si>
  <si>
    <t>SPTB-BKB</t>
  </si>
  <si>
    <t>BGSPB-NRBC</t>
  </si>
  <si>
    <t>Al-Arafah Islami</t>
  </si>
  <si>
    <t>20.06.33</t>
  </si>
  <si>
    <t>SPTP BKB</t>
  </si>
  <si>
    <t>06.06.24</t>
  </si>
  <si>
    <t>06.06.34</t>
  </si>
  <si>
    <t>BDS092901051</t>
  </si>
  <si>
    <t>06.06.29</t>
  </si>
  <si>
    <t xml:space="preserve"> Statistics Department, Bangladesh Bank and EPB</t>
  </si>
  <si>
    <t>3) The Import(f.o.b) has been adjusted for freight, goods procured in ports etc.</t>
  </si>
  <si>
    <t>2) The Export (f.o.b) has been adjusted for EPZ to Bangladesh, CMT(cutting, making and trimming) exports etc.</t>
  </si>
  <si>
    <t>Profit Rate Structure of  the Islamic Banks, 2023</t>
  </si>
  <si>
    <r>
      <t>2024-25</t>
    </r>
    <r>
      <rPr>
        <b/>
        <vertAlign val="superscript"/>
        <sz val="8"/>
        <rFont val="Times New Roman"/>
        <family val="1"/>
      </rPr>
      <t>P</t>
    </r>
  </si>
  <si>
    <t>2024-25</t>
  </si>
  <si>
    <t>03.07.24</t>
  </si>
  <si>
    <t>28.07.24</t>
  </si>
  <si>
    <t>BD0944051202</t>
  </si>
  <si>
    <t>28.07.44</t>
  </si>
  <si>
    <t>… = not available</t>
  </si>
  <si>
    <t>3.50-4.50</t>
  </si>
  <si>
    <t>4.00-5.00</t>
  </si>
  <si>
    <t>7.25-10.00</t>
  </si>
  <si>
    <t>7.50-9.75</t>
  </si>
  <si>
    <t>7.50-10.67</t>
  </si>
  <si>
    <t>8.50-10.50</t>
  </si>
  <si>
    <t>2.50-5.00</t>
  </si>
  <si>
    <t>9.00-11.00</t>
  </si>
  <si>
    <t>6.00-12.00</t>
  </si>
  <si>
    <t>5.50-10.00</t>
  </si>
  <si>
    <t>2.00-3.00</t>
  </si>
  <si>
    <t>5.75-8.00</t>
  </si>
  <si>
    <t>9.00-13.00</t>
  </si>
  <si>
    <t>12.00-13.00</t>
  </si>
  <si>
    <t>14.50-16.50</t>
  </si>
  <si>
    <t>13.00-16.00</t>
  </si>
  <si>
    <t>14.00-17.00</t>
  </si>
  <si>
    <t>12.50-15.50</t>
  </si>
  <si>
    <t>13.75-15.50</t>
  </si>
  <si>
    <t>9.00-13.50</t>
  </si>
  <si>
    <r>
      <t>2024-25</t>
    </r>
    <r>
      <rPr>
        <b/>
        <vertAlign val="superscript"/>
        <sz val="9"/>
        <color theme="1"/>
        <rFont val="Times New Roman"/>
        <family val="1"/>
      </rPr>
      <t>P</t>
    </r>
  </si>
  <si>
    <t>BD0926061021</t>
  </si>
  <si>
    <t>07.08.24</t>
  </si>
  <si>
    <t>07.08.26</t>
  </si>
  <si>
    <t>14.08.24</t>
  </si>
  <si>
    <t>29.08.24</t>
  </si>
  <si>
    <t>29.08.34</t>
  </si>
  <si>
    <t>STPB BKB</t>
  </si>
  <si>
    <r>
      <t>2024-25</t>
    </r>
    <r>
      <rPr>
        <b/>
        <vertAlign val="superscript"/>
        <sz val="8.5"/>
        <color theme="1"/>
        <rFont val="Times New Roman"/>
        <family val="1"/>
      </rPr>
      <t>P</t>
    </r>
  </si>
  <si>
    <t>3.75-10.75</t>
  </si>
  <si>
    <t>4.00-11.50</t>
  </si>
  <si>
    <t>2.00-7.50</t>
  </si>
  <si>
    <t>5.00-9.00</t>
  </si>
  <si>
    <t>11.55-12.50</t>
  </si>
  <si>
    <t>13.00-14.00</t>
  </si>
  <si>
    <t>10.50-15.00</t>
  </si>
  <si>
    <t>8.00-13.50</t>
  </si>
  <si>
    <t>11.00-14.00</t>
  </si>
  <si>
    <t>4.00-14.00</t>
  </si>
  <si>
    <t>5.00-15.00</t>
  </si>
  <si>
    <t>12.55-14.55</t>
  </si>
  <si>
    <t>9.75-11.25</t>
  </si>
  <si>
    <r>
      <t>2024-25</t>
    </r>
    <r>
      <rPr>
        <b/>
        <vertAlign val="superscript"/>
        <sz val="7.5"/>
        <color theme="1"/>
        <rFont val="Times New Roman"/>
        <family val="1"/>
      </rPr>
      <t>P</t>
    </r>
  </si>
  <si>
    <t>04.09.24</t>
  </si>
  <si>
    <t>11.09.24</t>
  </si>
  <si>
    <t>3.75-11.00</t>
  </si>
  <si>
    <t>7.75-8.75</t>
  </si>
  <si>
    <t>8.00-8.50</t>
  </si>
  <si>
    <t>12.00-14.50</t>
  </si>
  <si>
    <t>5.00-16.50</t>
  </si>
  <si>
    <t>8.99-10.99</t>
  </si>
  <si>
    <t xml:space="preserve">1) NBR revises and provides the export shipment data to Bangladesh Bank and EPB by adjusting multiple entries for July, 2022 to March, 2024.  </t>
  </si>
  <si>
    <t>BD0926141021</t>
  </si>
  <si>
    <t>02.10.24</t>
  </si>
  <si>
    <t>02.10.26</t>
  </si>
  <si>
    <t>BD0927141038</t>
  </si>
  <si>
    <t>02.10.27</t>
  </si>
  <si>
    <t>BD0929151050</t>
  </si>
  <si>
    <t>09.10.24</t>
  </si>
  <si>
    <t>09.10.29</t>
  </si>
  <si>
    <t>16.10.24</t>
  </si>
  <si>
    <t>30.10.24</t>
  </si>
  <si>
    <t>11.12.24</t>
  </si>
  <si>
    <t>BGSPB-Bank Asia</t>
  </si>
  <si>
    <t>BGSPB-Brac</t>
  </si>
  <si>
    <t>29.10.24</t>
  </si>
  <si>
    <t>29.10.33</t>
  </si>
  <si>
    <t>Meghna Bank</t>
  </si>
  <si>
    <t>Jamuna Bank</t>
  </si>
  <si>
    <t>One Bank</t>
  </si>
  <si>
    <t>Dhaka Bank</t>
  </si>
  <si>
    <t>Prime Bank</t>
  </si>
  <si>
    <t>Janata Bank</t>
  </si>
  <si>
    <t>Trust Bank</t>
  </si>
  <si>
    <t>UCB Bank</t>
  </si>
  <si>
    <t>Mercantile Bank</t>
  </si>
  <si>
    <t>NCC Bank</t>
  </si>
  <si>
    <t>Community Bank</t>
  </si>
  <si>
    <t>30.10.33</t>
  </si>
  <si>
    <t>30.10.34</t>
  </si>
  <si>
    <t>1.75-2.00</t>
  </si>
  <si>
    <t>0.25-6.00</t>
  </si>
  <si>
    <t>13.25-15.25</t>
  </si>
  <si>
    <t>13.25-15.00</t>
  </si>
  <si>
    <t>7.50-15.00</t>
  </si>
  <si>
    <t>iii) For Reinvested Earnings, outflows means Loss</t>
  </si>
  <si>
    <t>iv) Data has been revised as per BPM6 Guidelines from 2019 and onwards</t>
  </si>
  <si>
    <t xml:space="preserve">Export Data collected from EPB upto June, 2022.  </t>
  </si>
  <si>
    <t xml:space="preserve">1.Export: National Board of Revenue ,Compiled by Statistics Department ,Bangladesh Bank from July, 2022 and onwards. </t>
  </si>
  <si>
    <t>3. Accounts and Budgeting Department, Bangladesh Bank for foreign exchange reserves.</t>
  </si>
  <si>
    <t>2. Statistics Department, Bangladesh Bank for import data.</t>
  </si>
  <si>
    <t xml:space="preserve">4. Weighted average exchange rate represents the inter-bank exchange rate. </t>
  </si>
  <si>
    <t>5. IMF Reserve Position amount is included in Foreign Exchange Reserve from April ,2018 &amp; onward.</t>
  </si>
  <si>
    <t>6. Foreign Exchange Reserves represents Total International Reserves of the country.</t>
  </si>
  <si>
    <t>13.11.24</t>
  </si>
  <si>
    <t>BD0926191026</t>
  </si>
  <si>
    <t>06.11.24</t>
  </si>
  <si>
    <t>06.11.26</t>
  </si>
  <si>
    <t>20.11.24</t>
  </si>
  <si>
    <t>BGSPB-The City</t>
  </si>
  <si>
    <t>BGSPB-Dutch Bangla</t>
  </si>
  <si>
    <t>BGSPB-Argani</t>
  </si>
  <si>
    <t>BGSPB-Sabinco</t>
  </si>
  <si>
    <t>03.11.24</t>
  </si>
  <si>
    <t>03.11.33</t>
  </si>
  <si>
    <t>03.11.34</t>
  </si>
  <si>
    <t>7.25-10.25</t>
  </si>
  <si>
    <t>11.00-15.00</t>
  </si>
  <si>
    <t>12.50-16.50</t>
  </si>
  <si>
    <t>13.50-16.50</t>
  </si>
  <si>
    <t>13.00-15.50</t>
  </si>
  <si>
    <r>
      <t>2024-25</t>
    </r>
    <r>
      <rPr>
        <vertAlign val="superscript"/>
        <sz val="8"/>
        <rFont val="Times New Roman"/>
        <family val="1"/>
      </rPr>
      <t>P</t>
    </r>
  </si>
  <si>
    <t>BD0927231037</t>
  </si>
  <si>
    <t>04.12.24</t>
  </si>
  <si>
    <t>04.12.27</t>
  </si>
  <si>
    <t>BD0929241059</t>
  </si>
  <si>
    <t>11.12.29</t>
  </si>
  <si>
    <t>18.12.24</t>
  </si>
  <si>
    <t>26.12.24</t>
  </si>
  <si>
    <t>Email: mrabiul.islam@bb.org.bd</t>
  </si>
  <si>
    <t>1.00-7.50</t>
  </si>
  <si>
    <t>4.00-12.25</t>
  </si>
  <si>
    <t>Sharmin Nahar                            Additional Director (Statistics)</t>
  </si>
  <si>
    <t>Email: sharmin.nahar@bb.org.bd</t>
  </si>
  <si>
    <t>BD0927271025</t>
  </si>
  <si>
    <t>08.01.25</t>
  </si>
  <si>
    <t>08.01.27</t>
  </si>
  <si>
    <t>BD0928271032</t>
  </si>
  <si>
    <t>08.01.28</t>
  </si>
  <si>
    <t>BD0935291106</t>
  </si>
  <si>
    <t>22.01.25</t>
  </si>
  <si>
    <t>22.01.35</t>
  </si>
  <si>
    <t>29.01.25</t>
  </si>
  <si>
    <t>Financial &amp; Insurance Activities</t>
  </si>
  <si>
    <t xml:space="preserve">  Time     Deposits</t>
  </si>
  <si>
    <t xml:space="preserve">  Demand Deposits</t>
  </si>
  <si>
    <r>
      <t xml:space="preserve">Note: </t>
    </r>
    <r>
      <rPr>
        <sz val="8"/>
        <rFont val="Times New Roman"/>
        <family val="1"/>
      </rPr>
      <t>Rate of inflation (Base: 2021-22) has been revised due to revision of BBS data.</t>
    </r>
  </si>
  <si>
    <t>11.75-14.00</t>
  </si>
  <si>
    <t>11.00-13.25</t>
  </si>
  <si>
    <t>13.75-15.75</t>
  </si>
  <si>
    <t>14.25-16.00</t>
  </si>
  <si>
    <t>13.75-16.00</t>
  </si>
  <si>
    <t>2.80-3.05</t>
  </si>
  <si>
    <t>3.55-3.80</t>
  </si>
  <si>
    <t>4.55-4.80</t>
  </si>
  <si>
    <t>5.30-5.55</t>
  </si>
  <si>
    <t>5.55-5.80</t>
  </si>
  <si>
    <t>11.50-12.50</t>
  </si>
  <si>
    <t xml:space="preserve">  From    Banks</t>
  </si>
  <si>
    <t xml:space="preserve">  From       Govern-  ment</t>
  </si>
  <si>
    <t>BD0927311029</t>
  </si>
  <si>
    <t>05.02.25</t>
  </si>
  <si>
    <t>05.02.27</t>
  </si>
  <si>
    <t>BD0930321056</t>
  </si>
  <si>
    <t>12.02.25</t>
  </si>
  <si>
    <t>12.02.30</t>
  </si>
  <si>
    <t>19.02.25</t>
  </si>
  <si>
    <t>26.02.25</t>
  </si>
  <si>
    <t xml:space="preserve">    Foreign         Exchange   Reserves  </t>
  </si>
  <si>
    <t>Outstanding Credit 
(as on)</t>
  </si>
  <si>
    <t>2.00-6.00</t>
  </si>
  <si>
    <t>3.00-8.00</t>
  </si>
  <si>
    <t xml:space="preserve"> 12.00-15.00</t>
  </si>
  <si>
    <t>11.00-13.50</t>
  </si>
  <si>
    <t>14.50-14.75</t>
  </si>
  <si>
    <t>13.00-15.25</t>
  </si>
  <si>
    <t>BD0927351025</t>
  </si>
  <si>
    <t>05.03.27</t>
  </si>
  <si>
    <t>12.03.25</t>
  </si>
  <si>
    <t>BD0935371106</t>
  </si>
  <si>
    <t>19.03.25</t>
  </si>
  <si>
    <t>19.03.35</t>
  </si>
  <si>
    <t>BD0940381157</t>
  </si>
  <si>
    <t>27.03.25</t>
  </si>
  <si>
    <t>27.03.40</t>
  </si>
  <si>
    <t>BDS093201071</t>
  </si>
  <si>
    <t>13.03.25</t>
  </si>
  <si>
    <t>13.03.32</t>
  </si>
  <si>
    <t>2.00-4.00</t>
  </si>
  <si>
    <t>4.50-8.00</t>
  </si>
  <si>
    <t>… = Not available</t>
  </si>
  <si>
    <t>Average Deposits  per Scheduled Bank  Branch (in crore) </t>
  </si>
  <si>
    <t>30.04.25</t>
  </si>
  <si>
    <t>BD0927391021</t>
  </si>
  <si>
    <t>09.04.25</t>
  </si>
  <si>
    <t>09.04.27</t>
  </si>
  <si>
    <t>16.04.25</t>
  </si>
  <si>
    <t>23.04.25</t>
  </si>
  <si>
    <t>BD0930401056</t>
  </si>
  <si>
    <t>16.04.30</t>
  </si>
  <si>
    <t>2.50-3.25</t>
  </si>
  <si>
    <t>12.50-13.50</t>
  </si>
  <si>
    <t>8.50-12.50</t>
  </si>
  <si>
    <t>12.25-13.50</t>
  </si>
  <si>
    <t>Narrow         Money      (M1) (5+8+12)</t>
  </si>
  <si>
    <t>Broad            Money         (M2)       (9+14)</t>
  </si>
  <si>
    <t xml:space="preserve">Broad        Money     (M3)      </t>
  </si>
  <si>
    <t>28.05.25</t>
  </si>
  <si>
    <t>BD0945461202</t>
  </si>
  <si>
    <t>28.05.45</t>
  </si>
  <si>
    <t>BD0927431025</t>
  </si>
  <si>
    <t>07.05.25</t>
  </si>
  <si>
    <t>07.05.27</t>
  </si>
  <si>
    <t>BD0928431032</t>
  </si>
  <si>
    <t>07.05.28</t>
  </si>
  <si>
    <t>BD0935451106</t>
  </si>
  <si>
    <t>21.05.25</t>
  </si>
  <si>
    <t>21.05.35</t>
  </si>
  <si>
    <t>14.05.25</t>
  </si>
  <si>
    <t>4.00-13.75</t>
  </si>
  <si>
    <t>1) Export of EPZ from 2009-10 to 2019-20: Bangladesh Export Processing Zone Authority (BEPZA)</t>
  </si>
  <si>
    <t>Email:ataul.bhuiyan@bb.org.bd</t>
  </si>
  <si>
    <t>BD0930481058</t>
  </si>
  <si>
    <t>18.06.25</t>
  </si>
  <si>
    <t>18.06.30</t>
  </si>
  <si>
    <t>25.06.25</t>
  </si>
  <si>
    <t>BD0927471021</t>
  </si>
  <si>
    <t>04.06.25</t>
  </si>
  <si>
    <t>04.06.27</t>
  </si>
  <si>
    <t>04.06.28</t>
  </si>
  <si>
    <t>4.00-12.40</t>
  </si>
  <si>
    <t>12.25-18.00</t>
  </si>
  <si>
    <t>12.25-12.75</t>
  </si>
  <si>
    <r>
      <t>2024-25</t>
    </r>
    <r>
      <rPr>
        <b/>
        <vertAlign val="superscript"/>
        <sz val="8"/>
        <color indexed="8"/>
        <rFont val="Times New Roman"/>
        <family val="1"/>
      </rPr>
      <t>P</t>
    </r>
  </si>
  <si>
    <t>BDS093202072</t>
  </si>
  <si>
    <t>20.05.25</t>
  </si>
  <si>
    <t>20.05.32</t>
  </si>
  <si>
    <t>Ataul Karim Bhuiyan                 Additional Director (Statistics)</t>
  </si>
  <si>
    <t>Mohammed Rabiul Islam               Additional Director (Statistics)</t>
  </si>
  <si>
    <r>
      <t xml:space="preserve">Note </t>
    </r>
    <r>
      <rPr>
        <sz val="5.5"/>
        <rFont val="Times New Roman"/>
        <family val="1"/>
      </rPr>
      <t xml:space="preserve">: </t>
    </r>
  </si>
  <si>
    <t>From Other Financial Institutions</t>
  </si>
  <si>
    <t>From        Inter-    Banks</t>
  </si>
  <si>
    <t>BD0927011025</t>
  </si>
  <si>
    <t>09.07.25</t>
  </si>
  <si>
    <t>09.07.27</t>
  </si>
  <si>
    <t>BD0928011032</t>
  </si>
  <si>
    <t>09.07.28</t>
  </si>
  <si>
    <t>BD0935031106</t>
  </si>
  <si>
    <t>23.07.25</t>
  </si>
  <si>
    <t>23.07.35</t>
  </si>
  <si>
    <t>30.07.25</t>
  </si>
  <si>
    <t>BD0927041204</t>
  </si>
  <si>
    <t>25.07.07</t>
  </si>
  <si>
    <t>25.07.27</t>
  </si>
  <si>
    <r>
      <t>2025-26</t>
    </r>
    <r>
      <rPr>
        <b/>
        <vertAlign val="superscript"/>
        <sz val="8"/>
        <rFont val="Times New Roman"/>
        <family val="1"/>
      </rPr>
      <t>P</t>
    </r>
  </si>
  <si>
    <t>2025-26</t>
  </si>
  <si>
    <t>1.25-3.25</t>
  </si>
  <si>
    <t>0.05-3.13</t>
  </si>
  <si>
    <t>9.50-10.00</t>
  </si>
  <si>
    <t>0.05-4.75</t>
  </si>
  <si>
    <t>11.50-15.00</t>
  </si>
  <si>
    <t>Import (Shipment)</t>
  </si>
  <si>
    <r>
      <t>2025-26</t>
    </r>
    <r>
      <rPr>
        <b/>
        <vertAlign val="superscript"/>
        <sz val="9"/>
        <color theme="1"/>
        <rFont val="Times New Roman"/>
        <family val="1"/>
      </rPr>
      <t>P</t>
    </r>
  </si>
  <si>
    <t xml:space="preserve">With effect from 04.04.22 </t>
  </si>
  <si>
    <t>Overall Deficit     (5-17)</t>
  </si>
  <si>
    <t>Total Operating Expenditure  (6+7)</t>
  </si>
  <si>
    <t>1.Including export from EPZ to Bangladesh. 2. Export Data revised by NBR from July, 2022 to June 2024 &amp; Export data are shipment based.</t>
  </si>
  <si>
    <t>3.  The data series on Import Payments (which was on C&amp;F/CIF basis upto June 2014 and on FOB basis July 2014 onwards) has been replaced by shipment</t>
  </si>
  <si>
    <t xml:space="preserve"> based Import data series on Customs/Bill of Entry data (which is on Cost, Insurance and Freight (CIF) basis).</t>
  </si>
  <si>
    <r>
      <t>2025-26</t>
    </r>
    <r>
      <rPr>
        <b/>
        <vertAlign val="superscript"/>
        <sz val="7.5"/>
        <color theme="1"/>
        <rFont val="Times New Roman"/>
        <family val="1"/>
      </rPr>
      <t>P</t>
    </r>
  </si>
  <si>
    <r>
      <t>2025-26</t>
    </r>
    <r>
      <rPr>
        <vertAlign val="superscript"/>
        <sz val="8.5"/>
        <color theme="1"/>
        <rFont val="Times New Roman"/>
        <family val="1"/>
      </rPr>
      <t>P</t>
    </r>
  </si>
  <si>
    <t>13.08.25</t>
  </si>
  <si>
    <t>BD0940081153</t>
  </si>
  <si>
    <t>27.08.25</t>
  </si>
  <si>
    <t>27.08.40</t>
  </si>
  <si>
    <t>BD0945081208</t>
  </si>
  <si>
    <t>27.08.45</t>
  </si>
  <si>
    <t>06.08.25</t>
  </si>
  <si>
    <t>4.88-6.00</t>
  </si>
  <si>
    <t>7.50-8.25</t>
  </si>
  <si>
    <t>5.50-12.50</t>
  </si>
  <si>
    <t>11.00-11.75</t>
  </si>
  <si>
    <t>0.05-5.00</t>
  </si>
  <si>
    <t>6.00-10.50</t>
  </si>
  <si>
    <t>12.00-12.50</t>
  </si>
  <si>
    <t>13.00-13.75</t>
  </si>
  <si>
    <t>14.75-16.50</t>
  </si>
  <si>
    <t>14.50-15.50</t>
  </si>
  <si>
    <t>14.50-16.00</t>
  </si>
  <si>
    <t>15.00-17.00</t>
  </si>
  <si>
    <r>
      <t>2025-26</t>
    </r>
    <r>
      <rPr>
        <b/>
        <vertAlign val="superscript"/>
        <sz val="8"/>
        <color theme="1"/>
        <rFont val="Times New Roman"/>
        <family val="1"/>
      </rPr>
      <t>P</t>
    </r>
  </si>
  <si>
    <r>
      <t xml:space="preserve">             Source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</si>
  <si>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           Note :</t>
    </r>
    <r>
      <rPr>
        <sz val="6"/>
        <rFont val="Times New Roman"/>
        <family val="1"/>
      </rPr>
      <t xml:space="preserve">  </t>
    </r>
  </si>
  <si>
    <r>
      <t>Note :</t>
    </r>
    <r>
      <rPr>
        <sz val="6"/>
        <rFont val="Times New Roman"/>
        <family val="1"/>
      </rPr>
      <t xml:space="preserve">  </t>
    </r>
  </si>
  <si>
    <r>
      <t>Source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</si>
  <si>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Note:*  MICR Cheque Clearing and Electronic Fund Transfers (outward) includes only all scheduled banks upto </t>
  </si>
  <si>
    <t>Note:  MICR= Magnetic Ink Character Recognition, ATM- Automated Teller Machine, POS- Point of Sale, CRM- Cash Recycling Machine</t>
  </si>
  <si>
    <t>Note: NAGAD has been included from September,2018 in MFS data</t>
  </si>
  <si>
    <t>Note :    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</si>
  <si>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</si>
  <si>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BD0930101052</t>
  </si>
  <si>
    <t>10.09.25</t>
  </si>
  <si>
    <t>10.09.30</t>
  </si>
  <si>
    <t>BD0927091027</t>
  </si>
  <si>
    <t>03.09.25</t>
  </si>
  <si>
    <t>03.09.27</t>
  </si>
  <si>
    <t>1.50-7.00</t>
  </si>
  <si>
    <t>4.00-6.25</t>
  </si>
  <si>
    <t>0.20-7.60</t>
  </si>
  <si>
    <t>0.30-8.75</t>
  </si>
  <si>
    <t>13.00-17.00</t>
  </si>
  <si>
    <t>14.20-16.20</t>
  </si>
  <si>
    <t>14.25-16.25</t>
  </si>
  <si>
    <t>7.00-14.20</t>
  </si>
  <si>
    <t>14.75-16.75</t>
  </si>
  <si>
    <t xml:space="preserve"> INFLATION RATE IN BANGLADESH (Base Index 2021-22=100)                       TABLE-VIII</t>
  </si>
  <si>
    <t>Ashish Kumar Roy</t>
  </si>
  <si>
    <t>BD0928131038</t>
  </si>
  <si>
    <t>08.10.25</t>
  </si>
  <si>
    <t>08.10.28</t>
  </si>
  <si>
    <t>3.00-8.50</t>
  </si>
  <si>
    <t>0.50-6.00</t>
  </si>
  <si>
    <t>2.00-10.50</t>
  </si>
  <si>
    <t>7.00-9.00</t>
  </si>
  <si>
    <t>12.50-15.00</t>
  </si>
  <si>
    <t>7.00-15.00</t>
  </si>
  <si>
    <t>12.00-15.00</t>
  </si>
  <si>
    <t>9.99-11.99</t>
  </si>
  <si>
    <t>7.99-15.00</t>
  </si>
  <si>
    <t>11.00-15.50</t>
  </si>
  <si>
    <t>11.50-13.82</t>
  </si>
  <si>
    <t>Email: humayun.kabir93@bb.org.bd</t>
  </si>
  <si>
    <t xml:space="preserve">Md. Humayun Kabir         </t>
  </si>
  <si>
    <r>
      <t>2025-26</t>
    </r>
    <r>
      <rPr>
        <b/>
        <vertAlign val="superscript"/>
        <sz val="8.5"/>
        <color theme="1"/>
        <rFont val="Times New Roman"/>
        <family val="1"/>
      </rPr>
      <t>P</t>
    </r>
  </si>
  <si>
    <t xml:space="preserve">Deputy Director            </t>
  </si>
  <si>
    <r>
      <t>October</t>
    </r>
    <r>
      <rPr>
        <vertAlign val="superscript"/>
        <sz val="8"/>
        <rFont val="Times New Roman"/>
        <family val="1"/>
      </rPr>
      <t>R</t>
    </r>
  </si>
  <si>
    <t>12.11.25</t>
  </si>
  <si>
    <t>BD0930211059</t>
  </si>
  <si>
    <t>30.11.25</t>
  </si>
  <si>
    <t>BD0927171027</t>
  </si>
  <si>
    <t>05.11.25</t>
  </si>
  <si>
    <t>05.11.27</t>
  </si>
  <si>
    <t>BD0935191108</t>
  </si>
  <si>
    <t>19.11.25</t>
  </si>
  <si>
    <t>19.11.35</t>
  </si>
  <si>
    <t>2.38-3.75</t>
  </si>
  <si>
    <t>4.00-4.50</t>
  </si>
  <si>
    <t>4.50-4.75</t>
  </si>
  <si>
    <t>2.000.00</t>
  </si>
  <si>
    <t>9.75-10.30</t>
  </si>
  <si>
    <t>10.50-11.00</t>
  </si>
  <si>
    <t>6.44-7.24</t>
  </si>
  <si>
    <t>9.25-10.00</t>
  </si>
  <si>
    <t>2.63-8.25</t>
  </si>
  <si>
    <t>5.25-9.50</t>
  </si>
  <si>
    <t>2.75-8.50</t>
  </si>
  <si>
    <t>5.00-9.50</t>
  </si>
  <si>
    <t>5.25-8.50</t>
  </si>
  <si>
    <t>5.25-9.75</t>
  </si>
  <si>
    <t>5.25-10.00</t>
  </si>
  <si>
    <t>5.50-9.75</t>
  </si>
  <si>
    <t>3.00-12.00</t>
  </si>
  <si>
    <t>5.12-8.50</t>
  </si>
  <si>
    <t>14.25-16.50</t>
  </si>
  <si>
    <t>12.99-16.50</t>
  </si>
  <si>
    <t>11.00-14.50</t>
  </si>
  <si>
    <t>10.00-14.00</t>
  </si>
  <si>
    <t>Budget only)</t>
  </si>
  <si>
    <t>( Revised</t>
  </si>
  <si>
    <t xml:space="preserve">E-COMMERCE STATISTICS  </t>
  </si>
  <si>
    <t>E-BANKING &amp;</t>
  </si>
  <si>
    <t xml:space="preserve">  (Taka in Million)</t>
  </si>
  <si>
    <t xml:space="preserve">BUDGET STATISTICS </t>
  </si>
  <si>
    <t>Deputy Director</t>
  </si>
  <si>
    <r>
      <t>2025-26</t>
    </r>
    <r>
      <rPr>
        <b/>
        <vertAlign val="superscript"/>
        <sz val="8"/>
        <rFont val="Times New Roman"/>
        <family val="1"/>
      </rPr>
      <t>p</t>
    </r>
  </si>
  <si>
    <r>
      <t>2024-25</t>
    </r>
    <r>
      <rPr>
        <vertAlign val="superscript"/>
        <sz val="8"/>
        <color indexed="8"/>
        <rFont val="Times New Roman"/>
        <family val="1"/>
      </rPr>
      <t>P</t>
    </r>
  </si>
  <si>
    <t>30.11.30</t>
  </si>
  <si>
    <t>10.12.25</t>
  </si>
  <si>
    <t>03.12.25</t>
  </si>
  <si>
    <t>0.00-2.75</t>
  </si>
  <si>
    <t>0.00-3.25</t>
  </si>
  <si>
    <t>0.00-5.75</t>
  </si>
  <si>
    <t>0.00-6.00</t>
  </si>
  <si>
    <t>0.00-8.50</t>
  </si>
  <si>
    <t>8.25-8.75</t>
  </si>
  <si>
    <t>1.25-7.00</t>
  </si>
  <si>
    <t>9.00-10.00</t>
  </si>
  <si>
    <t>9.50-9.75</t>
  </si>
  <si>
    <t>9.90-11.90</t>
  </si>
  <si>
    <t>8.00-10.00</t>
  </si>
  <si>
    <t>11.50-14.00</t>
  </si>
  <si>
    <t>10.90-12.90</t>
  </si>
  <si>
    <t>10.50-13.00</t>
  </si>
  <si>
    <t>13.00-14.75</t>
  </si>
  <si>
    <t>7.50-14.50</t>
  </si>
  <si>
    <t>PROFIT RATE STRUCTURE OF THE ISLAMIC BANKS, 2024</t>
  </si>
  <si>
    <t>R= Revised</t>
  </si>
  <si>
    <r>
      <t>2024-25</t>
    </r>
    <r>
      <rPr>
        <b/>
        <vertAlign val="superscript"/>
        <sz val="8"/>
        <rFont val="Times New Roman"/>
        <family val="1"/>
      </rPr>
      <t>R</t>
    </r>
  </si>
  <si>
    <t>BD0929261032</t>
  </si>
  <si>
    <t>07.01.26</t>
  </si>
  <si>
    <t>07.01.29</t>
  </si>
  <si>
    <t xml:space="preserve"> Data of Bangladesh Govt. Investment Sukuk and other Treasury bond updated  as on 31 January, 2026</t>
  </si>
  <si>
    <t xml:space="preserve">Shawkat Hossain Shoaib             Joint Director      </t>
  </si>
  <si>
    <t>Email: sh.shoaib@bb.org.bd</t>
  </si>
  <si>
    <t>2.79</t>
  </si>
  <si>
    <t>3.00</t>
  </si>
  <si>
    <t>2.75</t>
  </si>
  <si>
    <t>5.00</t>
  </si>
  <si>
    <t>4.50</t>
  </si>
  <si>
    <t>3.25</t>
  </si>
  <si>
    <t>2.00</t>
  </si>
  <si>
    <t>4.25</t>
  </si>
  <si>
    <t>2.50</t>
  </si>
  <si>
    <t>2.60</t>
  </si>
  <si>
    <t>3.38</t>
  </si>
  <si>
    <t>4.00</t>
  </si>
  <si>
    <t>2.13</t>
  </si>
  <si>
    <t>2.25</t>
  </si>
  <si>
    <t>2.97</t>
  </si>
  <si>
    <t>3.50</t>
  </si>
  <si>
    <t>6.00</t>
  </si>
  <si>
    <t>3.22</t>
  </si>
  <si>
    <t>3.75</t>
  </si>
  <si>
    <t>8.00</t>
  </si>
  <si>
    <t>3.60</t>
  </si>
  <si>
    <t>8.50</t>
  </si>
  <si>
    <t>3.85</t>
  </si>
  <si>
    <t>4.38</t>
  </si>
  <si>
    <t>10.00</t>
  </si>
  <si>
    <t>6.32</t>
  </si>
  <si>
    <t>7.00</t>
  </si>
  <si>
    <t>8.25</t>
  </si>
  <si>
    <t>8.50-9.25</t>
  </si>
  <si>
    <t>12.00</t>
  </si>
  <si>
    <t>9.25</t>
  </si>
  <si>
    <t>6.88</t>
  </si>
  <si>
    <t>8.63</t>
  </si>
  <si>
    <t>8.75</t>
  </si>
  <si>
    <t>9.50</t>
  </si>
  <si>
    <t>7.23</t>
  </si>
  <si>
    <t>9.00</t>
  </si>
  <si>
    <t>7.45</t>
  </si>
  <si>
    <t>6.25</t>
  </si>
  <si>
    <t>0.00</t>
  </si>
  <si>
    <t>1.50</t>
  </si>
  <si>
    <t>0.50</t>
  </si>
  <si>
    <t>1.00</t>
  </si>
  <si>
    <t>1.75</t>
  </si>
  <si>
    <t>7.00-8.00</t>
  </si>
  <si>
    <t>2.50-7.50</t>
  </si>
  <si>
    <t>10.50</t>
  </si>
  <si>
    <t>7.10-8.10</t>
  </si>
  <si>
    <t>5.50-12.25</t>
  </si>
  <si>
    <t>11.50</t>
  </si>
  <si>
    <t>7.20-9.50</t>
  </si>
  <si>
    <t>0.75</t>
  </si>
  <si>
    <t>0.50-3.50</t>
  </si>
  <si>
    <t>0.05</t>
  </si>
  <si>
    <t>1.25</t>
  </si>
  <si>
    <t>0.20</t>
  </si>
  <si>
    <t>0.25</t>
  </si>
  <si>
    <t>5.50</t>
  </si>
  <si>
    <t>0.30</t>
  </si>
  <si>
    <t>0.40</t>
  </si>
  <si>
    <t>0.55</t>
  </si>
  <si>
    <t>0.80</t>
  </si>
  <si>
    <t>0.10</t>
  </si>
  <si>
    <t>6.34-9.16</t>
  </si>
  <si>
    <t>Assistant Director </t>
  </si>
  <si>
    <t xml:space="preserve">Akash Saha  </t>
  </si>
  <si>
    <t xml:space="preserve">Assistant Director      </t>
  </si>
  <si>
    <t>Email: akash.saha@bb.org.bd</t>
  </si>
  <si>
    <t>25.02.26</t>
  </si>
  <si>
    <t>05.02.26</t>
  </si>
  <si>
    <t>18.02.26</t>
  </si>
  <si>
    <t>Data Of BD(Govt) Treasury Bond updated  as on 28 February, 2026</t>
  </si>
  <si>
    <t>3.00-6.50</t>
  </si>
  <si>
    <t>0.00-2.50</t>
  </si>
  <si>
    <t>1.00-6.50</t>
  </si>
  <si>
    <t>8.13-8.75</t>
  </si>
  <si>
    <t>10.75-11.25</t>
  </si>
  <si>
    <t>6.25-10.25</t>
  </si>
  <si>
    <t>9.00-11.25</t>
  </si>
  <si>
    <t>7.75-8.50</t>
  </si>
  <si>
    <t>10.75-11.00</t>
  </si>
  <si>
    <t>8.50-11.50</t>
  </si>
  <si>
    <t>2.75-12.00</t>
  </si>
  <si>
    <t>3.50-12.00</t>
  </si>
  <si>
    <t>4.00-12.50</t>
  </si>
  <si>
    <t>9.50-13.00</t>
  </si>
  <si>
    <t>11.75-13.75</t>
  </si>
  <si>
    <t>13.33-14.67</t>
  </si>
  <si>
    <t>13.50-15.00</t>
  </si>
  <si>
    <t>4.00-13.50</t>
  </si>
  <si>
    <t>12.25-14.25</t>
  </si>
  <si>
    <t>11.00-12.25</t>
  </si>
  <si>
    <t>6.00-13.00</t>
  </si>
  <si>
    <t>10.50-13.78</t>
  </si>
  <si>
    <t>10.00-15.00</t>
  </si>
  <si>
    <t>11.50-18.00</t>
  </si>
  <si>
    <t>15.25-16.50</t>
  </si>
  <si>
    <t>6.00-8.00</t>
  </si>
  <si>
    <t>April 2026</t>
  </si>
  <si>
    <t>Exports (Shipment)</t>
  </si>
  <si>
    <t xml:space="preserve">2) Statistics Department,   Bangladesh Bank     </t>
  </si>
  <si>
    <t>31.03.26</t>
  </si>
  <si>
    <t>04.03.26</t>
  </si>
  <si>
    <t>24.03.26</t>
  </si>
  <si>
    <t>11.03.26</t>
  </si>
  <si>
    <t xml:space="preserve"> IN BANGLADESH (EXCEPT ISLAMIC BANKS), March 2026</t>
  </si>
  <si>
    <t xml:space="preserve"> IN BANGLADESH (EXCEPT ISLAMIC BANKS), March 2025</t>
  </si>
  <si>
    <t>0.04-1.97</t>
  </si>
  <si>
    <t>2.500.00</t>
  </si>
  <si>
    <t>1.50-9.40</t>
  </si>
  <si>
    <t>3.000.00</t>
  </si>
  <si>
    <t>4.39-7.34</t>
  </si>
  <si>
    <t>2.00-5.25</t>
  </si>
  <si>
    <t>6.000.00</t>
  </si>
  <si>
    <t>0.51-5.45</t>
  </si>
  <si>
    <t>5.000.00</t>
  </si>
  <si>
    <t>6.50</t>
  </si>
  <si>
    <t>4.290.00</t>
  </si>
  <si>
    <t>2.750.00</t>
  </si>
  <si>
    <t>3.61-4.27</t>
  </si>
  <si>
    <t>7.000.00</t>
  </si>
  <si>
    <t>3.790.00</t>
  </si>
  <si>
    <t>4.000.00</t>
  </si>
  <si>
    <t>4.040.00</t>
  </si>
  <si>
    <t>1.13</t>
  </si>
  <si>
    <t>3.540.00</t>
  </si>
  <si>
    <t>0.000.00</t>
  </si>
  <si>
    <t>9.06</t>
  </si>
  <si>
    <t>5.24-7.79</t>
  </si>
  <si>
    <t>7.50</t>
  </si>
  <si>
    <t>3.00-7.63</t>
  </si>
  <si>
    <t>8.25-10.00</t>
  </si>
  <si>
    <t>10.000.00</t>
  </si>
  <si>
    <t>8.93-9.35</t>
  </si>
  <si>
    <t>9.750.00</t>
  </si>
  <si>
    <t>2.030.00</t>
  </si>
  <si>
    <t>5.00-7.35</t>
  </si>
  <si>
    <t>9.250.00</t>
  </si>
  <si>
    <t>5.45-7.99</t>
  </si>
  <si>
    <t>7.38-9.25</t>
  </si>
  <si>
    <t>10.500.00</t>
  </si>
  <si>
    <t>9.10-9.38</t>
  </si>
  <si>
    <t>2.56-8.58</t>
  </si>
  <si>
    <t>6.88-7.75</t>
  </si>
  <si>
    <t>4.50-9.75</t>
  </si>
  <si>
    <t>4.50-10.00</t>
  </si>
  <si>
    <t>5.75-9.90</t>
  </si>
  <si>
    <t>10.30</t>
  </si>
  <si>
    <t>4.50-9.25</t>
  </si>
  <si>
    <t>5.750.00</t>
  </si>
  <si>
    <t>1.75-10.50</t>
  </si>
  <si>
    <t>3.60-8.58</t>
  </si>
  <si>
    <t>6.63-7.75</t>
  </si>
  <si>
    <t>4.50-9.60</t>
  </si>
  <si>
    <t>4.75</t>
  </si>
  <si>
    <t>8.38</t>
  </si>
  <si>
    <t>8.35</t>
  </si>
  <si>
    <t>11.00</t>
  </si>
  <si>
    <t>10.61</t>
  </si>
  <si>
    <t>9.18-9.50</t>
  </si>
  <si>
    <t>4.50-9.50</t>
  </si>
  <si>
    <t>8.750.00</t>
  </si>
  <si>
    <t>3.52-8.58</t>
  </si>
  <si>
    <t>8.500.00</t>
  </si>
  <si>
    <t>5.38-8.63</t>
  </si>
  <si>
    <t>6.75-7.80</t>
  </si>
  <si>
    <t>8.00-9.25</t>
  </si>
  <si>
    <t>7.75</t>
  </si>
  <si>
    <t>10.68</t>
  </si>
  <si>
    <t>9.25-9.50</t>
  </si>
  <si>
    <t>1.03</t>
  </si>
  <si>
    <t>9.75</t>
  </si>
  <si>
    <t>10.00-14.75</t>
  </si>
  <si>
    <t>4.00-13.99</t>
  </si>
  <si>
    <t>10.75-12.88</t>
  </si>
  <si>
    <t>10.50-14.55</t>
  </si>
  <si>
    <t>10.59-12.09</t>
  </si>
  <si>
    <t>9.90-13.50</t>
  </si>
  <si>
    <t>9.00-15.00</t>
  </si>
  <si>
    <t>10.59-12.59</t>
  </si>
  <si>
    <t>5.00-13.50</t>
  </si>
  <si>
    <t>Bank-wise Announced Interest Rate Structure in Bangladesh (Except Islamic Banks), March 2026</t>
  </si>
  <si>
    <t>Month</t>
  </si>
  <si>
    <r>
      <t>2025-26</t>
    </r>
    <r>
      <rPr>
        <vertAlign val="superscript"/>
        <sz val="8"/>
        <rFont val="Times New Roman"/>
        <family val="1"/>
      </rPr>
      <t>P</t>
    </r>
  </si>
  <si>
    <t>July-Sep</t>
  </si>
  <si>
    <t>2024-25P</t>
  </si>
  <si>
    <t>29021-22</t>
  </si>
  <si>
    <r>
      <t>2023-24</t>
    </r>
    <r>
      <rPr>
        <vertAlign val="superscript"/>
        <sz val="8"/>
        <rFont val="Times New Roman"/>
        <family val="1"/>
      </rPr>
      <t>R</t>
    </r>
  </si>
  <si>
    <t>Months</t>
  </si>
  <si>
    <t>Note        : </t>
  </si>
  <si>
    <r>
      <t xml:space="preserve">Hong Kong:    </t>
    </r>
    <r>
      <rPr>
        <b/>
        <sz val="8"/>
        <rFont val="Times New Roman"/>
        <family val="1"/>
      </rPr>
      <t>SAR of China</t>
    </r>
  </si>
  <si>
    <t>Year</t>
  </si>
  <si>
    <r>
      <t>Export</t>
    </r>
    <r>
      <rPr>
        <b/>
        <vertAlign val="superscript"/>
        <sz val="8"/>
        <rFont val="Times New Roman"/>
        <family val="1"/>
      </rPr>
      <t>*</t>
    </r>
  </si>
  <si>
    <t>Country</t>
  </si>
  <si>
    <t>Monthly</t>
  </si>
  <si>
    <t>Apirl</t>
  </si>
  <si>
    <t>..</t>
  </si>
  <si>
    <r>
      <rPr>
        <sz val="8.5"/>
        <color rgb="FF161616"/>
        <rFont val="Times New Roman"/>
        <family val="1"/>
      </rPr>
      <t>...</t>
    </r>
  </si>
  <si>
    <r>
      <rPr>
        <sz val="8.5"/>
        <color rgb="FF161616"/>
        <rFont val="Times New Roman"/>
        <family val="1"/>
      </rPr>
      <t>…</t>
    </r>
  </si>
  <si>
    <t>Reserve Money (1+2+5+6)</t>
  </si>
  <si>
    <t>Total 
(3+4)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</si>
  <si>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</si>
  <si>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</si>
  <si>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</si>
  <si>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</si>
  <si>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</si>
  <si>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</si>
  <si>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</si>
  <si>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</si>
  <si>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</si>
  <si>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r>
      <t xml:space="preserve">Total </t>
    </r>
    <r>
      <rPr>
        <b/>
        <sz val="8"/>
        <rFont val="Times New Roman"/>
        <family val="1"/>
      </rPr>
      <t>(2+3+4+5)</t>
    </r>
  </si>
  <si>
    <r>
      <t>2023-24</t>
    </r>
    <r>
      <rPr>
        <b/>
        <vertAlign val="superscript"/>
        <sz val="9"/>
        <rFont val="Times New Roman"/>
        <family val="1"/>
      </rPr>
      <t>P</t>
    </r>
  </si>
  <si>
    <r>
      <t>2024-25</t>
    </r>
    <r>
      <rPr>
        <b/>
        <vertAlign val="superscript"/>
        <sz val="9"/>
        <rFont val="Times New Roman"/>
        <family val="1"/>
      </rPr>
      <t>P</t>
    </r>
  </si>
  <si>
    <r>
      <t>2025-26</t>
    </r>
    <r>
      <rPr>
        <b/>
        <vertAlign val="superscript"/>
        <sz val="9"/>
        <rFont val="Times New Roman"/>
        <family val="1"/>
      </rPr>
      <t>P</t>
    </r>
  </si>
  <si>
    <t>  451</t>
  </si>
  <si>
    <t>  596</t>
  </si>
  <si>
    <t>  759</t>
  </si>
  <si>
    <t>  775</t>
  </si>
  <si>
    <t>  929</t>
  </si>
  <si>
    <t>  917</t>
  </si>
  <si>
    <t>  1159</t>
  </si>
  <si>
    <t>  1411</t>
  </si>
  <si>
    <t>  1435</t>
  </si>
  <si>
    <t>  1627</t>
  </si>
  <si>
    <t>  2161</t>
  </si>
  <si>
    <t> 1355</t>
  </si>
  <si>
    <t>  1050</t>
  </si>
  <si>
    <t>2157 </t>
  </si>
  <si>
    <t>7735 </t>
  </si>
  <si>
    <t>3141 </t>
  </si>
  <si>
    <t>253 </t>
  </si>
  <si>
    <t>2035 </t>
  </si>
  <si>
    <t> 2414</t>
  </si>
  <si>
    <t>6876 </t>
  </si>
  <si>
    <t xml:space="preserve">  Currency     Outside      Banks       (3-4)</t>
  </si>
  <si>
    <r>
      <t xml:space="preserve">Rate of Inflation in Bangladesh </t>
    </r>
    <r>
      <rPr>
        <b/>
        <sz val="9"/>
        <color indexed="8"/>
        <rFont val="Times New Roman"/>
        <family val="1"/>
      </rPr>
      <t xml:space="preserve">  Measured by Consumer  Price Index  (CPI)</t>
    </r>
  </si>
  <si>
    <t> 4337.2</t>
  </si>
  <si>
    <t> 5908.5</t>
  </si>
  <si>
    <t> 64826.8</t>
  </si>
  <si>
    <t> 1039.2</t>
  </si>
  <si>
    <t>2506.6 </t>
  </si>
  <si>
    <t>34.5 </t>
  </si>
  <si>
    <t>13329.5 </t>
  </si>
  <si>
    <t>610.9 </t>
  </si>
  <si>
    <t> 558.3</t>
  </si>
  <si>
    <t>4648.2 </t>
  </si>
  <si>
    <t>1995.8 </t>
  </si>
  <si>
    <t>81649.6 </t>
  </si>
  <si>
    <t>3115.4 </t>
  </si>
  <si>
    <t>3390.6 </t>
  </si>
  <si>
    <t>3271.0 </t>
  </si>
  <si>
    <t>370615.7 </t>
  </si>
  <si>
    <t> 69.1</t>
  </si>
  <si>
    <t>9700.0 </t>
  </si>
  <si>
    <t>817.5 </t>
  </si>
  <si>
    <t>12661.0 </t>
  </si>
  <si>
    <t>19.66 </t>
  </si>
  <si>
    <t>19.25 </t>
  </si>
  <si>
    <t>16.87 </t>
  </si>
  <si>
    <t>17.65 </t>
  </si>
  <si>
    <t>16.60 </t>
  </si>
  <si>
    <t>2.90 </t>
  </si>
  <si>
    <t>6156 </t>
  </si>
  <si>
    <t>3612 </t>
  </si>
  <si>
    <t>96.19 </t>
  </si>
  <si>
    <t>13.26 </t>
  </si>
  <si>
    <t>12.75 </t>
  </si>
  <si>
    <t>9.82 </t>
  </si>
  <si>
    <t>7.00 </t>
  </si>
  <si>
    <t>  -5.47</t>
  </si>
  <si>
    <t>0.24 </t>
  </si>
  <si>
    <t>9.48 </t>
  </si>
  <si>
    <t>15.59 </t>
  </si>
  <si>
    <t>2.60 </t>
  </si>
  <si>
    <t>6159 </t>
  </si>
  <si>
    <t>3398 </t>
  </si>
  <si>
    <t>17.30 </t>
  </si>
  <si>
    <t>17.46 </t>
  </si>
  <si>
    <t>10.73 </t>
  </si>
  <si>
    <t>6.00 </t>
  </si>
  <si>
    <t>18.88 </t>
  </si>
  <si>
    <t>  14.16</t>
  </si>
  <si>
    <t>14.43 </t>
  </si>
  <si>
    <t>13.84 </t>
  </si>
  <si>
    <t>6236 </t>
  </si>
  <si>
    <t>3388 </t>
  </si>
  <si>
    <t>93.93 </t>
  </si>
  <si>
    <t>19.44 </t>
  </si>
  <si>
    <t>19.23 </t>
  </si>
  <si>
    <t>10.80 </t>
  </si>
  <si>
    <t>5.00 </t>
  </si>
  <si>
    <r>
      <rPr>
        <sz val="8"/>
        <color rgb="FF161616"/>
        <rFont val="Times New Roman"/>
        <family val="1"/>
      </rPr>
      <t>…</t>
    </r>
  </si>
  <si>
    <t xml:space="preserve">Domestic Credit                                   </t>
  </si>
  <si>
    <r>
      <t xml:space="preserve">Source : </t>
    </r>
    <r>
      <rPr>
        <sz val="8"/>
        <rFont val="Times New Roman"/>
        <family val="1"/>
      </rPr>
      <t xml:space="preserve"> Statistics Department, Bangladesh Bank</t>
    </r>
  </si>
  <si>
    <t>CLAIMS ON RESIDENT SECTORS by</t>
  </si>
  <si>
    <t>(DEPOSITORY CORPORATIONS)</t>
  </si>
  <si>
    <r>
      <t>2024-25</t>
    </r>
    <r>
      <rPr>
        <vertAlign val="superscript"/>
        <sz val="8"/>
        <rFont val="Times New Roman"/>
        <family val="1"/>
      </rPr>
      <t>R</t>
    </r>
  </si>
  <si>
    <t xml:space="preserve">1998-99 </t>
  </si>
  <si>
    <t xml:space="preserve">1999-00 </t>
  </si>
  <si>
    <t xml:space="preserve">2000-01 </t>
  </si>
  <si>
    <t>Jul-Dec</t>
  </si>
  <si>
    <t>Jan-Jun</t>
  </si>
  <si>
    <t>Quaterly</t>
  </si>
  <si>
    <t>July-Dec</t>
  </si>
  <si>
    <t>Quarterly</t>
  </si>
  <si>
    <t> 1558</t>
  </si>
  <si>
    <t>Period 
(Calendar Year)</t>
  </si>
  <si>
    <t>2022-30</t>
  </si>
  <si>
    <t>2022-31</t>
  </si>
  <si>
    <t>2022-32</t>
  </si>
  <si>
    <t>2022-33</t>
  </si>
  <si>
    <t>July(OB)</t>
  </si>
  <si>
    <t>July(NB)</t>
  </si>
  <si>
    <t>August(NB)</t>
  </si>
  <si>
    <t>September(NB)</t>
  </si>
  <si>
    <t>October(NB)</t>
  </si>
  <si>
    <t>November(NB)</t>
  </si>
  <si>
    <t>December(NB)</t>
  </si>
  <si>
    <t>January (NB)</t>
  </si>
  <si>
    <t>February(NB)</t>
  </si>
  <si>
    <t>March(NB)</t>
  </si>
  <si>
    <t>April(NB)</t>
  </si>
  <si>
    <t>May(NB)</t>
  </si>
  <si>
    <t>June(NB)</t>
  </si>
  <si>
    <t>July (OB)</t>
  </si>
  <si>
    <t>July (NB)</t>
  </si>
  <si>
    <t>August (OB)</t>
  </si>
  <si>
    <t>August (NB)</t>
  </si>
  <si>
    <t>September(OB)</t>
  </si>
  <si>
    <t>October(OB)</t>
  </si>
  <si>
    <t>November(OB)</t>
  </si>
  <si>
    <t>December (OB)</t>
  </si>
  <si>
    <t>December (NB)</t>
  </si>
  <si>
    <t>January (OB)</t>
  </si>
  <si>
    <t>February (OB)</t>
  </si>
  <si>
    <t>February (NB)</t>
  </si>
  <si>
    <t>March (OB)</t>
  </si>
  <si>
    <t>March (NB)</t>
  </si>
  <si>
    <t>April (OB)</t>
  </si>
  <si>
    <t>April (NB)</t>
  </si>
  <si>
    <t>May (OB)</t>
  </si>
  <si>
    <t>May (NB)</t>
  </si>
  <si>
    <t>June(OB)</t>
  </si>
  <si>
    <t xml:space="preserve">      Turn Over  (Tk in crore)                                    </t>
  </si>
  <si>
    <t>APPRECIATION / DEPRECIATION OF SELECTED  CURRENCIES AGAINST US DOLLAR</t>
  </si>
  <si>
    <t>US  Dollar Premium Bond</t>
  </si>
  <si>
    <t>US Dollar Investment 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</si>
</sst>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\(0.00\)"/>
    <numFmt numFmtId="169" formatCode="0.00;[Red]0.00"/>
    <numFmt numFmtId="170" formatCode="00000"/>
    <numFmt numFmtId="171" formatCode="\(0\)"/>
    <numFmt numFmtId="172" formatCode="dd/mm/yyyy;@"/>
    <numFmt numFmtId="173" formatCode="B1mmm/yy"/>
    <numFmt numFmtId="174" formatCode="0.0000000000000_);\(0.0000000000000\)"/>
    <numFmt numFmtId="175" formatCode="0.000000000000_);\(0.000000000000\)"/>
    <numFmt numFmtId="176" formatCode="0.00000000000"/>
    <numFmt numFmtId="177" formatCode="0.00000"/>
    <numFmt numFmtId="178" formatCode="0.0000000000000"/>
    <numFmt numFmtId="179" formatCode="_(* #,##0.0000_);_(* \(#,##0.0000\);_(* &quot;-&quot;??_);_(@_)"/>
    <numFmt numFmtId="180" formatCode="#,##0.0000"/>
    <numFmt numFmtId="181" formatCode="d/mm/yyyy;@"/>
    <numFmt numFmtId="182" formatCode="0.0000000"/>
    <numFmt numFmtId="183" formatCode="_(* #,##0.0_);_(* \(#,##0.0\);_(* &quot;-&quot;??_);_(@_)"/>
    <numFmt numFmtId="184" formatCode="_(* #,##0.0_);_(* \(#,##0.0\);_(* &quot;-&quot;?_);_(@_)"/>
    <numFmt numFmtId="185" formatCode="0;[Red]0"/>
    <numFmt numFmtId="186" formatCode="0.0;[Red]0.0"/>
    <numFmt numFmtId="187" formatCode="#,##0.0"/>
  </numFmts>
  <fonts count="2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8"/>
      <color indexed="8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6"/>
      <color indexed="8"/>
      <name val="Times New Roman"/>
      <family val="1"/>
    </font>
    <font>
      <sz val="7"/>
      <color indexed="8"/>
      <name val="Times New Roman"/>
      <family val="1"/>
    </font>
    <font>
      <b/>
      <sz val="7"/>
      <color indexed="8"/>
      <name val="Times New Roman"/>
      <family val="1"/>
    </font>
    <font>
      <b/>
      <sz val="12"/>
      <name val="Times New Roman"/>
      <family val="1"/>
    </font>
    <font>
      <b/>
      <sz val="10"/>
      <color indexed="18"/>
      <name val="Times New Roman"/>
      <family val="1"/>
    </font>
    <font>
      <b/>
      <sz val="8"/>
      <name val="Times New Roman"/>
      <family val="1"/>
    </font>
    <font>
      <b/>
      <sz val="6.5"/>
      <name val="Times New Roman"/>
      <family val="1"/>
    </font>
    <font>
      <sz val="6.5"/>
      <name val="Times New Roman"/>
      <family val="1"/>
    </font>
    <font>
      <sz val="6.5"/>
      <color indexed="8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b/>
      <sz val="7"/>
      <name val="Times New Roman"/>
      <family val="1"/>
    </font>
    <font>
      <vertAlign val="subscript"/>
      <sz val="7"/>
      <name val="Times New Roman"/>
      <family val="1"/>
    </font>
    <font>
      <b/>
      <sz val="10.5"/>
      <color indexed="8"/>
      <name val="Times New Roman"/>
      <family val="1"/>
    </font>
    <font>
      <sz val="10.5"/>
      <color indexed="8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7.5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name val="Arial"/>
      <family val="2"/>
    </font>
    <font>
      <b/>
      <sz val="8"/>
      <color indexed="18"/>
      <name val="Times New Roman"/>
      <family val="1"/>
    </font>
    <font>
      <sz val="8"/>
      <color indexed="18"/>
      <name val="Times New Roman"/>
      <family val="1"/>
    </font>
    <font>
      <b/>
      <sz val="11"/>
      <name val="Times New Roman"/>
      <family val="1"/>
    </font>
    <font>
      <sz val="8.5"/>
      <name val="Times New Roman"/>
      <family val="1"/>
    </font>
    <font>
      <b/>
      <sz val="6"/>
      <name val="Times New Roman"/>
      <family val="1"/>
    </font>
    <font>
      <vertAlign val="superscript"/>
      <sz val="6.5"/>
      <color indexed="8"/>
      <name val="Times New Roman"/>
      <family val="1"/>
    </font>
    <font>
      <b/>
      <sz val="7.5"/>
      <name val="Arial Narrow"/>
      <family val="2"/>
    </font>
    <font>
      <b/>
      <sz val="12"/>
      <color indexed="8"/>
      <name val="Calibri"/>
      <family val="2"/>
    </font>
    <font>
      <sz val="8.5"/>
      <color indexed="8"/>
      <name val="Times New Roman"/>
      <family val="1"/>
    </font>
    <font>
      <sz val="8"/>
      <name val="Arial"/>
      <family val="2"/>
    </font>
    <font>
      <sz val="9"/>
      <color indexed="8"/>
      <name val="Arial Narrow"/>
      <family val="2"/>
    </font>
    <font>
      <vertAlign val="superscript"/>
      <sz val="9"/>
      <color indexed="8"/>
      <name val="Times New Roman"/>
      <family val="1"/>
    </font>
    <font>
      <sz val="5"/>
      <color indexed="8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sz val="6"/>
      <color indexed="8"/>
      <name val="Times New Roman"/>
      <family val="1"/>
    </font>
    <font>
      <sz val="5"/>
      <name val="Times New Roman"/>
      <family val="1"/>
    </font>
    <font>
      <b/>
      <sz val="16"/>
      <name val="Arial"/>
      <family val="2"/>
    </font>
    <font>
      <sz val="11"/>
      <name val="Arial"/>
      <family val="2"/>
    </font>
    <font>
      <sz val="52"/>
      <name val="Arial"/>
      <family val="2"/>
    </font>
    <font>
      <sz val="7"/>
      <name val="Arial"/>
      <family val="2"/>
    </font>
    <font>
      <b/>
      <sz val="7.5"/>
      <color indexed="8"/>
      <name val="Times New Roman"/>
      <family val="1"/>
    </font>
    <font>
      <sz val="16"/>
      <name val="Arial"/>
      <family val="2"/>
    </font>
    <font>
      <sz val="22"/>
      <name val="Times New Roman"/>
      <family val="1"/>
    </font>
    <font>
      <b/>
      <sz val="10"/>
      <name val="Arial"/>
      <family val="2"/>
    </font>
    <font>
      <b/>
      <sz val="18"/>
      <name val="Times New Roman"/>
      <family val="1"/>
    </font>
    <font>
      <sz val="8"/>
      <color indexed="8"/>
      <name val="Arial Narrow"/>
      <family val="2"/>
    </font>
    <font>
      <sz val="7"/>
      <name val="Arial Narrow"/>
      <family val="2"/>
    </font>
    <font>
      <sz val="8"/>
      <name val="Arial Narrow"/>
      <family val="2"/>
    </font>
    <font>
      <b/>
      <sz val="9"/>
      <color indexed="8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7.5"/>
      <color indexed="8"/>
      <name val="Arial Narrow"/>
      <family val="2"/>
    </font>
    <font>
      <b/>
      <sz val="10.5"/>
      <color indexed="8"/>
      <name val="Arial Narrow"/>
      <family val="2"/>
    </font>
    <font>
      <b/>
      <sz val="6.5"/>
      <name val="Arial Narrow"/>
      <family val="2"/>
    </font>
    <font>
      <sz val="6.5"/>
      <name val="Arial Narrow"/>
      <family val="2"/>
    </font>
    <font>
      <b/>
      <sz val="8"/>
      <color indexed="8"/>
      <name val="Arial Narrow"/>
      <family val="2"/>
    </font>
    <font>
      <sz val="5.5"/>
      <name val="Times New Roman"/>
      <family val="1"/>
    </font>
    <font>
      <b/>
      <sz val="5.5"/>
      <name val="Times New Roman"/>
      <family val="1"/>
    </font>
    <font>
      <sz val="7"/>
      <color indexed="8"/>
      <name val="Arial Narrow"/>
      <family val="2"/>
    </font>
    <font>
      <b/>
      <vertAlign val="superscript"/>
      <sz val="9"/>
      <color indexed="8"/>
      <name val="Times New Roman"/>
      <family val="1"/>
    </font>
    <font>
      <b/>
      <sz val="8.5"/>
      <color indexed="8"/>
      <name val="Arial Narrow"/>
      <family val="2"/>
    </font>
    <font>
      <b/>
      <vertAlign val="superscript"/>
      <sz val="8.5"/>
      <color indexed="8"/>
      <name val="Arial Narrow"/>
      <family val="2"/>
    </font>
    <font>
      <b/>
      <sz val="8.25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u/>
      <sz val="8"/>
      <color rgb="FF80008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8"/>
      <color rgb="FF0000FF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7"/>
      <color rgb="FF000000"/>
      <name val="Times New Roman"/>
      <family val="1"/>
    </font>
    <font>
      <sz val="8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0"/>
      <name val="Arial"/>
      <family val="2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sz val="7.5"/>
      <color rgb="FFFF0000"/>
      <name val="Times New Roman"/>
      <family val="1"/>
    </font>
    <font>
      <sz val="6.25"/>
      <color rgb="FFFF0000"/>
      <name val="Arial Narrow"/>
      <family val="2"/>
    </font>
    <font>
      <sz val="6"/>
      <color rgb="FFFF0000"/>
      <name val="Arial Narrow"/>
      <family val="2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6.5"/>
      <color theme="1"/>
      <name val="Times New Roman"/>
      <family val="1"/>
    </font>
    <font>
      <sz val="6"/>
      <color theme="1"/>
      <name val="Times New Roman"/>
      <family val="1"/>
    </font>
    <font>
      <sz val="7.5"/>
      <color theme="1"/>
      <name val="Times New Roman"/>
      <family val="1"/>
    </font>
    <font>
      <b/>
      <sz val="7"/>
      <color theme="1"/>
      <name val="Arial Narrow"/>
      <family val="2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Arial"/>
      <family val="2"/>
    </font>
    <font>
      <sz val="8"/>
      <color rgb="FF000066"/>
      <name val="Times New Roman"/>
      <family val="1"/>
    </font>
    <font>
      <b/>
      <sz val="7.5"/>
      <color theme="1"/>
      <name val="Times New Roman"/>
      <family val="1"/>
    </font>
    <font>
      <b/>
      <sz val="52"/>
      <color theme="0"/>
      <name val="Arial"/>
      <family val="2"/>
    </font>
    <font>
      <b/>
      <sz val="36"/>
      <color theme="0"/>
      <name val="Arial Narrow"/>
      <family val="2"/>
    </font>
    <font>
      <sz val="8.5"/>
      <color theme="1"/>
      <name val="Times New Roman"/>
      <family val="1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sz val="11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8"/>
      <name val="Times New Roman"/>
      <family val="1"/>
    </font>
    <font>
      <b/>
      <vertAlign val="superscript"/>
      <sz val="8"/>
      <name val="Times New Roman"/>
      <family val="1"/>
    </font>
    <font>
      <b/>
      <vertAlign val="superscript"/>
      <sz val="8"/>
      <color indexed="8"/>
      <name val="Arial Narrow"/>
      <family val="2"/>
    </font>
    <font>
      <b/>
      <sz val="14"/>
      <name val="Sylfaen"/>
      <family val="1"/>
    </font>
    <font>
      <sz val="10"/>
      <name val="Sylfaen"/>
      <family val="1"/>
    </font>
    <font>
      <sz val="12"/>
      <name val="Sylfaen"/>
      <family val="1"/>
    </font>
    <font>
      <b/>
      <sz val="12"/>
      <name val="Sylfaen"/>
      <family val="1"/>
    </font>
    <font>
      <sz val="14"/>
      <name val="Sylfaen"/>
      <family val="1"/>
    </font>
    <font>
      <b/>
      <sz val="18"/>
      <name val="Arial"/>
      <family val="2"/>
    </font>
    <font>
      <sz val="16"/>
      <name val="Sylfaen"/>
      <family val="1"/>
    </font>
    <font>
      <b/>
      <sz val="16"/>
      <name val="Sylfaen"/>
      <family val="1"/>
    </font>
    <font>
      <sz val="13"/>
      <name val="Sylfaen"/>
      <family val="1"/>
    </font>
    <font>
      <sz val="18"/>
      <name val="Sylfaen"/>
      <family val="1"/>
    </font>
    <font>
      <b/>
      <sz val="18"/>
      <name val="Sylfaen"/>
      <family val="1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6"/>
      <color indexed="8"/>
      <name val="Calibri"/>
      <family val="2"/>
      <scheme val="minor"/>
    </font>
    <font>
      <b/>
      <sz val="8.5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8"/>
      <color theme="1" tint="0.14999847407452621"/>
      <name val="Times New Roman"/>
      <family val="1"/>
    </font>
    <font>
      <u/>
      <sz val="10"/>
      <color rgb="FF0000FF"/>
      <name val="Arial"/>
      <family val="2"/>
    </font>
    <font>
      <b/>
      <sz val="10"/>
      <color indexed="8"/>
      <name val="Arial Narrow"/>
      <family val="2"/>
    </font>
    <font>
      <sz val="12"/>
      <color theme="1"/>
      <name val="Times New Roman"/>
      <family val="1"/>
    </font>
    <font>
      <b/>
      <sz val="6.5"/>
      <color theme="1"/>
      <name val="Arial Narrow"/>
      <family val="2"/>
    </font>
    <font>
      <vertAlign val="superscript"/>
      <sz val="8"/>
      <color indexed="8"/>
      <name val="Times New Roman"/>
      <family val="1"/>
    </font>
    <font>
      <sz val="8"/>
      <name val="Arial"/>
      <family val="1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9"/>
      <color theme="1"/>
      <name val="Verdana"/>
      <family val="2"/>
    </font>
    <font>
      <sz val="10"/>
      <color theme="1"/>
      <name val="Calibri"/>
      <family val="2"/>
    </font>
    <font>
      <b/>
      <sz val="8.5"/>
      <color theme="1"/>
      <name val="Times New Roman"/>
      <family val="1"/>
    </font>
    <font>
      <b/>
      <vertAlign val="superscript"/>
      <sz val="8.5"/>
      <color theme="1"/>
      <name val="Times New Roman"/>
      <family val="1"/>
    </font>
    <font>
      <b/>
      <sz val="7"/>
      <color theme="1"/>
      <name val="Times New Roman"/>
      <family val="1"/>
    </font>
    <font>
      <b/>
      <sz val="6.5"/>
      <color theme="1"/>
      <name val="Times New Roman"/>
      <family val="1"/>
    </font>
    <font>
      <vertAlign val="superscript"/>
      <sz val="7"/>
      <name val="Times New Roman"/>
      <family val="1"/>
    </font>
    <font>
      <sz val="10"/>
      <color rgb="FFFF0000"/>
      <name val="Times New Roman"/>
      <family val="1"/>
    </font>
    <font>
      <b/>
      <sz val="5.5"/>
      <color theme="1"/>
      <name val="Arial Narrow"/>
      <family val="2"/>
    </font>
    <font>
      <sz val="5.5"/>
      <color theme="1"/>
      <name val="Times New Roman"/>
      <family val="1"/>
    </font>
    <font>
      <sz val="6"/>
      <name val="Arial"/>
      <family val="2"/>
    </font>
    <font>
      <b/>
      <i/>
      <sz val="16"/>
      <name val="Sylfaen"/>
      <family val="1"/>
    </font>
    <font>
      <b/>
      <sz val="14"/>
      <color rgb="FF000007"/>
      <name val="Sylfaen"/>
      <family val="1"/>
    </font>
    <font>
      <sz val="14"/>
      <name val="Arial"/>
      <family val="2"/>
    </font>
    <font>
      <b/>
      <sz val="7.75"/>
      <color theme="1"/>
      <name val="Times New Roman"/>
      <family val="1"/>
    </font>
    <font>
      <sz val="7.75"/>
      <color theme="1"/>
      <name val="Times New Roman"/>
      <family val="1"/>
    </font>
    <font>
      <b/>
      <sz val="13.5"/>
      <color theme="1"/>
      <name val="Times New Roman"/>
      <family val="1"/>
    </font>
    <font>
      <sz val="5"/>
      <name val="Arial"/>
      <family val="2"/>
    </font>
    <font>
      <sz val="11"/>
      <color theme="1"/>
      <name val="Calibri"/>
      <family val="2"/>
    </font>
    <font>
      <sz val="5.5"/>
      <name val="Arial"/>
      <family val="2"/>
    </font>
    <font>
      <b/>
      <sz val="11.5"/>
      <name val="Times New Roman"/>
      <family val="1"/>
    </font>
    <font>
      <sz val="9.5"/>
      <name val="Times New Roman"/>
      <family val="1"/>
    </font>
    <font>
      <sz val="9.5"/>
      <name val="Arial"/>
      <family val="2"/>
    </font>
    <font>
      <vertAlign val="superscript"/>
      <sz val="8.5"/>
      <color theme="1"/>
      <name val="Times New Roman"/>
      <family val="1"/>
    </font>
    <font>
      <b/>
      <vertAlign val="superscript"/>
      <sz val="7.5"/>
      <color theme="1"/>
      <name val="Times New Roman"/>
      <family val="1"/>
    </font>
    <font>
      <sz val="10"/>
      <color indexed="8"/>
      <name val="Arial"/>
      <family val="2"/>
    </font>
    <font>
      <b/>
      <sz val="8"/>
      <name val="Arial"/>
      <family val="2"/>
    </font>
    <font>
      <b/>
      <vertAlign val="superscript"/>
      <sz val="8"/>
      <color indexed="8"/>
      <name val="Times New Roman"/>
      <family val="1"/>
    </font>
    <font>
      <sz val="5.5"/>
      <color rgb="FF000000"/>
      <name val="Times New Roman"/>
      <family val="1"/>
    </font>
    <font>
      <b/>
      <vertAlign val="superscript"/>
      <sz val="8"/>
      <color theme="1"/>
      <name val="Times New Roman"/>
      <family val="1"/>
    </font>
    <font>
      <sz val="8.5"/>
      <color rgb="FF161616"/>
      <name val="Times New Roman"/>
      <family val="2"/>
    </font>
    <font>
      <sz val="8.5"/>
      <name val="Times New Roman"/>
      <family val="1"/>
    </font>
    <font>
      <sz val="8.5"/>
      <color rgb="FF161616"/>
      <name val="Times New Roman"/>
      <family val="1"/>
    </font>
    <font>
      <sz val="8"/>
      <color rgb="FF161616"/>
      <name val="Times New Roman"/>
      <family val="2"/>
    </font>
    <font>
      <b/>
      <vertAlign val="superscript"/>
      <sz val="9"/>
      <name val="Times New Roman"/>
      <family val="1"/>
    </font>
    <font>
      <b/>
      <sz val="8.5"/>
      <color indexed="8"/>
      <name val="Times New Roman"/>
      <family val="1"/>
    </font>
    <font>
      <sz val="8"/>
      <color rgb="FF161616"/>
      <name val="Times New Roman"/>
      <family val="1"/>
    </font>
    <font>
      <b/>
      <sz val="9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8"/>
      <name val="Arial Narrow"/>
      <family val="2"/>
    </font>
  </fonts>
  <fills count="4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D7D7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61616"/>
      </left>
      <right style="thin">
        <color rgb="FF161616"/>
      </right>
      <top style="thin">
        <color rgb="FF161616"/>
      </top>
      <bottom style="thin">
        <color rgb="FF161616"/>
      </bottom>
      <diagonal/>
    </border>
    <border>
      <left style="thin">
        <color rgb="FF161616"/>
      </left>
      <right/>
      <top style="thin">
        <color rgb="FF161616"/>
      </top>
      <bottom style="thin">
        <color rgb="FF161616"/>
      </bottom>
      <diagonal/>
    </border>
    <border>
      <left/>
      <right style="thin">
        <color rgb="FF161616"/>
      </right>
      <top style="thin">
        <color rgb="FF161616"/>
      </top>
      <bottom/>
      <diagonal/>
    </border>
    <border>
      <left style="thin">
        <color rgb="FF161616"/>
      </left>
      <right style="thin">
        <color rgb="FF161616"/>
      </right>
      <top style="thin">
        <color rgb="FF161616"/>
      </top>
      <bottom/>
      <diagonal/>
    </border>
    <border>
      <left style="thin">
        <color rgb="FF161616"/>
      </left>
      <right/>
      <top style="thin">
        <color rgb="FF16161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61616"/>
      </bottom>
      <diagonal/>
    </border>
  </borders>
  <cellStyleXfs count="277">
    <xf numFmtId="0" fontId="0" fillId="0" borderId="0"/>
    <xf numFmtId="0" fontId="89" fillId="3" borderId="0" applyNumberFormat="0" applyBorder="0" applyAlignment="0" applyProtection="0"/>
    <xf numFmtId="0" fontId="89" fillId="3" borderId="0" applyNumberFormat="0" applyBorder="0" applyAlignment="0" applyProtection="0"/>
    <xf numFmtId="0" fontId="89" fillId="3" borderId="0" applyNumberFormat="0" applyBorder="0" applyAlignment="0" applyProtection="0"/>
    <xf numFmtId="0" fontId="89" fillId="3" borderId="0" applyNumberFormat="0" applyBorder="0" applyAlignment="0" applyProtection="0"/>
    <xf numFmtId="0" fontId="89" fillId="3" borderId="0" applyNumberFormat="0" applyBorder="0" applyAlignment="0" applyProtection="0"/>
    <xf numFmtId="0" fontId="89" fillId="4" borderId="0" applyNumberFormat="0" applyBorder="0" applyAlignment="0" applyProtection="0"/>
    <xf numFmtId="0" fontId="89" fillId="4" borderId="0" applyNumberFormat="0" applyBorder="0" applyAlignment="0" applyProtection="0"/>
    <xf numFmtId="0" fontId="89" fillId="4" borderId="0" applyNumberFormat="0" applyBorder="0" applyAlignment="0" applyProtection="0"/>
    <xf numFmtId="0" fontId="89" fillId="4" borderId="0" applyNumberFormat="0" applyBorder="0" applyAlignment="0" applyProtection="0"/>
    <xf numFmtId="0" fontId="89" fillId="4" borderId="0" applyNumberFormat="0" applyBorder="0" applyAlignment="0" applyProtection="0"/>
    <xf numFmtId="0" fontId="89" fillId="5" borderId="0" applyNumberFormat="0" applyBorder="0" applyAlignment="0" applyProtection="0"/>
    <xf numFmtId="0" fontId="89" fillId="5" borderId="0" applyNumberFormat="0" applyBorder="0" applyAlignment="0" applyProtection="0"/>
    <xf numFmtId="0" fontId="89" fillId="5" borderId="0" applyNumberFormat="0" applyBorder="0" applyAlignment="0" applyProtection="0"/>
    <xf numFmtId="0" fontId="89" fillId="5" borderId="0" applyNumberFormat="0" applyBorder="0" applyAlignment="0" applyProtection="0"/>
    <xf numFmtId="0" fontId="89" fillId="5" borderId="0" applyNumberFormat="0" applyBorder="0" applyAlignment="0" applyProtection="0"/>
    <xf numFmtId="0" fontId="89" fillId="6" borderId="0" applyNumberFormat="0" applyBorder="0" applyAlignment="0" applyProtection="0"/>
    <xf numFmtId="0" fontId="89" fillId="6" borderId="0" applyNumberFormat="0" applyBorder="0" applyAlignment="0" applyProtection="0"/>
    <xf numFmtId="0" fontId="89" fillId="6" borderId="0" applyNumberFormat="0" applyBorder="0" applyAlignment="0" applyProtection="0"/>
    <xf numFmtId="0" fontId="89" fillId="6" borderId="0" applyNumberFormat="0" applyBorder="0" applyAlignment="0" applyProtection="0"/>
    <xf numFmtId="0" fontId="89" fillId="6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8" borderId="0" applyNumberFormat="0" applyBorder="0" applyAlignment="0" applyProtection="0"/>
    <xf numFmtId="0" fontId="89" fillId="8" borderId="0" applyNumberFormat="0" applyBorder="0" applyAlignment="0" applyProtection="0"/>
    <xf numFmtId="0" fontId="89" fillId="8" borderId="0" applyNumberFormat="0" applyBorder="0" applyAlignment="0" applyProtection="0"/>
    <xf numFmtId="0" fontId="89" fillId="8" borderId="0" applyNumberFormat="0" applyBorder="0" applyAlignment="0" applyProtection="0"/>
    <xf numFmtId="0" fontId="89" fillId="8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9" borderId="0" applyNumberFormat="0" applyBorder="0" applyAlignment="0" applyProtection="0"/>
    <xf numFmtId="0" fontId="89" fillId="10" borderId="0" applyNumberFormat="0" applyBorder="0" applyAlignment="0" applyProtection="0"/>
    <xf numFmtId="0" fontId="89" fillId="10" borderId="0" applyNumberFormat="0" applyBorder="0" applyAlignment="0" applyProtection="0"/>
    <xf numFmtId="0" fontId="89" fillId="10" borderId="0" applyNumberFormat="0" applyBorder="0" applyAlignment="0" applyProtection="0"/>
    <xf numFmtId="0" fontId="89" fillId="10" borderId="0" applyNumberFormat="0" applyBorder="0" applyAlignment="0" applyProtection="0"/>
    <xf numFmtId="0" fontId="89" fillId="10" borderId="0" applyNumberFormat="0" applyBorder="0" applyAlignment="0" applyProtection="0"/>
    <xf numFmtId="0" fontId="89" fillId="11" borderId="0" applyNumberFormat="0" applyBorder="0" applyAlignment="0" applyProtection="0"/>
    <xf numFmtId="0" fontId="89" fillId="11" borderId="0" applyNumberFormat="0" applyBorder="0" applyAlignment="0" applyProtection="0"/>
    <xf numFmtId="0" fontId="89" fillId="11" borderId="0" applyNumberFormat="0" applyBorder="0" applyAlignment="0" applyProtection="0"/>
    <xf numFmtId="0" fontId="89" fillId="11" borderId="0" applyNumberFormat="0" applyBorder="0" applyAlignment="0" applyProtection="0"/>
    <xf numFmtId="0" fontId="89" fillId="11" borderId="0" applyNumberFormat="0" applyBorder="0" applyAlignment="0" applyProtection="0"/>
    <xf numFmtId="0" fontId="89" fillId="12" borderId="0" applyNumberFormat="0" applyBorder="0" applyAlignment="0" applyProtection="0"/>
    <xf numFmtId="0" fontId="89" fillId="12" borderId="0" applyNumberFormat="0" applyBorder="0" applyAlignment="0" applyProtection="0"/>
    <xf numFmtId="0" fontId="89" fillId="12" borderId="0" applyNumberFormat="0" applyBorder="0" applyAlignment="0" applyProtection="0"/>
    <xf numFmtId="0" fontId="89" fillId="12" borderId="0" applyNumberFormat="0" applyBorder="0" applyAlignment="0" applyProtection="0"/>
    <xf numFmtId="0" fontId="89" fillId="12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90" fillId="15" borderId="0" applyNumberFormat="0" applyBorder="0" applyAlignment="0" applyProtection="0"/>
    <xf numFmtId="0" fontId="90" fillId="15" borderId="0" applyNumberFormat="0" applyBorder="0" applyAlignment="0" applyProtection="0"/>
    <xf numFmtId="0" fontId="90" fillId="15" borderId="0" applyNumberFormat="0" applyBorder="0" applyAlignment="0" applyProtection="0"/>
    <xf numFmtId="0" fontId="90" fillId="15" borderId="0" applyNumberFormat="0" applyBorder="0" applyAlignment="0" applyProtection="0"/>
    <xf numFmtId="0" fontId="90" fillId="15" borderId="0" applyNumberFormat="0" applyBorder="0" applyAlignment="0" applyProtection="0"/>
    <xf numFmtId="0" fontId="90" fillId="16" borderId="0" applyNumberFormat="0" applyBorder="0" applyAlignment="0" applyProtection="0"/>
    <xf numFmtId="0" fontId="90" fillId="16" borderId="0" applyNumberFormat="0" applyBorder="0" applyAlignment="0" applyProtection="0"/>
    <xf numFmtId="0" fontId="90" fillId="16" borderId="0" applyNumberFormat="0" applyBorder="0" applyAlignment="0" applyProtection="0"/>
    <xf numFmtId="0" fontId="90" fillId="16" borderId="0" applyNumberFormat="0" applyBorder="0" applyAlignment="0" applyProtection="0"/>
    <xf numFmtId="0" fontId="90" fillId="16" borderId="0" applyNumberFormat="0" applyBorder="0" applyAlignment="0" applyProtection="0"/>
    <xf numFmtId="0" fontId="90" fillId="17" borderId="0" applyNumberFormat="0" applyBorder="0" applyAlignment="0" applyProtection="0"/>
    <xf numFmtId="0" fontId="90" fillId="17" borderId="0" applyNumberFormat="0" applyBorder="0" applyAlignment="0" applyProtection="0"/>
    <xf numFmtId="0" fontId="90" fillId="17" borderId="0" applyNumberFormat="0" applyBorder="0" applyAlignment="0" applyProtection="0"/>
    <xf numFmtId="0" fontId="90" fillId="17" borderId="0" applyNumberFormat="0" applyBorder="0" applyAlignment="0" applyProtection="0"/>
    <xf numFmtId="0" fontId="90" fillId="17" borderId="0" applyNumberFormat="0" applyBorder="0" applyAlignment="0" applyProtection="0"/>
    <xf numFmtId="0" fontId="90" fillId="18" borderId="0" applyNumberFormat="0" applyBorder="0" applyAlignment="0" applyProtection="0"/>
    <xf numFmtId="0" fontId="90" fillId="18" borderId="0" applyNumberFormat="0" applyBorder="0" applyAlignment="0" applyProtection="0"/>
    <xf numFmtId="0" fontId="90" fillId="18" borderId="0" applyNumberFormat="0" applyBorder="0" applyAlignment="0" applyProtection="0"/>
    <xf numFmtId="0" fontId="90" fillId="18" borderId="0" applyNumberFormat="0" applyBorder="0" applyAlignment="0" applyProtection="0"/>
    <xf numFmtId="0" fontId="90" fillId="18" borderId="0" applyNumberFormat="0" applyBorder="0" applyAlignment="0" applyProtection="0"/>
    <xf numFmtId="0" fontId="90" fillId="19" borderId="0" applyNumberFormat="0" applyBorder="0" applyAlignment="0" applyProtection="0"/>
    <xf numFmtId="0" fontId="90" fillId="19" borderId="0" applyNumberFormat="0" applyBorder="0" applyAlignment="0" applyProtection="0"/>
    <xf numFmtId="0" fontId="90" fillId="19" borderId="0" applyNumberFormat="0" applyBorder="0" applyAlignment="0" applyProtection="0"/>
    <xf numFmtId="0" fontId="90" fillId="19" borderId="0" applyNumberFormat="0" applyBorder="0" applyAlignment="0" applyProtection="0"/>
    <xf numFmtId="0" fontId="90" fillId="19" borderId="0" applyNumberFormat="0" applyBorder="0" applyAlignment="0" applyProtection="0"/>
    <xf numFmtId="0" fontId="90" fillId="20" borderId="0" applyNumberFormat="0" applyBorder="0" applyAlignment="0" applyProtection="0"/>
    <xf numFmtId="0" fontId="90" fillId="20" borderId="0" applyNumberFormat="0" applyBorder="0" applyAlignment="0" applyProtection="0"/>
    <xf numFmtId="0" fontId="90" fillId="20" borderId="0" applyNumberFormat="0" applyBorder="0" applyAlignment="0" applyProtection="0"/>
    <xf numFmtId="0" fontId="90" fillId="20" borderId="0" applyNumberFormat="0" applyBorder="0" applyAlignment="0" applyProtection="0"/>
    <xf numFmtId="0" fontId="90" fillId="20" borderId="0" applyNumberFormat="0" applyBorder="0" applyAlignment="0" applyProtection="0"/>
    <xf numFmtId="0" fontId="90" fillId="21" borderId="0" applyNumberFormat="0" applyBorder="0" applyAlignment="0" applyProtection="0"/>
    <xf numFmtId="0" fontId="90" fillId="21" borderId="0" applyNumberFormat="0" applyBorder="0" applyAlignment="0" applyProtection="0"/>
    <xf numFmtId="0" fontId="90" fillId="21" borderId="0" applyNumberFormat="0" applyBorder="0" applyAlignment="0" applyProtection="0"/>
    <xf numFmtId="0" fontId="90" fillId="21" borderId="0" applyNumberFormat="0" applyBorder="0" applyAlignment="0" applyProtection="0"/>
    <xf numFmtId="0" fontId="90" fillId="21" borderId="0" applyNumberFormat="0" applyBorder="0" applyAlignment="0" applyProtection="0"/>
    <xf numFmtId="0" fontId="90" fillId="22" borderId="0" applyNumberFormat="0" applyBorder="0" applyAlignment="0" applyProtection="0"/>
    <xf numFmtId="0" fontId="90" fillId="22" borderId="0" applyNumberFormat="0" applyBorder="0" applyAlignment="0" applyProtection="0"/>
    <xf numFmtId="0" fontId="90" fillId="22" borderId="0" applyNumberFormat="0" applyBorder="0" applyAlignment="0" applyProtection="0"/>
    <xf numFmtId="0" fontId="90" fillId="22" borderId="0" applyNumberFormat="0" applyBorder="0" applyAlignment="0" applyProtection="0"/>
    <xf numFmtId="0" fontId="90" fillId="22" borderId="0" applyNumberFormat="0" applyBorder="0" applyAlignment="0" applyProtection="0"/>
    <xf numFmtId="0" fontId="90" fillId="23" borderId="0" applyNumberFormat="0" applyBorder="0" applyAlignment="0" applyProtection="0"/>
    <xf numFmtId="0" fontId="90" fillId="23" borderId="0" applyNumberFormat="0" applyBorder="0" applyAlignment="0" applyProtection="0"/>
    <xf numFmtId="0" fontId="90" fillId="23" borderId="0" applyNumberFormat="0" applyBorder="0" applyAlignment="0" applyProtection="0"/>
    <xf numFmtId="0" fontId="90" fillId="23" borderId="0" applyNumberFormat="0" applyBorder="0" applyAlignment="0" applyProtection="0"/>
    <xf numFmtId="0" fontId="90" fillId="23" borderId="0" applyNumberFormat="0" applyBorder="0" applyAlignment="0" applyProtection="0"/>
    <xf numFmtId="0" fontId="90" fillId="24" borderId="0" applyNumberFormat="0" applyBorder="0" applyAlignment="0" applyProtection="0"/>
    <xf numFmtId="0" fontId="90" fillId="24" borderId="0" applyNumberFormat="0" applyBorder="0" applyAlignment="0" applyProtection="0"/>
    <xf numFmtId="0" fontId="90" fillId="24" borderId="0" applyNumberFormat="0" applyBorder="0" applyAlignment="0" applyProtection="0"/>
    <xf numFmtId="0" fontId="90" fillId="24" borderId="0" applyNumberFormat="0" applyBorder="0" applyAlignment="0" applyProtection="0"/>
    <xf numFmtId="0" fontId="90" fillId="24" borderId="0" applyNumberFormat="0" applyBorder="0" applyAlignment="0" applyProtection="0"/>
    <xf numFmtId="0" fontId="90" fillId="25" borderId="0" applyNumberFormat="0" applyBorder="0" applyAlignment="0" applyProtection="0"/>
    <xf numFmtId="0" fontId="90" fillId="25" borderId="0" applyNumberFormat="0" applyBorder="0" applyAlignment="0" applyProtection="0"/>
    <xf numFmtId="0" fontId="90" fillId="25" borderId="0" applyNumberFormat="0" applyBorder="0" applyAlignment="0" applyProtection="0"/>
    <xf numFmtId="0" fontId="90" fillId="25" borderId="0" applyNumberFormat="0" applyBorder="0" applyAlignment="0" applyProtection="0"/>
    <xf numFmtId="0" fontId="90" fillId="25" borderId="0" applyNumberFormat="0" applyBorder="0" applyAlignment="0" applyProtection="0"/>
    <xf numFmtId="0" fontId="90" fillId="26" borderId="0" applyNumberFormat="0" applyBorder="0" applyAlignment="0" applyProtection="0"/>
    <xf numFmtId="0" fontId="90" fillId="26" borderId="0" applyNumberFormat="0" applyBorder="0" applyAlignment="0" applyProtection="0"/>
    <xf numFmtId="0" fontId="90" fillId="26" borderId="0" applyNumberFormat="0" applyBorder="0" applyAlignment="0" applyProtection="0"/>
    <xf numFmtId="0" fontId="90" fillId="26" borderId="0" applyNumberFormat="0" applyBorder="0" applyAlignment="0" applyProtection="0"/>
    <xf numFmtId="0" fontId="90" fillId="26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1" fillId="27" borderId="0" applyNumberFormat="0" applyBorder="0" applyAlignment="0" applyProtection="0"/>
    <xf numFmtId="0" fontId="92" fillId="28" borderId="22" applyNumberFormat="0" applyAlignment="0" applyProtection="0"/>
    <xf numFmtId="0" fontId="92" fillId="28" borderId="22" applyNumberFormat="0" applyAlignment="0" applyProtection="0"/>
    <xf numFmtId="0" fontId="92" fillId="28" borderId="22" applyNumberFormat="0" applyAlignment="0" applyProtection="0"/>
    <xf numFmtId="0" fontId="92" fillId="28" borderId="22" applyNumberFormat="0" applyAlignment="0" applyProtection="0"/>
    <xf numFmtId="0" fontId="92" fillId="28" borderId="22" applyNumberFormat="0" applyAlignment="0" applyProtection="0"/>
    <xf numFmtId="0" fontId="93" fillId="29" borderId="23" applyNumberFormat="0" applyAlignment="0" applyProtection="0"/>
    <xf numFmtId="0" fontId="93" fillId="29" borderId="23" applyNumberFormat="0" applyAlignment="0" applyProtection="0"/>
    <xf numFmtId="0" fontId="93" fillId="29" borderId="23" applyNumberFormat="0" applyAlignment="0" applyProtection="0"/>
    <xf numFmtId="0" fontId="93" fillId="29" borderId="23" applyNumberFormat="0" applyAlignment="0" applyProtection="0"/>
    <xf numFmtId="0" fontId="93" fillId="29" borderId="23" applyNumberFormat="0" applyAlignment="0" applyProtection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30" borderId="0" applyNumberFormat="0" applyBorder="0" applyAlignment="0" applyProtection="0"/>
    <xf numFmtId="0" fontId="96" fillId="30" borderId="0" applyNumberFormat="0" applyBorder="0" applyAlignment="0" applyProtection="0"/>
    <xf numFmtId="0" fontId="96" fillId="30" borderId="0" applyNumberFormat="0" applyBorder="0" applyAlignment="0" applyProtection="0"/>
    <xf numFmtId="0" fontId="96" fillId="30" borderId="0" applyNumberFormat="0" applyBorder="0" applyAlignment="0" applyProtection="0"/>
    <xf numFmtId="0" fontId="96" fillId="30" borderId="0" applyNumberFormat="0" applyBorder="0" applyAlignment="0" applyProtection="0"/>
    <xf numFmtId="0" fontId="97" fillId="0" borderId="24" applyNumberFormat="0" applyFill="0" applyAlignment="0" applyProtection="0"/>
    <xf numFmtId="0" fontId="97" fillId="0" borderId="24" applyNumberFormat="0" applyFill="0" applyAlignment="0" applyProtection="0"/>
    <xf numFmtId="0" fontId="97" fillId="0" borderId="24" applyNumberFormat="0" applyFill="0" applyAlignment="0" applyProtection="0"/>
    <xf numFmtId="0" fontId="97" fillId="0" borderId="24" applyNumberFormat="0" applyFill="0" applyAlignment="0" applyProtection="0"/>
    <xf numFmtId="0" fontId="97" fillId="0" borderId="24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8" fillId="0" borderId="25" applyNumberFormat="0" applyFill="0" applyAlignment="0" applyProtection="0"/>
    <xf numFmtId="0" fontId="99" fillId="0" borderId="26" applyNumberFormat="0" applyFill="0" applyAlignment="0" applyProtection="0"/>
    <xf numFmtId="0" fontId="99" fillId="0" borderId="26" applyNumberFormat="0" applyFill="0" applyAlignment="0" applyProtection="0"/>
    <xf numFmtId="0" fontId="99" fillId="0" borderId="26" applyNumberFormat="0" applyFill="0" applyAlignment="0" applyProtection="0"/>
    <xf numFmtId="0" fontId="99" fillId="0" borderId="26" applyNumberFormat="0" applyFill="0" applyAlignment="0" applyProtection="0"/>
    <xf numFmtId="0" fontId="99" fillId="0" borderId="26" applyNumberFormat="0" applyFill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31" borderId="22" applyNumberFormat="0" applyAlignment="0" applyProtection="0"/>
    <xf numFmtId="0" fontId="101" fillId="31" borderId="22" applyNumberFormat="0" applyAlignment="0" applyProtection="0"/>
    <xf numFmtId="0" fontId="101" fillId="31" borderId="22" applyNumberFormat="0" applyAlignment="0" applyProtection="0"/>
    <xf numFmtId="0" fontId="101" fillId="31" borderId="22" applyNumberFormat="0" applyAlignment="0" applyProtection="0"/>
    <xf numFmtId="0" fontId="101" fillId="31" borderId="22" applyNumberFormat="0" applyAlignment="0" applyProtection="0"/>
    <xf numFmtId="0" fontId="102" fillId="0" borderId="27" applyNumberFormat="0" applyFill="0" applyAlignment="0" applyProtection="0"/>
    <xf numFmtId="0" fontId="102" fillId="0" borderId="27" applyNumberFormat="0" applyFill="0" applyAlignment="0" applyProtection="0"/>
    <xf numFmtId="0" fontId="102" fillId="0" borderId="27" applyNumberFormat="0" applyFill="0" applyAlignment="0" applyProtection="0"/>
    <xf numFmtId="0" fontId="102" fillId="0" borderId="27" applyNumberFormat="0" applyFill="0" applyAlignment="0" applyProtection="0"/>
    <xf numFmtId="0" fontId="102" fillId="0" borderId="27" applyNumberFormat="0" applyFill="0" applyAlignment="0" applyProtection="0"/>
    <xf numFmtId="0" fontId="103" fillId="32" borderId="0" applyNumberFormat="0" applyBorder="0" applyAlignment="0" applyProtection="0"/>
    <xf numFmtId="0" fontId="103" fillId="32" borderId="0" applyNumberFormat="0" applyBorder="0" applyAlignment="0" applyProtection="0"/>
    <xf numFmtId="0" fontId="103" fillId="32" borderId="0" applyNumberFormat="0" applyBorder="0" applyAlignment="0" applyProtection="0"/>
    <xf numFmtId="0" fontId="103" fillId="32" borderId="0" applyNumberFormat="0" applyBorder="0" applyAlignment="0" applyProtection="0"/>
    <xf numFmtId="0" fontId="103" fillId="32" borderId="0" applyNumberFormat="0" applyBorder="0" applyAlignment="0" applyProtection="0"/>
    <xf numFmtId="0" fontId="88" fillId="0" borderId="0"/>
    <xf numFmtId="0" fontId="6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6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33" borderId="28" applyNumberFormat="0" applyFont="0" applyAlignment="0" applyProtection="0"/>
    <xf numFmtId="0" fontId="89" fillId="33" borderId="28" applyNumberFormat="0" applyFont="0" applyAlignment="0" applyProtection="0"/>
    <xf numFmtId="0" fontId="89" fillId="33" borderId="28" applyNumberFormat="0" applyFont="0" applyAlignment="0" applyProtection="0"/>
    <xf numFmtId="0" fontId="89" fillId="33" borderId="28" applyNumberFormat="0" applyFont="0" applyAlignment="0" applyProtection="0"/>
    <xf numFmtId="0" fontId="89" fillId="33" borderId="28" applyNumberFormat="0" applyFont="0" applyAlignment="0" applyProtection="0"/>
    <xf numFmtId="0" fontId="104" fillId="28" borderId="29" applyNumberFormat="0" applyAlignment="0" applyProtection="0"/>
    <xf numFmtId="0" fontId="104" fillId="28" borderId="29" applyNumberFormat="0" applyAlignment="0" applyProtection="0"/>
    <xf numFmtId="0" fontId="104" fillId="28" borderId="29" applyNumberFormat="0" applyAlignment="0" applyProtection="0"/>
    <xf numFmtId="0" fontId="104" fillId="28" borderId="29" applyNumberFormat="0" applyAlignment="0" applyProtection="0"/>
    <xf numFmtId="0" fontId="104" fillId="28" borderId="29" applyNumberFormat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30" applyNumberFormat="0" applyFill="0" applyAlignment="0" applyProtection="0"/>
    <xf numFmtId="0" fontId="106" fillId="0" borderId="30" applyNumberFormat="0" applyFill="0" applyAlignment="0" applyProtection="0"/>
    <xf numFmtId="0" fontId="106" fillId="0" borderId="30" applyNumberFormat="0" applyFill="0" applyAlignment="0" applyProtection="0"/>
    <xf numFmtId="0" fontId="106" fillId="0" borderId="30" applyNumberFormat="0" applyFill="0" applyAlignment="0" applyProtection="0"/>
    <xf numFmtId="0" fontId="106" fillId="0" borderId="30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" fillId="0" borderId="0"/>
    <xf numFmtId="0" fontId="169" fillId="0" borderId="0"/>
    <xf numFmtId="164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71" fillId="0" borderId="0"/>
    <xf numFmtId="0" fontId="1" fillId="0" borderId="0"/>
    <xf numFmtId="0" fontId="1" fillId="0" borderId="0"/>
    <xf numFmtId="0" fontId="7" fillId="0" borderId="0"/>
    <xf numFmtId="0" fontId="172" fillId="0" borderId="0"/>
    <xf numFmtId="0" fontId="170" fillId="0" borderId="0"/>
    <xf numFmtId="0" fontId="1" fillId="0" borderId="0"/>
    <xf numFmtId="0" fontId="172" fillId="0" borderId="0"/>
    <xf numFmtId="0" fontId="170" fillId="0" borderId="0"/>
    <xf numFmtId="0" fontId="1" fillId="0" borderId="0"/>
    <xf numFmtId="0" fontId="172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0" fontId="189" fillId="0" borderId="0"/>
    <xf numFmtId="0" fontId="189" fillId="0" borderId="0"/>
    <xf numFmtId="0" fontId="189" fillId="0" borderId="0"/>
    <xf numFmtId="43" fontId="3" fillId="0" borderId="0" applyFill="0" applyBorder="0" applyAlignment="0" applyProtection="0"/>
    <xf numFmtId="0" fontId="196" fillId="0" borderId="0">
      <alignment vertical="top"/>
    </xf>
    <xf numFmtId="0" fontId="196" fillId="0" borderId="0">
      <alignment vertical="top"/>
    </xf>
    <xf numFmtId="0" fontId="196" fillId="0" borderId="0">
      <alignment vertical="top"/>
    </xf>
    <xf numFmtId="0" fontId="196" fillId="0" borderId="0">
      <alignment vertical="top"/>
    </xf>
    <xf numFmtId="0" fontId="89" fillId="0" borderId="0"/>
    <xf numFmtId="0" fontId="89" fillId="0" borderId="0"/>
  </cellStyleXfs>
  <cellXfs count="2973">
    <xf numFmtId="0" fontId="0" fillId="0" borderId="0" xfId="0"/>
    <xf numFmtId="0" fontId="5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2" fontId="14" fillId="0" borderId="0" xfId="0" applyNumberFormat="1" applyFont="1" applyBorder="1"/>
    <xf numFmtId="0" fontId="15" fillId="0" borderId="0" xfId="0" applyFont="1" applyBorder="1" applyAlignment="1"/>
    <xf numFmtId="0" fontId="15" fillId="0" borderId="0" xfId="0" applyFont="1"/>
    <xf numFmtId="0" fontId="15" fillId="0" borderId="0" xfId="0" applyFont="1" applyBorder="1"/>
    <xf numFmtId="0" fontId="13" fillId="0" borderId="0" xfId="0" applyFont="1" applyAlignment="1">
      <alignment wrapText="1"/>
    </xf>
    <xf numFmtId="0" fontId="16" fillId="0" borderId="1" xfId="0" applyFont="1" applyBorder="1" applyAlignment="1">
      <alignment wrapText="1"/>
    </xf>
    <xf numFmtId="0" fontId="23" fillId="0" borderId="0" xfId="0" applyFont="1"/>
    <xf numFmtId="0" fontId="25" fillId="0" borderId="0" xfId="0" applyFont="1"/>
    <xf numFmtId="2" fontId="13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Border="1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/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5" fillId="0" borderId="0" xfId="0" applyNumberFormat="1" applyFont="1" applyFill="1" applyBorder="1" applyAlignment="1">
      <alignment horizontal="center"/>
    </xf>
    <xf numFmtId="1" fontId="15" fillId="0" borderId="0" xfId="0" applyNumberFormat="1" applyFont="1" applyBorder="1" applyAlignment="1">
      <alignment horizontal="center"/>
    </xf>
    <xf numFmtId="0" fontId="26" fillId="0" borderId="0" xfId="0" applyFont="1"/>
    <xf numFmtId="0" fontId="14" fillId="0" borderId="0" xfId="0" applyFont="1"/>
    <xf numFmtId="0" fontId="19" fillId="0" borderId="0" xfId="0" applyFont="1" applyBorder="1" applyAlignment="1">
      <alignment wrapText="1"/>
    </xf>
    <xf numFmtId="0" fontId="32" fillId="0" borderId="0" xfId="0" applyFont="1"/>
    <xf numFmtId="0" fontId="32" fillId="0" borderId="0" xfId="0" applyFont="1" applyBorder="1"/>
    <xf numFmtId="0" fontId="15" fillId="0" borderId="0" xfId="0" applyFont="1" applyBorder="1" applyAlignment="1">
      <alignment horizontal="right"/>
    </xf>
    <xf numFmtId="0" fontId="33" fillId="0" borderId="0" xfId="0" applyFont="1" applyAlignment="1"/>
    <xf numFmtId="0" fontId="33" fillId="0" borderId="0" xfId="0" applyFont="1"/>
    <xf numFmtId="165" fontId="15" fillId="0" borderId="0" xfId="0" applyNumberFormat="1" applyFont="1"/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3" fillId="0" borderId="0" xfId="0" applyFont="1" applyBorder="1"/>
    <xf numFmtId="0" fontId="13" fillId="0" borderId="0" xfId="0" applyFont="1" applyBorder="1"/>
    <xf numFmtId="0" fontId="15" fillId="0" borderId="0" xfId="0" applyFont="1" applyAlignment="1">
      <alignment horizontal="right" wrapText="1"/>
    </xf>
    <xf numFmtId="0" fontId="23" fillId="0" borderId="2" xfId="0" applyFont="1" applyBorder="1" applyAlignment="1">
      <alignment horizontal="center" wrapText="1"/>
    </xf>
    <xf numFmtId="0" fontId="34" fillId="0" borderId="0" xfId="0" applyFont="1" applyBorder="1" applyAlignment="1">
      <alignment wrapText="1"/>
    </xf>
    <xf numFmtId="0" fontId="33" fillId="0" borderId="0" xfId="0" applyFont="1" applyBorder="1" applyAlignment="1">
      <alignment wrapText="1"/>
    </xf>
    <xf numFmtId="0" fontId="23" fillId="0" borderId="0" xfId="0" applyFont="1" applyAlignment="1">
      <alignment horizontal="center"/>
    </xf>
    <xf numFmtId="49" fontId="15" fillId="0" borderId="0" xfId="0" applyNumberFormat="1" applyFont="1" applyBorder="1" applyAlignment="1">
      <alignment horizontal="center"/>
    </xf>
    <xf numFmtId="0" fontId="29" fillId="0" borderId="0" xfId="0" applyFont="1" applyAlignment="1">
      <alignment vertical="center"/>
    </xf>
    <xf numFmtId="49" fontId="15" fillId="0" borderId="0" xfId="0" applyNumberFormat="1" applyFont="1"/>
    <xf numFmtId="0" fontId="30" fillId="0" borderId="0" xfId="0" applyFont="1" applyBorder="1" applyAlignment="1">
      <alignment wrapText="1"/>
    </xf>
    <xf numFmtId="0" fontId="17" fillId="0" borderId="0" xfId="0" applyFont="1" applyBorder="1"/>
    <xf numFmtId="0" fontId="14" fillId="0" borderId="0" xfId="0" applyFont="1" applyBorder="1" applyAlignment="1"/>
    <xf numFmtId="165" fontId="15" fillId="0" borderId="0" xfId="0" applyNumberFormat="1" applyFont="1" applyFill="1" applyBorder="1" applyAlignment="1">
      <alignment horizontal="center"/>
    </xf>
    <xf numFmtId="0" fontId="15" fillId="0" borderId="0" xfId="0" applyFont="1" applyAlignment="1"/>
    <xf numFmtId="0" fontId="29" fillId="0" borderId="0" xfId="0" applyFont="1" applyBorder="1"/>
    <xf numFmtId="0" fontId="30" fillId="0" borderId="0" xfId="0" applyFont="1" applyBorder="1" applyAlignment="1"/>
    <xf numFmtId="0" fontId="28" fillId="0" borderId="0" xfId="0" applyFont="1" applyBorder="1" applyAlignment="1"/>
    <xf numFmtId="0" fontId="16" fillId="0" borderId="0" xfId="0" applyFont="1" applyBorder="1"/>
    <xf numFmtId="0" fontId="13" fillId="0" borderId="0" xfId="0" applyFont="1" applyBorder="1" applyAlignment="1">
      <alignment horizontal="left"/>
    </xf>
    <xf numFmtId="0" fontId="19" fillId="0" borderId="0" xfId="0" applyFont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0" fontId="14" fillId="0" borderId="0" xfId="0" applyFont="1" applyBorder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/>
    </xf>
    <xf numFmtId="0" fontId="13" fillId="0" borderId="0" xfId="0" applyFont="1" applyBorder="1" applyAlignment="1">
      <alignment horizontal="right" wrapText="1"/>
    </xf>
    <xf numFmtId="0" fontId="7" fillId="0" borderId="0" xfId="0" applyFont="1" applyBorder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28" fillId="0" borderId="0" xfId="0" applyFont="1" applyBorder="1" applyAlignment="1">
      <alignment wrapText="1"/>
    </xf>
    <xf numFmtId="0" fontId="28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37" fillId="0" borderId="0" xfId="0" applyFont="1"/>
    <xf numFmtId="0" fontId="17" fillId="0" borderId="0" xfId="0" applyFont="1" applyBorder="1" applyAlignment="1">
      <alignment wrapText="1"/>
    </xf>
    <xf numFmtId="0" fontId="13" fillId="0" borderId="0" xfId="0" applyFont="1" applyAlignment="1">
      <alignment vertical="center"/>
    </xf>
    <xf numFmtId="0" fontId="16" fillId="0" borderId="0" xfId="0" applyFont="1" applyBorder="1" applyAlignment="1">
      <alignment horizontal="left" wrapText="1"/>
    </xf>
    <xf numFmtId="0" fontId="16" fillId="0" borderId="0" xfId="0" applyFont="1" applyBorder="1" applyAlignment="1">
      <alignment vertical="center"/>
    </xf>
    <xf numFmtId="0" fontId="38" fillId="0" borderId="0" xfId="0" applyFont="1"/>
    <xf numFmtId="0" fontId="14" fillId="0" borderId="0" xfId="0" applyFont="1" applyAlignment="1">
      <alignment horizontal="center"/>
    </xf>
    <xf numFmtId="0" fontId="13" fillId="0" borderId="2" xfId="0" applyFont="1" applyBorder="1" applyAlignment="1">
      <alignment wrapText="1"/>
    </xf>
    <xf numFmtId="2" fontId="15" fillId="0" borderId="0" xfId="0" applyNumberFormat="1" applyFont="1"/>
    <xf numFmtId="0" fontId="16" fillId="0" borderId="0" xfId="0" applyFont="1" applyAlignment="1">
      <alignment horizontal="center" vertical="center"/>
    </xf>
    <xf numFmtId="0" fontId="13" fillId="0" borderId="0" xfId="0" applyFont="1" applyBorder="1" applyAlignment="1"/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49" fontId="29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16" fillId="0" borderId="0" xfId="0" applyFont="1" applyBorder="1" applyAlignment="1">
      <alignment horizontal="right" wrapText="1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49" fontId="1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center"/>
    </xf>
    <xf numFmtId="0" fontId="23" fillId="0" borderId="0" xfId="0" applyFont="1" applyAlignment="1">
      <alignment vertical="center"/>
    </xf>
    <xf numFmtId="49" fontId="14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42" fillId="0" borderId="0" xfId="0" applyFont="1"/>
    <xf numFmtId="0" fontId="29" fillId="0" borderId="0" xfId="0" applyFont="1" applyAlignment="1">
      <alignment wrapText="1"/>
    </xf>
    <xf numFmtId="0" fontId="9" fillId="0" borderId="0" xfId="0" applyFont="1" applyAlignment="1">
      <alignment vertical="center"/>
    </xf>
    <xf numFmtId="2" fontId="19" fillId="0" borderId="0" xfId="0" applyNumberFormat="1" applyFont="1" applyBorder="1" applyAlignment="1">
      <alignment horizontal="center" wrapText="1"/>
    </xf>
    <xf numFmtId="0" fontId="18" fillId="0" borderId="0" xfId="0" applyFont="1" applyBorder="1" applyAlignment="1">
      <alignment horizontal="right" wrapText="1"/>
    </xf>
    <xf numFmtId="2" fontId="18" fillId="0" borderId="0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44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vertical="top" wrapText="1"/>
    </xf>
    <xf numFmtId="0" fontId="17" fillId="0" borderId="0" xfId="0" applyFont="1" applyBorder="1" applyAlignment="1"/>
    <xf numFmtId="0" fontId="19" fillId="0" borderId="0" xfId="0" applyFont="1" applyBorder="1" applyAlignment="1">
      <alignment horizontal="center" vertical="top" wrapText="1"/>
    </xf>
    <xf numFmtId="0" fontId="13" fillId="0" borderId="0" xfId="0" applyFont="1" applyAlignment="1"/>
    <xf numFmtId="0" fontId="13" fillId="0" borderId="1" xfId="0" applyFont="1" applyBorder="1" applyAlignment="1">
      <alignment wrapText="1"/>
    </xf>
    <xf numFmtId="0" fontId="45" fillId="0" borderId="0" xfId="0" applyFont="1" applyBorder="1" applyAlignment="1">
      <alignment wrapText="1"/>
    </xf>
    <xf numFmtId="0" fontId="28" fillId="0" borderId="0" xfId="0" applyFont="1" applyBorder="1" applyAlignment="1">
      <alignment vertical="center"/>
    </xf>
    <xf numFmtId="0" fontId="32" fillId="0" borderId="0" xfId="0" applyFont="1" applyBorder="1" applyAlignment="1">
      <alignment horizontal="right"/>
    </xf>
    <xf numFmtId="0" fontId="21" fillId="0" borderId="0" xfId="0" applyFont="1" applyAlignment="1">
      <alignment horizontal="right" vertical="center" wrapText="1" indent="1"/>
    </xf>
    <xf numFmtId="0" fontId="29" fillId="0" borderId="0" xfId="0" applyFont="1" applyBorder="1" applyAlignment="1">
      <alignment horizontal="right" vertical="center"/>
    </xf>
    <xf numFmtId="0" fontId="19" fillId="0" borderId="0" xfId="0" applyFont="1" applyAlignment="1">
      <alignment horizontal="center"/>
    </xf>
    <xf numFmtId="0" fontId="19" fillId="0" borderId="2" xfId="0" applyFont="1" applyBorder="1" applyAlignment="1">
      <alignment horizontal="center" wrapText="1"/>
    </xf>
    <xf numFmtId="0" fontId="19" fillId="0" borderId="0" xfId="0" applyFont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49" fontId="33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vertical="center"/>
    </xf>
    <xf numFmtId="2" fontId="16" fillId="0" borderId="0" xfId="0" applyNumberFormat="1" applyFont="1" applyBorder="1" applyAlignment="1">
      <alignment horizontal="center" wrapText="1"/>
    </xf>
    <xf numFmtId="2" fontId="29" fillId="0" borderId="0" xfId="0" applyNumberFormat="1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" fontId="15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left"/>
    </xf>
    <xf numFmtId="2" fontId="23" fillId="0" borderId="0" xfId="0" applyNumberFormat="1" applyFont="1" applyFill="1" applyBorder="1" applyAlignment="1">
      <alignment horizontal="center"/>
    </xf>
    <xf numFmtId="165" fontId="15" fillId="0" borderId="0" xfId="0" applyNumberFormat="1" applyFont="1" applyBorder="1"/>
    <xf numFmtId="1" fontId="16" fillId="0" borderId="0" xfId="0" applyNumberFormat="1" applyFont="1" applyBorder="1" applyAlignment="1">
      <alignment horizontal="center" wrapText="1"/>
    </xf>
    <xf numFmtId="2" fontId="15" fillId="0" borderId="0" xfId="0" applyNumberFormat="1" applyFont="1" applyBorder="1" applyAlignment="1">
      <alignment horizontal="left"/>
    </xf>
    <xf numFmtId="0" fontId="21" fillId="0" borderId="0" xfId="196" applyFont="1" applyAlignment="1">
      <alignment wrapText="1"/>
    </xf>
    <xf numFmtId="0" fontId="51" fillId="0" borderId="0" xfId="0" applyFont="1"/>
    <xf numFmtId="0" fontId="52" fillId="0" borderId="0" xfId="0" applyFont="1"/>
    <xf numFmtId="0" fontId="40" fillId="0" borderId="0" xfId="0" applyFont="1" applyBorder="1" applyAlignment="1">
      <alignment horizontal="left" wrapText="1"/>
    </xf>
    <xf numFmtId="0" fontId="15" fillId="0" borderId="0" xfId="196" applyFont="1" applyBorder="1" applyAlignment="1">
      <alignment horizontal="left"/>
    </xf>
    <xf numFmtId="0" fontId="40" fillId="0" borderId="0" xfId="0" applyFont="1" applyBorder="1" applyAlignment="1">
      <alignment horizontal="center" wrapText="1"/>
    </xf>
    <xf numFmtId="2" fontId="40" fillId="0" borderId="0" xfId="0" applyNumberFormat="1" applyFont="1" applyBorder="1" applyAlignment="1">
      <alignment horizontal="center" wrapText="1"/>
    </xf>
    <xf numFmtId="0" fontId="40" fillId="0" borderId="0" xfId="0" applyFont="1" applyBorder="1" applyAlignment="1">
      <alignment horizontal="right" wrapText="1"/>
    </xf>
    <xf numFmtId="0" fontId="38" fillId="0" borderId="0" xfId="0" applyFont="1" applyBorder="1"/>
    <xf numFmtId="0" fontId="20" fillId="0" borderId="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2" fontId="15" fillId="0" borderId="0" xfId="0" applyNumberFormat="1" applyFont="1" applyBorder="1"/>
    <xf numFmtId="0" fontId="26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15" fillId="0" borderId="0" xfId="0" applyFont="1" applyFill="1"/>
    <xf numFmtId="0" fontId="32" fillId="0" borderId="0" xfId="0" applyFont="1" applyFill="1"/>
    <xf numFmtId="0" fontId="27" fillId="0" borderId="0" xfId="0" applyFont="1" applyFill="1" applyBorder="1" applyAlignment="1">
      <alignment horizontal="center" wrapText="1"/>
    </xf>
    <xf numFmtId="0" fontId="29" fillId="0" borderId="0" xfId="0" applyFont="1" applyFill="1"/>
    <xf numFmtId="0" fontId="29" fillId="0" borderId="0" xfId="0" applyFont="1" applyFill="1" applyBorder="1"/>
    <xf numFmtId="0" fontId="29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23" fillId="0" borderId="0" xfId="0" applyFont="1" applyFill="1" applyBorder="1" applyAlignment="1"/>
    <xf numFmtId="0" fontId="14" fillId="0" borderId="0" xfId="0" applyFont="1" applyFill="1" applyBorder="1"/>
    <xf numFmtId="165" fontId="15" fillId="0" borderId="0" xfId="0" applyNumberFormat="1" applyFont="1" applyFill="1"/>
    <xf numFmtId="2" fontId="15" fillId="0" borderId="0" xfId="0" applyNumberFormat="1" applyFont="1" applyBorder="1" applyAlignment="1"/>
    <xf numFmtId="0" fontId="29" fillId="0" borderId="0" xfId="0" applyFont="1" applyAlignment="1">
      <alignment vertical="center" wrapText="1"/>
    </xf>
    <xf numFmtId="2" fontId="7" fillId="0" borderId="0" xfId="0" applyNumberFormat="1" applyFont="1" applyBorder="1" applyAlignment="1">
      <alignment horizontal="center"/>
    </xf>
    <xf numFmtId="0" fontId="22" fillId="0" borderId="0" xfId="0" applyFont="1" applyAlignment="1">
      <alignment wrapText="1"/>
    </xf>
    <xf numFmtId="0" fontId="16" fillId="0" borderId="0" xfId="0" applyFont="1" applyAlignment="1">
      <alignment horizontal="left" vertical="justify" wrapText="1"/>
    </xf>
    <xf numFmtId="0" fontId="16" fillId="0" borderId="0" xfId="0" applyFont="1" applyAlignment="1">
      <alignment vertical="justify" wrapText="1"/>
    </xf>
    <xf numFmtId="0" fontId="7" fillId="0" borderId="0" xfId="0" applyFont="1" applyAlignment="1">
      <alignment vertical="justify"/>
    </xf>
    <xf numFmtId="0" fontId="16" fillId="0" borderId="0" xfId="0" applyFont="1" applyFill="1" applyAlignment="1">
      <alignment vertical="justify" wrapText="1"/>
    </xf>
    <xf numFmtId="0" fontId="0" fillId="0" borderId="0" xfId="0" applyFill="1"/>
    <xf numFmtId="0" fontId="0" fillId="0" borderId="0" xfId="0" applyFill="1" applyBorder="1"/>
    <xf numFmtId="0" fontId="29" fillId="0" borderId="0" xfId="0" applyFont="1" applyAlignment="1"/>
    <xf numFmtId="0" fontId="7" fillId="0" borderId="0" xfId="0" applyFont="1" applyAlignment="1"/>
    <xf numFmtId="0" fontId="58" fillId="0" borderId="0" xfId="0" applyFont="1" applyAlignment="1"/>
    <xf numFmtId="0" fontId="23" fillId="0" borderId="0" xfId="0" applyFont="1" applyFill="1"/>
    <xf numFmtId="0" fontId="23" fillId="0" borderId="0" xfId="0" applyFont="1" applyFill="1" applyBorder="1"/>
    <xf numFmtId="0" fontId="57" fillId="0" borderId="0" xfId="0" applyFont="1" applyAlignment="1"/>
    <xf numFmtId="0" fontId="4" fillId="0" borderId="0" xfId="173" applyAlignment="1" applyProtection="1"/>
    <xf numFmtId="0" fontId="0" fillId="2" borderId="0" xfId="0" applyFill="1"/>
    <xf numFmtId="0" fontId="0" fillId="2" borderId="0" xfId="0" applyFill="1" applyBorder="1"/>
    <xf numFmtId="0" fontId="0" fillId="0" borderId="0" xfId="0" applyBorder="1"/>
    <xf numFmtId="0" fontId="19" fillId="0" borderId="2" xfId="0" applyFont="1" applyBorder="1" applyAlignment="1">
      <alignment vertical="center" wrapText="1"/>
    </xf>
    <xf numFmtId="0" fontId="59" fillId="0" borderId="0" xfId="0" applyFont="1" applyBorder="1" applyAlignment="1">
      <alignment horizontal="left" wrapText="1"/>
    </xf>
    <xf numFmtId="0" fontId="33" fillId="0" borderId="0" xfId="0" applyFont="1" applyBorder="1" applyAlignment="1">
      <alignment horizontal="center"/>
    </xf>
    <xf numFmtId="0" fontId="18" fillId="0" borderId="0" xfId="0" applyFont="1" applyBorder="1" applyAlignment="1">
      <alignment wrapText="1"/>
    </xf>
    <xf numFmtId="0" fontId="60" fillId="0" borderId="0" xfId="0" applyFont="1"/>
    <xf numFmtId="0" fontId="56" fillId="0" borderId="0" xfId="0" applyFont="1" applyBorder="1" applyAlignment="1">
      <alignment wrapText="1"/>
    </xf>
    <xf numFmtId="0" fontId="33" fillId="0" borderId="0" xfId="0" applyFont="1" applyAlignment="1">
      <alignment vertical="center"/>
    </xf>
    <xf numFmtId="0" fontId="33" fillId="0" borderId="0" xfId="0" applyFont="1" applyBorder="1" applyAlignment="1">
      <alignment vertical="center"/>
    </xf>
    <xf numFmtId="0" fontId="19" fillId="0" borderId="0" xfId="0" applyFont="1" applyAlignment="1"/>
    <xf numFmtId="0" fontId="18" fillId="0" borderId="0" xfId="0" applyFont="1" applyBorder="1"/>
    <xf numFmtId="0" fontId="60" fillId="0" borderId="0" xfId="0" applyFont="1" applyAlignment="1">
      <alignment vertical="center"/>
    </xf>
    <xf numFmtId="0" fontId="15" fillId="0" borderId="0" xfId="0" applyFont="1" applyFill="1" applyBorder="1" applyAlignment="1">
      <alignment horizontal="right"/>
    </xf>
    <xf numFmtId="2" fontId="109" fillId="0" borderId="0" xfId="0" applyNumberFormat="1" applyFont="1" applyFill="1" applyBorder="1" applyAlignment="1">
      <alignment horizontal="center"/>
    </xf>
    <xf numFmtId="0" fontId="32" fillId="2" borderId="0" xfId="0" applyFont="1" applyFill="1" applyBorder="1" applyAlignment="1">
      <alignment horizontal="right"/>
    </xf>
    <xf numFmtId="0" fontId="21" fillId="0" borderId="0" xfId="0" applyFont="1"/>
    <xf numFmtId="0" fontId="21" fillId="0" borderId="0" xfId="0" applyNumberFormat="1" applyFont="1" applyBorder="1" applyAlignment="1">
      <alignment horizontal="center" wrapText="1"/>
    </xf>
    <xf numFmtId="0" fontId="27" fillId="0" borderId="0" xfId="0" applyFont="1" applyBorder="1" applyAlignment="1">
      <alignment horizontal="right" wrapText="1"/>
    </xf>
    <xf numFmtId="0" fontId="27" fillId="0" borderId="0" xfId="0" applyFont="1" applyBorder="1" applyAlignment="1">
      <alignment horizontal="center" wrapText="1"/>
    </xf>
    <xf numFmtId="0" fontId="20" fillId="0" borderId="0" xfId="0" applyFont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horizontal="center" vertical="center"/>
    </xf>
    <xf numFmtId="0" fontId="23" fillId="0" borderId="0" xfId="0" applyFont="1" applyFill="1" applyAlignment="1">
      <alignment horizontal="right" vertical="center"/>
    </xf>
    <xf numFmtId="0" fontId="14" fillId="0" borderId="0" xfId="0" applyFont="1" applyFill="1"/>
    <xf numFmtId="165" fontId="15" fillId="0" borderId="0" xfId="0" applyNumberFormat="1" applyFont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65" fontId="15" fillId="0" borderId="0" xfId="0" applyNumberFormat="1" applyFont="1" applyFill="1" applyBorder="1" applyAlignment="1">
      <alignment horizontal="left" vertical="center" wrapText="1"/>
    </xf>
    <xf numFmtId="165" fontId="15" fillId="0" borderId="0" xfId="0" applyNumberFormat="1" applyFont="1" applyFill="1" applyBorder="1" applyAlignment="1">
      <alignment horizontal="center" vertical="center" wrapText="1"/>
    </xf>
    <xf numFmtId="165" fontId="15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 applyAlignment="1">
      <alignment horizontal="center" vertical="center"/>
    </xf>
    <xf numFmtId="165" fontId="15" fillId="0" borderId="0" xfId="0" applyNumberFormat="1" applyFont="1" applyFill="1" applyBorder="1" applyAlignment="1">
      <alignment horizontal="center" wrapText="1"/>
    </xf>
    <xf numFmtId="0" fontId="64" fillId="0" borderId="0" xfId="0" applyFont="1"/>
    <xf numFmtId="0" fontId="23" fillId="0" borderId="0" xfId="196" applyFont="1" applyFill="1" applyBorder="1" applyAlignment="1">
      <alignment horizontal="left"/>
    </xf>
    <xf numFmtId="0" fontId="15" fillId="0" borderId="0" xfId="196" applyFont="1" applyFill="1" applyBorder="1" applyAlignment="1">
      <alignment horizontal="left" vertical="center"/>
    </xf>
    <xf numFmtId="0" fontId="15" fillId="0" borderId="0" xfId="0" applyFont="1" applyFill="1" applyBorder="1" applyAlignment="1"/>
    <xf numFmtId="0" fontId="13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right" wrapText="1"/>
    </xf>
    <xf numFmtId="0" fontId="15" fillId="0" borderId="0" xfId="0" applyFont="1" applyBorder="1" applyAlignment="1">
      <alignment vertical="top"/>
    </xf>
    <xf numFmtId="0" fontId="13" fillId="0" borderId="0" xfId="0" applyFont="1" applyBorder="1" applyAlignment="1">
      <alignment horizontal="left" vertical="center" wrapText="1"/>
    </xf>
    <xf numFmtId="2" fontId="15" fillId="0" borderId="0" xfId="0" applyNumberFormat="1" applyFont="1" applyFill="1" applyBorder="1"/>
    <xf numFmtId="0" fontId="13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wrapText="1"/>
    </xf>
    <xf numFmtId="0" fontId="15" fillId="0" borderId="0" xfId="0" applyFont="1" applyFill="1" applyAlignment="1">
      <alignment vertical="center"/>
    </xf>
    <xf numFmtId="2" fontId="13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vertical="center"/>
    </xf>
    <xf numFmtId="37" fontId="14" fillId="0" borderId="0" xfId="0" applyNumberFormat="1" applyFont="1" applyFill="1" applyBorder="1" applyAlignment="1">
      <alignment wrapText="1"/>
    </xf>
    <xf numFmtId="0" fontId="15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right" vertical="center" wrapText="1"/>
    </xf>
    <xf numFmtId="0" fontId="19" fillId="0" borderId="0" xfId="0" applyFont="1" applyFill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4" fillId="0" borderId="0" xfId="0" applyFont="1" applyFill="1" applyBorder="1" applyAlignment="1"/>
    <xf numFmtId="0" fontId="14" fillId="0" borderId="0" xfId="0" applyFont="1" applyFill="1" applyAlignment="1"/>
    <xf numFmtId="0" fontId="33" fillId="0" borderId="0" xfId="0" applyFont="1" applyFill="1"/>
    <xf numFmtId="0" fontId="15" fillId="0" borderId="0" xfId="0" applyFont="1" applyFill="1" applyAlignment="1"/>
    <xf numFmtId="0" fontId="33" fillId="0" borderId="0" xfId="0" applyFont="1" applyFill="1" applyAlignment="1">
      <alignment vertical="center"/>
    </xf>
    <xf numFmtId="0" fontId="60" fillId="0" borderId="0" xfId="0" applyFont="1" applyFill="1"/>
    <xf numFmtId="0" fontId="60" fillId="0" borderId="0" xfId="0" applyFont="1" applyFill="1" applyAlignment="1"/>
    <xf numFmtId="0" fontId="33" fillId="0" borderId="0" xfId="0" applyFont="1" applyFill="1" applyAlignment="1"/>
    <xf numFmtId="0" fontId="33" fillId="0" borderId="0" xfId="0" applyFont="1" applyFill="1" applyBorder="1" applyAlignment="1">
      <alignment vertical="center"/>
    </xf>
    <xf numFmtId="0" fontId="33" fillId="0" borderId="0" xfId="0" applyFont="1" applyFill="1" applyBorder="1" applyAlignment="1"/>
    <xf numFmtId="0" fontId="56" fillId="0" borderId="0" xfId="0" applyFont="1" applyFill="1" applyBorder="1" applyAlignment="1">
      <alignment horizontal="center" wrapText="1"/>
    </xf>
    <xf numFmtId="0" fontId="56" fillId="0" borderId="0" xfId="0" applyFont="1" applyFill="1" applyBorder="1" applyAlignment="1">
      <alignment horizontal="left" wrapText="1"/>
    </xf>
    <xf numFmtId="0" fontId="38" fillId="0" borderId="0" xfId="0" applyFont="1" applyFill="1"/>
    <xf numFmtId="0" fontId="38" fillId="0" borderId="0" xfId="0" applyFont="1" applyFill="1" applyAlignment="1"/>
    <xf numFmtId="0" fontId="38" fillId="0" borderId="0" xfId="0" applyFont="1" applyFill="1" applyBorder="1"/>
    <xf numFmtId="0" fontId="38" fillId="0" borderId="0" xfId="0" applyFont="1" applyFill="1" applyBorder="1" applyAlignment="1"/>
    <xf numFmtId="0" fontId="33" fillId="0" borderId="0" xfId="0" applyFont="1" applyFill="1" applyBorder="1"/>
    <xf numFmtId="0" fontId="14" fillId="0" borderId="0" xfId="0" applyFont="1" applyFill="1" applyBorder="1" applyAlignment="1">
      <alignment horizontal="right"/>
    </xf>
    <xf numFmtId="2" fontId="19" fillId="0" borderId="0" xfId="0" applyNumberFormat="1" applyFont="1" applyFill="1" applyBorder="1" applyAlignment="1">
      <alignment horizontal="center" wrapText="1"/>
    </xf>
    <xf numFmtId="0" fontId="19" fillId="0" borderId="0" xfId="0" applyFont="1" applyFill="1" applyBorder="1" applyAlignment="1">
      <alignment horizontal="right" wrapText="1"/>
    </xf>
    <xf numFmtId="0" fontId="14" fillId="0" borderId="0" xfId="0" applyFont="1" applyFill="1" applyAlignment="1">
      <alignment horizontal="center"/>
    </xf>
    <xf numFmtId="2" fontId="14" fillId="0" borderId="0" xfId="0" applyNumberFormat="1" applyFont="1" applyFill="1" applyAlignment="1">
      <alignment horizontal="center"/>
    </xf>
    <xf numFmtId="0" fontId="25" fillId="0" borderId="0" xfId="0" applyFont="1" applyFill="1"/>
    <xf numFmtId="0" fontId="25" fillId="0" borderId="0" xfId="0" applyFont="1" applyFill="1" applyAlignment="1"/>
    <xf numFmtId="0" fontId="33" fillId="0" borderId="0" xfId="0" applyFont="1" applyFill="1" applyAlignment="1">
      <alignment horizontal="center"/>
    </xf>
    <xf numFmtId="2" fontId="33" fillId="0" borderId="0" xfId="0" applyNumberFormat="1" applyFont="1" applyFill="1" applyAlignment="1">
      <alignment horizontal="center"/>
    </xf>
    <xf numFmtId="165" fontId="15" fillId="34" borderId="0" xfId="0" applyNumberFormat="1" applyFont="1" applyFill="1" applyBorder="1" applyAlignment="1">
      <alignment horizontal="left" vertical="center" wrapText="1"/>
    </xf>
    <xf numFmtId="165" fontId="15" fillId="34" borderId="0" xfId="0" applyNumberFormat="1" applyFont="1" applyFill="1" applyBorder="1" applyAlignment="1">
      <alignment horizontal="center" vertical="center" wrapText="1"/>
    </xf>
    <xf numFmtId="165" fontId="15" fillId="34" borderId="0" xfId="0" applyNumberFormat="1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horizontal="center" vertical="center" wrapText="1"/>
    </xf>
    <xf numFmtId="1" fontId="15" fillId="34" borderId="0" xfId="0" applyNumberFormat="1" applyFont="1" applyFill="1" applyBorder="1" applyAlignment="1">
      <alignment horizontal="center" vertical="center" wrapText="1"/>
    </xf>
    <xf numFmtId="2" fontId="15" fillId="34" borderId="0" xfId="0" applyNumberFormat="1" applyFont="1" applyFill="1" applyAlignment="1">
      <alignment horizontal="center" vertical="center"/>
    </xf>
    <xf numFmtId="165" fontId="15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 applyAlignment="1">
      <alignment horizontal="center" vertical="center"/>
    </xf>
    <xf numFmtId="2" fontId="15" fillId="34" borderId="0" xfId="0" applyNumberFormat="1" applyFont="1" applyFill="1" applyBorder="1" applyAlignment="1">
      <alignment horizontal="center" vertical="center"/>
    </xf>
    <xf numFmtId="1" fontId="15" fillId="34" borderId="0" xfId="0" applyNumberFormat="1" applyFont="1" applyFill="1" applyBorder="1" applyAlignment="1">
      <alignment horizontal="center" vertical="center"/>
    </xf>
    <xf numFmtId="165" fontId="15" fillId="34" borderId="0" xfId="0" applyNumberFormat="1" applyFont="1" applyFill="1" applyBorder="1" applyAlignment="1">
      <alignment horizontal="left" wrapText="1"/>
    </xf>
    <xf numFmtId="0" fontId="15" fillId="34" borderId="0" xfId="0" applyFont="1" applyFill="1" applyBorder="1" applyAlignment="1">
      <alignment horizontal="center"/>
    </xf>
    <xf numFmtId="165" fontId="15" fillId="34" borderId="0" xfId="0" applyNumberFormat="1" applyFont="1" applyFill="1" applyBorder="1" applyAlignment="1">
      <alignment horizontal="center" wrapText="1"/>
    </xf>
    <xf numFmtId="2" fontId="15" fillId="34" borderId="0" xfId="0" applyNumberFormat="1" applyFont="1" applyFill="1" applyBorder="1" applyAlignment="1">
      <alignment horizontal="center"/>
    </xf>
    <xf numFmtId="1" fontId="15" fillId="34" borderId="0" xfId="0" applyNumberFormat="1" applyFont="1" applyFill="1" applyBorder="1" applyAlignment="1">
      <alignment horizontal="center"/>
    </xf>
    <xf numFmtId="2" fontId="15" fillId="34" borderId="0" xfId="0" applyNumberFormat="1" applyFont="1" applyFill="1" applyAlignment="1">
      <alignment horizontal="center"/>
    </xf>
    <xf numFmtId="2" fontId="23" fillId="34" borderId="0" xfId="0" applyNumberFormat="1" applyFont="1" applyFill="1" applyBorder="1" applyAlignment="1">
      <alignment horizontal="center"/>
    </xf>
    <xf numFmtId="0" fontId="15" fillId="34" borderId="0" xfId="0" applyFont="1" applyFill="1" applyBorder="1"/>
    <xf numFmtId="0" fontId="15" fillId="34" borderId="0" xfId="0" applyFont="1" applyFill="1" applyBorder="1" applyAlignment="1">
      <alignment horizontal="right"/>
    </xf>
    <xf numFmtId="0" fontId="23" fillId="34" borderId="0" xfId="0" applyFont="1" applyFill="1" applyBorder="1"/>
    <xf numFmtId="0" fontId="23" fillId="34" borderId="0" xfId="0" applyFont="1" applyFill="1" applyBorder="1" applyAlignment="1">
      <alignment horizontal="right"/>
    </xf>
    <xf numFmtId="0" fontId="15" fillId="34" borderId="0" xfId="0" applyFont="1" applyFill="1" applyBorder="1" applyAlignment="1">
      <alignment horizontal="justify" wrapText="1"/>
    </xf>
    <xf numFmtId="0" fontId="13" fillId="34" borderId="0" xfId="0" applyFont="1" applyFill="1" applyBorder="1" applyAlignment="1">
      <alignment horizontal="left" wrapText="1"/>
    </xf>
    <xf numFmtId="0" fontId="13" fillId="34" borderId="0" xfId="0" applyFont="1" applyFill="1" applyBorder="1" applyAlignment="1">
      <alignment horizontal="right" wrapText="1"/>
    </xf>
    <xf numFmtId="0" fontId="15" fillId="34" borderId="0" xfId="0" applyFont="1" applyFill="1" applyBorder="1" applyAlignment="1">
      <alignment horizontal="left"/>
    </xf>
    <xf numFmtId="0" fontId="15" fillId="34" borderId="0" xfId="0" applyFont="1" applyFill="1" applyBorder="1" applyAlignment="1">
      <alignment horizontal="left" wrapText="1"/>
    </xf>
    <xf numFmtId="0" fontId="23" fillId="34" borderId="0" xfId="0" applyFont="1" applyFill="1" applyBorder="1" applyAlignment="1">
      <alignment horizontal="left" wrapText="1"/>
    </xf>
    <xf numFmtId="0" fontId="15" fillId="34" borderId="0" xfId="196" applyFont="1" applyFill="1" applyBorder="1" applyAlignment="1">
      <alignment horizontal="left"/>
    </xf>
    <xf numFmtId="1" fontId="13" fillId="34" borderId="0" xfId="0" applyNumberFormat="1" applyFont="1" applyFill="1" applyBorder="1" applyAlignment="1">
      <alignment horizontal="left" wrapText="1"/>
    </xf>
    <xf numFmtId="1" fontId="13" fillId="34" borderId="0" xfId="0" applyNumberFormat="1" applyFont="1" applyFill="1" applyBorder="1" applyAlignment="1">
      <alignment horizontal="right" wrapText="1"/>
    </xf>
    <xf numFmtId="0" fontId="13" fillId="34" borderId="0" xfId="0" applyFont="1" applyFill="1" applyBorder="1" applyAlignment="1">
      <alignment horizontal="left"/>
    </xf>
    <xf numFmtId="2" fontId="13" fillId="34" borderId="0" xfId="0" applyNumberFormat="1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center" wrapText="1"/>
    </xf>
    <xf numFmtId="0" fontId="15" fillId="34" borderId="0" xfId="0" applyFont="1" applyFill="1" applyBorder="1" applyAlignment="1">
      <alignment horizontal="left" vertical="center" wrapText="1"/>
    </xf>
    <xf numFmtId="0" fontId="15" fillId="34" borderId="0" xfId="0" applyNumberFormat="1" applyFont="1" applyFill="1" applyBorder="1" applyAlignment="1">
      <alignment horizontal="center"/>
    </xf>
    <xf numFmtId="0" fontId="13" fillId="34" borderId="0" xfId="0" applyFont="1" applyFill="1" applyBorder="1" applyAlignment="1">
      <alignment horizontal="right" vertical="center" wrapText="1"/>
    </xf>
    <xf numFmtId="0" fontId="15" fillId="34" borderId="0" xfId="0" applyFont="1" applyFill="1" applyBorder="1" applyAlignment="1">
      <alignment vertical="center"/>
    </xf>
    <xf numFmtId="0" fontId="16" fillId="34" borderId="0" xfId="0" applyFont="1" applyFill="1" applyBorder="1" applyAlignment="1">
      <alignment horizontal="center" wrapText="1"/>
    </xf>
    <xf numFmtId="2" fontId="16" fillId="34" borderId="0" xfId="0" applyNumberFormat="1" applyFont="1" applyFill="1" applyBorder="1" applyAlignment="1">
      <alignment horizontal="center" wrapText="1"/>
    </xf>
    <xf numFmtId="0" fontId="16" fillId="34" borderId="0" xfId="0" applyFont="1" applyFill="1" applyBorder="1" applyAlignment="1">
      <alignment horizontal="left" wrapText="1"/>
    </xf>
    <xf numFmtId="0" fontId="29" fillId="34" borderId="0" xfId="0" applyFont="1" applyFill="1" applyBorder="1"/>
    <xf numFmtId="0" fontId="29" fillId="34" borderId="0" xfId="0" applyFont="1" applyFill="1" applyBorder="1" applyAlignment="1">
      <alignment horizontal="center"/>
    </xf>
    <xf numFmtId="2" fontId="29" fillId="34" borderId="0" xfId="0" applyNumberFormat="1" applyFont="1" applyFill="1" applyBorder="1" applyAlignment="1">
      <alignment horizontal="center"/>
    </xf>
    <xf numFmtId="2" fontId="29" fillId="34" borderId="0" xfId="0" applyNumberFormat="1" applyFont="1" applyFill="1" applyBorder="1" applyAlignment="1">
      <alignment horizontal="center" wrapText="1"/>
    </xf>
    <xf numFmtId="1" fontId="16" fillId="34" borderId="0" xfId="0" applyNumberFormat="1" applyFont="1" applyFill="1" applyBorder="1" applyAlignment="1">
      <alignment horizontal="center" wrapText="1"/>
    </xf>
    <xf numFmtId="2" fontId="109" fillId="0" borderId="0" xfId="0" applyNumberFormat="1" applyFont="1" applyFill="1" applyBorder="1" applyAlignment="1">
      <alignment horizontal="center" wrapText="1"/>
    </xf>
    <xf numFmtId="165" fontId="23" fillId="34" borderId="0" xfId="0" applyNumberFormat="1" applyFont="1" applyFill="1" applyBorder="1" applyAlignment="1">
      <alignment horizontal="center" vertical="center"/>
    </xf>
    <xf numFmtId="2" fontId="23" fillId="34" borderId="0" xfId="0" applyNumberFormat="1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 wrapText="1"/>
    </xf>
    <xf numFmtId="2" fontId="13" fillId="34" borderId="6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wrapText="1"/>
    </xf>
    <xf numFmtId="0" fontId="16" fillId="0" borderId="6" xfId="0" applyFont="1" applyBorder="1" applyAlignment="1">
      <alignment vertical="justify" wrapText="1"/>
    </xf>
    <xf numFmtId="0" fontId="13" fillId="0" borderId="0" xfId="0" applyFont="1" applyFill="1" applyBorder="1" applyAlignment="1">
      <alignment horizontal="left" vertical="top" wrapText="1"/>
    </xf>
    <xf numFmtId="165" fontId="23" fillId="0" borderId="0" xfId="0" applyNumberFormat="1" applyFont="1" applyFill="1" applyBorder="1" applyAlignment="1">
      <alignment horizontal="center" vertical="center"/>
    </xf>
    <xf numFmtId="2" fontId="23" fillId="0" borderId="0" xfId="0" applyNumberFormat="1" applyFont="1" applyFill="1" applyBorder="1" applyAlignment="1">
      <alignment horizontal="center" vertical="center"/>
    </xf>
    <xf numFmtId="1" fontId="23" fillId="0" borderId="0" xfId="0" applyNumberFormat="1" applyFont="1" applyFill="1" applyBorder="1" applyAlignment="1">
      <alignment horizontal="center" vertical="center"/>
    </xf>
    <xf numFmtId="0" fontId="37" fillId="0" borderId="0" xfId="0" applyFont="1" applyBorder="1"/>
    <xf numFmtId="0" fontId="13" fillId="0" borderId="0" xfId="0" applyFont="1" applyFill="1" applyBorder="1" applyAlignment="1">
      <alignment horizontal="left"/>
    </xf>
    <xf numFmtId="0" fontId="30" fillId="0" borderId="0" xfId="0" applyFont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40" fillId="0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5" fillId="34" borderId="0" xfId="0" applyFont="1" applyFill="1" applyBorder="1" applyAlignment="1">
      <alignment horizontal="right" vertical="center"/>
    </xf>
    <xf numFmtId="0" fontId="110" fillId="0" borderId="0" xfId="0" applyFont="1" applyFill="1" applyBorder="1"/>
    <xf numFmtId="0" fontId="63" fillId="0" borderId="0" xfId="0" applyFont="1" applyFill="1" applyBorder="1"/>
    <xf numFmtId="0" fontId="111" fillId="0" borderId="0" xfId="0" applyFont="1" applyFill="1" applyBorder="1" applyAlignment="1">
      <alignment vertical="center" textRotation="180"/>
    </xf>
    <xf numFmtId="0" fontId="23" fillId="34" borderId="0" xfId="0" applyFont="1" applyFill="1" applyBorder="1" applyAlignment="1">
      <alignment vertical="center"/>
    </xf>
    <xf numFmtId="0" fontId="23" fillId="34" borderId="0" xfId="0" applyFont="1" applyFill="1" applyBorder="1" applyAlignment="1">
      <alignment horizontal="right" vertical="center"/>
    </xf>
    <xf numFmtId="0" fontId="23" fillId="0" borderId="0" xfId="0" applyFont="1" applyFill="1" applyBorder="1" applyAlignment="1">
      <alignment horizontal="right" vertical="center"/>
    </xf>
    <xf numFmtId="2" fontId="109" fillId="0" borderId="0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67" fillId="2" borderId="0" xfId="0" applyFont="1" applyFill="1" applyBorder="1"/>
    <xf numFmtId="0" fontId="67" fillId="0" borderId="0" xfId="0" applyFont="1" applyFill="1" applyBorder="1" applyAlignment="1"/>
    <xf numFmtId="173" fontId="67" fillId="0" borderId="0" xfId="0" applyNumberFormat="1" applyFont="1" applyFill="1" applyBorder="1" applyAlignment="1"/>
    <xf numFmtId="49" fontId="67" fillId="0" borderId="0" xfId="0" applyNumberFormat="1" applyFont="1" applyFill="1" applyBorder="1" applyAlignment="1"/>
    <xf numFmtId="0" fontId="67" fillId="2" borderId="0" xfId="0" applyFont="1" applyFill="1" applyBorder="1" applyAlignment="1"/>
    <xf numFmtId="2" fontId="109" fillId="34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vertical="center"/>
    </xf>
    <xf numFmtId="1" fontId="13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/>
    </xf>
    <xf numFmtId="2" fontId="29" fillId="0" borderId="0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29" fillId="0" borderId="0" xfId="0" applyFont="1" applyFill="1" applyAlignment="1">
      <alignment vertical="center"/>
    </xf>
    <xf numFmtId="0" fontId="29" fillId="0" borderId="0" xfId="0" applyFont="1" applyFill="1" applyAlignment="1">
      <alignment vertical="justify"/>
    </xf>
    <xf numFmtId="2" fontId="16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right" vertical="center" wrapText="1"/>
    </xf>
    <xf numFmtId="2" fontId="29" fillId="0" borderId="0" xfId="0" applyNumberFormat="1" applyFont="1" applyFill="1" applyAlignment="1">
      <alignment horizontal="center" vertical="center"/>
    </xf>
    <xf numFmtId="2" fontId="29" fillId="0" borderId="0" xfId="0" applyNumberFormat="1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vertical="center"/>
    </xf>
    <xf numFmtId="2" fontId="16" fillId="34" borderId="0" xfId="0" applyNumberFormat="1" applyFont="1" applyFill="1" applyBorder="1" applyAlignment="1">
      <alignment horizontal="center" vertical="center" wrapText="1"/>
    </xf>
    <xf numFmtId="0" fontId="16" fillId="34" borderId="0" xfId="0" applyFont="1" applyFill="1" applyBorder="1" applyAlignment="1">
      <alignment horizontal="right" vertical="center" wrapText="1"/>
    </xf>
    <xf numFmtId="2" fontId="29" fillId="34" borderId="0" xfId="0" applyNumberFormat="1" applyFont="1" applyFill="1" applyBorder="1" applyAlignment="1">
      <alignment horizontal="center" vertical="center"/>
    </xf>
    <xf numFmtId="0" fontId="29" fillId="34" borderId="0" xfId="0" applyFont="1" applyFill="1"/>
    <xf numFmtId="0" fontId="61" fillId="0" borderId="0" xfId="0" applyFont="1" applyFill="1" applyBorder="1" applyAlignment="1">
      <alignment vertical="center" textRotation="180"/>
    </xf>
    <xf numFmtId="0" fontId="66" fillId="0" borderId="0" xfId="0" applyFont="1" applyFill="1" applyBorder="1" applyAlignment="1">
      <alignment vertical="center" textRotation="180"/>
    </xf>
    <xf numFmtId="0" fontId="15" fillId="34" borderId="0" xfId="0" applyFont="1" applyFill="1" applyBorder="1" applyAlignment="1">
      <alignment horizontal="left" vertical="center"/>
    </xf>
    <xf numFmtId="0" fontId="13" fillId="0" borderId="0" xfId="0" applyFont="1" applyFill="1" applyBorder="1"/>
    <xf numFmtId="1" fontId="13" fillId="34" borderId="0" xfId="0" applyNumberFormat="1" applyFont="1" applyFill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 wrapText="1"/>
    </xf>
    <xf numFmtId="0" fontId="112" fillId="0" borderId="0" xfId="0" applyFont="1" applyFill="1" applyBorder="1" applyAlignment="1">
      <alignment vertical="center" wrapText="1"/>
    </xf>
    <xf numFmtId="0" fontId="112" fillId="0" borderId="0" xfId="0" applyFont="1" applyFill="1" applyBorder="1"/>
    <xf numFmtId="0" fontId="114" fillId="0" borderId="0" xfId="0" applyFont="1" applyFill="1" applyBorder="1" applyAlignment="1">
      <alignment horizontal="left" vertical="center" wrapText="1"/>
    </xf>
    <xf numFmtId="0" fontId="113" fillId="0" borderId="0" xfId="0" applyFont="1" applyFill="1" applyBorder="1" applyAlignment="1">
      <alignment horizontal="left"/>
    </xf>
    <xf numFmtId="0" fontId="115" fillId="0" borderId="0" xfId="0" applyFont="1" applyFill="1" applyBorder="1" applyAlignment="1">
      <alignment horizontal="left" vertical="center" wrapText="1"/>
    </xf>
    <xf numFmtId="0" fontId="112" fillId="0" borderId="0" xfId="0" applyFont="1" applyFill="1" applyBorder="1" applyAlignment="1">
      <alignment vertical="center"/>
    </xf>
    <xf numFmtId="0" fontId="116" fillId="0" borderId="0" xfId="0" applyFont="1" applyFill="1" applyBorder="1" applyAlignment="1">
      <alignment horizontal="left" vertical="center" wrapText="1"/>
    </xf>
    <xf numFmtId="0" fontId="112" fillId="0" borderId="0" xfId="0" applyFont="1" applyFill="1" applyBorder="1" applyAlignment="1">
      <alignment horizontal="center" vertical="center"/>
    </xf>
    <xf numFmtId="0" fontId="112" fillId="0" borderId="0" xfId="0" applyFont="1" applyBorder="1"/>
    <xf numFmtId="0" fontId="71" fillId="34" borderId="0" xfId="0" applyFont="1" applyFill="1" applyAlignment="1">
      <alignment horizontal="center" vertical="center"/>
    </xf>
    <xf numFmtId="0" fontId="71" fillId="34" borderId="0" xfId="0" applyFont="1" applyFill="1" applyBorder="1" applyAlignment="1">
      <alignment vertical="center"/>
    </xf>
    <xf numFmtId="0" fontId="73" fillId="34" borderId="0" xfId="0" applyFont="1" applyFill="1" applyBorder="1" applyAlignment="1">
      <alignment horizontal="left" vertical="center" wrapText="1"/>
    </xf>
    <xf numFmtId="0" fontId="73" fillId="0" borderId="0" xfId="0" applyFont="1" applyFill="1" applyBorder="1" applyAlignment="1">
      <alignment horizontal="left" vertical="top" wrapText="1"/>
    </xf>
    <xf numFmtId="0" fontId="54" fillId="34" borderId="0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left" vertical="center" wrapText="1"/>
    </xf>
    <xf numFmtId="0" fontId="74" fillId="34" borderId="0" xfId="0" applyFont="1" applyFill="1" applyBorder="1" applyAlignment="1">
      <alignment horizontal="left" vertical="top" wrapText="1"/>
    </xf>
    <xf numFmtId="0" fontId="74" fillId="0" borderId="0" xfId="0" applyFont="1" applyFill="1" applyBorder="1" applyAlignment="1">
      <alignment horizontal="left" vertical="top" wrapText="1"/>
    </xf>
    <xf numFmtId="0" fontId="75" fillId="34" borderId="0" xfId="0" applyFont="1" applyFill="1" applyAlignment="1">
      <alignment horizontal="left"/>
    </xf>
    <xf numFmtId="0" fontId="72" fillId="0" borderId="0" xfId="0" applyFont="1" applyAlignment="1">
      <alignment horizontal="left"/>
    </xf>
    <xf numFmtId="0" fontId="29" fillId="0" borderId="0" xfId="0" applyFont="1" applyFill="1" applyAlignment="1">
      <alignment horizontal="center"/>
    </xf>
    <xf numFmtId="0" fontId="71" fillId="0" borderId="0" xfId="0" applyFont="1" applyFill="1" applyAlignment="1">
      <alignment horizontal="center" vertical="center"/>
    </xf>
    <xf numFmtId="0" fontId="75" fillId="0" borderId="0" xfId="0" applyFont="1" applyFill="1" applyAlignment="1">
      <alignment horizontal="left"/>
    </xf>
    <xf numFmtId="0" fontId="54" fillId="34" borderId="0" xfId="0" applyFont="1" applyFill="1" applyBorder="1" applyAlignment="1">
      <alignment horizontal="left" vertical="justify" wrapText="1"/>
    </xf>
    <xf numFmtId="2" fontId="16" fillId="34" borderId="0" xfId="0" applyNumberFormat="1" applyFont="1" applyFill="1" applyBorder="1" applyAlignment="1">
      <alignment horizontal="center" vertical="justify" wrapText="1"/>
    </xf>
    <xf numFmtId="0" fontId="73" fillId="34" borderId="0" xfId="0" applyFont="1" applyFill="1" applyBorder="1" applyAlignment="1">
      <alignment horizontal="left" vertical="justify" wrapText="1"/>
    </xf>
    <xf numFmtId="2" fontId="29" fillId="34" borderId="0" xfId="0" applyNumberFormat="1" applyFont="1" applyFill="1" applyAlignment="1">
      <alignment horizontal="center" vertical="justify"/>
    </xf>
    <xf numFmtId="0" fontId="54" fillId="34" borderId="6" xfId="0" applyFont="1" applyFill="1" applyBorder="1" applyAlignment="1">
      <alignment horizontal="left" vertical="center" wrapText="1"/>
    </xf>
    <xf numFmtId="0" fontId="78" fillId="0" borderId="0" xfId="0" applyFont="1" applyAlignment="1">
      <alignment vertical="center"/>
    </xf>
    <xf numFmtId="0" fontId="78" fillId="0" borderId="0" xfId="0" applyFont="1" applyFill="1"/>
    <xf numFmtId="49" fontId="26" fillId="0" borderId="0" xfId="0" applyNumberFormat="1" applyFont="1" applyFill="1" applyBorder="1" applyAlignment="1">
      <alignment vertical="center" wrapText="1"/>
    </xf>
    <xf numFmtId="0" fontId="79" fillId="0" borderId="0" xfId="0" applyFont="1" applyAlignment="1">
      <alignment horizontal="left"/>
    </xf>
    <xf numFmtId="0" fontId="25" fillId="0" borderId="0" xfId="0" applyFont="1" applyAlignment="1">
      <alignment horizontal="left" vertical="center"/>
    </xf>
    <xf numFmtId="2" fontId="15" fillId="0" borderId="0" xfId="0" applyNumberFormat="1" applyFont="1" applyFill="1" applyAlignment="1">
      <alignment horizontal="center"/>
    </xf>
    <xf numFmtId="0" fontId="7" fillId="0" borderId="0" xfId="0" applyFont="1" applyFill="1"/>
    <xf numFmtId="0" fontId="39" fillId="0" borderId="0" xfId="0" applyFont="1" applyBorder="1" applyAlignment="1">
      <alignment wrapText="1"/>
    </xf>
    <xf numFmtId="0" fontId="13" fillId="34" borderId="0" xfId="0" applyFont="1" applyFill="1" applyAlignment="1">
      <alignment vertical="center"/>
    </xf>
    <xf numFmtId="169" fontId="13" fillId="34" borderId="0" xfId="0" applyNumberFormat="1" applyFont="1" applyFill="1" applyBorder="1" applyAlignment="1">
      <alignment horizontal="center" vertical="center" wrapText="1"/>
    </xf>
    <xf numFmtId="0" fontId="13" fillId="34" borderId="0" xfId="0" applyFont="1" applyFill="1" applyAlignment="1">
      <alignment horizontal="right" vertical="center"/>
    </xf>
    <xf numFmtId="0" fontId="17" fillId="0" borderId="0" xfId="0" applyFont="1" applyFill="1" applyBorder="1" applyAlignment="1">
      <alignment horizontal="left" vertical="center" wrapText="1"/>
    </xf>
    <xf numFmtId="0" fontId="34" fillId="0" borderId="0" xfId="0" applyFont="1" applyFill="1" applyAlignment="1"/>
    <xf numFmtId="0" fontId="34" fillId="0" borderId="0" xfId="0" applyFont="1" applyFill="1" applyBorder="1" applyAlignment="1">
      <alignment horizontal="right" wrapText="1"/>
    </xf>
    <xf numFmtId="2" fontId="117" fillId="34" borderId="0" xfId="0" applyNumberFormat="1" applyFont="1" applyFill="1" applyBorder="1" applyAlignment="1">
      <alignment horizontal="center" vertical="center" wrapText="1"/>
    </xf>
    <xf numFmtId="165" fontId="109" fillId="0" borderId="0" xfId="0" applyNumberFormat="1" applyFont="1" applyFill="1" applyBorder="1" applyAlignment="1">
      <alignment horizontal="center" vertical="center"/>
    </xf>
    <xf numFmtId="0" fontId="109" fillId="0" borderId="0" xfId="0" applyFont="1" applyFill="1" applyBorder="1" applyAlignment="1">
      <alignment horizontal="center" vertical="center"/>
    </xf>
    <xf numFmtId="0" fontId="81" fillId="0" borderId="0" xfId="0" applyFont="1" applyBorder="1"/>
    <xf numFmtId="0" fontId="81" fillId="0" borderId="0" xfId="0" applyFont="1" applyBorder="1" applyAlignment="1"/>
    <xf numFmtId="0" fontId="81" fillId="0" borderId="0" xfId="0" applyFont="1" applyBorder="1" applyAlignment="1">
      <alignment horizontal="center"/>
    </xf>
    <xf numFmtId="0" fontId="81" fillId="0" borderId="0" xfId="0" applyFont="1"/>
    <xf numFmtId="165" fontId="81" fillId="0" borderId="0" xfId="0" applyNumberFormat="1" applyFont="1" applyBorder="1" applyAlignment="1">
      <alignment horizontal="center"/>
    </xf>
    <xf numFmtId="0" fontId="81" fillId="0" borderId="0" xfId="0" applyFont="1" applyAlignment="1"/>
    <xf numFmtId="0" fontId="15" fillId="35" borderId="0" xfId="0" applyFont="1" applyFill="1" applyBorder="1"/>
    <xf numFmtId="165" fontId="117" fillId="34" borderId="0" xfId="0" applyNumberFormat="1" applyFont="1" applyFill="1" applyBorder="1" applyAlignment="1">
      <alignment horizontal="center" vertical="center" wrapText="1"/>
    </xf>
    <xf numFmtId="165" fontId="117" fillId="0" borderId="0" xfId="0" applyNumberFormat="1" applyFont="1" applyFill="1" applyBorder="1" applyAlignment="1">
      <alignment horizontal="center" wrapText="1"/>
    </xf>
    <xf numFmtId="165" fontId="117" fillId="34" borderId="0" xfId="0" applyNumberFormat="1" applyFont="1" applyFill="1" applyBorder="1" applyAlignment="1">
      <alignment horizontal="center" wrapText="1"/>
    </xf>
    <xf numFmtId="165" fontId="109" fillId="34" borderId="0" xfId="0" applyNumberFormat="1" applyFont="1" applyFill="1" applyBorder="1" applyAlignment="1">
      <alignment horizontal="center" vertical="center" wrapText="1"/>
    </xf>
    <xf numFmtId="165" fontId="109" fillId="34" borderId="0" xfId="0" applyNumberFormat="1" applyFont="1" applyFill="1" applyBorder="1" applyAlignment="1">
      <alignment horizontal="center" vertical="center"/>
    </xf>
    <xf numFmtId="165" fontId="117" fillId="0" borderId="0" xfId="0" applyNumberFormat="1" applyFont="1" applyFill="1" applyBorder="1" applyAlignment="1">
      <alignment horizontal="center" vertical="center" wrapText="1"/>
    </xf>
    <xf numFmtId="0" fontId="117" fillId="0" borderId="0" xfId="0" applyFont="1" applyFill="1" applyBorder="1" applyAlignment="1">
      <alignment horizontal="center" wrapText="1"/>
    </xf>
    <xf numFmtId="0" fontId="13" fillId="0" borderId="6" xfId="0" applyFont="1" applyFill="1" applyBorder="1" applyAlignment="1">
      <alignment horizontal="left" vertical="center" wrapText="1"/>
    </xf>
    <xf numFmtId="49" fontId="15" fillId="0" borderId="0" xfId="0" applyNumberFormat="1" applyFont="1" applyFill="1"/>
    <xf numFmtId="0" fontId="23" fillId="0" borderId="0" xfId="0" applyFont="1" applyFill="1" applyBorder="1" applyAlignment="1">
      <alignment horizontal="right"/>
    </xf>
    <xf numFmtId="0" fontId="24" fillId="0" borderId="0" xfId="0" applyFont="1" applyFill="1"/>
    <xf numFmtId="0" fontId="24" fillId="0" borderId="0" xfId="0" applyFont="1" applyFill="1" applyBorder="1"/>
    <xf numFmtId="0" fontId="26" fillId="0" borderId="0" xfId="0" applyFont="1" applyFill="1" applyAlignment="1">
      <alignment wrapText="1"/>
    </xf>
    <xf numFmtId="0" fontId="14" fillId="0" borderId="0" xfId="0" applyFont="1" applyFill="1" applyAlignment="1">
      <alignment vertical="center"/>
    </xf>
    <xf numFmtId="165" fontId="109" fillId="0" borderId="0" xfId="0" applyNumberFormat="1" applyFont="1" applyFill="1" applyBorder="1" applyAlignment="1">
      <alignment horizontal="center" vertical="center" wrapText="1"/>
    </xf>
    <xf numFmtId="165" fontId="109" fillId="0" borderId="0" xfId="0" applyNumberFormat="1" applyFont="1" applyFill="1" applyBorder="1" applyAlignment="1">
      <alignment horizontal="center"/>
    </xf>
    <xf numFmtId="2" fontId="5" fillId="0" borderId="0" xfId="0" applyNumberFormat="1" applyFont="1"/>
    <xf numFmtId="2" fontId="15" fillId="34" borderId="6" xfId="0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2" fontId="17" fillId="34" borderId="0" xfId="0" applyNumberFormat="1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center" vertical="justify" wrapText="1"/>
    </xf>
    <xf numFmtId="2" fontId="15" fillId="0" borderId="0" xfId="0" quotePrefix="1" applyNumberFormat="1" applyFont="1" applyFill="1" applyBorder="1" applyAlignment="1">
      <alignment horizontal="center" vertical="center" wrapText="1"/>
    </xf>
    <xf numFmtId="2" fontId="15" fillId="34" borderId="0" xfId="0" quotePrefix="1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/>
    <xf numFmtId="1" fontId="23" fillId="34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left" wrapText="1"/>
    </xf>
    <xf numFmtId="1" fontId="13" fillId="0" borderId="0" xfId="0" applyNumberFormat="1" applyFont="1" applyFill="1" applyBorder="1" applyAlignment="1">
      <alignment horizontal="right" wrapText="1"/>
    </xf>
    <xf numFmtId="165" fontId="117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/>
    </xf>
    <xf numFmtId="0" fontId="81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wrapText="1"/>
    </xf>
    <xf numFmtId="0" fontId="16" fillId="0" borderId="0" xfId="0" applyFont="1" applyFill="1" applyBorder="1" applyAlignment="1">
      <alignment horizontal="center" wrapText="1"/>
    </xf>
    <xf numFmtId="2" fontId="16" fillId="0" borderId="0" xfId="0" applyNumberFormat="1" applyFont="1" applyFill="1" applyBorder="1" applyAlignment="1">
      <alignment horizontal="center" wrapText="1"/>
    </xf>
    <xf numFmtId="1" fontId="16" fillId="0" borderId="0" xfId="0" applyNumberFormat="1" applyFont="1" applyFill="1" applyBorder="1" applyAlignment="1">
      <alignment horizontal="center" wrapText="1"/>
    </xf>
    <xf numFmtId="0" fontId="117" fillId="0" borderId="0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horizontal="left" wrapText="1"/>
    </xf>
    <xf numFmtId="165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Border="1" applyAlignment="1">
      <alignment horizontal="justify" wrapText="1"/>
    </xf>
    <xf numFmtId="165" fontId="15" fillId="0" borderId="0" xfId="0" applyNumberFormat="1" applyFont="1" applyFill="1" applyAlignment="1">
      <alignment horizontal="center"/>
    </xf>
    <xf numFmtId="165" fontId="117" fillId="34" borderId="0" xfId="0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wrapText="1"/>
    </xf>
    <xf numFmtId="0" fontId="31" fillId="0" borderId="0" xfId="0" applyFont="1" applyFill="1"/>
    <xf numFmtId="0" fontId="30" fillId="0" borderId="0" xfId="0" applyFont="1" applyFill="1" applyBorder="1" applyAlignment="1">
      <alignment wrapText="1"/>
    </xf>
    <xf numFmtId="0" fontId="30" fillId="0" borderId="0" xfId="0" applyFont="1" applyFill="1" applyAlignment="1">
      <alignment wrapText="1"/>
    </xf>
    <xf numFmtId="0" fontId="13" fillId="0" borderId="0" xfId="0" applyFont="1" applyFill="1"/>
    <xf numFmtId="0" fontId="28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70" fillId="0" borderId="2" xfId="0" applyFont="1" applyFill="1" applyBorder="1" applyAlignment="1">
      <alignment horizontal="center" vertical="center" wrapText="1"/>
    </xf>
    <xf numFmtId="0" fontId="83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top" wrapText="1"/>
    </xf>
    <xf numFmtId="0" fontId="23" fillId="0" borderId="2" xfId="0" applyFont="1" applyFill="1" applyBorder="1" applyAlignment="1">
      <alignment horizontal="center"/>
    </xf>
    <xf numFmtId="165" fontId="7" fillId="0" borderId="0" xfId="0" applyNumberFormat="1" applyFont="1" applyFill="1"/>
    <xf numFmtId="165" fontId="14" fillId="0" borderId="0" xfId="0" applyNumberFormat="1" applyFont="1" applyFill="1" applyBorder="1" applyAlignment="1"/>
    <xf numFmtId="165" fontId="7" fillId="0" borderId="0" xfId="0" applyNumberFormat="1" applyFont="1" applyFill="1" applyBorder="1"/>
    <xf numFmtId="2" fontId="23" fillId="0" borderId="0" xfId="0" applyNumberFormat="1" applyFont="1" applyFill="1" applyBorder="1"/>
    <xf numFmtId="2" fontId="38" fillId="0" borderId="0" xfId="0" applyNumberFormat="1" applyFont="1" applyFill="1" applyBorder="1" applyAlignment="1">
      <alignment horizontal="center" vertical="center"/>
    </xf>
    <xf numFmtId="2" fontId="38" fillId="34" borderId="0" xfId="0" applyNumberFormat="1" applyFont="1" applyFill="1" applyBorder="1" applyAlignment="1">
      <alignment horizontal="center" vertical="center"/>
    </xf>
    <xf numFmtId="0" fontId="23" fillId="34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right" vertical="center"/>
    </xf>
    <xf numFmtId="0" fontId="15" fillId="0" borderId="0" xfId="0" applyNumberFormat="1" applyFont="1" applyFill="1" applyBorder="1" applyAlignment="1">
      <alignment horizontal="left" vertical="center"/>
    </xf>
    <xf numFmtId="2" fontId="109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17" fillId="34" borderId="0" xfId="0" applyFont="1" applyFill="1" applyBorder="1" applyAlignment="1">
      <alignment horizontal="right" vertical="center"/>
    </xf>
    <xf numFmtId="2" fontId="118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13" fillId="34" borderId="0" xfId="0" applyFont="1" applyFill="1" applyBorder="1" applyAlignment="1">
      <alignment vertical="center"/>
    </xf>
    <xf numFmtId="0" fontId="13" fillId="34" borderId="0" xfId="0" applyFont="1" applyFill="1" applyBorder="1" applyAlignment="1">
      <alignment horizontal="right" vertical="center"/>
    </xf>
    <xf numFmtId="2" fontId="117" fillId="0" borderId="0" xfId="0" applyNumberFormat="1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left" vertical="center"/>
    </xf>
    <xf numFmtId="2" fontId="39" fillId="0" borderId="0" xfId="0" applyNumberFormat="1" applyFont="1" applyFill="1" applyBorder="1" applyAlignment="1">
      <alignment horizontal="center" vertical="center"/>
    </xf>
    <xf numFmtId="0" fontId="40" fillId="34" borderId="0" xfId="0" applyFont="1" applyFill="1" applyBorder="1" applyAlignment="1">
      <alignment vertical="center"/>
    </xf>
    <xf numFmtId="0" fontId="40" fillId="34" borderId="0" xfId="0" applyFont="1" applyFill="1" applyBorder="1" applyAlignment="1">
      <alignment horizontal="left" vertical="center"/>
    </xf>
    <xf numFmtId="0" fontId="65" fillId="34" borderId="0" xfId="0" applyFont="1" applyFill="1" applyBorder="1" applyAlignment="1">
      <alignment horizontal="left" vertical="center"/>
    </xf>
    <xf numFmtId="0" fontId="6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29" fillId="0" borderId="0" xfId="0" applyFont="1" applyFill="1" applyBorder="1" applyAlignment="1">
      <alignment horizontal="left"/>
    </xf>
    <xf numFmtId="0" fontId="29" fillId="34" borderId="0" xfId="0" applyFont="1" applyFill="1" applyBorder="1" applyAlignment="1">
      <alignment horizontal="left"/>
    </xf>
    <xf numFmtId="0" fontId="17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right" vertical="center"/>
    </xf>
    <xf numFmtId="0" fontId="15" fillId="0" borderId="0" xfId="196" applyFont="1" applyFill="1" applyBorder="1" applyAlignment="1">
      <alignment horizontal="left"/>
    </xf>
    <xf numFmtId="0" fontId="34" fillId="0" borderId="0" xfId="0" applyFont="1" applyBorder="1" applyAlignment="1">
      <alignment vertical="top" wrapText="1"/>
    </xf>
    <xf numFmtId="0" fontId="120" fillId="0" borderId="0" xfId="0" applyFont="1" applyFill="1" applyBorder="1" applyAlignment="1">
      <alignment vertical="center"/>
    </xf>
    <xf numFmtId="0" fontId="120" fillId="0" borderId="0" xfId="0" applyFont="1" applyFill="1" applyBorder="1" applyAlignment="1">
      <alignment vertical="center" wrapText="1"/>
    </xf>
    <xf numFmtId="0" fontId="120" fillId="0" borderId="0" xfId="0" applyFont="1" applyFill="1" applyAlignment="1">
      <alignment vertical="center"/>
    </xf>
    <xf numFmtId="0" fontId="124" fillId="0" borderId="2" xfId="0" applyFont="1" applyFill="1" applyBorder="1" applyAlignment="1">
      <alignment horizontal="center" vertical="center" wrapText="1"/>
    </xf>
    <xf numFmtId="0" fontId="125" fillId="0" borderId="2" xfId="0" applyFont="1" applyFill="1" applyBorder="1" applyAlignment="1">
      <alignment horizontal="center" vertical="center" wrapText="1"/>
    </xf>
    <xf numFmtId="0" fontId="109" fillId="0" borderId="0" xfId="0" applyFont="1" applyFill="1"/>
    <xf numFmtId="0" fontId="13" fillId="0" borderId="0" xfId="0" applyFont="1" applyFill="1" applyAlignment="1">
      <alignment vertical="center"/>
    </xf>
    <xf numFmtId="169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right" vertical="center"/>
    </xf>
    <xf numFmtId="2" fontId="47" fillId="0" borderId="0" xfId="0" applyNumberFormat="1" applyFont="1" applyFill="1" applyBorder="1" applyAlignment="1">
      <alignment horizontal="center" vertical="center"/>
    </xf>
    <xf numFmtId="0" fontId="13" fillId="34" borderId="0" xfId="0" applyFont="1" applyFill="1" applyBorder="1" applyAlignment="1">
      <alignment horizontal="left" vertical="center"/>
    </xf>
    <xf numFmtId="0" fontId="15" fillId="34" borderId="0" xfId="136" applyNumberFormat="1" applyFont="1" applyFill="1" applyBorder="1" applyAlignment="1">
      <alignment horizontal="center" vertical="center"/>
    </xf>
    <xf numFmtId="2" fontId="47" fillId="34" borderId="0" xfId="0" applyNumberFormat="1" applyFont="1" applyFill="1" applyBorder="1" applyAlignment="1">
      <alignment horizontal="center" vertical="center"/>
    </xf>
    <xf numFmtId="165" fontId="15" fillId="0" borderId="0" xfId="0" applyNumberFormat="1" applyFont="1" applyAlignment="1"/>
    <xf numFmtId="165" fontId="15" fillId="0" borderId="0" xfId="0" applyNumberFormat="1" applyFont="1" applyFill="1" applyBorder="1" applyAlignment="1"/>
    <xf numFmtId="0" fontId="109" fillId="0" borderId="0" xfId="0" applyFont="1" applyFill="1" applyBorder="1" applyAlignment="1">
      <alignment horizontal="center"/>
    </xf>
    <xf numFmtId="0" fontId="15" fillId="34" borderId="0" xfId="0" applyFont="1" applyFill="1" applyBorder="1" applyAlignment="1"/>
    <xf numFmtId="0" fontId="119" fillId="0" borderId="0" xfId="0" applyFont="1" applyFill="1" applyBorder="1" applyAlignment="1">
      <alignment horizontal="center"/>
    </xf>
    <xf numFmtId="165" fontId="119" fillId="0" borderId="0" xfId="0" applyNumberFormat="1" applyFont="1" applyFill="1" applyBorder="1" applyAlignment="1">
      <alignment horizontal="center"/>
    </xf>
    <xf numFmtId="0" fontId="40" fillId="0" borderId="0" xfId="0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/>
    </xf>
    <xf numFmtId="168" fontId="15" fillId="34" borderId="6" xfId="0" applyNumberFormat="1" applyFont="1" applyFill="1" applyBorder="1" applyAlignment="1">
      <alignment horizontal="center" vertical="center"/>
    </xf>
    <xf numFmtId="49" fontId="15" fillId="34" borderId="0" xfId="0" applyNumberFormat="1" applyFont="1" applyFill="1" applyBorder="1" applyAlignment="1">
      <alignment horizontal="center" vertical="center"/>
    </xf>
    <xf numFmtId="0" fontId="15" fillId="34" borderId="0" xfId="0" applyNumberFormat="1" applyFont="1" applyFill="1" applyBorder="1" applyAlignment="1">
      <alignment horizontal="center" vertical="center"/>
    </xf>
    <xf numFmtId="171" fontId="15" fillId="34" borderId="0" xfId="0" applyNumberFormat="1" applyFont="1" applyFill="1" applyBorder="1" applyAlignment="1">
      <alignment horizontal="center" vertical="center"/>
    </xf>
    <xf numFmtId="171" fontId="15" fillId="34" borderId="6" xfId="0" applyNumberFormat="1" applyFont="1" applyFill="1" applyBorder="1" applyAlignment="1">
      <alignment horizontal="center" vertical="center"/>
    </xf>
    <xf numFmtId="49" fontId="15" fillId="34" borderId="6" xfId="0" applyNumberFormat="1" applyFont="1" applyFill="1" applyBorder="1" applyAlignment="1">
      <alignment horizontal="center" vertical="center"/>
    </xf>
    <xf numFmtId="2" fontId="126" fillId="0" borderId="0" xfId="198" applyNumberFormat="1" applyFont="1" applyFill="1" applyBorder="1" applyAlignment="1">
      <alignment horizontal="center"/>
    </xf>
    <xf numFmtId="0" fontId="15" fillId="34" borderId="0" xfId="196" applyFont="1" applyFill="1" applyBorder="1" applyAlignment="1">
      <alignment horizontal="left" vertical="center"/>
    </xf>
    <xf numFmtId="2" fontId="13" fillId="34" borderId="0" xfId="0" applyNumberFormat="1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wrapText="1"/>
    </xf>
    <xf numFmtId="0" fontId="130" fillId="0" borderId="0" xfId="0" applyFont="1" applyBorder="1"/>
    <xf numFmtId="0" fontId="131" fillId="0" borderId="0" xfId="0" applyFont="1" applyFill="1" applyBorder="1" applyAlignment="1">
      <alignment horizontal="left" wrapText="1"/>
    </xf>
    <xf numFmtId="174" fontId="7" fillId="0" borderId="0" xfId="0" applyNumberFormat="1" applyFont="1" applyBorder="1"/>
    <xf numFmtId="2" fontId="0" fillId="0" borderId="0" xfId="0" applyNumberFormat="1"/>
    <xf numFmtId="0" fontId="23" fillId="34" borderId="0" xfId="196" applyFont="1" applyFill="1" applyBorder="1" applyAlignment="1">
      <alignment horizontal="left" vertical="center"/>
    </xf>
    <xf numFmtId="166" fontId="15" fillId="0" borderId="0" xfId="0" applyNumberFormat="1" applyFont="1"/>
    <xf numFmtId="168" fontId="15" fillId="34" borderId="0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top"/>
    </xf>
    <xf numFmtId="0" fontId="13" fillId="0" borderId="0" xfId="0" applyFont="1" applyBorder="1" applyAlignment="1">
      <alignment horizontal="right" vertical="center" wrapText="1"/>
    </xf>
    <xf numFmtId="1" fontId="14" fillId="0" borderId="0" xfId="0" applyNumberFormat="1" applyFont="1"/>
    <xf numFmtId="0" fontId="17" fillId="34" borderId="0" xfId="0" applyFont="1" applyFill="1" applyBorder="1" applyAlignment="1">
      <alignment horizontal="left" vertical="center"/>
    </xf>
    <xf numFmtId="2" fontId="118" fillId="34" borderId="0" xfId="0" applyNumberFormat="1" applyFont="1" applyFill="1" applyBorder="1" applyAlignment="1">
      <alignment horizontal="center" vertical="center" wrapText="1"/>
    </xf>
    <xf numFmtId="2" fontId="119" fillId="0" borderId="0" xfId="0" applyNumberFormat="1" applyFont="1" applyFill="1" applyBorder="1" applyAlignment="1">
      <alignment horizontal="center" vertical="center" wrapText="1"/>
    </xf>
    <xf numFmtId="165" fontId="14" fillId="0" borderId="0" xfId="0" applyNumberFormat="1" applyFont="1" applyFill="1"/>
    <xf numFmtId="0" fontId="78" fillId="0" borderId="0" xfId="0" applyFont="1" applyAlignment="1">
      <alignment horizontal="left"/>
    </xf>
    <xf numFmtId="0" fontId="16" fillId="0" borderId="0" xfId="0" applyFont="1" applyFill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2" fontId="25" fillId="0" borderId="0" xfId="0" applyNumberFormat="1" applyFont="1"/>
    <xf numFmtId="2" fontId="15" fillId="0" borderId="0" xfId="0" applyNumberFormat="1" applyFont="1" applyAlignment="1">
      <alignment horizontal="right"/>
    </xf>
    <xf numFmtId="0" fontId="26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2" fontId="15" fillId="0" borderId="0" xfId="0" applyNumberFormat="1" applyFont="1" applyBorder="1" applyAlignment="1">
      <alignment horizontal="right"/>
    </xf>
    <xf numFmtId="2" fontId="15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vertical="top" wrapText="1"/>
    </xf>
    <xf numFmtId="0" fontId="33" fillId="0" borderId="0" xfId="0" applyFont="1" applyBorder="1" applyAlignment="1">
      <alignment horizontal="left"/>
    </xf>
    <xf numFmtId="1" fontId="13" fillId="0" borderId="0" xfId="0" applyNumberFormat="1" applyFont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/>
    </xf>
    <xf numFmtId="2" fontId="40" fillId="0" borderId="0" xfId="0" applyNumberFormat="1" applyFont="1" applyFill="1" applyBorder="1" applyAlignment="1">
      <alignment horizontal="center" vertical="center" wrapText="1"/>
    </xf>
    <xf numFmtId="1" fontId="47" fillId="34" borderId="0" xfId="0" applyNumberFormat="1" applyFont="1" applyFill="1" applyBorder="1" applyAlignment="1">
      <alignment horizontal="center" vertical="center"/>
    </xf>
    <xf numFmtId="0" fontId="25" fillId="0" borderId="0" xfId="202" applyFont="1" applyAlignment="1"/>
    <xf numFmtId="0" fontId="81" fillId="0" borderId="0" xfId="0" applyFont="1" applyFill="1" applyBorder="1" applyAlignment="1">
      <alignment wrapText="1"/>
    </xf>
    <xf numFmtId="0" fontId="14" fillId="0" borderId="0" xfId="0" applyFont="1" applyBorder="1" applyAlignment="1">
      <alignment wrapText="1"/>
    </xf>
    <xf numFmtId="0" fontId="13" fillId="0" borderId="0" xfId="0" applyFont="1" applyBorder="1" applyAlignment="1">
      <alignment vertical="center"/>
    </xf>
    <xf numFmtId="0" fontId="15" fillId="0" borderId="0" xfId="0" applyFont="1" applyBorder="1" applyAlignment="1">
      <alignment horizontal="left"/>
    </xf>
    <xf numFmtId="2" fontId="14" fillId="0" borderId="0" xfId="0" applyNumberFormat="1" applyFont="1" applyBorder="1" applyAlignment="1"/>
    <xf numFmtId="2" fontId="14" fillId="0" borderId="0" xfId="0" applyNumberFormat="1" applyFont="1" applyFill="1" applyBorder="1" applyAlignment="1"/>
    <xf numFmtId="0" fontId="15" fillId="0" borderId="0" xfId="0" applyFont="1" applyFill="1" applyBorder="1" applyAlignment="1">
      <alignment wrapText="1"/>
    </xf>
    <xf numFmtId="0" fontId="13" fillId="34" borderId="0" xfId="0" applyFont="1" applyFill="1" applyBorder="1"/>
    <xf numFmtId="0" fontId="13" fillId="34" borderId="0" xfId="0" applyFont="1" applyFill="1" applyBorder="1" applyAlignment="1">
      <alignment horizontal="right"/>
    </xf>
    <xf numFmtId="0" fontId="29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1" fontId="16" fillId="0" borderId="0" xfId="0" applyNumberFormat="1" applyFont="1" applyFill="1" applyBorder="1" applyAlignment="1">
      <alignment horizontal="center" vertical="center" wrapText="1"/>
    </xf>
    <xf numFmtId="2" fontId="136" fillId="0" borderId="0" xfId="0" applyNumberFormat="1" applyFont="1" applyBorder="1" applyAlignment="1">
      <alignment wrapText="1"/>
    </xf>
    <xf numFmtId="0" fontId="137" fillId="0" borderId="0" xfId="0" applyFont="1" applyBorder="1" applyAlignment="1">
      <alignment wrapText="1"/>
    </xf>
    <xf numFmtId="2" fontId="138" fillId="0" borderId="0" xfId="0" applyNumberFormat="1" applyFont="1" applyBorder="1"/>
    <xf numFmtId="2" fontId="32" fillId="0" borderId="0" xfId="0" applyNumberFormat="1" applyFont="1" applyBorder="1"/>
    <xf numFmtId="0" fontId="138" fillId="0" borderId="0" xfId="0" applyFont="1" applyBorder="1"/>
    <xf numFmtId="0" fontId="145" fillId="2" borderId="0" xfId="0" applyFont="1" applyFill="1" applyBorder="1"/>
    <xf numFmtId="0" fontId="146" fillId="0" borderId="0" xfId="0" applyFont="1" applyBorder="1" applyAlignment="1">
      <alignment wrapText="1"/>
    </xf>
    <xf numFmtId="0" fontId="147" fillId="0" borderId="10" xfId="0" applyFont="1" applyBorder="1" applyAlignment="1">
      <alignment vertical="top" wrapText="1"/>
    </xf>
    <xf numFmtId="0" fontId="146" fillId="0" borderId="0" xfId="0" applyFont="1" applyBorder="1"/>
    <xf numFmtId="0" fontId="146" fillId="2" borderId="10" xfId="0" applyFont="1" applyFill="1" applyBorder="1"/>
    <xf numFmtId="0" fontId="146" fillId="2" borderId="0" xfId="0" applyFont="1" applyFill="1" applyBorder="1"/>
    <xf numFmtId="0" fontId="146" fillId="2" borderId="11" xfId="0" applyFont="1" applyFill="1" applyBorder="1"/>
    <xf numFmtId="0" fontId="146" fillId="0" borderId="10" xfId="0" applyFont="1" applyBorder="1" applyAlignment="1">
      <alignment wrapText="1"/>
    </xf>
    <xf numFmtId="0" fontId="149" fillId="2" borderId="10" xfId="0" applyFont="1" applyFill="1" applyBorder="1"/>
    <xf numFmtId="0" fontId="69" fillId="2" borderId="0" xfId="0" applyFont="1" applyFill="1" applyBorder="1"/>
    <xf numFmtId="0" fontId="69" fillId="2" borderId="11" xfId="0" applyFont="1" applyFill="1" applyBorder="1"/>
    <xf numFmtId="0" fontId="150" fillId="2" borderId="0" xfId="0" applyFont="1" applyFill="1" applyBorder="1"/>
    <xf numFmtId="0" fontId="151" fillId="0" borderId="0" xfId="0" applyFont="1" applyBorder="1" applyAlignment="1">
      <alignment horizontal="center"/>
    </xf>
    <xf numFmtId="0" fontId="153" fillId="0" borderId="7" xfId="0" applyFont="1" applyFill="1" applyBorder="1"/>
    <xf numFmtId="0" fontId="153" fillId="0" borderId="8" xfId="0" applyFont="1" applyFill="1" applyBorder="1"/>
    <xf numFmtId="0" fontId="153" fillId="0" borderId="9" xfId="0" applyFont="1" applyFill="1" applyBorder="1"/>
    <xf numFmtId="0" fontId="154" fillId="2" borderId="10" xfId="0" applyFont="1" applyFill="1" applyBorder="1"/>
    <xf numFmtId="0" fontId="154" fillId="2" borderId="0" xfId="0" applyFont="1" applyFill="1" applyBorder="1"/>
    <xf numFmtId="0" fontId="154" fillId="2" borderId="11" xfId="0" applyFont="1" applyFill="1" applyBorder="1"/>
    <xf numFmtId="0" fontId="153" fillId="2" borderId="10" xfId="0" applyFont="1" applyFill="1" applyBorder="1"/>
    <xf numFmtId="0" fontId="153" fillId="2" borderId="0" xfId="0" applyFont="1" applyFill="1" applyBorder="1"/>
    <xf numFmtId="0" fontId="153" fillId="2" borderId="11" xfId="0" applyFont="1" applyFill="1" applyBorder="1"/>
    <xf numFmtId="2" fontId="17" fillId="0" borderId="0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vertical="justify" wrapText="1"/>
    </xf>
    <xf numFmtId="0" fontId="29" fillId="0" borderId="2" xfId="0" applyFont="1" applyFill="1" applyBorder="1" applyAlignment="1">
      <alignment horizontal="center" vertical="top" wrapText="1"/>
    </xf>
    <xf numFmtId="0" fontId="33" fillId="0" borderId="0" xfId="0" applyFont="1" applyBorder="1" applyAlignment="1"/>
    <xf numFmtId="0" fontId="19" fillId="0" borderId="0" xfId="0" applyFont="1" applyBorder="1" applyAlignment="1"/>
    <xf numFmtId="0" fontId="15" fillId="34" borderId="0" xfId="0" applyFont="1" applyFill="1"/>
    <xf numFmtId="0" fontId="123" fillId="0" borderId="0" xfId="232" applyFont="1" applyBorder="1"/>
    <xf numFmtId="0" fontId="123" fillId="0" borderId="0" xfId="232" applyFont="1"/>
    <xf numFmtId="0" fontId="155" fillId="0" borderId="0" xfId="0" applyFont="1" applyBorder="1" applyAlignment="1">
      <alignment wrapText="1"/>
    </xf>
    <xf numFmtId="0" fontId="156" fillId="0" borderId="0" xfId="0" applyFont="1"/>
    <xf numFmtId="0" fontId="157" fillId="0" borderId="0" xfId="0" applyFont="1" applyAlignment="1">
      <alignment horizontal="left"/>
    </xf>
    <xf numFmtId="0" fontId="158" fillId="0" borderId="0" xfId="0" applyFont="1" applyBorder="1" applyAlignment="1">
      <alignment wrapText="1"/>
    </xf>
    <xf numFmtId="0" fontId="47" fillId="0" borderId="0" xfId="0" applyFont="1" applyAlignment="1"/>
    <xf numFmtId="0" fontId="159" fillId="0" borderId="0" xfId="232" applyFont="1" applyAlignment="1"/>
    <xf numFmtId="0" fontId="122" fillId="0" borderId="2" xfId="0" applyFont="1" applyBorder="1" applyAlignment="1">
      <alignment horizontal="center" vertical="center" wrapText="1"/>
    </xf>
    <xf numFmtId="0" fontId="109" fillId="0" borderId="0" xfId="0" applyFont="1"/>
    <xf numFmtId="2" fontId="38" fillId="0" borderId="6" xfId="0" applyNumberFormat="1" applyFont="1" applyFill="1" applyBorder="1" applyAlignment="1">
      <alignment horizontal="center" vertical="center" wrapText="1"/>
    </xf>
    <xf numFmtId="2" fontId="38" fillId="0" borderId="0" xfId="0" applyNumberFormat="1" applyFont="1" applyBorder="1" applyAlignment="1">
      <alignment horizontal="center"/>
    </xf>
    <xf numFmtId="2" fontId="38" fillId="34" borderId="0" xfId="0" applyNumberFormat="1" applyFont="1" applyFill="1" applyBorder="1" applyAlignment="1">
      <alignment horizontal="center" vertical="center" wrapText="1"/>
    </xf>
    <xf numFmtId="0" fontId="38" fillId="0" borderId="0" xfId="0" applyFont="1" applyBorder="1" applyAlignment="1"/>
    <xf numFmtId="0" fontId="13" fillId="34" borderId="0" xfId="0" applyFont="1" applyFill="1" applyBorder="1" applyAlignment="1">
      <alignment horizontal="center" vertical="center" wrapText="1"/>
    </xf>
    <xf numFmtId="2" fontId="15" fillId="0" borderId="6" xfId="0" applyNumberFormat="1" applyFont="1" applyFill="1" applyBorder="1" applyAlignment="1">
      <alignment horizontal="center" vertical="center"/>
    </xf>
    <xf numFmtId="0" fontId="159" fillId="0" borderId="0" xfId="0" applyFont="1" applyAlignment="1"/>
    <xf numFmtId="0" fontId="15" fillId="0" borderId="0" xfId="136" applyNumberFormat="1" applyFont="1" applyFill="1" applyBorder="1" applyAlignment="1">
      <alignment horizontal="center"/>
    </xf>
    <xf numFmtId="2" fontId="15" fillId="0" borderId="0" xfId="136" applyNumberFormat="1" applyFont="1" applyFill="1" applyBorder="1" applyAlignment="1">
      <alignment horizontal="center"/>
    </xf>
    <xf numFmtId="0" fontId="16" fillId="34" borderId="0" xfId="0" applyFont="1" applyFill="1" applyBorder="1" applyAlignment="1">
      <alignment horizontal="center" vertical="center"/>
    </xf>
    <xf numFmtId="0" fontId="29" fillId="34" borderId="0" xfId="0" applyFont="1" applyFill="1" applyBorder="1" applyAlignment="1">
      <alignment horizontal="center" vertical="center"/>
    </xf>
    <xf numFmtId="0" fontId="16" fillId="34" borderId="0" xfId="0" applyFont="1" applyFill="1" applyBorder="1" applyAlignment="1">
      <alignment horizontal="center" vertical="center" wrapText="1"/>
    </xf>
    <xf numFmtId="1" fontId="16" fillId="34" borderId="0" xfId="0" applyNumberFormat="1" applyFont="1" applyFill="1" applyBorder="1" applyAlignment="1">
      <alignment horizontal="center" vertical="center" wrapText="1"/>
    </xf>
    <xf numFmtId="2" fontId="13" fillId="0" borderId="0" xfId="0" applyNumberFormat="1" applyFont="1" applyBorder="1" applyAlignment="1">
      <alignment wrapText="1"/>
    </xf>
    <xf numFmtId="0" fontId="120" fillId="0" borderId="0" xfId="0" applyFont="1" applyBorder="1" applyAlignment="1">
      <alignment horizontal="center"/>
    </xf>
    <xf numFmtId="0" fontId="120" fillId="0" borderId="0" xfId="0" applyFont="1" applyBorder="1" applyAlignment="1">
      <alignment horizontal="center" vertical="center"/>
    </xf>
    <xf numFmtId="0" fontId="109" fillId="0" borderId="37" xfId="0" applyFont="1" applyBorder="1" applyAlignment="1">
      <alignment horizontal="center" vertical="center"/>
    </xf>
    <xf numFmtId="0" fontId="109" fillId="0" borderId="2" xfId="0" applyFont="1" applyBorder="1" applyAlignment="1">
      <alignment horizontal="center" vertical="center" wrapText="1"/>
    </xf>
    <xf numFmtId="0" fontId="109" fillId="34" borderId="2" xfId="0" applyFont="1" applyFill="1" applyBorder="1"/>
    <xf numFmtId="0" fontId="109" fillId="0" borderId="2" xfId="0" applyFont="1" applyBorder="1"/>
    <xf numFmtId="2" fontId="109" fillId="0" borderId="2" xfId="0" applyNumberFormat="1" applyFont="1" applyBorder="1" applyAlignment="1">
      <alignment horizontal="center" vertical="center"/>
    </xf>
    <xf numFmtId="2" fontId="109" fillId="34" borderId="2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/>
    <xf numFmtId="0" fontId="121" fillId="0" borderId="0" xfId="0" applyFont="1" applyBorder="1" applyAlignment="1"/>
    <xf numFmtId="0" fontId="109" fillId="0" borderId="40" xfId="0" applyFont="1" applyBorder="1" applyAlignment="1">
      <alignment horizontal="center" vertical="center" wrapText="1"/>
    </xf>
    <xf numFmtId="2" fontId="109" fillId="34" borderId="3" xfId="0" applyNumberFormat="1" applyFont="1" applyFill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34" borderId="2" xfId="0" applyNumberFormat="1" applyFont="1" applyFill="1" applyBorder="1" applyAlignment="1">
      <alignment horizontal="center" vertical="center"/>
    </xf>
    <xf numFmtId="1" fontId="15" fillId="0" borderId="0" xfId="0" applyNumberFormat="1" applyFont="1"/>
    <xf numFmtId="2" fontId="109" fillId="0" borderId="2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Border="1"/>
    <xf numFmtId="0" fontId="15" fillId="0" borderId="6" xfId="0" applyFont="1" applyFill="1" applyBorder="1" applyAlignment="1">
      <alignment horizontal="left" vertical="center" wrapText="1"/>
    </xf>
    <xf numFmtId="0" fontId="38" fillId="0" borderId="2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top"/>
    </xf>
    <xf numFmtId="0" fontId="25" fillId="34" borderId="0" xfId="0" applyFont="1" applyFill="1" applyAlignment="1">
      <alignment horizontal="right" vertical="top"/>
    </xf>
    <xf numFmtId="0" fontId="25" fillId="34" borderId="0" xfId="0" applyFont="1" applyFill="1" applyBorder="1" applyAlignment="1">
      <alignment horizontal="left" vertical="center" wrapText="1"/>
    </xf>
    <xf numFmtId="0" fontId="14" fillId="34" borderId="0" xfId="0" applyFont="1" applyFill="1"/>
    <xf numFmtId="0" fontId="15" fillId="0" borderId="0" xfId="0" applyFont="1" applyBorder="1" applyAlignment="1">
      <alignment horizontal="left" vertical="center" wrapText="1"/>
    </xf>
    <xf numFmtId="0" fontId="23" fillId="0" borderId="0" xfId="0" applyFont="1" applyAlignment="1">
      <alignment horizontal="right" vertical="top"/>
    </xf>
    <xf numFmtId="0" fontId="24" fillId="0" borderId="0" xfId="0" applyFont="1" applyBorder="1" applyAlignment="1">
      <alignment horizontal="left" vertical="top" wrapText="1"/>
    </xf>
    <xf numFmtId="0" fontId="34" fillId="0" borderId="0" xfId="0" applyFont="1" applyBorder="1" applyAlignment="1">
      <alignment horizontal="left" vertical="top" wrapText="1"/>
    </xf>
    <xf numFmtId="0" fontId="23" fillId="34" borderId="0" xfId="0" applyFont="1" applyFill="1" applyAlignment="1">
      <alignment horizontal="right" vertical="top"/>
    </xf>
    <xf numFmtId="0" fontId="38" fillId="0" borderId="6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/>
    </xf>
    <xf numFmtId="1" fontId="47" fillId="0" borderId="0" xfId="0" applyNumberFormat="1" applyFont="1" applyFill="1" applyBorder="1" applyAlignment="1">
      <alignment horizontal="center" vertical="center"/>
    </xf>
    <xf numFmtId="0" fontId="23" fillId="0" borderId="0" xfId="196" applyFont="1" applyFill="1" applyBorder="1" applyAlignment="1">
      <alignment horizontal="left" vertical="center"/>
    </xf>
    <xf numFmtId="0" fontId="38" fillId="0" borderId="0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2" fontId="15" fillId="0" borderId="2" xfId="0" applyNumberFormat="1" applyFont="1" applyFill="1" applyBorder="1" applyAlignment="1">
      <alignment horizontal="center" vertical="center"/>
    </xf>
    <xf numFmtId="2" fontId="38" fillId="0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3" fillId="0" borderId="0" xfId="0" applyFont="1" applyFill="1" applyBorder="1"/>
    <xf numFmtId="0" fontId="3" fillId="0" borderId="0" xfId="0" applyFont="1"/>
    <xf numFmtId="0" fontId="3" fillId="2" borderId="0" xfId="0" applyFont="1" applyFill="1" applyBorder="1"/>
    <xf numFmtId="0" fontId="3" fillId="0" borderId="0" xfId="0" applyFont="1" applyBorder="1"/>
    <xf numFmtId="0" fontId="3" fillId="0" borderId="0" xfId="0" applyFont="1" applyFill="1"/>
    <xf numFmtId="2" fontId="38" fillId="0" borderId="0" xfId="0" applyNumberFormat="1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/>
    </xf>
    <xf numFmtId="0" fontId="15" fillId="0" borderId="0" xfId="0" applyFont="1" applyAlignment="1">
      <alignment vertical="center" wrapText="1"/>
    </xf>
    <xf numFmtId="0" fontId="14" fillId="0" borderId="0" xfId="0" applyFont="1" applyBorder="1" applyAlignment="1">
      <alignment vertical="top" wrapText="1"/>
    </xf>
    <xf numFmtId="2" fontId="15" fillId="0" borderId="3" xfId="0" applyNumberFormat="1" applyFont="1" applyBorder="1" applyAlignment="1">
      <alignment horizontal="center" vertical="center"/>
    </xf>
    <xf numFmtId="0" fontId="47" fillId="0" borderId="0" xfId="0" applyFont="1" applyFill="1" applyBorder="1"/>
    <xf numFmtId="0" fontId="19" fillId="0" borderId="0" xfId="0" applyFont="1" applyBorder="1" applyAlignment="1">
      <alignment vertical="top" wrapText="1"/>
    </xf>
    <xf numFmtId="2" fontId="15" fillId="34" borderId="0" xfId="136" applyNumberFormat="1" applyFont="1" applyFill="1" applyBorder="1" applyAlignment="1">
      <alignment horizontal="center" vertical="center"/>
    </xf>
    <xf numFmtId="1" fontId="15" fillId="0" borderId="0" xfId="0" applyNumberFormat="1" applyFont="1" applyBorder="1"/>
    <xf numFmtId="1" fontId="13" fillId="0" borderId="0" xfId="0" applyNumberFormat="1" applyFont="1" applyFill="1" applyBorder="1" applyAlignment="1">
      <alignment horizontal="right" vertical="center" wrapText="1"/>
    </xf>
    <xf numFmtId="176" fontId="15" fillId="0" borderId="0" xfId="0" applyNumberFormat="1" applyFont="1" applyFill="1"/>
    <xf numFmtId="0" fontId="15" fillId="34" borderId="6" xfId="0" applyFont="1" applyFill="1" applyBorder="1" applyAlignment="1">
      <alignment horizontal="center" vertical="center"/>
    </xf>
    <xf numFmtId="1" fontId="14" fillId="0" borderId="0" xfId="0" applyNumberFormat="1" applyFont="1" applyFill="1" applyBorder="1" applyAlignment="1">
      <alignment vertical="center"/>
    </xf>
    <xf numFmtId="1" fontId="14" fillId="0" borderId="0" xfId="0" applyNumberFormat="1" applyFont="1" applyFill="1" applyBorder="1" applyAlignment="1">
      <alignment horizontal="center" vertical="center"/>
    </xf>
    <xf numFmtId="2" fontId="38" fillId="34" borderId="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3" fillId="0" borderId="0" xfId="0" applyFont="1" applyBorder="1" applyAlignment="1">
      <alignment wrapText="1"/>
    </xf>
    <xf numFmtId="0" fontId="27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0" fontId="40" fillId="34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top" wrapText="1"/>
    </xf>
    <xf numFmtId="0" fontId="15" fillId="0" borderId="34" xfId="0" applyFont="1" applyBorder="1" applyAlignment="1">
      <alignment horizontal="left" vertical="top"/>
    </xf>
    <xf numFmtId="0" fontId="15" fillId="36" borderId="32" xfId="0" applyFont="1" applyFill="1" applyBorder="1" applyAlignment="1">
      <alignment horizontal="left" vertical="top"/>
    </xf>
    <xf numFmtId="0" fontId="15" fillId="0" borderId="32" xfId="0" applyFont="1" applyBorder="1" applyAlignment="1">
      <alignment horizontal="left" vertical="top"/>
    </xf>
    <xf numFmtId="0" fontId="15" fillId="34" borderId="32" xfId="0" applyFont="1" applyFill="1" applyBorder="1" applyAlignment="1">
      <alignment horizontal="left" vertical="top"/>
    </xf>
    <xf numFmtId="0" fontId="15" fillId="0" borderId="32" xfId="0" applyFont="1" applyFill="1" applyBorder="1" applyAlignment="1">
      <alignment horizontal="left" vertical="top"/>
    </xf>
    <xf numFmtId="0" fontId="15" fillId="34" borderId="44" xfId="0" applyFont="1" applyFill="1" applyBorder="1" applyAlignment="1">
      <alignment horizontal="left" vertical="top"/>
    </xf>
    <xf numFmtId="165" fontId="14" fillId="0" borderId="0" xfId="0" applyNumberFormat="1" applyFont="1"/>
    <xf numFmtId="1" fontId="15" fillId="0" borderId="0" xfId="0" applyNumberFormat="1" applyFont="1" applyFill="1"/>
    <xf numFmtId="0" fontId="38" fillId="34" borderId="0" xfId="0" applyFont="1" applyFill="1" applyBorder="1" applyAlignment="1">
      <alignment horizontal="center" vertical="center"/>
    </xf>
    <xf numFmtId="0" fontId="163" fillId="0" borderId="0" xfId="173" applyFont="1" applyAlignment="1" applyProtection="1"/>
    <xf numFmtId="0" fontId="15" fillId="0" borderId="2" xfId="0" quotePrefix="1" applyFont="1" applyBorder="1" applyAlignment="1">
      <alignment horizontal="center" vertical="center" wrapText="1"/>
    </xf>
    <xf numFmtId="172" fontId="109" fillId="34" borderId="0" xfId="0" applyNumberFormat="1" applyFont="1" applyFill="1" applyBorder="1" applyAlignment="1">
      <alignment horizontal="center" vertical="center" wrapText="1"/>
    </xf>
    <xf numFmtId="165" fontId="109" fillId="0" borderId="0" xfId="0" applyNumberFormat="1" applyFont="1" applyFill="1"/>
    <xf numFmtId="1" fontId="109" fillId="34" borderId="0" xfId="0" applyNumberFormat="1" applyFont="1" applyFill="1"/>
    <xf numFmtId="165" fontId="109" fillId="34" borderId="0" xfId="0" applyNumberFormat="1" applyFont="1" applyFill="1"/>
    <xf numFmtId="0" fontId="109" fillId="34" borderId="0" xfId="0" applyFont="1" applyFill="1"/>
    <xf numFmtId="0" fontId="17" fillId="34" borderId="0" xfId="0" applyFont="1" applyFill="1" applyBorder="1" applyAlignment="1">
      <alignment horizontal="left" vertical="center" wrapText="1"/>
    </xf>
    <xf numFmtId="0" fontId="38" fillId="0" borderId="0" xfId="0" applyFont="1" applyFill="1" applyBorder="1" applyAlignment="1">
      <alignment horizontal="center" vertical="center" wrapText="1"/>
    </xf>
    <xf numFmtId="2" fontId="40" fillId="34" borderId="0" xfId="0" applyNumberFormat="1" applyFont="1" applyFill="1" applyBorder="1" applyAlignment="1">
      <alignment horizontal="center" vertical="center" wrapText="1"/>
    </xf>
    <xf numFmtId="0" fontId="152" fillId="0" borderId="0" xfId="0" applyFont="1" applyBorder="1" applyAlignment="1"/>
    <xf numFmtId="0" fontId="145" fillId="2" borderId="0" xfId="0" applyFont="1" applyFill="1" applyBorder="1" applyAlignment="1">
      <alignment wrapText="1"/>
    </xf>
    <xf numFmtId="0" fontId="152" fillId="0" borderId="0" xfId="0" applyFont="1" applyBorder="1" applyAlignment="1">
      <alignment horizontal="left" vertical="center"/>
    </xf>
    <xf numFmtId="0" fontId="152" fillId="2" borderId="0" xfId="0" applyFont="1" applyFill="1" applyBorder="1" applyAlignment="1">
      <alignment horizontal="left" vertical="center"/>
    </xf>
    <xf numFmtId="0" fontId="147" fillId="0" borderId="0" xfId="0" applyFont="1" applyBorder="1" applyAlignment="1">
      <alignment horizontal="left" wrapText="1"/>
    </xf>
    <xf numFmtId="0" fontId="147" fillId="0" borderId="11" xfId="0" applyFont="1" applyBorder="1" applyAlignment="1">
      <alignment horizontal="left" wrapText="1"/>
    </xf>
    <xf numFmtId="0" fontId="146" fillId="2" borderId="0" xfId="0" applyFont="1" applyFill="1" applyBorder="1" applyAlignment="1">
      <alignment horizontal="left"/>
    </xf>
    <xf numFmtId="0" fontId="146" fillId="2" borderId="11" xfId="0" applyFont="1" applyFill="1" applyBorder="1" applyAlignment="1">
      <alignment horizontal="left"/>
    </xf>
    <xf numFmtId="2" fontId="13" fillId="0" borderId="0" xfId="0" applyNumberFormat="1" applyFont="1" applyFill="1" applyBorder="1"/>
    <xf numFmtId="1" fontId="14" fillId="0" borderId="0" xfId="0" applyNumberFormat="1" applyFont="1" applyFill="1" applyBorder="1" applyAlignment="1"/>
    <xf numFmtId="0" fontId="38" fillId="34" borderId="0" xfId="0" applyFont="1" applyFill="1" applyBorder="1" applyAlignment="1">
      <alignment horizontal="center" vertical="center" wrapText="1"/>
    </xf>
    <xf numFmtId="0" fontId="123" fillId="0" borderId="0" xfId="0" applyFont="1" applyFill="1" applyBorder="1" applyAlignment="1">
      <alignment horizontal="center" vertical="center"/>
    </xf>
    <xf numFmtId="1" fontId="14" fillId="0" borderId="0" xfId="0" applyNumberFormat="1" applyFont="1" applyFill="1"/>
    <xf numFmtId="37" fontId="38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37" fontId="38" fillId="34" borderId="0" xfId="0" applyNumberFormat="1" applyFont="1" applyFill="1" applyBorder="1" applyAlignment="1">
      <alignment horizontal="center" vertical="center" wrapText="1"/>
    </xf>
    <xf numFmtId="0" fontId="15" fillId="34" borderId="6" xfId="0" applyFont="1" applyFill="1" applyBorder="1" applyAlignment="1">
      <alignment horizontal="left" vertical="center"/>
    </xf>
    <xf numFmtId="0" fontId="15" fillId="34" borderId="6" xfId="0" applyFont="1" applyFill="1" applyBorder="1" applyAlignment="1">
      <alignment horizontal="right" vertical="center"/>
    </xf>
    <xf numFmtId="0" fontId="15" fillId="34" borderId="0" xfId="0" applyFont="1" applyFill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wrapText="1"/>
    </xf>
    <xf numFmtId="0" fontId="123" fillId="34" borderId="0" xfId="0" applyFont="1" applyFill="1" applyBorder="1" applyAlignment="1">
      <alignment horizontal="left" vertical="center"/>
    </xf>
    <xf numFmtId="0" fontId="123" fillId="0" borderId="0" xfId="0" applyFont="1" applyFill="1" applyBorder="1" applyAlignment="1">
      <alignment horizontal="left" vertical="center"/>
    </xf>
    <xf numFmtId="0" fontId="123" fillId="0" borderId="0" xfId="0" applyFont="1" applyFill="1" applyAlignment="1">
      <alignment horizontal="center" vertical="center"/>
    </xf>
    <xf numFmtId="1" fontId="15" fillId="0" borderId="0" xfId="0" applyNumberFormat="1" applyFont="1" applyFill="1" applyBorder="1"/>
    <xf numFmtId="46" fontId="38" fillId="34" borderId="0" xfId="0" applyNumberFormat="1" applyFont="1" applyFill="1" applyBorder="1" applyAlignment="1">
      <alignment horizontal="center" vertical="center"/>
    </xf>
    <xf numFmtId="46" fontId="38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Alignment="1">
      <alignment vertical="center"/>
    </xf>
    <xf numFmtId="2" fontId="15" fillId="0" borderId="0" xfId="0" applyNumberFormat="1" applyFont="1" applyAlignment="1">
      <alignment vertical="center"/>
    </xf>
    <xf numFmtId="49" fontId="15" fillId="0" borderId="0" xfId="0" applyNumberFormat="1" applyFont="1" applyBorder="1" applyAlignment="1">
      <alignment vertical="center"/>
    </xf>
    <xf numFmtId="2" fontId="15" fillId="0" borderId="0" xfId="0" applyNumberFormat="1" applyFont="1" applyBorder="1" applyAlignment="1">
      <alignment vertical="center"/>
    </xf>
    <xf numFmtId="49" fontId="15" fillId="0" borderId="0" xfId="0" applyNumberFormat="1" applyFont="1" applyFill="1" applyBorder="1" applyAlignment="1">
      <alignment vertical="center"/>
    </xf>
    <xf numFmtId="0" fontId="15" fillId="34" borderId="6" xfId="0" applyFont="1" applyFill="1" applyBorder="1" applyAlignment="1">
      <alignment vertical="center"/>
    </xf>
    <xf numFmtId="0" fontId="145" fillId="0" borderId="0" xfId="0" applyFont="1" applyFill="1" applyBorder="1" applyAlignment="1">
      <alignment wrapText="1"/>
    </xf>
    <xf numFmtId="1" fontId="13" fillId="34" borderId="0" xfId="0" applyNumberFormat="1" applyFont="1" applyFill="1" applyBorder="1" applyAlignment="1">
      <alignment horizontal="right" vertical="center" wrapText="1"/>
    </xf>
    <xf numFmtId="0" fontId="163" fillId="0" borderId="0" xfId="173" applyFont="1" applyFill="1" applyAlignment="1" applyProtection="1"/>
    <xf numFmtId="2" fontId="19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" fontId="17" fillId="0" borderId="0" xfId="0" applyNumberFormat="1" applyFont="1" applyFill="1" applyBorder="1" applyAlignment="1">
      <alignment horizontal="center" vertical="center" wrapText="1"/>
    </xf>
    <xf numFmtId="1" fontId="17" fillId="34" borderId="0" xfId="0" applyNumberFormat="1" applyFont="1" applyFill="1" applyBorder="1" applyAlignment="1">
      <alignment horizontal="center" vertical="center" wrapText="1"/>
    </xf>
    <xf numFmtId="1" fontId="13" fillId="34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0" fontId="38" fillId="34" borderId="0" xfId="0" applyFont="1" applyFill="1" applyBorder="1" applyAlignment="1">
      <alignment horizontal="left" vertical="top" wrapText="1"/>
    </xf>
    <xf numFmtId="0" fontId="38" fillId="35" borderId="0" xfId="0" applyFont="1" applyFill="1" applyBorder="1" applyAlignment="1">
      <alignment horizontal="left" vertical="top" wrapText="1"/>
    </xf>
    <xf numFmtId="1" fontId="38" fillId="34" borderId="0" xfId="0" applyNumberFormat="1" applyFont="1" applyFill="1" applyBorder="1" applyAlignment="1">
      <alignment horizontal="center" vertical="center" wrapText="1"/>
    </xf>
    <xf numFmtId="1" fontId="38" fillId="0" borderId="0" xfId="0" applyNumberFormat="1" applyFont="1" applyFill="1" applyBorder="1" applyAlignment="1">
      <alignment horizontal="center" vertical="center" wrapText="1"/>
    </xf>
    <xf numFmtId="2" fontId="39" fillId="34" borderId="0" xfId="0" applyNumberFormat="1" applyFont="1" applyFill="1" applyBorder="1" applyAlignment="1">
      <alignment horizontal="center" vertical="center" wrapText="1"/>
    </xf>
    <xf numFmtId="1" fontId="39" fillId="34" borderId="0" xfId="0" applyNumberFormat="1" applyFont="1" applyFill="1" applyBorder="1" applyAlignment="1">
      <alignment horizontal="center" vertical="center" wrapText="1"/>
    </xf>
    <xf numFmtId="2" fontId="39" fillId="0" borderId="0" xfId="0" applyNumberFormat="1" applyFont="1" applyFill="1" applyBorder="1" applyAlignment="1">
      <alignment horizontal="center" vertical="center" wrapText="1"/>
    </xf>
    <xf numFmtId="1" fontId="39" fillId="0" borderId="0" xfId="0" applyNumberFormat="1" applyFont="1" applyFill="1" applyBorder="1" applyAlignment="1">
      <alignment horizontal="center" vertical="center" wrapText="1"/>
    </xf>
    <xf numFmtId="4" fontId="38" fillId="34" borderId="0" xfId="0" applyNumberFormat="1" applyFont="1" applyFill="1" applyBorder="1" applyAlignment="1">
      <alignment horizontal="center" vertical="center" wrapText="1"/>
    </xf>
    <xf numFmtId="4" fontId="38" fillId="0" borderId="0" xfId="0" applyNumberFormat="1" applyFont="1" applyFill="1" applyBorder="1" applyAlignment="1">
      <alignment horizontal="center" vertical="center" wrapText="1"/>
    </xf>
    <xf numFmtId="0" fontId="15" fillId="0" borderId="0" xfId="136" applyNumberFormat="1" applyFont="1" applyFill="1" applyBorder="1" applyAlignment="1">
      <alignment horizontal="center" vertical="center"/>
    </xf>
    <xf numFmtId="2" fontId="15" fillId="0" borderId="0" xfId="136" applyNumberFormat="1" applyFont="1" applyFill="1" applyBorder="1" applyAlignment="1">
      <alignment horizontal="center" vertical="center"/>
    </xf>
    <xf numFmtId="0" fontId="15" fillId="34" borderId="0" xfId="0" applyFont="1" applyFill="1" applyBorder="1" applyAlignment="1">
      <alignment vertical="center" wrapText="1"/>
    </xf>
    <xf numFmtId="0" fontId="39" fillId="0" borderId="0" xfId="0" applyFont="1"/>
    <xf numFmtId="0" fontId="15" fillId="0" borderId="0" xfId="0" applyFont="1" applyBorder="1" applyAlignment="1">
      <alignment horizontal="center"/>
    </xf>
    <xf numFmtId="0" fontId="23" fillId="34" borderId="0" xfId="0" applyFont="1" applyFill="1" applyBorder="1" applyAlignment="1">
      <alignment horizontal="center" vertical="center" wrapText="1"/>
    </xf>
    <xf numFmtId="165" fontId="23" fillId="34" borderId="0" xfId="0" applyNumberFormat="1" applyFont="1" applyFill="1" applyBorder="1" applyAlignment="1">
      <alignment horizontal="center" vertical="center" wrapText="1"/>
    </xf>
    <xf numFmtId="3" fontId="38" fillId="0" borderId="0" xfId="0" applyNumberFormat="1" applyFont="1" applyFill="1" applyBorder="1" applyAlignment="1">
      <alignment horizontal="center" vertical="center" wrapText="1"/>
    </xf>
    <xf numFmtId="3" fontId="38" fillId="34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1" fontId="38" fillId="0" borderId="0" xfId="0" applyNumberFormat="1" applyFont="1" applyFill="1" applyBorder="1" applyAlignment="1">
      <alignment horizontal="center" vertical="center"/>
    </xf>
    <xf numFmtId="1" fontId="38" fillId="34" borderId="0" xfId="0" applyNumberFormat="1" applyFont="1" applyFill="1" applyBorder="1" applyAlignment="1">
      <alignment horizontal="center" vertical="center"/>
    </xf>
    <xf numFmtId="2" fontId="40" fillId="34" borderId="6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 wrapText="1"/>
    </xf>
    <xf numFmtId="0" fontId="10" fillId="34" borderId="0" xfId="0" applyFont="1" applyFill="1" applyBorder="1" applyAlignment="1">
      <alignment vertical="center" wrapText="1"/>
    </xf>
    <xf numFmtId="2" fontId="109" fillId="34" borderId="0" xfId="0" applyNumberFormat="1" applyFont="1" applyFill="1" applyBorder="1" applyAlignment="1">
      <alignment horizontal="center" vertical="center"/>
    </xf>
    <xf numFmtId="4" fontId="7" fillId="0" borderId="0" xfId="0" applyNumberFormat="1" applyFont="1" applyFill="1" applyBorder="1"/>
    <xf numFmtId="2" fontId="7" fillId="0" borderId="0" xfId="0" applyNumberFormat="1" applyFont="1" applyFill="1" applyBorder="1"/>
    <xf numFmtId="3" fontId="7" fillId="0" borderId="0" xfId="0" applyNumberFormat="1" applyFont="1" applyFill="1" applyBorder="1"/>
    <xf numFmtId="0" fontId="0" fillId="0" borderId="0" xfId="0" applyFill="1" applyAlignment="1">
      <alignment horizontal="right" wrapText="1"/>
    </xf>
    <xf numFmtId="0" fontId="23" fillId="0" borderId="0" xfId="0" applyFont="1" applyFill="1" applyBorder="1" applyAlignment="1">
      <alignment horizontal="center" vertical="center" wrapText="1"/>
    </xf>
    <xf numFmtId="1" fontId="7" fillId="0" borderId="0" xfId="0" applyNumberFormat="1" applyFont="1"/>
    <xf numFmtId="1" fontId="127" fillId="0" borderId="2" xfId="0" applyNumberFormat="1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27" fillId="0" borderId="0" xfId="0" applyFont="1" applyAlignment="1"/>
    <xf numFmtId="0" fontId="14" fillId="0" borderId="0" xfId="0" applyFont="1" applyBorder="1" applyAlignment="1">
      <alignment horizontal="center"/>
    </xf>
    <xf numFmtId="165" fontId="81" fillId="0" borderId="0" xfId="0" applyNumberFormat="1" applyFont="1"/>
    <xf numFmtId="2" fontId="33" fillId="0" borderId="0" xfId="0" applyNumberFormat="1" applyFont="1"/>
    <xf numFmtId="1" fontId="33" fillId="0" borderId="0" xfId="0" applyNumberFormat="1" applyFont="1" applyBorder="1"/>
    <xf numFmtId="0" fontId="5" fillId="0" borderId="0" xfId="0" applyFont="1" applyFill="1"/>
    <xf numFmtId="0" fontId="7" fillId="0" borderId="0" xfId="0" applyFont="1" applyFill="1" applyAlignment="1">
      <alignment horizontal="center" vertical="center"/>
    </xf>
    <xf numFmtId="49" fontId="33" fillId="0" borderId="0" xfId="0" applyNumberFormat="1" applyFont="1"/>
    <xf numFmtId="1" fontId="33" fillId="0" borderId="0" xfId="0" applyNumberFormat="1" applyFont="1"/>
    <xf numFmtId="167" fontId="14" fillId="0" borderId="0" xfId="0" applyNumberFormat="1" applyFont="1"/>
    <xf numFmtId="0" fontId="81" fillId="0" borderId="0" xfId="0" applyFont="1" applyAlignment="1">
      <alignment horizontal="left" wrapText="1"/>
    </xf>
    <xf numFmtId="0" fontId="13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49" fontId="26" fillId="0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 wrapText="1"/>
    </xf>
    <xf numFmtId="0" fontId="13" fillId="0" borderId="0" xfId="0" applyFont="1" applyFill="1" applyBorder="1" applyAlignment="1">
      <alignment horizontal="left" wrapText="1"/>
    </xf>
    <xf numFmtId="0" fontId="17" fillId="0" borderId="0" xfId="0" applyFont="1" applyFill="1" applyBorder="1" applyAlignment="1">
      <alignment horizontal="left" wrapText="1"/>
    </xf>
    <xf numFmtId="0" fontId="0" fillId="0" borderId="0" xfId="0" applyAlignment="1"/>
    <xf numFmtId="0" fontId="36" fillId="0" borderId="0" xfId="0" applyFont="1" applyBorder="1" applyAlignment="1">
      <alignment horizontal="right" wrapText="1"/>
    </xf>
    <xf numFmtId="0" fontId="19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3" fillId="0" borderId="0" xfId="0" applyFont="1" applyAlignment="1"/>
    <xf numFmtId="0" fontId="3" fillId="0" borderId="0" xfId="196" applyFont="1"/>
    <xf numFmtId="0" fontId="19" fillId="0" borderId="39" xfId="0" applyFont="1" applyBorder="1" applyAlignment="1">
      <alignment horizontal="center" vertical="center" wrapText="1"/>
    </xf>
    <xf numFmtId="0" fontId="109" fillId="0" borderId="47" xfId="0" applyFont="1" applyBorder="1"/>
    <xf numFmtId="2" fontId="109" fillId="0" borderId="47" xfId="0" applyNumberFormat="1" applyFont="1" applyBorder="1" applyAlignment="1">
      <alignment horizontal="center" vertical="center"/>
    </xf>
    <xf numFmtId="0" fontId="19" fillId="34" borderId="6" xfId="0" applyFont="1" applyFill="1" applyBorder="1" applyAlignment="1">
      <alignment horizontal="left" vertical="center" wrapText="1"/>
    </xf>
    <xf numFmtId="0" fontId="13" fillId="34" borderId="6" xfId="0" applyFont="1" applyFill="1" applyBorder="1" applyAlignment="1">
      <alignment horizontal="left" vertical="center" wrapText="1"/>
    </xf>
    <xf numFmtId="0" fontId="16" fillId="0" borderId="36" xfId="0" applyFont="1" applyBorder="1" applyAlignment="1">
      <alignment wrapText="1"/>
    </xf>
    <xf numFmtId="0" fontId="25" fillId="0" borderId="0" xfId="0" applyFont="1" applyBorder="1" applyAlignment="1">
      <alignment wrapText="1"/>
    </xf>
    <xf numFmtId="2" fontId="15" fillId="0" borderId="32" xfId="136" applyNumberFormat="1" applyFont="1" applyBorder="1" applyAlignment="1">
      <alignment horizontal="center" vertical="center"/>
    </xf>
    <xf numFmtId="2" fontId="15" fillId="0" borderId="34" xfId="136" applyNumberFormat="1" applyFont="1" applyBorder="1" applyAlignment="1">
      <alignment horizontal="center" vertical="center"/>
    </xf>
    <xf numFmtId="2" fontId="15" fillId="0" borderId="35" xfId="136" applyNumberFormat="1" applyFont="1" applyBorder="1" applyAlignment="1">
      <alignment horizontal="center" vertical="center"/>
    </xf>
    <xf numFmtId="2" fontId="15" fillId="0" borderId="2" xfId="136" applyNumberFormat="1" applyFont="1" applyBorder="1" applyAlignment="1">
      <alignment horizontal="center" vertical="center"/>
    </xf>
    <xf numFmtId="2" fontId="15" fillId="34" borderId="32" xfId="136" applyNumberFormat="1" applyFont="1" applyFill="1" applyBorder="1" applyAlignment="1">
      <alignment horizontal="center" vertical="center"/>
    </xf>
    <xf numFmtId="2" fontId="15" fillId="34" borderId="33" xfId="136" applyNumberFormat="1" applyFont="1" applyFill="1" applyBorder="1" applyAlignment="1">
      <alignment horizontal="center" vertical="center"/>
    </xf>
    <xf numFmtId="2" fontId="15" fillId="34" borderId="2" xfId="136" applyNumberFormat="1" applyFont="1" applyFill="1" applyBorder="1" applyAlignment="1">
      <alignment horizontal="center" vertical="center"/>
    </xf>
    <xf numFmtId="2" fontId="15" fillId="0" borderId="33" xfId="136" applyNumberFormat="1" applyFont="1" applyBorder="1" applyAlignment="1">
      <alignment horizontal="center" vertical="center"/>
    </xf>
    <xf numFmtId="2" fontId="15" fillId="0" borderId="32" xfId="136" applyNumberFormat="1" applyFont="1" applyFill="1" applyBorder="1" applyAlignment="1">
      <alignment horizontal="center" vertical="center"/>
    </xf>
    <xf numFmtId="2" fontId="15" fillId="0" borderId="33" xfId="136" applyNumberFormat="1" applyFont="1" applyFill="1" applyBorder="1" applyAlignment="1">
      <alignment horizontal="center" vertical="center"/>
    </xf>
    <xf numFmtId="2" fontId="15" fillId="34" borderId="44" xfId="136" applyNumberFormat="1" applyFont="1" applyFill="1" applyBorder="1" applyAlignment="1">
      <alignment horizontal="center" vertical="center"/>
    </xf>
    <xf numFmtId="2" fontId="15" fillId="34" borderId="44" xfId="136" applyNumberFormat="1" applyFont="1" applyFill="1" applyBorder="1" applyAlignment="1">
      <alignment horizontal="center" vertical="top"/>
    </xf>
    <xf numFmtId="2" fontId="15" fillId="34" borderId="45" xfId="136" applyNumberFormat="1" applyFont="1" applyFill="1" applyBorder="1" applyAlignment="1">
      <alignment horizontal="center" vertical="top"/>
    </xf>
    <xf numFmtId="0" fontId="34" fillId="0" borderId="0" xfId="0" applyFont="1" applyBorder="1" applyAlignment="1">
      <alignment horizontal="right"/>
    </xf>
    <xf numFmtId="0" fontId="23" fillId="34" borderId="0" xfId="0" applyFont="1" applyFill="1" applyBorder="1" applyAlignment="1">
      <alignment horizontal="left"/>
    </xf>
    <xf numFmtId="0" fontId="122" fillId="0" borderId="37" xfId="0" applyFont="1" applyBorder="1" applyAlignment="1"/>
    <xf numFmtId="167" fontId="15" fillId="0" borderId="0" xfId="0" applyNumberFormat="1" applyFont="1" applyFill="1" applyBorder="1"/>
    <xf numFmtId="0" fontId="156" fillId="0" borderId="0" xfId="0" applyFont="1" applyAlignment="1">
      <alignment vertical="top" wrapText="1"/>
    </xf>
    <xf numFmtId="178" fontId="15" fillId="0" borderId="0" xfId="0" applyNumberFormat="1" applyFont="1" applyBorder="1"/>
    <xf numFmtId="2" fontId="44" fillId="0" borderId="0" xfId="0" applyNumberFormat="1" applyFont="1" applyBorder="1" applyAlignment="1">
      <alignment wrapText="1"/>
    </xf>
    <xf numFmtId="1" fontId="13" fillId="0" borderId="0" xfId="0" applyNumberFormat="1" applyFont="1" applyBorder="1" applyAlignment="1">
      <alignment wrapText="1"/>
    </xf>
    <xf numFmtId="0" fontId="9" fillId="0" borderId="36" xfId="0" applyFont="1" applyBorder="1" applyAlignment="1">
      <alignment vertical="center"/>
    </xf>
    <xf numFmtId="0" fontId="13" fillId="0" borderId="46" xfId="0" applyFont="1" applyBorder="1" applyAlignment="1">
      <alignment horizontal="center" vertical="center" wrapText="1"/>
    </xf>
    <xf numFmtId="179" fontId="14" fillId="0" borderId="0" xfId="136" applyNumberFormat="1" applyFont="1"/>
    <xf numFmtId="2" fontId="15" fillId="0" borderId="0" xfId="0" applyNumberFormat="1" applyFont="1" applyFill="1" applyBorder="1" applyAlignment="1"/>
    <xf numFmtId="0" fontId="119" fillId="0" borderId="3" xfId="0" applyFont="1" applyBorder="1" applyAlignment="1">
      <alignment horizontal="center" vertical="top" wrapText="1"/>
    </xf>
    <xf numFmtId="0" fontId="122" fillId="0" borderId="2" xfId="0" applyFont="1" applyBorder="1" applyAlignment="1">
      <alignment horizontal="center" vertical="center"/>
    </xf>
    <xf numFmtId="2" fontId="135" fillId="0" borderId="0" xfId="0" applyNumberFormat="1" applyFont="1" applyFill="1" applyBorder="1" applyAlignment="1">
      <alignment horizontal="center" vertical="center"/>
    </xf>
    <xf numFmtId="2" fontId="135" fillId="34" borderId="0" xfId="0" applyNumberFormat="1" applyFont="1" applyFill="1" applyBorder="1" applyAlignment="1">
      <alignment horizontal="center" vertical="center"/>
    </xf>
    <xf numFmtId="0" fontId="173" fillId="34" borderId="0" xfId="0" applyFont="1" applyFill="1" applyBorder="1" applyAlignment="1">
      <alignment horizontal="left" vertical="center" wrapText="1"/>
    </xf>
    <xf numFmtId="0" fontId="135" fillId="0" borderId="0" xfId="0" applyFont="1" applyFill="1" applyBorder="1" applyAlignment="1">
      <alignment horizontal="left" vertical="center" wrapText="1"/>
    </xf>
    <xf numFmtId="0" fontId="135" fillId="34" borderId="0" xfId="0" applyFont="1" applyFill="1" applyBorder="1" applyAlignment="1">
      <alignment horizontal="left" vertical="center" wrapText="1"/>
    </xf>
    <xf numFmtId="0" fontId="173" fillId="34" borderId="0" xfId="0" applyFont="1" applyFill="1" applyBorder="1" applyAlignment="1">
      <alignment horizontal="right" vertical="center" wrapText="1"/>
    </xf>
    <xf numFmtId="0" fontId="135" fillId="0" borderId="0" xfId="0" applyFont="1" applyFill="1" applyBorder="1" applyAlignment="1">
      <alignment horizontal="right" vertical="center" wrapText="1"/>
    </xf>
    <xf numFmtId="0" fontId="135" fillId="34" borderId="0" xfId="0" applyFont="1" applyFill="1" applyBorder="1" applyAlignment="1">
      <alignment horizontal="right" vertical="center" wrapText="1"/>
    </xf>
    <xf numFmtId="0" fontId="173" fillId="0" borderId="0" xfId="0" applyFont="1" applyFill="1" applyBorder="1" applyAlignment="1">
      <alignment horizontal="left" vertical="center" wrapText="1"/>
    </xf>
    <xf numFmtId="0" fontId="173" fillId="0" borderId="0" xfId="0" applyFont="1" applyFill="1" applyBorder="1" applyAlignment="1">
      <alignment horizontal="right" vertical="center" wrapText="1"/>
    </xf>
    <xf numFmtId="0" fontId="176" fillId="0" borderId="3" xfId="0" applyFont="1" applyBorder="1" applyAlignment="1">
      <alignment horizontal="center" vertical="top" wrapText="1"/>
    </xf>
    <xf numFmtId="0" fontId="47" fillId="0" borderId="3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vertical="center"/>
    </xf>
    <xf numFmtId="2" fontId="19" fillId="0" borderId="0" xfId="0" applyNumberFormat="1" applyFont="1" applyBorder="1" applyAlignment="1">
      <alignment wrapText="1"/>
    </xf>
    <xf numFmtId="2" fontId="14" fillId="0" borderId="0" xfId="0" applyNumberFormat="1" applyFont="1" applyBorder="1" applyAlignment="1">
      <alignment horizontal="left"/>
    </xf>
    <xf numFmtId="0" fontId="7" fillId="0" borderId="36" xfId="196" applyFont="1" applyBorder="1" applyAlignment="1">
      <alignment horizontal="left"/>
    </xf>
    <xf numFmtId="0" fontId="7" fillId="0" borderId="36" xfId="196" applyFont="1" applyBorder="1"/>
    <xf numFmtId="0" fontId="9" fillId="0" borderId="36" xfId="0" applyFont="1" applyBorder="1" applyAlignment="1"/>
    <xf numFmtId="0" fontId="16" fillId="0" borderId="0" xfId="0" applyFont="1" applyAlignment="1">
      <alignment wrapText="1"/>
    </xf>
    <xf numFmtId="0" fontId="158" fillId="0" borderId="0" xfId="0" applyFont="1" applyBorder="1" applyAlignment="1">
      <alignment horizontal="center"/>
    </xf>
    <xf numFmtId="165" fontId="5" fillId="0" borderId="0" xfId="0" applyNumberFormat="1" applyFont="1" applyFill="1" applyBorder="1" applyAlignment="1">
      <alignment horizontal="right" wrapText="1"/>
    </xf>
    <xf numFmtId="1" fontId="7" fillId="0" borderId="0" xfId="0" applyNumberFormat="1" applyFont="1" applyBorder="1" applyAlignment="1">
      <alignment horizontal="left"/>
    </xf>
    <xf numFmtId="165" fontId="122" fillId="0" borderId="0" xfId="0" applyNumberFormat="1" applyFont="1" applyFill="1" applyBorder="1" applyAlignment="1">
      <alignment horizontal="center" vertical="center"/>
    </xf>
    <xf numFmtId="165" fontId="123" fillId="34" borderId="0" xfId="0" applyNumberFormat="1" applyFont="1" applyFill="1" applyBorder="1" applyAlignment="1">
      <alignment horizontal="center" vertical="center"/>
    </xf>
    <xf numFmtId="165" fontId="123" fillId="0" borderId="0" xfId="0" applyNumberFormat="1" applyFont="1" applyFill="1" applyBorder="1" applyAlignment="1">
      <alignment horizontal="center" vertical="center"/>
    </xf>
    <xf numFmtId="165" fontId="122" fillId="34" borderId="0" xfId="0" applyNumberFormat="1" applyFont="1" applyFill="1" applyBorder="1" applyAlignment="1">
      <alignment horizontal="center" vertical="center"/>
    </xf>
    <xf numFmtId="1" fontId="109" fillId="34" borderId="0" xfId="0" applyNumberFormat="1" applyFont="1" applyFill="1" applyBorder="1" applyAlignment="1">
      <alignment horizontal="center" vertical="center"/>
    </xf>
    <xf numFmtId="165" fontId="156" fillId="0" borderId="0" xfId="0" applyNumberFormat="1" applyFont="1"/>
    <xf numFmtId="0" fontId="34" fillId="0" borderId="0" xfId="0" applyFont="1" applyBorder="1" applyAlignment="1">
      <alignment horizontal="center" vertical="center" wrapText="1"/>
    </xf>
    <xf numFmtId="171" fontId="15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Alignment="1">
      <alignment vertical="center"/>
    </xf>
    <xf numFmtId="2" fontId="15" fillId="0" borderId="0" xfId="0" applyNumberFormat="1" applyFont="1" applyFill="1" applyAlignment="1">
      <alignment vertical="center"/>
    </xf>
    <xf numFmtId="0" fontId="15" fillId="34" borderId="0" xfId="0" applyNumberFormat="1" applyFont="1" applyFill="1" applyBorder="1" applyAlignment="1">
      <alignment horizontal="left" vertical="center"/>
    </xf>
    <xf numFmtId="49" fontId="112" fillId="0" borderId="0" xfId="0" applyNumberFormat="1" applyFont="1" applyFill="1" applyBorder="1" applyAlignment="1">
      <alignment vertical="center"/>
    </xf>
    <xf numFmtId="49" fontId="112" fillId="0" borderId="0" xfId="0" applyNumberFormat="1" applyFont="1" applyBorder="1" applyAlignment="1">
      <alignment vertical="center"/>
    </xf>
    <xf numFmtId="0" fontId="112" fillId="0" borderId="0" xfId="0" applyFont="1" applyBorder="1" applyAlignment="1">
      <alignment vertical="center"/>
    </xf>
    <xf numFmtId="0" fontId="41" fillId="0" borderId="0" xfId="0" applyFont="1" applyBorder="1" applyAlignment="1"/>
    <xf numFmtId="0" fontId="46" fillId="0" borderId="0" xfId="0" applyFont="1" applyAlignment="1"/>
    <xf numFmtId="0" fontId="23" fillId="0" borderId="0" xfId="0" applyFont="1" applyFill="1" applyBorder="1" applyAlignment="1">
      <alignment horizontal="center" vertical="top"/>
    </xf>
    <xf numFmtId="0" fontId="23" fillId="0" borderId="0" xfId="0" applyFont="1" applyFill="1" applyAlignment="1">
      <alignment horizontal="center"/>
    </xf>
    <xf numFmtId="168" fontId="15" fillId="0" borderId="0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0" fillId="0" borderId="0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/>
    </xf>
    <xf numFmtId="0" fontId="14" fillId="34" borderId="0" xfId="0" applyFont="1" applyFill="1" applyBorder="1" applyAlignment="1">
      <alignment horizontal="left"/>
    </xf>
    <xf numFmtId="0" fontId="14" fillId="34" borderId="0" xfId="0" applyNumberFormat="1" applyFont="1" applyFill="1" applyBorder="1" applyAlignment="1">
      <alignment horizontal="center" vertical="center"/>
    </xf>
    <xf numFmtId="0" fontId="14" fillId="34" borderId="0" xfId="0" applyNumberFormat="1" applyFont="1" applyFill="1" applyBorder="1" applyAlignment="1">
      <alignment horizontal="center" vertical="center" wrapText="1"/>
    </xf>
    <xf numFmtId="168" fontId="14" fillId="0" borderId="0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0" fontId="14" fillId="34" borderId="0" xfId="0" applyFont="1" applyFill="1" applyBorder="1"/>
    <xf numFmtId="0" fontId="14" fillId="34" borderId="0" xfId="0" applyFont="1" applyFill="1" applyBorder="1" applyAlignment="1">
      <alignment vertical="center"/>
    </xf>
    <xf numFmtId="1" fontId="14" fillId="34" borderId="0" xfId="0" applyNumberFormat="1" applyFont="1" applyFill="1" applyBorder="1" applyAlignment="1">
      <alignment horizontal="center" vertical="center"/>
    </xf>
    <xf numFmtId="0" fontId="14" fillId="34" borderId="0" xfId="0" applyFont="1" applyFill="1" applyBorder="1" applyAlignment="1"/>
    <xf numFmtId="0" fontId="14" fillId="34" borderId="0" xfId="0" applyNumberFormat="1" applyFont="1" applyFill="1" applyBorder="1" applyAlignment="1">
      <alignment horizontal="left"/>
    </xf>
    <xf numFmtId="0" fontId="34" fillId="34" borderId="0" xfId="0" applyFont="1" applyFill="1" applyBorder="1"/>
    <xf numFmtId="168" fontId="34" fillId="34" borderId="0" xfId="0" applyNumberFormat="1" applyFont="1" applyFill="1" applyBorder="1" applyAlignment="1">
      <alignment horizontal="center" vertical="center"/>
    </xf>
    <xf numFmtId="168" fontId="14" fillId="34" borderId="0" xfId="0" applyNumberFormat="1" applyFont="1" applyFill="1" applyBorder="1" applyAlignment="1">
      <alignment horizontal="center" vertical="center"/>
    </xf>
    <xf numFmtId="49" fontId="14" fillId="34" borderId="0" xfId="0" applyNumberFormat="1" applyFont="1" applyFill="1" applyBorder="1" applyAlignment="1">
      <alignment horizontal="center" vertical="center"/>
    </xf>
    <xf numFmtId="0" fontId="14" fillId="34" borderId="0" xfId="0" applyFont="1" applyFill="1" applyBorder="1" applyAlignment="1">
      <alignment horizontal="right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left"/>
    </xf>
    <xf numFmtId="174" fontId="14" fillId="0" borderId="0" xfId="0" applyNumberFormat="1" applyFont="1" applyFill="1" applyBorder="1"/>
    <xf numFmtId="175" fontId="7" fillId="0" borderId="0" xfId="0" applyNumberFormat="1" applyFont="1" applyFill="1" applyBorder="1"/>
    <xf numFmtId="0" fontId="178" fillId="0" borderId="0" xfId="0" applyFont="1" applyBorder="1"/>
    <xf numFmtId="3" fontId="8" fillId="0" borderId="0" xfId="234" applyNumberFormat="1" applyFont="1" applyFill="1" applyBorder="1" applyAlignment="1" applyProtection="1">
      <alignment horizontal="right"/>
    </xf>
    <xf numFmtId="3" fontId="8" fillId="0" borderId="0" xfId="234" applyNumberFormat="1" applyFont="1" applyFill="1" applyBorder="1" applyProtection="1"/>
    <xf numFmtId="3" fontId="8" fillId="0" borderId="0" xfId="234" applyNumberFormat="1" applyFont="1" applyFill="1" applyBorder="1" applyProtection="1">
      <protection locked="0"/>
    </xf>
    <xf numFmtId="0" fontId="119" fillId="34" borderId="0" xfId="0" applyFont="1" applyFill="1"/>
    <xf numFmtId="165" fontId="119" fillId="34" borderId="0" xfId="0" applyNumberFormat="1" applyFont="1" applyFill="1"/>
    <xf numFmtId="1" fontId="179" fillId="0" borderId="2" xfId="0" applyNumberFormat="1" applyFont="1" applyFill="1" applyBorder="1" applyAlignment="1">
      <alignment horizontal="center" vertical="center" wrapText="1"/>
    </xf>
    <xf numFmtId="0" fontId="109" fillId="0" borderId="0" xfId="0" applyFont="1" applyFill="1" applyBorder="1"/>
    <xf numFmtId="165" fontId="109" fillId="0" borderId="0" xfId="0" applyNumberFormat="1" applyFont="1" applyFill="1" applyBorder="1"/>
    <xf numFmtId="0" fontId="109" fillId="34" borderId="0" xfId="0" applyFont="1" applyFill="1" applyBorder="1"/>
    <xf numFmtId="165" fontId="109" fillId="34" borderId="0" xfId="0" applyNumberFormat="1" applyFont="1" applyFill="1" applyBorder="1"/>
    <xf numFmtId="0" fontId="129" fillId="0" borderId="0" xfId="0" applyFont="1" applyFill="1" applyBorder="1"/>
    <xf numFmtId="0" fontId="180" fillId="0" borderId="2" xfId="0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165" fontId="109" fillId="0" borderId="0" xfId="0" applyNumberFormat="1" applyFont="1"/>
    <xf numFmtId="1" fontId="33" fillId="0" borderId="0" xfId="0" applyNumberFormat="1" applyFont="1" applyFill="1"/>
    <xf numFmtId="170" fontId="14" fillId="0" borderId="0" xfId="0" applyNumberFormat="1" applyFont="1" applyFill="1" applyBorder="1" applyAlignment="1">
      <alignment horizontal="center" vertical="center"/>
    </xf>
    <xf numFmtId="0" fontId="14" fillId="34" borderId="0" xfId="0" applyFont="1" applyFill="1" applyBorder="1" applyAlignment="1">
      <alignment horizontal="center" vertical="center"/>
    </xf>
    <xf numFmtId="168" fontId="14" fillId="34" borderId="6" xfId="0" applyNumberFormat="1" applyFont="1" applyFill="1" applyBorder="1" applyAlignment="1">
      <alignment horizontal="center" vertical="center"/>
    </xf>
    <xf numFmtId="0" fontId="14" fillId="34" borderId="6" xfId="0" applyFont="1" applyFill="1" applyBorder="1" applyAlignment="1">
      <alignment horizontal="center" vertical="center"/>
    </xf>
    <xf numFmtId="0" fontId="159" fillId="0" borderId="0" xfId="232" applyFont="1" applyAlignment="1">
      <alignment vertical="center"/>
    </xf>
    <xf numFmtId="0" fontId="14" fillId="34" borderId="0" xfId="0" applyFont="1" applyFill="1" applyBorder="1" applyAlignment="1">
      <alignment horizontal="right" vertical="center"/>
    </xf>
    <xf numFmtId="0" fontId="14" fillId="34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right" vertical="center"/>
    </xf>
    <xf numFmtId="0" fontId="14" fillId="0" borderId="0" xfId="0" applyNumberFormat="1" applyFont="1" applyFill="1" applyBorder="1" applyAlignment="1">
      <alignment horizontal="right"/>
    </xf>
    <xf numFmtId="1" fontId="19" fillId="0" borderId="0" xfId="0" applyNumberFormat="1" applyFont="1"/>
    <xf numFmtId="1" fontId="109" fillId="34" borderId="0" xfId="0" applyNumberFormat="1" applyFont="1" applyFill="1" applyBorder="1"/>
    <xf numFmtId="165" fontId="0" fillId="0" borderId="0" xfId="0" applyNumberFormat="1"/>
    <xf numFmtId="165" fontId="5" fillId="0" borderId="0" xfId="0" applyNumberFormat="1" applyFont="1"/>
    <xf numFmtId="2" fontId="13" fillId="0" borderId="0" xfId="0" applyNumberFormat="1" applyFont="1" applyBorder="1"/>
    <xf numFmtId="0" fontId="13" fillId="0" borderId="2" xfId="0" applyFont="1" applyBorder="1" applyAlignment="1">
      <alignment horizontal="center" vertical="center" wrapText="1"/>
    </xf>
    <xf numFmtId="0" fontId="73" fillId="0" borderId="36" xfId="0" applyFont="1" applyBorder="1" applyAlignment="1">
      <alignment horizontal="left"/>
    </xf>
    <xf numFmtId="0" fontId="25" fillId="0" borderId="0" xfId="0" applyFont="1" applyFill="1" applyAlignment="1">
      <alignment vertical="center"/>
    </xf>
    <xf numFmtId="1" fontId="109" fillId="0" borderId="0" xfId="0" applyNumberFormat="1" applyFont="1" applyFill="1" applyBorder="1"/>
    <xf numFmtId="0" fontId="0" fillId="0" borderId="0" xfId="0"/>
    <xf numFmtId="2" fontId="13" fillId="0" borderId="0" xfId="0" applyNumberFormat="1" applyFont="1" applyFill="1" applyBorder="1" applyAlignment="1">
      <alignment horizontal="left" vertical="center"/>
    </xf>
    <xf numFmtId="165" fontId="14" fillId="0" borderId="0" xfId="0" applyNumberFormat="1" applyFont="1" applyBorder="1" applyAlignment="1"/>
    <xf numFmtId="165" fontId="64" fillId="0" borderId="0" xfId="0" applyNumberFormat="1" applyFont="1"/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2" fontId="38" fillId="34" borderId="6" xfId="0" applyNumberFormat="1" applyFont="1" applyFill="1" applyBorder="1" applyAlignment="1">
      <alignment horizontal="center" vertical="center" wrapText="1"/>
    </xf>
    <xf numFmtId="0" fontId="64" fillId="0" borderId="0" xfId="0" applyFont="1" applyBorder="1" applyAlignment="1"/>
    <xf numFmtId="0" fontId="13" fillId="34" borderId="0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/>
    </xf>
    <xf numFmtId="1" fontId="15" fillId="0" borderId="0" xfId="0" applyNumberFormat="1" applyFont="1" applyBorder="1" applyAlignment="1"/>
    <xf numFmtId="165" fontId="129" fillId="0" borderId="0" xfId="0" applyNumberFormat="1" applyFont="1"/>
    <xf numFmtId="165" fontId="156" fillId="0" borderId="0" xfId="0" applyNumberFormat="1" applyFont="1" applyFill="1" applyBorder="1"/>
    <xf numFmtId="0" fontId="13" fillId="0" borderId="0" xfId="0" applyFont="1" applyFill="1" applyBorder="1" applyAlignment="1">
      <alignment horizontal="left" wrapText="1"/>
    </xf>
    <xf numFmtId="165" fontId="181" fillId="0" borderId="0" xfId="0" applyNumberFormat="1" applyFont="1"/>
    <xf numFmtId="0" fontId="181" fillId="0" borderId="0" xfId="0" applyFont="1"/>
    <xf numFmtId="2" fontId="14" fillId="0" borderId="0" xfId="0" applyNumberFormat="1" applyFont="1" applyAlignment="1"/>
    <xf numFmtId="2" fontId="38" fillId="0" borderId="0" xfId="0" applyNumberFormat="1" applyFont="1" applyAlignment="1">
      <alignment horizontal="center" vertical="center" wrapText="1"/>
    </xf>
    <xf numFmtId="2" fontId="38" fillId="0" borderId="0" xfId="0" applyNumberFormat="1" applyFont="1" applyFill="1" applyAlignment="1">
      <alignment horizontal="center" vertical="center" wrapText="1"/>
    </xf>
    <xf numFmtId="0" fontId="40" fillId="34" borderId="0" xfId="0" applyFont="1" applyFill="1" applyBorder="1" applyAlignment="1">
      <alignment horizontal="left" vertical="center" wrapText="1"/>
    </xf>
    <xf numFmtId="0" fontId="8" fillId="0" borderId="0" xfId="0" applyFont="1" applyAlignment="1"/>
    <xf numFmtId="0" fontId="15" fillId="3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4" fillId="0" borderId="0" xfId="0" applyFont="1" applyBorder="1" applyAlignment="1">
      <alignment horizontal="left" vertical="center" wrapText="1"/>
    </xf>
    <xf numFmtId="0" fontId="23" fillId="34" borderId="0" xfId="0" applyFont="1" applyFill="1" applyAlignment="1">
      <alignment horizontal="left" vertical="center"/>
    </xf>
    <xf numFmtId="0" fontId="25" fillId="0" borderId="0" xfId="0" applyFont="1" applyAlignment="1">
      <alignment horizontal="right" vertical="center" wrapText="1"/>
    </xf>
    <xf numFmtId="0" fontId="25" fillId="34" borderId="0" xfId="0" applyFont="1" applyFill="1" applyAlignment="1">
      <alignment horizontal="right" vertical="center"/>
    </xf>
    <xf numFmtId="0" fontId="25" fillId="0" borderId="0" xfId="0" applyFont="1" applyAlignment="1">
      <alignment horizontal="right" vertical="center"/>
    </xf>
    <xf numFmtId="0" fontId="13" fillId="34" borderId="0" xfId="0" applyFont="1" applyFill="1" applyBorder="1" applyAlignment="1">
      <alignment vertical="center" wrapText="1"/>
    </xf>
    <xf numFmtId="2" fontId="40" fillId="0" borderId="0" xfId="0" applyNumberFormat="1" applyFont="1" applyBorder="1" applyAlignment="1">
      <alignment horizontal="center" vertical="center" wrapText="1"/>
    </xf>
    <xf numFmtId="0" fontId="20" fillId="34" borderId="0" xfId="0" applyFont="1" applyFill="1" applyBorder="1" applyAlignment="1">
      <alignment horizontal="left" vertical="center" wrapText="1"/>
    </xf>
    <xf numFmtId="2" fontId="38" fillId="34" borderId="0" xfId="0" applyNumberFormat="1" applyFont="1" applyFill="1" applyAlignment="1">
      <alignment horizontal="center" vertical="center" wrapText="1"/>
    </xf>
    <xf numFmtId="0" fontId="19" fillId="34" borderId="0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82" fillId="2" borderId="0" xfId="0" applyFont="1" applyFill="1" applyBorder="1"/>
    <xf numFmtId="0" fontId="184" fillId="2" borderId="0" xfId="0" applyFont="1" applyFill="1" applyBorder="1"/>
    <xf numFmtId="0" fontId="148" fillId="0" borderId="0" xfId="0" applyFont="1" applyAlignment="1"/>
    <xf numFmtId="0" fontId="144" fillId="0" borderId="0" xfId="0" applyFont="1" applyAlignment="1"/>
    <xf numFmtId="1" fontId="60" fillId="0" borderId="0" xfId="0" applyNumberFormat="1" applyFont="1" applyFill="1" applyBorder="1" applyAlignment="1">
      <alignment vertical="center"/>
    </xf>
    <xf numFmtId="1" fontId="60" fillId="0" borderId="0" xfId="0" applyNumberFormat="1" applyFont="1" applyFill="1" applyBorder="1" applyAlignment="1"/>
    <xf numFmtId="0" fontId="125" fillId="0" borderId="0" xfId="0" applyFont="1"/>
    <xf numFmtId="0" fontId="129" fillId="0" borderId="0" xfId="0" applyFont="1"/>
    <xf numFmtId="2" fontId="13" fillId="34" borderId="0" xfId="0" applyNumberFormat="1" applyFont="1" applyFill="1" applyBorder="1" applyAlignment="1">
      <alignment horizontal="left" vertical="center"/>
    </xf>
    <xf numFmtId="0" fontId="33" fillId="0" borderId="0" xfId="0" applyFont="1" applyBorder="1" applyAlignment="1">
      <alignment vertical="justify" wrapText="1"/>
    </xf>
    <xf numFmtId="165" fontId="123" fillId="0" borderId="0" xfId="0" applyNumberFormat="1" applyFont="1" applyBorder="1" applyAlignment="1">
      <alignment horizontal="center" vertical="center" wrapText="1"/>
    </xf>
    <xf numFmtId="0" fontId="123" fillId="0" borderId="0" xfId="232" applyFont="1" applyFill="1" applyBorder="1" applyAlignment="1">
      <alignment horizontal="left" vertical="center" wrapText="1"/>
    </xf>
    <xf numFmtId="2" fontId="19" fillId="0" borderId="0" xfId="0" applyNumberFormat="1" applyFont="1" applyFill="1" applyBorder="1" applyAlignment="1">
      <alignment horizontal="center" vertical="center" wrapText="1"/>
    </xf>
    <xf numFmtId="2" fontId="19" fillId="34" borderId="0" xfId="0" applyNumberFormat="1" applyFont="1" applyFill="1" applyBorder="1" applyAlignment="1">
      <alignment horizontal="center" vertical="center" wrapText="1"/>
    </xf>
    <xf numFmtId="165" fontId="129" fillId="0" borderId="0" xfId="0" applyNumberFormat="1" applyFont="1" applyFill="1" applyBorder="1"/>
    <xf numFmtId="165" fontId="125" fillId="0" borderId="0" xfId="0" applyNumberFormat="1" applyFont="1" applyFill="1" applyBorder="1"/>
    <xf numFmtId="0" fontId="125" fillId="0" borderId="0" xfId="0" applyFont="1" applyFill="1"/>
    <xf numFmtId="165" fontId="129" fillId="0" borderId="0" xfId="0" applyNumberFormat="1" applyFont="1" applyFill="1"/>
    <xf numFmtId="0" fontId="125" fillId="0" borderId="0" xfId="0" applyFont="1" applyFill="1" applyBorder="1"/>
    <xf numFmtId="0" fontId="129" fillId="0" borderId="0" xfId="0" applyFont="1" applyFill="1"/>
    <xf numFmtId="0" fontId="156" fillId="0" borderId="0" xfId="0" applyFont="1" applyFill="1"/>
    <xf numFmtId="165" fontId="117" fillId="0" borderId="0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left" vertical="center"/>
    </xf>
    <xf numFmtId="165" fontId="15" fillId="0" borderId="0" xfId="0" applyNumberFormat="1" applyFont="1" applyFill="1" applyBorder="1" applyAlignment="1">
      <alignment horizontal="right" vertical="center"/>
    </xf>
    <xf numFmtId="165" fontId="14" fillId="0" borderId="0" xfId="0" applyNumberFormat="1" applyFont="1" applyAlignment="1"/>
    <xf numFmtId="165" fontId="119" fillId="0" borderId="0" xfId="0" applyNumberFormat="1" applyFont="1" applyFill="1" applyBorder="1" applyAlignment="1">
      <alignment horizontal="center" vertical="center"/>
    </xf>
    <xf numFmtId="165" fontId="119" fillId="34" borderId="0" xfId="0" applyNumberFormat="1" applyFont="1" applyFill="1" applyBorder="1" applyAlignment="1">
      <alignment horizontal="center" vertical="center"/>
    </xf>
    <xf numFmtId="1" fontId="119" fillId="34" borderId="0" xfId="0" applyNumberFormat="1" applyFont="1" applyFill="1"/>
    <xf numFmtId="0" fontId="181" fillId="0" borderId="0" xfId="0" applyFont="1" applyFill="1"/>
    <xf numFmtId="165" fontId="181" fillId="0" borderId="0" xfId="0" applyNumberFormat="1" applyFont="1" applyFill="1"/>
    <xf numFmtId="0" fontId="185" fillId="34" borderId="0" xfId="0" applyFont="1" applyFill="1"/>
    <xf numFmtId="165" fontId="109" fillId="0" borderId="0" xfId="0" applyNumberFormat="1" applyFont="1" applyBorder="1" applyAlignment="1">
      <alignment horizontal="center" vertical="center" wrapText="1"/>
    </xf>
    <xf numFmtId="0" fontId="135" fillId="0" borderId="0" xfId="232" applyFont="1" applyBorder="1" applyAlignment="1">
      <alignment horizontal="right" vertical="center" wrapText="1"/>
    </xf>
    <xf numFmtId="0" fontId="135" fillId="0" borderId="0" xfId="232" applyFont="1" applyBorder="1" applyAlignment="1">
      <alignment horizontal="left" vertical="center" wrapText="1"/>
    </xf>
    <xf numFmtId="2" fontId="135" fillId="0" borderId="0" xfId="0" applyNumberFormat="1" applyFont="1" applyBorder="1" applyAlignment="1">
      <alignment horizontal="center" vertical="center"/>
    </xf>
    <xf numFmtId="0" fontId="155" fillId="0" borderId="0" xfId="196" applyFont="1" applyBorder="1" applyAlignment="1">
      <alignment wrapText="1"/>
    </xf>
    <xf numFmtId="0" fontId="122" fillId="0" borderId="0" xfId="232" applyFont="1"/>
    <xf numFmtId="0" fontId="156" fillId="0" borderId="0" xfId="196" applyFont="1"/>
    <xf numFmtId="0" fontId="128" fillId="0" borderId="0" xfId="196" applyFont="1"/>
    <xf numFmtId="0" fontId="3" fillId="0" borderId="36" xfId="196" applyFont="1" applyBorder="1"/>
    <xf numFmtId="0" fontId="119" fillId="0" borderId="2" xfId="196" applyFont="1" applyBorder="1" applyAlignment="1">
      <alignment horizontal="center" vertical="center"/>
    </xf>
    <xf numFmtId="0" fontId="135" fillId="37" borderId="0" xfId="232" applyFont="1" applyFill="1" applyBorder="1" applyAlignment="1">
      <alignment horizontal="left" vertical="center" wrapText="1"/>
    </xf>
    <xf numFmtId="0" fontId="135" fillId="0" borderId="0" xfId="232" applyFont="1" applyFill="1" applyBorder="1" applyAlignment="1">
      <alignment horizontal="left" vertical="center" wrapText="1"/>
    </xf>
    <xf numFmtId="0" fontId="158" fillId="0" borderId="0" xfId="196" applyFont="1" applyBorder="1" applyAlignment="1">
      <alignment horizontal="center"/>
    </xf>
    <xf numFmtId="0" fontId="47" fillId="0" borderId="0" xfId="196" applyFont="1" applyAlignment="1"/>
    <xf numFmtId="0" fontId="123" fillId="0" borderId="0" xfId="196" applyFont="1"/>
    <xf numFmtId="0" fontId="109" fillId="0" borderId="0" xfId="196" applyFont="1"/>
    <xf numFmtId="0" fontId="15" fillId="0" borderId="0" xfId="196" applyFont="1"/>
    <xf numFmtId="0" fontId="109" fillId="0" borderId="0" xfId="196" applyFont="1" applyFill="1" applyBorder="1"/>
    <xf numFmtId="0" fontId="135" fillId="37" borderId="0" xfId="196" applyFont="1" applyFill="1" applyBorder="1" applyAlignment="1">
      <alignment horizontal="left" vertical="center" wrapText="1"/>
    </xf>
    <xf numFmtId="0" fontId="135" fillId="0" borderId="0" xfId="196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65" fontId="126" fillId="37" borderId="0" xfId="196" applyNumberFormat="1" applyFont="1" applyFill="1" applyBorder="1" applyAlignment="1">
      <alignment horizontal="center" vertical="center"/>
    </xf>
    <xf numFmtId="165" fontId="135" fillId="0" borderId="0" xfId="232" applyNumberFormat="1" applyFont="1" applyFill="1" applyBorder="1" applyAlignment="1">
      <alignment horizontal="left" vertical="center" wrapText="1"/>
    </xf>
    <xf numFmtId="165" fontId="135" fillId="37" borderId="0" xfId="232" applyNumberFormat="1" applyFont="1" applyFill="1" applyBorder="1" applyAlignment="1">
      <alignment horizontal="left" vertical="center" wrapText="1"/>
    </xf>
    <xf numFmtId="165" fontId="109" fillId="0" borderId="0" xfId="232" applyNumberFormat="1" applyFont="1" applyFill="1" applyBorder="1" applyAlignment="1">
      <alignment horizontal="right" vertical="center" wrapText="1"/>
    </xf>
    <xf numFmtId="165" fontId="109" fillId="37" borderId="0" xfId="232" applyNumberFormat="1" applyFont="1" applyFill="1" applyBorder="1" applyAlignment="1">
      <alignment horizontal="right" vertical="center" wrapText="1"/>
    </xf>
    <xf numFmtId="0" fontId="109" fillId="37" borderId="0" xfId="232" applyFont="1" applyFill="1" applyBorder="1" applyAlignment="1">
      <alignment horizontal="right" vertical="center" wrapText="1"/>
    </xf>
    <xf numFmtId="0" fontId="109" fillId="0" borderId="0" xfId="232" applyFont="1" applyFill="1" applyBorder="1" applyAlignment="1">
      <alignment horizontal="right" vertical="center" wrapText="1"/>
    </xf>
    <xf numFmtId="0" fontId="109" fillId="37" borderId="0" xfId="196" applyFont="1" applyFill="1" applyBorder="1" applyAlignment="1">
      <alignment horizontal="right" vertical="center" wrapText="1"/>
    </xf>
    <xf numFmtId="0" fontId="109" fillId="0" borderId="0" xfId="196" applyFont="1" applyFill="1" applyBorder="1" applyAlignment="1">
      <alignment horizontal="right" vertical="center" wrapText="1"/>
    </xf>
    <xf numFmtId="0" fontId="123" fillId="34" borderId="0" xfId="232" applyFont="1" applyFill="1" applyBorder="1" applyAlignment="1">
      <alignment horizontal="left" vertical="center" wrapText="1"/>
    </xf>
    <xf numFmtId="165" fontId="123" fillId="34" borderId="0" xfId="0" applyNumberFormat="1" applyFont="1" applyFill="1" applyBorder="1" applyAlignment="1">
      <alignment horizontal="center" vertical="center" wrapText="1"/>
    </xf>
    <xf numFmtId="0" fontId="135" fillId="34" borderId="0" xfId="232" applyFont="1" applyFill="1" applyBorder="1" applyAlignment="1">
      <alignment horizontal="left" vertical="center" wrapText="1"/>
    </xf>
    <xf numFmtId="0" fontId="135" fillId="34" borderId="0" xfId="232" applyFont="1" applyFill="1" applyBorder="1" applyAlignment="1">
      <alignment horizontal="right" vertical="center" wrapText="1"/>
    </xf>
    <xf numFmtId="0" fontId="119" fillId="0" borderId="0" xfId="0" applyFont="1" applyFill="1" applyBorder="1"/>
    <xf numFmtId="0" fontId="188" fillId="0" borderId="0" xfId="0" applyFont="1"/>
    <xf numFmtId="0" fontId="186" fillId="0" borderId="0" xfId="0" applyFont="1" applyFill="1"/>
    <xf numFmtId="1" fontId="15" fillId="34" borderId="0" xfId="0" applyNumberFormat="1" applyFont="1" applyFill="1" applyBorder="1" applyAlignment="1">
      <alignment horizontal="left" wrapText="1"/>
    </xf>
    <xf numFmtId="1" fontId="15" fillId="34" borderId="0" xfId="0" applyNumberFormat="1" applyFont="1" applyFill="1" applyBorder="1" applyAlignment="1">
      <alignment horizontal="right" wrapText="1"/>
    </xf>
    <xf numFmtId="0" fontId="122" fillId="0" borderId="48" xfId="0" applyNumberFormat="1" applyFont="1" applyBorder="1" applyAlignment="1"/>
    <xf numFmtId="2" fontId="109" fillId="0" borderId="48" xfId="0" applyNumberFormat="1" applyFont="1" applyBorder="1" applyAlignment="1">
      <alignment horizontal="center" vertical="center"/>
    </xf>
    <xf numFmtId="2" fontId="109" fillId="0" borderId="49" xfId="0" applyNumberFormat="1" applyFont="1" applyBorder="1" applyAlignment="1">
      <alignment horizontal="center" vertical="center"/>
    </xf>
    <xf numFmtId="0" fontId="122" fillId="0" borderId="0" xfId="0" applyNumberFormat="1" applyFont="1" applyBorder="1" applyAlignment="1"/>
    <xf numFmtId="2" fontId="109" fillId="0" borderId="0" xfId="0" applyNumberFormat="1" applyFont="1" applyBorder="1" applyAlignment="1">
      <alignment horizontal="center" vertical="center"/>
    </xf>
    <xf numFmtId="167" fontId="13" fillId="0" borderId="0" xfId="0" applyNumberFormat="1" applyFont="1" applyBorder="1" applyAlignment="1">
      <alignment wrapText="1"/>
    </xf>
    <xf numFmtId="0" fontId="23" fillId="34" borderId="0" xfId="0" applyFont="1" applyFill="1" applyBorder="1" applyAlignment="1"/>
    <xf numFmtId="165" fontId="38" fillId="0" borderId="0" xfId="0" applyNumberFormat="1" applyFont="1" applyFill="1" applyBorder="1"/>
    <xf numFmtId="0" fontId="146" fillId="0" borderId="11" xfId="0" applyFont="1" applyBorder="1" applyAlignment="1"/>
    <xf numFmtId="165" fontId="81" fillId="0" borderId="0" xfId="0" applyNumberFormat="1" applyFont="1" applyAlignment="1">
      <alignment horizontal="left" wrapText="1"/>
    </xf>
    <xf numFmtId="0" fontId="64" fillId="0" borderId="0" xfId="0" applyFont="1" applyFill="1" applyBorder="1"/>
    <xf numFmtId="0" fontId="64" fillId="0" borderId="0" xfId="0" applyFont="1" applyAlignment="1">
      <alignment horizontal="left" vertical="center"/>
    </xf>
    <xf numFmtId="0" fontId="129" fillId="0" borderId="0" xfId="0" applyFont="1" applyFill="1" applyBorder="1" applyAlignment="1">
      <alignment vertical="center"/>
    </xf>
    <xf numFmtId="0" fontId="129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" fontId="33" fillId="0" borderId="0" xfId="0" applyNumberFormat="1" applyFont="1" applyBorder="1" applyAlignment="1">
      <alignment horizontal="center"/>
    </xf>
    <xf numFmtId="1" fontId="64" fillId="0" borderId="0" xfId="0" applyNumberFormat="1" applyFont="1"/>
    <xf numFmtId="1" fontId="181" fillId="0" borderId="0" xfId="0" applyNumberFormat="1" applyFont="1"/>
    <xf numFmtId="1" fontId="0" fillId="0" borderId="0" xfId="0" applyNumberFormat="1"/>
    <xf numFmtId="165" fontId="190" fillId="0" borderId="0" xfId="0" applyNumberFormat="1" applyFont="1"/>
    <xf numFmtId="165" fontId="188" fillId="0" borderId="0" xfId="0" applyNumberFormat="1" applyFont="1"/>
    <xf numFmtId="1" fontId="188" fillId="0" borderId="0" xfId="0" applyNumberFormat="1" applyFont="1"/>
    <xf numFmtId="0" fontId="40" fillId="0" borderId="2" xfId="0" applyFont="1" applyBorder="1" applyAlignment="1">
      <alignment horizontal="center" vertical="center" wrapText="1"/>
    </xf>
    <xf numFmtId="4" fontId="109" fillId="38" borderId="0" xfId="0" applyNumberFormat="1" applyFont="1" applyFill="1" applyBorder="1" applyAlignment="1">
      <alignment horizontal="center" vertical="center" wrapText="1"/>
    </xf>
    <xf numFmtId="180" fontId="33" fillId="0" borderId="0" xfId="0" applyNumberFormat="1" applyFont="1" applyBorder="1"/>
    <xf numFmtId="0" fontId="14" fillId="0" borderId="0" xfId="0" applyFont="1" applyFill="1" applyBorder="1" applyAlignment="1">
      <alignment horizontal="left"/>
    </xf>
    <xf numFmtId="1" fontId="0" fillId="0" borderId="0" xfId="0" applyNumberFormat="1" applyFill="1"/>
    <xf numFmtId="1" fontId="181" fillId="0" borderId="0" xfId="0" applyNumberFormat="1" applyFont="1" applyFill="1"/>
    <xf numFmtId="4" fontId="109" fillId="34" borderId="0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left"/>
    </xf>
    <xf numFmtId="0" fontId="16" fillId="0" borderId="36" xfId="0" applyFont="1" applyBorder="1" applyAlignment="1"/>
    <xf numFmtId="4" fontId="109" fillId="0" borderId="0" xfId="0" applyNumberFormat="1" applyFont="1" applyFill="1" applyBorder="1" applyAlignment="1">
      <alignment horizontal="center" vertical="center" wrapText="1"/>
    </xf>
    <xf numFmtId="2" fontId="13" fillId="0" borderId="0" xfId="0" applyNumberFormat="1" applyFont="1"/>
    <xf numFmtId="0" fontId="13" fillId="0" borderId="0" xfId="0" applyFont="1" applyAlignment="1">
      <alignment horizontal="left" wrapText="1"/>
    </xf>
    <xf numFmtId="0" fontId="15" fillId="34" borderId="6" xfId="0" applyFont="1" applyFill="1" applyBorder="1" applyAlignment="1">
      <alignment horizontal="left"/>
    </xf>
    <xf numFmtId="0" fontId="40" fillId="0" borderId="0" xfId="0" applyFont="1" applyFill="1" applyBorder="1" applyAlignment="1">
      <alignment horizontal="left" vertical="top"/>
    </xf>
    <xf numFmtId="165" fontId="15" fillId="0" borderId="0" xfId="0" applyNumberFormat="1" applyFont="1" applyFill="1" applyAlignment="1"/>
    <xf numFmtId="165" fontId="33" fillId="0" borderId="0" xfId="0" applyNumberFormat="1" applyFont="1" applyFill="1"/>
    <xf numFmtId="0" fontId="19" fillId="0" borderId="0" xfId="0" applyFont="1" applyFill="1" applyBorder="1" applyAlignment="1">
      <alignment horizontal="center"/>
    </xf>
    <xf numFmtId="168" fontId="15" fillId="0" borderId="0" xfId="0" applyNumberFormat="1" applyFont="1"/>
    <xf numFmtId="2" fontId="38" fillId="0" borderId="0" xfId="0" applyNumberFormat="1" applyFont="1" applyFill="1" applyBorder="1" applyAlignment="1">
      <alignment horizontal="left"/>
    </xf>
    <xf numFmtId="0" fontId="0" fillId="0" borderId="0" xfId="0" applyAlignment="1"/>
    <xf numFmtId="0" fontId="38" fillId="0" borderId="0" xfId="0" applyFont="1" applyFill="1" applyBorder="1" applyAlignment="1">
      <alignment horizontal="left" wrapText="1"/>
    </xf>
    <xf numFmtId="0" fontId="38" fillId="34" borderId="0" xfId="0" applyFont="1" applyFill="1" applyBorder="1" applyAlignment="1">
      <alignment horizontal="left" wrapText="1"/>
    </xf>
    <xf numFmtId="0" fontId="39" fillId="0" borderId="0" xfId="0" applyFont="1" applyFill="1" applyBorder="1" applyAlignment="1">
      <alignment horizontal="left" wrapText="1"/>
    </xf>
    <xf numFmtId="0" fontId="39" fillId="34" borderId="0" xfId="0" applyFont="1" applyFill="1" applyBorder="1" applyAlignment="1">
      <alignment horizontal="left" wrapText="1"/>
    </xf>
    <xf numFmtId="0" fontId="41" fillId="0" borderId="0" xfId="0" applyFont="1" applyBorder="1" applyAlignment="1">
      <alignment horizontal="right"/>
    </xf>
    <xf numFmtId="0" fontId="119" fillId="0" borderId="53" xfId="196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109" fillId="0" borderId="0" xfId="0" applyFont="1" applyFill="1" applyBorder="1" applyAlignment="1">
      <alignment vertical="center"/>
    </xf>
    <xf numFmtId="0" fontId="15" fillId="34" borderId="0" xfId="0" applyFont="1" applyFill="1" applyBorder="1" applyAlignment="1">
      <alignment vertical="top" wrapText="1"/>
    </xf>
    <xf numFmtId="0" fontId="21" fillId="0" borderId="0" xfId="196" applyFont="1" applyBorder="1" applyAlignment="1">
      <alignment horizontal="left"/>
    </xf>
    <xf numFmtId="0" fontId="32" fillId="0" borderId="0" xfId="196" applyFont="1" applyBorder="1"/>
    <xf numFmtId="0" fontId="7" fillId="0" borderId="0" xfId="196" applyFont="1" applyAlignment="1"/>
    <xf numFmtId="0" fontId="7" fillId="0" borderId="0" xfId="196" applyFont="1" applyAlignment="1">
      <alignment horizontal="left"/>
    </xf>
    <xf numFmtId="0" fontId="7" fillId="0" borderId="0" xfId="196" applyFont="1"/>
    <xf numFmtId="0" fontId="15" fillId="0" borderId="2" xfId="196" applyFont="1" applyBorder="1" applyAlignment="1">
      <alignment horizontal="center"/>
    </xf>
    <xf numFmtId="0" fontId="15" fillId="0" borderId="0" xfId="196" applyFont="1" applyBorder="1" applyAlignment="1">
      <alignment horizontal="center" vertical="center"/>
    </xf>
    <xf numFmtId="2" fontId="15" fillId="0" borderId="0" xfId="196" applyNumberFormat="1" applyFont="1" applyBorder="1" applyAlignment="1">
      <alignment horizontal="center" vertical="center"/>
    </xf>
    <xf numFmtId="0" fontId="15" fillId="34" borderId="0" xfId="196" applyFont="1" applyFill="1" applyBorder="1" applyAlignment="1">
      <alignment vertical="center"/>
    </xf>
    <xf numFmtId="0" fontId="15" fillId="34" borderId="0" xfId="196" applyFont="1" applyFill="1" applyBorder="1" applyAlignment="1">
      <alignment horizontal="center" vertical="center"/>
    </xf>
    <xf numFmtId="2" fontId="15" fillId="34" borderId="0" xfId="196" applyNumberFormat="1" applyFont="1" applyFill="1" applyBorder="1" applyAlignment="1">
      <alignment horizontal="center" vertical="center"/>
    </xf>
    <xf numFmtId="165" fontId="15" fillId="34" borderId="0" xfId="196" applyNumberFormat="1" applyFont="1" applyFill="1" applyBorder="1" applyAlignment="1">
      <alignment horizontal="center" vertical="center"/>
    </xf>
    <xf numFmtId="167" fontId="15" fillId="34" borderId="0" xfId="196" applyNumberFormat="1" applyFont="1" applyFill="1" applyBorder="1" applyAlignment="1">
      <alignment horizontal="center" vertical="center"/>
    </xf>
    <xf numFmtId="0" fontId="15" fillId="0" borderId="0" xfId="196" applyFont="1" applyFill="1" applyBorder="1" applyAlignment="1">
      <alignment vertical="center"/>
    </xf>
    <xf numFmtId="0" fontId="15" fillId="0" borderId="0" xfId="196" applyFont="1" applyFill="1" applyBorder="1" applyAlignment="1">
      <alignment horizontal="center" vertical="center"/>
    </xf>
    <xf numFmtId="2" fontId="15" fillId="0" borderId="0" xfId="196" applyNumberFormat="1" applyFont="1" applyFill="1" applyBorder="1" applyAlignment="1">
      <alignment horizontal="center" vertical="center"/>
    </xf>
    <xf numFmtId="165" fontId="15" fillId="0" borderId="0" xfId="196" applyNumberFormat="1" applyFont="1" applyFill="1" applyBorder="1" applyAlignment="1">
      <alignment horizontal="center" vertical="center"/>
    </xf>
    <xf numFmtId="167" fontId="15" fillId="0" borderId="0" xfId="196" applyNumberFormat="1" applyFont="1" applyFill="1" applyBorder="1" applyAlignment="1">
      <alignment horizontal="center" vertical="center"/>
    </xf>
    <xf numFmtId="0" fontId="23" fillId="34" borderId="0" xfId="196" applyFont="1" applyFill="1" applyBorder="1" applyAlignment="1">
      <alignment vertical="center"/>
    </xf>
    <xf numFmtId="0" fontId="23" fillId="0" borderId="0" xfId="196" applyFont="1" applyFill="1" applyBorder="1" applyAlignment="1">
      <alignment vertical="center"/>
    </xf>
    <xf numFmtId="0" fontId="33" fillId="0" borderId="0" xfId="196" applyFont="1" applyBorder="1" applyAlignment="1">
      <alignment vertical="center" wrapText="1"/>
    </xf>
    <xf numFmtId="0" fontId="33" fillId="0" borderId="0" xfId="196" applyFont="1"/>
    <xf numFmtId="0" fontId="33" fillId="0" borderId="0" xfId="196" applyFont="1" applyAlignment="1">
      <alignment horizontal="center"/>
    </xf>
    <xf numFmtId="49" fontId="33" fillId="0" borderId="0" xfId="196" applyNumberFormat="1" applyFont="1" applyAlignment="1">
      <alignment vertical="center"/>
    </xf>
    <xf numFmtId="165" fontId="33" fillId="0" borderId="0" xfId="196" applyNumberFormat="1" applyFont="1" applyBorder="1" applyAlignment="1">
      <alignment horizontal="left" wrapText="1"/>
    </xf>
    <xf numFmtId="166" fontId="33" fillId="0" borderId="0" xfId="196" applyNumberFormat="1" applyFont="1" applyAlignment="1">
      <alignment horizontal="center"/>
    </xf>
    <xf numFmtId="2" fontId="33" fillId="0" borderId="0" xfId="196" applyNumberFormat="1" applyFont="1" applyAlignment="1">
      <alignment vertical="center"/>
    </xf>
    <xf numFmtId="165" fontId="33" fillId="0" borderId="0" xfId="196" applyNumberFormat="1" applyFont="1" applyAlignment="1">
      <alignment vertical="center"/>
    </xf>
    <xf numFmtId="0" fontId="33" fillId="0" borderId="0" xfId="196" applyFont="1" applyBorder="1" applyAlignment="1">
      <alignment wrapText="1"/>
    </xf>
    <xf numFmtId="0" fontId="8" fillId="0" borderId="0" xfId="196" applyFont="1"/>
    <xf numFmtId="0" fontId="48" fillId="0" borderId="0" xfId="196" applyFont="1" applyBorder="1" applyAlignment="1">
      <alignment wrapText="1"/>
    </xf>
    <xf numFmtId="0" fontId="33" fillId="0" borderId="0" xfId="196" applyFont="1" applyFill="1"/>
    <xf numFmtId="0" fontId="48" fillId="0" borderId="0" xfId="196" applyFont="1" applyBorder="1" applyAlignment="1">
      <alignment horizontal="center" wrapText="1"/>
    </xf>
    <xf numFmtId="165" fontId="33" fillId="0" borderId="0" xfId="196" applyNumberFormat="1" applyFont="1"/>
    <xf numFmtId="2" fontId="33" fillId="0" borderId="0" xfId="196" applyNumberFormat="1" applyFont="1"/>
    <xf numFmtId="165" fontId="8" fillId="0" borderId="0" xfId="196" applyNumberFormat="1" applyFont="1"/>
    <xf numFmtId="166" fontId="29" fillId="0" borderId="0" xfId="196" applyNumberFormat="1" applyFont="1"/>
    <xf numFmtId="2" fontId="15" fillId="0" borderId="0" xfId="196" applyNumberFormat="1" applyFont="1" applyBorder="1"/>
    <xf numFmtId="0" fontId="15" fillId="0" borderId="0" xfId="196" applyFont="1" applyBorder="1"/>
    <xf numFmtId="165" fontId="15" fillId="0" borderId="0" xfId="196" applyNumberFormat="1" applyFont="1" applyBorder="1"/>
    <xf numFmtId="1" fontId="23" fillId="0" borderId="0" xfId="136" applyNumberFormat="1" applyFont="1" applyFill="1" applyBorder="1" applyAlignment="1">
      <alignment horizontal="center" vertical="center"/>
    </xf>
    <xf numFmtId="0" fontId="122" fillId="34" borderId="0" xfId="0" applyFont="1" applyFill="1" applyBorder="1" applyAlignment="1">
      <alignment horizontal="left" vertical="top"/>
    </xf>
    <xf numFmtId="0" fontId="15" fillId="0" borderId="0" xfId="0" applyFont="1" applyFill="1" applyAlignment="1">
      <alignment vertical="top"/>
    </xf>
    <xf numFmtId="0" fontId="25" fillId="0" borderId="0" xfId="0" applyFont="1" applyAlignment="1"/>
    <xf numFmtId="165" fontId="15" fillId="0" borderId="0" xfId="0" applyNumberFormat="1" applyFont="1" applyFill="1" applyBorder="1" applyAlignment="1">
      <alignment vertical="center"/>
    </xf>
    <xf numFmtId="1" fontId="29" fillId="0" borderId="0" xfId="0" applyNumberFormat="1" applyFont="1" applyFill="1" applyBorder="1" applyAlignment="1">
      <alignment horizontal="center"/>
    </xf>
    <xf numFmtId="0" fontId="135" fillId="0" borderId="0" xfId="232" applyFont="1" applyFill="1" applyBorder="1" applyAlignment="1">
      <alignment horizontal="right" vertical="center" wrapText="1"/>
    </xf>
    <xf numFmtId="2" fontId="15" fillId="35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/>
    <xf numFmtId="165" fontId="60" fillId="0" borderId="0" xfId="0" applyNumberFormat="1" applyFont="1" applyFill="1" applyBorder="1" applyAlignment="1">
      <alignment horizontal="center" vertical="center"/>
    </xf>
    <xf numFmtId="0" fontId="186" fillId="34" borderId="0" xfId="0" applyFont="1" applyFill="1"/>
    <xf numFmtId="1" fontId="0" fillId="0" borderId="0" xfId="0" applyNumberFormat="1" applyFill="1" applyBorder="1"/>
    <xf numFmtId="0" fontId="119" fillId="34" borderId="0" xfId="0" applyFont="1" applyFill="1" applyBorder="1"/>
    <xf numFmtId="2" fontId="23" fillId="0" borderId="0" xfId="0" applyNumberFormat="1" applyFont="1" applyFill="1" applyBorder="1" applyAlignment="1">
      <alignment horizontal="center" vertical="top"/>
    </xf>
    <xf numFmtId="0" fontId="0" fillId="0" borderId="0" xfId="0" applyAlignment="1"/>
    <xf numFmtId="0" fontId="16" fillId="34" borderId="0" xfId="0" applyFont="1" applyFill="1" applyBorder="1" applyAlignment="1">
      <alignment vertical="top" wrapText="1"/>
    </xf>
    <xf numFmtId="2" fontId="123" fillId="34" borderId="0" xfId="0" applyNumberFormat="1" applyFont="1" applyFill="1" applyBorder="1" applyAlignment="1">
      <alignment horizontal="center"/>
    </xf>
    <xf numFmtId="2" fontId="123" fillId="34" borderId="0" xfId="0" applyNumberFormat="1" applyFont="1" applyFill="1" applyBorder="1" applyAlignment="1">
      <alignment horizontal="center" vertical="center"/>
    </xf>
    <xf numFmtId="0" fontId="123" fillId="34" borderId="0" xfId="0" applyFont="1" applyFill="1" applyBorder="1" applyAlignment="1">
      <alignment horizontal="center"/>
    </xf>
    <xf numFmtId="2" fontId="16" fillId="34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Alignment="1"/>
    <xf numFmtId="165" fontId="32" fillId="0" borderId="0" xfId="0" applyNumberFormat="1" applyFont="1" applyFill="1"/>
    <xf numFmtId="0" fontId="15" fillId="34" borderId="0" xfId="0" applyFont="1" applyFill="1" applyBorder="1" applyAlignment="1">
      <alignment horizontal="right" vertical="top" wrapText="1"/>
    </xf>
    <xf numFmtId="1" fontId="109" fillId="0" borderId="0" xfId="0" applyNumberFormat="1" applyFont="1" applyFill="1" applyBorder="1" applyAlignment="1">
      <alignment horizontal="center" vertical="center"/>
    </xf>
    <xf numFmtId="0" fontId="109" fillId="34" borderId="0" xfId="0" applyFont="1" applyFill="1" applyBorder="1" applyAlignment="1">
      <alignment vertical="center"/>
    </xf>
    <xf numFmtId="0" fontId="109" fillId="34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right" vertical="top" wrapText="1"/>
    </xf>
    <xf numFmtId="2" fontId="14" fillId="0" borderId="0" xfId="0" applyNumberFormat="1" applyFont="1" applyFill="1" applyBorder="1"/>
    <xf numFmtId="0" fontId="13" fillId="0" borderId="0" xfId="0" applyFont="1" applyFill="1" applyBorder="1" applyAlignment="1">
      <alignment horizontal="left" vertical="center" wrapText="1"/>
    </xf>
    <xf numFmtId="0" fontId="40" fillId="0" borderId="3" xfId="0" applyFont="1" applyBorder="1" applyAlignment="1">
      <alignment horizontal="center" vertical="center" wrapText="1"/>
    </xf>
    <xf numFmtId="2" fontId="13" fillId="0" borderId="0" xfId="0" applyNumberFormat="1" applyFont="1" applyFill="1" applyBorder="1" applyAlignment="1">
      <alignment horizontal="left" vertical="center" wrapText="1"/>
    </xf>
    <xf numFmtId="0" fontId="109" fillId="0" borderId="0" xfId="0" applyFont="1" applyFill="1" applyBorder="1" applyAlignment="1"/>
    <xf numFmtId="0" fontId="133" fillId="0" borderId="0" xfId="0" applyFont="1" applyFill="1" applyBorder="1" applyAlignment="1">
      <alignment horizontal="center"/>
    </xf>
    <xf numFmtId="0" fontId="154" fillId="2" borderId="10" xfId="0" applyFont="1" applyFill="1" applyBorder="1" applyAlignment="1"/>
    <xf numFmtId="0" fontId="154" fillId="2" borderId="0" xfId="0" applyFont="1" applyFill="1" applyBorder="1" applyAlignment="1"/>
    <xf numFmtId="0" fontId="154" fillId="2" borderId="11" xfId="0" applyFont="1" applyFill="1" applyBorder="1" applyAlignment="1"/>
    <xf numFmtId="0" fontId="59" fillId="0" borderId="0" xfId="0" applyFont="1" applyBorder="1" applyAlignment="1">
      <alignment horizontal="right" wrapText="1"/>
    </xf>
    <xf numFmtId="0" fontId="18" fillId="0" borderId="0" xfId="0" applyFont="1" applyBorder="1" applyAlignment="1"/>
    <xf numFmtId="0" fontId="59" fillId="0" borderId="0" xfId="0" applyFont="1" applyBorder="1" applyAlignment="1">
      <alignment horizontal="right"/>
    </xf>
    <xf numFmtId="0" fontId="59" fillId="0" borderId="0" xfId="0" applyFont="1" applyBorder="1" applyAlignment="1">
      <alignment horizontal="left"/>
    </xf>
    <xf numFmtId="1" fontId="18" fillId="0" borderId="0" xfId="0" applyNumberFormat="1" applyFont="1" applyBorder="1" applyAlignment="1"/>
    <xf numFmtId="1" fontId="14" fillId="0" borderId="0" xfId="0" applyNumberFormat="1" applyFont="1" applyAlignment="1"/>
    <xf numFmtId="166" fontId="14" fillId="0" borderId="0" xfId="0" applyNumberFormat="1" applyFont="1" applyAlignment="1"/>
    <xf numFmtId="180" fontId="33" fillId="0" borderId="0" xfId="0" applyNumberFormat="1" applyFont="1" applyBorder="1" applyAlignment="1"/>
    <xf numFmtId="177" fontId="14" fillId="0" borderId="0" xfId="0" applyNumberFormat="1" applyFont="1" applyAlignment="1"/>
    <xf numFmtId="177" fontId="19" fillId="0" borderId="0" xfId="0" applyNumberFormat="1" applyFont="1" applyAlignment="1"/>
    <xf numFmtId="0" fontId="15" fillId="0" borderId="0" xfId="0" applyFont="1" applyBorder="1" applyAlignment="1">
      <alignment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0" fillId="0" borderId="0" xfId="0"/>
    <xf numFmtId="0" fontId="16" fillId="0" borderId="56" xfId="0" applyFont="1" applyBorder="1" applyAlignment="1">
      <alignment horizontal="center" vertical="center" wrapText="1"/>
    </xf>
    <xf numFmtId="0" fontId="122" fillId="0" borderId="53" xfId="0" applyFont="1" applyBorder="1" applyAlignment="1">
      <alignment horizontal="center" vertical="center"/>
    </xf>
    <xf numFmtId="0" fontId="0" fillId="35" borderId="0" xfId="0" applyFill="1" applyBorder="1"/>
    <xf numFmtId="0" fontId="13" fillId="0" borderId="2" xfId="0" applyFont="1" applyFill="1" applyBorder="1" applyAlignment="1">
      <alignment horizontal="center" vertical="center" wrapText="1"/>
    </xf>
    <xf numFmtId="0" fontId="41" fillId="0" borderId="0" xfId="0" applyFont="1" applyFill="1" applyBorder="1" applyAlignment="1"/>
    <xf numFmtId="0" fontId="46" fillId="0" borderId="0" xfId="0" applyFont="1" applyFill="1" applyAlignment="1"/>
    <xf numFmtId="0" fontId="27" fillId="0" borderId="0" xfId="0" applyFont="1" applyFill="1" applyBorder="1" applyAlignment="1">
      <alignment horizontal="center"/>
    </xf>
    <xf numFmtId="49" fontId="29" fillId="0" borderId="0" xfId="0" applyNumberFormat="1" applyFont="1" applyFill="1" applyAlignment="1">
      <alignment horizontal="left"/>
    </xf>
    <xf numFmtId="0" fontId="15" fillId="0" borderId="2" xfId="0" applyFont="1" applyFill="1" applyBorder="1" applyAlignment="1">
      <alignment horizontal="center"/>
    </xf>
    <xf numFmtId="0" fontId="38" fillId="0" borderId="2" xfId="0" applyFont="1" applyFill="1" applyBorder="1" applyAlignment="1">
      <alignment horizontal="center"/>
    </xf>
    <xf numFmtId="0" fontId="48" fillId="0" borderId="2" xfId="0" applyFont="1" applyFill="1" applyBorder="1" applyAlignment="1">
      <alignment horizontal="center" vertical="top"/>
    </xf>
    <xf numFmtId="1" fontId="48" fillId="0" borderId="2" xfId="0" applyNumberFormat="1" applyFont="1" applyFill="1" applyBorder="1" applyAlignment="1">
      <alignment horizontal="center" vertical="top"/>
    </xf>
    <xf numFmtId="1" fontId="15" fillId="35" borderId="0" xfId="0" applyNumberFormat="1" applyFont="1" applyFill="1" applyBorder="1" applyAlignment="1">
      <alignment horizontal="center" vertical="center"/>
    </xf>
    <xf numFmtId="0" fontId="15" fillId="39" borderId="0" xfId="0" applyFont="1" applyFill="1"/>
    <xf numFmtId="0" fontId="122" fillId="0" borderId="53" xfId="0" applyFont="1" applyBorder="1" applyAlignment="1">
      <alignment horizontal="center" vertical="top" wrapText="1"/>
    </xf>
    <xf numFmtId="0" fontId="146" fillId="0" borderId="0" xfId="0" applyFont="1" applyBorder="1" applyAlignment="1">
      <alignment horizontal="left" wrapText="1"/>
    </xf>
    <xf numFmtId="0" fontId="146" fillId="0" borderId="0" xfId="0" applyFont="1" applyBorder="1" applyAlignment="1">
      <alignment horizontal="left" vertical="top" wrapText="1"/>
    </xf>
    <xf numFmtId="0" fontId="152" fillId="0" borderId="0" xfId="0" applyFont="1" applyBorder="1" applyAlignment="1">
      <alignment horizontal="left" vertical="center" wrapText="1"/>
    </xf>
    <xf numFmtId="0" fontId="144" fillId="0" borderId="0" xfId="0" applyFont="1" applyBorder="1" applyAlignment="1">
      <alignment horizontal="center"/>
    </xf>
    <xf numFmtId="0" fontId="152" fillId="0" borderId="0" xfId="0" applyFont="1" applyBorder="1" applyAlignment="1">
      <alignment wrapText="1"/>
    </xf>
    <xf numFmtId="0" fontId="0" fillId="2" borderId="6" xfId="0" applyFill="1" applyBorder="1"/>
    <xf numFmtId="0" fontId="153" fillId="2" borderId="12" xfId="0" applyFont="1" applyFill="1" applyBorder="1"/>
    <xf numFmtId="0" fontId="153" fillId="2" borderId="13" xfId="0" applyFont="1" applyFill="1" applyBorder="1"/>
    <xf numFmtId="181" fontId="9" fillId="0" borderId="0" xfId="0" applyNumberFormat="1" applyFont="1"/>
    <xf numFmtId="181" fontId="29" fillId="0" borderId="2" xfId="0" applyNumberFormat="1" applyFont="1" applyBorder="1" applyAlignment="1">
      <alignment horizontal="center" vertical="center" wrapText="1"/>
    </xf>
    <xf numFmtId="181" fontId="109" fillId="0" borderId="0" xfId="0" applyNumberFormat="1" applyFont="1" applyFill="1" applyBorder="1" applyAlignment="1">
      <alignment horizontal="center" wrapText="1"/>
    </xf>
    <xf numFmtId="181" fontId="7" fillId="0" borderId="0" xfId="0" applyNumberFormat="1" applyFont="1" applyFill="1"/>
    <xf numFmtId="181" fontId="7" fillId="0" borderId="0" xfId="0" applyNumberFormat="1" applyFont="1"/>
    <xf numFmtId="0" fontId="25" fillId="0" borderId="0" xfId="0" applyFont="1" applyBorder="1" applyAlignment="1">
      <alignment horizontal="left" vertical="center" wrapText="1"/>
    </xf>
    <xf numFmtId="0" fontId="25" fillId="0" borderId="8" xfId="0" applyFont="1" applyBorder="1" applyAlignment="1">
      <alignment vertical="center" wrapText="1"/>
    </xf>
    <xf numFmtId="0" fontId="40" fillId="34" borderId="0" xfId="0" applyFont="1" applyFill="1" applyBorder="1" applyAlignment="1">
      <alignment horizontal="left" vertical="top"/>
    </xf>
    <xf numFmtId="1" fontId="18" fillId="0" borderId="0" xfId="0" applyNumberFormat="1" applyFont="1" applyFill="1" applyAlignment="1">
      <alignment wrapText="1"/>
    </xf>
    <xf numFmtId="0" fontId="48" fillId="0" borderId="0" xfId="0" applyFont="1" applyFill="1" applyBorder="1"/>
    <xf numFmtId="177" fontId="18" fillId="0" borderId="0" xfId="0" applyNumberFormat="1" applyFont="1" applyFill="1" applyAlignment="1">
      <alignment wrapText="1"/>
    </xf>
    <xf numFmtId="172" fontId="109" fillId="0" borderId="0" xfId="0" applyNumberFormat="1" applyFont="1" applyFill="1" applyBorder="1" applyAlignment="1">
      <alignment horizontal="center" vertical="center" wrapText="1"/>
    </xf>
    <xf numFmtId="0" fontId="15" fillId="35" borderId="0" xfId="0" applyFont="1" applyFill="1" applyBorder="1" applyAlignment="1"/>
    <xf numFmtId="0" fontId="15" fillId="35" borderId="0" xfId="0" applyFont="1" applyFill="1" applyBorder="1" applyAlignment="1">
      <alignment horizontal="right"/>
    </xf>
    <xf numFmtId="165" fontId="126" fillId="0" borderId="0" xfId="196" applyNumberFormat="1" applyFont="1" applyFill="1" applyBorder="1" applyAlignment="1">
      <alignment horizontal="center" vertical="center"/>
    </xf>
    <xf numFmtId="165" fontId="181" fillId="0" borderId="0" xfId="0" applyNumberFormat="1" applyFont="1" applyFill="1" applyBorder="1"/>
    <xf numFmtId="2" fontId="15" fillId="34" borderId="0" xfId="0" applyNumberFormat="1" applyFont="1" applyFill="1" applyBorder="1" applyAlignment="1">
      <alignment horizontal="right" vertical="center"/>
    </xf>
    <xf numFmtId="0" fontId="109" fillId="0" borderId="0" xfId="0" applyFont="1" applyBorder="1"/>
    <xf numFmtId="0" fontId="126" fillId="0" borderId="0" xfId="232" applyFont="1" applyFill="1" applyBorder="1" applyAlignment="1">
      <alignment horizontal="left" vertical="center" wrapText="1"/>
    </xf>
    <xf numFmtId="0" fontId="126" fillId="34" borderId="0" xfId="232" applyFont="1" applyFill="1" applyBorder="1" applyAlignment="1">
      <alignment horizontal="left" vertical="center" wrapText="1"/>
    </xf>
    <xf numFmtId="0" fontId="132" fillId="34" borderId="0" xfId="0" applyFont="1" applyFill="1" applyBorder="1" applyAlignment="1">
      <alignment horizontal="left" vertical="center" wrapText="1"/>
    </xf>
    <xf numFmtId="0" fontId="126" fillId="34" borderId="0" xfId="0" applyFont="1" applyFill="1" applyBorder="1" applyAlignment="1">
      <alignment horizontal="left" vertical="center" wrapText="1"/>
    </xf>
    <xf numFmtId="0" fontId="126" fillId="0" borderId="0" xfId="0" applyFont="1" applyFill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156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0" fontId="156" fillId="0" borderId="0" xfId="0" applyFont="1" applyFill="1" applyBorder="1" applyAlignment="1">
      <alignment vertical="center"/>
    </xf>
    <xf numFmtId="165" fontId="156" fillId="0" borderId="0" xfId="0" applyNumberFormat="1" applyFont="1" applyFill="1" applyBorder="1" applyAlignment="1">
      <alignment vertical="center"/>
    </xf>
    <xf numFmtId="165" fontId="109" fillId="0" borderId="0" xfId="0" applyNumberFormat="1" applyFont="1" applyFill="1" applyBorder="1" applyAlignment="1">
      <alignment vertical="center"/>
    </xf>
    <xf numFmtId="0" fontId="25" fillId="0" borderId="0" xfId="0" applyFont="1" applyFill="1" applyBorder="1"/>
    <xf numFmtId="2" fontId="126" fillId="34" borderId="0" xfId="0" applyNumberFormat="1" applyFont="1" applyFill="1" applyBorder="1" applyAlignment="1">
      <alignment horizontal="center" vertical="center"/>
    </xf>
    <xf numFmtId="0" fontId="126" fillId="34" borderId="0" xfId="0" applyFont="1" applyFill="1" applyBorder="1" applyAlignment="1">
      <alignment horizontal="center" vertical="center"/>
    </xf>
    <xf numFmtId="0" fontId="68" fillId="0" borderId="0" xfId="0" applyFont="1"/>
    <xf numFmtId="0" fontId="34" fillId="0" borderId="0" xfId="0" applyFont="1" applyFill="1" applyBorder="1"/>
    <xf numFmtId="1" fontId="158" fillId="34" borderId="0" xfId="0" applyNumberFormat="1" applyFont="1" applyFill="1" applyBorder="1" applyAlignment="1">
      <alignment horizontal="center" vertical="center"/>
    </xf>
    <xf numFmtId="2" fontId="158" fillId="34" borderId="0" xfId="0" applyNumberFormat="1" applyFont="1" applyFill="1" applyBorder="1" applyAlignment="1">
      <alignment horizontal="center" vertical="center"/>
    </xf>
    <xf numFmtId="2" fontId="39" fillId="34" borderId="0" xfId="0" applyNumberFormat="1" applyFont="1" applyFill="1" applyBorder="1" applyAlignment="1">
      <alignment horizontal="center"/>
    </xf>
    <xf numFmtId="0" fontId="13" fillId="34" borderId="0" xfId="0" applyFont="1" applyFill="1" applyBorder="1" applyAlignment="1">
      <alignment horizontal="left" vertical="center" wrapText="1"/>
    </xf>
    <xf numFmtId="2" fontId="15" fillId="0" borderId="0" xfId="0" applyNumberFormat="1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 wrapText="1"/>
    </xf>
    <xf numFmtId="4" fontId="119" fillId="0" borderId="0" xfId="0" applyNumberFormat="1" applyFont="1" applyFill="1" applyBorder="1" applyAlignment="1">
      <alignment horizontal="center" vertical="center" wrapText="1"/>
    </xf>
    <xf numFmtId="0" fontId="13" fillId="34" borderId="0" xfId="0" applyFont="1" applyFill="1" applyBorder="1" applyAlignment="1"/>
    <xf numFmtId="0" fontId="132" fillId="0" borderId="0" xfId="0" applyFont="1" applyFill="1" applyBorder="1" applyAlignment="1">
      <alignment horizontal="left" vertical="top" wrapText="1"/>
    </xf>
    <xf numFmtId="0" fontId="132" fillId="34" borderId="0" xfId="0" applyFont="1" applyFill="1"/>
    <xf numFmtId="165" fontId="132" fillId="34" borderId="0" xfId="0" applyNumberFormat="1" applyFont="1" applyFill="1"/>
    <xf numFmtId="0" fontId="13" fillId="0" borderId="0" xfId="0" applyFont="1" applyFill="1" applyBorder="1" applyAlignment="1"/>
    <xf numFmtId="2" fontId="119" fillId="0" borderId="0" xfId="0" applyNumberFormat="1" applyFont="1" applyFill="1" applyBorder="1" applyAlignment="1">
      <alignment horizontal="center" vertical="center"/>
    </xf>
    <xf numFmtId="2" fontId="119" fillId="34" borderId="0" xfId="0" applyNumberFormat="1" applyFont="1" applyFill="1" applyBorder="1" applyAlignment="1">
      <alignment horizontal="center" vertical="center"/>
    </xf>
    <xf numFmtId="1" fontId="109" fillId="0" borderId="0" xfId="0" applyNumberFormat="1" applyFont="1" applyFill="1"/>
    <xf numFmtId="0" fontId="126" fillId="0" borderId="0" xfId="0" applyFont="1" applyFill="1"/>
    <xf numFmtId="1" fontId="3" fillId="0" borderId="0" xfId="0" applyNumberFormat="1" applyFont="1" applyFill="1"/>
    <xf numFmtId="1" fontId="29" fillId="34" borderId="0" xfId="0" applyNumberFormat="1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2" fontId="29" fillId="0" borderId="6" xfId="0" applyNumberFormat="1" applyFont="1" applyFill="1" applyBorder="1" applyAlignment="1">
      <alignment horizontal="center"/>
    </xf>
    <xf numFmtId="1" fontId="29" fillId="0" borderId="6" xfId="0" applyNumberFormat="1" applyFont="1" applyFill="1" applyBorder="1" applyAlignment="1">
      <alignment horizontal="center"/>
    </xf>
    <xf numFmtId="2" fontId="16" fillId="0" borderId="6" xfId="0" applyNumberFormat="1" applyFont="1" applyFill="1" applyBorder="1" applyAlignment="1">
      <alignment horizontal="center" wrapText="1"/>
    </xf>
    <xf numFmtId="0" fontId="16" fillId="0" borderId="6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vertical="top" wrapText="1"/>
    </xf>
    <xf numFmtId="2" fontId="123" fillId="0" borderId="0" xfId="0" applyNumberFormat="1" applyFont="1" applyFill="1" applyBorder="1" applyAlignment="1">
      <alignment horizontal="center"/>
    </xf>
    <xf numFmtId="2" fontId="123" fillId="0" borderId="0" xfId="0" applyNumberFormat="1" applyFont="1" applyFill="1" applyBorder="1" applyAlignment="1">
      <alignment horizontal="center" vertical="center"/>
    </xf>
    <xf numFmtId="0" fontId="123" fillId="0" borderId="0" xfId="0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 vertical="center"/>
    </xf>
    <xf numFmtId="0" fontId="38" fillId="34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 wrapText="1"/>
    </xf>
    <xf numFmtId="165" fontId="23" fillId="34" borderId="0" xfId="0" applyNumberFormat="1" applyFont="1" applyFill="1" applyBorder="1" applyAlignment="1">
      <alignment horizontal="left" vertical="center" wrapText="1"/>
    </xf>
    <xf numFmtId="2" fontId="109" fillId="34" borderId="0" xfId="0" applyNumberFormat="1" applyFont="1" applyFill="1" applyBorder="1" applyAlignment="1">
      <alignment horizontal="center" wrapText="1"/>
    </xf>
    <xf numFmtId="0" fontId="38" fillId="34" borderId="0" xfId="0" applyFont="1" applyFill="1" applyBorder="1" applyAlignment="1">
      <alignment horizontal="left" vertical="top"/>
    </xf>
    <xf numFmtId="37" fontId="38" fillId="0" borderId="0" xfId="0" applyNumberFormat="1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/>
    </xf>
    <xf numFmtId="166" fontId="81" fillId="0" borderId="0" xfId="0" applyNumberFormat="1" applyFont="1"/>
    <xf numFmtId="0" fontId="146" fillId="0" borderId="0" xfId="0" applyFont="1" applyBorder="1" applyAlignment="1">
      <alignment horizontal="left" vertical="top" wrapText="1"/>
    </xf>
    <xf numFmtId="0" fontId="146" fillId="0" borderId="0" xfId="0" applyFont="1" applyBorder="1" applyAlignment="1">
      <alignment horizontal="left" wrapText="1"/>
    </xf>
    <xf numFmtId="165" fontId="27" fillId="0" borderId="0" xfId="0" applyNumberFormat="1" applyFont="1" applyFill="1" applyAlignment="1">
      <alignment horizontal="center" vertical="center"/>
    </xf>
    <xf numFmtId="0" fontId="146" fillId="0" borderId="0" xfId="0" applyFont="1" applyBorder="1" applyAlignment="1">
      <alignment horizontal="left" vertical="top" wrapText="1"/>
    </xf>
    <xf numFmtId="0" fontId="146" fillId="0" borderId="0" xfId="0" applyFont="1" applyBorder="1" applyAlignment="1">
      <alignment horizontal="left" wrapText="1"/>
    </xf>
    <xf numFmtId="0" fontId="154" fillId="2" borderId="10" xfId="0" applyFont="1" applyFill="1" applyBorder="1" applyAlignment="1">
      <alignment horizontal="center"/>
    </xf>
    <xf numFmtId="0" fontId="154" fillId="2" borderId="0" xfId="0" applyFont="1" applyFill="1" applyBorder="1" applyAlignment="1">
      <alignment horizontal="center"/>
    </xf>
    <xf numFmtId="0" fontId="154" fillId="2" borderId="11" xfId="0" applyFont="1" applyFill="1" applyBorder="1" applyAlignment="1">
      <alignment horizontal="center"/>
    </xf>
    <xf numFmtId="0" fontId="133" fillId="0" borderId="0" xfId="0" applyFont="1" applyFill="1" applyBorder="1" applyAlignment="1">
      <alignment horizontal="right" vertical="center"/>
    </xf>
    <xf numFmtId="0" fontId="17" fillId="0" borderId="0" xfId="0" applyFont="1" applyFill="1" applyBorder="1" applyAlignment="1">
      <alignment horizontal="left"/>
    </xf>
    <xf numFmtId="2" fontId="17" fillId="0" borderId="0" xfId="0" applyNumberFormat="1" applyFont="1" applyFill="1" applyBorder="1" applyAlignment="1">
      <alignment horizontal="left" vertical="center" wrapText="1"/>
    </xf>
    <xf numFmtId="0" fontId="39" fillId="34" borderId="0" xfId="0" applyFont="1" applyFill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/>
    </xf>
    <xf numFmtId="0" fontId="40" fillId="34" borderId="0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0" fontId="21" fillId="0" borderId="0" xfId="0" applyFont="1" applyAlignment="1">
      <alignment wrapText="1"/>
    </xf>
    <xf numFmtId="0" fontId="15" fillId="0" borderId="0" xfId="0" applyFont="1" applyBorder="1" applyAlignment="1">
      <alignment horizontal="left"/>
    </xf>
    <xf numFmtId="0" fontId="15" fillId="0" borderId="46" xfId="196" applyFont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left" vertical="center"/>
    </xf>
    <xf numFmtId="0" fontId="0" fillId="0" borderId="0" xfId="0"/>
    <xf numFmtId="0" fontId="0" fillId="0" borderId="11" xfId="0" applyBorder="1"/>
    <xf numFmtId="173" fontId="154" fillId="0" borderId="10" xfId="0" applyNumberFormat="1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 vertical="center"/>
    </xf>
    <xf numFmtId="2" fontId="38" fillId="0" borderId="6" xfId="0" applyNumberFormat="1" applyFont="1" applyFill="1" applyBorder="1" applyAlignment="1">
      <alignment horizontal="center" vertical="center"/>
    </xf>
    <xf numFmtId="0" fontId="40" fillId="0" borderId="6" xfId="0" applyFont="1" applyFill="1" applyBorder="1" applyAlignment="1">
      <alignment horizontal="center" vertical="center" wrapText="1"/>
    </xf>
    <xf numFmtId="2" fontId="40" fillId="0" borderId="6" xfId="0" applyNumberFormat="1" applyFont="1" applyFill="1" applyBorder="1" applyAlignment="1">
      <alignment horizontal="center" vertical="center" wrapText="1"/>
    </xf>
    <xf numFmtId="1" fontId="38" fillId="0" borderId="6" xfId="0" applyNumberFormat="1" applyFont="1" applyFill="1" applyBorder="1" applyAlignment="1">
      <alignment horizontal="center" vertical="center"/>
    </xf>
    <xf numFmtId="46" fontId="38" fillId="0" borderId="6" xfId="0" applyNumberFormat="1" applyFont="1" applyFill="1" applyBorder="1" applyAlignment="1">
      <alignment horizontal="center" vertical="center"/>
    </xf>
    <xf numFmtId="2" fontId="19" fillId="0" borderId="0" xfId="0" applyNumberFormat="1" applyFont="1" applyFill="1" applyBorder="1" applyAlignment="1">
      <alignment horizontal="center" vertical="center"/>
    </xf>
    <xf numFmtId="2" fontId="19" fillId="34" borderId="0" xfId="0" applyNumberFormat="1" applyFont="1" applyFill="1" applyBorder="1" applyAlignment="1">
      <alignment horizontal="center" vertical="center"/>
    </xf>
    <xf numFmtId="2" fontId="19" fillId="0" borderId="6" xfId="0" applyNumberFormat="1" applyFont="1" applyFill="1" applyBorder="1" applyAlignment="1">
      <alignment horizontal="center" vertical="center"/>
    </xf>
    <xf numFmtId="0" fontId="0" fillId="0" borderId="0" xfId="0"/>
    <xf numFmtId="0" fontId="29" fillId="0" borderId="3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29" fillId="0" borderId="0" xfId="0" applyFont="1" applyAlignment="1">
      <alignment horizontal="left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/>
    </xf>
    <xf numFmtId="0" fontId="33" fillId="0" borderId="0" xfId="196" applyFont="1" applyBorder="1" applyAlignment="1">
      <alignment horizontal="left" wrapText="1"/>
    </xf>
    <xf numFmtId="0" fontId="15" fillId="0" borderId="0" xfId="0" applyFont="1" applyBorder="1" applyAlignment="1">
      <alignment wrapText="1"/>
    </xf>
    <xf numFmtId="0" fontId="21" fillId="0" borderId="0" xfId="0" applyFont="1" applyAlignment="1">
      <alignment wrapText="1"/>
    </xf>
    <xf numFmtId="0" fontId="34" fillId="0" borderId="2" xfId="0" applyFont="1" applyBorder="1" applyAlignment="1">
      <alignment horizontal="center" vertical="center" wrapText="1"/>
    </xf>
    <xf numFmtId="0" fontId="14" fillId="0" borderId="0" xfId="0" applyFont="1" applyAlignment="1"/>
    <xf numFmtId="0" fontId="29" fillId="0" borderId="59" xfId="0" applyFont="1" applyFill="1" applyBorder="1" applyAlignment="1">
      <alignment wrapText="1"/>
    </xf>
    <xf numFmtId="182" fontId="15" fillId="0" borderId="0" xfId="0" applyNumberFormat="1" applyFont="1" applyFill="1"/>
    <xf numFmtId="2" fontId="181" fillId="0" borderId="0" xfId="0" applyNumberFormat="1" applyFont="1"/>
    <xf numFmtId="0" fontId="29" fillId="0" borderId="0" xfId="0" applyFont="1" applyFill="1" applyAlignment="1">
      <alignment horizontal="right"/>
    </xf>
    <xf numFmtId="2" fontId="15" fillId="0" borderId="0" xfId="0" applyNumberFormat="1" applyFont="1" applyAlignment="1"/>
    <xf numFmtId="0" fontId="123" fillId="0" borderId="0" xfId="232" applyFont="1" applyBorder="1" applyAlignment="1">
      <alignment vertical="center"/>
    </xf>
    <xf numFmtId="0" fontId="123" fillId="0" borderId="0" xfId="232" applyFont="1" applyAlignment="1">
      <alignment vertical="center"/>
    </xf>
    <xf numFmtId="183" fontId="109" fillId="0" borderId="0" xfId="136" applyNumberFormat="1" applyFont="1"/>
    <xf numFmtId="0" fontId="23" fillId="0" borderId="0" xfId="0" applyFont="1" applyFill="1" applyBorder="1" applyAlignment="1">
      <alignment horizontal="left" wrapText="1"/>
    </xf>
    <xf numFmtId="0" fontId="109" fillId="0" borderId="0" xfId="0" applyFont="1" applyFill="1" applyBorder="1" applyAlignment="1">
      <alignment horizontal="right"/>
    </xf>
    <xf numFmtId="0" fontId="132" fillId="0" borderId="2" xfId="0" applyFont="1" applyBorder="1" applyAlignment="1">
      <alignment horizontal="center" vertical="top" wrapText="1"/>
    </xf>
    <xf numFmtId="0" fontId="121" fillId="0" borderId="67" xfId="0" applyFont="1" applyFill="1" applyBorder="1" applyAlignment="1">
      <alignment vertical="center"/>
    </xf>
    <xf numFmtId="0" fontId="124" fillId="0" borderId="69" xfId="0" applyFont="1" applyFill="1" applyBorder="1" applyAlignment="1">
      <alignment horizontal="center" vertical="center" wrapText="1"/>
    </xf>
    <xf numFmtId="1" fontId="126" fillId="34" borderId="0" xfId="0" applyNumberFormat="1" applyFont="1" applyFill="1"/>
    <xf numFmtId="165" fontId="186" fillId="34" borderId="0" xfId="0" applyNumberFormat="1" applyFont="1" applyFill="1"/>
    <xf numFmtId="0" fontId="47" fillId="0" borderId="36" xfId="0" applyFont="1" applyFill="1" applyBorder="1" applyAlignment="1"/>
    <xf numFmtId="0" fontId="46" fillId="0" borderId="36" xfId="0" applyFont="1" applyBorder="1" applyAlignment="1">
      <alignment horizontal="left" wrapText="1"/>
    </xf>
    <xf numFmtId="0" fontId="46" fillId="0" borderId="36" xfId="0" applyFont="1" applyBorder="1" applyAlignment="1">
      <alignment horizontal="right" wrapText="1"/>
    </xf>
    <xf numFmtId="0" fontId="13" fillId="0" borderId="36" xfId="0" applyFont="1" applyBorder="1" applyAlignment="1">
      <alignment horizontal="center" wrapText="1"/>
    </xf>
    <xf numFmtId="0" fontId="16" fillId="0" borderId="36" xfId="0" applyFont="1" applyBorder="1" applyAlignment="1">
      <alignment vertical="top" wrapText="1"/>
    </xf>
    <xf numFmtId="0" fontId="10" fillId="0" borderId="36" xfId="0" applyFont="1" applyBorder="1" applyAlignment="1">
      <alignment horizontal="right" vertical="center" wrapText="1"/>
    </xf>
    <xf numFmtId="2" fontId="10" fillId="0" borderId="36" xfId="0" applyNumberFormat="1" applyFont="1" applyBorder="1" applyAlignment="1">
      <alignment horizontal="right" vertical="center" wrapText="1"/>
    </xf>
    <xf numFmtId="0" fontId="10" fillId="0" borderId="36" xfId="0" applyFont="1" applyFill="1" applyBorder="1" applyAlignment="1">
      <alignment horizontal="left" vertical="center" wrapText="1"/>
    </xf>
    <xf numFmtId="0" fontId="10" fillId="0" borderId="36" xfId="0" applyFont="1" applyFill="1" applyBorder="1" applyAlignment="1">
      <alignment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right" vertical="center" wrapText="1"/>
    </xf>
    <xf numFmtId="0" fontId="9" fillId="0" borderId="36" xfId="0" applyFont="1" applyFill="1" applyBorder="1" applyAlignment="1">
      <alignment wrapText="1"/>
    </xf>
    <xf numFmtId="0" fontId="13" fillId="0" borderId="36" xfId="0" applyFont="1" applyFill="1" applyBorder="1" applyAlignment="1">
      <alignment horizontal="right" vertical="center" wrapText="1"/>
    </xf>
    <xf numFmtId="37" fontId="38" fillId="0" borderId="6" xfId="0" applyNumberFormat="1" applyFont="1" applyFill="1" applyBorder="1" applyAlignment="1">
      <alignment horizontal="left" vertical="top" wrapText="1"/>
    </xf>
    <xf numFmtId="0" fontId="15" fillId="0" borderId="36" xfId="0" applyFont="1" applyBorder="1" applyAlignment="1">
      <alignment wrapText="1"/>
    </xf>
    <xf numFmtId="0" fontId="15" fillId="0" borderId="36" xfId="0" applyFont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left" vertical="center"/>
    </xf>
    <xf numFmtId="0" fontId="18" fillId="0" borderId="0" xfId="0" applyFont="1" applyBorder="1" applyAlignment="1">
      <alignment vertical="top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28" fillId="0" borderId="0" xfId="0" applyFont="1" applyBorder="1" applyAlignment="1">
      <alignment horizontal="center" wrapText="1"/>
    </xf>
    <xf numFmtId="0" fontId="152" fillId="2" borderId="0" xfId="0" applyFont="1" applyFill="1" applyBorder="1" applyAlignment="1">
      <alignment horizontal="left" vertical="center" wrapText="1"/>
    </xf>
    <xf numFmtId="0" fontId="146" fillId="0" borderId="0" xfId="0" applyFont="1" applyBorder="1" applyAlignment="1">
      <alignment horizontal="left" vertical="top" wrapText="1"/>
    </xf>
    <xf numFmtId="0" fontId="146" fillId="0" borderId="0" xfId="0" applyFont="1" applyBorder="1" applyAlignment="1">
      <alignment horizontal="left" wrapText="1"/>
    </xf>
    <xf numFmtId="0" fontId="0" fillId="0" borderId="0" xfId="0"/>
    <xf numFmtId="0" fontId="152" fillId="0" borderId="0" xfId="0" applyFont="1" applyFill="1" applyBorder="1" applyAlignment="1">
      <alignment horizontal="left" vertical="center" wrapText="1"/>
    </xf>
    <xf numFmtId="0" fontId="133" fillId="0" borderId="0" xfId="0" applyFont="1" applyFill="1" applyBorder="1" applyAlignment="1">
      <alignment horizontal="right" vertical="center"/>
    </xf>
    <xf numFmtId="0" fontId="122" fillId="0" borderId="0" xfId="0" applyFont="1" applyFill="1" applyBorder="1" applyAlignment="1">
      <alignment horizontal="left"/>
    </xf>
    <xf numFmtId="0" fontId="122" fillId="34" borderId="0" xfId="0" applyFont="1" applyFill="1" applyBorder="1" applyAlignment="1">
      <alignment horizontal="left"/>
    </xf>
    <xf numFmtId="166" fontId="0" fillId="0" borderId="0" xfId="0" applyNumberFormat="1"/>
    <xf numFmtId="0" fontId="38" fillId="0" borderId="0" xfId="0" applyFont="1" applyBorder="1" applyAlignment="1">
      <alignment vertical="justify" wrapText="1"/>
    </xf>
    <xf numFmtId="0" fontId="146" fillId="0" borderId="0" xfId="0" applyFont="1" applyBorder="1" applyAlignment="1">
      <alignment horizontal="left" wrapText="1"/>
    </xf>
    <xf numFmtId="0" fontId="146" fillId="0" borderId="0" xfId="0" applyFont="1" applyBorder="1" applyAlignment="1">
      <alignment horizontal="left" vertical="top" wrapText="1"/>
    </xf>
    <xf numFmtId="0" fontId="82" fillId="0" borderId="0" xfId="0" applyFont="1" applyBorder="1" applyAlignment="1">
      <alignment horizontal="right" wrapText="1"/>
    </xf>
    <xf numFmtId="37" fontId="38" fillId="0" borderId="0" xfId="0" applyNumberFormat="1" applyFont="1" applyFill="1" applyBorder="1" applyAlignment="1">
      <alignment horizontal="left" vertical="center" wrapText="1"/>
    </xf>
    <xf numFmtId="0" fontId="38" fillId="0" borderId="6" xfId="0" applyFont="1" applyFill="1" applyBorder="1" applyAlignment="1">
      <alignment horizontal="left" vertical="center"/>
    </xf>
    <xf numFmtId="0" fontId="132" fillId="34" borderId="0" xfId="0" applyFont="1" applyFill="1" applyBorder="1" applyAlignment="1">
      <alignment horizontal="left" vertical="top" wrapText="1"/>
    </xf>
    <xf numFmtId="167" fontId="15" fillId="0" borderId="0" xfId="196" applyNumberFormat="1" applyFont="1" applyBorder="1"/>
    <xf numFmtId="0" fontId="33" fillId="0" borderId="0" xfId="196" applyFont="1" applyBorder="1" applyAlignment="1">
      <alignment horizontal="left" wrapText="1"/>
    </xf>
    <xf numFmtId="4" fontId="119" fillId="34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wrapText="1"/>
    </xf>
    <xf numFmtId="0" fontId="109" fillId="34" borderId="0" xfId="0" applyFont="1" applyFill="1" applyBorder="1" applyAlignment="1"/>
    <xf numFmtId="0" fontId="109" fillId="34" borderId="0" xfId="0" applyFont="1" applyFill="1" applyBorder="1" applyAlignment="1">
      <alignment horizontal="right"/>
    </xf>
    <xf numFmtId="0" fontId="13" fillId="0" borderId="2" xfId="0" applyFont="1" applyBorder="1" applyAlignment="1">
      <alignment horizontal="center" vertical="center" wrapText="1"/>
    </xf>
    <xf numFmtId="0" fontId="81" fillId="0" borderId="0" xfId="196" applyFont="1" applyBorder="1" applyAlignment="1">
      <alignment horizontal="left" vertical="center" wrapText="1"/>
    </xf>
    <xf numFmtId="49" fontId="81" fillId="0" borderId="0" xfId="196" applyNumberFormat="1" applyFont="1" applyAlignment="1">
      <alignment horizontal="left"/>
    </xf>
    <xf numFmtId="49" fontId="81" fillId="0" borderId="0" xfId="196" applyNumberFormat="1" applyFont="1" applyAlignment="1"/>
    <xf numFmtId="0" fontId="199" fillId="0" borderId="0" xfId="196" applyFont="1" applyAlignment="1">
      <alignment horizontal="left"/>
    </xf>
    <xf numFmtId="0" fontId="132" fillId="0" borderId="3" xfId="0" applyFont="1" applyBorder="1" applyAlignment="1">
      <alignment horizontal="center" vertical="top" wrapText="1"/>
    </xf>
    <xf numFmtId="0" fontId="132" fillId="0" borderId="3" xfId="196" applyFont="1" applyBorder="1" applyAlignment="1">
      <alignment horizontal="center" vertical="top" wrapText="1"/>
    </xf>
    <xf numFmtId="0" fontId="132" fillId="0" borderId="56" xfId="196" applyFont="1" applyBorder="1" applyAlignment="1">
      <alignment horizontal="center" vertical="top" wrapText="1"/>
    </xf>
    <xf numFmtId="0" fontId="132" fillId="0" borderId="3" xfId="196" applyFont="1" applyBorder="1" applyAlignment="1">
      <alignment vertical="top" wrapText="1"/>
    </xf>
    <xf numFmtId="0" fontId="15" fillId="34" borderId="0" xfId="0" applyFont="1" applyFill="1" applyAlignment="1">
      <alignment horizontal="center"/>
    </xf>
    <xf numFmtId="0" fontId="0" fillId="0" borderId="0" xfId="0"/>
    <xf numFmtId="0" fontId="15" fillId="0" borderId="0" xfId="0" applyFont="1" applyFill="1" applyBorder="1" applyAlignment="1">
      <alignment horizontal="left" vertical="center"/>
    </xf>
    <xf numFmtId="0" fontId="0" fillId="0" borderId="0" xfId="0"/>
    <xf numFmtId="0" fontId="16" fillId="0" borderId="2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165" fontId="27" fillId="0" borderId="0" xfId="0" applyNumberFormat="1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82" fontId="15" fillId="0" borderId="0" xfId="0" applyNumberFormat="1" applyFont="1" applyFill="1" applyBorder="1"/>
    <xf numFmtId="0" fontId="135" fillId="0" borderId="6" xfId="196" applyFont="1" applyFill="1" applyBorder="1" applyAlignment="1">
      <alignment horizontal="left" vertical="center" wrapText="1"/>
    </xf>
    <xf numFmtId="165" fontId="126" fillId="0" borderId="6" xfId="196" applyNumberFormat="1" applyFont="1" applyFill="1" applyBorder="1" applyAlignment="1">
      <alignment horizontal="center" vertical="center"/>
    </xf>
    <xf numFmtId="0" fontId="109" fillId="0" borderId="6" xfId="196" applyFont="1" applyFill="1" applyBorder="1" applyAlignment="1">
      <alignment horizontal="right" vertical="center" wrapText="1"/>
    </xf>
    <xf numFmtId="165" fontId="109" fillId="37" borderId="0" xfId="196" applyNumberFormat="1" applyFont="1" applyFill="1" applyBorder="1" applyAlignment="1">
      <alignment horizontal="right" vertical="center"/>
    </xf>
    <xf numFmtId="0" fontId="13" fillId="0" borderId="55" xfId="0" applyFont="1" applyFill="1" applyBorder="1" applyAlignment="1">
      <alignment vertical="top" wrapText="1"/>
    </xf>
    <xf numFmtId="0" fontId="13" fillId="0" borderId="55" xfId="0" applyFont="1" applyFill="1" applyBorder="1" applyAlignment="1">
      <alignment horizontal="center" vertical="top" wrapText="1"/>
    </xf>
    <xf numFmtId="0" fontId="33" fillId="0" borderId="0" xfId="0" applyFont="1" applyFill="1" applyBorder="1" applyAlignment="1">
      <alignment horizontal="left"/>
    </xf>
    <xf numFmtId="2" fontId="109" fillId="0" borderId="6" xfId="0" applyNumberFormat="1" applyFont="1" applyFill="1" applyBorder="1" applyAlignment="1">
      <alignment horizontal="center" vertical="center"/>
    </xf>
    <xf numFmtId="1" fontId="15" fillId="0" borderId="0" xfId="0" applyNumberFormat="1" applyFont="1" applyBorder="1" applyAlignment="1">
      <alignment horizontal="right"/>
    </xf>
    <xf numFmtId="0" fontId="82" fillId="0" borderId="0" xfId="0" applyFont="1" applyBorder="1" applyAlignment="1">
      <alignment horizontal="right" vertical="center" wrapText="1"/>
    </xf>
    <xf numFmtId="0" fontId="81" fillId="0" borderId="0" xfId="0" applyFont="1" applyBorder="1" applyAlignment="1">
      <alignment horizontal="right" vertical="center" wrapText="1"/>
    </xf>
    <xf numFmtId="49" fontId="82" fillId="0" borderId="0" xfId="0" applyNumberFormat="1" applyFont="1" applyBorder="1" applyAlignment="1">
      <alignment horizontal="right" vertical="center" wrapText="1"/>
    </xf>
    <xf numFmtId="0" fontId="81" fillId="0" borderId="0" xfId="0" applyFont="1" applyBorder="1" applyAlignment="1">
      <alignment horizontal="center" vertical="center"/>
    </xf>
    <xf numFmtId="0" fontId="81" fillId="0" borderId="0" xfId="0" applyFont="1" applyBorder="1" applyAlignment="1">
      <alignment vertical="center"/>
    </xf>
    <xf numFmtId="0" fontId="48" fillId="0" borderId="0" xfId="196" applyFont="1" applyBorder="1" applyAlignment="1">
      <alignment horizontal="right" vertical="center" wrapText="1"/>
    </xf>
    <xf numFmtId="0" fontId="48" fillId="0" borderId="0" xfId="196" applyFont="1" applyBorder="1" applyAlignment="1">
      <alignment horizontal="right" wrapText="1"/>
    </xf>
    <xf numFmtId="0" fontId="123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" fontId="129" fillId="0" borderId="0" xfId="0" applyNumberFormat="1" applyFont="1" applyFill="1" applyBorder="1"/>
    <xf numFmtId="0" fontId="0" fillId="0" borderId="0" xfId="0"/>
    <xf numFmtId="2" fontId="33" fillId="0" borderId="0" xfId="196" applyNumberFormat="1" applyFont="1" applyFill="1"/>
    <xf numFmtId="2" fontId="33" fillId="0" borderId="0" xfId="196" applyNumberFormat="1" applyFont="1" applyBorder="1" applyAlignment="1">
      <alignment wrapText="1"/>
    </xf>
    <xf numFmtId="2" fontId="33" fillId="0" borderId="0" xfId="196" applyNumberFormat="1" applyFont="1" applyAlignment="1"/>
    <xf numFmtId="0" fontId="15" fillId="0" borderId="6" xfId="0" applyFont="1" applyFill="1" applyBorder="1" applyAlignment="1">
      <alignment horizontal="right" vertical="center"/>
    </xf>
    <xf numFmtId="1" fontId="109" fillId="0" borderId="6" xfId="0" applyNumberFormat="1" applyFont="1" applyFill="1" applyBorder="1" applyAlignment="1">
      <alignment horizontal="center" vertical="center"/>
    </xf>
    <xf numFmtId="1" fontId="109" fillId="34" borderId="0" xfId="0" applyNumberFormat="1" applyFont="1" applyFill="1" applyBorder="1" applyAlignment="1">
      <alignment horizontal="right" vertical="center"/>
    </xf>
    <xf numFmtId="1" fontId="15" fillId="0" borderId="6" xfId="0" applyNumberFormat="1" applyFont="1" applyFill="1" applyBorder="1" applyAlignment="1">
      <alignment horizontal="center" vertical="center"/>
    </xf>
    <xf numFmtId="1" fontId="109" fillId="0" borderId="6" xfId="0" applyNumberFormat="1" applyFont="1" applyFill="1" applyBorder="1" applyAlignment="1">
      <alignment horizontal="right" vertical="center"/>
    </xf>
    <xf numFmtId="0" fontId="23" fillId="34" borderId="0" xfId="0" applyFont="1" applyFill="1" applyBorder="1" applyAlignment="1">
      <alignment horizontal="left" vertical="center"/>
    </xf>
    <xf numFmtId="0" fontId="23" fillId="34" borderId="0" xfId="0" applyFont="1" applyFill="1" applyBorder="1" applyAlignment="1">
      <alignment horizontal="left" vertical="center"/>
    </xf>
    <xf numFmtId="0" fontId="0" fillId="0" borderId="0" xfId="0"/>
    <xf numFmtId="0" fontId="119" fillId="0" borderId="2" xfId="0" applyFont="1" applyBorder="1" applyAlignment="1">
      <alignment horizontal="center" vertical="top" wrapText="1"/>
    </xf>
    <xf numFmtId="0" fontId="122" fillId="0" borderId="2" xfId="0" applyFont="1" applyBorder="1" applyAlignment="1">
      <alignment horizontal="center" vertical="top" wrapText="1"/>
    </xf>
    <xf numFmtId="0" fontId="175" fillId="0" borderId="3" xfId="0" applyFont="1" applyBorder="1" applyAlignment="1">
      <alignment horizontal="center" vertical="top" wrapText="1"/>
    </xf>
    <xf numFmtId="165" fontId="156" fillId="0" borderId="0" xfId="0" applyNumberFormat="1" applyFont="1" applyFill="1"/>
    <xf numFmtId="0" fontId="175" fillId="0" borderId="46" xfId="0" applyFont="1" applyBorder="1" applyAlignment="1">
      <alignment horizontal="center" vertical="top" wrapText="1"/>
    </xf>
    <xf numFmtId="0" fontId="0" fillId="0" borderId="0" xfId="0"/>
    <xf numFmtId="0" fontId="158" fillId="0" borderId="0" xfId="0" applyFont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0" fillId="0" borderId="0" xfId="0"/>
    <xf numFmtId="0" fontId="29" fillId="0" borderId="0" xfId="0" applyFont="1" applyFill="1" applyAlignment="1">
      <alignment horizontal="right"/>
    </xf>
    <xf numFmtId="0" fontId="120" fillId="0" borderId="0" xfId="0" applyFont="1" applyFill="1" applyBorder="1" applyAlignment="1">
      <alignment horizontal="right" vertical="center"/>
    </xf>
    <xf numFmtId="0" fontId="121" fillId="0" borderId="39" xfId="0" applyFont="1" applyFill="1" applyBorder="1" applyAlignment="1">
      <alignment vertical="center"/>
    </xf>
    <xf numFmtId="0" fontId="120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18" fillId="0" borderId="0" xfId="0" applyFont="1" applyFill="1" applyAlignment="1">
      <alignment horizontal="left" wrapText="1"/>
    </xf>
    <xf numFmtId="0" fontId="23" fillId="34" borderId="0" xfId="0" applyFont="1" applyFill="1" applyBorder="1" applyAlignment="1">
      <alignment horizontal="left" vertical="center"/>
    </xf>
    <xf numFmtId="165" fontId="15" fillId="34" borderId="6" xfId="0" applyNumberFormat="1" applyFont="1" applyFill="1" applyBorder="1" applyAlignment="1">
      <alignment horizontal="center" vertical="center"/>
    </xf>
    <xf numFmtId="1" fontId="64" fillId="0" borderId="0" xfId="0" applyNumberFormat="1" applyFont="1" applyFill="1" applyBorder="1"/>
    <xf numFmtId="0" fontId="38" fillId="0" borderId="6" xfId="0" applyFont="1" applyFill="1" applyBorder="1" applyAlignment="1">
      <alignment horizontal="left" wrapText="1"/>
    </xf>
    <xf numFmtId="0" fontId="38" fillId="0" borderId="2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left"/>
    </xf>
    <xf numFmtId="0" fontId="16" fillId="0" borderId="36" xfId="0" applyFont="1" applyBorder="1" applyAlignment="1">
      <alignment horizontal="right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4" fillId="0" borderId="0" xfId="0" applyFont="1" applyAlignment="1"/>
    <xf numFmtId="0" fontId="13" fillId="0" borderId="6" xfId="0" applyFont="1" applyFill="1" applyBorder="1" applyAlignment="1">
      <alignment horizontal="left" vertical="center"/>
    </xf>
    <xf numFmtId="4" fontId="109" fillId="0" borderId="6" xfId="0" applyNumberFormat="1" applyFont="1" applyFill="1" applyBorder="1" applyAlignment="1">
      <alignment horizontal="center" vertical="center" wrapText="1"/>
    </xf>
    <xf numFmtId="0" fontId="21" fillId="0" borderId="0" xfId="196" applyFont="1" applyBorder="1" applyAlignment="1"/>
    <xf numFmtId="0" fontId="109" fillId="0" borderId="0" xfId="0" applyFont="1" applyAlignment="1">
      <alignment vertical="top"/>
    </xf>
    <xf numFmtId="165" fontId="117" fillId="35" borderId="0" xfId="0" applyNumberFormat="1" applyFont="1" applyFill="1" applyBorder="1" applyAlignment="1">
      <alignment horizontal="center" vertical="center" wrapText="1"/>
    </xf>
    <xf numFmtId="165" fontId="117" fillId="35" borderId="0" xfId="0" applyNumberFormat="1" applyFont="1" applyFill="1" applyBorder="1" applyAlignment="1">
      <alignment horizontal="left" vertical="center" wrapText="1"/>
    </xf>
    <xf numFmtId="2" fontId="117" fillId="35" borderId="0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left"/>
    </xf>
    <xf numFmtId="165" fontId="117" fillId="0" borderId="6" xfId="0" applyNumberFormat="1" applyFont="1" applyFill="1" applyBorder="1" applyAlignment="1">
      <alignment horizontal="center" vertical="center" wrapText="1"/>
    </xf>
    <xf numFmtId="0" fontId="15" fillId="35" borderId="0" xfId="0" applyFont="1" applyFill="1" applyBorder="1" applyAlignment="1">
      <alignment vertical="center"/>
    </xf>
    <xf numFmtId="0" fontId="15" fillId="35" borderId="0" xfId="0" applyFont="1" applyFill="1" applyBorder="1" applyAlignment="1">
      <alignment horizontal="left" vertical="center"/>
    </xf>
    <xf numFmtId="165" fontId="15" fillId="35" borderId="0" xfId="0" applyNumberFormat="1" applyFont="1" applyFill="1" applyBorder="1" applyAlignment="1">
      <alignment horizontal="center" vertical="center"/>
    </xf>
    <xf numFmtId="0" fontId="126" fillId="35" borderId="0" xfId="0" applyFont="1" applyFill="1" applyBorder="1" applyAlignment="1">
      <alignment horizontal="left" vertical="center" wrapText="1"/>
    </xf>
    <xf numFmtId="165" fontId="109" fillId="35" borderId="0" xfId="0" applyNumberFormat="1" applyFont="1" applyFill="1" applyBorder="1" applyAlignment="1">
      <alignment horizontal="center" vertical="center"/>
    </xf>
    <xf numFmtId="0" fontId="156" fillId="35" borderId="0" xfId="0" applyFont="1" applyFill="1" applyBorder="1" applyAlignment="1">
      <alignment vertical="center"/>
    </xf>
    <xf numFmtId="0" fontId="135" fillId="35" borderId="0" xfId="0" applyFont="1" applyFill="1" applyBorder="1" applyAlignment="1">
      <alignment horizontal="left" vertical="center" wrapText="1"/>
    </xf>
    <xf numFmtId="2" fontId="135" fillId="35" borderId="0" xfId="0" applyNumberFormat="1" applyFont="1" applyFill="1" applyBorder="1" applyAlignment="1">
      <alignment horizontal="center" vertical="center"/>
    </xf>
    <xf numFmtId="0" fontId="135" fillId="35" borderId="0" xfId="0" applyFont="1" applyFill="1" applyBorder="1" applyAlignment="1">
      <alignment horizontal="right" vertical="center" wrapText="1"/>
    </xf>
    <xf numFmtId="165" fontId="14" fillId="0" borderId="0" xfId="0" applyNumberFormat="1" applyFont="1" applyBorder="1"/>
    <xf numFmtId="184" fontId="156" fillId="0" borderId="0" xfId="0" applyNumberFormat="1" applyFont="1"/>
    <xf numFmtId="165" fontId="130" fillId="0" borderId="0" xfId="0" applyNumberFormat="1" applyFont="1" applyFill="1" applyBorder="1"/>
    <xf numFmtId="0" fontId="8" fillId="0" borderId="0" xfId="0" applyFont="1" applyFill="1" applyBorder="1" applyAlignment="1">
      <alignment horizontal="left" vertical="center"/>
    </xf>
    <xf numFmtId="0" fontId="8" fillId="34" borderId="0" xfId="0" applyFont="1" applyFill="1" applyBorder="1" applyAlignment="1">
      <alignment horizontal="left" vertical="center"/>
    </xf>
    <xf numFmtId="0" fontId="13" fillId="34" borderId="6" xfId="0" applyFont="1" applyFill="1" applyBorder="1" applyAlignment="1">
      <alignment horizontal="center" vertical="center" wrapText="1"/>
    </xf>
    <xf numFmtId="0" fontId="13" fillId="34" borderId="6" xfId="0" applyFont="1" applyFill="1" applyBorder="1" applyAlignment="1">
      <alignment horizontal="right" vertical="center" wrapText="1"/>
    </xf>
    <xf numFmtId="0" fontId="109" fillId="34" borderId="6" xfId="0" applyFont="1" applyFill="1" applyBorder="1" applyAlignment="1">
      <alignment vertical="center"/>
    </xf>
    <xf numFmtId="1" fontId="109" fillId="34" borderId="6" xfId="0" applyNumberFormat="1" applyFont="1" applyFill="1" applyBorder="1" applyAlignment="1">
      <alignment horizontal="center" vertical="center"/>
    </xf>
    <xf numFmtId="1" fontId="38" fillId="0" borderId="6" xfId="0" applyNumberFormat="1" applyFont="1" applyFill="1" applyBorder="1" applyAlignment="1">
      <alignment horizontal="center" vertical="center" wrapText="1"/>
    </xf>
    <xf numFmtId="4" fontId="38" fillId="0" borderId="6" xfId="0" applyNumberFormat="1" applyFont="1" applyFill="1" applyBorder="1" applyAlignment="1">
      <alignment horizontal="center" vertical="center" wrapText="1"/>
    </xf>
    <xf numFmtId="3" fontId="38" fillId="0" borderId="6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23" fillId="34" borderId="0" xfId="0" applyFont="1" applyFill="1" applyBorder="1" applyAlignment="1">
      <alignment horizontal="left" vertical="center"/>
    </xf>
    <xf numFmtId="2" fontId="123" fillId="0" borderId="6" xfId="0" applyNumberFormat="1" applyFont="1" applyFill="1" applyBorder="1" applyAlignment="1">
      <alignment horizontal="center"/>
    </xf>
    <xf numFmtId="2" fontId="123" fillId="0" borderId="6" xfId="0" applyNumberFormat="1" applyFont="1" applyFill="1" applyBorder="1" applyAlignment="1">
      <alignment horizontal="center" vertical="center"/>
    </xf>
    <xf numFmtId="0" fontId="123" fillId="0" borderId="6" xfId="0" applyFont="1" applyFill="1" applyBorder="1" applyAlignment="1">
      <alignment horizontal="center"/>
    </xf>
    <xf numFmtId="2" fontId="16" fillId="0" borderId="6" xfId="0" applyNumberFormat="1" applyFont="1" applyFill="1" applyBorder="1" applyAlignment="1">
      <alignment horizontal="center" vertical="center"/>
    </xf>
    <xf numFmtId="2" fontId="16" fillId="0" borderId="6" xfId="0" applyNumberFormat="1" applyFont="1" applyFill="1" applyBorder="1" applyAlignment="1">
      <alignment horizontal="center" vertical="center" wrapText="1"/>
    </xf>
    <xf numFmtId="1" fontId="16" fillId="0" borderId="6" xfId="0" applyNumberFormat="1" applyFont="1" applyFill="1" applyBorder="1" applyAlignment="1">
      <alignment horizontal="center" vertical="center" wrapText="1"/>
    </xf>
    <xf numFmtId="2" fontId="123" fillId="0" borderId="6" xfId="0" applyNumberFormat="1" applyFont="1" applyFill="1" applyBorder="1" applyAlignment="1">
      <alignment horizontal="left" vertical="center"/>
    </xf>
    <xf numFmtId="1" fontId="109" fillId="0" borderId="0" xfId="0" applyNumberFormat="1" applyFont="1" applyFill="1" applyBorder="1" applyAlignment="1">
      <alignment horizontal="right" vertical="center"/>
    </xf>
    <xf numFmtId="1" fontId="15" fillId="34" borderId="0" xfId="0" applyNumberFormat="1" applyFont="1" applyFill="1"/>
    <xf numFmtId="168" fontId="15" fillId="34" borderId="0" xfId="0" applyNumberFormat="1" applyFont="1" applyFill="1"/>
    <xf numFmtId="165" fontId="117" fillId="35" borderId="6" xfId="0" applyNumberFormat="1" applyFont="1" applyFill="1" applyBorder="1" applyAlignment="1">
      <alignment horizontal="center" vertical="center" wrapText="1"/>
    </xf>
    <xf numFmtId="2" fontId="38" fillId="0" borderId="6" xfId="0" applyNumberFormat="1" applyFont="1" applyFill="1" applyBorder="1" applyAlignment="1">
      <alignment horizontal="center"/>
    </xf>
    <xf numFmtId="2" fontId="109" fillId="34" borderId="6" xfId="0" applyNumberFormat="1" applyFont="1" applyFill="1" applyBorder="1" applyAlignment="1">
      <alignment horizontal="center" vertical="center"/>
    </xf>
    <xf numFmtId="0" fontId="0" fillId="0" borderId="0" xfId="0"/>
    <xf numFmtId="0" fontId="13" fillId="0" borderId="0" xfId="0" applyFont="1" applyFill="1" applyBorder="1" applyAlignment="1">
      <alignment horizontal="left" vertical="center" wrapText="1"/>
    </xf>
    <xf numFmtId="0" fontId="15" fillId="40" borderId="0" xfId="0" applyFont="1" applyFill="1" applyBorder="1" applyAlignment="1">
      <alignment horizontal="left" vertical="center"/>
    </xf>
    <xf numFmtId="2" fontId="15" fillId="40" borderId="0" xfId="0" applyNumberFormat="1" applyFont="1" applyFill="1" applyBorder="1" applyAlignment="1">
      <alignment horizontal="center" vertical="center"/>
    </xf>
    <xf numFmtId="0" fontId="40" fillId="34" borderId="6" xfId="0" applyFont="1" applyFill="1" applyBorder="1" applyAlignment="1">
      <alignment horizontal="center" vertical="center" wrapText="1"/>
    </xf>
    <xf numFmtId="0" fontId="38" fillId="34" borderId="6" xfId="0" applyFont="1" applyFill="1" applyBorder="1" applyAlignment="1">
      <alignment horizontal="left" vertical="top"/>
    </xf>
    <xf numFmtId="1" fontId="38" fillId="34" borderId="6" xfId="0" applyNumberFormat="1" applyFont="1" applyFill="1" applyBorder="1" applyAlignment="1">
      <alignment horizontal="center" vertical="center"/>
    </xf>
    <xf numFmtId="46" fontId="38" fillId="34" borderId="6" xfId="0" applyNumberFormat="1" applyFont="1" applyFill="1" applyBorder="1" applyAlignment="1">
      <alignment horizontal="center" vertical="center"/>
    </xf>
    <xf numFmtId="2" fontId="19" fillId="34" borderId="6" xfId="0" applyNumberFormat="1" applyFont="1" applyFill="1" applyBorder="1" applyAlignment="1">
      <alignment horizontal="center" vertical="center"/>
    </xf>
    <xf numFmtId="0" fontId="38" fillId="34" borderId="6" xfId="0" applyFont="1" applyFill="1" applyBorder="1" applyAlignment="1">
      <alignment horizontal="center" vertical="center"/>
    </xf>
    <xf numFmtId="2" fontId="38" fillId="34" borderId="6" xfId="0" applyNumberFormat="1" applyFont="1" applyFill="1" applyBorder="1" applyAlignment="1">
      <alignment horizontal="center" vertical="center"/>
    </xf>
    <xf numFmtId="0" fontId="0" fillId="0" borderId="0" xfId="0"/>
    <xf numFmtId="0" fontId="15" fillId="0" borderId="0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1" fontId="33" fillId="0" borderId="0" xfId="0" applyNumberFormat="1" applyFont="1" applyFill="1" applyBorder="1" applyAlignment="1">
      <alignment horizontal="left"/>
    </xf>
    <xf numFmtId="1" fontId="33" fillId="0" borderId="0" xfId="0" applyNumberFormat="1" applyFont="1" applyFill="1" applyAlignment="1"/>
    <xf numFmtId="1" fontId="15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/>
    <xf numFmtId="0" fontId="15" fillId="0" borderId="52" xfId="0" applyFont="1" applyBorder="1" applyAlignment="1">
      <alignment horizontal="center" vertical="center" wrapText="1"/>
    </xf>
    <xf numFmtId="0" fontId="15" fillId="0" borderId="52" xfId="0" applyFont="1" applyFill="1" applyBorder="1" applyAlignment="1">
      <alignment horizontal="center" vertical="center" wrapText="1"/>
    </xf>
    <xf numFmtId="2" fontId="14" fillId="0" borderId="0" xfId="0" applyNumberFormat="1" applyFont="1" applyBorder="1" applyAlignment="1">
      <alignment horizontal="center" vertical="center" wrapText="1"/>
    </xf>
    <xf numFmtId="2" fontId="14" fillId="34" borderId="0" xfId="0" applyNumberFormat="1" applyFont="1" applyFill="1" applyBorder="1" applyAlignment="1">
      <alignment horizontal="center" vertical="center" wrapText="1"/>
    </xf>
    <xf numFmtId="0" fontId="34" fillId="34" borderId="0" xfId="0" applyFont="1" applyFill="1" applyBorder="1" applyAlignment="1">
      <alignment wrapText="1"/>
    </xf>
    <xf numFmtId="2" fontId="14" fillId="34" borderId="0" xfId="0" applyNumberFormat="1" applyFont="1" applyFill="1" applyBorder="1" applyAlignment="1">
      <alignment horizontal="center" wrapText="1"/>
    </xf>
    <xf numFmtId="2" fontId="14" fillId="0" borderId="0" xfId="0" applyNumberFormat="1" applyFont="1" applyBorder="1" applyAlignment="1">
      <alignment horizontal="center" wrapText="1"/>
    </xf>
    <xf numFmtId="2" fontId="14" fillId="0" borderId="0" xfId="0" applyNumberFormat="1" applyFont="1" applyFill="1" applyBorder="1" applyAlignment="1">
      <alignment horizontal="center" wrapText="1"/>
    </xf>
    <xf numFmtId="2" fontId="14" fillId="34" borderId="0" xfId="0" applyNumberFormat="1" applyFont="1" applyFill="1" applyBorder="1" applyAlignment="1">
      <alignment horizontal="center"/>
    </xf>
    <xf numFmtId="2" fontId="14" fillId="0" borderId="6" xfId="0" applyNumberFormat="1" applyFont="1" applyFill="1" applyBorder="1" applyAlignment="1">
      <alignment horizontal="center" vertical="center" wrapText="1"/>
    </xf>
    <xf numFmtId="2" fontId="14" fillId="0" borderId="6" xfId="0" applyNumberFormat="1" applyFont="1" applyFill="1" applyBorder="1" applyAlignment="1">
      <alignment horizontal="left" vertical="center" wrapText="1"/>
    </xf>
    <xf numFmtId="165" fontId="117" fillId="34" borderId="0" xfId="0" applyNumberFormat="1" applyFont="1" applyFill="1" applyBorder="1" applyAlignment="1">
      <alignment horizontal="left" vertical="center" wrapText="1"/>
    </xf>
    <xf numFmtId="2" fontId="109" fillId="0" borderId="0" xfId="0" applyNumberFormat="1" applyFont="1" applyFill="1" applyBorder="1" applyAlignment="1">
      <alignment horizontal="left" vertical="center"/>
    </xf>
    <xf numFmtId="0" fontId="146" fillId="0" borderId="0" xfId="0" applyFont="1" applyBorder="1" applyAlignment="1">
      <alignment horizontal="left" vertical="top" wrapText="1"/>
    </xf>
    <xf numFmtId="0" fontId="0" fillId="0" borderId="0" xfId="0"/>
    <xf numFmtId="165" fontId="123" fillId="0" borderId="0" xfId="0" applyNumberFormat="1" applyFont="1" applyFill="1" applyAlignment="1">
      <alignment horizontal="center" vertical="center"/>
    </xf>
    <xf numFmtId="0" fontId="0" fillId="0" borderId="0" xfId="0"/>
    <xf numFmtId="0" fontId="21" fillId="0" borderId="0" xfId="196" applyFont="1" applyAlignment="1">
      <alignment horizontal="right"/>
    </xf>
    <xf numFmtId="0" fontId="19" fillId="0" borderId="0" xfId="0" applyFont="1" applyAlignment="1">
      <alignment horizontal="left" vertical="center"/>
    </xf>
    <xf numFmtId="0" fontId="14" fillId="0" borderId="0" xfId="0" applyFont="1" applyAlignment="1"/>
    <xf numFmtId="172" fontId="109" fillId="34" borderId="6" xfId="0" applyNumberFormat="1" applyFont="1" applyFill="1" applyBorder="1" applyAlignment="1">
      <alignment horizontal="center" vertical="center" wrapText="1"/>
    </xf>
    <xf numFmtId="2" fontId="109" fillId="34" borderId="6" xfId="0" applyNumberFormat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23" fillId="34" borderId="0" xfId="0" applyFont="1" applyFill="1" applyBorder="1" applyAlignment="1">
      <alignment horizontal="left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20" fillId="0" borderId="53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/>
    </xf>
    <xf numFmtId="0" fontId="15" fillId="0" borderId="36" xfId="0" applyFont="1" applyBorder="1" applyAlignment="1">
      <alignment horizontal="right" wrapText="1"/>
    </xf>
    <xf numFmtId="0" fontId="15" fillId="40" borderId="6" xfId="0" applyFont="1" applyFill="1" applyBorder="1" applyAlignment="1">
      <alignment horizontal="left" vertical="center"/>
    </xf>
    <xf numFmtId="2" fontId="117" fillId="0" borderId="6" xfId="0" applyNumberFormat="1" applyFont="1" applyFill="1" applyBorder="1" applyAlignment="1">
      <alignment horizontal="center" vertical="center" wrapText="1"/>
    </xf>
    <xf numFmtId="0" fontId="15" fillId="35" borderId="0" xfId="196" applyFont="1" applyFill="1" applyBorder="1" applyAlignment="1">
      <alignment horizontal="left" vertical="center"/>
    </xf>
    <xf numFmtId="2" fontId="15" fillId="35" borderId="0" xfId="196" applyNumberFormat="1" applyFont="1" applyFill="1" applyBorder="1" applyAlignment="1">
      <alignment horizontal="center" vertical="center"/>
    </xf>
    <xf numFmtId="0" fontId="15" fillId="35" borderId="0" xfId="196" applyFont="1" applyFill="1" applyBorder="1" applyAlignment="1">
      <alignment horizontal="center" vertical="center"/>
    </xf>
    <xf numFmtId="165" fontId="15" fillId="35" borderId="0" xfId="196" applyNumberFormat="1" applyFont="1" applyFill="1" applyBorder="1" applyAlignment="1">
      <alignment horizontal="center" vertical="center"/>
    </xf>
    <xf numFmtId="167" fontId="15" fillId="35" borderId="0" xfId="196" applyNumberFormat="1" applyFont="1" applyFill="1" applyBorder="1" applyAlignment="1">
      <alignment horizontal="center" vertical="center"/>
    </xf>
    <xf numFmtId="0" fontId="15" fillId="34" borderId="6" xfId="196" applyFont="1" applyFill="1" applyBorder="1" applyAlignment="1">
      <alignment horizontal="left" vertical="center"/>
    </xf>
    <xf numFmtId="2" fontId="15" fillId="34" borderId="6" xfId="196" applyNumberFormat="1" applyFont="1" applyFill="1" applyBorder="1" applyAlignment="1">
      <alignment horizontal="center" vertical="center"/>
    </xf>
    <xf numFmtId="0" fontId="15" fillId="34" borderId="6" xfId="196" applyFont="1" applyFill="1" applyBorder="1" applyAlignment="1">
      <alignment horizontal="center" vertical="center"/>
    </xf>
    <xf numFmtId="165" fontId="15" fillId="34" borderId="6" xfId="196" applyNumberFormat="1" applyFont="1" applyFill="1" applyBorder="1" applyAlignment="1">
      <alignment horizontal="center" vertical="center"/>
    </xf>
    <xf numFmtId="167" fontId="15" fillId="34" borderId="6" xfId="196" applyNumberFormat="1" applyFont="1" applyFill="1" applyBorder="1" applyAlignment="1">
      <alignment horizontal="center" vertical="center"/>
    </xf>
    <xf numFmtId="0" fontId="15" fillId="35" borderId="6" xfId="0" applyFont="1" applyFill="1" applyBorder="1" applyAlignment="1">
      <alignment vertical="center"/>
    </xf>
    <xf numFmtId="0" fontId="109" fillId="35" borderId="0" xfId="0" applyFont="1" applyFill="1" applyBorder="1"/>
    <xf numFmtId="165" fontId="109" fillId="35" borderId="0" xfId="0" applyNumberFormat="1" applyFont="1" applyFill="1" applyBorder="1"/>
    <xf numFmtId="1" fontId="109" fillId="35" borderId="0" xfId="0" applyNumberFormat="1" applyFont="1" applyFill="1" applyBorder="1"/>
    <xf numFmtId="0" fontId="109" fillId="34" borderId="6" xfId="0" applyFont="1" applyFill="1" applyBorder="1"/>
    <xf numFmtId="165" fontId="109" fillId="34" borderId="6" xfId="0" applyNumberFormat="1" applyFont="1" applyFill="1" applyBorder="1"/>
    <xf numFmtId="1" fontId="109" fillId="34" borderId="6" xfId="0" applyNumberFormat="1" applyFont="1" applyFill="1" applyBorder="1"/>
    <xf numFmtId="0" fontId="15" fillId="0" borderId="0" xfId="0" applyFont="1" applyFill="1" applyBorder="1" applyAlignment="1">
      <alignment horizontal="left" vertical="center"/>
    </xf>
    <xf numFmtId="165" fontId="117" fillId="34" borderId="6" xfId="0" applyNumberFormat="1" applyFont="1" applyFill="1" applyBorder="1" applyAlignment="1">
      <alignment horizontal="center" vertical="center" wrapText="1"/>
    </xf>
    <xf numFmtId="165" fontId="117" fillId="34" borderId="6" xfId="0" applyNumberFormat="1" applyFont="1" applyFill="1" applyBorder="1" applyAlignment="1">
      <alignment horizontal="left" vertical="center" wrapText="1"/>
    </xf>
    <xf numFmtId="0" fontId="13" fillId="0" borderId="6" xfId="0" applyFont="1" applyFill="1" applyBorder="1" applyAlignment="1"/>
    <xf numFmtId="2" fontId="109" fillId="34" borderId="0" xfId="0" applyNumberFormat="1" applyFont="1" applyFill="1" applyBorder="1" applyAlignment="1">
      <alignment horizontal="left" vertical="center"/>
    </xf>
    <xf numFmtId="2" fontId="109" fillId="0" borderId="6" xfId="0" applyNumberFormat="1" applyFont="1" applyFill="1" applyBorder="1" applyAlignment="1">
      <alignment horizontal="left" vertical="center"/>
    </xf>
    <xf numFmtId="0" fontId="15" fillId="0" borderId="6" xfId="0" applyFont="1" applyFill="1" applyBorder="1" applyAlignment="1">
      <alignment horizontal="right"/>
    </xf>
    <xf numFmtId="167" fontId="33" fillId="0" borderId="0" xfId="196" applyNumberFormat="1" applyFont="1"/>
    <xf numFmtId="0" fontId="135" fillId="0" borderId="6" xfId="0" applyFont="1" applyFill="1" applyBorder="1" applyAlignment="1">
      <alignment horizontal="left" vertical="center" wrapText="1"/>
    </xf>
    <xf numFmtId="2" fontId="135" fillId="0" borderId="6" xfId="0" applyNumberFormat="1" applyFont="1" applyFill="1" applyBorder="1" applyAlignment="1">
      <alignment horizontal="center" vertical="center"/>
    </xf>
    <xf numFmtId="0" fontId="135" fillId="0" borderId="6" xfId="0" applyFont="1" applyFill="1" applyBorder="1" applyAlignment="1">
      <alignment horizontal="right" vertical="center" wrapText="1"/>
    </xf>
    <xf numFmtId="0" fontId="123" fillId="0" borderId="6" xfId="0" applyFont="1" applyFill="1" applyBorder="1" applyAlignment="1">
      <alignment horizontal="left" vertical="center"/>
    </xf>
    <xf numFmtId="165" fontId="123" fillId="0" borderId="6" xfId="0" applyNumberFormat="1" applyFont="1" applyFill="1" applyBorder="1" applyAlignment="1">
      <alignment horizontal="center" vertical="center"/>
    </xf>
    <xf numFmtId="0" fontId="126" fillId="0" borderId="6" xfId="0" applyFont="1" applyFill="1" applyBorder="1" applyAlignment="1">
      <alignment horizontal="left" vertical="center" wrapText="1"/>
    </xf>
    <xf numFmtId="165" fontId="109" fillId="0" borderId="6" xfId="0" applyNumberFormat="1" applyFont="1" applyFill="1" applyBorder="1" applyAlignment="1">
      <alignment horizontal="center" vertical="center"/>
    </xf>
    <xf numFmtId="165" fontId="81" fillId="0" borderId="0" xfId="0" applyNumberFormat="1" applyFont="1" applyBorder="1"/>
    <xf numFmtId="2" fontId="13" fillId="34" borderId="6" xfId="0" applyNumberFormat="1" applyFont="1" applyFill="1" applyBorder="1" applyAlignment="1">
      <alignment horizontal="left" vertical="center" wrapText="1"/>
    </xf>
    <xf numFmtId="0" fontId="40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left"/>
    </xf>
    <xf numFmtId="0" fontId="28" fillId="0" borderId="0" xfId="0" applyFont="1" applyBorder="1" applyAlignment="1">
      <alignment horizontal="center"/>
    </xf>
    <xf numFmtId="0" fontId="20" fillId="0" borderId="2" xfId="0" applyFont="1" applyBorder="1" applyAlignment="1">
      <alignment horizontal="center" vertical="center" wrapText="1"/>
    </xf>
    <xf numFmtId="0" fontId="14" fillId="0" borderId="0" xfId="0" applyFont="1" applyAlignment="1"/>
    <xf numFmtId="0" fontId="13" fillId="0" borderId="3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40" fillId="35" borderId="0" xfId="0" applyFont="1" applyFill="1" applyBorder="1" applyAlignment="1">
      <alignment horizontal="left" vertical="center"/>
    </xf>
    <xf numFmtId="2" fontId="13" fillId="35" borderId="0" xfId="0" applyNumberFormat="1" applyFont="1" applyFill="1" applyBorder="1" applyAlignment="1">
      <alignment horizontal="center" vertical="center"/>
    </xf>
    <xf numFmtId="2" fontId="109" fillId="35" borderId="0" xfId="0" applyNumberFormat="1" applyFont="1" applyFill="1" applyBorder="1" applyAlignment="1">
      <alignment horizontal="center" vertical="center" wrapText="1"/>
    </xf>
    <xf numFmtId="2" fontId="109" fillId="34" borderId="6" xfId="0" applyNumberFormat="1" applyFont="1" applyFill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left" vertical="top"/>
    </xf>
    <xf numFmtId="1" fontId="47" fillId="0" borderId="6" xfId="0" applyNumberFormat="1" applyFont="1" applyFill="1" applyBorder="1" applyAlignment="1">
      <alignment horizontal="center" vertical="center"/>
    </xf>
    <xf numFmtId="2" fontId="47" fillId="0" borderId="6" xfId="0" applyNumberFormat="1" applyFont="1" applyFill="1" applyBorder="1" applyAlignment="1">
      <alignment horizontal="center" vertical="center"/>
    </xf>
    <xf numFmtId="165" fontId="15" fillId="34" borderId="6" xfId="0" applyNumberFormat="1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vertical="top" wrapText="1"/>
    </xf>
    <xf numFmtId="1" fontId="15" fillId="0" borderId="6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right" vertical="top" wrapText="1"/>
    </xf>
    <xf numFmtId="0" fontId="0" fillId="0" borderId="0" xfId="0"/>
    <xf numFmtId="165" fontId="15" fillId="0" borderId="0" xfId="0" applyNumberFormat="1" applyFont="1" applyBorder="1" applyAlignment="1">
      <alignment horizontal="center"/>
    </xf>
    <xf numFmtId="0" fontId="0" fillId="0" borderId="0" xfId="0"/>
    <xf numFmtId="0" fontId="29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5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18" fillId="0" borderId="0" xfId="0" applyFont="1" applyBorder="1" applyAlignment="1">
      <alignment horizontal="left" wrapText="1"/>
    </xf>
    <xf numFmtId="0" fontId="18" fillId="0" borderId="0" xfId="0" applyFont="1" applyBorder="1" applyAlignment="1">
      <alignment horizontal="center" wrapText="1"/>
    </xf>
    <xf numFmtId="0" fontId="18" fillId="0" borderId="0" xfId="0" applyFont="1" applyFill="1" applyBorder="1" applyAlignment="1">
      <alignment horizontal="left" wrapText="1"/>
    </xf>
    <xf numFmtId="0" fontId="10" fillId="0" borderId="0" xfId="0" applyFont="1" applyBorder="1" applyAlignment="1">
      <alignment horizontal="right" wrapText="1"/>
    </xf>
    <xf numFmtId="0" fontId="15" fillId="0" borderId="0" xfId="0" applyFont="1" applyAlignment="1">
      <alignment horizontal="left"/>
    </xf>
    <xf numFmtId="0" fontId="19" fillId="0" borderId="0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left" wrapText="1"/>
    </xf>
    <xf numFmtId="0" fontId="27" fillId="0" borderId="0" xfId="0" applyFont="1" applyAlignment="1">
      <alignment horizontal="left" wrapText="1"/>
    </xf>
    <xf numFmtId="0" fontId="15" fillId="0" borderId="0" xfId="0" applyFont="1" applyBorder="1" applyAlignment="1">
      <alignment horizontal="right" wrapText="1"/>
    </xf>
    <xf numFmtId="0" fontId="25" fillId="0" borderId="0" xfId="0" applyFont="1" applyAlignment="1">
      <alignment horizontal="left" wrapText="1"/>
    </xf>
    <xf numFmtId="0" fontId="15" fillId="0" borderId="6" xfId="0" applyFont="1" applyFill="1" applyBorder="1" applyAlignment="1">
      <alignment horizontal="center" vertical="center"/>
    </xf>
    <xf numFmtId="0" fontId="0" fillId="0" borderId="0" xfId="0"/>
    <xf numFmtId="0" fontId="7" fillId="0" borderId="3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/>
    </xf>
    <xf numFmtId="0" fontId="13" fillId="0" borderId="51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 wrapText="1"/>
    </xf>
    <xf numFmtId="0" fontId="23" fillId="0" borderId="0" xfId="0" applyFont="1" applyFill="1" applyAlignment="1"/>
    <xf numFmtId="0" fontId="0" fillId="0" borderId="0" xfId="0"/>
    <xf numFmtId="0" fontId="21" fillId="0" borderId="0" xfId="196" applyFont="1" applyBorder="1" applyAlignment="1">
      <alignment horizontal="right"/>
    </xf>
    <xf numFmtId="0" fontId="7" fillId="0" borderId="0" xfId="196" applyFont="1" applyBorder="1" applyAlignment="1">
      <alignment horizontal="right" wrapText="1"/>
    </xf>
    <xf numFmtId="0" fontId="21" fillId="0" borderId="0" xfId="0" applyFont="1" applyBorder="1" applyAlignment="1">
      <alignment horizontal="right"/>
    </xf>
    <xf numFmtId="0" fontId="29" fillId="0" borderId="50" xfId="0" applyFont="1" applyBorder="1" applyAlignment="1">
      <alignment horizontal="right" wrapText="1"/>
    </xf>
    <xf numFmtId="0" fontId="21" fillId="0" borderId="0" xfId="0" applyFont="1" applyFill="1" applyAlignment="1">
      <alignment horizontal="right"/>
    </xf>
    <xf numFmtId="0" fontId="29" fillId="0" borderId="0" xfId="0" applyFont="1" applyFill="1" applyAlignment="1">
      <alignment horizontal="right"/>
    </xf>
    <xf numFmtId="0" fontId="16" fillId="0" borderId="55" xfId="0" applyFont="1" applyFill="1" applyBorder="1" applyAlignment="1">
      <alignment horizontal="right" vertical="top" wrapText="1"/>
    </xf>
    <xf numFmtId="0" fontId="15" fillId="0" borderId="0" xfId="0" applyFont="1" applyFill="1" applyBorder="1" applyAlignment="1">
      <alignment horizontal="left" vertical="center"/>
    </xf>
    <xf numFmtId="0" fontId="0" fillId="0" borderId="0" xfId="0"/>
    <xf numFmtId="0" fontId="15" fillId="0" borderId="0" xfId="0" applyFont="1" applyFill="1" applyBorder="1" applyAlignment="1">
      <alignment horizontal="left" vertical="center"/>
    </xf>
    <xf numFmtId="0" fontId="16" fillId="0" borderId="5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33" fillId="0" borderId="0" xfId="0" applyFont="1" applyFill="1" applyBorder="1" applyAlignment="1">
      <alignment horizontal="left"/>
    </xf>
    <xf numFmtId="0" fontId="16" fillId="0" borderId="14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23" fillId="34" borderId="0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/>
    </xf>
    <xf numFmtId="0" fontId="38" fillId="0" borderId="0" xfId="0" applyFont="1" applyBorder="1" applyAlignment="1">
      <alignment horizontal="left" vertical="top" wrapText="1"/>
    </xf>
    <xf numFmtId="0" fontId="122" fillId="0" borderId="51" xfId="232" applyFont="1" applyBorder="1" applyAlignment="1">
      <alignment horizontal="center" vertical="center" wrapText="1"/>
    </xf>
    <xf numFmtId="0" fontId="122" fillId="0" borderId="18" xfId="232" applyFont="1" applyBorder="1" applyAlignment="1">
      <alignment horizontal="center" vertical="center" wrapText="1"/>
    </xf>
    <xf numFmtId="0" fontId="0" fillId="0" borderId="0" xfId="0"/>
    <xf numFmtId="0" fontId="29" fillId="0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left"/>
    </xf>
    <xf numFmtId="0" fontId="23" fillId="34" borderId="0" xfId="0" applyFont="1" applyFill="1" applyBorder="1" applyAlignment="1">
      <alignment horizontal="left" vertical="center"/>
    </xf>
    <xf numFmtId="0" fontId="16" fillId="0" borderId="54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17" fillId="34" borderId="0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9" fillId="0" borderId="39" xfId="0" applyFont="1" applyBorder="1" applyAlignment="1">
      <alignment horizontal="center" vertical="center" wrapText="1"/>
    </xf>
    <xf numFmtId="0" fontId="122" fillId="0" borderId="56" xfId="232" applyFont="1" applyBorder="1" applyAlignment="1">
      <alignment horizontal="center" vertical="center" wrapText="1"/>
    </xf>
    <xf numFmtId="0" fontId="8" fillId="39" borderId="43" xfId="0" applyFont="1" applyFill="1" applyBorder="1" applyAlignment="1">
      <alignment horizontal="center" vertical="center" wrapText="1"/>
    </xf>
    <xf numFmtId="0" fontId="8" fillId="39" borderId="15" xfId="0" applyFont="1" applyFill="1" applyBorder="1" applyAlignment="1">
      <alignment horizontal="center" vertical="center" wrapText="1"/>
    </xf>
    <xf numFmtId="0" fontId="27" fillId="39" borderId="2" xfId="0" applyFont="1" applyFill="1" applyBorder="1" applyAlignment="1">
      <alignment horizontal="center" vertical="center"/>
    </xf>
    <xf numFmtId="0" fontId="7" fillId="39" borderId="57" xfId="0" applyFont="1" applyFill="1" applyBorder="1" applyAlignment="1">
      <alignment horizontal="center" vertical="center" wrapText="1"/>
    </xf>
    <xf numFmtId="0" fontId="7" fillId="39" borderId="14" xfId="0" applyFont="1" applyFill="1" applyBorder="1" applyAlignment="1">
      <alignment horizontal="center" vertical="center" wrapText="1"/>
    </xf>
    <xf numFmtId="0" fontId="23" fillId="39" borderId="2" xfId="0" applyFont="1" applyFill="1" applyBorder="1" applyAlignment="1">
      <alignment horizontal="center" vertical="center"/>
    </xf>
    <xf numFmtId="0" fontId="8" fillId="39" borderId="2" xfId="196" applyFont="1" applyFill="1" applyBorder="1" applyAlignment="1">
      <alignment horizontal="center" vertical="center" wrapText="1"/>
    </xf>
    <xf numFmtId="0" fontId="27" fillId="39" borderId="2" xfId="196" applyFont="1" applyFill="1" applyBorder="1" applyAlignment="1">
      <alignment horizontal="center" vertical="center" wrapText="1"/>
    </xf>
    <xf numFmtId="0" fontId="29" fillId="39" borderId="2" xfId="0" applyFont="1" applyFill="1" applyBorder="1" applyAlignment="1">
      <alignment horizontal="center" vertical="center" wrapText="1"/>
    </xf>
    <xf numFmtId="0" fontId="27" fillId="39" borderId="2" xfId="0" applyFont="1" applyFill="1" applyBorder="1" applyAlignment="1">
      <alignment horizontal="center" vertical="center" wrapText="1"/>
    </xf>
    <xf numFmtId="0" fontId="23" fillId="39" borderId="2" xfId="0" applyFont="1" applyFill="1" applyBorder="1" applyAlignment="1">
      <alignment horizontal="center" vertical="center" wrapText="1"/>
    </xf>
    <xf numFmtId="0" fontId="23" fillId="39" borderId="2" xfId="0" quotePrefix="1" applyFont="1" applyFill="1" applyBorder="1" applyAlignment="1">
      <alignment horizontal="center" vertical="center" wrapText="1"/>
    </xf>
    <xf numFmtId="0" fontId="17" fillId="39" borderId="2" xfId="0" applyFont="1" applyFill="1" applyBorder="1" applyAlignment="1">
      <alignment horizontal="center" vertical="center" wrapText="1"/>
    </xf>
    <xf numFmtId="0" fontId="28" fillId="39" borderId="2" xfId="0" applyFont="1" applyFill="1" applyBorder="1" applyAlignment="1">
      <alignment horizontal="center" vertical="center" wrapText="1"/>
    </xf>
    <xf numFmtId="0" fontId="17" fillId="39" borderId="2" xfId="0" applyFont="1" applyFill="1" applyBorder="1" applyAlignment="1">
      <alignment wrapText="1"/>
    </xf>
    <xf numFmtId="0" fontId="17" fillId="39" borderId="2" xfId="0" applyFont="1" applyFill="1" applyBorder="1" applyAlignment="1">
      <alignment horizontal="center" wrapText="1"/>
    </xf>
    <xf numFmtId="0" fontId="20" fillId="39" borderId="2" xfId="0" applyFont="1" applyFill="1" applyBorder="1" applyAlignment="1">
      <alignment horizontal="center" vertical="center" wrapText="1"/>
    </xf>
    <xf numFmtId="0" fontId="59" fillId="39" borderId="2" xfId="0" applyFont="1" applyFill="1" applyBorder="1" applyAlignment="1">
      <alignment horizontal="center" vertical="center" wrapText="1"/>
    </xf>
    <xf numFmtId="0" fontId="59" fillId="39" borderId="39" xfId="0" applyFont="1" applyFill="1" applyBorder="1" applyAlignment="1">
      <alignment horizontal="center" vertical="center" wrapText="1"/>
    </xf>
    <xf numFmtId="0" fontId="34" fillId="39" borderId="2" xfId="0" applyFont="1" applyFill="1" applyBorder="1" applyAlignment="1">
      <alignment horizontal="center" vertical="center" wrapText="1"/>
    </xf>
    <xf numFmtId="0" fontId="23" fillId="39" borderId="51" xfId="0" applyFont="1" applyFill="1" applyBorder="1" applyAlignment="1">
      <alignment horizontal="center" vertical="center" wrapText="1"/>
    </xf>
    <xf numFmtId="0" fontId="10" fillId="39" borderId="2" xfId="0" applyFont="1" applyFill="1" applyBorder="1" applyAlignment="1">
      <alignment horizontal="center" vertical="center" wrapText="1"/>
    </xf>
    <xf numFmtId="0" fontId="28" fillId="39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Fill="1" applyBorder="1" applyAlignment="1">
      <alignment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9" fillId="0" borderId="2" xfId="0" applyFont="1" applyBorder="1" applyAlignment="1">
      <alignment horizontal="center" vertical="center" wrapText="1"/>
    </xf>
    <xf numFmtId="0" fontId="122" fillId="0" borderId="2" xfId="232" applyFont="1" applyBorder="1" applyAlignment="1">
      <alignment horizontal="center" vertical="center" wrapText="1"/>
    </xf>
    <xf numFmtId="0" fontId="122" fillId="0" borderId="51" xfId="232" applyFont="1" applyBorder="1" applyAlignment="1">
      <alignment horizontal="center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31" fillId="0" borderId="0" xfId="0" applyFont="1" applyFill="1" applyBorder="1"/>
    <xf numFmtId="0" fontId="30" fillId="0" borderId="0" xfId="0" applyFont="1" applyFill="1" applyBorder="1"/>
    <xf numFmtId="0" fontId="16" fillId="0" borderId="0" xfId="0" applyFont="1" applyFill="1" applyBorder="1"/>
    <xf numFmtId="0" fontId="16" fillId="0" borderId="36" xfId="0" applyFont="1" applyFill="1" applyBorder="1" applyAlignment="1">
      <alignment horizontal="right" wrapText="1"/>
    </xf>
    <xf numFmtId="0" fontId="16" fillId="0" borderId="36" xfId="0" applyFont="1" applyFill="1" applyBorder="1" applyAlignment="1">
      <alignment wrapText="1"/>
    </xf>
    <xf numFmtId="0" fontId="28" fillId="0" borderId="0" xfId="0" applyFont="1" applyFill="1" applyBorder="1" applyAlignment="1">
      <alignment wrapText="1"/>
    </xf>
    <xf numFmtId="0" fontId="16" fillId="0" borderId="0" xfId="0" applyFont="1" applyFill="1" applyBorder="1" applyAlignment="1">
      <alignment vertical="center"/>
    </xf>
    <xf numFmtId="0" fontId="28" fillId="0" borderId="0" xfId="0" applyFont="1" applyFill="1" applyBorder="1" applyAlignment="1">
      <alignment horizontal="center" vertical="center"/>
    </xf>
    <xf numFmtId="2" fontId="13" fillId="0" borderId="0" xfId="0" applyNumberFormat="1" applyFont="1" applyFill="1" applyBorder="1" applyAlignment="1">
      <alignment horizontal="left" wrapText="1"/>
    </xf>
    <xf numFmtId="2" fontId="13" fillId="0" borderId="6" xfId="0" applyNumberFormat="1" applyFont="1" applyFill="1" applyBorder="1" applyAlignment="1">
      <alignment horizontal="center" vertical="center"/>
    </xf>
    <xf numFmtId="2" fontId="109" fillId="0" borderId="6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left" wrapText="1"/>
    </xf>
    <xf numFmtId="0" fontId="130" fillId="0" borderId="0" xfId="0" applyFont="1" applyFill="1" applyBorder="1"/>
    <xf numFmtId="0" fontId="28" fillId="34" borderId="2" xfId="0" applyFont="1" applyFill="1" applyBorder="1" applyAlignment="1">
      <alignment horizontal="center" vertical="center" wrapText="1"/>
    </xf>
    <xf numFmtId="0" fontId="122" fillId="0" borderId="2" xfId="232" applyFont="1" applyBorder="1" applyAlignment="1">
      <alignment vertical="center" wrapText="1"/>
    </xf>
    <xf numFmtId="164" fontId="15" fillId="0" borderId="0" xfId="0" applyNumberFormat="1" applyFont="1"/>
    <xf numFmtId="164" fontId="15" fillId="0" borderId="0" xfId="0" applyNumberFormat="1" applyFont="1" applyFill="1"/>
    <xf numFmtId="0" fontId="15" fillId="35" borderId="2" xfId="0" applyFont="1" applyFill="1" applyBorder="1"/>
    <xf numFmtId="2" fontId="23" fillId="35" borderId="2" xfId="0" applyNumberFormat="1" applyFont="1" applyFill="1" applyBorder="1" applyAlignment="1">
      <alignment horizontal="center" vertical="top" wrapText="1"/>
    </xf>
    <xf numFmtId="2" fontId="23" fillId="35" borderId="2" xfId="0" quotePrefix="1" applyNumberFormat="1" applyFont="1" applyFill="1" applyBorder="1" applyAlignment="1">
      <alignment horizontal="center" vertical="top"/>
    </xf>
    <xf numFmtId="0" fontId="23" fillId="35" borderId="2" xfId="0" applyFont="1" applyFill="1" applyBorder="1" applyAlignment="1">
      <alignment horizontal="left" vertical="top"/>
    </xf>
    <xf numFmtId="0" fontId="15" fillId="35" borderId="2" xfId="0" applyFont="1" applyFill="1" applyBorder="1" applyAlignment="1">
      <alignment horizontal="left" vertical="center" wrapText="1"/>
    </xf>
    <xf numFmtId="0" fontId="15" fillId="35" borderId="2" xfId="0" applyFont="1" applyFill="1" applyBorder="1" applyAlignment="1">
      <alignment horizontal="left" vertical="top"/>
    </xf>
    <xf numFmtId="2" fontId="15" fillId="35" borderId="2" xfId="136" applyNumberFormat="1" applyFont="1" applyFill="1" applyBorder="1" applyAlignment="1">
      <alignment horizontal="center" vertical="center"/>
    </xf>
    <xf numFmtId="2" fontId="15" fillId="35" borderId="2" xfId="0" applyNumberFormat="1" applyFont="1" applyFill="1" applyBorder="1" applyAlignment="1">
      <alignment horizontal="center" vertical="center"/>
    </xf>
    <xf numFmtId="2" fontId="15" fillId="35" borderId="2" xfId="136" applyNumberFormat="1" applyFont="1" applyFill="1" applyBorder="1" applyAlignment="1">
      <alignment horizontal="center" vertical="top"/>
    </xf>
    <xf numFmtId="0" fontId="23" fillId="34" borderId="2" xfId="0" applyFont="1" applyFill="1" applyBorder="1"/>
    <xf numFmtId="0" fontId="23" fillId="34" borderId="2" xfId="0" applyFont="1" applyFill="1" applyBorder="1" applyAlignment="1">
      <alignment horizontal="center" vertical="center" wrapText="1"/>
    </xf>
    <xf numFmtId="0" fontId="15" fillId="34" borderId="2" xfId="0" applyFont="1" applyFill="1" applyBorder="1" applyAlignment="1">
      <alignment horizontal="left" vertical="center" wrapText="1"/>
    </xf>
    <xf numFmtId="0" fontId="15" fillId="34" borderId="2" xfId="0" applyFont="1" applyFill="1" applyBorder="1"/>
    <xf numFmtId="0" fontId="23" fillId="34" borderId="2" xfId="0" applyFont="1" applyFill="1" applyBorder="1" applyAlignment="1">
      <alignment vertical="center"/>
    </xf>
    <xf numFmtId="0" fontId="23" fillId="35" borderId="2" xfId="0" applyFont="1" applyFill="1" applyBorder="1" applyAlignment="1">
      <alignment vertical="top"/>
    </xf>
    <xf numFmtId="0" fontId="23" fillId="35" borderId="0" xfId="0" applyFont="1" applyFill="1" applyBorder="1" applyAlignment="1">
      <alignment horizontal="left" vertical="top"/>
    </xf>
    <xf numFmtId="2" fontId="23" fillId="35" borderId="0" xfId="0" applyNumberFormat="1" applyFont="1" applyFill="1" applyBorder="1" applyAlignment="1">
      <alignment horizontal="center" vertical="top" wrapText="1"/>
    </xf>
    <xf numFmtId="164" fontId="15" fillId="0" borderId="34" xfId="136" applyFont="1" applyBorder="1" applyAlignment="1">
      <alignment horizontal="center" vertical="center"/>
    </xf>
    <xf numFmtId="164" fontId="15" fillId="0" borderId="35" xfId="136" applyFont="1" applyBorder="1" applyAlignment="1">
      <alignment horizontal="center" vertical="center"/>
    </xf>
    <xf numFmtId="164" fontId="15" fillId="0" borderId="2" xfId="136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4" fontId="15" fillId="34" borderId="32" xfId="136" applyFont="1" applyFill="1" applyBorder="1" applyAlignment="1">
      <alignment horizontal="center" vertical="center"/>
    </xf>
    <xf numFmtId="164" fontId="15" fillId="34" borderId="33" xfId="136" applyFont="1" applyFill="1" applyBorder="1" applyAlignment="1">
      <alignment horizontal="center" vertical="center"/>
    </xf>
    <xf numFmtId="164" fontId="15" fillId="34" borderId="2" xfId="136" applyFont="1" applyFill="1" applyBorder="1" applyAlignment="1">
      <alignment horizontal="center" vertical="center"/>
    </xf>
    <xf numFmtId="0" fontId="15" fillId="34" borderId="2" xfId="0" applyFont="1" applyFill="1" applyBorder="1" applyAlignment="1">
      <alignment horizontal="center" vertical="center"/>
    </xf>
    <xf numFmtId="164" fontId="15" fillId="0" borderId="32" xfId="136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4" fontId="15" fillId="0" borderId="33" xfId="136" applyFont="1" applyBorder="1" applyAlignment="1">
      <alignment horizontal="center" vertical="center"/>
    </xf>
    <xf numFmtId="164" fontId="15" fillId="0" borderId="32" xfId="136" applyFont="1" applyFill="1" applyBorder="1" applyAlignment="1">
      <alignment horizontal="center" vertical="center"/>
    </xf>
    <xf numFmtId="164" fontId="15" fillId="0" borderId="33" xfId="136" applyFont="1" applyFill="1" applyBorder="1" applyAlignment="1">
      <alignment horizontal="center" vertical="center"/>
    </xf>
    <xf numFmtId="1" fontId="15" fillId="0" borderId="2" xfId="0" applyNumberFormat="1" applyFont="1" applyFill="1" applyBorder="1" applyAlignment="1">
      <alignment horizontal="center" vertical="center"/>
    </xf>
    <xf numFmtId="164" fontId="15" fillId="34" borderId="44" xfId="136" applyFont="1" applyFill="1" applyBorder="1" applyAlignment="1">
      <alignment horizontal="center" vertical="center"/>
    </xf>
    <xf numFmtId="164" fontId="15" fillId="34" borderId="44" xfId="136" applyFont="1" applyFill="1" applyBorder="1" applyAlignment="1">
      <alignment horizontal="center" vertical="top"/>
    </xf>
    <xf numFmtId="164" fontId="15" fillId="34" borderId="45" xfId="136" applyFont="1" applyFill="1" applyBorder="1" applyAlignment="1">
      <alignment horizontal="center" vertical="top"/>
    </xf>
    <xf numFmtId="0" fontId="109" fillId="0" borderId="0" xfId="0" applyFont="1" applyFill="1" applyBorder="1" applyAlignment="1">
      <alignment horizontal="left" wrapText="1"/>
    </xf>
    <xf numFmtId="0" fontId="109" fillId="34" borderId="0" xfId="0" applyFont="1" applyFill="1" applyBorder="1" applyAlignment="1">
      <alignment horizontal="left" wrapText="1"/>
    </xf>
    <xf numFmtId="0" fontId="123" fillId="34" borderId="0" xfId="0" applyFont="1" applyFill="1" applyBorder="1"/>
    <xf numFmtId="0" fontId="123" fillId="0" borderId="0" xfId="0" applyFont="1" applyFill="1" applyBorder="1"/>
    <xf numFmtId="0" fontId="123" fillId="34" borderId="0" xfId="0" applyFont="1" applyFill="1" applyBorder="1" applyAlignment="1">
      <alignment horizontal="center" vertical="top"/>
    </xf>
    <xf numFmtId="0" fontId="123" fillId="0" borderId="0" xfId="0" applyFont="1" applyFill="1" applyBorder="1" applyAlignment="1">
      <alignment horizontal="center" vertical="top"/>
    </xf>
    <xf numFmtId="0" fontId="122" fillId="0" borderId="0" xfId="232" applyFont="1" applyBorder="1" applyAlignment="1">
      <alignment vertical="center" wrapText="1"/>
    </xf>
    <xf numFmtId="0" fontId="122" fillId="0" borderId="0" xfId="232" applyFont="1" applyBorder="1" applyAlignment="1">
      <alignment horizontal="center" vertical="center" wrapText="1"/>
    </xf>
    <xf numFmtId="0" fontId="122" fillId="0" borderId="0" xfId="0" applyFont="1" applyBorder="1" applyAlignment="1">
      <alignment horizontal="center" vertical="center" wrapText="1"/>
    </xf>
    <xf numFmtId="0" fontId="123" fillId="0" borderId="0" xfId="0" applyFont="1" applyBorder="1" applyAlignment="1">
      <alignment horizontal="center"/>
    </xf>
    <xf numFmtId="0" fontId="117" fillId="34" borderId="0" xfId="0" applyFont="1" applyFill="1" applyBorder="1" applyAlignment="1">
      <alignment horizontal="left" vertical="center" wrapText="1"/>
    </xf>
    <xf numFmtId="2" fontId="109" fillId="41" borderId="0" xfId="0" applyNumberFormat="1" applyFont="1" applyFill="1" applyBorder="1" applyAlignment="1">
      <alignment horizontal="center" vertical="center" wrapText="1"/>
    </xf>
    <xf numFmtId="0" fontId="117" fillId="0" borderId="0" xfId="0" applyFont="1" applyFill="1" applyBorder="1" applyAlignment="1">
      <alignment horizontal="center" vertical="center" wrapText="1"/>
    </xf>
    <xf numFmtId="0" fontId="117" fillId="34" borderId="0" xfId="0" applyFont="1" applyFill="1" applyBorder="1" applyAlignment="1">
      <alignment horizontal="center" vertical="center" wrapText="1"/>
    </xf>
    <xf numFmtId="0" fontId="13" fillId="34" borderId="0" xfId="0" applyFont="1" applyFill="1" applyBorder="1" applyAlignment="1">
      <alignment horizontal="center" vertical="center"/>
    </xf>
    <xf numFmtId="0" fontId="117" fillId="35" borderId="0" xfId="0" applyFont="1" applyFill="1" applyBorder="1" applyAlignment="1">
      <alignment horizontal="left" vertical="center" wrapText="1"/>
    </xf>
    <xf numFmtId="0" fontId="109" fillId="41" borderId="0" xfId="0" applyFont="1" applyFill="1" applyBorder="1" applyAlignment="1">
      <alignment horizontal="center" vertical="center" wrapText="1"/>
    </xf>
    <xf numFmtId="0" fontId="109" fillId="41" borderId="70" xfId="0" applyFont="1" applyFill="1" applyBorder="1" applyAlignment="1">
      <alignment horizontal="left" vertical="center" wrapText="1"/>
    </xf>
    <xf numFmtId="0" fontId="109" fillId="34" borderId="0" xfId="0" applyFont="1" applyFill="1" applyBorder="1" applyAlignment="1">
      <alignment horizontal="left" vertical="center" wrapText="1"/>
    </xf>
    <xf numFmtId="0" fontId="109" fillId="34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top" wrapText="1"/>
    </xf>
    <xf numFmtId="2" fontId="15" fillId="0" borderId="0" xfId="0" applyNumberFormat="1" applyFont="1" applyFill="1" applyBorder="1" applyAlignment="1">
      <alignment horizontal="center" vertical="top" wrapText="1"/>
    </xf>
    <xf numFmtId="0" fontId="109" fillId="0" borderId="0" xfId="0" applyFont="1" applyFill="1" applyBorder="1" applyAlignment="1">
      <alignment horizontal="center" vertical="center" wrapText="1"/>
    </xf>
    <xf numFmtId="2" fontId="13" fillId="34" borderId="0" xfId="0" applyNumberFormat="1" applyFont="1" applyFill="1" applyBorder="1" applyAlignment="1">
      <alignment horizontal="left" wrapText="1"/>
    </xf>
    <xf numFmtId="2" fontId="13" fillId="34" borderId="0" xfId="0" applyNumberFormat="1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wrapText="1"/>
    </xf>
    <xf numFmtId="0" fontId="13" fillId="0" borderId="0" xfId="0" applyFont="1" applyFill="1" applyBorder="1" applyAlignment="1">
      <alignment horizontal="left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17" fillId="34" borderId="0" xfId="0" applyFont="1" applyFill="1" applyBorder="1" applyAlignment="1">
      <alignment horizontal="left" vertical="center" wrapText="1"/>
    </xf>
    <xf numFmtId="2" fontId="13" fillId="0" borderId="0" xfId="0" applyNumberFormat="1" applyFont="1" applyBorder="1" applyAlignment="1">
      <alignment horizontal="left" wrapText="1"/>
    </xf>
    <xf numFmtId="2" fontId="13" fillId="0" borderId="55" xfId="0" applyNumberFormat="1" applyFont="1" applyFill="1" applyBorder="1" applyAlignment="1">
      <alignment horizontal="left" wrapText="1"/>
    </xf>
    <xf numFmtId="0" fontId="109" fillId="0" borderId="55" xfId="0" applyFont="1" applyFill="1" applyBorder="1" applyAlignment="1">
      <alignment horizontal="center" wrapText="1"/>
    </xf>
    <xf numFmtId="2" fontId="109" fillId="0" borderId="55" xfId="0" applyNumberFormat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 vertical="center"/>
    </xf>
    <xf numFmtId="0" fontId="109" fillId="34" borderId="6" xfId="0" applyFont="1" applyFill="1" applyBorder="1" applyAlignment="1">
      <alignment horizontal="left" vertical="center" wrapText="1"/>
    </xf>
    <xf numFmtId="0" fontId="15" fillId="35" borderId="0" xfId="0" applyFont="1" applyFill="1" applyBorder="1" applyAlignment="1">
      <alignment vertical="center" wrapText="1"/>
    </xf>
    <xf numFmtId="2" fontId="15" fillId="35" borderId="0" xfId="0" applyNumberFormat="1" applyFont="1" applyFill="1" applyBorder="1" applyAlignment="1">
      <alignment horizontal="center"/>
    </xf>
    <xf numFmtId="2" fontId="13" fillId="35" borderId="0" xfId="0" applyNumberFormat="1" applyFont="1" applyFill="1" applyBorder="1" applyAlignment="1">
      <alignment horizontal="center"/>
    </xf>
    <xf numFmtId="0" fontId="15" fillId="35" borderId="0" xfId="0" applyFont="1" applyFill="1" applyBorder="1" applyAlignment="1">
      <alignment wrapText="1"/>
    </xf>
    <xf numFmtId="2" fontId="15" fillId="35" borderId="0" xfId="0" applyNumberFormat="1" applyFont="1" applyFill="1" applyBorder="1" applyAlignment="1">
      <alignment horizontal="center" vertical="center" wrapText="1"/>
    </xf>
    <xf numFmtId="0" fontId="117" fillId="35" borderId="0" xfId="0" applyFont="1" applyFill="1" applyBorder="1" applyAlignment="1">
      <alignment vertical="center" wrapText="1"/>
    </xf>
    <xf numFmtId="2" fontId="15" fillId="35" borderId="0" xfId="0" applyNumberFormat="1" applyFont="1" applyFill="1" applyBorder="1" applyAlignment="1">
      <alignment vertical="center" wrapText="1"/>
    </xf>
    <xf numFmtId="0" fontId="13" fillId="35" borderId="0" xfId="0" applyFont="1" applyFill="1" applyBorder="1" applyAlignment="1">
      <alignment horizontal="left" vertical="center"/>
    </xf>
    <xf numFmtId="0" fontId="17" fillId="35" borderId="0" xfId="0" applyFont="1" applyFill="1" applyBorder="1" applyAlignment="1">
      <alignment horizontal="left" vertical="center"/>
    </xf>
    <xf numFmtId="2" fontId="119" fillId="35" borderId="0" xfId="0" applyNumberFormat="1" applyFont="1" applyFill="1" applyBorder="1" applyAlignment="1">
      <alignment horizontal="center" vertical="center" wrapText="1"/>
    </xf>
    <xf numFmtId="2" fontId="17" fillId="35" borderId="0" xfId="0" applyNumberFormat="1" applyFont="1" applyFill="1" applyBorder="1" applyAlignment="1">
      <alignment horizontal="center" vertical="center"/>
    </xf>
    <xf numFmtId="0" fontId="15" fillId="35" borderId="0" xfId="0" applyFont="1" applyFill="1" applyBorder="1" applyAlignment="1">
      <alignment horizontal="center"/>
    </xf>
    <xf numFmtId="0" fontId="15" fillId="35" borderId="0" xfId="0" applyFont="1" applyFill="1" applyBorder="1" applyAlignment="1">
      <alignment horizontal="left"/>
    </xf>
    <xf numFmtId="0" fontId="109" fillId="35" borderId="0" xfId="272" applyFont="1" applyFill="1" applyBorder="1" applyAlignment="1">
      <alignment horizontal="center" wrapText="1"/>
    </xf>
    <xf numFmtId="2" fontId="109" fillId="35" borderId="0" xfId="272" applyNumberFormat="1" applyFont="1" applyFill="1" applyBorder="1" applyAlignment="1">
      <alignment horizontal="center" wrapText="1"/>
    </xf>
    <xf numFmtId="2" fontId="109" fillId="35" borderId="0" xfId="274" applyNumberFormat="1" applyFont="1" applyFill="1" applyBorder="1" applyAlignment="1">
      <alignment horizontal="center" wrapText="1"/>
    </xf>
    <xf numFmtId="2" fontId="109" fillId="35" borderId="0" xfId="0" applyNumberFormat="1" applyFont="1" applyFill="1" applyBorder="1" applyAlignment="1">
      <alignment horizontal="center" wrapText="1"/>
    </xf>
    <xf numFmtId="0" fontId="109" fillId="35" borderId="0" xfId="0" applyFont="1" applyFill="1" applyBorder="1" applyAlignment="1">
      <alignment horizontal="center" wrapText="1"/>
    </xf>
    <xf numFmtId="0" fontId="109" fillId="35" borderId="0" xfId="0" applyFont="1" applyFill="1" applyBorder="1" applyAlignment="1">
      <alignment horizontal="center" vertical="center" wrapText="1"/>
    </xf>
    <xf numFmtId="0" fontId="118" fillId="35" borderId="0" xfId="0" applyFont="1" applyFill="1" applyBorder="1" applyAlignment="1">
      <alignment horizontal="left" vertical="center" wrapText="1"/>
    </xf>
    <xf numFmtId="0" fontId="13" fillId="35" borderId="0" xfId="0" applyFont="1" applyFill="1" applyBorder="1" applyAlignment="1">
      <alignment horizontal="center" vertical="center"/>
    </xf>
    <xf numFmtId="0" fontId="126" fillId="35" borderId="0" xfId="0" applyFont="1" applyFill="1" applyBorder="1" applyAlignment="1">
      <alignment horizontal="left" vertical="center"/>
    </xf>
    <xf numFmtId="2" fontId="109" fillId="35" borderId="0" xfId="0" applyNumberFormat="1" applyFont="1" applyFill="1" applyBorder="1" applyAlignment="1">
      <alignment horizontal="center" vertical="center"/>
    </xf>
    <xf numFmtId="0" fontId="132" fillId="35" borderId="0" xfId="0" applyFont="1" applyFill="1" applyBorder="1" applyAlignment="1">
      <alignment horizontal="left" vertical="center"/>
    </xf>
    <xf numFmtId="0" fontId="20" fillId="35" borderId="0" xfId="0" applyFont="1" applyFill="1" applyBorder="1" applyAlignment="1">
      <alignment horizontal="right" wrapText="1"/>
    </xf>
    <xf numFmtId="0" fontId="26" fillId="35" borderId="0" xfId="0" applyFont="1" applyFill="1" applyBorder="1" applyAlignment="1">
      <alignment horizontal="left"/>
    </xf>
    <xf numFmtId="0" fontId="19" fillId="35" borderId="0" xfId="0" applyFont="1" applyFill="1" applyBorder="1" applyAlignment="1">
      <alignment horizontal="left"/>
    </xf>
    <xf numFmtId="2" fontId="13" fillId="35" borderId="0" xfId="0" applyNumberFormat="1" applyFont="1" applyFill="1" applyBorder="1" applyAlignment="1">
      <alignment horizontal="left" wrapText="1"/>
    </xf>
    <xf numFmtId="0" fontId="131" fillId="35" borderId="0" xfId="0" applyFont="1" applyFill="1" applyBorder="1" applyAlignment="1">
      <alignment horizontal="left" wrapText="1"/>
    </xf>
    <xf numFmtId="0" fontId="34" fillId="35" borderId="0" xfId="0" applyFont="1" applyFill="1" applyBorder="1"/>
    <xf numFmtId="2" fontId="13" fillId="35" borderId="0" xfId="0" applyNumberFormat="1" applyFont="1" applyFill="1" applyBorder="1" applyAlignment="1">
      <alignment horizontal="left" vertical="center" wrapText="1"/>
    </xf>
    <xf numFmtId="0" fontId="117" fillId="35" borderId="0" xfId="0" applyFont="1" applyFill="1" applyBorder="1" applyAlignment="1">
      <alignment horizontal="center" vertical="center" wrapText="1"/>
    </xf>
    <xf numFmtId="0" fontId="15" fillId="35" borderId="0" xfId="0" applyFont="1" applyFill="1" applyBorder="1" applyAlignment="1">
      <alignment horizontal="center" vertical="top" wrapText="1"/>
    </xf>
    <xf numFmtId="2" fontId="15" fillId="35" borderId="0" xfId="0" applyNumberFormat="1" applyFont="1" applyFill="1" applyBorder="1" applyAlignment="1">
      <alignment horizontal="center" vertical="top" wrapText="1"/>
    </xf>
    <xf numFmtId="0" fontId="109" fillId="35" borderId="0" xfId="0" applyFont="1" applyFill="1" applyBorder="1" applyAlignment="1">
      <alignment horizontal="left" vertical="center" wrapText="1"/>
    </xf>
    <xf numFmtId="17" fontId="40" fillId="35" borderId="0" xfId="0" applyNumberFormat="1" applyFont="1" applyFill="1" applyBorder="1" applyAlignment="1">
      <alignment horizontal="left" vertical="center"/>
    </xf>
    <xf numFmtId="0" fontId="65" fillId="35" borderId="0" xfId="0" applyFont="1" applyFill="1" applyBorder="1" applyAlignment="1">
      <alignment horizontal="left" vertical="center"/>
    </xf>
    <xf numFmtId="0" fontId="108" fillId="35" borderId="0" xfId="0" applyFont="1" applyFill="1" applyBorder="1"/>
    <xf numFmtId="0" fontId="19" fillId="35" borderId="0" xfId="0" applyFont="1" applyFill="1" applyBorder="1" applyAlignment="1">
      <alignment wrapText="1"/>
    </xf>
    <xf numFmtId="2" fontId="14" fillId="35" borderId="0" xfId="0" applyNumberFormat="1" applyFont="1" applyFill="1" applyBorder="1"/>
    <xf numFmtId="0" fontId="20" fillId="35" borderId="0" xfId="0" applyFont="1" applyFill="1" applyBorder="1" applyAlignment="1">
      <alignment wrapText="1"/>
    </xf>
    <xf numFmtId="0" fontId="14" fillId="35" borderId="0" xfId="0" applyFont="1" applyFill="1" applyBorder="1"/>
    <xf numFmtId="0" fontId="13" fillId="35" borderId="0" xfId="0" applyFont="1" applyFill="1" applyBorder="1"/>
    <xf numFmtId="2" fontId="15" fillId="35" borderId="0" xfId="0" applyNumberFormat="1" applyFont="1" applyFill="1" applyBorder="1"/>
    <xf numFmtId="2" fontId="13" fillId="35" borderId="0" xfId="0" applyNumberFormat="1" applyFont="1" applyFill="1" applyBorder="1"/>
    <xf numFmtId="0" fontId="16" fillId="0" borderId="0" xfId="0" applyFont="1" applyFill="1" applyBorder="1" applyAlignment="1">
      <alignment horizontal="right" wrapText="1"/>
    </xf>
    <xf numFmtId="0" fontId="16" fillId="0" borderId="0" xfId="0" applyFont="1" applyFill="1" applyBorder="1" applyAlignment="1">
      <alignment wrapText="1"/>
    </xf>
    <xf numFmtId="0" fontId="16" fillId="35" borderId="0" xfId="0" applyFont="1" applyFill="1" applyBorder="1" applyAlignment="1">
      <alignment horizontal="center" vertical="center" wrapText="1"/>
    </xf>
    <xf numFmtId="0" fontId="24" fillId="35" borderId="0" xfId="0" applyFont="1" applyFill="1" applyBorder="1"/>
    <xf numFmtId="0" fontId="34" fillId="35" borderId="0" xfId="0" applyFont="1" applyFill="1" applyBorder="1" applyAlignment="1">
      <alignment horizontal="right"/>
    </xf>
    <xf numFmtId="0" fontId="25" fillId="35" borderId="0" xfId="0" applyFont="1" applyFill="1" applyBorder="1"/>
    <xf numFmtId="0" fontId="28" fillId="35" borderId="0" xfId="0" applyFont="1" applyFill="1" applyBorder="1" applyAlignment="1">
      <alignment horizontal="center" vertical="center" wrapText="1"/>
    </xf>
    <xf numFmtId="0" fontId="17" fillId="34" borderId="0" xfId="0" applyFont="1" applyFill="1" applyBorder="1" applyAlignment="1">
      <alignment horizontal="left" wrapText="1"/>
    </xf>
    <xf numFmtId="0" fontId="13" fillId="35" borderId="0" xfId="0" applyFont="1" applyFill="1" applyBorder="1" applyAlignment="1">
      <alignment horizontal="left" wrapText="1"/>
    </xf>
    <xf numFmtId="0" fontId="0" fillId="0" borderId="0" xfId="0"/>
    <xf numFmtId="0" fontId="15" fillId="0" borderId="0" xfId="0" applyFont="1" applyFill="1" applyBorder="1" applyAlignment="1">
      <alignment horizontal="center" vertical="center" wrapText="1"/>
    </xf>
    <xf numFmtId="0" fontId="117" fillId="41" borderId="0" xfId="0" applyFont="1" applyFill="1" applyBorder="1" applyAlignment="1">
      <alignment horizontal="center" vertical="center" wrapText="1"/>
    </xf>
    <xf numFmtId="0" fontId="117" fillId="34" borderId="0" xfId="0" applyFont="1" applyFill="1" applyBorder="1" applyAlignment="1">
      <alignment horizontal="center" wrapText="1"/>
    </xf>
    <xf numFmtId="165" fontId="15" fillId="0" borderId="0" xfId="0" applyNumberFormat="1" applyFont="1" applyBorder="1" applyAlignment="1">
      <alignment horizontal="center" wrapText="1"/>
    </xf>
    <xf numFmtId="165" fontId="15" fillId="0" borderId="0" xfId="0" applyNumberFormat="1" applyFont="1" applyAlignment="1">
      <alignment horizontal="center"/>
    </xf>
    <xf numFmtId="0" fontId="15" fillId="34" borderId="0" xfId="0" applyFont="1" applyFill="1" applyBorder="1" applyAlignment="1">
      <alignment horizontal="center" wrapText="1"/>
    </xf>
    <xf numFmtId="165" fontId="204" fillId="0" borderId="0" xfId="0" applyNumberFormat="1" applyFont="1" applyFill="1" applyBorder="1" applyAlignment="1">
      <alignment horizontal="center" vertical="top" shrinkToFit="1"/>
    </xf>
    <xf numFmtId="167" fontId="15" fillId="34" borderId="0" xfId="0" applyNumberFormat="1" applyFont="1" applyFill="1" applyBorder="1" applyAlignment="1">
      <alignment horizontal="center" vertical="center"/>
    </xf>
    <xf numFmtId="167" fontId="15" fillId="0" borderId="0" xfId="0" applyNumberFormat="1" applyFont="1" applyFill="1" applyBorder="1" applyAlignment="1">
      <alignment horizontal="center" vertical="center"/>
    </xf>
    <xf numFmtId="0" fontId="29" fillId="0" borderId="0" xfId="196" applyFont="1" applyBorder="1" applyAlignment="1">
      <alignment horizontal="center" vertical="center" wrapText="1"/>
    </xf>
    <xf numFmtId="0" fontId="14" fillId="0" borderId="71" xfId="0" applyFont="1" applyFill="1" applyBorder="1" applyAlignment="1">
      <alignment vertical="center" wrapText="1"/>
    </xf>
    <xf numFmtId="0" fontId="14" fillId="0" borderId="72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29" fillId="0" borderId="72" xfId="0" applyFont="1" applyFill="1" applyBorder="1" applyAlignment="1">
      <alignment vertical="center" wrapText="1"/>
    </xf>
    <xf numFmtId="0" fontId="29" fillId="0" borderId="3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/>
    </xf>
    <xf numFmtId="0" fontId="23" fillId="34" borderId="0" xfId="0" applyFont="1" applyFill="1" applyBorder="1" applyAlignment="1">
      <alignment horizontal="left" vertical="center"/>
    </xf>
    <xf numFmtId="0" fontId="0" fillId="0" borderId="0" xfId="0"/>
    <xf numFmtId="0" fontId="15" fillId="0" borderId="0" xfId="0" applyFont="1" applyFill="1" applyBorder="1" applyAlignment="1">
      <alignment horizontal="left" vertical="center"/>
    </xf>
    <xf numFmtId="165" fontId="117" fillId="41" borderId="0" xfId="0" applyNumberFormat="1" applyFont="1" applyFill="1" applyBorder="1" applyAlignment="1">
      <alignment horizontal="center" wrapText="1"/>
    </xf>
    <xf numFmtId="0" fontId="29" fillId="0" borderId="0" xfId="0" applyFont="1" applyBorder="1" applyAlignment="1">
      <alignment horizontal="right" wrapText="1"/>
    </xf>
    <xf numFmtId="0" fontId="21" fillId="0" borderId="0" xfId="0" applyFont="1" applyBorder="1" applyAlignment="1">
      <alignment horizontal="right"/>
    </xf>
    <xf numFmtId="0" fontId="7" fillId="39" borderId="14" xfId="0" applyFont="1" applyFill="1" applyBorder="1" applyAlignment="1">
      <alignment horizontal="center" vertical="center" wrapText="1"/>
    </xf>
    <xf numFmtId="0" fontId="29" fillId="0" borderId="0" xfId="0" applyFont="1" applyBorder="1" applyAlignment="1"/>
    <xf numFmtId="0" fontId="23" fillId="39" borderId="2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wrapText="1"/>
    </xf>
    <xf numFmtId="0" fontId="117" fillId="34" borderId="0" xfId="0" applyFont="1" applyFill="1" applyAlignment="1">
      <alignment horizontal="center" vertical="top" wrapText="1"/>
    </xf>
    <xf numFmtId="165" fontId="117" fillId="0" borderId="0" xfId="0" applyNumberFormat="1" applyFont="1" applyFill="1" applyBorder="1" applyAlignment="1">
      <alignment horizontal="right" vertical="center" wrapText="1"/>
    </xf>
    <xf numFmtId="165" fontId="15" fillId="0" borderId="0" xfId="0" applyNumberFormat="1" applyFont="1" applyFill="1" applyAlignment="1">
      <alignment horizontal="right" vertical="center"/>
    </xf>
    <xf numFmtId="165" fontId="117" fillId="34" borderId="0" xfId="0" applyNumberFormat="1" applyFont="1" applyFill="1" applyBorder="1" applyAlignment="1">
      <alignment horizontal="right" vertical="center" wrapText="1"/>
    </xf>
    <xf numFmtId="165" fontId="204" fillId="0" borderId="0" xfId="0" applyNumberFormat="1" applyFont="1" applyFill="1" applyBorder="1" applyAlignment="1">
      <alignment horizontal="right" vertical="top" indent="2" shrinkToFit="1"/>
    </xf>
    <xf numFmtId="165" fontId="204" fillId="0" borderId="0" xfId="0" applyNumberFormat="1" applyFont="1" applyFill="1" applyBorder="1" applyAlignment="1">
      <alignment vertical="top" shrinkToFit="1"/>
    </xf>
    <xf numFmtId="1" fontId="204" fillId="0" borderId="0" xfId="0" applyNumberFormat="1" applyFont="1" applyFill="1" applyBorder="1" applyAlignment="1">
      <alignment horizontal="center" vertical="top" shrinkToFit="1"/>
    </xf>
    <xf numFmtId="165" fontId="117" fillId="41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Border="1" applyAlignment="1">
      <alignment horizontal="center" vertical="center"/>
    </xf>
    <xf numFmtId="167" fontId="15" fillId="0" borderId="0" xfId="0" applyNumberFormat="1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right" vertical="top" wrapText="1"/>
    </xf>
    <xf numFmtId="0" fontId="33" fillId="0" borderId="0" xfId="0" applyFont="1" applyFill="1" applyBorder="1" applyAlignment="1">
      <alignment horizontal="left"/>
    </xf>
    <xf numFmtId="0" fontId="29" fillId="0" borderId="74" xfId="0" applyFont="1" applyFill="1" applyBorder="1" applyAlignment="1">
      <alignment horizontal="left" vertical="top" wrapText="1" indent="2"/>
    </xf>
    <xf numFmtId="0" fontId="29" fillId="0" borderId="74" xfId="0" applyFont="1" applyFill="1" applyBorder="1" applyAlignment="1">
      <alignment horizontal="left" vertical="top" wrapText="1" indent="1"/>
    </xf>
    <xf numFmtId="0" fontId="29" fillId="0" borderId="75" xfId="0" applyFont="1" applyFill="1" applyBorder="1" applyAlignment="1">
      <alignment horizontal="right" vertical="center" wrapText="1"/>
    </xf>
    <xf numFmtId="0" fontId="29" fillId="0" borderId="76" xfId="0" applyFont="1" applyFill="1" applyBorder="1" applyAlignment="1">
      <alignment vertical="center" wrapText="1"/>
    </xf>
    <xf numFmtId="0" fontId="29" fillId="0" borderId="74" xfId="0" applyFont="1" applyFill="1" applyBorder="1" applyAlignment="1">
      <alignment horizontal="center" vertical="top" wrapText="1"/>
    </xf>
    <xf numFmtId="0" fontId="29" fillId="0" borderId="77" xfId="0" applyFont="1" applyFill="1" applyBorder="1" applyAlignment="1">
      <alignment vertical="top" wrapText="1"/>
    </xf>
    <xf numFmtId="0" fontId="29" fillId="0" borderId="78" xfId="0" applyFont="1" applyFill="1" applyBorder="1" applyAlignment="1">
      <alignment vertical="top" wrapText="1"/>
    </xf>
    <xf numFmtId="165" fontId="117" fillId="34" borderId="0" xfId="0" applyNumberFormat="1" applyFont="1" applyFill="1" applyBorder="1" applyAlignment="1">
      <alignment horizontal="center" vertical="top" wrapText="1"/>
    </xf>
    <xf numFmtId="165" fontId="117" fillId="0" borderId="0" xfId="0" applyNumberFormat="1" applyFont="1" applyFill="1" applyBorder="1" applyAlignment="1">
      <alignment horizontal="center" vertical="top" wrapText="1"/>
    </xf>
    <xf numFmtId="165" fontId="109" fillId="34" borderId="0" xfId="0" applyNumberFormat="1" applyFont="1" applyFill="1" applyBorder="1" applyAlignment="1">
      <alignment horizontal="center"/>
    </xf>
    <xf numFmtId="0" fontId="109" fillId="34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165" fontId="15" fillId="0" borderId="55" xfId="0" applyNumberFormat="1" applyFont="1" applyBorder="1" applyAlignment="1">
      <alignment horizontal="center" wrapText="1"/>
    </xf>
    <xf numFmtId="0" fontId="15" fillId="0" borderId="55" xfId="0" applyFont="1" applyBorder="1" applyAlignment="1">
      <alignment horizontal="center" wrapText="1"/>
    </xf>
    <xf numFmtId="0" fontId="23" fillId="39" borderId="79" xfId="0" applyFont="1" applyFill="1" applyBorder="1" applyAlignment="1">
      <alignment horizontal="center" vertical="center"/>
    </xf>
    <xf numFmtId="0" fontId="8" fillId="39" borderId="56" xfId="0" applyFont="1" applyFill="1" applyBorder="1" applyAlignment="1">
      <alignment horizontal="center" vertical="center" wrapText="1"/>
    </xf>
    <xf numFmtId="0" fontId="8" fillId="39" borderId="53" xfId="0" applyFont="1" applyFill="1" applyBorder="1" applyAlignment="1">
      <alignment horizontal="center" vertical="center" wrapText="1"/>
    </xf>
    <xf numFmtId="0" fontId="23" fillId="39" borderId="68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wrapText="1"/>
    </xf>
    <xf numFmtId="0" fontId="33" fillId="0" borderId="0" xfId="0" applyFont="1" applyFill="1" applyBorder="1" applyAlignment="1">
      <alignment horizontal="left"/>
    </xf>
    <xf numFmtId="0" fontId="16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/>
    </xf>
    <xf numFmtId="1" fontId="13" fillId="35" borderId="0" xfId="0" applyNumberFormat="1" applyFont="1" applyFill="1" applyBorder="1" applyAlignment="1">
      <alignment horizontal="center" vertical="center" wrapText="1"/>
    </xf>
    <xf numFmtId="1" fontId="109" fillId="34" borderId="0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right"/>
    </xf>
    <xf numFmtId="0" fontId="20" fillId="0" borderId="0" xfId="0" applyFont="1" applyBorder="1" applyAlignment="1">
      <alignment horizontal="center" vertical="center" wrapText="1"/>
    </xf>
    <xf numFmtId="1" fontId="13" fillId="34" borderId="0" xfId="0" applyNumberFormat="1" applyFont="1" applyFill="1" applyBorder="1" applyAlignment="1">
      <alignment horizontal="center" wrapText="1"/>
    </xf>
    <xf numFmtId="0" fontId="13" fillId="34" borderId="0" xfId="0" applyFont="1" applyFill="1" applyBorder="1" applyAlignment="1">
      <alignment horizontal="center"/>
    </xf>
    <xf numFmtId="1" fontId="15" fillId="34" borderId="0" xfId="0" applyNumberFormat="1" applyFont="1" applyFill="1" applyBorder="1" applyAlignment="1">
      <alignment horizontal="center" wrapText="1"/>
    </xf>
    <xf numFmtId="1" fontId="13" fillId="0" borderId="0" xfId="0" applyNumberFormat="1" applyFont="1" applyBorder="1" applyAlignment="1">
      <alignment horizontal="center" wrapText="1"/>
    </xf>
    <xf numFmtId="0" fontId="13" fillId="0" borderId="0" xfId="0" applyFont="1" applyBorder="1" applyAlignment="1">
      <alignment horizontal="center"/>
    </xf>
    <xf numFmtId="1" fontId="15" fillId="0" borderId="0" xfId="0" applyNumberFormat="1" applyFont="1" applyBorder="1" applyAlignment="1">
      <alignment horizontal="center" wrapText="1"/>
    </xf>
    <xf numFmtId="1" fontId="13" fillId="0" borderId="55" xfId="0" applyNumberFormat="1" applyFont="1" applyBorder="1" applyAlignment="1">
      <alignment horizontal="center" wrapText="1"/>
    </xf>
    <xf numFmtId="1" fontId="15" fillId="0" borderId="55" xfId="0" applyNumberFormat="1" applyFont="1" applyFill="1" applyBorder="1" applyAlignment="1">
      <alignment horizontal="center"/>
    </xf>
    <xf numFmtId="1" fontId="15" fillId="0" borderId="55" xfId="0" applyNumberFormat="1" applyFont="1" applyBorder="1" applyAlignment="1">
      <alignment horizontal="center"/>
    </xf>
    <xf numFmtId="0" fontId="13" fillId="0" borderId="55" xfId="0" applyFont="1" applyBorder="1" applyAlignment="1">
      <alignment horizontal="center"/>
    </xf>
    <xf numFmtId="0" fontId="15" fillId="0" borderId="55" xfId="0" applyFont="1" applyBorder="1" applyAlignment="1">
      <alignment horizontal="center"/>
    </xf>
    <xf numFmtId="1" fontId="15" fillId="0" borderId="55" xfId="0" applyNumberFormat="1" applyFont="1" applyBorder="1" applyAlignment="1">
      <alignment horizontal="center" wrapText="1"/>
    </xf>
    <xf numFmtId="1" fontId="29" fillId="34" borderId="0" xfId="0" applyNumberFormat="1" applyFont="1" applyFill="1" applyBorder="1" applyAlignment="1">
      <alignment horizontal="center" wrapText="1"/>
    </xf>
    <xf numFmtId="0" fontId="29" fillId="34" borderId="0" xfId="0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vertical="center" wrapText="1"/>
    </xf>
    <xf numFmtId="0" fontId="27" fillId="34" borderId="0" xfId="0" applyFont="1" applyFill="1" applyBorder="1" applyAlignment="1">
      <alignment horizontal="center" wrapText="1"/>
    </xf>
    <xf numFmtId="0" fontId="15" fillId="34" borderId="6" xfId="0" applyFont="1" applyFill="1" applyBorder="1" applyAlignment="1">
      <alignment vertical="top" wrapText="1"/>
    </xf>
    <xf numFmtId="1" fontId="15" fillId="34" borderId="6" xfId="0" applyNumberFormat="1" applyFont="1" applyFill="1" applyBorder="1" applyAlignment="1">
      <alignment horizontal="center" vertical="center" wrapText="1"/>
    </xf>
    <xf numFmtId="1" fontId="17" fillId="0" borderId="0" xfId="0" applyNumberFormat="1" applyFont="1" applyBorder="1" applyAlignment="1">
      <alignment horizontal="center" wrapText="1"/>
    </xf>
    <xf numFmtId="1" fontId="23" fillId="0" borderId="0" xfId="0" applyNumberFormat="1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0" fillId="0" borderId="0" xfId="0"/>
    <xf numFmtId="0" fontId="15" fillId="0" borderId="2" xfId="0" applyFont="1" applyFill="1" applyBorder="1" applyAlignment="1">
      <alignment horizontal="center" vertical="center" wrapText="1"/>
    </xf>
    <xf numFmtId="0" fontId="15" fillId="0" borderId="5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29" fillId="0" borderId="73" xfId="196" applyFont="1" applyFill="1" applyBorder="1" applyAlignment="1">
      <alignment horizontal="center" vertical="center" wrapText="1"/>
    </xf>
    <xf numFmtId="165" fontId="204" fillId="0" borderId="0" xfId="0" applyNumberFormat="1" applyFont="1" applyFill="1" applyBorder="1" applyAlignment="1">
      <alignment horizontal="center" vertical="top" shrinkToFit="1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Border="1" applyAlignment="1">
      <alignment wrapText="1"/>
    </xf>
    <xf numFmtId="0" fontId="23" fillId="34" borderId="0" xfId="0" applyFont="1" applyFill="1" applyBorder="1" applyAlignment="1">
      <alignment horizontal="left" vertical="center"/>
    </xf>
    <xf numFmtId="0" fontId="34" fillId="0" borderId="0" xfId="0" applyFont="1" applyBorder="1" applyAlignment="1">
      <alignment horizontal="center" vertical="center"/>
    </xf>
    <xf numFmtId="165" fontId="52" fillId="0" borderId="0" xfId="0" applyNumberFormat="1" applyFont="1" applyBorder="1" applyAlignment="1">
      <alignment horizontal="left" vertical="center" wrapText="1"/>
    </xf>
    <xf numFmtId="165" fontId="52" fillId="0" borderId="0" xfId="0" applyNumberFormat="1" applyFont="1" applyBorder="1" applyAlignment="1">
      <alignment horizontal="center" vertical="center" wrapText="1"/>
    </xf>
    <xf numFmtId="165" fontId="47" fillId="0" borderId="0" xfId="0" applyNumberFormat="1" applyFont="1" applyBorder="1" applyAlignment="1">
      <alignment horizontal="center" vertical="center"/>
    </xf>
    <xf numFmtId="2" fontId="52" fillId="0" borderId="0" xfId="0" applyNumberFormat="1" applyFont="1" applyBorder="1" applyAlignment="1">
      <alignment horizontal="center" vertical="center" wrapText="1"/>
    </xf>
    <xf numFmtId="185" fontId="52" fillId="0" borderId="0" xfId="0" applyNumberFormat="1" applyFont="1" applyBorder="1" applyAlignment="1">
      <alignment horizontal="center" vertical="center" wrapText="1"/>
    </xf>
    <xf numFmtId="1" fontId="52" fillId="0" borderId="0" xfId="0" applyNumberFormat="1" applyFont="1" applyBorder="1" applyAlignment="1">
      <alignment horizontal="center" vertical="center" wrapText="1"/>
    </xf>
    <xf numFmtId="0" fontId="52" fillId="0" borderId="0" xfId="0" applyFont="1" applyBorder="1" applyAlignment="1">
      <alignment horizontal="center" vertical="center" wrapText="1"/>
    </xf>
    <xf numFmtId="0" fontId="52" fillId="0" borderId="41" xfId="0" applyFont="1" applyBorder="1" applyAlignment="1">
      <alignment horizontal="center" vertical="center" wrapText="1"/>
    </xf>
    <xf numFmtId="2" fontId="47" fillId="0" borderId="0" xfId="0" applyNumberFormat="1" applyFont="1" applyAlignment="1">
      <alignment horizontal="center" vertical="center"/>
    </xf>
    <xf numFmtId="166" fontId="52" fillId="0" borderId="0" xfId="0" applyNumberFormat="1" applyFont="1" applyBorder="1" applyAlignment="1">
      <alignment horizontal="center" vertical="center" wrapText="1"/>
    </xf>
    <xf numFmtId="167" fontId="52" fillId="0" borderId="0" xfId="0" applyNumberFormat="1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/>
    </xf>
    <xf numFmtId="2" fontId="47" fillId="0" borderId="0" xfId="0" applyNumberFormat="1" applyFont="1" applyBorder="1" applyAlignment="1">
      <alignment horizontal="center" vertical="center"/>
    </xf>
    <xf numFmtId="2" fontId="52" fillId="0" borderId="0" xfId="0" applyNumberFormat="1" applyFont="1" applyBorder="1" applyAlignment="1">
      <alignment horizontal="center" vertical="center"/>
    </xf>
    <xf numFmtId="1" fontId="52" fillId="0" borderId="0" xfId="0" applyNumberFormat="1" applyFont="1" applyBorder="1" applyAlignment="1">
      <alignment horizontal="center" vertical="center"/>
    </xf>
    <xf numFmtId="1" fontId="47" fillId="0" borderId="0" xfId="0" applyNumberFormat="1" applyFont="1" applyBorder="1" applyAlignment="1">
      <alignment horizontal="center" vertical="center"/>
    </xf>
    <xf numFmtId="165" fontId="158" fillId="0" borderId="0" xfId="0" applyNumberFormat="1" applyFont="1" applyBorder="1" applyAlignment="1">
      <alignment horizontal="center"/>
    </xf>
    <xf numFmtId="165" fontId="206" fillId="0" borderId="0" xfId="0" applyNumberFormat="1" applyFont="1" applyBorder="1" applyAlignment="1">
      <alignment horizontal="center" wrapText="1"/>
    </xf>
    <xf numFmtId="165" fontId="52" fillId="0" borderId="0" xfId="0" applyNumberFormat="1" applyFont="1" applyBorder="1" applyAlignment="1">
      <alignment horizontal="center" wrapText="1"/>
    </xf>
    <xf numFmtId="2" fontId="206" fillId="0" borderId="0" xfId="0" applyNumberFormat="1" applyFont="1" applyBorder="1" applyAlignment="1">
      <alignment horizontal="center" wrapText="1"/>
    </xf>
    <xf numFmtId="2" fontId="158" fillId="0" borderId="0" xfId="0" applyNumberFormat="1" applyFont="1" applyBorder="1" applyAlignment="1">
      <alignment horizontal="center"/>
    </xf>
    <xf numFmtId="2" fontId="206" fillId="0" borderId="0" xfId="0" applyNumberFormat="1" applyFont="1" applyFill="1" applyBorder="1" applyAlignment="1">
      <alignment horizontal="center"/>
    </xf>
    <xf numFmtId="0" fontId="206" fillId="0" borderId="0" xfId="0" applyFont="1" applyFill="1" applyBorder="1" applyAlignment="1">
      <alignment horizontal="center"/>
    </xf>
    <xf numFmtId="1" fontId="158" fillId="0" borderId="0" xfId="0" applyNumberFormat="1" applyFont="1" applyBorder="1" applyAlignment="1">
      <alignment horizontal="center"/>
    </xf>
    <xf numFmtId="0" fontId="206" fillId="0" borderId="0" xfId="0" applyFont="1" applyBorder="1" applyAlignment="1">
      <alignment horizontal="center" wrapText="1"/>
    </xf>
    <xf numFmtId="2" fontId="158" fillId="0" borderId="0" xfId="0" applyNumberFormat="1" applyFont="1" applyAlignment="1">
      <alignment horizontal="center"/>
    </xf>
    <xf numFmtId="0" fontId="15" fillId="0" borderId="0" xfId="0" applyFont="1" applyFill="1" applyBorder="1" applyAlignment="1">
      <alignment horizontal="center" vertical="top"/>
    </xf>
    <xf numFmtId="0" fontId="15" fillId="34" borderId="0" xfId="0" applyFont="1" applyFill="1" applyBorder="1" applyAlignment="1">
      <alignment horizontal="center" vertical="top"/>
    </xf>
    <xf numFmtId="0" fontId="15" fillId="35" borderId="0" xfId="0" applyFont="1" applyFill="1" applyBorder="1" applyAlignment="1">
      <alignment horizontal="center" vertical="top"/>
    </xf>
    <xf numFmtId="0" fontId="82" fillId="0" borderId="0" xfId="0" applyFont="1" applyBorder="1" applyAlignment="1">
      <alignment horizontal="center" vertical="center" wrapText="1"/>
    </xf>
    <xf numFmtId="0" fontId="81" fillId="0" borderId="0" xfId="0" applyFont="1" applyAlignment="1">
      <alignment horizontal="center"/>
    </xf>
    <xf numFmtId="0" fontId="82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 wrapText="1"/>
    </xf>
    <xf numFmtId="165" fontId="204" fillId="0" borderId="0" xfId="0" applyNumberFormat="1" applyFont="1" applyFill="1" applyBorder="1" applyAlignment="1">
      <alignment horizontal="right" vertical="top" shrinkToFit="1"/>
    </xf>
    <xf numFmtId="165" fontId="201" fillId="0" borderId="0" xfId="0" applyNumberFormat="1" applyFont="1" applyFill="1" applyBorder="1" applyAlignment="1">
      <alignment horizontal="right" vertical="top" shrinkToFit="1"/>
    </xf>
    <xf numFmtId="2" fontId="201" fillId="0" borderId="0" xfId="0" applyNumberFormat="1" applyFont="1" applyFill="1" applyBorder="1" applyAlignment="1">
      <alignment horizontal="right" vertical="top" shrinkToFit="1"/>
    </xf>
    <xf numFmtId="0" fontId="202" fillId="0" borderId="0" xfId="0" applyFont="1" applyFill="1" applyBorder="1" applyAlignment="1">
      <alignment horizontal="right" vertical="top" wrapText="1"/>
    </xf>
    <xf numFmtId="1" fontId="201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/>
    </xf>
    <xf numFmtId="165" fontId="15" fillId="0" borderId="0" xfId="0" applyNumberFormat="1" applyFont="1" applyBorder="1" applyAlignment="1">
      <alignment horizontal="right"/>
    </xf>
    <xf numFmtId="165" fontId="15" fillId="0" borderId="0" xfId="0" applyNumberFormat="1" applyFont="1" applyBorder="1" applyAlignment="1">
      <alignment horizontal="right" wrapText="1"/>
    </xf>
    <xf numFmtId="165" fontId="15" fillId="0" borderId="0" xfId="0" applyNumberFormat="1" applyFont="1" applyBorder="1" applyAlignment="1">
      <alignment horizontal="right" vertical="center" wrapText="1"/>
    </xf>
    <xf numFmtId="165" fontId="15" fillId="0" borderId="0" xfId="0" applyNumberFormat="1" applyFont="1" applyAlignment="1">
      <alignment horizontal="right"/>
    </xf>
    <xf numFmtId="165" fontId="15" fillId="34" borderId="0" xfId="0" applyNumberFormat="1" applyFont="1" applyFill="1" applyBorder="1" applyAlignment="1">
      <alignment horizontal="right"/>
    </xf>
    <xf numFmtId="165" fontId="15" fillId="34" borderId="0" xfId="0" applyNumberFormat="1" applyFont="1" applyFill="1" applyBorder="1" applyAlignment="1">
      <alignment horizontal="right" wrapText="1"/>
    </xf>
    <xf numFmtId="165" fontId="15" fillId="34" borderId="0" xfId="0" applyNumberFormat="1" applyFont="1" applyFill="1" applyBorder="1" applyAlignment="1">
      <alignment horizontal="right" vertical="center" wrapText="1"/>
    </xf>
    <xf numFmtId="2" fontId="15" fillId="34" borderId="0" xfId="0" applyNumberFormat="1" applyFont="1" applyFill="1" applyBorder="1" applyAlignment="1">
      <alignment horizontal="right"/>
    </xf>
    <xf numFmtId="1" fontId="15" fillId="34" borderId="0" xfId="0" applyNumberFormat="1" applyFont="1" applyFill="1" applyBorder="1" applyAlignment="1">
      <alignment horizontal="right"/>
    </xf>
    <xf numFmtId="165" fontId="15" fillId="0" borderId="0" xfId="0" applyNumberFormat="1" applyFont="1" applyFill="1" applyBorder="1" applyAlignment="1">
      <alignment horizontal="right"/>
    </xf>
    <xf numFmtId="0" fontId="15" fillId="34" borderId="0" xfId="0" applyFont="1" applyFill="1" applyBorder="1" applyAlignment="1">
      <alignment horizontal="right" wrapText="1"/>
    </xf>
    <xf numFmtId="165" fontId="15" fillId="0" borderId="0" xfId="0" applyNumberFormat="1" applyFont="1" applyFill="1" applyBorder="1" applyAlignment="1">
      <alignment horizontal="right" wrapText="1"/>
    </xf>
    <xf numFmtId="165" fontId="15" fillId="0" borderId="0" xfId="0" applyNumberFormat="1" applyFont="1" applyFill="1" applyBorder="1" applyAlignment="1">
      <alignment horizontal="right" vertical="center" wrapText="1"/>
    </xf>
    <xf numFmtId="1" fontId="15" fillId="0" borderId="0" xfId="0" applyNumberFormat="1" applyFont="1" applyFill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right" vertical="center"/>
    </xf>
    <xf numFmtId="165" fontId="15" fillId="34" borderId="0" xfId="0" applyNumberFormat="1" applyFont="1" applyFill="1" applyBorder="1" applyAlignment="1">
      <alignment horizontal="right" vertical="center"/>
    </xf>
    <xf numFmtId="1" fontId="15" fillId="34" borderId="0" xfId="0" applyNumberFormat="1" applyFont="1" applyFill="1" applyBorder="1" applyAlignment="1">
      <alignment horizontal="right" vertical="center"/>
    </xf>
    <xf numFmtId="165" fontId="15" fillId="34" borderId="0" xfId="0" applyNumberFormat="1" applyFont="1" applyFill="1" applyAlignment="1">
      <alignment horizontal="right" vertical="center"/>
    </xf>
    <xf numFmtId="0" fontId="15" fillId="34" borderId="0" xfId="0" applyFont="1" applyFill="1" applyAlignment="1">
      <alignment horizontal="right" vertical="center"/>
    </xf>
    <xf numFmtId="165" fontId="15" fillId="35" borderId="0" xfId="0" applyNumberFormat="1" applyFont="1" applyFill="1" applyBorder="1" applyAlignment="1">
      <alignment horizontal="right" vertical="center"/>
    </xf>
    <xf numFmtId="0" fontId="15" fillId="34" borderId="0" xfId="0" applyFont="1" applyFill="1" applyBorder="1" applyAlignment="1">
      <alignment horizontal="right" vertical="center" wrapText="1"/>
    </xf>
    <xf numFmtId="0" fontId="117" fillId="0" borderId="0" xfId="0" applyFont="1" applyFill="1" applyBorder="1" applyAlignment="1">
      <alignment horizontal="right" vertical="center" wrapText="1"/>
    </xf>
    <xf numFmtId="0" fontId="117" fillId="34" borderId="0" xfId="0" applyFont="1" applyFill="1" applyBorder="1" applyAlignment="1">
      <alignment horizontal="right" vertical="center" wrapText="1"/>
    </xf>
    <xf numFmtId="165" fontId="117" fillId="0" borderId="0" xfId="0" applyNumberFormat="1" applyFont="1" applyFill="1" applyBorder="1" applyAlignment="1">
      <alignment horizontal="right" wrapText="1"/>
    </xf>
    <xf numFmtId="0" fontId="117" fillId="41" borderId="0" xfId="0" applyFont="1" applyFill="1" applyBorder="1" applyAlignment="1">
      <alignment horizontal="right" vertical="center" wrapText="1"/>
    </xf>
    <xf numFmtId="0" fontId="117" fillId="34" borderId="0" xfId="0" applyFont="1" applyFill="1" applyBorder="1" applyAlignment="1">
      <alignment horizontal="right" wrapText="1"/>
    </xf>
    <xf numFmtId="165" fontId="117" fillId="34" borderId="0" xfId="0" applyNumberFormat="1" applyFont="1" applyFill="1" applyBorder="1" applyAlignment="1">
      <alignment horizontal="right" wrapText="1"/>
    </xf>
    <xf numFmtId="0" fontId="117" fillId="0" borderId="0" xfId="0" applyFont="1" applyFill="1" applyBorder="1" applyAlignment="1">
      <alignment horizontal="right" wrapText="1"/>
    </xf>
    <xf numFmtId="0" fontId="15" fillId="0" borderId="0" xfId="0" applyFont="1" applyFill="1" applyBorder="1" applyAlignment="1">
      <alignment horizontal="right" vertical="center" wrapText="1"/>
    </xf>
    <xf numFmtId="165" fontId="109" fillId="0" borderId="0" xfId="0" applyNumberFormat="1" applyFont="1" applyFill="1" applyBorder="1" applyAlignment="1">
      <alignment horizontal="right" vertical="center" wrapText="1"/>
    </xf>
    <xf numFmtId="165" fontId="109" fillId="0" borderId="0" xfId="0" applyNumberFormat="1" applyFont="1" applyFill="1" applyBorder="1" applyAlignment="1">
      <alignment horizontal="right" vertical="center"/>
    </xf>
    <xf numFmtId="165" fontId="109" fillId="34" borderId="0" xfId="0" applyNumberFormat="1" applyFont="1" applyFill="1" applyBorder="1" applyAlignment="1">
      <alignment horizontal="right" vertical="center" wrapText="1"/>
    </xf>
    <xf numFmtId="0" fontId="109" fillId="34" borderId="0" xfId="0" applyFont="1" applyFill="1" applyBorder="1" applyAlignment="1">
      <alignment horizontal="right" vertical="center" wrapText="1"/>
    </xf>
    <xf numFmtId="165" fontId="109" fillId="34" borderId="0" xfId="0" applyNumberFormat="1" applyFont="1" applyFill="1" applyBorder="1" applyAlignment="1">
      <alignment horizontal="right" vertical="center"/>
    </xf>
    <xf numFmtId="0" fontId="109" fillId="0" borderId="0" xfId="0" applyFont="1" applyFill="1" applyBorder="1" applyAlignment="1">
      <alignment horizontal="right" vertical="center" wrapText="1"/>
    </xf>
    <xf numFmtId="0" fontId="81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Fill="1" applyAlignment="1">
      <alignment horizontal="right"/>
    </xf>
    <xf numFmtId="0" fontId="15" fillId="34" borderId="0" xfId="0" applyFont="1" applyFill="1" applyAlignment="1">
      <alignment horizontal="right"/>
    </xf>
    <xf numFmtId="2" fontId="117" fillId="34" borderId="0" xfId="0" applyNumberFormat="1" applyFont="1" applyFill="1" applyBorder="1" applyAlignment="1">
      <alignment horizontal="right" vertical="center" wrapText="1"/>
    </xf>
    <xf numFmtId="1" fontId="117" fillId="34" borderId="0" xfId="0" applyNumberFormat="1" applyFont="1" applyFill="1" applyBorder="1" applyAlignment="1">
      <alignment horizontal="right" vertical="center" wrapText="1"/>
    </xf>
    <xf numFmtId="2" fontId="117" fillId="0" borderId="0" xfId="0" applyNumberFormat="1" applyFont="1" applyFill="1" applyBorder="1" applyAlignment="1">
      <alignment horizontal="right" vertical="center" wrapText="1"/>
    </xf>
    <xf numFmtId="165" fontId="117" fillId="35" borderId="0" xfId="0" applyNumberFormat="1" applyFont="1" applyFill="1" applyBorder="1" applyAlignment="1">
      <alignment horizontal="right" vertical="center" wrapText="1"/>
    </xf>
    <xf numFmtId="2" fontId="117" fillId="35" borderId="0" xfId="0" applyNumberFormat="1" applyFont="1" applyFill="1" applyBorder="1" applyAlignment="1">
      <alignment horizontal="right" vertical="center" wrapText="1"/>
    </xf>
    <xf numFmtId="2" fontId="15" fillId="35" borderId="0" xfId="0" applyNumberFormat="1" applyFont="1" applyFill="1" applyBorder="1" applyAlignment="1">
      <alignment horizontal="right" vertical="center"/>
    </xf>
    <xf numFmtId="1" fontId="15" fillId="35" borderId="0" xfId="0" applyNumberFormat="1" applyFont="1" applyFill="1" applyBorder="1" applyAlignment="1">
      <alignment horizontal="right" vertical="center"/>
    </xf>
    <xf numFmtId="165" fontId="117" fillId="0" borderId="6" xfId="0" applyNumberFormat="1" applyFont="1" applyFill="1" applyBorder="1" applyAlignment="1">
      <alignment horizontal="right" vertical="center" wrapText="1"/>
    </xf>
    <xf numFmtId="2" fontId="117" fillId="0" borderId="6" xfId="0" applyNumberFormat="1" applyFont="1" applyFill="1" applyBorder="1" applyAlignment="1">
      <alignment horizontal="right" vertical="center" wrapText="1"/>
    </xf>
    <xf numFmtId="1" fontId="15" fillId="0" borderId="6" xfId="0" applyNumberFormat="1" applyFont="1" applyFill="1" applyBorder="1" applyAlignment="1">
      <alignment horizontal="right" vertical="center"/>
    </xf>
    <xf numFmtId="2" fontId="15" fillId="0" borderId="6" xfId="0" applyNumberFormat="1" applyFont="1" applyFill="1" applyBorder="1" applyAlignment="1">
      <alignment horizontal="right" vertical="center"/>
    </xf>
    <xf numFmtId="165" fontId="117" fillId="34" borderId="6" xfId="0" applyNumberFormat="1" applyFont="1" applyFill="1" applyBorder="1" applyAlignment="1">
      <alignment horizontal="right" vertical="center" wrapText="1"/>
    </xf>
    <xf numFmtId="0" fontId="15" fillId="34" borderId="6" xfId="0" applyFont="1" applyFill="1" applyBorder="1" applyAlignment="1">
      <alignment horizontal="right" vertical="top"/>
    </xf>
    <xf numFmtId="2" fontId="117" fillId="34" borderId="6" xfId="0" applyNumberFormat="1" applyFont="1" applyFill="1" applyBorder="1" applyAlignment="1">
      <alignment horizontal="right" vertical="center" wrapText="1"/>
    </xf>
    <xf numFmtId="1" fontId="15" fillId="34" borderId="6" xfId="0" applyNumberFormat="1" applyFont="1" applyFill="1" applyBorder="1" applyAlignment="1">
      <alignment horizontal="right" vertical="center"/>
    </xf>
    <xf numFmtId="2" fontId="15" fillId="34" borderId="6" xfId="0" applyNumberFormat="1" applyFont="1" applyFill="1" applyBorder="1" applyAlignment="1">
      <alignment horizontal="right" vertical="center"/>
    </xf>
    <xf numFmtId="0" fontId="0" fillId="0" borderId="0" xfId="0"/>
    <xf numFmtId="0" fontId="15" fillId="0" borderId="2" xfId="0" applyFont="1" applyFill="1" applyBorder="1" applyAlignment="1">
      <alignment horizontal="center" vertical="center" wrapText="1"/>
    </xf>
    <xf numFmtId="167" fontId="23" fillId="34" borderId="0" xfId="0" applyNumberFormat="1" applyFont="1" applyFill="1" applyBorder="1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167" fontId="23" fillId="0" borderId="0" xfId="0" applyNumberFormat="1" applyFont="1" applyFill="1" applyBorder="1" applyAlignment="1">
      <alignment horizontal="center" vertical="center"/>
    </xf>
    <xf numFmtId="2" fontId="204" fillId="0" borderId="0" xfId="0" applyNumberFormat="1" applyFont="1" applyFill="1" applyBorder="1" applyAlignment="1">
      <alignment horizontal="center" vertical="top" shrinkToFit="1"/>
    </xf>
    <xf numFmtId="0" fontId="15" fillId="0" borderId="0" xfId="0" applyFont="1" applyFill="1" applyBorder="1" applyAlignment="1">
      <alignment horizontal="right" vertical="top" wrapText="1" indent="1"/>
    </xf>
    <xf numFmtId="167" fontId="204" fillId="0" borderId="0" xfId="0" applyNumberFormat="1" applyFont="1" applyFill="1" applyBorder="1" applyAlignment="1">
      <alignment horizontal="center" vertical="top" shrinkToFit="1"/>
    </xf>
    <xf numFmtId="2" fontId="204" fillId="0" borderId="82" xfId="0" applyNumberFormat="1" applyFont="1" applyFill="1" applyBorder="1" applyAlignment="1">
      <alignment horizontal="center" vertical="top" shrinkToFit="1"/>
    </xf>
    <xf numFmtId="0" fontId="15" fillId="0" borderId="82" xfId="0" applyFont="1" applyFill="1" applyBorder="1" applyAlignment="1">
      <alignment horizontal="center" vertical="top" wrapText="1"/>
    </xf>
    <xf numFmtId="0" fontId="15" fillId="0" borderId="82" xfId="0" applyFont="1" applyFill="1" applyBorder="1" applyAlignment="1">
      <alignment horizontal="right" vertical="top" wrapText="1" indent="1"/>
    </xf>
    <xf numFmtId="165" fontId="204" fillId="0" borderId="82" xfId="0" applyNumberFormat="1" applyFont="1" applyFill="1" applyBorder="1" applyAlignment="1">
      <alignment horizontal="center" vertical="top" shrinkToFit="1"/>
    </xf>
    <xf numFmtId="167" fontId="204" fillId="0" borderId="82" xfId="0" applyNumberFormat="1" applyFont="1" applyFill="1" applyBorder="1" applyAlignment="1">
      <alignment horizontal="center" vertical="top" shrinkToFit="1"/>
    </xf>
    <xf numFmtId="0" fontId="15" fillId="35" borderId="0" xfId="0" applyFont="1" applyFill="1" applyBorder="1" applyAlignment="1">
      <alignment horizontal="center" vertical="center" wrapText="1"/>
    </xf>
    <xf numFmtId="0" fontId="8" fillId="35" borderId="0" xfId="0" applyFont="1" applyFill="1" applyBorder="1" applyAlignment="1">
      <alignment horizontal="center" vertical="center" wrapText="1"/>
    </xf>
    <xf numFmtId="0" fontId="27" fillId="35" borderId="0" xfId="0" applyFont="1" applyFill="1" applyBorder="1" applyAlignment="1">
      <alignment horizontal="center" vertical="center" wrapText="1"/>
    </xf>
    <xf numFmtId="0" fontId="27" fillId="35" borderId="0" xfId="0" applyFont="1" applyFill="1" applyBorder="1" applyAlignment="1">
      <alignment horizontal="center" vertical="center"/>
    </xf>
    <xf numFmtId="0" fontId="29" fillId="35" borderId="0" xfId="0" applyFont="1" applyFill="1" applyAlignment="1">
      <alignment horizontal="center" vertical="center"/>
    </xf>
    <xf numFmtId="0" fontId="32" fillId="35" borderId="0" xfId="0" applyFont="1" applyFill="1"/>
    <xf numFmtId="165" fontId="15" fillId="34" borderId="0" xfId="0" applyNumberFormat="1" applyFont="1" applyFill="1" applyAlignment="1">
      <alignment horizontal="right"/>
    </xf>
    <xf numFmtId="165" fontId="15" fillId="0" borderId="0" xfId="0" applyNumberFormat="1" applyFont="1" applyFill="1" applyAlignment="1">
      <alignment horizontal="right"/>
    </xf>
    <xf numFmtId="165" fontId="23" fillId="0" borderId="0" xfId="0" applyNumberFormat="1" applyFont="1" applyBorder="1" applyAlignment="1">
      <alignment horizontal="right"/>
    </xf>
    <xf numFmtId="0" fontId="29" fillId="35" borderId="0" xfId="0" applyFont="1" applyFill="1" applyBorder="1" applyAlignment="1">
      <alignment horizontal="right" vertical="center" wrapText="1"/>
    </xf>
    <xf numFmtId="0" fontId="29" fillId="35" borderId="0" xfId="0" applyFont="1" applyFill="1" applyBorder="1" applyAlignment="1">
      <alignment horizontal="right" vertical="center"/>
    </xf>
    <xf numFmtId="49" fontId="15" fillId="34" borderId="0" xfId="0" applyNumberFormat="1" applyFont="1" applyFill="1" applyBorder="1" applyAlignment="1">
      <alignment horizontal="center"/>
    </xf>
    <xf numFmtId="186" fontId="15" fillId="34" borderId="0" xfId="0" applyNumberFormat="1" applyFont="1" applyFill="1" applyBorder="1" applyAlignment="1">
      <alignment horizontal="center"/>
    </xf>
    <xf numFmtId="0" fontId="208" fillId="0" borderId="39" xfId="0" applyFont="1" applyFill="1" applyBorder="1" applyAlignment="1">
      <alignment horizontal="center" vertical="center" wrapText="1"/>
    </xf>
    <xf numFmtId="0" fontId="209" fillId="0" borderId="80" xfId="0" applyFont="1" applyFill="1" applyBorder="1" applyAlignment="1">
      <alignment horizontal="center" vertical="center" wrapText="1"/>
    </xf>
    <xf numFmtId="0" fontId="208" fillId="0" borderId="0" xfId="0" applyFont="1" applyFill="1" applyAlignment="1">
      <alignment horizontal="center" vertical="center"/>
    </xf>
    <xf numFmtId="165" fontId="52" fillId="0" borderId="0" xfId="0" applyNumberFormat="1" applyFont="1" applyBorder="1" applyAlignment="1">
      <alignment horizontal="left" wrapText="1"/>
    </xf>
    <xf numFmtId="165" fontId="52" fillId="0" borderId="0" xfId="0" applyNumberFormat="1" applyFont="1" applyBorder="1" applyAlignment="1">
      <alignment vertical="center" wrapText="1"/>
    </xf>
    <xf numFmtId="165" fontId="47" fillId="0" borderId="0" xfId="0" applyNumberFormat="1" applyFont="1" applyBorder="1" applyAlignment="1">
      <alignment vertical="center"/>
    </xf>
    <xf numFmtId="165" fontId="47" fillId="0" borderId="0" xfId="0" applyNumberFormat="1" applyFont="1" applyBorder="1" applyAlignment="1">
      <alignment vertical="center" wrapText="1"/>
    </xf>
    <xf numFmtId="0" fontId="47" fillId="0" borderId="0" xfId="0" applyFont="1" applyBorder="1" applyAlignment="1">
      <alignment vertical="center"/>
    </xf>
    <xf numFmtId="165" fontId="47" fillId="0" borderId="0" xfId="0" applyNumberFormat="1" applyFont="1" applyBorder="1" applyAlignment="1"/>
    <xf numFmtId="0" fontId="47" fillId="0" borderId="0" xfId="0" applyFont="1" applyBorder="1" applyAlignment="1"/>
    <xf numFmtId="165" fontId="52" fillId="0" borderId="0" xfId="0" applyNumberFormat="1" applyFont="1" applyBorder="1" applyAlignment="1">
      <alignment wrapText="1"/>
    </xf>
    <xf numFmtId="165" fontId="117" fillId="0" borderId="0" xfId="0" applyNumberFormat="1" applyFont="1" applyFill="1" applyBorder="1" applyAlignment="1"/>
    <xf numFmtId="187" fontId="15" fillId="0" borderId="0" xfId="0" applyNumberFormat="1" applyFont="1" applyBorder="1" applyAlignment="1"/>
    <xf numFmtId="187" fontId="13" fillId="0" borderId="0" xfId="0" applyNumberFormat="1" applyFont="1" applyBorder="1" applyAlignment="1">
      <alignment wrapText="1"/>
    </xf>
    <xf numFmtId="187" fontId="15" fillId="0" borderId="36" xfId="0" applyNumberFormat="1" applyFont="1" applyBorder="1" applyAlignment="1"/>
    <xf numFmtId="187" fontId="13" fillId="0" borderId="36" xfId="0" applyNumberFormat="1" applyFont="1" applyBorder="1" applyAlignment="1">
      <alignment wrapText="1"/>
    </xf>
    <xf numFmtId="165" fontId="117" fillId="0" borderId="0" xfId="0" applyNumberFormat="1" applyFont="1" applyFill="1" applyBorder="1" applyAlignment="1">
      <alignment vertical="center"/>
    </xf>
    <xf numFmtId="165" fontId="117" fillId="34" borderId="0" xfId="0" applyNumberFormat="1" applyFont="1" applyFill="1" applyBorder="1" applyAlignment="1">
      <alignment vertical="center"/>
    </xf>
    <xf numFmtId="165" fontId="15" fillId="34" borderId="0" xfId="0" applyNumberFormat="1" applyFont="1" applyFill="1" applyBorder="1" applyAlignment="1">
      <alignment vertical="center"/>
    </xf>
    <xf numFmtId="165" fontId="117" fillId="34" borderId="0" xfId="0" applyNumberFormat="1" applyFont="1" applyFill="1" applyBorder="1" applyAlignment="1"/>
    <xf numFmtId="165" fontId="15" fillId="34" borderId="0" xfId="0" applyNumberFormat="1" applyFont="1" applyFill="1" applyBorder="1" applyAlignment="1"/>
    <xf numFmtId="165" fontId="162" fillId="0" borderId="0" xfId="0" applyNumberFormat="1" applyFont="1" applyFill="1" applyBorder="1" applyAlignment="1"/>
    <xf numFmtId="165" fontId="162" fillId="34" borderId="0" xfId="0" applyNumberFormat="1" applyFont="1" applyFill="1" applyBorder="1" applyAlignment="1"/>
    <xf numFmtId="165" fontId="162" fillId="39" borderId="0" xfId="0" applyNumberFormat="1" applyFont="1" applyFill="1" applyBorder="1" applyAlignment="1"/>
    <xf numFmtId="165" fontId="15" fillId="39" borderId="0" xfId="0" applyNumberFormat="1" applyFont="1" applyFill="1" applyBorder="1" applyAlignment="1"/>
    <xf numFmtId="165" fontId="117" fillId="39" borderId="0" xfId="0" applyNumberFormat="1" applyFont="1" applyFill="1" applyBorder="1" applyAlignment="1"/>
    <xf numFmtId="165" fontId="162" fillId="34" borderId="0" xfId="0" applyNumberFormat="1" applyFont="1" applyFill="1" applyBorder="1" applyAlignment="1">
      <alignment vertical="center"/>
    </xf>
    <xf numFmtId="165" fontId="162" fillId="0" borderId="0" xfId="0" applyNumberFormat="1" applyFont="1" applyFill="1" applyBorder="1" applyAlignment="1">
      <alignment vertical="center"/>
    </xf>
    <xf numFmtId="165" fontId="117" fillId="39" borderId="0" xfId="0" applyNumberFormat="1" applyFont="1" applyFill="1" applyBorder="1" applyAlignment="1">
      <alignment vertical="center"/>
    </xf>
    <xf numFmtId="165" fontId="15" fillId="35" borderId="0" xfId="0" applyNumberFormat="1" applyFont="1" applyFill="1" applyBorder="1" applyAlignment="1">
      <alignment vertical="center"/>
    </xf>
    <xf numFmtId="165" fontId="117" fillId="35" borderId="0" xfId="0" applyNumberFormat="1" applyFont="1" applyFill="1" applyBorder="1" applyAlignment="1">
      <alignment vertical="center"/>
    </xf>
    <xf numFmtId="165" fontId="15" fillId="40" borderId="6" xfId="0" applyNumberFormat="1" applyFont="1" applyFill="1" applyBorder="1" applyAlignment="1">
      <alignment vertical="center"/>
    </xf>
    <xf numFmtId="165" fontId="117" fillId="40" borderId="6" xfId="0" applyNumberFormat="1" applyFont="1" applyFill="1" applyBorder="1" applyAlignment="1">
      <alignment vertical="center"/>
    </xf>
    <xf numFmtId="165" fontId="117" fillId="35" borderId="6" xfId="0" applyNumberFormat="1" applyFont="1" applyFill="1" applyBorder="1" applyAlignment="1">
      <alignment vertical="center"/>
    </xf>
    <xf numFmtId="2" fontId="33" fillId="0" borderId="0" xfId="0" applyNumberFormat="1" applyFont="1" applyFill="1" applyBorder="1" applyAlignment="1">
      <alignment vertical="center"/>
    </xf>
    <xf numFmtId="0" fontId="23" fillId="0" borderId="0" xfId="0" applyFont="1" applyFill="1" applyBorder="1" applyAlignment="1">
      <alignment horizontal="center"/>
    </xf>
    <xf numFmtId="0" fontId="23" fillId="0" borderId="0" xfId="0" applyFont="1" applyFill="1" applyAlignment="1">
      <alignment horizontal="right"/>
    </xf>
    <xf numFmtId="0" fontId="23" fillId="0" borderId="39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vertical="justify" wrapText="1"/>
    </xf>
    <xf numFmtId="165" fontId="130" fillId="0" borderId="0" xfId="0" applyNumberFormat="1" applyFont="1" applyFill="1" applyBorder="1" applyAlignment="1">
      <alignment horizontal="right" vertical="top" wrapText="1"/>
    </xf>
    <xf numFmtId="0" fontId="15" fillId="0" borderId="0" xfId="0" applyFont="1" applyBorder="1" applyAlignment="1">
      <alignment horizontal="center" wrapText="1"/>
    </xf>
    <xf numFmtId="165" fontId="15" fillId="0" borderId="36" xfId="0" applyNumberFormat="1" applyFont="1" applyBorder="1" applyAlignment="1">
      <alignment horizontal="right"/>
    </xf>
    <xf numFmtId="165" fontId="117" fillId="34" borderId="0" xfId="0" applyNumberFormat="1" applyFont="1" applyFill="1" applyBorder="1" applyAlignment="1">
      <alignment horizontal="right" vertical="top" wrapText="1"/>
    </xf>
    <xf numFmtId="165" fontId="117" fillId="0" borderId="0" xfId="0" applyNumberFormat="1" applyFont="1" applyFill="1" applyBorder="1" applyAlignment="1">
      <alignment horizontal="right" vertical="top" wrapText="1"/>
    </xf>
    <xf numFmtId="0" fontId="117" fillId="0" borderId="0" xfId="0" applyFont="1" applyFill="1" applyBorder="1" applyAlignment="1">
      <alignment horizontal="right" vertical="top" wrapText="1"/>
    </xf>
    <xf numFmtId="0" fontId="15" fillId="35" borderId="0" xfId="0" applyFont="1" applyFill="1" applyBorder="1" applyAlignment="1">
      <alignment horizontal="right" vertical="center"/>
    </xf>
    <xf numFmtId="165" fontId="109" fillId="34" borderId="0" xfId="0" applyNumberFormat="1" applyFont="1" applyFill="1" applyBorder="1" applyAlignment="1">
      <alignment horizontal="right"/>
    </xf>
    <xf numFmtId="165" fontId="109" fillId="0" borderId="0" xfId="0" applyNumberFormat="1" applyFont="1" applyFill="1" applyBorder="1" applyAlignment="1">
      <alignment horizontal="right"/>
    </xf>
    <xf numFmtId="165" fontId="109" fillId="34" borderId="6" xfId="0" applyNumberFormat="1" applyFont="1" applyFill="1" applyBorder="1" applyAlignment="1">
      <alignment horizontal="right" vertical="center"/>
    </xf>
    <xf numFmtId="165" fontId="109" fillId="0" borderId="6" xfId="0" applyNumberFormat="1" applyFont="1" applyFill="1" applyBorder="1" applyAlignment="1">
      <alignment horizontal="right" vertical="center"/>
    </xf>
    <xf numFmtId="0" fontId="209" fillId="0" borderId="0" xfId="0" applyFont="1" applyFill="1" applyAlignment="1"/>
    <xf numFmtId="0" fontId="123" fillId="0" borderId="0" xfId="0" applyFont="1" applyBorder="1" applyAlignment="1">
      <alignment vertical="center"/>
    </xf>
    <xf numFmtId="1" fontId="127" fillId="0" borderId="0" xfId="0" applyNumberFormat="1" applyFont="1" applyFill="1" applyBorder="1" applyAlignment="1">
      <alignment horizontal="center" vertical="center"/>
    </xf>
    <xf numFmtId="1" fontId="127" fillId="0" borderId="0" xfId="0" applyNumberFormat="1" applyFont="1" applyFill="1" applyBorder="1" applyAlignment="1">
      <alignment horizontal="center" vertical="center" wrapText="1"/>
    </xf>
    <xf numFmtId="1" fontId="166" fillId="0" borderId="0" xfId="0" applyNumberFormat="1" applyFont="1" applyFill="1" applyBorder="1" applyAlignment="1">
      <alignment horizontal="center" vertical="center" wrapText="1"/>
    </xf>
    <xf numFmtId="1" fontId="179" fillId="0" borderId="0" xfId="0" applyNumberFormat="1" applyFont="1" applyFill="1" applyBorder="1" applyAlignment="1">
      <alignment horizontal="center" vertical="center" wrapText="1"/>
    </xf>
    <xf numFmtId="165" fontId="126" fillId="0" borderId="0" xfId="0" applyNumberFormat="1" applyFont="1" applyFill="1"/>
    <xf numFmtId="0" fontId="126" fillId="34" borderId="0" xfId="0" applyFont="1" applyFill="1"/>
    <xf numFmtId="165" fontId="126" fillId="34" borderId="0" xfId="0" applyNumberFormat="1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right" wrapText="1"/>
    </xf>
    <xf numFmtId="0" fontId="23" fillId="0" borderId="0" xfId="0" applyFont="1" applyFill="1" applyBorder="1" applyAlignment="1">
      <alignment wrapText="1"/>
    </xf>
    <xf numFmtId="0" fontId="15" fillId="0" borderId="36" xfId="0" applyFont="1" applyFill="1" applyBorder="1" applyAlignment="1">
      <alignment vertical="top" wrapText="1"/>
    </xf>
    <xf numFmtId="0" fontId="15" fillId="0" borderId="39" xfId="0" applyFont="1" applyFill="1" applyBorder="1" applyAlignment="1">
      <alignment horizontal="center" vertical="center" wrapText="1"/>
    </xf>
    <xf numFmtId="0" fontId="210" fillId="0" borderId="39" xfId="0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wrapText="1"/>
    </xf>
    <xf numFmtId="0" fontId="10" fillId="0" borderId="0" xfId="0" applyFont="1" applyBorder="1" applyAlignment="1">
      <alignment horizontal="center" wrapText="1"/>
    </xf>
    <xf numFmtId="0" fontId="0" fillId="35" borderId="0" xfId="0" applyFill="1"/>
    <xf numFmtId="0" fontId="23" fillId="0" borderId="0" xfId="196" applyFont="1" applyBorder="1" applyAlignment="1">
      <alignment horizontal="left"/>
    </xf>
    <xf numFmtId="2" fontId="23" fillId="0" borderId="0" xfId="196" applyNumberFormat="1" applyFont="1" applyBorder="1" applyAlignment="1">
      <alignment horizontal="center"/>
    </xf>
    <xf numFmtId="0" fontId="15" fillId="0" borderId="55" xfId="196" applyFont="1" applyBorder="1" applyAlignment="1">
      <alignment horizontal="left"/>
    </xf>
    <xf numFmtId="0" fontId="3" fillId="35" borderId="0" xfId="0" applyFont="1" applyFill="1"/>
    <xf numFmtId="2" fontId="15" fillId="0" borderId="41" xfId="196" applyNumberFormat="1" applyFont="1" applyBorder="1" applyAlignment="1">
      <alignment horizontal="right"/>
    </xf>
    <xf numFmtId="2" fontId="15" fillId="0" borderId="0" xfId="196" applyNumberFormat="1" applyFont="1" applyBorder="1" applyAlignment="1">
      <alignment horizontal="right"/>
    </xf>
    <xf numFmtId="2" fontId="15" fillId="0" borderId="0" xfId="196" applyNumberFormat="1" applyFont="1" applyAlignment="1">
      <alignment horizontal="right"/>
    </xf>
    <xf numFmtId="2" fontId="15" fillId="0" borderId="0" xfId="196" applyNumberFormat="1" applyFont="1" applyFill="1" applyAlignment="1">
      <alignment horizontal="right"/>
    </xf>
    <xf numFmtId="2" fontId="13" fillId="0" borderId="0" xfId="0" applyNumberFormat="1" applyFont="1" applyAlignment="1">
      <alignment horizontal="right"/>
    </xf>
    <xf numFmtId="2" fontId="13" fillId="0" borderId="0" xfId="196" applyNumberFormat="1" applyFont="1" applyFill="1" applyBorder="1" applyAlignment="1">
      <alignment horizontal="right"/>
    </xf>
    <xf numFmtId="2" fontId="13" fillId="0" borderId="0" xfId="196" applyNumberFormat="1" applyFont="1" applyFill="1" applyBorder="1" applyAlignment="1">
      <alignment horizontal="right" wrapText="1"/>
    </xf>
    <xf numFmtId="2" fontId="15" fillId="34" borderId="0" xfId="196" applyNumberFormat="1" applyFont="1" applyFill="1" applyBorder="1" applyAlignment="1">
      <alignment horizontal="right" vertical="center" wrapText="1"/>
    </xf>
    <xf numFmtId="2" fontId="13" fillId="34" borderId="0" xfId="0" applyNumberFormat="1" applyFont="1" applyFill="1" applyAlignment="1">
      <alignment horizontal="right" vertical="center" wrapText="1"/>
    </xf>
    <xf numFmtId="2" fontId="15" fillId="0" borderId="0" xfId="196" applyNumberFormat="1" applyFont="1" applyFill="1" applyBorder="1" applyAlignment="1">
      <alignment horizontal="right" vertical="center" wrapText="1"/>
    </xf>
    <xf numFmtId="2" fontId="15" fillId="0" borderId="0" xfId="196" applyNumberFormat="1" applyFont="1" applyAlignment="1">
      <alignment horizontal="right" vertical="center" wrapText="1"/>
    </xf>
    <xf numFmtId="2" fontId="15" fillId="0" borderId="0" xfId="196" applyNumberFormat="1" applyFont="1" applyFill="1" applyAlignment="1">
      <alignment horizontal="right" vertical="center" wrapText="1"/>
    </xf>
    <xf numFmtId="2" fontId="13" fillId="0" borderId="0" xfId="0" applyNumberFormat="1" applyFont="1" applyFill="1" applyBorder="1" applyAlignment="1">
      <alignment horizontal="right" vertical="center" wrapText="1"/>
    </xf>
    <xf numFmtId="2" fontId="13" fillId="34" borderId="0" xfId="0" applyNumberFormat="1" applyFont="1" applyFill="1" applyBorder="1" applyAlignment="1">
      <alignment horizontal="right" vertical="center" wrapText="1"/>
    </xf>
    <xf numFmtId="2" fontId="13" fillId="0" borderId="0" xfId="0" applyNumberFormat="1" applyFont="1" applyFill="1" applyAlignment="1">
      <alignment horizontal="right" vertical="center" wrapText="1"/>
    </xf>
    <xf numFmtId="2" fontId="13" fillId="0" borderId="0" xfId="0" applyNumberFormat="1" applyFont="1" applyBorder="1" applyAlignment="1">
      <alignment horizontal="right"/>
    </xf>
    <xf numFmtId="2" fontId="15" fillId="34" borderId="0" xfId="196" applyNumberFormat="1" applyFont="1" applyFill="1" applyBorder="1" applyAlignment="1">
      <alignment horizontal="right"/>
    </xf>
    <xf numFmtId="2" fontId="13" fillId="34" borderId="0" xfId="0" applyNumberFormat="1" applyFont="1" applyFill="1" applyBorder="1" applyAlignment="1">
      <alignment horizontal="right"/>
    </xf>
    <xf numFmtId="2" fontId="15" fillId="34" borderId="6" xfId="196" applyNumberFormat="1" applyFont="1" applyFill="1" applyBorder="1" applyAlignment="1">
      <alignment horizontal="right"/>
    </xf>
    <xf numFmtId="2" fontId="13" fillId="34" borderId="6" xfId="0" applyNumberFormat="1" applyFont="1" applyFill="1" applyBorder="1" applyAlignment="1">
      <alignment horizontal="right"/>
    </xf>
    <xf numFmtId="2" fontId="15" fillId="0" borderId="0" xfId="196" applyNumberFormat="1" applyFont="1" applyFill="1" applyBorder="1" applyAlignment="1">
      <alignment horizontal="right"/>
    </xf>
    <xf numFmtId="2" fontId="13" fillId="0" borderId="0" xfId="0" applyNumberFormat="1" applyFont="1" applyFill="1" applyBorder="1" applyAlignment="1">
      <alignment horizontal="right"/>
    </xf>
    <xf numFmtId="2" fontId="15" fillId="34" borderId="0" xfId="196" applyNumberFormat="1" applyFont="1" applyFill="1" applyBorder="1" applyAlignment="1">
      <alignment horizontal="right" vertical="center"/>
    </xf>
    <xf numFmtId="2" fontId="13" fillId="34" borderId="0" xfId="0" applyNumberFormat="1" applyFont="1" applyFill="1" applyBorder="1" applyAlignment="1">
      <alignment horizontal="right" vertical="center"/>
    </xf>
    <xf numFmtId="2" fontId="15" fillId="0" borderId="6" xfId="196" applyNumberFormat="1" applyFont="1" applyFill="1" applyBorder="1" applyAlignment="1">
      <alignment horizontal="right" vertical="center"/>
    </xf>
    <xf numFmtId="2" fontId="13" fillId="0" borderId="6" xfId="0" applyNumberFormat="1" applyFont="1" applyFill="1" applyBorder="1" applyAlignment="1">
      <alignment horizontal="right" vertical="center"/>
    </xf>
    <xf numFmtId="2" fontId="15" fillId="34" borderId="0" xfId="196" applyNumberFormat="1" applyFont="1" applyFill="1" applyAlignment="1">
      <alignment horizontal="right"/>
    </xf>
    <xf numFmtId="2" fontId="15" fillId="0" borderId="0" xfId="196" applyNumberFormat="1" applyFont="1" applyFill="1" applyBorder="1" applyAlignment="1">
      <alignment horizontal="right" vertical="center"/>
    </xf>
    <xf numFmtId="2" fontId="13" fillId="0" borderId="0" xfId="0" applyNumberFormat="1" applyFont="1" applyFill="1" applyBorder="1" applyAlignment="1">
      <alignment horizontal="right" vertical="center"/>
    </xf>
    <xf numFmtId="2" fontId="15" fillId="0" borderId="6" xfId="196" applyNumberFormat="1" applyFont="1" applyFill="1" applyBorder="1" applyAlignment="1">
      <alignment horizontal="right"/>
    </xf>
    <xf numFmtId="2" fontId="13" fillId="34" borderId="6" xfId="0" applyNumberFormat="1" applyFont="1" applyFill="1" applyBorder="1" applyAlignment="1">
      <alignment horizontal="right" vertical="center"/>
    </xf>
    <xf numFmtId="2" fontId="13" fillId="34" borderId="6" xfId="0" applyNumberFormat="1" applyFont="1" applyFill="1" applyBorder="1" applyAlignment="1">
      <alignment horizontal="right" vertical="center" wrapText="1"/>
    </xf>
    <xf numFmtId="0" fontId="29" fillId="35" borderId="0" xfId="0" applyFont="1" applyFill="1" applyBorder="1" applyAlignment="1">
      <alignment horizontal="center" vertical="center" wrapText="1"/>
    </xf>
    <xf numFmtId="0" fontId="29" fillId="35" borderId="0" xfId="0" applyFont="1" applyFill="1" applyBorder="1" applyAlignment="1">
      <alignment horizontal="center" vertical="center"/>
    </xf>
    <xf numFmtId="0" fontId="46" fillId="0" borderId="36" xfId="0" applyFont="1" applyBorder="1" applyAlignment="1">
      <alignment horizontal="center" wrapText="1"/>
    </xf>
    <xf numFmtId="0" fontId="38" fillId="34" borderId="0" xfId="0" applyFont="1" applyFill="1" applyBorder="1" applyAlignment="1">
      <alignment horizontal="center" vertical="top" wrapText="1"/>
    </xf>
    <xf numFmtId="0" fontId="38" fillId="0" borderId="0" xfId="0" applyFont="1" applyBorder="1" applyAlignment="1">
      <alignment horizontal="center" vertical="top" wrapText="1"/>
    </xf>
    <xf numFmtId="0" fontId="38" fillId="35" borderId="0" xfId="0" applyFont="1" applyFill="1" applyBorder="1" applyAlignment="1">
      <alignment horizontal="center" vertical="top" wrapText="1"/>
    </xf>
    <xf numFmtId="0" fontId="38" fillId="0" borderId="0" xfId="0" applyFont="1" applyFill="1" applyBorder="1" applyAlignment="1">
      <alignment horizontal="center" wrapText="1"/>
    </xf>
    <xf numFmtId="0" fontId="38" fillId="34" borderId="0" xfId="0" applyFont="1" applyFill="1" applyBorder="1" applyAlignment="1">
      <alignment horizontal="center" wrapText="1"/>
    </xf>
    <xf numFmtId="0" fontId="39" fillId="34" borderId="0" xfId="0" applyFont="1" applyFill="1" applyBorder="1" applyAlignment="1">
      <alignment horizontal="center" wrapText="1"/>
    </xf>
    <xf numFmtId="0" fontId="39" fillId="0" borderId="0" xfId="0" applyFont="1" applyFill="1" applyBorder="1" applyAlignment="1">
      <alignment horizontal="center" wrapText="1"/>
    </xf>
    <xf numFmtId="0" fontId="33" fillId="0" borderId="0" xfId="0" applyFont="1" applyAlignment="1">
      <alignment horizontal="center"/>
    </xf>
    <xf numFmtId="2" fontId="15" fillId="0" borderId="0" xfId="0" applyNumberFormat="1" applyFont="1" applyBorder="1" applyAlignment="1">
      <alignment horizontal="center" wrapText="1"/>
    </xf>
    <xf numFmtId="2" fontId="15" fillId="34" borderId="0" xfId="0" applyNumberFormat="1" applyFont="1" applyFill="1" applyBorder="1" applyAlignment="1">
      <alignment horizontal="center" wrapText="1"/>
    </xf>
    <xf numFmtId="3" fontId="15" fillId="0" borderId="0" xfId="0" applyNumberFormat="1" applyFont="1" applyBorder="1" applyAlignment="1">
      <alignment horizontal="center" wrapText="1"/>
    </xf>
    <xf numFmtId="3" fontId="15" fillId="34" borderId="0" xfId="0" applyNumberFormat="1" applyFont="1" applyFill="1" applyBorder="1" applyAlignment="1">
      <alignment horizontal="center" wrapText="1"/>
    </xf>
    <xf numFmtId="0" fontId="15" fillId="35" borderId="0" xfId="0" applyFont="1" applyFill="1" applyBorder="1" applyAlignment="1">
      <alignment horizontal="left" vertical="center" wrapText="1"/>
    </xf>
    <xf numFmtId="0" fontId="15" fillId="35" borderId="0" xfId="0" applyFont="1" applyFill="1" applyBorder="1" applyAlignment="1">
      <alignment horizontal="center" wrapText="1"/>
    </xf>
    <xf numFmtId="2" fontId="15" fillId="35" borderId="0" xfId="0" applyNumberFormat="1" applyFont="1" applyFill="1" applyBorder="1" applyAlignment="1">
      <alignment horizontal="center" wrapText="1"/>
    </xf>
    <xf numFmtId="3" fontId="15" fillId="35" borderId="0" xfId="0" applyNumberFormat="1" applyFont="1" applyFill="1" applyBorder="1" applyAlignment="1">
      <alignment horizontal="center" wrapText="1"/>
    </xf>
    <xf numFmtId="1" fontId="15" fillId="0" borderId="0" xfId="0" applyNumberFormat="1" applyFont="1" applyFill="1" applyBorder="1" applyAlignment="1">
      <alignment horizontal="center" wrapText="1"/>
    </xf>
    <xf numFmtId="3" fontId="15" fillId="0" borderId="0" xfId="0" applyNumberFormat="1" applyFont="1" applyFill="1" applyBorder="1" applyAlignment="1">
      <alignment horizontal="center" wrapText="1"/>
    </xf>
    <xf numFmtId="2" fontId="15" fillId="0" borderId="0" xfId="0" applyNumberFormat="1" applyFont="1" applyFill="1" applyBorder="1" applyAlignment="1">
      <alignment horizontal="center" wrapText="1"/>
    </xf>
    <xf numFmtId="3" fontId="15" fillId="0" borderId="0" xfId="0" applyNumberFormat="1" applyFont="1" applyFill="1" applyBorder="1" applyAlignment="1">
      <alignment horizontal="center" vertical="center" wrapText="1"/>
    </xf>
    <xf numFmtId="3" fontId="15" fillId="34" borderId="0" xfId="0" applyNumberFormat="1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2" fontId="15" fillId="0" borderId="6" xfId="0" applyNumberFormat="1" applyFont="1" applyFill="1" applyBorder="1" applyAlignment="1">
      <alignment horizontal="center" vertical="center" wrapText="1"/>
    </xf>
    <xf numFmtId="3" fontId="15" fillId="0" borderId="6" xfId="0" applyNumberFormat="1" applyFont="1" applyFill="1" applyBorder="1" applyAlignment="1">
      <alignment horizontal="center" vertical="center" wrapText="1"/>
    </xf>
    <xf numFmtId="4" fontId="15" fillId="34" borderId="0" xfId="0" applyNumberFormat="1" applyFont="1" applyFill="1" applyBorder="1" applyAlignment="1">
      <alignment horizontal="center" vertical="center" wrapText="1"/>
    </xf>
    <xf numFmtId="4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/>
    </xf>
    <xf numFmtId="0" fontId="0" fillId="0" borderId="0" xfId="0"/>
    <xf numFmtId="0" fontId="15" fillId="0" borderId="0" xfId="0" applyFont="1" applyFill="1" applyBorder="1" applyAlignment="1">
      <alignment horizontal="left" vertical="center"/>
    </xf>
    <xf numFmtId="0" fontId="134" fillId="0" borderId="0" xfId="0" applyFont="1" applyFill="1" applyBorder="1" applyAlignment="1">
      <alignment horizontal="left" vertical="center"/>
    </xf>
    <xf numFmtId="0" fontId="133" fillId="0" borderId="0" xfId="0" applyFont="1" applyFill="1" applyBorder="1" applyAlignment="1">
      <alignment horizontal="center"/>
    </xf>
    <xf numFmtId="0" fontId="154" fillId="0" borderId="10" xfId="0" applyFont="1" applyFill="1" applyBorder="1" applyAlignment="1">
      <alignment horizontal="center"/>
    </xf>
    <xf numFmtId="0" fontId="0" fillId="0" borderId="0" xfId="0"/>
    <xf numFmtId="0" fontId="0" fillId="0" borderId="11" xfId="0" applyBorder="1"/>
    <xf numFmtId="0" fontId="147" fillId="0" borderId="7" xfId="0" applyFont="1" applyBorder="1" applyAlignment="1">
      <alignment horizontal="center" vertical="top" wrapText="1"/>
    </xf>
    <xf numFmtId="0" fontId="147" fillId="0" borderId="8" xfId="0" applyFont="1" applyBorder="1" applyAlignment="1">
      <alignment horizontal="center" vertical="top" wrapText="1"/>
    </xf>
    <xf numFmtId="0" fontId="147" fillId="0" borderId="9" xfId="0" applyFont="1" applyBorder="1" applyAlignment="1">
      <alignment horizontal="center" vertical="top" wrapText="1"/>
    </xf>
    <xf numFmtId="0" fontId="147" fillId="0" borderId="10" xfId="0" applyFont="1" applyBorder="1" applyAlignment="1">
      <alignment horizontal="center" vertical="top" wrapText="1"/>
    </xf>
    <xf numFmtId="0" fontId="147" fillId="0" borderId="0" xfId="0" applyFont="1" applyBorder="1" applyAlignment="1">
      <alignment horizontal="center" vertical="top" wrapText="1"/>
    </xf>
    <xf numFmtId="0" fontId="147" fillId="0" borderId="11" xfId="0" applyFont="1" applyBorder="1" applyAlignment="1">
      <alignment horizontal="center" vertical="top" wrapText="1"/>
    </xf>
    <xf numFmtId="49" fontId="154" fillId="0" borderId="10" xfId="0" applyNumberFormat="1" applyFont="1" applyFill="1" applyBorder="1" applyAlignment="1">
      <alignment horizontal="center"/>
    </xf>
    <xf numFmtId="0" fontId="144" fillId="0" borderId="0" xfId="0" applyFont="1" applyBorder="1" applyAlignment="1">
      <alignment horizontal="center"/>
    </xf>
    <xf numFmtId="173" fontId="154" fillId="0" borderId="10" xfId="0" applyNumberFormat="1" applyFont="1" applyFill="1" applyBorder="1" applyAlignment="1">
      <alignment horizontal="center"/>
    </xf>
    <xf numFmtId="0" fontId="4" fillId="0" borderId="0" xfId="173" applyAlignment="1" applyProtection="1">
      <alignment horizontal="left"/>
    </xf>
    <xf numFmtId="0" fontId="32" fillId="0" borderId="0" xfId="0" applyFont="1" applyAlignment="1">
      <alignment horizontal="left"/>
    </xf>
    <xf numFmtId="0" fontId="152" fillId="0" borderId="0" xfId="0" applyFont="1" applyBorder="1" applyAlignment="1">
      <alignment horizontal="left" vertical="center" wrapText="1"/>
    </xf>
    <xf numFmtId="0" fontId="133" fillId="0" borderId="0" xfId="0" applyFont="1" applyFill="1" applyBorder="1" applyAlignment="1">
      <alignment horizontal="right" vertical="center"/>
    </xf>
    <xf numFmtId="0" fontId="152" fillId="2" borderId="0" xfId="0" applyFont="1" applyFill="1" applyBorder="1" applyAlignment="1">
      <alignment horizontal="left" vertical="center" wrapText="1"/>
    </xf>
    <xf numFmtId="0" fontId="183" fillId="0" borderId="0" xfId="0" applyFont="1" applyAlignment="1">
      <alignment horizontal="center"/>
    </xf>
    <xf numFmtId="0" fontId="148" fillId="0" borderId="0" xfId="0" applyFont="1" applyFill="1" applyBorder="1" applyAlignment="1">
      <alignment horizontal="center"/>
    </xf>
    <xf numFmtId="0" fontId="144" fillId="0" borderId="0" xfId="0" applyFont="1" applyFill="1" applyBorder="1" applyAlignment="1">
      <alignment horizontal="center"/>
    </xf>
    <xf numFmtId="0" fontId="146" fillId="0" borderId="0" xfId="0" applyFont="1" applyBorder="1" applyAlignment="1">
      <alignment horizontal="left" vertical="top" wrapText="1"/>
    </xf>
    <xf numFmtId="0" fontId="147" fillId="0" borderId="0" xfId="0" applyFont="1" applyBorder="1" applyAlignment="1">
      <alignment horizontal="left"/>
    </xf>
    <xf numFmtId="0" fontId="152" fillId="2" borderId="0" xfId="0" applyFont="1" applyFill="1" applyBorder="1" applyAlignment="1">
      <alignment horizontal="left" vertical="top" wrapText="1"/>
    </xf>
    <xf numFmtId="0" fontId="152" fillId="0" borderId="0" xfId="0" applyFont="1" applyFill="1" applyBorder="1" applyAlignment="1">
      <alignment horizontal="left" vertical="center" wrapText="1"/>
    </xf>
    <xf numFmtId="0" fontId="146" fillId="0" borderId="6" xfId="0" applyFont="1" applyBorder="1" applyAlignment="1">
      <alignment horizontal="left" vertical="top" wrapText="1"/>
    </xf>
    <xf numFmtId="0" fontId="146" fillId="0" borderId="0" xfId="0" applyFont="1" applyBorder="1" applyAlignment="1">
      <alignment horizontal="left" wrapText="1"/>
    </xf>
    <xf numFmtId="0" fontId="154" fillId="2" borderId="10" xfId="0" applyFont="1" applyFill="1" applyBorder="1" applyAlignment="1">
      <alignment horizontal="center"/>
    </xf>
    <xf numFmtId="0" fontId="154" fillId="2" borderId="0" xfId="0" applyFont="1" applyFill="1" applyBorder="1" applyAlignment="1">
      <alignment horizontal="center"/>
    </xf>
    <xf numFmtId="0" fontId="154" fillId="2" borderId="11" xfId="0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29" fillId="0" borderId="2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right" wrapText="1"/>
    </xf>
    <xf numFmtId="0" fontId="29" fillId="0" borderId="51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wrapText="1"/>
    </xf>
    <xf numFmtId="0" fontId="29" fillId="0" borderId="0" xfId="0" applyFont="1" applyBorder="1" applyAlignment="1">
      <alignment horizontal="right" wrapText="1"/>
    </xf>
    <xf numFmtId="0" fontId="29" fillId="0" borderId="36" xfId="0" applyFont="1" applyBorder="1" applyAlignment="1">
      <alignment horizontal="right" wrapText="1"/>
    </xf>
    <xf numFmtId="0" fontId="21" fillId="0" borderId="0" xfId="0" applyFont="1" applyAlignment="1">
      <alignment horizontal="right"/>
    </xf>
    <xf numFmtId="0" fontId="81" fillId="0" borderId="0" xfId="0" applyFont="1" applyBorder="1" applyAlignment="1">
      <alignment horizontal="left" wrapText="1"/>
    </xf>
    <xf numFmtId="0" fontId="81" fillId="0" borderId="0" xfId="0" applyFont="1" applyBorder="1" applyAlignment="1">
      <alignment horizontal="left" vertical="justify" wrapText="1"/>
    </xf>
    <xf numFmtId="0" fontId="21" fillId="0" borderId="0" xfId="0" applyFont="1" applyBorder="1" applyAlignment="1">
      <alignment horizontal="right" wrapText="1"/>
    </xf>
    <xf numFmtId="0" fontId="8" fillId="0" borderId="2" xfId="0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 wrapText="1"/>
    </xf>
    <xf numFmtId="0" fontId="0" fillId="0" borderId="18" xfId="0" applyFill="1" applyBorder="1"/>
    <xf numFmtId="0" fontId="0" fillId="0" borderId="3" xfId="0" applyFill="1" applyBorder="1"/>
    <xf numFmtId="0" fontId="8" fillId="0" borderId="39" xfId="0" applyFont="1" applyFill="1" applyBorder="1" applyAlignment="1">
      <alignment horizontal="center" vertical="center"/>
    </xf>
    <xf numFmtId="0" fontId="8" fillId="0" borderId="52" xfId="0" applyFont="1" applyFill="1" applyBorder="1" applyAlignment="1">
      <alignment horizontal="center" vertical="center"/>
    </xf>
    <xf numFmtId="0" fontId="8" fillId="0" borderId="53" xfId="0" applyFont="1" applyFill="1" applyBorder="1" applyAlignment="1">
      <alignment horizontal="center" vertical="center"/>
    </xf>
    <xf numFmtId="0" fontId="29" fillId="0" borderId="46" xfId="0" applyFont="1" applyFill="1" applyBorder="1" applyAlignment="1">
      <alignment horizontal="center" vertical="center" wrapText="1"/>
    </xf>
    <xf numFmtId="0" fontId="7" fillId="0" borderId="5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52" xfId="0" applyFont="1" applyFill="1" applyBorder="1" applyAlignment="1">
      <alignment horizontal="center" vertical="center" wrapText="1"/>
    </xf>
    <xf numFmtId="0" fontId="8" fillId="0" borderId="53" xfId="0" applyFont="1" applyFill="1" applyBorder="1" applyAlignment="1">
      <alignment horizontal="center" vertical="center" wrapText="1"/>
    </xf>
    <xf numFmtId="0" fontId="81" fillId="0" borderId="0" xfId="0" applyFont="1" applyFill="1" applyAlignment="1">
      <alignment horizontal="left" wrapText="1"/>
    </xf>
    <xf numFmtId="0" fontId="81" fillId="0" borderId="0" xfId="0" applyFont="1" applyBorder="1" applyAlignment="1">
      <alignment horizontal="left" vertical="center"/>
    </xf>
    <xf numFmtId="0" fontId="8" fillId="0" borderId="39" xfId="0" applyFont="1" applyFill="1" applyBorder="1" applyAlignment="1">
      <alignment horizontal="right" vertical="center"/>
    </xf>
    <xf numFmtId="0" fontId="8" fillId="0" borderId="52" xfId="0" applyFont="1" applyFill="1" applyBorder="1" applyAlignment="1">
      <alignment horizontal="right" vertical="center"/>
    </xf>
    <xf numFmtId="0" fontId="8" fillId="0" borderId="41" xfId="0" applyFont="1" applyFill="1" applyBorder="1" applyAlignment="1">
      <alignment horizontal="right" vertical="center"/>
    </xf>
    <xf numFmtId="0" fontId="8" fillId="0" borderId="41" xfId="0" applyFont="1" applyFill="1" applyBorder="1" applyAlignment="1">
      <alignment horizontal="left" vertical="center"/>
    </xf>
    <xf numFmtId="0" fontId="8" fillId="0" borderId="53" xfId="0" applyFont="1" applyFill="1" applyBorder="1" applyAlignment="1">
      <alignment horizontal="left" vertical="center"/>
    </xf>
    <xf numFmtId="0" fontId="7" fillId="0" borderId="57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7" fillId="0" borderId="0" xfId="0" applyFont="1" applyAlignment="1">
      <alignment horizontal="right" wrapText="1"/>
    </xf>
    <xf numFmtId="0" fontId="15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1" fillId="0" borderId="0" xfId="0" applyNumberFormat="1" applyFont="1" applyBorder="1" applyAlignment="1">
      <alignment horizontal="right" wrapText="1"/>
    </xf>
    <xf numFmtId="0" fontId="21" fillId="0" borderId="0" xfId="0" applyFont="1" applyAlignment="1">
      <alignment horizont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Alignment="1">
      <alignment horizontal="left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 wrapText="1"/>
    </xf>
    <xf numFmtId="0" fontId="34" fillId="0" borderId="39" xfId="0" applyFont="1" applyFill="1" applyBorder="1" applyAlignment="1">
      <alignment horizontal="center" vertical="center" wrapText="1"/>
    </xf>
    <xf numFmtId="0" fontId="34" fillId="0" borderId="52" xfId="0" applyFont="1" applyFill="1" applyBorder="1" applyAlignment="1">
      <alignment horizontal="center" vertical="center" wrapText="1"/>
    </xf>
    <xf numFmtId="0" fontId="34" fillId="0" borderId="53" xfId="0" applyFont="1" applyFill="1" applyBorder="1" applyAlignment="1">
      <alignment horizontal="center" vertical="center" wrapText="1"/>
    </xf>
    <xf numFmtId="0" fontId="38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0" fontId="81" fillId="0" borderId="0" xfId="0" applyFont="1" applyFill="1" applyBorder="1" applyAlignment="1">
      <alignment horizontal="left" wrapText="1"/>
    </xf>
    <xf numFmtId="49" fontId="81" fillId="0" borderId="0" xfId="0" applyNumberFormat="1" applyFont="1" applyBorder="1" applyAlignment="1">
      <alignment horizontal="left" vertical="center" wrapText="1"/>
    </xf>
    <xf numFmtId="0" fontId="81" fillId="0" borderId="0" xfId="0" applyFont="1" applyAlignment="1">
      <alignment horizontal="left"/>
    </xf>
    <xf numFmtId="0" fontId="15" fillId="0" borderId="5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81" fillId="0" borderId="0" xfId="0" applyFont="1" applyBorder="1" applyAlignment="1">
      <alignment horizontal="left" vertical="center" wrapText="1"/>
    </xf>
    <xf numFmtId="0" fontId="81" fillId="0" borderId="0" xfId="0" applyFont="1" applyFill="1" applyBorder="1" applyAlignment="1">
      <alignment horizontal="left" vertical="center" wrapText="1"/>
    </xf>
    <xf numFmtId="0" fontId="29" fillId="0" borderId="39" xfId="0" applyFont="1" applyFill="1" applyBorder="1" applyAlignment="1">
      <alignment horizontal="center" vertical="center" wrapText="1"/>
    </xf>
    <xf numFmtId="0" fontId="27" fillId="0" borderId="39" xfId="0" applyFont="1" applyFill="1" applyBorder="1" applyAlignment="1">
      <alignment horizontal="center" vertical="center" wrapText="1"/>
    </xf>
    <xf numFmtId="0" fontId="29" fillId="0" borderId="52" xfId="0" applyFont="1" applyFill="1" applyBorder="1" applyAlignment="1">
      <alignment horizontal="center" vertical="center" wrapText="1"/>
    </xf>
    <xf numFmtId="0" fontId="29" fillId="0" borderId="53" xfId="0" applyFont="1" applyFill="1" applyBorder="1" applyAlignment="1">
      <alignment horizontal="center" vertical="center" wrapText="1"/>
    </xf>
    <xf numFmtId="0" fontId="0" fillId="0" borderId="3" xfId="0" applyBorder="1"/>
    <xf numFmtId="0" fontId="29" fillId="0" borderId="46" xfId="0" applyFont="1" applyBorder="1" applyAlignment="1">
      <alignment horizontal="center" vertical="center" wrapText="1"/>
    </xf>
    <xf numFmtId="0" fontId="122" fillId="0" borderId="2" xfId="0" applyFont="1" applyBorder="1" applyAlignment="1">
      <alignment horizontal="center" vertical="top" wrapText="1"/>
    </xf>
    <xf numFmtId="0" fontId="27" fillId="0" borderId="52" xfId="196" applyFont="1" applyFill="1" applyBorder="1" applyAlignment="1">
      <alignment horizontal="center" vertical="center" wrapText="1"/>
    </xf>
    <xf numFmtId="0" fontId="27" fillId="0" borderId="53" xfId="196" applyFont="1" applyFill="1" applyBorder="1" applyAlignment="1">
      <alignment horizontal="center" vertical="center" wrapText="1"/>
    </xf>
    <xf numFmtId="0" fontId="29" fillId="0" borderId="73" xfId="196" applyFont="1" applyFill="1" applyBorder="1" applyAlignment="1">
      <alignment horizontal="center" vertical="center" wrapText="1"/>
    </xf>
    <xf numFmtId="0" fontId="29" fillId="0" borderId="3" xfId="196" applyFont="1" applyFill="1" applyBorder="1" applyAlignment="1">
      <alignment horizontal="center" vertical="center" wrapText="1"/>
    </xf>
    <xf numFmtId="0" fontId="29" fillId="0" borderId="2" xfId="196" applyFont="1" applyBorder="1" applyAlignment="1">
      <alignment horizontal="center" vertical="center" wrapText="1"/>
    </xf>
    <xf numFmtId="0" fontId="29" fillId="0" borderId="57" xfId="196" applyFont="1" applyFill="1" applyBorder="1" applyAlignment="1">
      <alignment horizontal="center" vertical="center"/>
    </xf>
    <xf numFmtId="0" fontId="29" fillId="0" borderId="53" xfId="196" applyFont="1" applyFill="1" applyBorder="1" applyAlignment="1">
      <alignment horizontal="center" vertical="center"/>
    </xf>
    <xf numFmtId="0" fontId="27" fillId="0" borderId="39" xfId="196" applyFont="1" applyFill="1" applyBorder="1" applyAlignment="1">
      <alignment horizontal="center" vertical="center" wrapText="1"/>
    </xf>
    <xf numFmtId="0" fontId="81" fillId="0" borderId="0" xfId="196" applyFont="1" applyBorder="1" applyAlignment="1">
      <alignment horizontal="left" wrapText="1"/>
    </xf>
    <xf numFmtId="0" fontId="33" fillId="0" borderId="0" xfId="196" applyFont="1" applyBorder="1" applyAlignment="1">
      <alignment horizontal="left" wrapText="1"/>
    </xf>
    <xf numFmtId="0" fontId="27" fillId="0" borderId="41" xfId="196" applyFont="1" applyFill="1" applyBorder="1" applyAlignment="1">
      <alignment horizontal="center" vertical="center" wrapText="1"/>
    </xf>
    <xf numFmtId="0" fontId="27" fillId="0" borderId="43" xfId="196" applyFont="1" applyFill="1" applyBorder="1" applyAlignment="1">
      <alignment horizontal="center" vertical="center" wrapText="1"/>
    </xf>
    <xf numFmtId="0" fontId="27" fillId="0" borderId="36" xfId="196" applyFont="1" applyFill="1" applyBorder="1" applyAlignment="1">
      <alignment horizontal="center" vertical="center" wrapText="1"/>
    </xf>
    <xf numFmtId="0" fontId="27" fillId="0" borderId="46" xfId="196" applyFont="1" applyFill="1" applyBorder="1" applyAlignment="1">
      <alignment horizontal="center" vertical="center" wrapText="1"/>
    </xf>
    <xf numFmtId="0" fontId="7" fillId="0" borderId="0" xfId="196" applyFont="1" applyAlignment="1">
      <alignment horizontal="right"/>
    </xf>
    <xf numFmtId="0" fontId="27" fillId="0" borderId="39" xfId="196" applyFont="1" applyFill="1" applyBorder="1" applyAlignment="1">
      <alignment horizontal="center" vertical="center"/>
    </xf>
    <xf numFmtId="0" fontId="27" fillId="0" borderId="52" xfId="196" applyFont="1" applyFill="1" applyBorder="1" applyAlignment="1">
      <alignment horizontal="center" vertical="center"/>
    </xf>
    <xf numFmtId="0" fontId="27" fillId="0" borderId="53" xfId="196" applyFont="1" applyFill="1" applyBorder="1" applyAlignment="1">
      <alignment horizontal="center" vertical="center"/>
    </xf>
    <xf numFmtId="0" fontId="14" fillId="0" borderId="73" xfId="196" applyFont="1" applyFill="1" applyBorder="1" applyAlignment="1">
      <alignment horizontal="center" vertical="center" wrapText="1"/>
    </xf>
    <xf numFmtId="0" fontId="14" fillId="0" borderId="3" xfId="196" applyFont="1" applyFill="1" applyBorder="1" applyAlignment="1">
      <alignment horizontal="center" vertical="center" wrapText="1"/>
    </xf>
    <xf numFmtId="0" fontId="15" fillId="0" borderId="73" xfId="196" applyFont="1" applyFill="1" applyBorder="1" applyAlignment="1">
      <alignment horizontal="center" vertical="center" wrapText="1"/>
    </xf>
    <xf numFmtId="0" fontId="15" fillId="0" borderId="3" xfId="196" applyFont="1" applyFill="1" applyBorder="1" applyAlignment="1">
      <alignment horizontal="center" vertical="center" wrapText="1"/>
    </xf>
    <xf numFmtId="0" fontId="27" fillId="0" borderId="57" xfId="196" applyFont="1" applyFill="1" applyBorder="1" applyAlignment="1">
      <alignment horizontal="center" vertical="center"/>
    </xf>
    <xf numFmtId="0" fontId="27" fillId="0" borderId="43" xfId="196" applyFont="1" applyFill="1" applyBorder="1" applyAlignment="1">
      <alignment horizontal="center" vertical="center"/>
    </xf>
    <xf numFmtId="0" fontId="192" fillId="0" borderId="39" xfId="196" applyFont="1" applyFill="1" applyBorder="1" applyAlignment="1">
      <alignment horizontal="center" vertical="center" wrapText="1"/>
    </xf>
    <xf numFmtId="0" fontId="193" fillId="0" borderId="52" xfId="196" applyFont="1" applyBorder="1"/>
    <xf numFmtId="0" fontId="193" fillId="0" borderId="53" xfId="196" applyFont="1" applyBorder="1"/>
    <xf numFmtId="0" fontId="60" fillId="0" borderId="0" xfId="196" applyFont="1" applyBorder="1" applyAlignment="1">
      <alignment horizontal="left" vertical="center"/>
    </xf>
    <xf numFmtId="0" fontId="47" fillId="0" borderId="73" xfId="196" applyFont="1" applyFill="1" applyBorder="1" applyAlignment="1">
      <alignment horizontal="center" vertical="center" wrapText="1"/>
    </xf>
    <xf numFmtId="0" fontId="47" fillId="0" borderId="3" xfId="196" applyFont="1" applyFill="1" applyBorder="1" applyAlignment="1">
      <alignment horizontal="center" vertical="center" wrapText="1"/>
    </xf>
    <xf numFmtId="0" fontId="81" fillId="0" borderId="0" xfId="196" applyFont="1" applyBorder="1" applyAlignment="1">
      <alignment horizontal="left" vertical="top" wrapText="1"/>
    </xf>
    <xf numFmtId="0" fontId="21" fillId="0" borderId="0" xfId="196" applyFont="1" applyAlignment="1">
      <alignment horizontal="right"/>
    </xf>
    <xf numFmtId="0" fontId="33" fillId="0" borderId="0" xfId="196" applyFont="1" applyBorder="1" applyAlignment="1">
      <alignment horizontal="left" vertical="center" wrapText="1"/>
    </xf>
    <xf numFmtId="0" fontId="33" fillId="0" borderId="0" xfId="196" applyFont="1" applyBorder="1" applyAlignment="1">
      <alignment horizontal="left" vertical="top" wrapText="1"/>
    </xf>
    <xf numFmtId="0" fontId="29" fillId="0" borderId="62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right"/>
    </xf>
    <xf numFmtId="0" fontId="29" fillId="0" borderId="61" xfId="0" applyFont="1" applyFill="1" applyBorder="1" applyAlignment="1">
      <alignment horizontal="center" vertical="center" wrapText="1"/>
    </xf>
    <xf numFmtId="0" fontId="29" fillId="0" borderId="16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/>
    </xf>
    <xf numFmtId="0" fontId="27" fillId="0" borderId="61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center" vertical="center" wrapText="1"/>
    </xf>
    <xf numFmtId="0" fontId="27" fillId="0" borderId="60" xfId="0" applyFont="1" applyFill="1" applyBorder="1" applyAlignment="1">
      <alignment horizontal="center" wrapText="1"/>
    </xf>
    <xf numFmtId="0" fontId="27" fillId="0" borderId="58" xfId="0" applyFont="1" applyFill="1" applyBorder="1" applyAlignment="1">
      <alignment horizontal="center" wrapText="1"/>
    </xf>
    <xf numFmtId="0" fontId="21" fillId="0" borderId="0" xfId="0" applyFont="1" applyBorder="1" applyAlignment="1">
      <alignment horizontal="center"/>
    </xf>
    <xf numFmtId="0" fontId="27" fillId="0" borderId="60" xfId="0" applyFont="1" applyFill="1" applyBorder="1" applyAlignment="1">
      <alignment horizontal="center" vertical="center" wrapText="1"/>
    </xf>
    <xf numFmtId="0" fontId="7" fillId="0" borderId="58" xfId="0" applyFont="1" applyFill="1" applyBorder="1"/>
    <xf numFmtId="0" fontId="7" fillId="0" borderId="59" xfId="0" applyFont="1" applyFill="1" applyBorder="1"/>
    <xf numFmtId="0" fontId="29" fillId="0" borderId="31" xfId="0" applyFont="1" applyFill="1" applyBorder="1" applyAlignment="1">
      <alignment horizontal="center" vertical="center" wrapText="1"/>
    </xf>
    <xf numFmtId="0" fontId="29" fillId="0" borderId="60" xfId="0" applyFont="1" applyFill="1" applyBorder="1" applyAlignment="1">
      <alignment horizontal="center" vertical="center" wrapText="1"/>
    </xf>
    <xf numFmtId="0" fontId="29" fillId="0" borderId="58" xfId="0" applyFont="1" applyFill="1" applyBorder="1" applyAlignment="1">
      <alignment horizontal="center" vertical="center" wrapText="1"/>
    </xf>
    <xf numFmtId="0" fontId="29" fillId="0" borderId="59" xfId="0" applyFont="1" applyFill="1" applyBorder="1" applyAlignment="1">
      <alignment horizontal="center" vertical="center" wrapText="1"/>
    </xf>
    <xf numFmtId="0" fontId="27" fillId="0" borderId="59" xfId="0" applyFont="1" applyFill="1" applyBorder="1" applyAlignment="1">
      <alignment horizontal="center" wrapText="1"/>
    </xf>
    <xf numFmtId="0" fontId="29" fillId="0" borderId="63" xfId="0" applyFont="1" applyFill="1" applyBorder="1" applyAlignment="1">
      <alignment horizontal="center" vertical="center" wrapText="1"/>
    </xf>
    <xf numFmtId="0" fontId="29" fillId="0" borderId="20" xfId="0" applyFont="1" applyFill="1" applyBorder="1" applyAlignment="1">
      <alignment horizontal="center" vertical="center" wrapText="1"/>
    </xf>
    <xf numFmtId="0" fontId="29" fillId="0" borderId="64" xfId="0" applyFont="1" applyFill="1" applyBorder="1" applyAlignment="1">
      <alignment horizontal="center" vertical="center" wrapText="1"/>
    </xf>
    <xf numFmtId="0" fontId="0" fillId="0" borderId="65" xfId="0" applyBorder="1"/>
    <xf numFmtId="0" fontId="0" fillId="0" borderId="63" xfId="0" applyBorder="1"/>
    <xf numFmtId="0" fontId="7" fillId="0" borderId="5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9" fillId="0" borderId="66" xfId="0" applyFont="1" applyFill="1" applyBorder="1" applyAlignment="1">
      <alignment horizontal="center" vertical="center" wrapText="1"/>
    </xf>
    <xf numFmtId="0" fontId="29" fillId="0" borderId="2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justify" wrapText="1"/>
    </xf>
    <xf numFmtId="0" fontId="14" fillId="0" borderId="0" xfId="0" applyFont="1" applyAlignment="1">
      <alignment horizontal="left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left" vertical="center" wrapText="1"/>
    </xf>
    <xf numFmtId="0" fontId="23" fillId="39" borderId="79" xfId="0" applyFont="1" applyFill="1" applyBorder="1" applyAlignment="1">
      <alignment horizontal="center" vertical="center" wrapText="1"/>
    </xf>
    <xf numFmtId="0" fontId="23" fillId="39" borderId="18" xfId="0" applyFont="1" applyFill="1" applyBorder="1" applyAlignment="1">
      <alignment horizontal="center" vertical="center" wrapText="1"/>
    </xf>
    <xf numFmtId="0" fontId="23" fillId="39" borderId="3" xfId="0" applyFont="1" applyFill="1" applyBorder="1" applyAlignment="1">
      <alignment horizontal="center" vertical="center" wrapText="1"/>
    </xf>
    <xf numFmtId="0" fontId="8" fillId="39" borderId="79" xfId="0" applyFont="1" applyFill="1" applyBorder="1" applyAlignment="1">
      <alignment horizontal="center" vertical="center" wrapText="1"/>
    </xf>
    <xf numFmtId="0" fontId="8" fillId="39" borderId="18" xfId="0" applyFont="1" applyFill="1" applyBorder="1" applyAlignment="1">
      <alignment horizontal="center" vertical="center" wrapText="1"/>
    </xf>
    <xf numFmtId="0" fontId="8" fillId="39" borderId="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left"/>
    </xf>
    <xf numFmtId="0" fontId="14" fillId="0" borderId="0" xfId="0" applyFont="1" applyFill="1" applyBorder="1" applyAlignment="1">
      <alignment horizontal="left" wrapText="1"/>
    </xf>
    <xf numFmtId="0" fontId="14" fillId="0" borderId="0" xfId="0" applyFont="1" applyFill="1" applyAlignment="1">
      <alignment horizontal="left" vertical="center"/>
    </xf>
    <xf numFmtId="0" fontId="27" fillId="39" borderId="2" xfId="0" applyFont="1" applyFill="1" applyBorder="1" applyAlignment="1">
      <alignment horizontal="center" vertical="center" wrapText="1"/>
    </xf>
    <xf numFmtId="165" fontId="204" fillId="0" borderId="0" xfId="0" applyNumberFormat="1" applyFont="1" applyFill="1" applyBorder="1" applyAlignment="1">
      <alignment horizontal="center" vertical="top" shrinkToFit="1"/>
    </xf>
    <xf numFmtId="0" fontId="21" fillId="0" borderId="0" xfId="0" applyFont="1" applyFill="1" applyAlignment="1">
      <alignment horizontal="right"/>
    </xf>
    <xf numFmtId="0" fontId="27" fillId="39" borderId="2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/>
    </xf>
    <xf numFmtId="0" fontId="29" fillId="39" borderId="69" xfId="0" applyFont="1" applyFill="1" applyBorder="1" applyAlignment="1">
      <alignment horizontal="center" vertical="center" wrapText="1"/>
    </xf>
    <xf numFmtId="0" fontId="29" fillId="39" borderId="3" xfId="0" applyFont="1" applyFill="1" applyBorder="1" applyAlignment="1">
      <alignment horizontal="center" vertical="center" wrapText="1"/>
    </xf>
    <xf numFmtId="0" fontId="8" fillId="39" borderId="39" xfId="0" applyFont="1" applyFill="1" applyBorder="1" applyAlignment="1">
      <alignment horizontal="center" vertical="center"/>
    </xf>
    <xf numFmtId="0" fontId="8" fillId="39" borderId="67" xfId="0" applyFont="1" applyFill="1" applyBorder="1" applyAlignment="1">
      <alignment horizontal="center" vertical="center"/>
    </xf>
    <xf numFmtId="0" fontId="8" fillId="39" borderId="80" xfId="0" applyFont="1" applyFill="1" applyBorder="1" applyAlignment="1">
      <alignment horizontal="center" vertical="center"/>
    </xf>
    <xf numFmtId="0" fontId="7" fillId="39" borderId="57" xfId="0" applyFont="1" applyFill="1" applyBorder="1" applyAlignment="1">
      <alignment horizontal="center" vertical="center" wrapText="1"/>
    </xf>
    <xf numFmtId="0" fontId="7" fillId="39" borderId="14" xfId="0" applyFont="1" applyFill="1" applyBorder="1" applyAlignment="1">
      <alignment horizontal="center" vertical="center" wrapText="1"/>
    </xf>
    <xf numFmtId="0" fontId="0" fillId="39" borderId="3" xfId="0" applyFill="1" applyBorder="1" applyAlignment="1">
      <alignment horizontal="center" vertical="center" wrapText="1"/>
    </xf>
    <xf numFmtId="0" fontId="0" fillId="39" borderId="18" xfId="0" applyFill="1" applyBorder="1" applyAlignment="1">
      <alignment horizontal="center" vertical="center" wrapText="1"/>
    </xf>
    <xf numFmtId="0" fontId="29" fillId="39" borderId="18" xfId="0" applyFont="1" applyFill="1" applyBorder="1" applyAlignment="1">
      <alignment horizontal="center" vertical="center" wrapText="1"/>
    </xf>
    <xf numFmtId="0" fontId="29" fillId="0" borderId="0" xfId="0" applyFont="1" applyBorder="1" applyAlignment="1"/>
    <xf numFmtId="0" fontId="15" fillId="39" borderId="69" xfId="0" applyFont="1" applyFill="1" applyBorder="1" applyAlignment="1">
      <alignment horizontal="center" vertical="center" wrapText="1"/>
    </xf>
    <xf numFmtId="0" fontId="15" fillId="39" borderId="18" xfId="0" applyFont="1" applyFill="1" applyBorder="1" applyAlignment="1">
      <alignment horizontal="center" vertical="center" wrapText="1"/>
    </xf>
    <xf numFmtId="0" fontId="15" fillId="39" borderId="3" xfId="0" applyFont="1" applyFill="1" applyBorder="1" applyAlignment="1">
      <alignment horizontal="center" vertical="center" wrapText="1"/>
    </xf>
    <xf numFmtId="0" fontId="29" fillId="39" borderId="39" xfId="0" applyFont="1" applyFill="1" applyBorder="1" applyAlignment="1">
      <alignment horizontal="center" vertical="center"/>
    </xf>
    <xf numFmtId="0" fontId="29" fillId="39" borderId="80" xfId="0" applyFont="1" applyFill="1" applyBorder="1" applyAlignment="1">
      <alignment horizontal="center" vertical="center"/>
    </xf>
    <xf numFmtId="0" fontId="29" fillId="39" borderId="81" xfId="0" applyFont="1" applyFill="1" applyBorder="1" applyAlignment="1">
      <alignment horizontal="center" vertical="center"/>
    </xf>
    <xf numFmtId="0" fontId="27" fillId="39" borderId="69" xfId="0" applyFont="1" applyFill="1" applyBorder="1" applyAlignment="1">
      <alignment horizontal="center" vertical="center" wrapText="1"/>
    </xf>
    <xf numFmtId="0" fontId="27" fillId="39" borderId="18" xfId="0" applyFont="1" applyFill="1" applyBorder="1" applyAlignment="1">
      <alignment horizontal="center" vertical="center" wrapText="1"/>
    </xf>
    <xf numFmtId="0" fontId="27" fillId="39" borderId="3" xfId="0" applyFont="1" applyFill="1" applyBorder="1" applyAlignment="1">
      <alignment horizontal="center" vertical="center" wrapText="1"/>
    </xf>
    <xf numFmtId="0" fontId="8" fillId="39" borderId="2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27" fillId="39" borderId="43" xfId="0" applyFont="1" applyFill="1" applyBorder="1" applyAlignment="1">
      <alignment horizontal="center" vertical="center" wrapText="1"/>
    </xf>
    <xf numFmtId="0" fontId="27" fillId="39" borderId="15" xfId="0" applyFont="1" applyFill="1" applyBorder="1" applyAlignment="1">
      <alignment horizontal="center" vertical="center" wrapText="1"/>
    </xf>
    <xf numFmtId="0" fontId="27" fillId="39" borderId="56" xfId="0" applyFont="1" applyFill="1" applyBorder="1" applyAlignment="1">
      <alignment horizontal="center" vertical="center" wrapText="1"/>
    </xf>
    <xf numFmtId="0" fontId="27" fillId="39" borderId="39" xfId="0" applyFont="1" applyFill="1" applyBorder="1" applyAlignment="1">
      <alignment horizontal="center" vertical="center"/>
    </xf>
    <xf numFmtId="0" fontId="27" fillId="39" borderId="67" xfId="0" applyFont="1" applyFill="1" applyBorder="1" applyAlignment="1">
      <alignment horizontal="center" vertical="center"/>
    </xf>
    <xf numFmtId="0" fontId="27" fillId="39" borderId="68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right"/>
    </xf>
    <xf numFmtId="0" fontId="29" fillId="0" borderId="36" xfId="0" applyFont="1" applyFill="1" applyBorder="1" applyAlignment="1">
      <alignment horizontal="right"/>
    </xf>
    <xf numFmtId="0" fontId="68" fillId="39" borderId="18" xfId="0" applyFont="1" applyFill="1" applyBorder="1" applyAlignment="1">
      <alignment horizontal="center" vertical="center" wrapText="1"/>
    </xf>
    <xf numFmtId="0" fontId="68" fillId="39" borderId="3" xfId="0" applyFont="1" applyFill="1" applyBorder="1" applyAlignment="1">
      <alignment horizontal="center" vertical="center" wrapText="1"/>
    </xf>
    <xf numFmtId="0" fontId="16" fillId="0" borderId="69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79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/>
    </xf>
    <xf numFmtId="0" fontId="16" fillId="0" borderId="52" xfId="0" applyFont="1" applyFill="1" applyBorder="1" applyAlignment="1">
      <alignment horizontal="center" vertical="center"/>
    </xf>
    <xf numFmtId="0" fontId="16" fillId="0" borderId="53" xfId="0" applyFont="1" applyFill="1" applyBorder="1" applyAlignment="1">
      <alignment horizontal="center" vertical="center"/>
    </xf>
    <xf numFmtId="0" fontId="28" fillId="0" borderId="39" xfId="0" applyFont="1" applyFill="1" applyBorder="1" applyAlignment="1">
      <alignment horizontal="center" vertical="center" wrapText="1"/>
    </xf>
    <xf numFmtId="0" fontId="28" fillId="0" borderId="80" xfId="0" applyFont="1" applyFill="1" applyBorder="1" applyAlignment="1">
      <alignment horizontal="center" vertical="center" wrapText="1"/>
    </xf>
    <xf numFmtId="0" fontId="28" fillId="0" borderId="81" xfId="0" applyFont="1" applyFill="1" applyBorder="1" applyAlignment="1">
      <alignment horizontal="center" vertical="center" wrapText="1"/>
    </xf>
    <xf numFmtId="0" fontId="30" fillId="0" borderId="0" xfId="0" applyFont="1" applyFill="1" applyAlignment="1">
      <alignment horizontal="right" vertical="center" wrapText="1"/>
    </xf>
    <xf numFmtId="165" fontId="14" fillId="0" borderId="0" xfId="0" applyNumberFormat="1" applyFont="1" applyFill="1" applyBorder="1" applyAlignment="1">
      <alignment horizontal="left"/>
    </xf>
    <xf numFmtId="0" fontId="13" fillId="0" borderId="2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 wrapText="1"/>
    </xf>
    <xf numFmtId="165" fontId="14" fillId="0" borderId="0" xfId="0" applyNumberFormat="1" applyFont="1" applyFill="1" applyBorder="1" applyAlignment="1"/>
    <xf numFmtId="0" fontId="14" fillId="0" borderId="0" xfId="0" applyFont="1" applyFill="1" applyBorder="1" applyAlignment="1"/>
    <xf numFmtId="0" fontId="30" fillId="0" borderId="0" xfId="0" applyFont="1" applyFill="1" applyBorder="1" applyAlignment="1">
      <alignment horizontal="right" vertical="center" wrapText="1"/>
    </xf>
    <xf numFmtId="0" fontId="30" fillId="0" borderId="0" xfId="0" applyFont="1" applyFill="1" applyAlignment="1">
      <alignment horizontal="left" vertical="center" wrapText="1"/>
    </xf>
    <xf numFmtId="0" fontId="15" fillId="0" borderId="40" xfId="0" applyFont="1" applyFill="1" applyBorder="1" applyAlignment="1">
      <alignment horizontal="center" vertical="center" wrapText="1"/>
    </xf>
    <xf numFmtId="0" fontId="23" fillId="0" borderId="48" xfId="0" applyFont="1" applyFill="1" applyBorder="1" applyAlignment="1">
      <alignment horizontal="center" vertical="center" wrapText="1"/>
    </xf>
    <xf numFmtId="0" fontId="23" fillId="0" borderId="49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3" fillId="0" borderId="39" xfId="0" applyFont="1" applyFill="1" applyBorder="1" applyAlignment="1">
      <alignment horizontal="center" vertical="center" wrapText="1"/>
    </xf>
    <xf numFmtId="1" fontId="127" fillId="0" borderId="39" xfId="0" applyNumberFormat="1" applyFont="1" applyFill="1" applyBorder="1" applyAlignment="1">
      <alignment horizontal="center" vertical="center"/>
    </xf>
    <xf numFmtId="1" fontId="127" fillId="0" borderId="68" xfId="0" applyNumberFormat="1" applyFont="1" applyFill="1" applyBorder="1" applyAlignment="1">
      <alignment horizontal="center" vertical="center"/>
    </xf>
    <xf numFmtId="1" fontId="127" fillId="0" borderId="67" xfId="0" applyNumberFormat="1" applyFont="1" applyFill="1" applyBorder="1" applyAlignment="1">
      <alignment horizontal="center" vertical="center"/>
    </xf>
    <xf numFmtId="0" fontId="0" fillId="0" borderId="68" xfId="0" applyBorder="1"/>
    <xf numFmtId="0" fontId="165" fillId="0" borderId="0" xfId="0" applyFont="1" applyFill="1" applyBorder="1" applyAlignment="1">
      <alignment horizontal="center" wrapText="1"/>
    </xf>
    <xf numFmtId="0" fontId="0" fillId="0" borderId="0" xfId="0" applyAlignment="1"/>
    <xf numFmtId="0" fontId="120" fillId="0" borderId="0" xfId="0" applyFont="1" applyFill="1" applyBorder="1" applyAlignment="1">
      <alignment horizontal="center" vertical="center"/>
    </xf>
    <xf numFmtId="0" fontId="120" fillId="0" borderId="0" xfId="0" applyFont="1" applyFill="1" applyBorder="1" applyAlignment="1">
      <alignment horizontal="right" vertical="center" wrapText="1"/>
    </xf>
    <xf numFmtId="0" fontId="120" fillId="0" borderId="0" xfId="0" applyFont="1" applyFill="1" applyBorder="1" applyAlignment="1">
      <alignment horizontal="left" vertical="center" wrapText="1"/>
    </xf>
    <xf numFmtId="49" fontId="135" fillId="0" borderId="69" xfId="0" applyNumberFormat="1" applyFont="1" applyFill="1" applyBorder="1" applyAlignment="1">
      <alignment horizontal="center" vertical="center" wrapText="1"/>
    </xf>
    <xf numFmtId="49" fontId="135" fillId="0" borderId="3" xfId="0" applyNumberFormat="1" applyFont="1" applyFill="1" applyBorder="1" applyAlignment="1">
      <alignment horizontal="center" vertical="center" wrapText="1"/>
    </xf>
    <xf numFmtId="49" fontId="109" fillId="0" borderId="57" xfId="0" applyNumberFormat="1" applyFont="1" applyFill="1" applyBorder="1" applyAlignment="1">
      <alignment horizontal="center" vertical="center" wrapText="1"/>
    </xf>
    <xf numFmtId="49" fontId="109" fillId="0" borderId="43" xfId="0" applyNumberFormat="1" applyFont="1" applyFill="1" applyBorder="1" applyAlignment="1">
      <alignment horizontal="center" vertical="center" wrapText="1"/>
    </xf>
    <xf numFmtId="49" fontId="109" fillId="0" borderId="4" xfId="0" applyNumberFormat="1" applyFont="1" applyFill="1" applyBorder="1" applyAlignment="1">
      <alignment horizontal="center" vertical="center" wrapText="1"/>
    </xf>
    <xf numFmtId="49" fontId="109" fillId="0" borderId="56" xfId="0" applyNumberFormat="1" applyFont="1" applyFill="1" applyBorder="1" applyAlignment="1">
      <alignment horizontal="center" vertical="center" wrapText="1"/>
    </xf>
    <xf numFmtId="1" fontId="123" fillId="0" borderId="39" xfId="0" applyNumberFormat="1" applyFont="1" applyFill="1" applyBorder="1" applyAlignment="1">
      <alignment horizontal="center" vertical="center" wrapText="1"/>
    </xf>
    <xf numFmtId="1" fontId="123" fillId="0" borderId="68" xfId="0" applyNumberFormat="1" applyFont="1" applyFill="1" applyBorder="1" applyAlignment="1">
      <alignment horizontal="center" vertical="center" wrapText="1"/>
    </xf>
    <xf numFmtId="49" fontId="123" fillId="0" borderId="39" xfId="0" applyNumberFormat="1" applyFont="1" applyFill="1" applyBorder="1" applyAlignment="1">
      <alignment horizontal="center" vertical="center" wrapText="1"/>
    </xf>
    <xf numFmtId="49" fontId="123" fillId="0" borderId="68" xfId="0" applyNumberFormat="1" applyFont="1" applyFill="1" applyBorder="1" applyAlignment="1">
      <alignment horizontal="center" vertical="center" wrapText="1"/>
    </xf>
    <xf numFmtId="49" fontId="135" fillId="0" borderId="69" xfId="0" applyNumberFormat="1" applyFont="1" applyFill="1" applyBorder="1" applyAlignment="1">
      <alignment horizontal="center" wrapText="1"/>
    </xf>
    <xf numFmtId="49" fontId="135" fillId="0" borderId="3" xfId="0" applyNumberFormat="1" applyFont="1" applyFill="1" applyBorder="1" applyAlignment="1">
      <alignment horizontal="center" wrapText="1"/>
    </xf>
    <xf numFmtId="49" fontId="109" fillId="0" borderId="69" xfId="0" applyNumberFormat="1" applyFont="1" applyFill="1" applyBorder="1" applyAlignment="1">
      <alignment horizontal="center" vertical="center" wrapText="1"/>
    </xf>
    <xf numFmtId="49" fontId="109" fillId="0" borderId="3" xfId="0" applyNumberFormat="1" applyFont="1" applyFill="1" applyBorder="1" applyAlignment="1">
      <alignment horizontal="center" vertical="center" wrapText="1"/>
    </xf>
    <xf numFmtId="0" fontId="121" fillId="0" borderId="57" xfId="0" applyFont="1" applyFill="1" applyBorder="1" applyAlignment="1">
      <alignment horizontal="center" vertical="center"/>
    </xf>
    <xf numFmtId="0" fontId="121" fillId="0" borderId="41" xfId="0" applyFont="1" applyFill="1" applyBorder="1" applyAlignment="1">
      <alignment horizontal="center" vertical="center"/>
    </xf>
    <xf numFmtId="0" fontId="121" fillId="0" borderId="43" xfId="0" applyFont="1" applyFill="1" applyBorder="1" applyAlignment="1">
      <alignment horizontal="center" vertical="center"/>
    </xf>
    <xf numFmtId="0" fontId="121" fillId="0" borderId="4" xfId="0" applyFont="1" applyFill="1" applyBorder="1" applyAlignment="1">
      <alignment horizontal="center" vertical="center"/>
    </xf>
    <xf numFmtId="0" fontId="121" fillId="0" borderId="36" xfId="0" applyFont="1" applyFill="1" applyBorder="1" applyAlignment="1">
      <alignment horizontal="center" vertical="center"/>
    </xf>
    <xf numFmtId="0" fontId="121" fillId="0" borderId="56" xfId="0" applyFont="1" applyFill="1" applyBorder="1" applyAlignment="1">
      <alignment horizontal="center" vertical="center"/>
    </xf>
    <xf numFmtId="49" fontId="109" fillId="0" borderId="18" xfId="0" applyNumberFormat="1" applyFont="1" applyFill="1" applyBorder="1" applyAlignment="1">
      <alignment horizontal="center" vertical="center" wrapText="1"/>
    </xf>
    <xf numFmtId="49" fontId="119" fillId="0" borderId="57" xfId="0" applyNumberFormat="1" applyFont="1" applyFill="1" applyBorder="1" applyAlignment="1">
      <alignment horizontal="center" vertical="center" wrapText="1"/>
    </xf>
    <xf numFmtId="49" fontId="119" fillId="0" borderId="41" xfId="0" applyNumberFormat="1" applyFont="1" applyFill="1" applyBorder="1" applyAlignment="1">
      <alignment horizontal="center" vertical="center" wrapText="1"/>
    </xf>
    <xf numFmtId="49" fontId="119" fillId="0" borderId="43" xfId="0" applyNumberFormat="1" applyFont="1" applyFill="1" applyBorder="1" applyAlignment="1">
      <alignment horizontal="center" vertical="center" wrapText="1"/>
    </xf>
    <xf numFmtId="49" fontId="119" fillId="0" borderId="4" xfId="0" applyNumberFormat="1" applyFont="1" applyFill="1" applyBorder="1" applyAlignment="1">
      <alignment horizontal="center" vertical="center" wrapText="1"/>
    </xf>
    <xf numFmtId="49" fontId="119" fillId="0" borderId="36" xfId="0" applyNumberFormat="1" applyFont="1" applyFill="1" applyBorder="1" applyAlignment="1">
      <alignment horizontal="center" vertical="center" wrapText="1"/>
    </xf>
    <xf numFmtId="49" fontId="119" fillId="0" borderId="56" xfId="0" applyNumberFormat="1" applyFont="1" applyFill="1" applyBorder="1" applyAlignment="1">
      <alignment horizontal="center" vertical="center" wrapText="1"/>
    </xf>
    <xf numFmtId="0" fontId="121" fillId="0" borderId="14" xfId="0" applyFont="1" applyFill="1" applyBorder="1" applyAlignment="1">
      <alignment horizontal="center" vertical="center" wrapText="1"/>
    </xf>
    <xf numFmtId="0" fontId="121" fillId="0" borderId="0" xfId="0" applyFont="1" applyFill="1" applyBorder="1" applyAlignment="1">
      <alignment horizontal="center" vertical="center" wrapText="1"/>
    </xf>
    <xf numFmtId="0" fontId="121" fillId="0" borderId="15" xfId="0" applyFont="1" applyFill="1" applyBorder="1" applyAlignment="1">
      <alignment horizontal="center" vertical="center" wrapText="1"/>
    </xf>
    <xf numFmtId="0" fontId="121" fillId="0" borderId="4" xfId="0" applyFont="1" applyFill="1" applyBorder="1" applyAlignment="1">
      <alignment horizontal="center" vertical="center" wrapText="1"/>
    </xf>
    <xf numFmtId="0" fontId="121" fillId="0" borderId="36" xfId="0" applyFont="1" applyFill="1" applyBorder="1" applyAlignment="1">
      <alignment horizontal="center" vertical="center" wrapText="1"/>
    </xf>
    <xf numFmtId="0" fontId="121" fillId="0" borderId="56" xfId="0" applyFont="1" applyFill="1" applyBorder="1" applyAlignment="1">
      <alignment horizontal="center" vertical="center" wrapText="1"/>
    </xf>
    <xf numFmtId="0" fontId="124" fillId="0" borderId="57" xfId="0" applyFont="1" applyFill="1" applyBorder="1" applyAlignment="1">
      <alignment horizontal="center" vertical="center" wrapText="1"/>
    </xf>
    <xf numFmtId="0" fontId="124" fillId="0" borderId="43" xfId="0" applyFont="1" applyFill="1" applyBorder="1" applyAlignment="1">
      <alignment horizontal="center" vertical="center" wrapText="1"/>
    </xf>
    <xf numFmtId="0" fontId="124" fillId="0" borderId="4" xfId="0" applyFont="1" applyFill="1" applyBorder="1" applyAlignment="1">
      <alignment horizontal="center" vertical="center" wrapText="1"/>
    </xf>
    <xf numFmtId="0" fontId="124" fillId="0" borderId="56" xfId="0" applyFont="1" applyFill="1" applyBorder="1" applyAlignment="1">
      <alignment horizontal="center" vertical="center" wrapText="1"/>
    </xf>
    <xf numFmtId="49" fontId="129" fillId="0" borderId="69" xfId="0" applyNumberFormat="1" applyFont="1" applyFill="1" applyBorder="1" applyAlignment="1">
      <alignment horizontal="center" vertical="center" wrapText="1"/>
    </xf>
    <xf numFmtId="49" fontId="129" fillId="0" borderId="3" xfId="0" applyNumberFormat="1" applyFont="1" applyFill="1" applyBorder="1" applyAlignment="1">
      <alignment horizontal="center" vertical="center" wrapText="1"/>
    </xf>
    <xf numFmtId="49" fontId="123" fillId="0" borderId="57" xfId="0" applyNumberFormat="1" applyFont="1" applyFill="1" applyBorder="1" applyAlignment="1">
      <alignment horizontal="center" vertical="center" wrapText="1"/>
    </xf>
    <xf numFmtId="49" fontId="123" fillId="0" borderId="43" xfId="0" applyNumberFormat="1" applyFont="1" applyFill="1" applyBorder="1" applyAlignment="1">
      <alignment horizontal="center" vertical="center" wrapText="1"/>
    </xf>
    <xf numFmtId="49" fontId="123" fillId="0" borderId="4" xfId="0" applyNumberFormat="1" applyFont="1" applyFill="1" applyBorder="1" applyAlignment="1">
      <alignment horizontal="center" vertical="center" wrapText="1"/>
    </xf>
    <xf numFmtId="49" fontId="123" fillId="0" borderId="56" xfId="0" applyNumberFormat="1" applyFont="1" applyFill="1" applyBorder="1" applyAlignment="1">
      <alignment horizontal="center" vertical="center" wrapText="1"/>
    </xf>
    <xf numFmtId="0" fontId="121" fillId="0" borderId="39" xfId="0" applyFont="1" applyFill="1" applyBorder="1" applyAlignment="1">
      <alignment horizontal="center" vertical="center"/>
    </xf>
    <xf numFmtId="0" fontId="121" fillId="0" borderId="67" xfId="0" applyFont="1" applyFill="1" applyBorder="1" applyAlignment="1">
      <alignment horizontal="center" vertical="center"/>
    </xf>
    <xf numFmtId="0" fontId="121" fillId="0" borderId="68" xfId="0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left"/>
    </xf>
    <xf numFmtId="0" fontId="121" fillId="0" borderId="2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6" xfId="0" applyBorder="1" applyAlignment="1">
      <alignment horizontal="center"/>
    </xf>
    <xf numFmtId="1" fontId="127" fillId="0" borderId="39" xfId="0" applyNumberFormat="1" applyFont="1" applyFill="1" applyBorder="1" applyAlignment="1">
      <alignment horizontal="center" vertical="center" wrapText="1"/>
    </xf>
    <xf numFmtId="1" fontId="166" fillId="0" borderId="39" xfId="0" applyNumberFormat="1" applyFont="1" applyFill="1" applyBorder="1" applyAlignment="1">
      <alignment horizontal="center" vertical="center" wrapText="1"/>
    </xf>
    <xf numFmtId="49" fontId="126" fillId="0" borderId="69" xfId="0" applyNumberFormat="1" applyFont="1" applyFill="1" applyBorder="1" applyAlignment="1">
      <alignment horizontal="center" vertical="center" wrapText="1"/>
    </xf>
    <xf numFmtId="49" fontId="126" fillId="0" borderId="3" xfId="0" applyNumberFormat="1" applyFont="1" applyFill="1" applyBorder="1" applyAlignment="1">
      <alignment horizontal="center" vertical="center" wrapText="1"/>
    </xf>
    <xf numFmtId="49" fontId="122" fillId="0" borderId="57" xfId="0" applyNumberFormat="1" applyFont="1" applyFill="1" applyBorder="1" applyAlignment="1">
      <alignment horizontal="center" vertical="center" wrapText="1"/>
    </xf>
    <xf numFmtId="49" fontId="122" fillId="0" borderId="43" xfId="0" applyNumberFormat="1" applyFont="1" applyFill="1" applyBorder="1" applyAlignment="1">
      <alignment horizontal="center" vertical="center" wrapText="1"/>
    </xf>
    <xf numFmtId="49" fontId="122" fillId="0" borderId="4" xfId="0" applyNumberFormat="1" applyFont="1" applyFill="1" applyBorder="1" applyAlignment="1">
      <alignment horizontal="center" vertical="center" wrapText="1"/>
    </xf>
    <xf numFmtId="49" fontId="122" fillId="0" borderId="56" xfId="0" applyNumberFormat="1" applyFont="1" applyFill="1" applyBorder="1" applyAlignment="1">
      <alignment horizontal="center" vertical="center" wrapText="1"/>
    </xf>
    <xf numFmtId="0" fontId="121" fillId="0" borderId="14" xfId="0" applyFont="1" applyFill="1" applyBorder="1" applyAlignment="1">
      <alignment horizontal="center" vertical="center"/>
    </xf>
    <xf numFmtId="0" fontId="121" fillId="0" borderId="15" xfId="0" applyFont="1" applyFill="1" applyBorder="1" applyAlignment="1">
      <alignment horizontal="center" vertical="center"/>
    </xf>
    <xf numFmtId="49" fontId="123" fillId="0" borderId="14" xfId="0" applyNumberFormat="1" applyFont="1" applyFill="1" applyBorder="1" applyAlignment="1">
      <alignment horizontal="center" vertical="center" wrapText="1"/>
    </xf>
    <xf numFmtId="49" fontId="123" fillId="0" borderId="15" xfId="0" applyNumberFormat="1" applyFont="1" applyFill="1" applyBorder="1" applyAlignment="1">
      <alignment horizontal="center" vertical="center" wrapText="1"/>
    </xf>
    <xf numFmtId="0" fontId="123" fillId="0" borderId="69" xfId="0" applyFont="1" applyBorder="1" applyAlignment="1">
      <alignment vertical="center"/>
    </xf>
    <xf numFmtId="0" fontId="123" fillId="0" borderId="18" xfId="0" applyFont="1" applyBorder="1" applyAlignment="1">
      <alignment vertical="center"/>
    </xf>
    <xf numFmtId="0" fontId="123" fillId="0" borderId="3" xfId="0" applyFont="1" applyBorder="1" applyAlignment="1">
      <alignment vertical="center"/>
    </xf>
    <xf numFmtId="0" fontId="165" fillId="0" borderId="36" xfId="0" applyFont="1" applyFill="1" applyBorder="1" applyAlignment="1">
      <alignment horizontal="center" wrapText="1"/>
    </xf>
    <xf numFmtId="0" fontId="120" fillId="0" borderId="0" xfId="0" applyFont="1" applyFill="1" applyBorder="1" applyAlignment="1">
      <alignment horizontal="right" vertical="center"/>
    </xf>
    <xf numFmtId="49" fontId="119" fillId="0" borderId="39" xfId="0" applyNumberFormat="1" applyFont="1" applyFill="1" applyBorder="1" applyAlignment="1">
      <alignment horizontal="left" vertical="center" wrapText="1"/>
    </xf>
    <xf numFmtId="0" fontId="0" fillId="0" borderId="67" xfId="0" applyBorder="1"/>
    <xf numFmtId="49" fontId="122" fillId="0" borderId="39" xfId="0" applyNumberFormat="1" applyFont="1" applyFill="1" applyBorder="1" applyAlignment="1">
      <alignment horizontal="center" vertical="center" wrapText="1"/>
    </xf>
    <xf numFmtId="49" fontId="122" fillId="0" borderId="67" xfId="0" applyNumberFormat="1" applyFont="1" applyFill="1" applyBorder="1" applyAlignment="1">
      <alignment horizontal="center" vertical="center" wrapText="1"/>
    </xf>
    <xf numFmtId="49" fontId="122" fillId="0" borderId="68" xfId="0" applyNumberFormat="1" applyFont="1" applyFill="1" applyBorder="1" applyAlignment="1">
      <alignment horizontal="center" vertical="center" wrapText="1"/>
    </xf>
    <xf numFmtId="0" fontId="121" fillId="0" borderId="39" xfId="0" applyFont="1" applyFill="1" applyBorder="1" applyAlignment="1">
      <alignment vertical="center"/>
    </xf>
    <xf numFmtId="49" fontId="127" fillId="0" borderId="69" xfId="0" applyNumberFormat="1" applyFont="1" applyFill="1" applyBorder="1" applyAlignment="1">
      <alignment horizontal="center" vertical="center" wrapText="1"/>
    </xf>
    <xf numFmtId="49" fontId="127" fillId="0" borderId="3" xfId="0" applyNumberFormat="1" applyFont="1" applyFill="1" applyBorder="1" applyAlignment="1">
      <alignment horizontal="center" vertical="center" wrapText="1"/>
    </xf>
    <xf numFmtId="0" fontId="15" fillId="0" borderId="57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/>
    </xf>
    <xf numFmtId="0" fontId="23" fillId="0" borderId="51" xfId="0" applyFont="1" applyFill="1" applyBorder="1" applyAlignment="1">
      <alignment horizontal="center" wrapText="1"/>
    </xf>
    <xf numFmtId="0" fontId="23" fillId="0" borderId="3" xfId="0" applyFont="1" applyFill="1" applyBorder="1" applyAlignment="1">
      <alignment horizontal="center" wrapText="1"/>
    </xf>
    <xf numFmtId="0" fontId="15" fillId="0" borderId="0" xfId="0" applyFont="1" applyFill="1" applyAlignment="1">
      <alignment horizontal="left"/>
    </xf>
    <xf numFmtId="0" fontId="23" fillId="0" borderId="0" xfId="0" applyFont="1" applyFill="1" applyBorder="1" applyAlignment="1">
      <alignment horizontal="left" wrapText="1"/>
    </xf>
    <xf numFmtId="0" fontId="23" fillId="0" borderId="2" xfId="0" applyFont="1" applyFill="1" applyBorder="1" applyAlignment="1">
      <alignment horizontal="center" wrapText="1"/>
    </xf>
    <xf numFmtId="0" fontId="23" fillId="0" borderId="39" xfId="0" applyFont="1" applyFill="1" applyBorder="1" applyAlignment="1">
      <alignment horizontal="center" wrapText="1"/>
    </xf>
    <xf numFmtId="0" fontId="23" fillId="0" borderId="52" xfId="0" applyFont="1" applyFill="1" applyBorder="1" applyAlignment="1">
      <alignment horizontal="center" wrapText="1"/>
    </xf>
    <xf numFmtId="0" fontId="23" fillId="0" borderId="53" xfId="0" applyFont="1" applyFill="1" applyBorder="1" applyAlignment="1">
      <alignment horizontal="center" wrapText="1"/>
    </xf>
    <xf numFmtId="0" fontId="15" fillId="0" borderId="36" xfId="0" applyFont="1" applyFill="1" applyBorder="1" applyAlignment="1">
      <alignment horizontal="right" vertical="top" wrapText="1"/>
    </xf>
    <xf numFmtId="0" fontId="23" fillId="0" borderId="0" xfId="0" applyFont="1" applyFill="1" applyBorder="1" applyAlignment="1">
      <alignment horizontal="right" wrapText="1"/>
    </xf>
    <xf numFmtId="0" fontId="210" fillId="0" borderId="2" xfId="0" applyFont="1" applyFill="1" applyBorder="1" applyAlignment="1">
      <alignment horizontal="center" wrapText="1"/>
    </xf>
    <xf numFmtId="0" fontId="23" fillId="0" borderId="57" xfId="0" applyFont="1" applyFill="1" applyBorder="1" applyAlignment="1">
      <alignment horizontal="center" vertical="center" wrapText="1"/>
    </xf>
    <xf numFmtId="0" fontId="23" fillId="0" borderId="4" xfId="0" applyFont="1" applyFill="1" applyBorder="1" applyAlignment="1">
      <alignment horizontal="center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23" fillId="0" borderId="18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 wrapText="1"/>
    </xf>
    <xf numFmtId="0" fontId="14" fillId="0" borderId="0" xfId="196" applyFont="1" applyFill="1" applyBorder="1" applyAlignment="1">
      <alignment horizontal="left" vertical="center"/>
    </xf>
    <xf numFmtId="0" fontId="21" fillId="0" borderId="0" xfId="196" applyFont="1" applyAlignment="1">
      <alignment horizontal="center" wrapText="1"/>
    </xf>
    <xf numFmtId="0" fontId="29" fillId="0" borderId="36" xfId="196" applyFont="1" applyBorder="1" applyAlignment="1">
      <alignment horizontal="right"/>
    </xf>
    <xf numFmtId="0" fontId="8" fillId="39" borderId="2" xfId="196" applyFont="1" applyFill="1" applyBorder="1" applyAlignment="1">
      <alignment horizontal="center" vertical="center" wrapText="1"/>
    </xf>
    <xf numFmtId="0" fontId="46" fillId="39" borderId="2" xfId="196" applyFont="1" applyFill="1" applyBorder="1" applyAlignment="1">
      <alignment horizontal="center"/>
    </xf>
    <xf numFmtId="0" fontId="26" fillId="0" borderId="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0" fontId="17" fillId="0" borderId="39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0" borderId="51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/>
    </xf>
    <xf numFmtId="0" fontId="16" fillId="0" borderId="36" xfId="0" applyFont="1" applyBorder="1" applyAlignment="1">
      <alignment horizontal="right" vertical="top" wrapText="1"/>
    </xf>
    <xf numFmtId="0" fontId="28" fillId="0" borderId="39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18" fillId="0" borderId="0" xfId="0" applyFont="1" applyBorder="1" applyAlignment="1">
      <alignment horizontal="left" wrapText="1"/>
    </xf>
    <xf numFmtId="0" fontId="18" fillId="0" borderId="0" xfId="0" applyFont="1" applyBorder="1" applyAlignment="1">
      <alignment horizontal="center" wrapText="1"/>
    </xf>
    <xf numFmtId="0" fontId="28" fillId="0" borderId="53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top" wrapText="1"/>
    </xf>
    <xf numFmtId="1" fontId="18" fillId="0" borderId="0" xfId="0" applyNumberFormat="1" applyFont="1" applyBorder="1" applyAlignment="1">
      <alignment horizontal="left"/>
    </xf>
    <xf numFmtId="0" fontId="16" fillId="0" borderId="40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left" wrapText="1"/>
    </xf>
    <xf numFmtId="0" fontId="28" fillId="0" borderId="39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30" fillId="0" borderId="0" xfId="0" applyFont="1" applyAlignment="1">
      <alignment horizontal="right" wrapText="1"/>
    </xf>
    <xf numFmtId="0" fontId="9" fillId="0" borderId="4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30" fillId="0" borderId="0" xfId="0" applyFont="1" applyBorder="1" applyAlignment="1">
      <alignment horizontal="right" wrapText="1"/>
    </xf>
    <xf numFmtId="0" fontId="13" fillId="0" borderId="0" xfId="0" applyFont="1" applyBorder="1" applyAlignment="1">
      <alignment horizontal="left" wrapText="1"/>
    </xf>
    <xf numFmtId="0" fontId="15" fillId="0" borderId="0" xfId="0" applyFont="1" applyBorder="1" applyAlignment="1">
      <alignment wrapText="1"/>
    </xf>
    <xf numFmtId="0" fontId="13" fillId="0" borderId="0" xfId="0" applyFont="1" applyBorder="1" applyAlignment="1">
      <alignment horizontal="center" wrapText="1"/>
    </xf>
    <xf numFmtId="0" fontId="18" fillId="0" borderId="0" xfId="0" applyFont="1" applyFill="1" applyAlignment="1">
      <alignment horizontal="left" wrapText="1"/>
    </xf>
    <xf numFmtId="0" fontId="191" fillId="0" borderId="0" xfId="0" applyFont="1" applyFill="1" applyAlignment="1">
      <alignment horizontal="left"/>
    </xf>
    <xf numFmtId="0" fontId="21" fillId="0" borderId="0" xfId="0" applyFont="1" applyFill="1" applyAlignment="1">
      <alignment horizontal="right" wrapText="1"/>
    </xf>
    <xf numFmtId="0" fontId="29" fillId="0" borderId="36" xfId="0" applyFont="1" applyFill="1" applyBorder="1" applyAlignment="1">
      <alignment horizontal="left"/>
    </xf>
    <xf numFmtId="0" fontId="23" fillId="39" borderId="2" xfId="0" applyFont="1" applyFill="1" applyBorder="1" applyAlignment="1">
      <alignment horizontal="center" vertical="center"/>
    </xf>
    <xf numFmtId="0" fontId="47" fillId="0" borderId="36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wrapText="1"/>
    </xf>
    <xf numFmtId="0" fontId="33" fillId="0" borderId="0" xfId="0" applyFont="1" applyFill="1" applyBorder="1" applyAlignment="1">
      <alignment horizontal="left"/>
    </xf>
    <xf numFmtId="0" fontId="46" fillId="0" borderId="0" xfId="0" applyFont="1" applyBorder="1" applyAlignment="1">
      <alignment horizontal="right" wrapText="1"/>
    </xf>
    <xf numFmtId="0" fontId="34" fillId="39" borderId="2" xfId="0" applyFont="1" applyFill="1" applyBorder="1" applyAlignment="1">
      <alignment horizontal="center" vertical="center" wrapText="1"/>
    </xf>
    <xf numFmtId="0" fontId="46" fillId="0" borderId="0" xfId="0" applyFont="1" applyBorder="1" applyAlignment="1">
      <alignment horizontal="left" wrapText="1"/>
    </xf>
    <xf numFmtId="49" fontId="33" fillId="0" borderId="0" xfId="0" applyNumberFormat="1" applyFont="1" applyBorder="1" applyAlignment="1">
      <alignment horizontal="left" wrapText="1"/>
    </xf>
    <xf numFmtId="0" fontId="33" fillId="0" borderId="0" xfId="0" applyFont="1" applyBorder="1" applyAlignment="1">
      <alignment horizontal="left" wrapText="1"/>
    </xf>
    <xf numFmtId="0" fontId="16" fillId="0" borderId="2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6" fillId="0" borderId="40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wrapText="1"/>
    </xf>
    <xf numFmtId="0" fontId="13" fillId="0" borderId="49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right" wrapText="1"/>
    </xf>
    <xf numFmtId="0" fontId="17" fillId="0" borderId="49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right" wrapText="1"/>
    </xf>
    <xf numFmtId="0" fontId="41" fillId="0" borderId="0" xfId="0" applyFont="1" applyBorder="1" applyAlignment="1">
      <alignment horizontal="left" vertical="top" wrapText="1"/>
    </xf>
    <xf numFmtId="0" fontId="17" fillId="0" borderId="48" xfId="0" applyFont="1" applyBorder="1" applyAlignment="1">
      <alignment horizontal="center" vertical="center" wrapText="1"/>
    </xf>
    <xf numFmtId="0" fontId="40" fillId="0" borderId="1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right" wrapText="1"/>
    </xf>
    <xf numFmtId="0" fontId="10" fillId="0" borderId="0" xfId="0" applyFont="1" applyBorder="1" applyAlignment="1">
      <alignment horizontal="center" wrapText="1"/>
    </xf>
    <xf numFmtId="0" fontId="28" fillId="39" borderId="2" xfId="0" applyFont="1" applyFill="1" applyBorder="1" applyAlignment="1">
      <alignment horizontal="center" vertical="center" wrapText="1"/>
    </xf>
    <xf numFmtId="0" fontId="17" fillId="39" borderId="2" xfId="0" applyFont="1" applyFill="1" applyBorder="1" applyAlignment="1">
      <alignment horizontal="center" vertical="center" wrapText="1"/>
    </xf>
    <xf numFmtId="0" fontId="17" fillId="39" borderId="2" xfId="0" applyFont="1" applyFill="1" applyBorder="1" applyAlignment="1">
      <alignment horizontal="center" wrapText="1"/>
    </xf>
    <xf numFmtId="0" fontId="20" fillId="0" borderId="41" xfId="0" applyFont="1" applyFill="1" applyBorder="1" applyAlignment="1">
      <alignment horizontal="left" vertical="center" wrapText="1"/>
    </xf>
    <xf numFmtId="0" fontId="19" fillId="0" borderId="0" xfId="0" applyFont="1" applyBorder="1" applyAlignment="1">
      <alignment horizontal="left"/>
    </xf>
    <xf numFmtId="0" fontId="20" fillId="0" borderId="8" xfId="0" applyFont="1" applyBorder="1" applyAlignment="1">
      <alignment wrapText="1"/>
    </xf>
    <xf numFmtId="0" fontId="64" fillId="0" borderId="8" xfId="0" applyFont="1" applyBorder="1" applyAlignment="1"/>
    <xf numFmtId="0" fontId="14" fillId="0" borderId="8" xfId="0" applyFont="1" applyBorder="1" applyAlignment="1"/>
    <xf numFmtId="0" fontId="19" fillId="0" borderId="0" xfId="0" applyFont="1" applyAlignment="1">
      <alignment horizontal="center" wrapText="1"/>
    </xf>
    <xf numFmtId="0" fontId="30" fillId="0" borderId="0" xfId="0" applyFont="1" applyBorder="1" applyAlignment="1">
      <alignment horizontal="left" wrapText="1"/>
    </xf>
    <xf numFmtId="0" fontId="19" fillId="0" borderId="36" xfId="0" applyFont="1" applyBorder="1" applyAlignment="1">
      <alignment horizontal="right" wrapText="1"/>
    </xf>
    <xf numFmtId="0" fontId="20" fillId="39" borderId="40" xfId="0" applyFont="1" applyFill="1" applyBorder="1" applyAlignment="1">
      <alignment horizontal="center" vertical="center" wrapText="1"/>
    </xf>
    <xf numFmtId="0" fontId="20" fillId="39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40" fillId="0" borderId="0" xfId="0" applyFont="1" applyFill="1" applyBorder="1" applyAlignment="1">
      <alignment horizontal="left" wrapText="1"/>
    </xf>
    <xf numFmtId="0" fontId="10" fillId="0" borderId="0" xfId="0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29" fillId="0" borderId="36" xfId="0" applyFont="1" applyBorder="1" applyAlignment="1">
      <alignment horizontal="right"/>
    </xf>
    <xf numFmtId="0" fontId="15" fillId="0" borderId="36" xfId="0" applyFont="1" applyBorder="1" applyAlignment="1">
      <alignment horizontal="right"/>
    </xf>
    <xf numFmtId="0" fontId="17" fillId="0" borderId="41" xfId="0" applyFont="1" applyFill="1" applyBorder="1" applyAlignment="1">
      <alignment horizontal="left" vertical="center" wrapText="1"/>
    </xf>
    <xf numFmtId="0" fontId="41" fillId="0" borderId="0" xfId="0" applyFont="1" applyBorder="1" applyAlignment="1">
      <alignment horizontal="left" wrapText="1"/>
    </xf>
    <xf numFmtId="0" fontId="46" fillId="0" borderId="0" xfId="0" applyFont="1" applyAlignment="1">
      <alignment horizontal="center" wrapText="1"/>
    </xf>
    <xf numFmtId="0" fontId="29" fillId="0" borderId="39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2" fontId="13" fillId="0" borderId="43" xfId="0" applyNumberFormat="1" applyFont="1" applyFill="1" applyBorder="1" applyAlignment="1">
      <alignment horizontal="center" vertical="center" wrapText="1"/>
    </xf>
    <xf numFmtId="2" fontId="13" fillId="0" borderId="46" xfId="0" applyNumberFormat="1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19" fillId="0" borderId="0" xfId="0" applyFont="1" applyFill="1" applyBorder="1" applyAlignment="1">
      <alignment horizontal="center" wrapText="1"/>
    </xf>
    <xf numFmtId="0" fontId="23" fillId="0" borderId="41" xfId="0" applyFont="1" applyBorder="1" applyAlignment="1">
      <alignment horizontal="left" vertical="center" wrapText="1"/>
    </xf>
    <xf numFmtId="0" fontId="197" fillId="0" borderId="41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/>
    </xf>
    <xf numFmtId="0" fontId="23" fillId="0" borderId="0" xfId="0" applyFont="1" applyBorder="1" applyAlignment="1">
      <alignment horizontal="left" wrapText="1"/>
    </xf>
    <xf numFmtId="0" fontId="19" fillId="0" borderId="0" xfId="0" applyFont="1" applyBorder="1" applyAlignment="1">
      <alignment horizont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15" fillId="0" borderId="0" xfId="0" applyNumberFormat="1" applyFont="1" applyBorder="1" applyAlignment="1">
      <alignment horizontal="left"/>
    </xf>
    <xf numFmtId="0" fontId="27" fillId="39" borderId="51" xfId="0" applyFont="1" applyFill="1" applyBorder="1" applyAlignment="1">
      <alignment horizontal="center" vertical="center" wrapText="1"/>
    </xf>
    <xf numFmtId="0" fontId="23" fillId="39" borderId="39" xfId="0" applyFont="1" applyFill="1" applyBorder="1" applyAlignment="1">
      <alignment horizontal="center" vertical="center" wrapText="1"/>
    </xf>
    <xf numFmtId="0" fontId="23" fillId="39" borderId="52" xfId="0" applyFont="1" applyFill="1" applyBorder="1" applyAlignment="1">
      <alignment horizontal="center" vertical="center" wrapText="1"/>
    </xf>
    <xf numFmtId="0" fontId="23" fillId="39" borderId="53" xfId="0" applyFont="1" applyFill="1" applyBorder="1" applyAlignment="1">
      <alignment horizontal="center" vertical="center" wrapText="1"/>
    </xf>
    <xf numFmtId="0" fontId="23" fillId="39" borderId="51" xfId="0" applyFont="1" applyFill="1" applyBorder="1" applyAlignment="1">
      <alignment horizontal="center" vertical="center" wrapText="1"/>
    </xf>
    <xf numFmtId="0" fontId="23" fillId="39" borderId="51" xfId="0" applyFont="1" applyFill="1" applyBorder="1" applyAlignment="1">
      <alignment vertical="center"/>
    </xf>
    <xf numFmtId="0" fontId="23" fillId="39" borderId="2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top" wrapText="1"/>
    </xf>
    <xf numFmtId="0" fontId="29" fillId="0" borderId="55" xfId="0" applyFont="1" applyBorder="1" applyAlignment="1">
      <alignment horizontal="left" vertical="center"/>
    </xf>
    <xf numFmtId="0" fontId="15" fillId="0" borderId="55" xfId="0" applyFont="1" applyBorder="1" applyAlignment="1">
      <alignment horizontal="right" wrapText="1"/>
    </xf>
    <xf numFmtId="0" fontId="21" fillId="0" borderId="0" xfId="0" applyFont="1" applyBorder="1" applyAlignment="1">
      <alignment horizontal="left" wrapText="1"/>
    </xf>
    <xf numFmtId="49" fontId="7" fillId="0" borderId="55" xfId="0" applyNumberFormat="1" applyFont="1" applyBorder="1" applyAlignment="1">
      <alignment horizontal="left" vertical="top" wrapText="1"/>
    </xf>
    <xf numFmtId="0" fontId="2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73" fillId="0" borderId="0" xfId="0" applyFont="1" applyAlignment="1">
      <alignment horizontal="left"/>
    </xf>
    <xf numFmtId="0" fontId="164" fillId="0" borderId="0" xfId="0" applyFont="1" applyAlignment="1">
      <alignment horizontal="left"/>
    </xf>
    <xf numFmtId="2" fontId="34" fillId="0" borderId="0" xfId="0" applyNumberFormat="1" applyFont="1" applyFill="1" applyBorder="1" applyAlignment="1">
      <alignment horizontal="left"/>
    </xf>
    <xf numFmtId="0" fontId="36" fillId="0" borderId="0" xfId="0" applyFont="1" applyBorder="1" applyAlignment="1">
      <alignment horizontal="left" vertical="top" wrapText="1"/>
    </xf>
    <xf numFmtId="0" fontId="36" fillId="0" borderId="0" xfId="0" applyFont="1" applyBorder="1" applyAlignment="1">
      <alignment horizontal="right" vertical="top" wrapText="1"/>
    </xf>
    <xf numFmtId="0" fontId="10" fillId="0" borderId="0" xfId="0" applyFont="1" applyBorder="1" applyAlignment="1">
      <alignment horizontal="right" vertical="top" wrapText="1"/>
    </xf>
    <xf numFmtId="0" fontId="10" fillId="39" borderId="2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right" vertical="top" wrapText="1"/>
    </xf>
    <xf numFmtId="2" fontId="34" fillId="0" borderId="0" xfId="0" applyNumberFormat="1" applyFont="1" applyBorder="1" applyAlignment="1">
      <alignment horizontal="left"/>
    </xf>
    <xf numFmtId="0" fontId="17" fillId="0" borderId="51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28" fillId="34" borderId="41" xfId="0" applyFont="1" applyFill="1" applyBorder="1" applyAlignment="1">
      <alignment horizontal="left" vertical="center" wrapText="1"/>
    </xf>
    <xf numFmtId="0" fontId="28" fillId="34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right" vertical="center" wrapText="1"/>
    </xf>
    <xf numFmtId="0" fontId="71" fillId="34" borderId="0" xfId="0" applyFont="1" applyFill="1" applyAlignment="1">
      <alignment horizontal="left" wrapText="1"/>
    </xf>
    <xf numFmtId="0" fontId="71" fillId="0" borderId="0" xfId="0" applyFont="1" applyFill="1" applyAlignment="1">
      <alignment horizontal="left" wrapText="1"/>
    </xf>
    <xf numFmtId="10" fontId="71" fillId="34" borderId="0" xfId="0" applyNumberFormat="1" applyFont="1" applyFill="1" applyAlignment="1">
      <alignment horizontal="left" wrapText="1"/>
    </xf>
    <xf numFmtId="10" fontId="71" fillId="0" borderId="0" xfId="0" applyNumberFormat="1" applyFont="1" applyFill="1" applyBorder="1" applyAlignment="1">
      <alignment horizontal="left" wrapText="1"/>
    </xf>
    <xf numFmtId="0" fontId="16" fillId="0" borderId="0" xfId="0" applyFont="1" applyFill="1" applyBorder="1" applyAlignment="1">
      <alignment horizontal="left" vertical="center" wrapText="1"/>
    </xf>
    <xf numFmtId="49" fontId="26" fillId="0" borderId="0" xfId="0" applyNumberFormat="1" applyFont="1" applyFill="1" applyBorder="1" applyAlignment="1">
      <alignment horizontal="left" vertical="center" wrapText="1"/>
    </xf>
    <xf numFmtId="0" fontId="70" fillId="0" borderId="0" xfId="0" applyFont="1" applyFill="1" applyBorder="1" applyAlignment="1">
      <alignment horizontal="left" vertical="center" wrapText="1"/>
    </xf>
    <xf numFmtId="0" fontId="38" fillId="0" borderId="0" xfId="0" applyFont="1" applyFill="1" applyAlignment="1">
      <alignment horizontal="left"/>
    </xf>
    <xf numFmtId="0" fontId="16" fillId="0" borderId="0" xfId="0" applyFont="1" applyFill="1" applyBorder="1" applyAlignment="1">
      <alignment vertical="center" wrapText="1"/>
    </xf>
    <xf numFmtId="0" fontId="16" fillId="34" borderId="0" xfId="0" applyFont="1" applyFill="1" applyBorder="1" applyAlignment="1">
      <alignment vertical="center" wrapText="1"/>
    </xf>
    <xf numFmtId="0" fontId="15" fillId="34" borderId="0" xfId="0" applyFont="1" applyFill="1" applyBorder="1" applyAlignment="1">
      <alignment horizontal="left" vertical="center" wrapText="1" indent="2"/>
    </xf>
    <xf numFmtId="0" fontId="38" fillId="34" borderId="0" xfId="0" applyFont="1" applyFill="1" applyAlignment="1">
      <alignment horizontal="left" wrapText="1"/>
    </xf>
    <xf numFmtId="0" fontId="14" fillId="0" borderId="0" xfId="0" applyFont="1" applyFill="1" applyBorder="1" applyAlignment="1">
      <alignment horizontal="left" vertical="center" wrapText="1" indent="2"/>
    </xf>
    <xf numFmtId="0" fontId="87" fillId="0" borderId="0" xfId="0" applyFont="1" applyFill="1" applyBorder="1" applyAlignment="1">
      <alignment horizontal="left" vertical="center" wrapText="1"/>
    </xf>
    <xf numFmtId="0" fontId="16" fillId="34" borderId="0" xfId="0" applyFont="1" applyFill="1" applyBorder="1" applyAlignment="1">
      <alignment horizontal="left" vertical="center" wrapText="1"/>
    </xf>
    <xf numFmtId="0" fontId="80" fillId="34" borderId="0" xfId="0" applyFont="1" applyFill="1" applyBorder="1" applyAlignment="1">
      <alignment horizontal="left"/>
    </xf>
    <xf numFmtId="0" fontId="76" fillId="34" borderId="0" xfId="0" applyFont="1" applyFill="1" applyBorder="1" applyAlignment="1">
      <alignment horizontal="left" vertical="justify" wrapText="1"/>
    </xf>
    <xf numFmtId="0" fontId="70" fillId="34" borderId="6" xfId="0" applyFont="1" applyFill="1" applyBorder="1" applyAlignment="1">
      <alignment horizontal="left" vertical="center" wrapText="1"/>
    </xf>
    <xf numFmtId="0" fontId="38" fillId="0" borderId="0" xfId="0" applyFont="1" applyFill="1" applyAlignment="1">
      <alignment horizontal="left" wrapText="1"/>
    </xf>
    <xf numFmtId="0" fontId="13" fillId="0" borderId="0" xfId="0" applyFont="1" applyFill="1" applyBorder="1" applyAlignment="1">
      <alignment horizontal="left" vertical="center" wrapText="1"/>
    </xf>
    <xf numFmtId="0" fontId="80" fillId="34" borderId="0" xfId="0" applyFont="1" applyFill="1" applyBorder="1" applyAlignment="1">
      <alignment horizontal="left" vertical="top" wrapText="1"/>
    </xf>
    <xf numFmtId="0" fontId="13" fillId="34" borderId="0" xfId="0" applyFont="1" applyFill="1" applyBorder="1" applyAlignment="1">
      <alignment horizontal="left" vertical="center" wrapText="1"/>
    </xf>
    <xf numFmtId="0" fontId="85" fillId="0" borderId="0" xfId="0" applyFont="1" applyFill="1" applyBorder="1" applyAlignment="1">
      <alignment horizontal="left" wrapText="1"/>
    </xf>
    <xf numFmtId="0" fontId="73" fillId="0" borderId="1" xfId="0" applyFont="1" applyBorder="1" applyAlignment="1">
      <alignment horizontal="left"/>
    </xf>
    <xf numFmtId="0" fontId="73" fillId="0" borderId="1" xfId="0" applyFont="1" applyBorder="1" applyAlignment="1">
      <alignment horizontal="right"/>
    </xf>
    <xf numFmtId="0" fontId="77" fillId="0" borderId="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1" fillId="0" borderId="0" xfId="0" applyFont="1" applyFill="1" applyBorder="1" applyAlignment="1">
      <alignment horizontal="left" vertical="center" wrapText="1" indent="2"/>
    </xf>
    <xf numFmtId="0" fontId="27" fillId="34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wrapText="1"/>
    </xf>
    <xf numFmtId="0" fontId="71" fillId="34" borderId="0" xfId="0" applyFont="1" applyFill="1" applyBorder="1" applyAlignment="1">
      <alignment horizontal="left" vertical="center" wrapText="1" indent="2"/>
    </xf>
    <xf numFmtId="0" fontId="23" fillId="34" borderId="0" xfId="0" applyFont="1" applyFill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50" fillId="34" borderId="0" xfId="0" applyFont="1" applyFill="1" applyBorder="1" applyAlignment="1">
      <alignment horizontal="left" vertical="center" wrapText="1"/>
    </xf>
    <xf numFmtId="0" fontId="25" fillId="0" borderId="8" xfId="0" applyFont="1" applyBorder="1" applyAlignment="1">
      <alignment horizontal="left" vertical="center" wrapText="1"/>
    </xf>
    <xf numFmtId="0" fontId="25" fillId="0" borderId="8" xfId="0" applyFont="1" applyBorder="1" applyAlignment="1">
      <alignment horizontal="right"/>
    </xf>
    <xf numFmtId="0" fontId="23" fillId="34" borderId="0" xfId="0" applyFont="1" applyFill="1" applyBorder="1" applyAlignment="1">
      <alignment horizontal="left" vertical="center"/>
    </xf>
    <xf numFmtId="0" fontId="27" fillId="0" borderId="39" xfId="0" applyFont="1" applyBorder="1" applyAlignment="1">
      <alignment horizontal="left" vertical="center" wrapText="1"/>
    </xf>
    <xf numFmtId="0" fontId="27" fillId="0" borderId="52" xfId="0" applyFont="1" applyBorder="1" applyAlignment="1">
      <alignment horizontal="left" vertical="center" wrapText="1"/>
    </xf>
    <xf numFmtId="0" fontId="27" fillId="0" borderId="53" xfId="0" applyFont="1" applyBorder="1" applyAlignment="1">
      <alignment horizontal="left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wrapText="1"/>
    </xf>
    <xf numFmtId="0" fontId="27" fillId="0" borderId="39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wrapText="1"/>
    </xf>
    <xf numFmtId="0" fontId="39" fillId="34" borderId="0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158" fillId="0" borderId="0" xfId="0" applyFont="1" applyAlignment="1">
      <alignment horizontal="right" wrapText="1"/>
    </xf>
    <xf numFmtId="0" fontId="8" fillId="0" borderId="0" xfId="0" applyFont="1" applyAlignment="1">
      <alignment horizontal="center" vertical="center"/>
    </xf>
    <xf numFmtId="0" fontId="158" fillId="0" borderId="0" xfId="0" applyFont="1" applyAlignment="1">
      <alignment horizontal="left" wrapText="1"/>
    </xf>
    <xf numFmtId="0" fontId="15" fillId="0" borderId="0" xfId="0" applyFont="1" applyBorder="1" applyAlignment="1">
      <alignment horizontal="right" wrapText="1"/>
    </xf>
    <xf numFmtId="0" fontId="29" fillId="0" borderId="41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25" fillId="0" borderId="0" xfId="0" applyFont="1" applyAlignment="1">
      <alignment horizontal="left" wrapText="1"/>
    </xf>
    <xf numFmtId="0" fontId="41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righ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34" borderId="0" xfId="0" applyFont="1" applyFill="1" applyBorder="1" applyAlignment="1">
      <alignment horizontal="left" vertical="center" wrapText="1"/>
    </xf>
    <xf numFmtId="0" fontId="26" fillId="0" borderId="36" xfId="0" applyFont="1" applyBorder="1" applyAlignment="1">
      <alignment horizontal="center"/>
    </xf>
    <xf numFmtId="0" fontId="19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/>
    </xf>
    <xf numFmtId="0" fontId="28" fillId="0" borderId="0" xfId="0" applyFont="1" applyBorder="1" applyAlignment="1">
      <alignment horizontal="left" wrapText="1"/>
    </xf>
    <xf numFmtId="0" fontId="16" fillId="0" borderId="36" xfId="0" applyFont="1" applyBorder="1" applyAlignment="1">
      <alignment horizontal="right" vertical="center" wrapText="1"/>
    </xf>
    <xf numFmtId="0" fontId="19" fillId="0" borderId="0" xfId="0" applyFont="1" applyBorder="1" applyAlignment="1">
      <alignment horizontal="left" vertical="top" wrapText="1"/>
    </xf>
    <xf numFmtId="0" fontId="14" fillId="0" borderId="0" xfId="0" applyFont="1" applyAlignment="1"/>
    <xf numFmtId="0" fontId="28" fillId="0" borderId="0" xfId="0" applyFont="1" applyAlignment="1">
      <alignment horizontal="right" vertical="top"/>
    </xf>
    <xf numFmtId="0" fontId="30" fillId="0" borderId="0" xfId="0" applyFont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17" fillId="0" borderId="0" xfId="0" applyFont="1" applyBorder="1" applyAlignment="1">
      <alignment horizontal="left" wrapText="1"/>
    </xf>
    <xf numFmtId="0" fontId="13" fillId="0" borderId="36" xfId="0" applyFont="1" applyBorder="1" applyAlignment="1">
      <alignment horizontal="right" wrapText="1"/>
    </xf>
    <xf numFmtId="0" fontId="9" fillId="0" borderId="2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left" vertical="top" wrapText="1"/>
    </xf>
    <xf numFmtId="0" fontId="28" fillId="0" borderId="37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36" fillId="0" borderId="0" xfId="0" applyFont="1" applyBorder="1" applyAlignment="1">
      <alignment horizontal="right" wrapText="1"/>
    </xf>
    <xf numFmtId="0" fontId="16" fillId="0" borderId="1" xfId="0" applyFont="1" applyBorder="1" applyAlignment="1">
      <alignment horizontal="right" wrapText="1"/>
    </xf>
    <xf numFmtId="0" fontId="16" fillId="0" borderId="42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top" wrapText="1"/>
    </xf>
    <xf numFmtId="0" fontId="36" fillId="0" borderId="0" xfId="0" applyFont="1" applyBorder="1" applyAlignment="1">
      <alignment horizontal="left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right" wrapText="1"/>
    </xf>
    <xf numFmtId="0" fontId="9" fillId="0" borderId="4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wrapText="1"/>
    </xf>
    <xf numFmtId="0" fontId="36" fillId="0" borderId="1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15" fillId="0" borderId="0" xfId="0" applyFont="1" applyBorder="1" applyAlignment="1">
      <alignment horizontal="left"/>
    </xf>
    <xf numFmtId="0" fontId="38" fillId="0" borderId="0" xfId="0" applyFont="1" applyBorder="1" applyAlignment="1">
      <alignment horizontal="left"/>
    </xf>
    <xf numFmtId="0" fontId="13" fillId="0" borderId="2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left" vertical="center" wrapText="1"/>
    </xf>
    <xf numFmtId="0" fontId="28" fillId="39" borderId="2" xfId="0" applyFont="1" applyFill="1" applyBorder="1" applyAlignment="1">
      <alignment horizontal="left" vertical="center" wrapText="1"/>
    </xf>
    <xf numFmtId="0" fontId="30" fillId="0" borderId="0" xfId="0" applyFont="1" applyBorder="1" applyAlignment="1">
      <alignment horizontal="left"/>
    </xf>
    <xf numFmtId="0" fontId="16" fillId="34" borderId="51" xfId="0" applyFont="1" applyFill="1" applyBorder="1" applyAlignment="1">
      <alignment horizontal="center" vertical="center" wrapText="1"/>
    </xf>
    <xf numFmtId="0" fontId="16" fillId="34" borderId="3" xfId="0" applyFont="1" applyFill="1" applyBorder="1" applyAlignment="1">
      <alignment horizontal="center" vertical="center" wrapText="1"/>
    </xf>
    <xf numFmtId="0" fontId="16" fillId="34" borderId="2" xfId="0" applyFont="1" applyFill="1" applyBorder="1" applyAlignment="1">
      <alignment horizontal="center" vertical="center" wrapText="1"/>
    </xf>
    <xf numFmtId="0" fontId="16" fillId="35" borderId="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right" wrapText="1"/>
    </xf>
    <xf numFmtId="0" fontId="19" fillId="35" borderId="0" xfId="0" applyFont="1" applyFill="1" applyBorder="1" applyAlignment="1">
      <alignment horizontal="left" wrapText="1"/>
    </xf>
    <xf numFmtId="0" fontId="19" fillId="0" borderId="0" xfId="0" applyFont="1" applyFill="1" applyBorder="1" applyAlignment="1">
      <alignment horizontal="left" wrapText="1"/>
    </xf>
    <xf numFmtId="0" fontId="28" fillId="0" borderId="0" xfId="0" applyFont="1" applyFill="1" applyBorder="1" applyAlignment="1">
      <alignment horizontal="center" wrapText="1"/>
    </xf>
    <xf numFmtId="0" fontId="13" fillId="0" borderId="0" xfId="0" applyFont="1" applyBorder="1" applyAlignment="1">
      <alignment horizontal="right" wrapText="1"/>
    </xf>
    <xf numFmtId="0" fontId="41" fillId="0" borderId="0" xfId="0" applyFont="1" applyAlignment="1">
      <alignment horizontal="right" vertical="center" wrapText="1"/>
    </xf>
    <xf numFmtId="0" fontId="30" fillId="0" borderId="0" xfId="0" applyFont="1" applyAlignment="1">
      <alignment horizontal="right" vertical="center" wrapText="1"/>
    </xf>
    <xf numFmtId="0" fontId="30" fillId="0" borderId="0" xfId="0" applyFont="1" applyAlignment="1">
      <alignment horizontal="left" vertical="center" wrapText="1"/>
    </xf>
    <xf numFmtId="0" fontId="26" fillId="0" borderId="0" xfId="0" applyFont="1" applyBorder="1" applyAlignment="1">
      <alignment horizontal="left" wrapText="1"/>
    </xf>
    <xf numFmtId="0" fontId="13" fillId="0" borderId="0" xfId="0" applyFont="1" applyAlignment="1">
      <alignment wrapText="1"/>
    </xf>
    <xf numFmtId="0" fontId="30" fillId="0" borderId="0" xfId="0" applyFont="1" applyBorder="1" applyAlignment="1">
      <alignment horizontal="right"/>
    </xf>
    <xf numFmtId="0" fontId="31" fillId="0" borderId="0" xfId="0" applyFont="1" applyAlignment="1">
      <alignment horizontal="left" wrapText="1"/>
    </xf>
    <xf numFmtId="0" fontId="19" fillId="0" borderId="2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19" fillId="0" borderId="39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0" fontId="19" fillId="0" borderId="38" xfId="0" applyFont="1" applyFill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16" fillId="0" borderId="51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right" wrapText="1"/>
    </xf>
    <xf numFmtId="0" fontId="16" fillId="0" borderId="2" xfId="0" applyFont="1" applyBorder="1" applyAlignment="1">
      <alignment horizont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36" fillId="0" borderId="0" xfId="0" applyFont="1" applyAlignment="1">
      <alignment horizontal="left"/>
    </xf>
    <xf numFmtId="0" fontId="13" fillId="0" borderId="55" xfId="0" applyFont="1" applyBorder="1" applyAlignment="1">
      <alignment horizontal="right"/>
    </xf>
    <xf numFmtId="0" fontId="16" fillId="0" borderId="51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19" fillId="0" borderId="2" xfId="0" applyFont="1" applyBorder="1" applyAlignment="1">
      <alignment horizontal="center" vertical="top" wrapText="1"/>
    </xf>
    <xf numFmtId="0" fontId="36" fillId="0" borderId="0" xfId="0" applyFont="1" applyAlignment="1">
      <alignment horizontal="center" wrapText="1"/>
    </xf>
    <xf numFmtId="0" fontId="128" fillId="0" borderId="36" xfId="232" applyFont="1" applyBorder="1" applyAlignment="1">
      <alignment horizontal="right" vertical="center"/>
    </xf>
    <xf numFmtId="0" fontId="159" fillId="0" borderId="0" xfId="0" applyFont="1" applyAlignment="1">
      <alignment horizontal="right"/>
    </xf>
    <xf numFmtId="0" fontId="159" fillId="0" borderId="0" xfId="0" applyFont="1" applyAlignment="1">
      <alignment horizontal="left"/>
    </xf>
    <xf numFmtId="0" fontId="122" fillId="0" borderId="51" xfId="0" applyFont="1" applyBorder="1" applyAlignment="1">
      <alignment horizontal="center" vertical="top" wrapText="1"/>
    </xf>
    <xf numFmtId="0" fontId="122" fillId="0" borderId="3" xfId="0" applyFont="1" applyBorder="1" applyAlignment="1">
      <alignment horizontal="center" vertical="top" wrapText="1"/>
    </xf>
    <xf numFmtId="0" fontId="122" fillId="0" borderId="2" xfId="0" applyFont="1" applyBorder="1" applyAlignment="1">
      <alignment horizontal="center"/>
    </xf>
    <xf numFmtId="0" fontId="122" fillId="0" borderId="39" xfId="0" applyFont="1" applyBorder="1" applyAlignment="1">
      <alignment horizontal="left"/>
    </xf>
    <xf numFmtId="0" fontId="122" fillId="0" borderId="52" xfId="0" applyFont="1" applyBorder="1" applyAlignment="1">
      <alignment horizontal="left"/>
    </xf>
    <xf numFmtId="0" fontId="122" fillId="0" borderId="53" xfId="0" applyFont="1" applyBorder="1" applyAlignment="1">
      <alignment horizontal="left"/>
    </xf>
    <xf numFmtId="0" fontId="159" fillId="0" borderId="0" xfId="232" applyFont="1" applyAlignment="1">
      <alignment horizontal="right" vertical="center"/>
    </xf>
    <xf numFmtId="0" fontId="36" fillId="0" borderId="0" xfId="0" applyFont="1" applyAlignment="1">
      <alignment vertical="center" wrapText="1"/>
    </xf>
    <xf numFmtId="0" fontId="128" fillId="0" borderId="0" xfId="232" applyFont="1" applyBorder="1" applyAlignment="1">
      <alignment horizontal="right"/>
    </xf>
    <xf numFmtId="0" fontId="122" fillId="0" borderId="51" xfId="232" applyFont="1" applyBorder="1" applyAlignment="1">
      <alignment horizontal="center" vertical="center" wrapText="1"/>
    </xf>
    <xf numFmtId="0" fontId="122" fillId="0" borderId="18" xfId="232" applyFont="1" applyBorder="1" applyAlignment="1">
      <alignment horizontal="center" vertical="center" wrapText="1"/>
    </xf>
    <xf numFmtId="0" fontId="122" fillId="0" borderId="3" xfId="232" applyFont="1" applyBorder="1" applyAlignment="1">
      <alignment horizontal="center" vertical="center" wrapText="1"/>
    </xf>
    <xf numFmtId="0" fontId="160" fillId="0" borderId="2" xfId="0" applyFont="1" applyBorder="1" applyAlignment="1">
      <alignment horizontal="center" vertical="top" wrapText="1"/>
    </xf>
    <xf numFmtId="0" fontId="159" fillId="0" borderId="0" xfId="232" applyFont="1" applyAlignment="1">
      <alignment horizontal="left" vertical="center"/>
    </xf>
    <xf numFmtId="0" fontId="109" fillId="0" borderId="0" xfId="0" applyFont="1" applyAlignment="1">
      <alignment horizontal="left" vertical="top" wrapText="1"/>
    </xf>
    <xf numFmtId="0" fontId="15" fillId="0" borderId="0" xfId="0" applyFont="1" applyBorder="1" applyAlignment="1">
      <alignment horizontal="right"/>
    </xf>
    <xf numFmtId="0" fontId="23" fillId="0" borderId="0" xfId="0" applyFont="1" applyAlignment="1">
      <alignment horizontal="center" vertical="top"/>
    </xf>
    <xf numFmtId="49" fontId="109" fillId="0" borderId="3" xfId="0" applyNumberFormat="1" applyFont="1" applyBorder="1" applyAlignment="1">
      <alignment horizontal="center" vertical="center" textRotation="88"/>
    </xf>
    <xf numFmtId="49" fontId="109" fillId="0" borderId="2" xfId="0" applyNumberFormat="1" applyFont="1" applyBorder="1" applyAlignment="1">
      <alignment horizontal="center" vertical="center" textRotation="88"/>
    </xf>
    <xf numFmtId="0" fontId="121" fillId="0" borderId="0" xfId="0" applyFont="1" applyBorder="1" applyAlignment="1">
      <alignment horizontal="center"/>
    </xf>
    <xf numFmtId="0" fontId="123" fillId="0" borderId="36" xfId="0" applyFont="1" applyBorder="1" applyAlignment="1">
      <alignment horizontal="right"/>
    </xf>
    <xf numFmtId="0" fontId="109" fillId="0" borderId="37" xfId="0" applyFont="1" applyBorder="1" applyAlignment="1">
      <alignment horizontal="right"/>
    </xf>
    <xf numFmtId="0" fontId="109" fillId="0" borderId="39" xfId="0" applyFont="1" applyBorder="1" applyAlignment="1">
      <alignment horizontal="center" vertical="center" wrapText="1"/>
    </xf>
    <xf numFmtId="0" fontId="109" fillId="0" borderId="38" xfId="0" applyFont="1" applyBorder="1" applyAlignment="1">
      <alignment horizontal="center" vertical="center" wrapText="1"/>
    </xf>
    <xf numFmtId="0" fontId="175" fillId="0" borderId="51" xfId="0" applyFon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175" fillId="0" borderId="3" xfId="0" applyFont="1" applyBorder="1" applyAlignment="1">
      <alignment horizontal="center" vertical="top" wrapText="1"/>
    </xf>
    <xf numFmtId="0" fontId="119" fillId="0" borderId="51" xfId="232" applyFont="1" applyBorder="1" applyAlignment="1">
      <alignment horizontal="center" vertical="center" wrapText="1"/>
    </xf>
    <xf numFmtId="0" fontId="119" fillId="0" borderId="18" xfId="232" applyFont="1" applyBorder="1" applyAlignment="1">
      <alignment horizontal="center" vertical="center" wrapText="1"/>
    </xf>
    <xf numFmtId="0" fontId="119" fillId="0" borderId="3" xfId="232" applyFont="1" applyBorder="1" applyAlignment="1">
      <alignment horizontal="center" vertical="center" wrapText="1"/>
    </xf>
    <xf numFmtId="0" fontId="159" fillId="0" borderId="0" xfId="0" applyFont="1" applyAlignment="1">
      <alignment horizontal="right" vertical="center"/>
    </xf>
    <xf numFmtId="0" fontId="36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123" fillId="0" borderId="36" xfId="232" applyFont="1" applyBorder="1" applyAlignment="1">
      <alignment horizontal="right" vertical="center"/>
    </xf>
    <xf numFmtId="0" fontId="12" fillId="0" borderId="36" xfId="0" applyFont="1" applyBorder="1" applyAlignment="1">
      <alignment horizontal="right" vertical="center"/>
    </xf>
    <xf numFmtId="0" fontId="159" fillId="0" borderId="0" xfId="0" applyFont="1" applyAlignment="1">
      <alignment horizontal="left" vertical="center"/>
    </xf>
    <xf numFmtId="0" fontId="160" fillId="0" borderId="39" xfId="0" applyFont="1" applyBorder="1" applyAlignment="1">
      <alignment horizontal="center"/>
    </xf>
    <xf numFmtId="0" fontId="62" fillId="0" borderId="52" xfId="0" applyFont="1" applyBorder="1" applyAlignment="1">
      <alignment horizontal="center"/>
    </xf>
    <xf numFmtId="0" fontId="62" fillId="0" borderId="53" xfId="0" applyFont="1" applyBorder="1" applyAlignment="1">
      <alignment horizontal="center"/>
    </xf>
    <xf numFmtId="0" fontId="122" fillId="0" borderId="39" xfId="0" applyFont="1" applyBorder="1" applyAlignment="1">
      <alignment horizontal="center"/>
    </xf>
    <xf numFmtId="0" fontId="122" fillId="0" borderId="52" xfId="0" applyFont="1" applyBorder="1" applyAlignment="1">
      <alignment horizontal="center"/>
    </xf>
    <xf numFmtId="0" fontId="122" fillId="0" borderId="53" xfId="0" applyFont="1" applyBorder="1" applyAlignment="1">
      <alignment horizontal="center"/>
    </xf>
    <xf numFmtId="0" fontId="160" fillId="0" borderId="39" xfId="0" applyFont="1" applyBorder="1" applyAlignment="1">
      <alignment horizontal="center" vertical="top" wrapText="1"/>
    </xf>
    <xf numFmtId="0" fontId="132" fillId="0" borderId="51" xfId="0" applyFont="1" applyBorder="1" applyAlignment="1">
      <alignment horizontal="center" vertical="top" wrapText="1"/>
    </xf>
    <xf numFmtId="0" fontId="187" fillId="0" borderId="0" xfId="196" applyFont="1" applyAlignment="1">
      <alignment horizontal="right" vertical="top"/>
    </xf>
    <xf numFmtId="0" fontId="187" fillId="0" borderId="0" xfId="196" applyFont="1" applyAlignment="1">
      <alignment horizontal="left" vertical="top"/>
    </xf>
    <xf numFmtId="0" fontId="160" fillId="0" borderId="0" xfId="196" applyFont="1" applyAlignment="1">
      <alignment horizontal="left"/>
    </xf>
    <xf numFmtId="0" fontId="160" fillId="0" borderId="0" xfId="196" applyFont="1" applyAlignment="1">
      <alignment horizontal="right"/>
    </xf>
    <xf numFmtId="0" fontId="132" fillId="0" borderId="39" xfId="196" applyFont="1" applyBorder="1" applyAlignment="1">
      <alignment horizontal="center"/>
    </xf>
    <xf numFmtId="0" fontId="38" fillId="0" borderId="52" xfId="196" applyFont="1" applyBorder="1"/>
    <xf numFmtId="0" fontId="38" fillId="0" borderId="53" xfId="196" applyFont="1" applyBorder="1"/>
    <xf numFmtId="0" fontId="132" fillId="0" borderId="52" xfId="196" applyFont="1" applyBorder="1" applyAlignment="1">
      <alignment horizontal="center"/>
    </xf>
    <xf numFmtId="0" fontId="132" fillId="0" borderId="53" xfId="196" applyFont="1" applyBorder="1" applyAlignment="1">
      <alignment horizontal="center"/>
    </xf>
    <xf numFmtId="0" fontId="132" fillId="0" borderId="69" xfId="196" applyFont="1" applyBorder="1" applyAlignment="1">
      <alignment horizontal="left" vertical="top" wrapText="1"/>
    </xf>
    <xf numFmtId="0" fontId="38" fillId="0" borderId="3" xfId="196" applyFont="1" applyBorder="1" applyAlignment="1">
      <alignment horizontal="left" vertical="top"/>
    </xf>
    <xf numFmtId="0" fontId="132" fillId="0" borderId="39" xfId="196" applyFont="1" applyBorder="1" applyAlignment="1">
      <alignment horizontal="center" vertical="top" wrapText="1"/>
    </xf>
    <xf numFmtId="0" fontId="132" fillId="0" borderId="52" xfId="196" applyFont="1" applyBorder="1" applyAlignment="1">
      <alignment horizontal="center" vertical="top" wrapText="1"/>
    </xf>
    <xf numFmtId="0" fontId="132" fillId="0" borderId="53" xfId="196" applyFont="1" applyBorder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6" fillId="0" borderId="0" xfId="0" applyFont="1" applyAlignment="1">
      <alignment wrapText="1"/>
    </xf>
  </cellXfs>
  <cellStyles count="277">
    <cellStyle name="20% - Accent1 2" xfId="1"/>
    <cellStyle name="20% - Accent1 3" xfId="2"/>
    <cellStyle name="20% - Accent1 4" xfId="3"/>
    <cellStyle name="20% - Accent1 5" xfId="4"/>
    <cellStyle name="20% - Accent1 6" xfId="5"/>
    <cellStyle name="20% - Accent2 2" xfId="6"/>
    <cellStyle name="20% - Accent2 3" xfId="7"/>
    <cellStyle name="20% - Accent2 4" xfId="8"/>
    <cellStyle name="20% - Accent2 5" xfId="9"/>
    <cellStyle name="20% - Accent2 6" xfId="10"/>
    <cellStyle name="20% - Accent3 2" xfId="11"/>
    <cellStyle name="20% - Accent3 3" xfId="12"/>
    <cellStyle name="20% - Accent3 4" xfId="13"/>
    <cellStyle name="20% - Accent3 5" xfId="14"/>
    <cellStyle name="20% - Accent3 6" xfId="15"/>
    <cellStyle name="20% - Accent4 2" xfId="16"/>
    <cellStyle name="20% - Accent4 3" xfId="17"/>
    <cellStyle name="20% - Accent4 4" xfId="18"/>
    <cellStyle name="20% - Accent4 5" xfId="19"/>
    <cellStyle name="20% - Accent4 6" xfId="20"/>
    <cellStyle name="20% - Accent5 2" xfId="21"/>
    <cellStyle name="20% - Accent5 3" xfId="22"/>
    <cellStyle name="20% - Accent5 4" xfId="23"/>
    <cellStyle name="20% - Accent5 5" xfId="24"/>
    <cellStyle name="20% - Accent5 6" xfId="25"/>
    <cellStyle name="20% - Accent6 2" xfId="26"/>
    <cellStyle name="20% - Accent6 3" xfId="27"/>
    <cellStyle name="20% - Accent6 4" xfId="28"/>
    <cellStyle name="20% - Accent6 5" xfId="29"/>
    <cellStyle name="20% - Accent6 6" xfId="30"/>
    <cellStyle name="40% - Accent1 2" xfId="31"/>
    <cellStyle name="40% - Accent1 3" xfId="32"/>
    <cellStyle name="40% - Accent1 4" xfId="33"/>
    <cellStyle name="40% - Accent1 5" xfId="34"/>
    <cellStyle name="40% - Accent1 6" xfId="35"/>
    <cellStyle name="40% - Accent2 2" xfId="36"/>
    <cellStyle name="40% - Accent2 3" xfId="37"/>
    <cellStyle name="40% - Accent2 4" xfId="38"/>
    <cellStyle name="40% - Accent2 5" xfId="39"/>
    <cellStyle name="40% - Accent2 6" xfId="40"/>
    <cellStyle name="40% - Accent3 2" xfId="41"/>
    <cellStyle name="40% - Accent3 3" xfId="42"/>
    <cellStyle name="40% - Accent3 4" xfId="43"/>
    <cellStyle name="40% - Accent3 5" xfId="44"/>
    <cellStyle name="40% - Accent3 6" xfId="45"/>
    <cellStyle name="40% - Accent4 2" xfId="46"/>
    <cellStyle name="40% - Accent4 3" xfId="47"/>
    <cellStyle name="40% - Accent4 4" xfId="48"/>
    <cellStyle name="40% - Accent4 5" xfId="49"/>
    <cellStyle name="40% - Accent4 6" xfId="50"/>
    <cellStyle name="40% - Accent5 2" xfId="51"/>
    <cellStyle name="40% - Accent5 3" xfId="52"/>
    <cellStyle name="40% - Accent5 4" xfId="53"/>
    <cellStyle name="40% - Accent5 5" xfId="54"/>
    <cellStyle name="40% - Accent5 6" xfId="55"/>
    <cellStyle name="40% - Accent6 2" xfId="56"/>
    <cellStyle name="40% - Accent6 3" xfId="57"/>
    <cellStyle name="40% - Accent6 4" xfId="58"/>
    <cellStyle name="40% - Accent6 5" xfId="59"/>
    <cellStyle name="40% - Accent6 6" xfId="60"/>
    <cellStyle name="60% - Accent1 2" xfId="61"/>
    <cellStyle name="60% - Accent1 3" xfId="62"/>
    <cellStyle name="60% - Accent1 4" xfId="63"/>
    <cellStyle name="60% - Accent1 5" xfId="64"/>
    <cellStyle name="60% - Accent1 6" xfId="65"/>
    <cellStyle name="60% - Accent2 2" xfId="66"/>
    <cellStyle name="60% - Accent2 3" xfId="67"/>
    <cellStyle name="60% - Accent2 4" xfId="68"/>
    <cellStyle name="60% - Accent2 5" xfId="69"/>
    <cellStyle name="60% - Accent2 6" xfId="70"/>
    <cellStyle name="60% - Accent3 2" xfId="71"/>
    <cellStyle name="60% - Accent3 3" xfId="72"/>
    <cellStyle name="60% - Accent3 4" xfId="73"/>
    <cellStyle name="60% - Accent3 5" xfId="74"/>
    <cellStyle name="60% - Accent3 6" xfId="75"/>
    <cellStyle name="60% - Accent4 2" xfId="76"/>
    <cellStyle name="60% - Accent4 3" xfId="77"/>
    <cellStyle name="60% - Accent4 4" xfId="78"/>
    <cellStyle name="60% - Accent4 5" xfId="79"/>
    <cellStyle name="60% - Accent4 6" xfId="80"/>
    <cellStyle name="60% - Accent5 2" xfId="81"/>
    <cellStyle name="60% - Accent5 3" xfId="82"/>
    <cellStyle name="60% - Accent5 4" xfId="83"/>
    <cellStyle name="60% - Accent5 5" xfId="84"/>
    <cellStyle name="60% - Accent5 6" xfId="85"/>
    <cellStyle name="60% - Accent6 2" xfId="86"/>
    <cellStyle name="60% - Accent6 3" xfId="87"/>
    <cellStyle name="60% - Accent6 4" xfId="88"/>
    <cellStyle name="60% - Accent6 5" xfId="89"/>
    <cellStyle name="60% - Accent6 6" xfId="90"/>
    <cellStyle name="Accent1 2" xfId="91"/>
    <cellStyle name="Accent1 3" xfId="92"/>
    <cellStyle name="Accent1 4" xfId="93"/>
    <cellStyle name="Accent1 5" xfId="94"/>
    <cellStyle name="Accent1 6" xfId="95"/>
    <cellStyle name="Accent2 2" xfId="96"/>
    <cellStyle name="Accent2 3" xfId="97"/>
    <cellStyle name="Accent2 4" xfId="98"/>
    <cellStyle name="Accent2 5" xfId="99"/>
    <cellStyle name="Accent2 6" xfId="100"/>
    <cellStyle name="Accent3 2" xfId="101"/>
    <cellStyle name="Accent3 3" xfId="102"/>
    <cellStyle name="Accent3 4" xfId="103"/>
    <cellStyle name="Accent3 5" xfId="104"/>
    <cellStyle name="Accent3 6" xfId="105"/>
    <cellStyle name="Accent4 2" xfId="106"/>
    <cellStyle name="Accent4 3" xfId="107"/>
    <cellStyle name="Accent4 4" xfId="108"/>
    <cellStyle name="Accent4 5" xfId="109"/>
    <cellStyle name="Accent4 6" xfId="110"/>
    <cellStyle name="Accent5 2" xfId="111"/>
    <cellStyle name="Accent5 3" xfId="112"/>
    <cellStyle name="Accent5 4" xfId="113"/>
    <cellStyle name="Accent5 5" xfId="114"/>
    <cellStyle name="Accent5 6" xfId="115"/>
    <cellStyle name="Accent6 2" xfId="116"/>
    <cellStyle name="Accent6 3" xfId="117"/>
    <cellStyle name="Accent6 4" xfId="118"/>
    <cellStyle name="Accent6 5" xfId="119"/>
    <cellStyle name="Accent6 6" xfId="120"/>
    <cellStyle name="Bad 2" xfId="121"/>
    <cellStyle name="Bad 3" xfId="122"/>
    <cellStyle name="Bad 4" xfId="123"/>
    <cellStyle name="Bad 5" xfId="124"/>
    <cellStyle name="Bad 6" xfId="125"/>
    <cellStyle name="Calculation 2" xfId="126"/>
    <cellStyle name="Calculation 3" xfId="127"/>
    <cellStyle name="Calculation 4" xfId="128"/>
    <cellStyle name="Calculation 5" xfId="129"/>
    <cellStyle name="Calculation 6" xfId="130"/>
    <cellStyle name="Check Cell 2" xfId="131"/>
    <cellStyle name="Check Cell 3" xfId="132"/>
    <cellStyle name="Check Cell 4" xfId="133"/>
    <cellStyle name="Check Cell 5" xfId="134"/>
    <cellStyle name="Check Cell 6" xfId="135"/>
    <cellStyle name="Comma" xfId="136" builtinId="3"/>
    <cellStyle name="Comma 2" xfId="137"/>
    <cellStyle name="Comma 2 2" xfId="234"/>
    <cellStyle name="Comma 2 3" xfId="265"/>
    <cellStyle name="Comma 2 4" xfId="270"/>
    <cellStyle name="Explanatory Text 2" xfId="138"/>
    <cellStyle name="Explanatory Text 3" xfId="139"/>
    <cellStyle name="Explanatory Text 4" xfId="140"/>
    <cellStyle name="Explanatory Text 5" xfId="141"/>
    <cellStyle name="Explanatory Text 6" xfId="142"/>
    <cellStyle name="Followed Hyperlink 2" xfId="143"/>
    <cellStyle name="Followed Hyperlink 3" xfId="144"/>
    <cellStyle name="Followed Hyperlink 4" xfId="145"/>
    <cellStyle name="Followed Hyperlink 5" xfId="146"/>
    <cellStyle name="Followed Hyperlink 6" xfId="147"/>
    <cellStyle name="Good 2" xfId="148"/>
    <cellStyle name="Good 3" xfId="149"/>
    <cellStyle name="Good 4" xfId="150"/>
    <cellStyle name="Good 5" xfId="151"/>
    <cellStyle name="Good 6" xfId="152"/>
    <cellStyle name="Heading 1 2" xfId="153"/>
    <cellStyle name="Heading 1 3" xfId="154"/>
    <cellStyle name="Heading 1 4" xfId="155"/>
    <cellStyle name="Heading 1 5" xfId="156"/>
    <cellStyle name="Heading 1 6" xfId="157"/>
    <cellStyle name="Heading 2 2" xfId="158"/>
    <cellStyle name="Heading 2 3" xfId="159"/>
    <cellStyle name="Heading 2 4" xfId="160"/>
    <cellStyle name="Heading 2 5" xfId="161"/>
    <cellStyle name="Heading 2 6" xfId="162"/>
    <cellStyle name="Heading 3 2" xfId="163"/>
    <cellStyle name="Heading 3 3" xfId="164"/>
    <cellStyle name="Heading 3 4" xfId="165"/>
    <cellStyle name="Heading 3 5" xfId="166"/>
    <cellStyle name="Heading 3 6" xfId="167"/>
    <cellStyle name="Heading 4 2" xfId="168"/>
    <cellStyle name="Heading 4 3" xfId="169"/>
    <cellStyle name="Heading 4 4" xfId="170"/>
    <cellStyle name="Heading 4 5" xfId="171"/>
    <cellStyle name="Heading 4 6" xfId="172"/>
    <cellStyle name="Hyperlink" xfId="173" builtinId="8"/>
    <cellStyle name="Hyperlink 2" xfId="174"/>
    <cellStyle name="Hyperlink 3" xfId="175"/>
    <cellStyle name="Hyperlink 4" xfId="176"/>
    <cellStyle name="Hyperlink 5" xfId="177"/>
    <cellStyle name="Hyperlink 6" xfId="178"/>
    <cellStyle name="Input 2" xfId="179"/>
    <cellStyle name="Input 3" xfId="180"/>
    <cellStyle name="Input 4" xfId="181"/>
    <cellStyle name="Input 5" xfId="182"/>
    <cellStyle name="Input 6" xfId="183"/>
    <cellStyle name="Linked Cell 2" xfId="184"/>
    <cellStyle name="Linked Cell 3" xfId="185"/>
    <cellStyle name="Linked Cell 4" xfId="186"/>
    <cellStyle name="Linked Cell 5" xfId="187"/>
    <cellStyle name="Linked Cell 6" xfId="188"/>
    <cellStyle name="Millares 10" xfId="249"/>
    <cellStyle name="Millares 8" xfId="252"/>
    <cellStyle name="Millares 9" xfId="250"/>
    <cellStyle name="Neutral 2" xfId="189"/>
    <cellStyle name="Neutral 3" xfId="190"/>
    <cellStyle name="Neutral 4" xfId="191"/>
    <cellStyle name="Neutral 5" xfId="192"/>
    <cellStyle name="Neutral 6" xfId="193"/>
    <cellStyle name="Normal" xfId="0" builtinId="0"/>
    <cellStyle name="Normal 10" xfId="194"/>
    <cellStyle name="Normal 10 2" xfId="235"/>
    <cellStyle name="Normal 11" xfId="261"/>
    <cellStyle name="Normal 12" xfId="264"/>
    <cellStyle name="Normal 13" xfId="195"/>
    <cellStyle name="Normal 13 2" xfId="236"/>
    <cellStyle name="Normal 138" xfId="254"/>
    <cellStyle name="Normal 139" xfId="255"/>
    <cellStyle name="Normal 14" xfId="232"/>
    <cellStyle name="Normal 14 2" xfId="247"/>
    <cellStyle name="Normal 14 3" xfId="271"/>
    <cellStyle name="Normal 15" xfId="272"/>
    <cellStyle name="Normal 16" xfId="273"/>
    <cellStyle name="Normal 17" xfId="276"/>
    <cellStyle name="Normal 18" xfId="274"/>
    <cellStyle name="Normal 2" xfId="196"/>
    <cellStyle name="Normal 2 10" xfId="269"/>
    <cellStyle name="Normal 2 2" xfId="197"/>
    <cellStyle name="Normal 2 2 2" xfId="237"/>
    <cellStyle name="Normal 2 3" xfId="233"/>
    <cellStyle name="Normal 2 3 2" xfId="257"/>
    <cellStyle name="Normal 2 4" xfId="260"/>
    <cellStyle name="Normal 2 5" xfId="263"/>
    <cellStyle name="Normal 2 6" xfId="266"/>
    <cellStyle name="Normal 2 7" xfId="275"/>
    <cellStyle name="Normal 2 8" xfId="267"/>
    <cellStyle name="Normal 2 9" xfId="268"/>
    <cellStyle name="Normal 20" xfId="198"/>
    <cellStyle name="Normal 20 2" xfId="238"/>
    <cellStyle name="Normal 3 2" xfId="199"/>
    <cellStyle name="Normal 3 2 2" xfId="239"/>
    <cellStyle name="Normal 3 3" xfId="248"/>
    <cellStyle name="Normal 3 4" xfId="259"/>
    <cellStyle name="Normal 3 5" xfId="262"/>
    <cellStyle name="Normal 4" xfId="251"/>
    <cellStyle name="Normal 4 2" xfId="200"/>
    <cellStyle name="Normal 4 2 2" xfId="240"/>
    <cellStyle name="Normal 5" xfId="258"/>
    <cellStyle name="Normal 5 2" xfId="201"/>
    <cellStyle name="Normal 5 2 2" xfId="241"/>
    <cellStyle name="Normal 51" xfId="256"/>
    <cellStyle name="Normal 55" xfId="253"/>
    <cellStyle name="Normal 6" xfId="202"/>
    <cellStyle name="Normal 6 2" xfId="203"/>
    <cellStyle name="Normal 6 2 2" xfId="243"/>
    <cellStyle name="Normal 6 3" xfId="242"/>
    <cellStyle name="Normal 7" xfId="204"/>
    <cellStyle name="Normal 7 2" xfId="244"/>
    <cellStyle name="Normal 8" xfId="205"/>
    <cellStyle name="Normal 8 2" xfId="245"/>
    <cellStyle name="Normal 9" xfId="206"/>
    <cellStyle name="Normal 9 2" xfId="246"/>
    <cellStyle name="Note 2" xfId="207"/>
    <cellStyle name="Note 3" xfId="208"/>
    <cellStyle name="Note 4" xfId="209"/>
    <cellStyle name="Note 5" xfId="210"/>
    <cellStyle name="Note 6" xfId="211"/>
    <cellStyle name="Output 2" xfId="212"/>
    <cellStyle name="Output 3" xfId="213"/>
    <cellStyle name="Output 4" xfId="214"/>
    <cellStyle name="Output 5" xfId="215"/>
    <cellStyle name="Output 6" xfId="216"/>
    <cellStyle name="Title 2" xfId="217"/>
    <cellStyle name="Title 3" xfId="218"/>
    <cellStyle name="Title 4" xfId="219"/>
    <cellStyle name="Title 5" xfId="220"/>
    <cellStyle name="Title 6" xfId="221"/>
    <cellStyle name="Total 2" xfId="222"/>
    <cellStyle name="Total 3" xfId="223"/>
    <cellStyle name="Total 4" xfId="224"/>
    <cellStyle name="Total 5" xfId="225"/>
    <cellStyle name="Total 6" xfId="226"/>
    <cellStyle name="Warning Text 2" xfId="227"/>
    <cellStyle name="Warning Text 3" xfId="228"/>
    <cellStyle name="Warning Text 4" xfId="229"/>
    <cellStyle name="Warning Text 5" xfId="230"/>
    <cellStyle name="Warning Text 6" xfId="231"/>
  </cellStyles>
  <dxfs count="4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numFmt numFmtId="165" formatCode="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scheme val="none"/>
      </font>
      <numFmt numFmtId="165" formatCode="0.0"/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639126</xdr:colOff>
      <xdr:row>53</xdr:row>
      <xdr:rowOff>59532</xdr:rowOff>
    </xdr:from>
    <xdr:to>
      <xdr:col>7</xdr:col>
      <xdr:colOff>369094</xdr:colOff>
      <xdr:row>61</xdr:row>
      <xdr:rowOff>142875</xdr:rowOff>
    </xdr:to>
    <xdr:pic>
      <xdr:nvPicPr>
        <xdr:cNvPr id="4" name="Picture 1562">
          <a:extLst>
            <a:ext uri="{FF2B5EF4-FFF2-40B4-BE49-F238E27FC236}">
              <a16:creationId xmlns:a16="http://schemas.microsoft.com/office/drawing/2014/main" id="{00000000-0008-0000-0000-0000022D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6970" y="14311313"/>
          <a:ext cx="1515905" cy="17383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106889</xdr:colOff>
      <xdr:row>5</xdr:row>
      <xdr:rowOff>0</xdr:rowOff>
    </xdr:from>
    <xdr:to>
      <xdr:col>10</xdr:col>
      <xdr:colOff>149680</xdr:colOff>
      <xdr:row>31</xdr:row>
      <xdr:rowOff>27215</xdr:rowOff>
    </xdr:to>
    <xdr:grpSp>
      <xdr:nvGrpSpPr>
        <xdr:cNvPr id="1266" name="docshapegroup1"/>
        <xdr:cNvGrpSpPr>
          <a:grpSpLocks/>
        </xdr:cNvGrpSpPr>
      </xdr:nvGrpSpPr>
      <xdr:grpSpPr bwMode="auto">
        <a:xfrm>
          <a:off x="392639" y="857250"/>
          <a:ext cx="5510141" cy="6904265"/>
          <a:chOff x="107" y="442"/>
          <a:chExt cx="11460" cy="14040"/>
        </a:xfrm>
      </xdr:grpSpPr>
      <xdr:pic>
        <xdr:nvPicPr>
          <xdr:cNvPr id="1267" name="docshape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623" y="442"/>
            <a:ext cx="10944" cy="1404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8" name="docshape3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3458" y="12621"/>
            <a:ext cx="3001" cy="4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9" name="docshape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6640" y="12621"/>
            <a:ext cx="377" cy="36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0" name="docshape5"/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065" y="12726"/>
            <a:ext cx="269" cy="2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1" name="docshape6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7363" y="12726"/>
            <a:ext cx="304" cy="2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2" name="docshape7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7704" y="12621"/>
            <a:ext cx="326" cy="36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3" name="docshape8"/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4923" y="10825"/>
            <a:ext cx="1642" cy="16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4" name="docshape9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62" y="1792"/>
            <a:ext cx="3687" cy="5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5" name="docshape10"/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/>
          <a:srcRect/>
          <a:stretch>
            <a:fillRect/>
          </a:stretch>
        </xdr:blipFill>
        <xdr:spPr bwMode="auto">
          <a:xfrm>
            <a:off x="6133" y="1792"/>
            <a:ext cx="2837" cy="60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76" name="docshape11"/>
          <xdr:cNvSpPr>
            <a:spLocks/>
          </xdr:cNvSpPr>
        </xdr:nvSpPr>
        <xdr:spPr bwMode="auto">
          <a:xfrm>
            <a:off x="4381" y="1146"/>
            <a:ext cx="457" cy="357"/>
          </a:xfrm>
          <a:custGeom>
            <a:avLst/>
            <a:gdLst/>
            <a:ahLst/>
            <a:cxnLst>
              <a:cxn ang="0">
                <a:pos x="456" y="0"/>
              </a:cxn>
              <a:cxn ang="0">
                <a:pos x="312" y="0"/>
              </a:cxn>
              <a:cxn ang="0">
                <a:pos x="228" y="243"/>
              </a:cxn>
              <a:cxn ang="0">
                <a:pos x="143" y="0"/>
              </a:cxn>
              <a:cxn ang="0">
                <a:pos x="0" y="0"/>
              </a:cxn>
              <a:cxn ang="0">
                <a:pos x="0" y="356"/>
              </a:cxn>
              <a:cxn ang="0">
                <a:pos x="88" y="356"/>
              </a:cxn>
              <a:cxn ang="0">
                <a:pos x="89" y="75"/>
              </a:cxn>
              <a:cxn ang="0">
                <a:pos x="182" y="356"/>
              </a:cxn>
              <a:cxn ang="0">
                <a:pos x="274" y="356"/>
              </a:cxn>
              <a:cxn ang="0">
                <a:pos x="367" y="75"/>
              </a:cxn>
              <a:cxn ang="0">
                <a:pos x="368" y="356"/>
              </a:cxn>
              <a:cxn ang="0">
                <a:pos x="456" y="356"/>
              </a:cxn>
              <a:cxn ang="0">
                <a:pos x="456" y="0"/>
              </a:cxn>
            </a:cxnLst>
            <a:rect l="0" t="0" r="r" b="b"/>
            <a:pathLst>
              <a:path w="457" h="357">
                <a:moveTo>
                  <a:pt x="456" y="0"/>
                </a:moveTo>
                <a:lnTo>
                  <a:pt x="312" y="0"/>
                </a:lnTo>
                <a:lnTo>
                  <a:pt x="228" y="243"/>
                </a:lnTo>
                <a:lnTo>
                  <a:pt x="143" y="0"/>
                </a:lnTo>
                <a:lnTo>
                  <a:pt x="0" y="0"/>
                </a:lnTo>
                <a:lnTo>
                  <a:pt x="0" y="356"/>
                </a:lnTo>
                <a:lnTo>
                  <a:pt x="88" y="356"/>
                </a:lnTo>
                <a:lnTo>
                  <a:pt x="89" y="75"/>
                </a:lnTo>
                <a:lnTo>
                  <a:pt x="182" y="356"/>
                </a:lnTo>
                <a:lnTo>
                  <a:pt x="274" y="356"/>
                </a:lnTo>
                <a:lnTo>
                  <a:pt x="367" y="75"/>
                </a:lnTo>
                <a:lnTo>
                  <a:pt x="368" y="356"/>
                </a:lnTo>
                <a:lnTo>
                  <a:pt x="456" y="356"/>
                </a:lnTo>
                <a:lnTo>
                  <a:pt x="456" y="0"/>
                </a:lnTo>
                <a:close/>
              </a:path>
            </a:pathLst>
          </a:custGeom>
          <a:solidFill>
            <a:srgbClr val="FFE22B"/>
          </a:solidFill>
          <a:ln w="9525">
            <a:noFill/>
            <a:round/>
            <a:headEnd/>
            <a:tailEnd/>
          </a:ln>
        </xdr:spPr>
      </xdr:sp>
      <xdr:pic>
        <xdr:nvPicPr>
          <xdr:cNvPr id="1277" name="docshape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/>
          <a:srcRect/>
          <a:stretch>
            <a:fillRect/>
          </a:stretch>
        </xdr:blipFill>
        <xdr:spPr bwMode="auto">
          <a:xfrm>
            <a:off x="4927" y="1239"/>
            <a:ext cx="353" cy="27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8" name="docshape13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/>
          <a:srcRect/>
          <a:stretch>
            <a:fillRect/>
          </a:stretch>
        </xdr:blipFill>
        <xdr:spPr bwMode="auto">
          <a:xfrm>
            <a:off x="5752" y="1153"/>
            <a:ext cx="202" cy="3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79" name="docshape14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/>
          <a:srcRect/>
          <a:stretch>
            <a:fillRect/>
          </a:stretch>
        </xdr:blipFill>
        <xdr:spPr bwMode="auto">
          <a:xfrm>
            <a:off x="5368" y="1239"/>
            <a:ext cx="312" cy="2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80" name="docshape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4"/>
          <a:srcRect/>
          <a:stretch>
            <a:fillRect/>
          </a:stretch>
        </xdr:blipFill>
        <xdr:spPr bwMode="auto">
          <a:xfrm>
            <a:off x="6025" y="1146"/>
            <a:ext cx="312" cy="3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81" name="docshape16"/>
          <xdr:cNvSpPr>
            <a:spLocks noChangeArrowheads="1"/>
          </xdr:cNvSpPr>
        </xdr:nvSpPr>
        <xdr:spPr bwMode="auto">
          <a:xfrm>
            <a:off x="6447" y="1146"/>
            <a:ext cx="91" cy="357"/>
          </a:xfrm>
          <a:prstGeom prst="rect">
            <a:avLst/>
          </a:prstGeom>
          <a:solidFill>
            <a:srgbClr val="FFE22B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282" name="docshape17"/>
          <xdr:cNvPicPr>
            <a:picLocks noChangeAspect="1" noChangeArrowheads="1"/>
          </xdr:cNvPicPr>
        </xdr:nvPicPr>
        <xdr:blipFill>
          <a:blip xmlns:r="http://schemas.openxmlformats.org/officeDocument/2006/relationships" r:embed="rId15"/>
          <a:srcRect/>
          <a:stretch>
            <a:fillRect/>
          </a:stretch>
        </xdr:blipFill>
        <xdr:spPr bwMode="auto">
          <a:xfrm>
            <a:off x="4168" y="2668"/>
            <a:ext cx="394" cy="3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83" name="docshape18"/>
          <xdr:cNvPicPr>
            <a:picLocks noChangeAspect="1" noChangeArrowheads="1"/>
          </xdr:cNvPicPr>
        </xdr:nvPicPr>
        <xdr:blipFill>
          <a:blip xmlns:r="http://schemas.openxmlformats.org/officeDocument/2006/relationships" r:embed="rId16"/>
          <a:srcRect/>
          <a:stretch>
            <a:fillRect/>
          </a:stretch>
        </xdr:blipFill>
        <xdr:spPr bwMode="auto">
          <a:xfrm>
            <a:off x="6604" y="1244"/>
            <a:ext cx="353" cy="3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84" name="docshape19"/>
          <xdr:cNvSpPr>
            <a:spLocks/>
          </xdr:cNvSpPr>
        </xdr:nvSpPr>
        <xdr:spPr bwMode="auto">
          <a:xfrm>
            <a:off x="4168" y="2668"/>
            <a:ext cx="394" cy="353"/>
          </a:xfrm>
          <a:custGeom>
            <a:avLst/>
            <a:gdLst/>
            <a:ahLst/>
            <a:cxnLst>
              <a:cxn ang="0">
                <a:pos x="79" y="353"/>
              </a:cxn>
              <a:cxn ang="0">
                <a:pos x="39" y="353"/>
              </a:cxn>
              <a:cxn ang="0">
                <a:pos x="0" y="353"/>
              </a:cxn>
              <a:cxn ang="0">
                <a:pos x="0" y="0"/>
              </a:cxn>
              <a:cxn ang="0">
                <a:pos x="62" y="0"/>
              </a:cxn>
              <a:cxn ang="0">
                <a:pos x="124" y="0"/>
              </a:cxn>
              <a:cxn ang="0">
                <a:pos x="198" y="280"/>
              </a:cxn>
              <a:cxn ang="0">
                <a:pos x="271" y="0"/>
              </a:cxn>
              <a:cxn ang="0">
                <a:pos x="332" y="0"/>
              </a:cxn>
              <a:cxn ang="0">
                <a:pos x="393" y="0"/>
              </a:cxn>
              <a:cxn ang="0">
                <a:pos x="393" y="353"/>
              </a:cxn>
              <a:cxn ang="0">
                <a:pos x="354" y="353"/>
              </a:cxn>
              <a:cxn ang="0">
                <a:pos x="314" y="353"/>
              </a:cxn>
              <a:cxn ang="0">
                <a:pos x="314" y="57"/>
              </a:cxn>
              <a:cxn ang="0">
                <a:pos x="238" y="353"/>
              </a:cxn>
              <a:cxn ang="0">
                <a:pos x="196" y="353"/>
              </a:cxn>
              <a:cxn ang="0">
                <a:pos x="155" y="353"/>
              </a:cxn>
              <a:cxn ang="0">
                <a:pos x="79" y="50"/>
              </a:cxn>
              <a:cxn ang="0">
                <a:pos x="79" y="353"/>
              </a:cxn>
            </a:cxnLst>
            <a:rect l="0" t="0" r="r" b="b"/>
            <a:pathLst>
              <a:path w="394" h="353">
                <a:moveTo>
                  <a:pt x="79" y="353"/>
                </a:moveTo>
                <a:lnTo>
                  <a:pt x="39" y="353"/>
                </a:lnTo>
                <a:lnTo>
                  <a:pt x="0" y="353"/>
                </a:lnTo>
                <a:lnTo>
                  <a:pt x="0" y="0"/>
                </a:lnTo>
                <a:lnTo>
                  <a:pt x="62" y="0"/>
                </a:lnTo>
                <a:lnTo>
                  <a:pt x="124" y="0"/>
                </a:lnTo>
                <a:lnTo>
                  <a:pt x="198" y="280"/>
                </a:lnTo>
                <a:lnTo>
                  <a:pt x="271" y="0"/>
                </a:lnTo>
                <a:lnTo>
                  <a:pt x="332" y="0"/>
                </a:lnTo>
                <a:lnTo>
                  <a:pt x="393" y="0"/>
                </a:lnTo>
                <a:lnTo>
                  <a:pt x="393" y="353"/>
                </a:lnTo>
                <a:lnTo>
                  <a:pt x="354" y="353"/>
                </a:lnTo>
                <a:lnTo>
                  <a:pt x="314" y="353"/>
                </a:lnTo>
                <a:lnTo>
                  <a:pt x="314" y="57"/>
                </a:lnTo>
                <a:lnTo>
                  <a:pt x="238" y="353"/>
                </a:lnTo>
                <a:lnTo>
                  <a:pt x="196" y="353"/>
                </a:lnTo>
                <a:lnTo>
                  <a:pt x="155" y="353"/>
                </a:lnTo>
                <a:lnTo>
                  <a:pt x="79" y="50"/>
                </a:lnTo>
                <a:lnTo>
                  <a:pt x="79" y="353"/>
                </a:lnTo>
                <a:close/>
              </a:path>
            </a:pathLst>
          </a:custGeom>
          <a:noFill/>
          <a:ln w="9525">
            <a:solidFill>
              <a:srgbClr val="FFE22B"/>
            </a:solidFill>
            <a:prstDash val="solid"/>
            <a:round/>
            <a:headEnd/>
            <a:tailEnd/>
          </a:ln>
        </xdr:spPr>
      </xdr:sp>
      <xdr:pic>
        <xdr:nvPicPr>
          <xdr:cNvPr id="1285" name="docshape20"/>
          <xdr:cNvPicPr>
            <a:picLocks noChangeAspect="1" noChangeArrowheads="1"/>
          </xdr:cNvPicPr>
        </xdr:nvPicPr>
        <xdr:blipFill>
          <a:blip xmlns:r="http://schemas.openxmlformats.org/officeDocument/2006/relationships" r:embed="rId17"/>
          <a:srcRect/>
          <a:stretch>
            <a:fillRect/>
          </a:stretch>
        </xdr:blipFill>
        <xdr:spPr bwMode="auto">
          <a:xfrm>
            <a:off x="4609" y="2745"/>
            <a:ext cx="297" cy="2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86" name="docshape21"/>
          <xdr:cNvPicPr>
            <a:picLocks noChangeAspect="1" noChangeArrowheads="1"/>
          </xdr:cNvPicPr>
        </xdr:nvPicPr>
        <xdr:blipFill>
          <a:blip xmlns:r="http://schemas.openxmlformats.org/officeDocument/2006/relationships" r:embed="rId18"/>
          <a:srcRect/>
          <a:stretch>
            <a:fillRect/>
          </a:stretch>
        </xdr:blipFill>
        <xdr:spPr bwMode="auto">
          <a:xfrm>
            <a:off x="4943" y="2745"/>
            <a:ext cx="495" cy="2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87" name="docshape22"/>
          <xdr:cNvPicPr>
            <a:picLocks noChangeAspect="1" noChangeArrowheads="1"/>
          </xdr:cNvPicPr>
        </xdr:nvPicPr>
        <xdr:blipFill>
          <a:blip xmlns:r="http://schemas.openxmlformats.org/officeDocument/2006/relationships" r:embed="rId19"/>
          <a:srcRect/>
          <a:stretch>
            <a:fillRect/>
          </a:stretch>
        </xdr:blipFill>
        <xdr:spPr bwMode="auto">
          <a:xfrm>
            <a:off x="5478" y="2660"/>
            <a:ext cx="287" cy="36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88" name="docshape23"/>
          <xdr:cNvPicPr>
            <a:picLocks noChangeAspect="1" noChangeArrowheads="1"/>
          </xdr:cNvPicPr>
        </xdr:nvPicPr>
        <xdr:blipFill>
          <a:blip xmlns:r="http://schemas.openxmlformats.org/officeDocument/2006/relationships" r:embed="rId20"/>
          <a:srcRect/>
          <a:stretch>
            <a:fillRect/>
          </a:stretch>
        </xdr:blipFill>
        <xdr:spPr bwMode="auto">
          <a:xfrm>
            <a:off x="5958" y="2663"/>
            <a:ext cx="1238" cy="3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89" name="docshape24"/>
          <xdr:cNvPicPr>
            <a:picLocks noChangeAspect="1" noChangeArrowheads="1"/>
          </xdr:cNvPicPr>
        </xdr:nvPicPr>
        <xdr:blipFill>
          <a:blip xmlns:r="http://schemas.openxmlformats.org/officeDocument/2006/relationships" r:embed="rId21"/>
          <a:srcRect/>
          <a:stretch>
            <a:fillRect/>
          </a:stretch>
        </xdr:blipFill>
        <xdr:spPr bwMode="auto">
          <a:xfrm>
            <a:off x="176" y="2769"/>
            <a:ext cx="209" cy="2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0" name="docshape25"/>
          <xdr:cNvPicPr>
            <a:picLocks noChangeAspect="1" noChangeArrowheads="1"/>
          </xdr:cNvPicPr>
        </xdr:nvPicPr>
        <xdr:blipFill>
          <a:blip xmlns:r="http://schemas.openxmlformats.org/officeDocument/2006/relationships" r:embed="rId22"/>
          <a:srcRect/>
          <a:stretch>
            <a:fillRect/>
          </a:stretch>
        </xdr:blipFill>
        <xdr:spPr bwMode="auto">
          <a:xfrm>
            <a:off x="172" y="3045"/>
            <a:ext cx="157" cy="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1" name="docshape26"/>
          <xdr:cNvPicPr>
            <a:picLocks noChangeAspect="1" noChangeArrowheads="1"/>
          </xdr:cNvPicPr>
        </xdr:nvPicPr>
        <xdr:blipFill>
          <a:blip xmlns:r="http://schemas.openxmlformats.org/officeDocument/2006/relationships" r:embed="rId23"/>
          <a:srcRect/>
          <a:stretch>
            <a:fillRect/>
          </a:stretch>
        </xdr:blipFill>
        <xdr:spPr bwMode="auto">
          <a:xfrm>
            <a:off x="173" y="3249"/>
            <a:ext cx="197" cy="2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2" name="docshape27"/>
          <xdr:cNvPicPr>
            <a:picLocks noChangeAspect="1" noChangeArrowheads="1"/>
          </xdr:cNvPicPr>
        </xdr:nvPicPr>
        <xdr:blipFill>
          <a:blip xmlns:r="http://schemas.openxmlformats.org/officeDocument/2006/relationships" r:embed="rId24"/>
          <a:srcRect/>
          <a:stretch>
            <a:fillRect/>
          </a:stretch>
        </xdr:blipFill>
        <xdr:spPr bwMode="auto">
          <a:xfrm>
            <a:off x="176" y="3559"/>
            <a:ext cx="221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93" name="docshape28"/>
          <xdr:cNvSpPr>
            <a:spLocks/>
          </xdr:cNvSpPr>
        </xdr:nvSpPr>
        <xdr:spPr bwMode="auto">
          <a:xfrm>
            <a:off x="107" y="3753"/>
            <a:ext cx="289" cy="220"/>
          </a:xfrm>
          <a:custGeom>
            <a:avLst/>
            <a:gdLst/>
            <a:ahLst/>
            <a:cxnLst>
              <a:cxn ang="0">
                <a:pos x="218" y="60"/>
              </a:cxn>
              <a:cxn ang="0">
                <a:pos x="80" y="123"/>
              </a:cxn>
              <a:cxn ang="0">
                <a:pos x="74" y="125"/>
              </a:cxn>
              <a:cxn ang="0">
                <a:pos x="71" y="125"/>
              </a:cxn>
              <a:cxn ang="0">
                <a:pos x="52" y="116"/>
              </a:cxn>
              <a:cxn ang="0">
                <a:pos x="42" y="105"/>
              </a:cxn>
              <a:cxn ang="0">
                <a:pos x="29" y="88"/>
              </a:cxn>
              <a:cxn ang="0">
                <a:pos x="25" y="77"/>
              </a:cxn>
              <a:cxn ang="0">
                <a:pos x="23" y="70"/>
              </a:cxn>
              <a:cxn ang="0">
                <a:pos x="0" y="77"/>
              </a:cxn>
              <a:cxn ang="0">
                <a:pos x="1" y="84"/>
              </a:cxn>
              <a:cxn ang="0">
                <a:pos x="5" y="93"/>
              </a:cxn>
              <a:cxn ang="0">
                <a:pos x="10" y="104"/>
              </a:cxn>
              <a:cxn ang="0">
                <a:pos x="17" y="115"/>
              </a:cxn>
              <a:cxn ang="0">
                <a:pos x="32" y="130"/>
              </a:cxn>
              <a:cxn ang="0">
                <a:pos x="51" y="144"/>
              </a:cxn>
              <a:cxn ang="0">
                <a:pos x="77" y="158"/>
              </a:cxn>
              <a:cxn ang="0">
                <a:pos x="111" y="173"/>
              </a:cxn>
              <a:cxn ang="0">
                <a:pos x="218" y="220"/>
              </a:cxn>
              <a:cxn ang="0">
                <a:pos x="218" y="187"/>
              </a:cxn>
              <a:cxn ang="0">
                <a:pos x="119" y="149"/>
              </a:cxn>
              <a:cxn ang="0">
                <a:pos x="108" y="146"/>
              </a:cxn>
              <a:cxn ang="0">
                <a:pos x="99" y="143"/>
              </a:cxn>
              <a:cxn ang="0">
                <a:pos x="99" y="142"/>
              </a:cxn>
              <a:cxn ang="0">
                <a:pos x="108" y="139"/>
              </a:cxn>
              <a:cxn ang="0">
                <a:pos x="130" y="131"/>
              </a:cxn>
              <a:cxn ang="0">
                <a:pos x="218" y="94"/>
              </a:cxn>
              <a:cxn ang="0">
                <a:pos x="218" y="60"/>
              </a:cxn>
              <a:cxn ang="0">
                <a:pos x="288" y="0"/>
              </a:cxn>
              <a:cxn ang="0">
                <a:pos x="68" y="0"/>
              </a:cxn>
              <a:cxn ang="0">
                <a:pos x="68" y="31"/>
              </a:cxn>
              <a:cxn ang="0">
                <a:pos x="288" y="31"/>
              </a:cxn>
              <a:cxn ang="0">
                <a:pos x="288" y="0"/>
              </a:cxn>
            </a:cxnLst>
            <a:rect l="0" t="0" r="r" b="b"/>
            <a:pathLst>
              <a:path w="289" h="220">
                <a:moveTo>
                  <a:pt x="218" y="60"/>
                </a:moveTo>
                <a:lnTo>
                  <a:pt x="80" y="123"/>
                </a:lnTo>
                <a:lnTo>
                  <a:pt x="74" y="125"/>
                </a:lnTo>
                <a:lnTo>
                  <a:pt x="71" y="125"/>
                </a:lnTo>
                <a:lnTo>
                  <a:pt x="52" y="116"/>
                </a:lnTo>
                <a:lnTo>
                  <a:pt x="42" y="105"/>
                </a:lnTo>
                <a:lnTo>
                  <a:pt x="29" y="88"/>
                </a:lnTo>
                <a:lnTo>
                  <a:pt x="25" y="77"/>
                </a:lnTo>
                <a:lnTo>
                  <a:pt x="23" y="70"/>
                </a:lnTo>
                <a:lnTo>
                  <a:pt x="0" y="77"/>
                </a:lnTo>
                <a:lnTo>
                  <a:pt x="1" y="84"/>
                </a:lnTo>
                <a:lnTo>
                  <a:pt x="5" y="93"/>
                </a:lnTo>
                <a:lnTo>
                  <a:pt x="10" y="104"/>
                </a:lnTo>
                <a:lnTo>
                  <a:pt x="17" y="115"/>
                </a:lnTo>
                <a:lnTo>
                  <a:pt x="32" y="130"/>
                </a:lnTo>
                <a:lnTo>
                  <a:pt x="51" y="144"/>
                </a:lnTo>
                <a:lnTo>
                  <a:pt x="77" y="158"/>
                </a:lnTo>
                <a:lnTo>
                  <a:pt x="111" y="173"/>
                </a:lnTo>
                <a:lnTo>
                  <a:pt x="218" y="220"/>
                </a:lnTo>
                <a:lnTo>
                  <a:pt x="218" y="187"/>
                </a:lnTo>
                <a:lnTo>
                  <a:pt x="119" y="149"/>
                </a:lnTo>
                <a:lnTo>
                  <a:pt x="108" y="146"/>
                </a:lnTo>
                <a:lnTo>
                  <a:pt x="99" y="143"/>
                </a:lnTo>
                <a:lnTo>
                  <a:pt x="99" y="142"/>
                </a:lnTo>
                <a:lnTo>
                  <a:pt x="108" y="139"/>
                </a:lnTo>
                <a:lnTo>
                  <a:pt x="130" y="131"/>
                </a:lnTo>
                <a:lnTo>
                  <a:pt x="218" y="94"/>
                </a:lnTo>
                <a:lnTo>
                  <a:pt x="218" y="60"/>
                </a:lnTo>
                <a:close/>
                <a:moveTo>
                  <a:pt x="288" y="0"/>
                </a:moveTo>
                <a:lnTo>
                  <a:pt x="68" y="0"/>
                </a:lnTo>
                <a:lnTo>
                  <a:pt x="68" y="31"/>
                </a:lnTo>
                <a:lnTo>
                  <a:pt x="288" y="31"/>
                </a:lnTo>
                <a:lnTo>
                  <a:pt x="288" y="0"/>
                </a:lnTo>
                <a:close/>
              </a:path>
            </a:pathLst>
          </a:custGeom>
          <a:solidFill>
            <a:srgbClr val="007091"/>
          </a:solidFill>
          <a:ln w="9525">
            <a:noFill/>
            <a:round/>
            <a:headEnd/>
            <a:tailEnd/>
          </a:ln>
        </xdr:spPr>
      </xdr:sp>
      <xdr:pic>
        <xdr:nvPicPr>
          <xdr:cNvPr id="1294" name="docshape29"/>
          <xdr:cNvPicPr>
            <a:picLocks noChangeAspect="1" noChangeArrowheads="1"/>
          </xdr:cNvPicPr>
        </xdr:nvPicPr>
        <xdr:blipFill>
          <a:blip xmlns:r="http://schemas.openxmlformats.org/officeDocument/2006/relationships" r:embed="rId25"/>
          <a:srcRect/>
          <a:stretch>
            <a:fillRect/>
          </a:stretch>
        </xdr:blipFill>
        <xdr:spPr bwMode="auto">
          <a:xfrm>
            <a:off x="172" y="4076"/>
            <a:ext cx="213" cy="4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5" name="docshape30"/>
          <xdr:cNvPicPr>
            <a:picLocks noChangeAspect="1" noChangeArrowheads="1"/>
          </xdr:cNvPicPr>
        </xdr:nvPicPr>
        <xdr:blipFill>
          <a:blip xmlns:r="http://schemas.openxmlformats.org/officeDocument/2006/relationships" r:embed="rId26"/>
          <a:srcRect/>
          <a:stretch>
            <a:fillRect/>
          </a:stretch>
        </xdr:blipFill>
        <xdr:spPr bwMode="auto">
          <a:xfrm>
            <a:off x="176" y="4592"/>
            <a:ext cx="154" cy="1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6" name="docshape31"/>
          <xdr:cNvPicPr>
            <a:picLocks noChangeAspect="1" noChangeArrowheads="1"/>
          </xdr:cNvPicPr>
        </xdr:nvPicPr>
        <xdr:blipFill>
          <a:blip xmlns:r="http://schemas.openxmlformats.org/officeDocument/2006/relationships" r:embed="rId27"/>
          <a:srcRect/>
          <a:stretch>
            <a:fillRect/>
          </a:stretch>
        </xdr:blipFill>
        <xdr:spPr bwMode="auto">
          <a:xfrm>
            <a:off x="172" y="4776"/>
            <a:ext cx="157" cy="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7" name="docshape32"/>
          <xdr:cNvPicPr>
            <a:picLocks noChangeAspect="1" noChangeArrowheads="1"/>
          </xdr:cNvPicPr>
        </xdr:nvPicPr>
        <xdr:blipFill>
          <a:blip xmlns:r="http://schemas.openxmlformats.org/officeDocument/2006/relationships" r:embed="rId28"/>
          <a:srcRect/>
          <a:stretch>
            <a:fillRect/>
          </a:stretch>
        </xdr:blipFill>
        <xdr:spPr bwMode="auto">
          <a:xfrm>
            <a:off x="176" y="4979"/>
            <a:ext cx="154" cy="2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98" name="docshape33"/>
          <xdr:cNvSpPr>
            <a:spLocks/>
          </xdr:cNvSpPr>
        </xdr:nvSpPr>
        <xdr:spPr bwMode="auto">
          <a:xfrm>
            <a:off x="176" y="5268"/>
            <a:ext cx="210" cy="39"/>
          </a:xfrm>
          <a:custGeom>
            <a:avLst/>
            <a:gdLst/>
            <a:ahLst/>
            <a:cxnLst>
              <a:cxn ang="0">
                <a:pos x="202" y="0"/>
              </a:cxn>
              <a:cxn ang="0">
                <a:pos x="183" y="0"/>
              </a:cxn>
              <a:cxn ang="0">
                <a:pos x="176" y="8"/>
              </a:cxn>
              <a:cxn ang="0">
                <a:pos x="176" y="31"/>
              </a:cxn>
              <a:cxn ang="0">
                <a:pos x="183" y="38"/>
              </a:cxn>
              <a:cxn ang="0">
                <a:pos x="192" y="38"/>
              </a:cxn>
              <a:cxn ang="0">
                <a:pos x="202" y="38"/>
              </a:cxn>
              <a:cxn ang="0">
                <a:pos x="209" y="31"/>
              </a:cxn>
              <a:cxn ang="0">
                <a:pos x="209" y="8"/>
              </a:cxn>
              <a:cxn ang="0">
                <a:pos x="202" y="0"/>
              </a:cxn>
              <a:cxn ang="0">
                <a:pos x="150" y="4"/>
              </a:cxn>
              <a:cxn ang="0">
                <a:pos x="0" y="4"/>
              </a:cxn>
              <a:cxn ang="0">
                <a:pos x="0" y="35"/>
              </a:cxn>
              <a:cxn ang="0">
                <a:pos x="150" y="35"/>
              </a:cxn>
              <a:cxn ang="0">
                <a:pos x="150" y="4"/>
              </a:cxn>
            </a:cxnLst>
            <a:rect l="0" t="0" r="r" b="b"/>
            <a:pathLst>
              <a:path w="210" h="39">
                <a:moveTo>
                  <a:pt x="202" y="0"/>
                </a:moveTo>
                <a:lnTo>
                  <a:pt x="183" y="0"/>
                </a:lnTo>
                <a:lnTo>
                  <a:pt x="176" y="8"/>
                </a:lnTo>
                <a:lnTo>
                  <a:pt x="176" y="31"/>
                </a:lnTo>
                <a:lnTo>
                  <a:pt x="183" y="38"/>
                </a:lnTo>
                <a:lnTo>
                  <a:pt x="192" y="38"/>
                </a:lnTo>
                <a:lnTo>
                  <a:pt x="202" y="38"/>
                </a:lnTo>
                <a:lnTo>
                  <a:pt x="209" y="31"/>
                </a:lnTo>
                <a:lnTo>
                  <a:pt x="209" y="8"/>
                </a:lnTo>
                <a:lnTo>
                  <a:pt x="202" y="0"/>
                </a:lnTo>
                <a:close/>
                <a:moveTo>
                  <a:pt x="150" y="4"/>
                </a:moveTo>
                <a:lnTo>
                  <a:pt x="0" y="4"/>
                </a:lnTo>
                <a:lnTo>
                  <a:pt x="0" y="35"/>
                </a:lnTo>
                <a:lnTo>
                  <a:pt x="150" y="35"/>
                </a:lnTo>
                <a:lnTo>
                  <a:pt x="150" y="4"/>
                </a:lnTo>
                <a:close/>
              </a:path>
            </a:pathLst>
          </a:custGeom>
          <a:solidFill>
            <a:srgbClr val="007091"/>
          </a:solidFill>
          <a:ln w="9525">
            <a:noFill/>
            <a:round/>
            <a:headEnd/>
            <a:tailEnd/>
          </a:ln>
        </xdr:spPr>
      </xdr:sp>
      <xdr:pic>
        <xdr:nvPicPr>
          <xdr:cNvPr id="1299" name="docshape34"/>
          <xdr:cNvPicPr>
            <a:picLocks noChangeAspect="1" noChangeArrowheads="1"/>
          </xdr:cNvPicPr>
        </xdr:nvPicPr>
        <xdr:blipFill>
          <a:blip xmlns:r="http://schemas.openxmlformats.org/officeDocument/2006/relationships" r:embed="rId29"/>
          <a:srcRect/>
          <a:stretch>
            <a:fillRect/>
          </a:stretch>
        </xdr:blipFill>
        <xdr:spPr bwMode="auto">
          <a:xfrm>
            <a:off x="173" y="5342"/>
            <a:ext cx="157" cy="1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0" name="docshape35"/>
          <xdr:cNvPicPr>
            <a:picLocks noChangeAspect="1" noChangeArrowheads="1"/>
          </xdr:cNvPicPr>
        </xdr:nvPicPr>
        <xdr:blipFill>
          <a:blip xmlns:r="http://schemas.openxmlformats.org/officeDocument/2006/relationships" r:embed="rId30"/>
          <a:srcRect/>
          <a:stretch>
            <a:fillRect/>
          </a:stretch>
        </xdr:blipFill>
        <xdr:spPr bwMode="auto">
          <a:xfrm>
            <a:off x="173" y="5559"/>
            <a:ext cx="213" cy="4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1" name="docshape36"/>
          <xdr:cNvPicPr>
            <a:picLocks noChangeAspect="1" noChangeArrowheads="1"/>
          </xdr:cNvPicPr>
        </xdr:nvPicPr>
        <xdr:blipFill>
          <a:blip xmlns:r="http://schemas.openxmlformats.org/officeDocument/2006/relationships" r:embed="rId31"/>
          <a:srcRect/>
          <a:stretch>
            <a:fillRect/>
          </a:stretch>
        </xdr:blipFill>
        <xdr:spPr bwMode="auto">
          <a:xfrm>
            <a:off x="176" y="6029"/>
            <a:ext cx="154" cy="1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2" name="docshape37"/>
          <xdr:cNvPicPr>
            <a:picLocks noChangeAspect="1" noChangeArrowheads="1"/>
          </xdr:cNvPicPr>
        </xdr:nvPicPr>
        <xdr:blipFill>
          <a:blip xmlns:r="http://schemas.openxmlformats.org/officeDocument/2006/relationships" r:embed="rId32"/>
          <a:srcRect/>
          <a:stretch>
            <a:fillRect/>
          </a:stretch>
        </xdr:blipFill>
        <xdr:spPr bwMode="auto">
          <a:xfrm>
            <a:off x="172" y="6212"/>
            <a:ext cx="224" cy="16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3" name="docshape38"/>
          <xdr:cNvPicPr>
            <a:picLocks noChangeAspect="1" noChangeArrowheads="1"/>
          </xdr:cNvPicPr>
        </xdr:nvPicPr>
        <xdr:blipFill>
          <a:blip xmlns:r="http://schemas.openxmlformats.org/officeDocument/2006/relationships" r:embed="rId33"/>
          <a:srcRect/>
          <a:stretch>
            <a:fillRect/>
          </a:stretch>
        </xdr:blipFill>
        <xdr:spPr bwMode="auto">
          <a:xfrm>
            <a:off x="173" y="6410"/>
            <a:ext cx="157" cy="1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4" name="docshape39"/>
          <xdr:cNvPicPr>
            <a:picLocks noChangeAspect="1" noChangeArrowheads="1"/>
          </xdr:cNvPicPr>
        </xdr:nvPicPr>
        <xdr:blipFill>
          <a:blip xmlns:r="http://schemas.openxmlformats.org/officeDocument/2006/relationships" r:embed="rId34"/>
          <a:srcRect/>
          <a:stretch>
            <a:fillRect/>
          </a:stretch>
        </xdr:blipFill>
        <xdr:spPr bwMode="auto">
          <a:xfrm>
            <a:off x="176" y="6854"/>
            <a:ext cx="187" cy="20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5" name="docshape40"/>
          <xdr:cNvPicPr>
            <a:picLocks noChangeAspect="1" noChangeArrowheads="1"/>
          </xdr:cNvPicPr>
        </xdr:nvPicPr>
        <xdr:blipFill>
          <a:blip xmlns:r="http://schemas.openxmlformats.org/officeDocument/2006/relationships" r:embed="rId35"/>
          <a:srcRect/>
          <a:stretch>
            <a:fillRect/>
          </a:stretch>
        </xdr:blipFill>
        <xdr:spPr bwMode="auto">
          <a:xfrm>
            <a:off x="173" y="7088"/>
            <a:ext cx="141" cy="14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6" name="docshape41"/>
          <xdr:cNvPicPr>
            <a:picLocks noChangeAspect="1" noChangeArrowheads="1"/>
          </xdr:cNvPicPr>
        </xdr:nvPicPr>
        <xdr:blipFill>
          <a:blip xmlns:r="http://schemas.openxmlformats.org/officeDocument/2006/relationships" r:embed="rId36"/>
          <a:srcRect/>
          <a:stretch>
            <a:fillRect/>
          </a:stretch>
        </xdr:blipFill>
        <xdr:spPr bwMode="auto">
          <a:xfrm>
            <a:off x="173" y="7259"/>
            <a:ext cx="190" cy="37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7" name="docshape42"/>
          <xdr:cNvPicPr>
            <a:picLocks noChangeAspect="1" noChangeArrowheads="1"/>
          </xdr:cNvPicPr>
        </xdr:nvPicPr>
        <xdr:blipFill>
          <a:blip xmlns:r="http://schemas.openxmlformats.org/officeDocument/2006/relationships" r:embed="rId37" cstate="print"/>
          <a:srcRect/>
          <a:stretch>
            <a:fillRect/>
          </a:stretch>
        </xdr:blipFill>
        <xdr:spPr bwMode="auto">
          <a:xfrm>
            <a:off x="173" y="7820"/>
            <a:ext cx="191" cy="6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8" name="docshape43"/>
          <xdr:cNvPicPr>
            <a:picLocks noChangeAspect="1" noChangeArrowheads="1"/>
          </xdr:cNvPicPr>
        </xdr:nvPicPr>
        <xdr:blipFill>
          <a:blip xmlns:r="http://schemas.openxmlformats.org/officeDocument/2006/relationships" r:embed="rId38"/>
          <a:srcRect/>
          <a:stretch>
            <a:fillRect/>
          </a:stretch>
        </xdr:blipFill>
        <xdr:spPr bwMode="auto">
          <a:xfrm>
            <a:off x="173" y="8793"/>
            <a:ext cx="190" cy="38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09" name="docshape44"/>
          <xdr:cNvPicPr>
            <a:picLocks noChangeAspect="1" noChangeArrowheads="1"/>
          </xdr:cNvPicPr>
        </xdr:nvPicPr>
        <xdr:blipFill>
          <a:blip xmlns:r="http://schemas.openxmlformats.org/officeDocument/2006/relationships" r:embed="rId39"/>
          <a:srcRect/>
          <a:stretch>
            <a:fillRect/>
          </a:stretch>
        </xdr:blipFill>
        <xdr:spPr bwMode="auto">
          <a:xfrm>
            <a:off x="173" y="9219"/>
            <a:ext cx="138" cy="1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10" name="docshape45"/>
          <xdr:cNvPicPr>
            <a:picLocks noChangeAspect="1" noChangeArrowheads="1"/>
          </xdr:cNvPicPr>
        </xdr:nvPicPr>
        <xdr:blipFill>
          <a:blip xmlns:r="http://schemas.openxmlformats.org/officeDocument/2006/relationships" r:embed="rId40"/>
          <a:srcRect/>
          <a:stretch>
            <a:fillRect/>
          </a:stretch>
        </xdr:blipFill>
        <xdr:spPr bwMode="auto">
          <a:xfrm>
            <a:off x="173" y="9383"/>
            <a:ext cx="141" cy="37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311" name="docshape46"/>
          <xdr:cNvSpPr>
            <a:spLocks/>
          </xdr:cNvSpPr>
        </xdr:nvSpPr>
        <xdr:spPr bwMode="auto">
          <a:xfrm>
            <a:off x="176" y="9875"/>
            <a:ext cx="187" cy="198"/>
          </a:xfrm>
          <a:custGeom>
            <a:avLst/>
            <a:gdLst/>
            <a:ahLst/>
            <a:cxnLst>
              <a:cxn ang="0">
                <a:pos x="186" y="170"/>
              </a:cxn>
              <a:cxn ang="0">
                <a:pos x="0" y="170"/>
              </a:cxn>
              <a:cxn ang="0">
                <a:pos x="0" y="197"/>
              </a:cxn>
              <a:cxn ang="0">
                <a:pos x="186" y="197"/>
              </a:cxn>
              <a:cxn ang="0">
                <a:pos x="186" y="170"/>
              </a:cxn>
              <a:cxn ang="0">
                <a:pos x="186" y="0"/>
              </a:cxn>
              <a:cxn ang="0">
                <a:pos x="0" y="0"/>
              </a:cxn>
              <a:cxn ang="0">
                <a:pos x="0" y="28"/>
              </a:cxn>
              <a:cxn ang="0">
                <a:pos x="0" y="132"/>
              </a:cxn>
              <a:cxn ang="0">
                <a:pos x="22" y="132"/>
              </a:cxn>
              <a:cxn ang="0">
                <a:pos x="22" y="28"/>
              </a:cxn>
              <a:cxn ang="0">
                <a:pos x="186" y="28"/>
              </a:cxn>
              <a:cxn ang="0">
                <a:pos x="186" y="0"/>
              </a:cxn>
            </a:cxnLst>
            <a:rect l="0" t="0" r="r" b="b"/>
            <a:pathLst>
              <a:path w="187" h="198">
                <a:moveTo>
                  <a:pt x="186" y="170"/>
                </a:moveTo>
                <a:lnTo>
                  <a:pt x="0" y="170"/>
                </a:lnTo>
                <a:lnTo>
                  <a:pt x="0" y="197"/>
                </a:lnTo>
                <a:lnTo>
                  <a:pt x="186" y="197"/>
                </a:lnTo>
                <a:lnTo>
                  <a:pt x="186" y="170"/>
                </a:lnTo>
                <a:close/>
                <a:moveTo>
                  <a:pt x="186" y="0"/>
                </a:moveTo>
                <a:lnTo>
                  <a:pt x="0" y="0"/>
                </a:lnTo>
                <a:lnTo>
                  <a:pt x="0" y="28"/>
                </a:lnTo>
                <a:lnTo>
                  <a:pt x="0" y="132"/>
                </a:lnTo>
                <a:lnTo>
                  <a:pt x="22" y="132"/>
                </a:lnTo>
                <a:lnTo>
                  <a:pt x="22" y="28"/>
                </a:lnTo>
                <a:lnTo>
                  <a:pt x="186" y="28"/>
                </a:lnTo>
                <a:lnTo>
                  <a:pt x="186" y="0"/>
                </a:lnTo>
                <a:close/>
              </a:path>
            </a:pathLst>
          </a:custGeom>
          <a:solidFill>
            <a:srgbClr val="007091"/>
          </a:solidFill>
          <a:ln w="9525">
            <a:noFill/>
            <a:round/>
            <a:headEnd/>
            <a:tailEnd/>
          </a:ln>
        </xdr:spPr>
      </xdr:sp>
      <xdr:pic>
        <xdr:nvPicPr>
          <xdr:cNvPr id="1312" name="docshape47"/>
          <xdr:cNvPicPr>
            <a:picLocks noChangeAspect="1" noChangeArrowheads="1"/>
          </xdr:cNvPicPr>
        </xdr:nvPicPr>
        <xdr:blipFill>
          <a:blip xmlns:r="http://schemas.openxmlformats.org/officeDocument/2006/relationships" r:embed="rId41"/>
          <a:srcRect/>
          <a:stretch>
            <a:fillRect/>
          </a:stretch>
        </xdr:blipFill>
        <xdr:spPr bwMode="auto">
          <a:xfrm>
            <a:off x="176" y="10447"/>
            <a:ext cx="187" cy="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13" name="docshape48"/>
          <xdr:cNvPicPr>
            <a:picLocks noChangeAspect="1" noChangeArrowheads="1"/>
          </xdr:cNvPicPr>
        </xdr:nvPicPr>
        <xdr:blipFill>
          <a:blip xmlns:r="http://schemas.openxmlformats.org/officeDocument/2006/relationships" r:embed="rId42" cstate="print"/>
          <a:srcRect/>
          <a:stretch>
            <a:fillRect/>
          </a:stretch>
        </xdr:blipFill>
        <xdr:spPr bwMode="auto">
          <a:xfrm>
            <a:off x="173" y="10647"/>
            <a:ext cx="141" cy="1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314" name="docshape49"/>
          <xdr:cNvSpPr>
            <a:spLocks noChangeArrowheads="1"/>
          </xdr:cNvSpPr>
        </xdr:nvSpPr>
        <xdr:spPr bwMode="auto">
          <a:xfrm>
            <a:off x="176" y="10827"/>
            <a:ext cx="27" cy="30"/>
          </a:xfrm>
          <a:prstGeom prst="rect">
            <a:avLst/>
          </a:prstGeom>
          <a:solidFill>
            <a:srgbClr val="007091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315" name="docshape50"/>
          <xdr:cNvPicPr>
            <a:picLocks noChangeAspect="1" noChangeArrowheads="1"/>
          </xdr:cNvPicPr>
        </xdr:nvPicPr>
        <xdr:blipFill>
          <a:blip xmlns:r="http://schemas.openxmlformats.org/officeDocument/2006/relationships" r:embed="rId43"/>
          <a:srcRect/>
          <a:stretch>
            <a:fillRect/>
          </a:stretch>
        </xdr:blipFill>
        <xdr:spPr bwMode="auto">
          <a:xfrm>
            <a:off x="172" y="10976"/>
            <a:ext cx="191" cy="30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</xdr:col>
      <xdr:colOff>95250</xdr:colOff>
      <xdr:row>4</xdr:row>
      <xdr:rowOff>190501</xdr:rowOff>
    </xdr:from>
    <xdr:to>
      <xdr:col>10</xdr:col>
      <xdr:colOff>152400</xdr:colOff>
      <xdr:row>31</xdr:row>
      <xdr:rowOff>142875</xdr:rowOff>
    </xdr:to>
    <xdr:grpSp>
      <xdr:nvGrpSpPr>
        <xdr:cNvPr id="1025" name="docshapegroup1"/>
        <xdr:cNvGrpSpPr>
          <a:grpSpLocks/>
        </xdr:cNvGrpSpPr>
      </xdr:nvGrpSpPr>
      <xdr:grpSpPr bwMode="auto">
        <a:xfrm>
          <a:off x="381000" y="838201"/>
          <a:ext cx="5524500" cy="7038974"/>
          <a:chOff x="0" y="0"/>
          <a:chExt cx="10944" cy="14177"/>
        </a:xfrm>
      </xdr:grpSpPr>
      <xdr:pic>
        <xdr:nvPicPr>
          <xdr:cNvPr id="1026" name="docshape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0" y="0"/>
            <a:ext cx="10944" cy="1417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7" name="docshape3"/>
          <xdr:cNvPicPr>
            <a:picLocks noChangeAspect="1" noChangeArrowheads="1"/>
          </xdr:cNvPicPr>
        </xdr:nvPicPr>
        <xdr:blipFill>
          <a:blip xmlns:r="http://schemas.openxmlformats.org/officeDocument/2006/relationships" r:embed="rId44"/>
          <a:srcRect/>
          <a:stretch>
            <a:fillRect/>
          </a:stretch>
        </xdr:blipFill>
        <xdr:spPr bwMode="auto">
          <a:xfrm>
            <a:off x="3458" y="12621"/>
            <a:ext cx="3001" cy="4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8" name="docshape4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6640" y="12621"/>
            <a:ext cx="377" cy="36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9" name="docshape5"/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065" y="12726"/>
            <a:ext cx="269" cy="26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0" name="docshape6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7363" y="12726"/>
            <a:ext cx="304" cy="2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1" name="docshape7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7704" y="12621"/>
            <a:ext cx="326" cy="36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2" name="docshape8"/>
          <xdr:cNvPicPr>
            <a:picLocks noChangeAspect="1" noChangeArrowheads="1"/>
          </xdr:cNvPicPr>
        </xdr:nvPicPr>
        <xdr:blipFill>
          <a:blip xmlns:r="http://schemas.openxmlformats.org/officeDocument/2006/relationships" r:embed="rId45" cstate="print"/>
          <a:srcRect/>
          <a:stretch>
            <a:fillRect/>
          </a:stretch>
        </xdr:blipFill>
        <xdr:spPr bwMode="auto">
          <a:xfrm>
            <a:off x="4923" y="10825"/>
            <a:ext cx="1642" cy="160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3" name="docshape9"/>
          <xdr:cNvPicPr>
            <a:picLocks noChangeAspect="1" noChangeArrowheads="1"/>
          </xdr:cNvPicPr>
        </xdr:nvPicPr>
        <xdr:blipFill>
          <a:blip xmlns:r="http://schemas.openxmlformats.org/officeDocument/2006/relationships" r:embed="rId46" cstate="print"/>
          <a:srcRect/>
          <a:stretch>
            <a:fillRect/>
          </a:stretch>
        </xdr:blipFill>
        <xdr:spPr bwMode="auto">
          <a:xfrm>
            <a:off x="2362" y="1792"/>
            <a:ext cx="3687" cy="5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4" name="docshape10"/>
          <xdr:cNvPicPr>
            <a:picLocks noChangeAspect="1" noChangeArrowheads="1"/>
          </xdr:cNvPicPr>
        </xdr:nvPicPr>
        <xdr:blipFill>
          <a:blip xmlns:r="http://schemas.openxmlformats.org/officeDocument/2006/relationships" r:embed="rId47" cstate="print"/>
          <a:srcRect/>
          <a:stretch>
            <a:fillRect/>
          </a:stretch>
        </xdr:blipFill>
        <xdr:spPr bwMode="auto">
          <a:xfrm>
            <a:off x="6133" y="1792"/>
            <a:ext cx="2837" cy="60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35" name="docshape11"/>
          <xdr:cNvSpPr>
            <a:spLocks/>
          </xdr:cNvSpPr>
        </xdr:nvSpPr>
        <xdr:spPr bwMode="auto">
          <a:xfrm>
            <a:off x="4381" y="1146"/>
            <a:ext cx="457" cy="357"/>
          </a:xfrm>
          <a:custGeom>
            <a:avLst/>
            <a:gdLst/>
            <a:ahLst/>
            <a:cxnLst>
              <a:cxn ang="0">
                <a:pos x="456" y="0"/>
              </a:cxn>
              <a:cxn ang="0">
                <a:pos x="312" y="0"/>
              </a:cxn>
              <a:cxn ang="0">
                <a:pos x="228" y="243"/>
              </a:cxn>
              <a:cxn ang="0">
                <a:pos x="143" y="0"/>
              </a:cxn>
              <a:cxn ang="0">
                <a:pos x="0" y="0"/>
              </a:cxn>
              <a:cxn ang="0">
                <a:pos x="0" y="356"/>
              </a:cxn>
              <a:cxn ang="0">
                <a:pos x="88" y="356"/>
              </a:cxn>
              <a:cxn ang="0">
                <a:pos x="89" y="75"/>
              </a:cxn>
              <a:cxn ang="0">
                <a:pos x="182" y="356"/>
              </a:cxn>
              <a:cxn ang="0">
                <a:pos x="274" y="356"/>
              </a:cxn>
              <a:cxn ang="0">
                <a:pos x="367" y="75"/>
              </a:cxn>
              <a:cxn ang="0">
                <a:pos x="368" y="356"/>
              </a:cxn>
              <a:cxn ang="0">
                <a:pos x="456" y="356"/>
              </a:cxn>
              <a:cxn ang="0">
                <a:pos x="456" y="0"/>
              </a:cxn>
            </a:cxnLst>
            <a:rect l="0" t="0" r="r" b="b"/>
            <a:pathLst>
              <a:path w="457" h="357">
                <a:moveTo>
                  <a:pt x="456" y="0"/>
                </a:moveTo>
                <a:lnTo>
                  <a:pt x="312" y="0"/>
                </a:lnTo>
                <a:lnTo>
                  <a:pt x="228" y="243"/>
                </a:lnTo>
                <a:lnTo>
                  <a:pt x="143" y="0"/>
                </a:lnTo>
                <a:lnTo>
                  <a:pt x="0" y="0"/>
                </a:lnTo>
                <a:lnTo>
                  <a:pt x="0" y="356"/>
                </a:lnTo>
                <a:lnTo>
                  <a:pt x="88" y="356"/>
                </a:lnTo>
                <a:lnTo>
                  <a:pt x="89" y="75"/>
                </a:lnTo>
                <a:lnTo>
                  <a:pt x="182" y="356"/>
                </a:lnTo>
                <a:lnTo>
                  <a:pt x="274" y="356"/>
                </a:lnTo>
                <a:lnTo>
                  <a:pt x="367" y="75"/>
                </a:lnTo>
                <a:lnTo>
                  <a:pt x="368" y="356"/>
                </a:lnTo>
                <a:lnTo>
                  <a:pt x="456" y="356"/>
                </a:lnTo>
                <a:lnTo>
                  <a:pt x="456" y="0"/>
                </a:lnTo>
                <a:close/>
              </a:path>
            </a:pathLst>
          </a:custGeom>
          <a:solidFill>
            <a:srgbClr val="FFE22B"/>
          </a:solidFill>
          <a:ln w="9525">
            <a:noFill/>
            <a:round/>
            <a:headEnd/>
            <a:tailEnd/>
          </a:ln>
        </xdr:spPr>
      </xdr:sp>
      <xdr:pic>
        <xdr:nvPicPr>
          <xdr:cNvPr id="1036" name="docshape12"/>
          <xdr:cNvPicPr>
            <a:picLocks noChangeAspect="1" noChangeArrowheads="1"/>
          </xdr:cNvPicPr>
        </xdr:nvPicPr>
        <xdr:blipFill>
          <a:blip xmlns:r="http://schemas.openxmlformats.org/officeDocument/2006/relationships" r:embed="rId11"/>
          <a:srcRect/>
          <a:stretch>
            <a:fillRect/>
          </a:stretch>
        </xdr:blipFill>
        <xdr:spPr bwMode="auto">
          <a:xfrm>
            <a:off x="4927" y="1239"/>
            <a:ext cx="353" cy="27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7" name="docshape13"/>
          <xdr:cNvPicPr>
            <a:picLocks noChangeAspect="1" noChangeArrowheads="1"/>
          </xdr:cNvPicPr>
        </xdr:nvPicPr>
        <xdr:blipFill>
          <a:blip xmlns:r="http://schemas.openxmlformats.org/officeDocument/2006/relationships" r:embed="rId12"/>
          <a:srcRect/>
          <a:stretch>
            <a:fillRect/>
          </a:stretch>
        </xdr:blipFill>
        <xdr:spPr bwMode="auto">
          <a:xfrm>
            <a:off x="5752" y="1153"/>
            <a:ext cx="202" cy="3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8" name="docshape14"/>
          <xdr:cNvPicPr>
            <a:picLocks noChangeAspect="1" noChangeArrowheads="1"/>
          </xdr:cNvPicPr>
        </xdr:nvPicPr>
        <xdr:blipFill>
          <a:blip xmlns:r="http://schemas.openxmlformats.org/officeDocument/2006/relationships" r:embed="rId13"/>
          <a:srcRect/>
          <a:stretch>
            <a:fillRect/>
          </a:stretch>
        </xdr:blipFill>
        <xdr:spPr bwMode="auto">
          <a:xfrm>
            <a:off x="5368" y="1239"/>
            <a:ext cx="312" cy="2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39" name="docshape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4"/>
          <a:srcRect/>
          <a:stretch>
            <a:fillRect/>
          </a:stretch>
        </xdr:blipFill>
        <xdr:spPr bwMode="auto">
          <a:xfrm>
            <a:off x="6025" y="1146"/>
            <a:ext cx="312" cy="3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40" name="docshape16"/>
          <xdr:cNvSpPr>
            <a:spLocks noChangeArrowheads="1"/>
          </xdr:cNvSpPr>
        </xdr:nvSpPr>
        <xdr:spPr bwMode="auto">
          <a:xfrm>
            <a:off x="6447" y="1146"/>
            <a:ext cx="91" cy="357"/>
          </a:xfrm>
          <a:prstGeom prst="rect">
            <a:avLst/>
          </a:prstGeom>
          <a:solidFill>
            <a:srgbClr val="FFE22B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41" name="docshape17"/>
          <xdr:cNvPicPr>
            <a:picLocks noChangeAspect="1" noChangeArrowheads="1"/>
          </xdr:cNvPicPr>
        </xdr:nvPicPr>
        <xdr:blipFill>
          <a:blip xmlns:r="http://schemas.openxmlformats.org/officeDocument/2006/relationships" r:embed="rId16"/>
          <a:srcRect/>
          <a:stretch>
            <a:fillRect/>
          </a:stretch>
        </xdr:blipFill>
        <xdr:spPr bwMode="auto">
          <a:xfrm>
            <a:off x="6604" y="1244"/>
            <a:ext cx="353" cy="3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42" name="docshape18"/>
          <xdr:cNvPicPr>
            <a:picLocks noChangeAspect="1" noChangeArrowheads="1"/>
          </xdr:cNvPicPr>
        </xdr:nvPicPr>
        <xdr:blipFill>
          <a:blip xmlns:r="http://schemas.openxmlformats.org/officeDocument/2006/relationships" r:embed="rId48"/>
          <a:srcRect/>
          <a:stretch>
            <a:fillRect/>
          </a:stretch>
        </xdr:blipFill>
        <xdr:spPr bwMode="auto">
          <a:xfrm>
            <a:off x="4329" y="2668"/>
            <a:ext cx="386" cy="35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43" name="docshape19"/>
          <xdr:cNvSpPr>
            <a:spLocks/>
          </xdr:cNvSpPr>
        </xdr:nvSpPr>
        <xdr:spPr bwMode="auto">
          <a:xfrm>
            <a:off x="4329" y="2668"/>
            <a:ext cx="386" cy="353"/>
          </a:xfrm>
          <a:custGeom>
            <a:avLst/>
            <a:gdLst/>
            <a:ahLst/>
            <a:cxnLst>
              <a:cxn ang="0">
                <a:pos x="143" y="0"/>
              </a:cxn>
              <a:cxn ang="0">
                <a:pos x="192" y="0"/>
              </a:cxn>
              <a:cxn ang="0">
                <a:pos x="241" y="0"/>
              </a:cxn>
              <a:cxn ang="0">
                <a:pos x="385" y="353"/>
              </a:cxn>
              <a:cxn ang="0">
                <a:pos x="340" y="353"/>
              </a:cxn>
              <a:cxn ang="0">
                <a:pos x="295" y="353"/>
              </a:cxn>
              <a:cxn ang="0">
                <a:pos x="268" y="281"/>
              </a:cxn>
              <a:cxn ang="0">
                <a:pos x="114" y="281"/>
              </a:cxn>
              <a:cxn ang="0">
                <a:pos x="87" y="353"/>
              </a:cxn>
              <a:cxn ang="0">
                <a:pos x="44" y="353"/>
              </a:cxn>
              <a:cxn ang="0">
                <a:pos x="0" y="353"/>
              </a:cxn>
              <a:cxn ang="0">
                <a:pos x="143" y="0"/>
              </a:cxn>
            </a:cxnLst>
            <a:rect l="0" t="0" r="r" b="b"/>
            <a:pathLst>
              <a:path w="386" h="353">
                <a:moveTo>
                  <a:pt x="143" y="0"/>
                </a:moveTo>
                <a:lnTo>
                  <a:pt x="192" y="0"/>
                </a:lnTo>
                <a:lnTo>
                  <a:pt x="241" y="0"/>
                </a:lnTo>
                <a:lnTo>
                  <a:pt x="385" y="353"/>
                </a:lnTo>
                <a:lnTo>
                  <a:pt x="340" y="353"/>
                </a:lnTo>
                <a:lnTo>
                  <a:pt x="295" y="353"/>
                </a:lnTo>
                <a:lnTo>
                  <a:pt x="268" y="281"/>
                </a:lnTo>
                <a:lnTo>
                  <a:pt x="114" y="281"/>
                </a:lnTo>
                <a:lnTo>
                  <a:pt x="87" y="353"/>
                </a:lnTo>
                <a:lnTo>
                  <a:pt x="44" y="353"/>
                </a:lnTo>
                <a:lnTo>
                  <a:pt x="0" y="353"/>
                </a:lnTo>
                <a:lnTo>
                  <a:pt x="143" y="0"/>
                </a:lnTo>
                <a:close/>
              </a:path>
            </a:pathLst>
          </a:custGeom>
          <a:noFill/>
          <a:ln w="9525">
            <a:solidFill>
              <a:srgbClr val="FFE22B"/>
            </a:solidFill>
            <a:prstDash val="solid"/>
            <a:round/>
            <a:headEnd/>
            <a:tailEnd/>
          </a:ln>
        </xdr:spPr>
      </xdr:sp>
      <xdr:pic>
        <xdr:nvPicPr>
          <xdr:cNvPr id="1044" name="docshape20"/>
          <xdr:cNvPicPr>
            <a:picLocks noChangeAspect="1" noChangeArrowheads="1"/>
          </xdr:cNvPicPr>
        </xdr:nvPicPr>
        <xdr:blipFill>
          <a:blip xmlns:r="http://schemas.openxmlformats.org/officeDocument/2006/relationships" r:embed="rId49"/>
          <a:srcRect/>
          <a:stretch>
            <a:fillRect/>
          </a:stretch>
        </xdr:blipFill>
        <xdr:spPr bwMode="auto">
          <a:xfrm>
            <a:off x="4754" y="2745"/>
            <a:ext cx="307" cy="38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45" name="docshape21"/>
          <xdr:cNvPicPr>
            <a:picLocks noChangeAspect="1" noChangeArrowheads="1"/>
          </xdr:cNvPicPr>
        </xdr:nvPicPr>
        <xdr:blipFill>
          <a:blip xmlns:r="http://schemas.openxmlformats.org/officeDocument/2006/relationships" r:embed="rId50"/>
          <a:srcRect/>
          <a:stretch>
            <a:fillRect/>
          </a:stretch>
        </xdr:blipFill>
        <xdr:spPr bwMode="auto">
          <a:xfrm>
            <a:off x="5100" y="2745"/>
            <a:ext cx="190" cy="28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46" name="docshape22"/>
          <xdr:cNvSpPr>
            <a:spLocks/>
          </xdr:cNvSpPr>
        </xdr:nvSpPr>
        <xdr:spPr bwMode="auto">
          <a:xfrm>
            <a:off x="5330" y="2665"/>
            <a:ext cx="81" cy="356"/>
          </a:xfrm>
          <a:custGeom>
            <a:avLst/>
            <a:gdLst/>
            <a:ahLst/>
            <a:cxnLst>
              <a:cxn ang="0">
                <a:pos x="80" y="94"/>
              </a:cxn>
              <a:cxn ang="0">
                <a:pos x="0" y="94"/>
              </a:cxn>
              <a:cxn ang="0">
                <a:pos x="0" y="355"/>
              </a:cxn>
              <a:cxn ang="0">
                <a:pos x="80" y="355"/>
              </a:cxn>
              <a:cxn ang="0">
                <a:pos x="80" y="94"/>
              </a:cxn>
              <a:cxn ang="0">
                <a:pos x="80" y="0"/>
              </a:cxn>
              <a:cxn ang="0">
                <a:pos x="0" y="0"/>
              </a:cxn>
              <a:cxn ang="0">
                <a:pos x="0" y="64"/>
              </a:cxn>
              <a:cxn ang="0">
                <a:pos x="80" y="64"/>
              </a:cxn>
              <a:cxn ang="0">
                <a:pos x="80" y="0"/>
              </a:cxn>
            </a:cxnLst>
            <a:rect l="0" t="0" r="r" b="b"/>
            <a:pathLst>
              <a:path w="81" h="356">
                <a:moveTo>
                  <a:pt x="80" y="94"/>
                </a:moveTo>
                <a:lnTo>
                  <a:pt x="0" y="94"/>
                </a:lnTo>
                <a:lnTo>
                  <a:pt x="0" y="355"/>
                </a:lnTo>
                <a:lnTo>
                  <a:pt x="80" y="355"/>
                </a:lnTo>
                <a:lnTo>
                  <a:pt x="80" y="94"/>
                </a:lnTo>
                <a:close/>
                <a:moveTo>
                  <a:pt x="80" y="0"/>
                </a:moveTo>
                <a:lnTo>
                  <a:pt x="0" y="0"/>
                </a:lnTo>
                <a:lnTo>
                  <a:pt x="0" y="64"/>
                </a:lnTo>
                <a:lnTo>
                  <a:pt x="80" y="64"/>
                </a:lnTo>
                <a:lnTo>
                  <a:pt x="80" y="0"/>
                </a:lnTo>
                <a:close/>
              </a:path>
            </a:pathLst>
          </a:custGeom>
          <a:solidFill>
            <a:srgbClr val="FFE22B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047" name="docshape23"/>
          <xdr:cNvSpPr>
            <a:spLocks/>
          </xdr:cNvSpPr>
        </xdr:nvSpPr>
        <xdr:spPr bwMode="auto">
          <a:xfrm>
            <a:off x="5330" y="2665"/>
            <a:ext cx="81" cy="356"/>
          </a:xfrm>
          <a:custGeom>
            <a:avLst/>
            <a:gdLst/>
            <a:ahLst/>
            <a:cxnLst>
              <a:cxn ang="0">
                <a:pos x="0" y="94"/>
              </a:cxn>
              <a:cxn ang="0">
                <a:pos x="40" y="94"/>
              </a:cxn>
              <a:cxn ang="0">
                <a:pos x="80" y="94"/>
              </a:cxn>
              <a:cxn ang="0">
                <a:pos x="80" y="355"/>
              </a:cxn>
              <a:cxn ang="0">
                <a:pos x="40" y="355"/>
              </a:cxn>
              <a:cxn ang="0">
                <a:pos x="0" y="355"/>
              </a:cxn>
              <a:cxn ang="0">
                <a:pos x="0" y="94"/>
              </a:cxn>
              <a:cxn ang="0">
                <a:pos x="0" y="0"/>
              </a:cxn>
              <a:cxn ang="0">
                <a:pos x="80" y="0"/>
              </a:cxn>
              <a:cxn ang="0">
                <a:pos x="80" y="64"/>
              </a:cxn>
              <a:cxn ang="0">
                <a:pos x="0" y="64"/>
              </a:cxn>
              <a:cxn ang="0">
                <a:pos x="0" y="0"/>
              </a:cxn>
            </a:cxnLst>
            <a:rect l="0" t="0" r="r" b="b"/>
            <a:pathLst>
              <a:path w="81" h="356">
                <a:moveTo>
                  <a:pt x="0" y="94"/>
                </a:moveTo>
                <a:lnTo>
                  <a:pt x="40" y="94"/>
                </a:lnTo>
                <a:lnTo>
                  <a:pt x="80" y="94"/>
                </a:lnTo>
                <a:lnTo>
                  <a:pt x="80" y="355"/>
                </a:lnTo>
                <a:lnTo>
                  <a:pt x="40" y="355"/>
                </a:lnTo>
                <a:lnTo>
                  <a:pt x="0" y="355"/>
                </a:lnTo>
                <a:lnTo>
                  <a:pt x="0" y="94"/>
                </a:lnTo>
                <a:close/>
                <a:moveTo>
                  <a:pt x="0" y="0"/>
                </a:moveTo>
                <a:lnTo>
                  <a:pt x="80" y="0"/>
                </a:lnTo>
                <a:lnTo>
                  <a:pt x="80" y="64"/>
                </a:lnTo>
                <a:lnTo>
                  <a:pt x="0" y="64"/>
                </a:lnTo>
                <a:lnTo>
                  <a:pt x="0" y="0"/>
                </a:lnTo>
                <a:close/>
              </a:path>
            </a:pathLst>
          </a:custGeom>
          <a:noFill/>
          <a:ln w="9525">
            <a:solidFill>
              <a:srgbClr val="FFE22B"/>
            </a:solidFill>
            <a:round/>
            <a:headEnd/>
            <a:tailEnd/>
          </a:ln>
        </xdr:spPr>
      </xdr:sp>
      <xdr:sp macro="" textlink="">
        <xdr:nvSpPr>
          <xdr:cNvPr id="1048" name="docshape24"/>
          <xdr:cNvSpPr>
            <a:spLocks noChangeArrowheads="1"/>
          </xdr:cNvSpPr>
        </xdr:nvSpPr>
        <xdr:spPr bwMode="auto">
          <a:xfrm>
            <a:off x="5487" y="2668"/>
            <a:ext cx="80" cy="353"/>
          </a:xfrm>
          <a:prstGeom prst="rect">
            <a:avLst/>
          </a:prstGeom>
          <a:solidFill>
            <a:srgbClr val="FFE22B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49" name="docshape25"/>
          <xdr:cNvSpPr>
            <a:spLocks/>
          </xdr:cNvSpPr>
        </xdr:nvSpPr>
        <xdr:spPr bwMode="auto">
          <a:xfrm>
            <a:off x="5487" y="2668"/>
            <a:ext cx="80" cy="353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39" y="0"/>
              </a:cxn>
              <a:cxn ang="0">
                <a:pos x="79" y="0"/>
              </a:cxn>
              <a:cxn ang="0">
                <a:pos x="79" y="353"/>
              </a:cxn>
              <a:cxn ang="0">
                <a:pos x="39" y="353"/>
              </a:cxn>
              <a:cxn ang="0">
                <a:pos x="0" y="353"/>
              </a:cxn>
              <a:cxn ang="0">
                <a:pos x="0" y="0"/>
              </a:cxn>
            </a:cxnLst>
            <a:rect l="0" t="0" r="r" b="b"/>
            <a:pathLst>
              <a:path w="80" h="353">
                <a:moveTo>
                  <a:pt x="0" y="0"/>
                </a:moveTo>
                <a:lnTo>
                  <a:pt x="39" y="0"/>
                </a:lnTo>
                <a:lnTo>
                  <a:pt x="79" y="0"/>
                </a:lnTo>
                <a:lnTo>
                  <a:pt x="79" y="353"/>
                </a:lnTo>
                <a:lnTo>
                  <a:pt x="39" y="353"/>
                </a:lnTo>
                <a:lnTo>
                  <a:pt x="0" y="353"/>
                </a:lnTo>
                <a:lnTo>
                  <a:pt x="0" y="0"/>
                </a:lnTo>
                <a:close/>
              </a:path>
            </a:pathLst>
          </a:custGeom>
          <a:noFill/>
          <a:ln w="9525">
            <a:solidFill>
              <a:srgbClr val="FFE22B"/>
            </a:solidFill>
            <a:prstDash val="solid"/>
            <a:round/>
            <a:headEnd/>
            <a:tailEnd/>
          </a:ln>
        </xdr:spPr>
      </xdr:sp>
      <xdr:pic>
        <xdr:nvPicPr>
          <xdr:cNvPr id="1050" name="docshape26"/>
          <xdr:cNvPicPr>
            <a:picLocks noChangeAspect="1" noChangeArrowheads="1"/>
          </xdr:cNvPicPr>
        </xdr:nvPicPr>
        <xdr:blipFill>
          <a:blip xmlns:r="http://schemas.openxmlformats.org/officeDocument/2006/relationships" r:embed="rId51"/>
          <a:srcRect/>
          <a:stretch>
            <a:fillRect/>
          </a:stretch>
        </xdr:blipFill>
        <xdr:spPr bwMode="auto">
          <a:xfrm>
            <a:off x="5769" y="2663"/>
            <a:ext cx="1238" cy="3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1" name="docshape27"/>
          <xdr:cNvPicPr>
            <a:picLocks noChangeAspect="1" noChangeArrowheads="1"/>
          </xdr:cNvPicPr>
        </xdr:nvPicPr>
        <xdr:blipFill>
          <a:blip xmlns:r="http://schemas.openxmlformats.org/officeDocument/2006/relationships" r:embed="rId52"/>
          <a:srcRect/>
          <a:stretch>
            <a:fillRect/>
          </a:stretch>
        </xdr:blipFill>
        <xdr:spPr bwMode="auto">
          <a:xfrm>
            <a:off x="176" y="2883"/>
            <a:ext cx="209" cy="24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2" name="docshape28"/>
          <xdr:cNvPicPr>
            <a:picLocks noChangeAspect="1" noChangeArrowheads="1"/>
          </xdr:cNvPicPr>
        </xdr:nvPicPr>
        <xdr:blipFill>
          <a:blip xmlns:r="http://schemas.openxmlformats.org/officeDocument/2006/relationships" r:embed="rId53"/>
          <a:srcRect/>
          <a:stretch>
            <a:fillRect/>
          </a:stretch>
        </xdr:blipFill>
        <xdr:spPr bwMode="auto">
          <a:xfrm>
            <a:off x="172" y="3160"/>
            <a:ext cx="157" cy="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3" name="docshape29"/>
          <xdr:cNvPicPr>
            <a:picLocks noChangeAspect="1" noChangeArrowheads="1"/>
          </xdr:cNvPicPr>
        </xdr:nvPicPr>
        <xdr:blipFill>
          <a:blip xmlns:r="http://schemas.openxmlformats.org/officeDocument/2006/relationships" r:embed="rId54"/>
          <a:srcRect/>
          <a:stretch>
            <a:fillRect/>
          </a:stretch>
        </xdr:blipFill>
        <xdr:spPr bwMode="auto">
          <a:xfrm>
            <a:off x="173" y="3363"/>
            <a:ext cx="197" cy="2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4" name="docshape30"/>
          <xdr:cNvPicPr>
            <a:picLocks noChangeAspect="1" noChangeArrowheads="1"/>
          </xdr:cNvPicPr>
        </xdr:nvPicPr>
        <xdr:blipFill>
          <a:blip xmlns:r="http://schemas.openxmlformats.org/officeDocument/2006/relationships" r:embed="rId24"/>
          <a:srcRect/>
          <a:stretch>
            <a:fillRect/>
          </a:stretch>
        </xdr:blipFill>
        <xdr:spPr bwMode="auto">
          <a:xfrm>
            <a:off x="176" y="3673"/>
            <a:ext cx="221" cy="14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55" name="docshape31"/>
          <xdr:cNvSpPr>
            <a:spLocks/>
          </xdr:cNvSpPr>
        </xdr:nvSpPr>
        <xdr:spPr bwMode="auto">
          <a:xfrm>
            <a:off x="107" y="3868"/>
            <a:ext cx="289" cy="220"/>
          </a:xfrm>
          <a:custGeom>
            <a:avLst/>
            <a:gdLst/>
            <a:ahLst/>
            <a:cxnLst>
              <a:cxn ang="0">
                <a:pos x="218" y="60"/>
              </a:cxn>
              <a:cxn ang="0">
                <a:pos x="80" y="123"/>
              </a:cxn>
              <a:cxn ang="0">
                <a:pos x="74" y="125"/>
              </a:cxn>
              <a:cxn ang="0">
                <a:pos x="71" y="125"/>
              </a:cxn>
              <a:cxn ang="0">
                <a:pos x="52" y="116"/>
              </a:cxn>
              <a:cxn ang="0">
                <a:pos x="42" y="105"/>
              </a:cxn>
              <a:cxn ang="0">
                <a:pos x="29" y="88"/>
              </a:cxn>
              <a:cxn ang="0">
                <a:pos x="25" y="78"/>
              </a:cxn>
              <a:cxn ang="0">
                <a:pos x="23" y="70"/>
              </a:cxn>
              <a:cxn ang="0">
                <a:pos x="0" y="78"/>
              </a:cxn>
              <a:cxn ang="0">
                <a:pos x="1" y="85"/>
              </a:cxn>
              <a:cxn ang="0">
                <a:pos x="5" y="94"/>
              </a:cxn>
              <a:cxn ang="0">
                <a:pos x="10" y="104"/>
              </a:cxn>
              <a:cxn ang="0">
                <a:pos x="17" y="115"/>
              </a:cxn>
              <a:cxn ang="0">
                <a:pos x="32" y="130"/>
              </a:cxn>
              <a:cxn ang="0">
                <a:pos x="51" y="144"/>
              </a:cxn>
              <a:cxn ang="0">
                <a:pos x="77" y="158"/>
              </a:cxn>
              <a:cxn ang="0">
                <a:pos x="111" y="174"/>
              </a:cxn>
              <a:cxn ang="0">
                <a:pos x="218" y="220"/>
              </a:cxn>
              <a:cxn ang="0">
                <a:pos x="218" y="187"/>
              </a:cxn>
              <a:cxn ang="0">
                <a:pos x="119" y="149"/>
              </a:cxn>
              <a:cxn ang="0">
                <a:pos x="108" y="146"/>
              </a:cxn>
              <a:cxn ang="0">
                <a:pos x="99" y="143"/>
              </a:cxn>
              <a:cxn ang="0">
                <a:pos x="99" y="142"/>
              </a:cxn>
              <a:cxn ang="0">
                <a:pos x="108" y="139"/>
              </a:cxn>
              <a:cxn ang="0">
                <a:pos x="130" y="131"/>
              </a:cxn>
              <a:cxn ang="0">
                <a:pos x="218" y="94"/>
              </a:cxn>
              <a:cxn ang="0">
                <a:pos x="218" y="60"/>
              </a:cxn>
              <a:cxn ang="0">
                <a:pos x="288" y="0"/>
              </a:cxn>
              <a:cxn ang="0">
                <a:pos x="68" y="0"/>
              </a:cxn>
              <a:cxn ang="0">
                <a:pos x="68" y="31"/>
              </a:cxn>
              <a:cxn ang="0">
                <a:pos x="288" y="31"/>
              </a:cxn>
              <a:cxn ang="0">
                <a:pos x="288" y="0"/>
              </a:cxn>
            </a:cxnLst>
            <a:rect l="0" t="0" r="r" b="b"/>
            <a:pathLst>
              <a:path w="289" h="220">
                <a:moveTo>
                  <a:pt x="218" y="60"/>
                </a:moveTo>
                <a:lnTo>
                  <a:pt x="80" y="123"/>
                </a:lnTo>
                <a:lnTo>
                  <a:pt x="74" y="125"/>
                </a:lnTo>
                <a:lnTo>
                  <a:pt x="71" y="125"/>
                </a:lnTo>
                <a:lnTo>
                  <a:pt x="52" y="116"/>
                </a:lnTo>
                <a:lnTo>
                  <a:pt x="42" y="105"/>
                </a:lnTo>
                <a:lnTo>
                  <a:pt x="29" y="88"/>
                </a:lnTo>
                <a:lnTo>
                  <a:pt x="25" y="78"/>
                </a:lnTo>
                <a:lnTo>
                  <a:pt x="23" y="70"/>
                </a:lnTo>
                <a:lnTo>
                  <a:pt x="0" y="78"/>
                </a:lnTo>
                <a:lnTo>
                  <a:pt x="1" y="85"/>
                </a:lnTo>
                <a:lnTo>
                  <a:pt x="5" y="94"/>
                </a:lnTo>
                <a:lnTo>
                  <a:pt x="10" y="104"/>
                </a:lnTo>
                <a:lnTo>
                  <a:pt x="17" y="115"/>
                </a:lnTo>
                <a:lnTo>
                  <a:pt x="32" y="130"/>
                </a:lnTo>
                <a:lnTo>
                  <a:pt x="51" y="144"/>
                </a:lnTo>
                <a:lnTo>
                  <a:pt x="77" y="158"/>
                </a:lnTo>
                <a:lnTo>
                  <a:pt x="111" y="174"/>
                </a:lnTo>
                <a:lnTo>
                  <a:pt x="218" y="220"/>
                </a:lnTo>
                <a:lnTo>
                  <a:pt x="218" y="187"/>
                </a:lnTo>
                <a:lnTo>
                  <a:pt x="119" y="149"/>
                </a:lnTo>
                <a:lnTo>
                  <a:pt x="108" y="146"/>
                </a:lnTo>
                <a:lnTo>
                  <a:pt x="99" y="143"/>
                </a:lnTo>
                <a:lnTo>
                  <a:pt x="99" y="142"/>
                </a:lnTo>
                <a:lnTo>
                  <a:pt x="108" y="139"/>
                </a:lnTo>
                <a:lnTo>
                  <a:pt x="130" y="131"/>
                </a:lnTo>
                <a:lnTo>
                  <a:pt x="218" y="94"/>
                </a:lnTo>
                <a:lnTo>
                  <a:pt x="218" y="60"/>
                </a:lnTo>
                <a:close/>
                <a:moveTo>
                  <a:pt x="288" y="0"/>
                </a:moveTo>
                <a:lnTo>
                  <a:pt x="68" y="0"/>
                </a:lnTo>
                <a:lnTo>
                  <a:pt x="68" y="31"/>
                </a:lnTo>
                <a:lnTo>
                  <a:pt x="288" y="31"/>
                </a:lnTo>
                <a:lnTo>
                  <a:pt x="288" y="0"/>
                </a:lnTo>
                <a:close/>
              </a:path>
            </a:pathLst>
          </a:custGeom>
          <a:solidFill>
            <a:srgbClr val="007091"/>
          </a:solidFill>
          <a:ln w="9525">
            <a:noFill/>
            <a:round/>
            <a:headEnd/>
            <a:tailEnd/>
          </a:ln>
        </xdr:spPr>
      </xdr:sp>
      <xdr:pic>
        <xdr:nvPicPr>
          <xdr:cNvPr id="1056" name="docshape32"/>
          <xdr:cNvPicPr>
            <a:picLocks noChangeAspect="1" noChangeArrowheads="1"/>
          </xdr:cNvPicPr>
        </xdr:nvPicPr>
        <xdr:blipFill>
          <a:blip xmlns:r="http://schemas.openxmlformats.org/officeDocument/2006/relationships" r:embed="rId55"/>
          <a:srcRect/>
          <a:stretch>
            <a:fillRect/>
          </a:stretch>
        </xdr:blipFill>
        <xdr:spPr bwMode="auto">
          <a:xfrm>
            <a:off x="172" y="4191"/>
            <a:ext cx="213" cy="4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7" name="docshape33"/>
          <xdr:cNvPicPr>
            <a:picLocks noChangeAspect="1" noChangeArrowheads="1"/>
          </xdr:cNvPicPr>
        </xdr:nvPicPr>
        <xdr:blipFill>
          <a:blip xmlns:r="http://schemas.openxmlformats.org/officeDocument/2006/relationships" r:embed="rId31"/>
          <a:srcRect/>
          <a:stretch>
            <a:fillRect/>
          </a:stretch>
        </xdr:blipFill>
        <xdr:spPr bwMode="auto">
          <a:xfrm>
            <a:off x="176" y="4706"/>
            <a:ext cx="154" cy="1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8" name="docshape34"/>
          <xdr:cNvPicPr>
            <a:picLocks noChangeAspect="1" noChangeArrowheads="1"/>
          </xdr:cNvPicPr>
        </xdr:nvPicPr>
        <xdr:blipFill>
          <a:blip xmlns:r="http://schemas.openxmlformats.org/officeDocument/2006/relationships" r:embed="rId53"/>
          <a:srcRect/>
          <a:stretch>
            <a:fillRect/>
          </a:stretch>
        </xdr:blipFill>
        <xdr:spPr bwMode="auto">
          <a:xfrm>
            <a:off x="172" y="4890"/>
            <a:ext cx="157" cy="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9" name="docshape35"/>
          <xdr:cNvPicPr>
            <a:picLocks noChangeAspect="1" noChangeArrowheads="1"/>
          </xdr:cNvPicPr>
        </xdr:nvPicPr>
        <xdr:blipFill>
          <a:blip xmlns:r="http://schemas.openxmlformats.org/officeDocument/2006/relationships" r:embed="rId56"/>
          <a:srcRect/>
          <a:stretch>
            <a:fillRect/>
          </a:stretch>
        </xdr:blipFill>
        <xdr:spPr bwMode="auto">
          <a:xfrm>
            <a:off x="176" y="5093"/>
            <a:ext cx="154" cy="2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60" name="docshape36"/>
          <xdr:cNvSpPr>
            <a:spLocks/>
          </xdr:cNvSpPr>
        </xdr:nvSpPr>
        <xdr:spPr bwMode="auto">
          <a:xfrm>
            <a:off x="176" y="5383"/>
            <a:ext cx="210" cy="39"/>
          </a:xfrm>
          <a:custGeom>
            <a:avLst/>
            <a:gdLst/>
            <a:ahLst/>
            <a:cxnLst>
              <a:cxn ang="0">
                <a:pos x="202" y="0"/>
              </a:cxn>
              <a:cxn ang="0">
                <a:pos x="183" y="0"/>
              </a:cxn>
              <a:cxn ang="0">
                <a:pos x="176" y="8"/>
              </a:cxn>
              <a:cxn ang="0">
                <a:pos x="176" y="31"/>
              </a:cxn>
              <a:cxn ang="0">
                <a:pos x="183" y="39"/>
              </a:cxn>
              <a:cxn ang="0">
                <a:pos x="192" y="38"/>
              </a:cxn>
              <a:cxn ang="0">
                <a:pos x="202" y="38"/>
              </a:cxn>
              <a:cxn ang="0">
                <a:pos x="210" y="31"/>
              </a:cxn>
              <a:cxn ang="0">
                <a:pos x="210" y="8"/>
              </a:cxn>
              <a:cxn ang="0">
                <a:pos x="202" y="0"/>
              </a:cxn>
              <a:cxn ang="0">
                <a:pos x="150" y="4"/>
              </a:cxn>
              <a:cxn ang="0">
                <a:pos x="0" y="4"/>
              </a:cxn>
              <a:cxn ang="0">
                <a:pos x="0" y="35"/>
              </a:cxn>
              <a:cxn ang="0">
                <a:pos x="150" y="35"/>
              </a:cxn>
              <a:cxn ang="0">
                <a:pos x="150" y="4"/>
              </a:cxn>
            </a:cxnLst>
            <a:rect l="0" t="0" r="r" b="b"/>
            <a:pathLst>
              <a:path w="210" h="39">
                <a:moveTo>
                  <a:pt x="202" y="0"/>
                </a:moveTo>
                <a:lnTo>
                  <a:pt x="183" y="0"/>
                </a:lnTo>
                <a:lnTo>
                  <a:pt x="176" y="8"/>
                </a:lnTo>
                <a:lnTo>
                  <a:pt x="176" y="31"/>
                </a:lnTo>
                <a:lnTo>
                  <a:pt x="183" y="39"/>
                </a:lnTo>
                <a:lnTo>
                  <a:pt x="192" y="38"/>
                </a:lnTo>
                <a:lnTo>
                  <a:pt x="202" y="38"/>
                </a:lnTo>
                <a:lnTo>
                  <a:pt x="210" y="31"/>
                </a:lnTo>
                <a:lnTo>
                  <a:pt x="210" y="8"/>
                </a:lnTo>
                <a:lnTo>
                  <a:pt x="202" y="0"/>
                </a:lnTo>
                <a:close/>
                <a:moveTo>
                  <a:pt x="150" y="4"/>
                </a:moveTo>
                <a:lnTo>
                  <a:pt x="0" y="4"/>
                </a:lnTo>
                <a:lnTo>
                  <a:pt x="0" y="35"/>
                </a:lnTo>
                <a:lnTo>
                  <a:pt x="150" y="35"/>
                </a:lnTo>
                <a:lnTo>
                  <a:pt x="150" y="4"/>
                </a:lnTo>
                <a:close/>
              </a:path>
            </a:pathLst>
          </a:custGeom>
          <a:solidFill>
            <a:srgbClr val="007091"/>
          </a:solidFill>
          <a:ln w="9525">
            <a:noFill/>
            <a:round/>
            <a:headEnd/>
            <a:tailEnd/>
          </a:ln>
        </xdr:spPr>
      </xdr:sp>
      <xdr:pic>
        <xdr:nvPicPr>
          <xdr:cNvPr id="1061" name="docshape37"/>
          <xdr:cNvPicPr>
            <a:picLocks noChangeAspect="1" noChangeArrowheads="1"/>
          </xdr:cNvPicPr>
        </xdr:nvPicPr>
        <xdr:blipFill>
          <a:blip xmlns:r="http://schemas.openxmlformats.org/officeDocument/2006/relationships" r:embed="rId57"/>
          <a:srcRect/>
          <a:stretch>
            <a:fillRect/>
          </a:stretch>
        </xdr:blipFill>
        <xdr:spPr bwMode="auto">
          <a:xfrm>
            <a:off x="173" y="5456"/>
            <a:ext cx="157" cy="1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62" name="docshape38"/>
          <xdr:cNvPicPr>
            <a:picLocks noChangeAspect="1" noChangeArrowheads="1"/>
          </xdr:cNvPicPr>
        </xdr:nvPicPr>
        <xdr:blipFill>
          <a:blip xmlns:r="http://schemas.openxmlformats.org/officeDocument/2006/relationships" r:embed="rId58"/>
          <a:srcRect/>
          <a:stretch>
            <a:fillRect/>
          </a:stretch>
        </xdr:blipFill>
        <xdr:spPr bwMode="auto">
          <a:xfrm>
            <a:off x="173" y="5673"/>
            <a:ext cx="213" cy="4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63" name="docshape39"/>
          <xdr:cNvPicPr>
            <a:picLocks noChangeAspect="1" noChangeArrowheads="1"/>
          </xdr:cNvPicPr>
        </xdr:nvPicPr>
        <xdr:blipFill>
          <a:blip xmlns:r="http://schemas.openxmlformats.org/officeDocument/2006/relationships" r:embed="rId26"/>
          <a:srcRect/>
          <a:stretch>
            <a:fillRect/>
          </a:stretch>
        </xdr:blipFill>
        <xdr:spPr bwMode="auto">
          <a:xfrm>
            <a:off x="176" y="6143"/>
            <a:ext cx="154" cy="14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64" name="docshape40"/>
          <xdr:cNvPicPr>
            <a:picLocks noChangeAspect="1" noChangeArrowheads="1"/>
          </xdr:cNvPicPr>
        </xdr:nvPicPr>
        <xdr:blipFill>
          <a:blip xmlns:r="http://schemas.openxmlformats.org/officeDocument/2006/relationships" r:embed="rId59"/>
          <a:srcRect/>
          <a:stretch>
            <a:fillRect/>
          </a:stretch>
        </xdr:blipFill>
        <xdr:spPr bwMode="auto">
          <a:xfrm>
            <a:off x="172" y="6326"/>
            <a:ext cx="224" cy="16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65" name="docshape41"/>
          <xdr:cNvPicPr>
            <a:picLocks noChangeAspect="1" noChangeArrowheads="1"/>
          </xdr:cNvPicPr>
        </xdr:nvPicPr>
        <xdr:blipFill>
          <a:blip xmlns:r="http://schemas.openxmlformats.org/officeDocument/2006/relationships" r:embed="rId33"/>
          <a:srcRect/>
          <a:stretch>
            <a:fillRect/>
          </a:stretch>
        </xdr:blipFill>
        <xdr:spPr bwMode="auto">
          <a:xfrm>
            <a:off x="173" y="6524"/>
            <a:ext cx="157" cy="11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66" name="docshape42"/>
          <xdr:cNvPicPr>
            <a:picLocks noChangeAspect="1" noChangeArrowheads="1"/>
          </xdr:cNvPicPr>
        </xdr:nvPicPr>
        <xdr:blipFill>
          <a:blip xmlns:r="http://schemas.openxmlformats.org/officeDocument/2006/relationships" r:embed="rId60"/>
          <a:srcRect/>
          <a:stretch>
            <a:fillRect/>
          </a:stretch>
        </xdr:blipFill>
        <xdr:spPr bwMode="auto">
          <a:xfrm>
            <a:off x="124" y="6946"/>
            <a:ext cx="238" cy="34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67" name="docshape43"/>
          <xdr:cNvPicPr>
            <a:picLocks noChangeAspect="1" noChangeArrowheads="1"/>
          </xdr:cNvPicPr>
        </xdr:nvPicPr>
        <xdr:blipFill>
          <a:blip xmlns:r="http://schemas.openxmlformats.org/officeDocument/2006/relationships" r:embed="rId61"/>
          <a:srcRect/>
          <a:stretch>
            <a:fillRect/>
          </a:stretch>
        </xdr:blipFill>
        <xdr:spPr bwMode="auto">
          <a:xfrm>
            <a:off x="176" y="7325"/>
            <a:ext cx="187" cy="1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68" name="docshape44"/>
          <xdr:cNvSpPr>
            <a:spLocks noChangeArrowheads="1"/>
          </xdr:cNvSpPr>
        </xdr:nvSpPr>
        <xdr:spPr bwMode="auto">
          <a:xfrm>
            <a:off x="176" y="7488"/>
            <a:ext cx="187" cy="26"/>
          </a:xfrm>
          <a:prstGeom prst="rect">
            <a:avLst/>
          </a:prstGeom>
          <a:solidFill>
            <a:srgbClr val="007091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69" name="docshape45"/>
          <xdr:cNvPicPr>
            <a:picLocks noChangeAspect="1" noChangeArrowheads="1"/>
          </xdr:cNvPicPr>
        </xdr:nvPicPr>
        <xdr:blipFill>
          <a:blip xmlns:r="http://schemas.openxmlformats.org/officeDocument/2006/relationships" r:embed="rId62"/>
          <a:srcRect/>
          <a:stretch>
            <a:fillRect/>
          </a:stretch>
        </xdr:blipFill>
        <xdr:spPr bwMode="auto">
          <a:xfrm>
            <a:off x="173" y="7706"/>
            <a:ext cx="191" cy="6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70" name="docshape46"/>
          <xdr:cNvPicPr>
            <a:picLocks noChangeAspect="1" noChangeArrowheads="1"/>
          </xdr:cNvPicPr>
        </xdr:nvPicPr>
        <xdr:blipFill>
          <a:blip xmlns:r="http://schemas.openxmlformats.org/officeDocument/2006/relationships" r:embed="rId63"/>
          <a:srcRect/>
          <a:stretch>
            <a:fillRect/>
          </a:stretch>
        </xdr:blipFill>
        <xdr:spPr bwMode="auto">
          <a:xfrm>
            <a:off x="173" y="8679"/>
            <a:ext cx="190" cy="38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71" name="docshape47"/>
          <xdr:cNvPicPr>
            <a:picLocks noChangeAspect="1" noChangeArrowheads="1"/>
          </xdr:cNvPicPr>
        </xdr:nvPicPr>
        <xdr:blipFill>
          <a:blip xmlns:r="http://schemas.openxmlformats.org/officeDocument/2006/relationships" r:embed="rId64"/>
          <a:srcRect/>
          <a:stretch>
            <a:fillRect/>
          </a:stretch>
        </xdr:blipFill>
        <xdr:spPr bwMode="auto">
          <a:xfrm>
            <a:off x="173" y="9105"/>
            <a:ext cx="138" cy="1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72" name="docshape48"/>
          <xdr:cNvPicPr>
            <a:picLocks noChangeAspect="1" noChangeArrowheads="1"/>
          </xdr:cNvPicPr>
        </xdr:nvPicPr>
        <xdr:blipFill>
          <a:blip xmlns:r="http://schemas.openxmlformats.org/officeDocument/2006/relationships" r:embed="rId65"/>
          <a:srcRect/>
          <a:stretch>
            <a:fillRect/>
          </a:stretch>
        </xdr:blipFill>
        <xdr:spPr bwMode="auto">
          <a:xfrm>
            <a:off x="173" y="9269"/>
            <a:ext cx="141" cy="37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73" name="docshape49"/>
          <xdr:cNvSpPr>
            <a:spLocks/>
          </xdr:cNvSpPr>
        </xdr:nvSpPr>
        <xdr:spPr bwMode="auto">
          <a:xfrm>
            <a:off x="176" y="9761"/>
            <a:ext cx="187" cy="198"/>
          </a:xfrm>
          <a:custGeom>
            <a:avLst/>
            <a:gdLst/>
            <a:ahLst/>
            <a:cxnLst>
              <a:cxn ang="0">
                <a:pos x="186" y="169"/>
              </a:cxn>
              <a:cxn ang="0">
                <a:pos x="0" y="169"/>
              </a:cxn>
              <a:cxn ang="0">
                <a:pos x="0" y="197"/>
              </a:cxn>
              <a:cxn ang="0">
                <a:pos x="186" y="197"/>
              </a:cxn>
              <a:cxn ang="0">
                <a:pos x="186" y="169"/>
              </a:cxn>
              <a:cxn ang="0">
                <a:pos x="186" y="0"/>
              </a:cxn>
              <a:cxn ang="0">
                <a:pos x="0" y="0"/>
              </a:cxn>
              <a:cxn ang="0">
                <a:pos x="0" y="28"/>
              </a:cxn>
              <a:cxn ang="0">
                <a:pos x="0" y="132"/>
              </a:cxn>
              <a:cxn ang="0">
                <a:pos x="22" y="132"/>
              </a:cxn>
              <a:cxn ang="0">
                <a:pos x="22" y="28"/>
              </a:cxn>
              <a:cxn ang="0">
                <a:pos x="186" y="28"/>
              </a:cxn>
              <a:cxn ang="0">
                <a:pos x="186" y="0"/>
              </a:cxn>
            </a:cxnLst>
            <a:rect l="0" t="0" r="r" b="b"/>
            <a:pathLst>
              <a:path w="187" h="198">
                <a:moveTo>
                  <a:pt x="186" y="169"/>
                </a:moveTo>
                <a:lnTo>
                  <a:pt x="0" y="169"/>
                </a:lnTo>
                <a:lnTo>
                  <a:pt x="0" y="197"/>
                </a:lnTo>
                <a:lnTo>
                  <a:pt x="186" y="197"/>
                </a:lnTo>
                <a:lnTo>
                  <a:pt x="186" y="169"/>
                </a:lnTo>
                <a:close/>
                <a:moveTo>
                  <a:pt x="186" y="0"/>
                </a:moveTo>
                <a:lnTo>
                  <a:pt x="0" y="0"/>
                </a:lnTo>
                <a:lnTo>
                  <a:pt x="0" y="28"/>
                </a:lnTo>
                <a:lnTo>
                  <a:pt x="0" y="132"/>
                </a:lnTo>
                <a:lnTo>
                  <a:pt x="22" y="132"/>
                </a:lnTo>
                <a:lnTo>
                  <a:pt x="22" y="28"/>
                </a:lnTo>
                <a:lnTo>
                  <a:pt x="186" y="28"/>
                </a:lnTo>
                <a:lnTo>
                  <a:pt x="186" y="0"/>
                </a:lnTo>
                <a:close/>
              </a:path>
            </a:pathLst>
          </a:custGeom>
          <a:solidFill>
            <a:srgbClr val="007091"/>
          </a:solidFill>
          <a:ln w="9525">
            <a:noFill/>
            <a:round/>
            <a:headEnd/>
            <a:tailEnd/>
          </a:ln>
        </xdr:spPr>
      </xdr:sp>
      <xdr:pic>
        <xdr:nvPicPr>
          <xdr:cNvPr id="1074" name="docshape50"/>
          <xdr:cNvPicPr>
            <a:picLocks noChangeAspect="1" noChangeArrowheads="1"/>
          </xdr:cNvPicPr>
        </xdr:nvPicPr>
        <xdr:blipFill>
          <a:blip xmlns:r="http://schemas.openxmlformats.org/officeDocument/2006/relationships" r:embed="rId41"/>
          <a:srcRect/>
          <a:stretch>
            <a:fillRect/>
          </a:stretch>
        </xdr:blipFill>
        <xdr:spPr bwMode="auto">
          <a:xfrm>
            <a:off x="176" y="10333"/>
            <a:ext cx="187" cy="1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75" name="docshape51"/>
          <xdr:cNvPicPr>
            <a:picLocks noChangeAspect="1" noChangeArrowheads="1"/>
          </xdr:cNvPicPr>
        </xdr:nvPicPr>
        <xdr:blipFill>
          <a:blip xmlns:r="http://schemas.openxmlformats.org/officeDocument/2006/relationships" r:embed="rId66"/>
          <a:srcRect/>
          <a:stretch>
            <a:fillRect/>
          </a:stretch>
        </xdr:blipFill>
        <xdr:spPr bwMode="auto">
          <a:xfrm>
            <a:off x="173" y="10533"/>
            <a:ext cx="141" cy="1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76" name="docshape52"/>
          <xdr:cNvSpPr>
            <a:spLocks noChangeArrowheads="1"/>
          </xdr:cNvSpPr>
        </xdr:nvSpPr>
        <xdr:spPr bwMode="auto">
          <a:xfrm>
            <a:off x="176" y="10713"/>
            <a:ext cx="27" cy="30"/>
          </a:xfrm>
          <a:prstGeom prst="rect">
            <a:avLst/>
          </a:prstGeom>
          <a:solidFill>
            <a:srgbClr val="007091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77" name="docshape53"/>
          <xdr:cNvPicPr>
            <a:picLocks noChangeAspect="1" noChangeArrowheads="1"/>
          </xdr:cNvPicPr>
        </xdr:nvPicPr>
        <xdr:blipFill>
          <a:blip xmlns:r="http://schemas.openxmlformats.org/officeDocument/2006/relationships" r:embed="rId67"/>
          <a:srcRect/>
          <a:stretch>
            <a:fillRect/>
          </a:stretch>
        </xdr:blipFill>
        <xdr:spPr bwMode="auto">
          <a:xfrm>
            <a:off x="173" y="10862"/>
            <a:ext cx="191" cy="30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ables/table1.xml><?xml version="1.0" encoding="utf-8"?>
<table xmlns="http://schemas.openxmlformats.org/spreadsheetml/2006/main" id="2" name="Table2" displayName="Table2" ref="A9:I242" totalsRowShown="0" headerRowDxfId="40" dataDxfId="39" tableBorderDxfId="38">
  <autoFilter ref="A9:I242"/>
  <tableColumns count="9">
    <tableColumn id="1" name="Column1" dataDxfId="37"/>
    <tableColumn id="2" name="Column2" dataDxfId="36"/>
    <tableColumn id="3" name="Column3" dataDxfId="35"/>
    <tableColumn id="4" name="Column4" dataDxfId="34"/>
    <tableColumn id="5" name="Column5" dataDxfId="33"/>
    <tableColumn id="6" name="Column6" dataDxfId="32"/>
    <tableColumn id="7" name="Column7" dataDxfId="31">
      <calculatedColumnFormula>E10+F10</calculatedColumnFormula>
    </tableColumn>
    <tableColumn id="8" name="Column8" dataDxfId="30"/>
    <tableColumn id="9" name="Column9" dataDxfId="29">
      <calculatedColumnFormula>C10+D10+E10+H10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8.bin"/><Relationship Id="rId1" Type="http://schemas.openxmlformats.org/officeDocument/2006/relationships/printerSettings" Target="../printerSettings/printerSettings47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5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0.bin"/><Relationship Id="rId1" Type="http://schemas.openxmlformats.org/officeDocument/2006/relationships/printerSettings" Target="../printerSettings/printerSettings5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4.bin"/><Relationship Id="rId1" Type="http://schemas.openxmlformats.org/officeDocument/2006/relationships/printerSettings" Target="../printerSettings/printerSettings6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6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8.bin"/><Relationship Id="rId1" Type="http://schemas.openxmlformats.org/officeDocument/2006/relationships/printerSettings" Target="../printerSettings/printerSettings67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4.bin"/><Relationship Id="rId1" Type="http://schemas.openxmlformats.org/officeDocument/2006/relationships/printerSettings" Target="../printerSettings/printerSettings7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6.bin"/><Relationship Id="rId1" Type="http://schemas.openxmlformats.org/officeDocument/2006/relationships/printerSettings" Target="../printerSettings/printerSettings7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7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0.bin"/><Relationship Id="rId1" Type="http://schemas.openxmlformats.org/officeDocument/2006/relationships/printerSettings" Target="../printerSettings/printerSettings7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4.bin"/><Relationship Id="rId1" Type="http://schemas.openxmlformats.org/officeDocument/2006/relationships/printerSettings" Target="../printerSettings/printerSettings8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6.bin"/><Relationship Id="rId1" Type="http://schemas.openxmlformats.org/officeDocument/2006/relationships/printerSettings" Target="../printerSettings/printerSettings85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8.bin"/><Relationship Id="rId1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R627"/>
  <sheetViews>
    <sheetView showGridLines="0" topLeftCell="A431" workbookViewId="0">
      <selection activeCell="C432" sqref="C432"/>
    </sheetView>
  </sheetViews>
  <sheetFormatPr defaultRowHeight="12.75" x14ac:dyDescent="0.2"/>
  <cols>
    <col min="1" max="1" width="4.28515625" style="172" customWidth="1"/>
    <col min="2" max="2" width="3.28515625" style="693" customWidth="1"/>
    <col min="3" max="3" width="6.5703125" customWidth="1"/>
    <col min="4" max="4" width="12.85546875" customWidth="1"/>
    <col min="5" max="5" width="9.5703125" customWidth="1"/>
    <col min="6" max="6" width="7.42578125" customWidth="1"/>
    <col min="7" max="7" width="9.7109375" customWidth="1"/>
    <col min="8" max="8" width="9.42578125" customWidth="1"/>
    <col min="9" max="10" width="11.5703125" customWidth="1"/>
    <col min="11" max="11" width="6.85546875" customWidth="1"/>
    <col min="12" max="12" width="3.5703125" style="181" customWidth="1"/>
    <col min="13" max="13" width="3.140625" style="181" customWidth="1"/>
    <col min="14" max="14" width="7.42578125" style="181" customWidth="1"/>
    <col min="15" max="15" width="8.5703125" style="181" customWidth="1"/>
    <col min="16" max="18" width="9.140625" style="181" customWidth="1"/>
    <col min="19" max="19" width="11" style="181" customWidth="1"/>
    <col min="20" max="20" width="12.5703125" style="181" customWidth="1"/>
    <col min="21" max="96" width="9.140625" style="181" customWidth="1"/>
  </cols>
  <sheetData>
    <row r="1" spans="1:96" x14ac:dyDescent="0.2">
      <c r="B1" s="370"/>
      <c r="C1" s="183"/>
      <c r="D1" s="183"/>
      <c r="E1" s="183"/>
      <c r="F1" s="183"/>
      <c r="G1" s="183"/>
      <c r="H1" s="183"/>
      <c r="I1" s="183"/>
      <c r="J1" s="172"/>
      <c r="K1" s="172"/>
      <c r="L1" s="370"/>
    </row>
    <row r="2" spans="1:96" x14ac:dyDescent="0.2">
      <c r="B2" s="371"/>
      <c r="C2" s="183"/>
      <c r="D2" s="183"/>
      <c r="E2" s="183"/>
      <c r="F2" s="183"/>
      <c r="G2" s="183"/>
      <c r="H2" s="183"/>
      <c r="I2" s="183"/>
      <c r="J2" s="172"/>
      <c r="K2" s="183"/>
    </row>
    <row r="3" spans="1:96" x14ac:dyDescent="0.2">
      <c r="B3" s="371"/>
      <c r="C3" s="183"/>
      <c r="D3" s="183"/>
      <c r="E3" s="183"/>
      <c r="F3" s="183"/>
      <c r="G3" s="183"/>
      <c r="H3" s="183"/>
      <c r="I3" s="183"/>
      <c r="J3" s="172"/>
      <c r="K3" s="183"/>
    </row>
    <row r="4" spans="1:96" x14ac:dyDescent="0.2">
      <c r="B4" s="371"/>
      <c r="C4" s="183"/>
      <c r="D4" s="183"/>
      <c r="E4" s="183"/>
      <c r="F4" s="183"/>
      <c r="G4" s="183"/>
      <c r="H4" s="183"/>
      <c r="I4" s="183"/>
      <c r="J4" s="172"/>
      <c r="K4" s="183"/>
      <c r="M4" s="182"/>
    </row>
    <row r="5" spans="1:96" ht="16.5" customHeight="1" thickBot="1" x14ac:dyDescent="0.25">
      <c r="B5" s="371"/>
      <c r="C5" s="183"/>
      <c r="D5" s="183"/>
      <c r="E5" s="183"/>
      <c r="F5" s="183"/>
      <c r="G5" s="183"/>
      <c r="H5" s="183"/>
      <c r="I5" s="183"/>
      <c r="J5" s="183"/>
      <c r="K5" s="183"/>
    </row>
    <row r="6" spans="1:96" ht="11.25" customHeight="1" x14ac:dyDescent="0.2">
      <c r="B6" s="371"/>
      <c r="C6" s="183"/>
      <c r="D6" s="183"/>
      <c r="F6" s="183"/>
      <c r="G6" s="183"/>
      <c r="H6" s="183"/>
      <c r="I6" s="183"/>
      <c r="J6" s="183"/>
      <c r="K6" s="183"/>
      <c r="M6" s="341"/>
      <c r="N6" s="342"/>
      <c r="O6" s="342"/>
      <c r="P6" s="342"/>
      <c r="Q6" s="342"/>
      <c r="R6" s="342"/>
      <c r="S6" s="342"/>
      <c r="T6" s="343"/>
    </row>
    <row r="7" spans="1:96" s="977" customFormat="1" ht="31.5" customHeight="1" x14ac:dyDescent="0.35">
      <c r="A7" s="172"/>
      <c r="B7" s="371"/>
      <c r="C7" s="183"/>
      <c r="D7" s="183"/>
      <c r="F7" s="183"/>
      <c r="G7" s="183"/>
      <c r="H7" s="183"/>
      <c r="I7" s="183"/>
      <c r="J7" s="183"/>
      <c r="K7" s="183"/>
      <c r="L7" s="181"/>
      <c r="M7" s="344"/>
      <c r="N7" s="182"/>
      <c r="O7" s="182"/>
      <c r="P7" s="182"/>
      <c r="Q7" s="1014" t="s">
        <v>2052</v>
      </c>
      <c r="R7" s="182"/>
      <c r="S7" s="182"/>
      <c r="T7" s="345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</row>
    <row r="8" spans="1:96" s="977" customFormat="1" ht="18" customHeight="1" x14ac:dyDescent="0.35">
      <c r="A8" s="172"/>
      <c r="B8" s="371"/>
      <c r="C8" s="183"/>
      <c r="D8" s="183"/>
      <c r="F8" s="183"/>
      <c r="G8" s="183"/>
      <c r="H8" s="183"/>
      <c r="I8" s="183"/>
      <c r="J8" s="183"/>
      <c r="K8" s="183"/>
      <c r="L8" s="181"/>
      <c r="M8" s="344"/>
      <c r="N8" s="182"/>
      <c r="O8" s="2275" t="s">
        <v>2308</v>
      </c>
      <c r="P8" s="2275"/>
      <c r="Q8" s="2275"/>
      <c r="R8" s="2275"/>
      <c r="S8" s="2275"/>
      <c r="T8" s="345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1"/>
      <c r="BD8" s="181"/>
      <c r="BE8" s="181"/>
      <c r="BF8" s="181"/>
      <c r="BG8" s="181"/>
      <c r="BH8" s="181"/>
      <c r="BI8" s="181"/>
      <c r="BJ8" s="181"/>
      <c r="BK8" s="181"/>
      <c r="BL8" s="181"/>
      <c r="BM8" s="181"/>
      <c r="BN8" s="181"/>
      <c r="BO8" s="181"/>
      <c r="BP8" s="181"/>
      <c r="BQ8" s="181"/>
      <c r="BR8" s="181"/>
      <c r="BS8" s="181"/>
      <c r="BT8" s="181"/>
      <c r="BU8" s="181"/>
      <c r="BV8" s="181"/>
      <c r="BW8" s="181"/>
      <c r="BX8" s="181"/>
      <c r="BY8" s="181"/>
      <c r="BZ8" s="181"/>
      <c r="CA8" s="181"/>
      <c r="CB8" s="181"/>
      <c r="CC8" s="181"/>
      <c r="CD8" s="181"/>
      <c r="CE8" s="181"/>
      <c r="CF8" s="181"/>
      <c r="CG8" s="181"/>
      <c r="CH8" s="181"/>
      <c r="CI8" s="181"/>
      <c r="CJ8" s="181"/>
      <c r="CK8" s="181"/>
      <c r="CL8" s="181"/>
      <c r="CM8" s="181"/>
      <c r="CN8" s="181"/>
      <c r="CO8" s="181"/>
      <c r="CP8" s="181"/>
      <c r="CQ8" s="181"/>
      <c r="CR8" s="181"/>
    </row>
    <row r="9" spans="1:96" s="977" customFormat="1" ht="15" customHeight="1" x14ac:dyDescent="0.35">
      <c r="A9" s="172"/>
      <c r="B9" s="371"/>
      <c r="C9" s="183"/>
      <c r="D9" s="183"/>
      <c r="F9" s="183"/>
      <c r="G9" s="183"/>
      <c r="H9" s="183"/>
      <c r="I9" s="183"/>
      <c r="J9" s="183"/>
      <c r="K9" s="183"/>
      <c r="L9" s="181"/>
      <c r="M9" s="344"/>
      <c r="N9" s="182"/>
      <c r="O9" s="1015"/>
      <c r="P9" s="1016" t="s">
        <v>2053</v>
      </c>
      <c r="Q9" s="1017"/>
      <c r="R9" s="1017"/>
      <c r="S9" s="1017"/>
      <c r="T9" s="345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Q9" s="181"/>
      <c r="BR9" s="181"/>
      <c r="BS9" s="181"/>
      <c r="BT9" s="181"/>
      <c r="BU9" s="181"/>
      <c r="BV9" s="181"/>
      <c r="BW9" s="181"/>
      <c r="BX9" s="181"/>
      <c r="BY9" s="181"/>
      <c r="BZ9" s="181"/>
      <c r="CA9" s="181"/>
      <c r="CB9" s="181"/>
      <c r="CC9" s="181"/>
      <c r="CD9" s="181"/>
      <c r="CE9" s="181"/>
      <c r="CF9" s="181"/>
      <c r="CG9" s="181"/>
      <c r="CH9" s="181"/>
      <c r="CI9" s="181"/>
      <c r="CJ9" s="181"/>
      <c r="CK9" s="181"/>
      <c r="CL9" s="181"/>
      <c r="CM9" s="181"/>
      <c r="CN9" s="181"/>
      <c r="CO9" s="181"/>
      <c r="CP9" s="181"/>
      <c r="CQ9" s="181"/>
      <c r="CR9" s="181"/>
    </row>
    <row r="10" spans="1:96" ht="15.75" x14ac:dyDescent="0.3">
      <c r="A10" s="173"/>
      <c r="B10" s="371"/>
      <c r="C10" s="173"/>
      <c r="D10" s="333"/>
      <c r="E10" s="173"/>
      <c r="F10" s="173"/>
      <c r="G10" s="173"/>
      <c r="H10" s="183"/>
      <c r="I10" s="173"/>
      <c r="J10" s="173"/>
      <c r="K10" s="173"/>
      <c r="M10" s="344"/>
      <c r="N10" s="599"/>
      <c r="O10" s="599"/>
      <c r="P10" s="599"/>
      <c r="Q10" s="599"/>
      <c r="R10" s="599"/>
      <c r="S10" s="599"/>
      <c r="T10" s="345"/>
    </row>
    <row r="11" spans="1:96" ht="21" x14ac:dyDescent="0.35">
      <c r="A11" s="173"/>
      <c r="B11" s="371"/>
      <c r="C11" s="173"/>
      <c r="D11" s="333"/>
      <c r="E11" s="173"/>
      <c r="F11" s="173"/>
      <c r="G11" s="173"/>
      <c r="H11" s="173"/>
      <c r="I11" s="173"/>
      <c r="J11" s="173"/>
      <c r="K11" s="173"/>
      <c r="M11" s="344"/>
      <c r="N11" s="599"/>
      <c r="O11" s="599"/>
      <c r="P11" s="610"/>
      <c r="Q11" s="611" t="s">
        <v>763</v>
      </c>
      <c r="R11" s="610"/>
      <c r="S11" s="599"/>
      <c r="T11" s="345"/>
    </row>
    <row r="12" spans="1:96" ht="14.25" customHeight="1" x14ac:dyDescent="0.35">
      <c r="A12" s="173"/>
      <c r="B12" s="371"/>
      <c r="C12" s="173"/>
      <c r="D12" s="333"/>
      <c r="E12" s="173"/>
      <c r="F12" s="173"/>
      <c r="G12" s="173"/>
      <c r="H12" s="173"/>
      <c r="I12" s="173"/>
      <c r="J12" s="173"/>
      <c r="K12" s="173"/>
      <c r="M12" s="344"/>
      <c r="N12" s="599"/>
      <c r="O12" s="599"/>
      <c r="P12" s="604"/>
      <c r="Q12" s="604"/>
      <c r="R12" s="604"/>
      <c r="S12" s="599"/>
      <c r="T12" s="345"/>
    </row>
    <row r="13" spans="1:96" ht="18.75" customHeight="1" x14ac:dyDescent="0.35">
      <c r="A13" s="173"/>
      <c r="B13" s="371"/>
      <c r="C13" s="173"/>
      <c r="D13" s="333"/>
      <c r="E13" s="173"/>
      <c r="F13" s="173"/>
      <c r="G13" s="173"/>
      <c r="H13" s="173"/>
      <c r="I13" s="173"/>
      <c r="J13" s="173"/>
      <c r="K13" s="173"/>
      <c r="M13" s="344"/>
      <c r="N13" s="599"/>
      <c r="O13" s="599"/>
      <c r="P13" s="604"/>
      <c r="Q13" s="1246" t="s">
        <v>2271</v>
      </c>
      <c r="R13" s="604"/>
      <c r="S13" s="599"/>
      <c r="T13" s="345"/>
    </row>
    <row r="14" spans="1:96" ht="16.5" customHeight="1" x14ac:dyDescent="0.35">
      <c r="A14" s="173"/>
      <c r="B14" s="371"/>
      <c r="C14" s="173"/>
      <c r="D14" s="333"/>
      <c r="E14" s="173"/>
      <c r="F14" s="173"/>
      <c r="G14" s="173"/>
      <c r="H14" s="173"/>
      <c r="I14" s="173"/>
      <c r="J14" s="173"/>
      <c r="K14" s="173"/>
      <c r="M14" s="344"/>
      <c r="N14" s="770"/>
      <c r="O14" s="2277" t="s">
        <v>2791</v>
      </c>
      <c r="P14" s="2277"/>
      <c r="Q14" s="2277"/>
      <c r="R14" s="2277"/>
      <c r="S14" s="2277"/>
      <c r="T14" s="345"/>
    </row>
    <row r="15" spans="1:96" ht="19.5" customHeight="1" x14ac:dyDescent="0.35">
      <c r="A15" s="173"/>
      <c r="B15" s="371"/>
      <c r="C15" s="173"/>
      <c r="D15" s="333"/>
      <c r="E15" s="173"/>
      <c r="F15" s="173"/>
      <c r="G15" s="173"/>
      <c r="H15" s="173"/>
      <c r="I15" s="173"/>
      <c r="J15" s="173"/>
      <c r="K15" s="173"/>
      <c r="M15" s="344"/>
      <c r="N15" s="2276" t="s">
        <v>1541</v>
      </c>
      <c r="O15" s="2276"/>
      <c r="P15" s="2276"/>
      <c r="Q15" s="2276"/>
      <c r="R15" s="2276"/>
      <c r="S15" s="2276"/>
      <c r="T15" s="345"/>
    </row>
    <row r="16" spans="1:96" ht="36" customHeight="1" x14ac:dyDescent="0.35">
      <c r="A16" s="173"/>
      <c r="B16" s="371"/>
      <c r="C16" s="173"/>
      <c r="D16" s="333"/>
      <c r="E16" s="173"/>
      <c r="F16" s="2256"/>
      <c r="G16" s="2256"/>
      <c r="H16" s="2256"/>
      <c r="I16" s="2256"/>
      <c r="J16" s="2256"/>
      <c r="K16" s="173"/>
      <c r="M16" s="344"/>
      <c r="N16" s="599"/>
      <c r="O16" s="599"/>
      <c r="P16" s="2268" t="s">
        <v>2272</v>
      </c>
      <c r="Q16" s="2268"/>
      <c r="R16" s="604"/>
      <c r="S16" s="599"/>
      <c r="T16" s="345"/>
    </row>
    <row r="17" spans="1:96" ht="45.75" customHeight="1" x14ac:dyDescent="0.85">
      <c r="A17" s="173"/>
      <c r="B17" s="371"/>
      <c r="C17" s="173"/>
      <c r="D17" s="333"/>
      <c r="E17" s="2257"/>
      <c r="F17" s="2257"/>
      <c r="G17" s="2257"/>
      <c r="H17" s="2257"/>
      <c r="I17" s="2257"/>
      <c r="J17" s="2257"/>
      <c r="K17" s="2257"/>
      <c r="M17" s="344"/>
      <c r="N17" s="599"/>
      <c r="O17" s="599"/>
      <c r="P17" s="2272" t="s">
        <v>2042</v>
      </c>
      <c r="Q17" s="2272"/>
      <c r="R17" s="2272"/>
      <c r="S17" s="2272"/>
      <c r="T17" s="345"/>
    </row>
    <row r="18" spans="1:96" s="977" customFormat="1" ht="26.25" customHeight="1" x14ac:dyDescent="0.85">
      <c r="A18" s="173"/>
      <c r="B18" s="371"/>
      <c r="C18" s="173"/>
      <c r="D18" s="333"/>
      <c r="E18" s="1209"/>
      <c r="F18" s="1209"/>
      <c r="G18" s="1209"/>
      <c r="H18" s="1209"/>
      <c r="I18" s="1209"/>
      <c r="J18" s="1209"/>
      <c r="K18" s="1209"/>
      <c r="L18" s="181"/>
      <c r="M18" s="344"/>
      <c r="N18" s="599"/>
      <c r="O18" s="599"/>
      <c r="P18" s="2268" t="s">
        <v>2273</v>
      </c>
      <c r="Q18" s="2268"/>
      <c r="R18" s="2268"/>
      <c r="S18" s="1245"/>
      <c r="T18" s="345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181"/>
      <c r="AX18" s="181"/>
      <c r="AY18" s="181"/>
      <c r="AZ18" s="181"/>
      <c r="BA18" s="181"/>
      <c r="BB18" s="181"/>
      <c r="BC18" s="181"/>
      <c r="BD18" s="181"/>
      <c r="BE18" s="181"/>
      <c r="BF18" s="181"/>
      <c r="BG18" s="181"/>
      <c r="BH18" s="181"/>
      <c r="BI18" s="181"/>
      <c r="BJ18" s="181"/>
      <c r="BK18" s="181"/>
      <c r="BL18" s="181"/>
      <c r="BM18" s="181"/>
      <c r="BN18" s="181"/>
      <c r="BO18" s="181"/>
      <c r="BP18" s="181"/>
      <c r="BQ18" s="181"/>
      <c r="BR18" s="181"/>
      <c r="BS18" s="181"/>
      <c r="BT18" s="181"/>
      <c r="BU18" s="181"/>
      <c r="BV18" s="181"/>
      <c r="BW18" s="181"/>
      <c r="BX18" s="181"/>
      <c r="BY18" s="181"/>
      <c r="BZ18" s="181"/>
      <c r="CA18" s="181"/>
      <c r="CB18" s="181"/>
      <c r="CC18" s="181"/>
      <c r="CD18" s="181"/>
      <c r="CE18" s="181"/>
      <c r="CF18" s="181"/>
      <c r="CG18" s="181"/>
      <c r="CH18" s="181"/>
      <c r="CI18" s="181"/>
      <c r="CJ18" s="181"/>
      <c r="CK18" s="181"/>
      <c r="CL18" s="181"/>
      <c r="CM18" s="181"/>
      <c r="CN18" s="181"/>
      <c r="CO18" s="181"/>
      <c r="CP18" s="181"/>
      <c r="CQ18" s="181"/>
      <c r="CR18" s="181"/>
    </row>
    <row r="19" spans="1:96" ht="38.25" customHeight="1" x14ac:dyDescent="0.8">
      <c r="A19" s="173"/>
      <c r="B19" s="371"/>
      <c r="C19" s="173"/>
      <c r="D19" s="333"/>
      <c r="E19" s="334"/>
      <c r="F19" s="2273"/>
      <c r="G19" s="2273"/>
      <c r="H19" s="2273"/>
      <c r="I19" s="2273"/>
      <c r="J19" s="2273"/>
      <c r="K19" s="334"/>
      <c r="M19" s="344"/>
      <c r="N19" s="599"/>
      <c r="O19" s="599"/>
      <c r="P19" s="2274" t="s">
        <v>2713</v>
      </c>
      <c r="Q19" s="2274"/>
      <c r="R19" s="2274"/>
      <c r="S19" s="2274"/>
      <c r="T19" s="345"/>
    </row>
    <row r="20" spans="1:96" s="1407" customFormat="1" ht="4.5" customHeight="1" x14ac:dyDescent="0.8">
      <c r="A20" s="173"/>
      <c r="B20" s="371"/>
      <c r="C20" s="173"/>
      <c r="D20" s="333"/>
      <c r="E20" s="334"/>
      <c r="F20" s="1409"/>
      <c r="G20" s="1409"/>
      <c r="H20" s="1409"/>
      <c r="I20" s="1409"/>
      <c r="J20" s="1409"/>
      <c r="K20" s="334"/>
      <c r="L20" s="181"/>
      <c r="M20" s="344"/>
      <c r="N20" s="599"/>
      <c r="O20" s="599"/>
      <c r="P20" s="1404"/>
      <c r="Q20" s="1404"/>
      <c r="R20" s="1404"/>
      <c r="S20" s="1404"/>
      <c r="T20" s="345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81"/>
      <c r="BN20" s="181"/>
      <c r="BO20" s="181"/>
      <c r="BP20" s="181"/>
      <c r="BQ20" s="181"/>
      <c r="BR20" s="181"/>
      <c r="BS20" s="181"/>
      <c r="BT20" s="181"/>
      <c r="BU20" s="181"/>
      <c r="BV20" s="181"/>
      <c r="BW20" s="181"/>
      <c r="BX20" s="181"/>
      <c r="BY20" s="181"/>
      <c r="BZ20" s="181"/>
      <c r="CA20" s="181"/>
      <c r="CB20" s="181"/>
      <c r="CC20" s="181"/>
      <c r="CD20" s="181"/>
      <c r="CE20" s="181"/>
      <c r="CF20" s="181"/>
      <c r="CG20" s="181"/>
      <c r="CH20" s="181"/>
      <c r="CI20" s="181"/>
      <c r="CJ20" s="181"/>
      <c r="CK20" s="181"/>
      <c r="CL20" s="181"/>
      <c r="CM20" s="181"/>
      <c r="CN20" s="181"/>
      <c r="CO20" s="181"/>
      <c r="CP20" s="181"/>
      <c r="CQ20" s="181"/>
      <c r="CR20" s="181"/>
    </row>
    <row r="21" spans="1:96" s="1407" customFormat="1" ht="40.5" customHeight="1" x14ac:dyDescent="0.8">
      <c r="A21" s="173"/>
      <c r="B21" s="371"/>
      <c r="C21" s="173"/>
      <c r="D21" s="333"/>
      <c r="E21" s="334"/>
      <c r="F21" s="1409"/>
      <c r="G21" s="1409"/>
      <c r="H21" s="1409"/>
      <c r="I21" s="1409"/>
      <c r="J21" s="1409"/>
      <c r="K21" s="334"/>
      <c r="L21" s="181"/>
      <c r="M21" s="344"/>
      <c r="N21" s="599"/>
      <c r="O21" s="599"/>
      <c r="P21" s="2280" t="s">
        <v>2712</v>
      </c>
      <c r="Q21" s="2280"/>
      <c r="R21" s="2280"/>
      <c r="S21" s="2280"/>
      <c r="T21" s="345"/>
      <c r="U21" s="181"/>
      <c r="V21" s="181"/>
      <c r="W21" s="181"/>
      <c r="X21" s="181"/>
      <c r="Y21" s="181"/>
      <c r="Z21" s="181"/>
      <c r="AA21" s="181"/>
      <c r="AB21" s="181"/>
      <c r="AC21" s="181"/>
      <c r="AD21" s="181"/>
      <c r="AE21" s="181"/>
      <c r="AF21" s="181"/>
      <c r="AG21" s="181"/>
      <c r="AH21" s="181"/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1"/>
      <c r="BK21" s="181"/>
      <c r="BL21" s="181"/>
      <c r="BM21" s="181"/>
      <c r="BN21" s="181"/>
      <c r="BO21" s="181"/>
      <c r="BP21" s="181"/>
      <c r="BQ21" s="181"/>
      <c r="BR21" s="181"/>
      <c r="BS21" s="181"/>
      <c r="BT21" s="181"/>
      <c r="BU21" s="181"/>
      <c r="BV21" s="181"/>
      <c r="BW21" s="181"/>
      <c r="BX21" s="181"/>
      <c r="BY21" s="181"/>
      <c r="BZ21" s="181"/>
      <c r="CA21" s="181"/>
      <c r="CB21" s="181"/>
      <c r="CC21" s="181"/>
      <c r="CD21" s="181"/>
      <c r="CE21" s="181"/>
      <c r="CF21" s="181"/>
      <c r="CG21" s="181"/>
      <c r="CH21" s="181"/>
      <c r="CI21" s="181"/>
      <c r="CJ21" s="181"/>
      <c r="CK21" s="181"/>
      <c r="CL21" s="181"/>
      <c r="CM21" s="181"/>
      <c r="CN21" s="181"/>
      <c r="CO21" s="181"/>
      <c r="CP21" s="181"/>
      <c r="CQ21" s="181"/>
      <c r="CR21" s="181"/>
    </row>
    <row r="22" spans="1:96" s="1227" customFormat="1" ht="38.25" customHeight="1" x14ac:dyDescent="0.8">
      <c r="A22" s="173"/>
      <c r="B22" s="371"/>
      <c r="C22" s="173"/>
      <c r="D22" s="333"/>
      <c r="E22" s="334"/>
      <c r="F22" s="1329"/>
      <c r="G22" s="1329"/>
      <c r="H22" s="1329"/>
      <c r="I22" s="1329"/>
      <c r="J22" s="1329"/>
      <c r="K22" s="334"/>
      <c r="L22" s="181"/>
      <c r="M22" s="344"/>
      <c r="N22" s="599"/>
      <c r="O22" s="599"/>
      <c r="P22" s="2274" t="s">
        <v>2607</v>
      </c>
      <c r="Q22" s="2274"/>
      <c r="R22" s="2274"/>
      <c r="S22" s="2274"/>
      <c r="T22" s="345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  <c r="AV22" s="181"/>
      <c r="AW22" s="181"/>
      <c r="AX22" s="181"/>
      <c r="AY22" s="181"/>
      <c r="AZ22" s="181"/>
      <c r="BA22" s="181"/>
      <c r="BB22" s="181"/>
      <c r="BC22" s="181"/>
      <c r="BD22" s="181"/>
      <c r="BE22" s="181"/>
      <c r="BF22" s="181"/>
      <c r="BG22" s="181"/>
      <c r="BH22" s="181"/>
      <c r="BI22" s="181"/>
      <c r="BJ22" s="181"/>
      <c r="BK22" s="181"/>
      <c r="BL22" s="181"/>
      <c r="BM22" s="181"/>
      <c r="BN22" s="181"/>
      <c r="BO22" s="181"/>
      <c r="BP22" s="181"/>
      <c r="BQ22" s="181"/>
      <c r="BR22" s="181"/>
      <c r="BS22" s="181"/>
      <c r="BT22" s="181"/>
      <c r="BU22" s="181"/>
      <c r="BV22" s="181"/>
      <c r="BW22" s="181"/>
      <c r="BX22" s="181"/>
      <c r="BY22" s="181"/>
      <c r="BZ22" s="181"/>
      <c r="CA22" s="181"/>
      <c r="CB22" s="181"/>
      <c r="CC22" s="181"/>
      <c r="CD22" s="181"/>
      <c r="CE22" s="181"/>
      <c r="CF22" s="181"/>
      <c r="CG22" s="181"/>
      <c r="CH22" s="181"/>
      <c r="CI22" s="181"/>
      <c r="CJ22" s="181"/>
      <c r="CK22" s="181"/>
      <c r="CL22" s="181"/>
      <c r="CM22" s="181"/>
      <c r="CN22" s="181"/>
      <c r="CO22" s="181"/>
      <c r="CP22" s="181"/>
      <c r="CQ22" s="181"/>
      <c r="CR22" s="181"/>
    </row>
    <row r="23" spans="1:96" s="1227" customFormat="1" ht="19.5" customHeight="1" x14ac:dyDescent="0.8">
      <c r="A23" s="173"/>
      <c r="B23" s="371"/>
      <c r="C23" s="173"/>
      <c r="D23" s="333"/>
      <c r="E23" s="334"/>
      <c r="F23" s="1329"/>
      <c r="G23" s="1329"/>
      <c r="H23" s="1329"/>
      <c r="I23" s="1329"/>
      <c r="J23" s="1329"/>
      <c r="K23" s="334"/>
      <c r="L23" s="181"/>
      <c r="M23" s="344"/>
      <c r="N23" s="599"/>
      <c r="O23" s="599"/>
      <c r="P23" s="2281" t="s">
        <v>2877</v>
      </c>
      <c r="Q23" s="2281"/>
      <c r="R23" s="2281"/>
      <c r="S23" s="1408"/>
      <c r="T23" s="345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81"/>
      <c r="BN23" s="181"/>
      <c r="BO23" s="181"/>
      <c r="BP23" s="181"/>
      <c r="BQ23" s="181"/>
      <c r="BR23" s="181"/>
      <c r="BS23" s="181"/>
      <c r="BT23" s="181"/>
      <c r="BU23" s="181"/>
      <c r="BV23" s="181"/>
      <c r="BW23" s="181"/>
      <c r="BX23" s="181"/>
      <c r="BY23" s="181"/>
      <c r="BZ23" s="181"/>
      <c r="CA23" s="181"/>
      <c r="CB23" s="181"/>
      <c r="CC23" s="181"/>
      <c r="CD23" s="181"/>
      <c r="CE23" s="181"/>
      <c r="CF23" s="181"/>
      <c r="CG23" s="181"/>
      <c r="CH23" s="181"/>
      <c r="CI23" s="181"/>
      <c r="CJ23" s="181"/>
      <c r="CK23" s="181"/>
      <c r="CL23" s="181"/>
      <c r="CM23" s="181"/>
      <c r="CN23" s="181"/>
      <c r="CO23" s="181"/>
      <c r="CP23" s="181"/>
      <c r="CQ23" s="181"/>
      <c r="CR23" s="181"/>
    </row>
    <row r="24" spans="1:96" ht="16.5" customHeight="1" x14ac:dyDescent="0.3">
      <c r="A24" s="173"/>
      <c r="B24" s="371"/>
      <c r="C24" s="173"/>
      <c r="D24" s="333"/>
      <c r="E24" s="173"/>
      <c r="F24" s="173"/>
      <c r="G24" s="173"/>
      <c r="H24" s="173"/>
      <c r="I24" s="173"/>
      <c r="J24" s="173"/>
      <c r="K24" s="173"/>
      <c r="M24" s="344"/>
      <c r="N24" s="599"/>
      <c r="O24" s="737"/>
      <c r="P24" s="2281"/>
      <c r="Q24" s="2281"/>
      <c r="R24" s="2281"/>
      <c r="S24" s="1408"/>
      <c r="T24" s="345"/>
    </row>
    <row r="25" spans="1:96" ht="10.5" customHeight="1" x14ac:dyDescent="0.3">
      <c r="A25" s="173"/>
      <c r="B25" s="371"/>
      <c r="C25" s="173"/>
      <c r="D25" s="333"/>
      <c r="E25" s="173"/>
      <c r="F25" s="173"/>
      <c r="G25" s="173"/>
      <c r="H25" s="173"/>
      <c r="I25" s="173"/>
      <c r="J25" s="173"/>
      <c r="K25" s="173"/>
      <c r="M25" s="344"/>
      <c r="N25" s="599"/>
      <c r="O25" s="599"/>
      <c r="P25" s="738"/>
      <c r="Q25" s="738"/>
      <c r="R25" s="736"/>
      <c r="S25" s="1247"/>
      <c r="T25" s="345"/>
      <c r="U25" s="688"/>
    </row>
    <row r="26" spans="1:96" ht="12.75" customHeight="1" x14ac:dyDescent="0.3">
      <c r="A26" s="173"/>
      <c r="B26" s="371"/>
      <c r="C26" s="173"/>
      <c r="D26" s="333"/>
      <c r="E26" s="173"/>
      <c r="F26" s="173"/>
      <c r="G26" s="173"/>
      <c r="H26" s="173"/>
      <c r="I26" s="173"/>
      <c r="J26" s="173"/>
      <c r="K26" s="173"/>
      <c r="M26" s="344"/>
      <c r="N26" s="599"/>
      <c r="O26" s="599"/>
      <c r="P26" s="738" t="s">
        <v>2807</v>
      </c>
      <c r="Q26" s="738"/>
      <c r="R26" s="738"/>
      <c r="S26" s="599"/>
      <c r="T26" s="345"/>
    </row>
    <row r="27" spans="1:96" ht="16.5" customHeight="1" x14ac:dyDescent="0.3">
      <c r="A27" s="173"/>
      <c r="B27" s="371"/>
      <c r="C27" s="173"/>
      <c r="D27" s="333"/>
      <c r="E27" s="173"/>
      <c r="F27" s="173"/>
      <c r="G27" s="173"/>
      <c r="H27" s="173"/>
      <c r="I27" s="173"/>
      <c r="J27" s="173"/>
      <c r="K27" s="173"/>
      <c r="M27" s="344"/>
      <c r="N27" s="599"/>
      <c r="O27" s="599"/>
      <c r="P27" s="739" t="s">
        <v>2848</v>
      </c>
      <c r="Q27" s="739"/>
      <c r="R27" s="739"/>
      <c r="T27" s="345"/>
    </row>
    <row r="28" spans="1:96" s="1407" customFormat="1" ht="8.25" customHeight="1" x14ac:dyDescent="0.3">
      <c r="A28" s="173"/>
      <c r="B28" s="371"/>
      <c r="C28" s="173"/>
      <c r="D28" s="333"/>
      <c r="E28" s="173"/>
      <c r="F28" s="173"/>
      <c r="G28" s="173"/>
      <c r="H28" s="173"/>
      <c r="I28" s="173"/>
      <c r="J28" s="173"/>
      <c r="K28" s="173"/>
      <c r="L28" s="181"/>
      <c r="M28" s="344"/>
      <c r="N28" s="599"/>
      <c r="O28" s="599"/>
      <c r="P28" s="739"/>
      <c r="Q28" s="739"/>
      <c r="R28" s="739"/>
      <c r="S28" s="181"/>
      <c r="T28" s="345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81"/>
      <c r="AJ28" s="181"/>
      <c r="AK28" s="181"/>
      <c r="AL28" s="181"/>
      <c r="AM28" s="181"/>
      <c r="AN28" s="181"/>
      <c r="AO28" s="181"/>
      <c r="AP28" s="181"/>
      <c r="AQ28" s="181"/>
      <c r="AR28" s="181"/>
      <c r="AS28" s="181"/>
      <c r="AT28" s="181"/>
      <c r="AU28" s="181"/>
      <c r="AV28" s="181"/>
      <c r="AW28" s="181"/>
      <c r="AX28" s="181"/>
      <c r="AY28" s="181"/>
      <c r="AZ28" s="181"/>
      <c r="BA28" s="181"/>
      <c r="BB28" s="181"/>
      <c r="BC28" s="181"/>
      <c r="BD28" s="181"/>
      <c r="BE28" s="181"/>
      <c r="BF28" s="181"/>
      <c r="BG28" s="181"/>
      <c r="BH28" s="181"/>
      <c r="BI28" s="181"/>
      <c r="BJ28" s="181"/>
      <c r="BK28" s="181"/>
      <c r="BL28" s="181"/>
      <c r="BM28" s="181"/>
      <c r="BN28" s="181"/>
      <c r="BO28" s="181"/>
      <c r="BP28" s="18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1"/>
      <c r="CB28" s="181"/>
      <c r="CC28" s="181"/>
      <c r="CD28" s="181"/>
      <c r="CE28" s="181"/>
      <c r="CF28" s="181"/>
      <c r="CG28" s="181"/>
      <c r="CH28" s="181"/>
      <c r="CI28" s="181"/>
      <c r="CJ28" s="181"/>
      <c r="CK28" s="181"/>
      <c r="CL28" s="181"/>
      <c r="CM28" s="181"/>
      <c r="CN28" s="181"/>
      <c r="CO28" s="181"/>
      <c r="CP28" s="181"/>
      <c r="CQ28" s="181"/>
      <c r="CR28" s="181"/>
    </row>
    <row r="29" spans="1:96" s="1581" customFormat="1" ht="12.75" customHeight="1" x14ac:dyDescent="0.3">
      <c r="A29" s="173"/>
      <c r="B29" s="371"/>
      <c r="C29" s="173"/>
      <c r="D29" s="333"/>
      <c r="E29" s="173"/>
      <c r="F29" s="173"/>
      <c r="G29" s="173"/>
      <c r="H29" s="173"/>
      <c r="I29" s="173"/>
      <c r="J29" s="173"/>
      <c r="K29" s="173"/>
      <c r="L29" s="181"/>
      <c r="M29" s="344"/>
      <c r="N29" s="599"/>
      <c r="O29" s="599"/>
      <c r="P29" s="738" t="s">
        <v>2944</v>
      </c>
      <c r="Q29" s="738"/>
      <c r="R29" s="738"/>
      <c r="S29" s="599"/>
      <c r="T29" s="345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1"/>
      <c r="AL29" s="181"/>
      <c r="AM29" s="181"/>
      <c r="AN29" s="181"/>
      <c r="AO29" s="181"/>
      <c r="AP29" s="181"/>
      <c r="AQ29" s="181"/>
      <c r="AR29" s="181"/>
      <c r="AS29" s="181"/>
      <c r="AT29" s="181"/>
      <c r="AU29" s="181"/>
      <c r="AV29" s="181"/>
      <c r="AW29" s="181"/>
      <c r="AX29" s="181"/>
      <c r="AY29" s="181"/>
      <c r="AZ29" s="181"/>
      <c r="BA29" s="181"/>
      <c r="BB29" s="181"/>
      <c r="BC29" s="181"/>
      <c r="BD29" s="181"/>
      <c r="BE29" s="181"/>
      <c r="BF29" s="181"/>
      <c r="BG29" s="181"/>
      <c r="BH29" s="181"/>
      <c r="BI29" s="181"/>
      <c r="BJ29" s="181"/>
      <c r="BK29" s="181"/>
      <c r="BL29" s="181"/>
      <c r="BM29" s="181"/>
      <c r="BN29" s="181"/>
      <c r="BO29" s="181"/>
      <c r="BP29" s="181"/>
      <c r="BQ29" s="181"/>
      <c r="BR29" s="181"/>
      <c r="BS29" s="181"/>
      <c r="BT29" s="181"/>
      <c r="BU29" s="181"/>
      <c r="BV29" s="181"/>
      <c r="BW29" s="181"/>
      <c r="BX29" s="181"/>
      <c r="BY29" s="181"/>
      <c r="BZ29" s="181"/>
      <c r="CA29" s="181"/>
      <c r="CB29" s="181"/>
      <c r="CC29" s="181"/>
      <c r="CD29" s="181"/>
      <c r="CE29" s="181"/>
      <c r="CF29" s="181"/>
      <c r="CG29" s="181"/>
      <c r="CH29" s="181"/>
      <c r="CI29" s="181"/>
      <c r="CJ29" s="181"/>
      <c r="CK29" s="181"/>
      <c r="CL29" s="181"/>
      <c r="CM29" s="181"/>
      <c r="CN29" s="181"/>
      <c r="CO29" s="181"/>
      <c r="CP29" s="181"/>
      <c r="CQ29" s="181"/>
      <c r="CR29" s="181"/>
    </row>
    <row r="30" spans="1:96" s="1581" customFormat="1" ht="16.5" customHeight="1" x14ac:dyDescent="0.3">
      <c r="A30" s="173"/>
      <c r="B30" s="371"/>
      <c r="C30" s="173"/>
      <c r="D30" s="333"/>
      <c r="E30" s="173"/>
      <c r="F30" s="173"/>
      <c r="G30" s="173"/>
      <c r="H30" s="173"/>
      <c r="I30" s="173"/>
      <c r="J30" s="173"/>
      <c r="K30" s="173"/>
      <c r="L30" s="181"/>
      <c r="M30" s="344"/>
      <c r="N30" s="599"/>
      <c r="O30" s="599"/>
      <c r="P30" s="739" t="s">
        <v>2943</v>
      </c>
      <c r="Q30" s="739"/>
      <c r="R30" s="739"/>
      <c r="S30" s="181"/>
      <c r="T30" s="345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  <c r="AK30" s="181"/>
      <c r="AL30" s="181"/>
      <c r="AM30" s="181"/>
      <c r="AN30" s="181"/>
      <c r="AO30" s="181"/>
      <c r="AP30" s="181"/>
      <c r="AQ30" s="181"/>
      <c r="AR30" s="181"/>
      <c r="AS30" s="181"/>
      <c r="AT30" s="181"/>
      <c r="AU30" s="181"/>
      <c r="AV30" s="181"/>
      <c r="AW30" s="181"/>
      <c r="AX30" s="181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1"/>
      <c r="BU30" s="181"/>
      <c r="BV30" s="181"/>
      <c r="BW30" s="181"/>
      <c r="BX30" s="181"/>
      <c r="BY30" s="181"/>
      <c r="BZ30" s="181"/>
      <c r="CA30" s="181"/>
      <c r="CB30" s="181"/>
      <c r="CC30" s="181"/>
      <c r="CD30" s="181"/>
      <c r="CE30" s="181"/>
      <c r="CF30" s="181"/>
      <c r="CG30" s="181"/>
      <c r="CH30" s="181"/>
      <c r="CI30" s="181"/>
      <c r="CJ30" s="181"/>
      <c r="CK30" s="181"/>
      <c r="CL30" s="181"/>
      <c r="CM30" s="181"/>
      <c r="CN30" s="181"/>
      <c r="CO30" s="181"/>
      <c r="CP30" s="181"/>
      <c r="CQ30" s="181"/>
      <c r="CR30" s="181"/>
    </row>
    <row r="31" spans="1:96" s="977" customFormat="1" ht="17.25" customHeight="1" thickBot="1" x14ac:dyDescent="0.3">
      <c r="A31" s="173"/>
      <c r="B31" s="371"/>
      <c r="C31" s="173"/>
      <c r="D31" s="333"/>
      <c r="E31" s="173"/>
      <c r="F31" s="173"/>
      <c r="G31" s="173"/>
      <c r="H31" s="173"/>
      <c r="I31" s="173"/>
      <c r="J31" s="173"/>
      <c r="K31" s="173"/>
      <c r="L31" s="181"/>
      <c r="M31" s="346"/>
      <c r="N31" s="1248"/>
      <c r="O31" s="1248"/>
      <c r="P31" s="1248"/>
      <c r="Q31" s="1248"/>
      <c r="R31" s="1248"/>
      <c r="S31" s="1248"/>
      <c r="T31" s="347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81"/>
      <c r="AJ31" s="181"/>
      <c r="AK31" s="181"/>
      <c r="AL31" s="181"/>
      <c r="AM31" s="181"/>
      <c r="AN31" s="181"/>
      <c r="AO31" s="181"/>
      <c r="AP31" s="181"/>
      <c r="AQ31" s="181"/>
      <c r="AR31" s="181"/>
      <c r="AS31" s="181"/>
      <c r="AT31" s="181"/>
      <c r="AU31" s="181"/>
      <c r="AV31" s="181"/>
      <c r="AW31" s="181"/>
      <c r="AX31" s="181"/>
      <c r="AY31" s="181"/>
      <c r="AZ31" s="181"/>
      <c r="BA31" s="181"/>
      <c r="BB31" s="181"/>
      <c r="BC31" s="181"/>
      <c r="BD31" s="181"/>
      <c r="BE31" s="181"/>
      <c r="BF31" s="181"/>
      <c r="BG31" s="181"/>
      <c r="BH31" s="181"/>
      <c r="BI31" s="181"/>
      <c r="BJ31" s="181"/>
      <c r="BK31" s="181"/>
      <c r="BL31" s="181"/>
      <c r="BM31" s="181"/>
      <c r="BN31" s="181"/>
      <c r="BO31" s="181"/>
      <c r="BP31" s="181"/>
      <c r="BQ31" s="181"/>
      <c r="BR31" s="181"/>
      <c r="BS31" s="181"/>
      <c r="BT31" s="181"/>
      <c r="BU31" s="181"/>
      <c r="BV31" s="181"/>
      <c r="BW31" s="181"/>
      <c r="BX31" s="181"/>
      <c r="BY31" s="181"/>
      <c r="BZ31" s="181"/>
      <c r="CA31" s="181"/>
      <c r="CB31" s="181"/>
      <c r="CC31" s="181"/>
      <c r="CD31" s="181"/>
      <c r="CE31" s="181"/>
      <c r="CF31" s="181"/>
      <c r="CG31" s="181"/>
      <c r="CH31" s="181"/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</row>
    <row r="32" spans="1:96" s="977" customFormat="1" ht="17.25" customHeight="1" x14ac:dyDescent="0.25">
      <c r="A32" s="173"/>
      <c r="B32" s="371"/>
      <c r="C32" s="173"/>
      <c r="D32" s="333"/>
      <c r="E32" s="173"/>
      <c r="F32" s="173"/>
      <c r="G32" s="173"/>
      <c r="H32" s="173"/>
      <c r="I32" s="173"/>
      <c r="J32" s="173"/>
      <c r="K32" s="173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81"/>
      <c r="AJ32" s="181"/>
      <c r="AK32" s="181"/>
      <c r="AL32" s="181"/>
      <c r="AM32" s="181"/>
      <c r="AN32" s="181"/>
      <c r="AO32" s="181"/>
      <c r="AP32" s="181"/>
      <c r="AQ32" s="181"/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1"/>
      <c r="BK32" s="181"/>
      <c r="BL32" s="181"/>
      <c r="BM32" s="181"/>
      <c r="BN32" s="181"/>
      <c r="BO32" s="181"/>
      <c r="BP32" s="181"/>
      <c r="BQ32" s="181"/>
      <c r="BR32" s="181"/>
      <c r="BS32" s="181"/>
      <c r="BT32" s="181"/>
      <c r="BU32" s="181"/>
      <c r="BV32" s="181"/>
      <c r="BW32" s="181"/>
      <c r="BX32" s="181"/>
      <c r="BY32" s="181"/>
      <c r="BZ32" s="181"/>
      <c r="CA32" s="181"/>
      <c r="CB32" s="181"/>
      <c r="CC32" s="181"/>
      <c r="CD32" s="181"/>
      <c r="CE32" s="181"/>
      <c r="CF32" s="181"/>
      <c r="CG32" s="181"/>
      <c r="CH32" s="181"/>
      <c r="CI32" s="181"/>
      <c r="CJ32" s="181"/>
      <c r="CK32" s="181"/>
      <c r="CL32" s="181"/>
      <c r="CM32" s="181"/>
      <c r="CN32" s="181"/>
      <c r="CO32" s="181"/>
      <c r="CP32" s="181"/>
      <c r="CQ32" s="181"/>
      <c r="CR32" s="181"/>
    </row>
    <row r="33" spans="1:96" s="977" customFormat="1" ht="17.25" customHeight="1" x14ac:dyDescent="0.25">
      <c r="A33" s="173"/>
      <c r="B33" s="371"/>
      <c r="C33" s="173"/>
      <c r="D33" s="333"/>
      <c r="E33" s="173"/>
      <c r="F33" s="173"/>
      <c r="G33" s="173"/>
      <c r="H33" s="173"/>
      <c r="I33" s="173"/>
      <c r="J33" s="173"/>
      <c r="K33" s="173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1"/>
      <c r="BA33" s="181"/>
      <c r="BB33" s="181"/>
      <c r="BC33" s="181"/>
      <c r="BD33" s="181"/>
      <c r="BE33" s="181"/>
      <c r="BF33" s="181"/>
      <c r="BG33" s="181"/>
      <c r="BH33" s="181"/>
      <c r="BI33" s="181"/>
      <c r="BJ33" s="181"/>
      <c r="BK33" s="181"/>
      <c r="BL33" s="181"/>
      <c r="BM33" s="181"/>
      <c r="BN33" s="181"/>
      <c r="BO33" s="181"/>
      <c r="BP33" s="181"/>
      <c r="BQ33" s="181"/>
      <c r="BR33" s="181"/>
      <c r="BS33" s="181"/>
      <c r="BT33" s="181"/>
      <c r="BU33" s="181"/>
      <c r="BV33" s="181"/>
      <c r="BW33" s="181"/>
      <c r="BX33" s="181"/>
      <c r="BY33" s="181"/>
      <c r="BZ33" s="181"/>
      <c r="CA33" s="181"/>
      <c r="CB33" s="181"/>
      <c r="CC33" s="181"/>
      <c r="CD33" s="181"/>
      <c r="CE33" s="181"/>
      <c r="CF33" s="181"/>
      <c r="CG33" s="181"/>
      <c r="CH33" s="181"/>
      <c r="CI33" s="181"/>
      <c r="CJ33" s="181"/>
      <c r="CK33" s="181"/>
      <c r="CL33" s="181"/>
      <c r="CM33" s="181"/>
      <c r="CN33" s="181"/>
      <c r="CO33" s="181"/>
      <c r="CP33" s="181"/>
      <c r="CQ33" s="181"/>
      <c r="CR33" s="181"/>
    </row>
    <row r="34" spans="1:96" s="977" customFormat="1" ht="17.25" customHeight="1" x14ac:dyDescent="0.25">
      <c r="A34" s="173"/>
      <c r="B34" s="371"/>
      <c r="C34" s="173"/>
      <c r="D34" s="333"/>
      <c r="E34" s="173"/>
      <c r="F34" s="173"/>
      <c r="G34" s="173"/>
      <c r="H34" s="173"/>
      <c r="I34" s="173"/>
      <c r="J34" s="173"/>
      <c r="K34" s="173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  <c r="AO34" s="181"/>
      <c r="AP34" s="181"/>
      <c r="AQ34" s="181"/>
      <c r="AR34" s="181"/>
      <c r="AS34" s="181"/>
      <c r="AT34" s="181"/>
      <c r="AU34" s="181"/>
      <c r="AV34" s="181"/>
      <c r="AW34" s="181"/>
      <c r="AX34" s="181"/>
      <c r="AY34" s="181"/>
      <c r="AZ34" s="181"/>
      <c r="BA34" s="181"/>
      <c r="BB34" s="181"/>
      <c r="BC34" s="181"/>
      <c r="BD34" s="181"/>
      <c r="BE34" s="181"/>
      <c r="BF34" s="181"/>
      <c r="BG34" s="181"/>
      <c r="BH34" s="181"/>
      <c r="BI34" s="181"/>
      <c r="BJ34" s="181"/>
      <c r="BK34" s="181"/>
      <c r="BL34" s="181"/>
      <c r="BM34" s="181"/>
      <c r="BN34" s="181"/>
      <c r="BO34" s="181"/>
      <c r="BP34" s="181"/>
      <c r="BQ34" s="181"/>
      <c r="BR34" s="181"/>
      <c r="BS34" s="181"/>
      <c r="BT34" s="181"/>
      <c r="BU34" s="181"/>
      <c r="BV34" s="181"/>
      <c r="BW34" s="181"/>
      <c r="BX34" s="181"/>
      <c r="BY34" s="181"/>
      <c r="BZ34" s="181"/>
      <c r="CA34" s="181"/>
      <c r="CB34" s="181"/>
      <c r="CC34" s="181"/>
      <c r="CD34" s="181"/>
      <c r="CE34" s="181"/>
      <c r="CF34" s="181"/>
      <c r="CG34" s="181"/>
      <c r="CH34" s="181"/>
      <c r="CI34" s="181"/>
      <c r="CJ34" s="181"/>
      <c r="CK34" s="181"/>
      <c r="CL34" s="181"/>
      <c r="CM34" s="181"/>
      <c r="CN34" s="181"/>
      <c r="CO34" s="181"/>
      <c r="CP34" s="181"/>
      <c r="CQ34" s="181"/>
      <c r="CR34" s="181"/>
    </row>
    <row r="35" spans="1:96" s="977" customFormat="1" ht="17.25" customHeight="1" x14ac:dyDescent="0.25">
      <c r="A35" s="173"/>
      <c r="B35" s="371"/>
      <c r="C35" s="173"/>
      <c r="D35" s="333"/>
      <c r="E35" s="173"/>
      <c r="F35" s="173"/>
      <c r="G35" s="173"/>
      <c r="H35" s="173"/>
      <c r="I35" s="173"/>
      <c r="J35" s="173"/>
      <c r="K35" s="173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81"/>
      <c r="AJ35" s="181"/>
      <c r="AK35" s="181"/>
      <c r="AL35" s="181"/>
      <c r="AM35" s="181"/>
      <c r="AN35" s="181"/>
      <c r="AO35" s="181"/>
      <c r="AP35" s="181"/>
      <c r="AQ35" s="181"/>
      <c r="AR35" s="181"/>
      <c r="AS35" s="181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1"/>
      <c r="BU35" s="181"/>
      <c r="BV35" s="181"/>
      <c r="BW35" s="181"/>
      <c r="BX35" s="181"/>
      <c r="BY35" s="181"/>
      <c r="BZ35" s="181"/>
      <c r="CA35" s="181"/>
      <c r="CB35" s="181"/>
      <c r="CC35" s="181"/>
      <c r="CD35" s="181"/>
      <c r="CE35" s="181"/>
      <c r="CF35" s="181"/>
      <c r="CG35" s="181"/>
      <c r="CH35" s="181"/>
      <c r="CI35" s="181"/>
      <c r="CJ35" s="181"/>
      <c r="CK35" s="181"/>
      <c r="CL35" s="181"/>
      <c r="CM35" s="181"/>
      <c r="CN35" s="181"/>
      <c r="CO35" s="181"/>
      <c r="CP35" s="181"/>
      <c r="CQ35" s="181"/>
      <c r="CR35" s="181"/>
    </row>
    <row r="36" spans="1:96" ht="15" customHeight="1" x14ac:dyDescent="0.25">
      <c r="A36" s="173"/>
      <c r="B36" s="371"/>
      <c r="C36" s="173"/>
      <c r="D36" s="333"/>
      <c r="E36" s="173"/>
      <c r="F36" s="173"/>
      <c r="G36" s="173"/>
      <c r="H36" s="173"/>
      <c r="I36" s="173"/>
      <c r="J36" s="173"/>
      <c r="K36" s="173"/>
    </row>
    <row r="37" spans="1:96" ht="15" customHeight="1" x14ac:dyDescent="0.25">
      <c r="A37" s="173"/>
      <c r="B37" s="371"/>
      <c r="C37" s="173"/>
      <c r="D37" s="333"/>
      <c r="E37" s="173"/>
      <c r="F37" s="173"/>
      <c r="G37" s="173"/>
      <c r="H37" s="173"/>
      <c r="I37" s="173"/>
      <c r="J37" s="173"/>
      <c r="K37" s="173"/>
    </row>
    <row r="38" spans="1:96" ht="15" customHeight="1" x14ac:dyDescent="0.25">
      <c r="A38" s="173"/>
      <c r="B38" s="371"/>
      <c r="C38" s="173"/>
      <c r="D38" s="333"/>
      <c r="E38" s="173"/>
      <c r="F38" s="173"/>
      <c r="G38" s="173"/>
      <c r="H38" s="173"/>
      <c r="I38" s="173"/>
      <c r="J38" s="173"/>
      <c r="K38" s="173"/>
    </row>
    <row r="39" spans="1:96" ht="12.75" customHeight="1" x14ac:dyDescent="0.25">
      <c r="A39" s="173"/>
      <c r="B39" s="371"/>
      <c r="C39" s="173"/>
      <c r="D39" s="333"/>
      <c r="E39" s="173"/>
      <c r="F39" s="173"/>
      <c r="G39" s="173"/>
      <c r="H39" s="173"/>
      <c r="I39" s="173"/>
      <c r="J39" s="173"/>
      <c r="K39" s="173"/>
      <c r="N39" s="182"/>
      <c r="O39" s="182"/>
      <c r="P39" s="197"/>
      <c r="Q39" s="2270"/>
      <c r="R39" s="2271"/>
      <c r="S39" s="2271"/>
      <c r="T39" s="182"/>
    </row>
    <row r="40" spans="1:96" ht="21.75" customHeight="1" thickBot="1" x14ac:dyDescent="0.3">
      <c r="A40" s="173"/>
      <c r="B40" s="371"/>
      <c r="C40" s="173"/>
      <c r="D40" s="333"/>
      <c r="E40" s="173"/>
      <c r="F40" s="173"/>
      <c r="G40" s="173"/>
      <c r="H40" s="173"/>
      <c r="I40" s="173"/>
      <c r="J40" s="173"/>
      <c r="K40" s="173"/>
      <c r="N40" s="182"/>
      <c r="O40" s="182"/>
      <c r="P40" s="182"/>
      <c r="Q40" s="182"/>
      <c r="R40" s="182"/>
      <c r="S40" s="182"/>
      <c r="T40" s="182"/>
    </row>
    <row r="41" spans="1:96" ht="30.75" customHeight="1" x14ac:dyDescent="0.4">
      <c r="A41" s="173"/>
      <c r="B41" s="371"/>
      <c r="C41" s="612"/>
      <c r="D41" s="613"/>
      <c r="E41" s="613"/>
      <c r="F41" s="613"/>
      <c r="G41" s="613"/>
      <c r="H41" s="613"/>
      <c r="I41" s="613"/>
      <c r="J41" s="614"/>
      <c r="K41" s="173"/>
      <c r="M41" s="2261" t="s">
        <v>1270</v>
      </c>
      <c r="N41" s="2262"/>
      <c r="O41" s="2262"/>
      <c r="P41" s="2262"/>
      <c r="Q41" s="2262"/>
      <c r="R41" s="2262"/>
      <c r="S41" s="2262"/>
      <c r="T41" s="2263"/>
      <c r="CK41"/>
      <c r="CL41"/>
      <c r="CM41"/>
      <c r="CN41"/>
      <c r="CO41"/>
      <c r="CP41"/>
      <c r="CQ41"/>
      <c r="CR41"/>
    </row>
    <row r="42" spans="1:96" s="690" customFormat="1" ht="21" customHeight="1" x14ac:dyDescent="0.4">
      <c r="A42" s="689"/>
      <c r="B42" s="371"/>
      <c r="C42" s="2258" t="s">
        <v>829</v>
      </c>
      <c r="D42" s="2259"/>
      <c r="E42" s="2259"/>
      <c r="F42" s="2259"/>
      <c r="G42" s="2259"/>
      <c r="H42" s="2259"/>
      <c r="I42" s="2259"/>
      <c r="J42" s="2260"/>
      <c r="K42" s="349"/>
      <c r="L42" s="688"/>
      <c r="M42" s="2264"/>
      <c r="N42" s="2265"/>
      <c r="O42" s="2265"/>
      <c r="P42" s="2265"/>
      <c r="Q42" s="2265"/>
      <c r="R42" s="2265"/>
      <c r="S42" s="2265"/>
      <c r="T42" s="2266"/>
      <c r="U42" s="688"/>
      <c r="V42" s="688"/>
      <c r="W42" s="688"/>
      <c r="X42" s="688"/>
      <c r="Y42" s="688"/>
      <c r="Z42" s="688"/>
      <c r="AA42" s="688"/>
      <c r="AB42" s="688"/>
      <c r="AC42" s="688"/>
      <c r="AD42" s="688"/>
      <c r="AE42" s="688"/>
      <c r="AF42" s="688"/>
      <c r="AG42" s="688"/>
      <c r="AH42" s="688"/>
      <c r="AI42" s="688"/>
      <c r="AJ42" s="688"/>
      <c r="AK42" s="688"/>
      <c r="AL42" s="688"/>
      <c r="AM42" s="688"/>
      <c r="AN42" s="688"/>
      <c r="AO42" s="688"/>
      <c r="AP42" s="688"/>
      <c r="AQ42" s="688"/>
      <c r="AR42" s="688"/>
      <c r="AS42" s="688"/>
      <c r="AT42" s="688"/>
      <c r="AU42" s="688"/>
      <c r="AV42" s="688"/>
      <c r="AW42" s="688"/>
      <c r="AX42" s="688"/>
      <c r="AY42" s="688"/>
      <c r="AZ42" s="688"/>
      <c r="BA42" s="688"/>
      <c r="BB42" s="688"/>
      <c r="BC42" s="688"/>
      <c r="BD42" s="688"/>
      <c r="BE42" s="688"/>
      <c r="BF42" s="688"/>
      <c r="BG42" s="688"/>
      <c r="BH42" s="688"/>
      <c r="BI42" s="688"/>
      <c r="BJ42" s="688"/>
      <c r="BK42" s="688"/>
      <c r="BL42" s="688"/>
      <c r="BM42" s="688"/>
      <c r="BN42" s="688"/>
      <c r="BO42" s="688"/>
      <c r="BP42" s="688"/>
      <c r="BQ42" s="688"/>
      <c r="BR42" s="688"/>
      <c r="BS42" s="688"/>
      <c r="BT42" s="688"/>
      <c r="BU42" s="688"/>
      <c r="BV42" s="688"/>
      <c r="BW42" s="688"/>
      <c r="BX42" s="688"/>
      <c r="BY42" s="688"/>
      <c r="BZ42" s="688"/>
      <c r="CA42" s="688"/>
      <c r="CB42" s="688"/>
      <c r="CC42" s="688"/>
      <c r="CD42" s="688"/>
      <c r="CE42" s="688"/>
      <c r="CF42" s="688"/>
      <c r="CG42" s="688"/>
      <c r="CH42" s="688"/>
      <c r="CI42" s="688"/>
      <c r="CJ42" s="688"/>
    </row>
    <row r="43" spans="1:96" s="692" customFormat="1" ht="19.5" customHeight="1" x14ac:dyDescent="0.4">
      <c r="A43" s="689"/>
      <c r="B43" s="335"/>
      <c r="C43" s="2269" t="s">
        <v>830</v>
      </c>
      <c r="D43" s="2259"/>
      <c r="E43" s="2259"/>
      <c r="F43" s="2259"/>
      <c r="G43" s="2259"/>
      <c r="H43" s="2259"/>
      <c r="I43" s="2259"/>
      <c r="J43" s="2260"/>
      <c r="K43" s="350"/>
      <c r="L43" s="691"/>
      <c r="M43" s="2264"/>
      <c r="N43" s="2265"/>
      <c r="O43" s="2265"/>
      <c r="P43" s="2265"/>
      <c r="Q43" s="2265"/>
      <c r="R43" s="2265"/>
      <c r="S43" s="2265"/>
      <c r="T43" s="2266"/>
      <c r="U43" s="691"/>
      <c r="V43" s="691"/>
      <c r="W43" s="691"/>
      <c r="X43" s="691"/>
      <c r="Y43" s="691"/>
      <c r="Z43" s="691"/>
      <c r="AA43" s="691"/>
      <c r="AB43" s="691"/>
      <c r="AC43" s="691"/>
      <c r="AD43" s="691"/>
      <c r="AE43" s="691"/>
      <c r="AF43" s="691"/>
      <c r="AG43" s="691"/>
      <c r="AH43" s="691"/>
      <c r="AI43" s="691"/>
      <c r="AJ43" s="691"/>
      <c r="AK43" s="691"/>
      <c r="AL43" s="691"/>
      <c r="AM43" s="691"/>
      <c r="AN43" s="691"/>
      <c r="AO43" s="691"/>
      <c r="AP43" s="691"/>
      <c r="AQ43" s="691"/>
      <c r="AR43" s="691"/>
      <c r="AS43" s="691"/>
      <c r="AT43" s="691"/>
      <c r="AU43" s="691"/>
      <c r="AV43" s="691"/>
      <c r="AW43" s="691"/>
      <c r="AX43" s="691"/>
      <c r="AY43" s="691"/>
      <c r="AZ43" s="691"/>
      <c r="BA43" s="691"/>
      <c r="BB43" s="691"/>
      <c r="BC43" s="691"/>
      <c r="BD43" s="691"/>
      <c r="BE43" s="691"/>
      <c r="BF43" s="691"/>
      <c r="BG43" s="691"/>
      <c r="BH43" s="691"/>
      <c r="BI43" s="691"/>
      <c r="BJ43" s="691"/>
      <c r="BK43" s="691"/>
      <c r="BL43" s="691"/>
      <c r="BM43" s="691"/>
      <c r="BN43" s="691"/>
      <c r="BO43" s="691"/>
      <c r="BP43" s="691"/>
      <c r="BQ43" s="691"/>
      <c r="BR43" s="691"/>
      <c r="BS43" s="691"/>
      <c r="BT43" s="691"/>
      <c r="BU43" s="691"/>
      <c r="BV43" s="691"/>
      <c r="BW43" s="691"/>
      <c r="BX43" s="691"/>
      <c r="BY43" s="691"/>
      <c r="BZ43" s="691"/>
      <c r="CA43" s="691"/>
      <c r="CB43" s="691"/>
      <c r="CC43" s="691"/>
      <c r="CD43" s="691"/>
      <c r="CE43" s="691"/>
      <c r="CF43" s="691"/>
      <c r="CG43" s="691"/>
      <c r="CH43" s="691"/>
      <c r="CI43" s="691"/>
      <c r="CJ43" s="691"/>
    </row>
    <row r="44" spans="1:96" s="692" customFormat="1" ht="19.5" customHeight="1" x14ac:dyDescent="0.4">
      <c r="A44" s="689"/>
      <c r="B44" s="335"/>
      <c r="C44" s="1342"/>
      <c r="D44" s="1340"/>
      <c r="E44" s="1340"/>
      <c r="F44" s="1340"/>
      <c r="G44" s="1340"/>
      <c r="H44" s="1340"/>
      <c r="I44" s="1340"/>
      <c r="J44" s="1341"/>
      <c r="K44" s="350"/>
      <c r="L44" s="691"/>
      <c r="M44" s="2264"/>
      <c r="N44" s="2265"/>
      <c r="O44" s="2265"/>
      <c r="P44" s="2265"/>
      <c r="Q44" s="2265"/>
      <c r="R44" s="2265"/>
      <c r="S44" s="2265"/>
      <c r="T44" s="2266"/>
      <c r="U44" s="691"/>
      <c r="V44" s="691"/>
      <c r="W44" s="691"/>
      <c r="X44" s="691"/>
      <c r="Y44" s="691"/>
      <c r="Z44" s="691"/>
      <c r="AA44" s="691"/>
      <c r="AB44" s="691"/>
      <c r="AC44" s="691"/>
      <c r="AD44" s="691"/>
      <c r="AE44" s="691"/>
      <c r="AF44" s="691"/>
      <c r="AG44" s="691"/>
      <c r="AH44" s="691"/>
      <c r="AI44" s="691"/>
      <c r="AJ44" s="691"/>
      <c r="AK44" s="691"/>
      <c r="AL44" s="691"/>
      <c r="AM44" s="691"/>
      <c r="AN44" s="691"/>
      <c r="AO44" s="691"/>
      <c r="AP44" s="691"/>
      <c r="AQ44" s="691"/>
      <c r="AR44" s="691"/>
      <c r="AS44" s="691"/>
      <c r="AT44" s="691"/>
      <c r="AU44" s="691"/>
      <c r="AV44" s="691"/>
      <c r="AW44" s="691"/>
      <c r="AX44" s="691"/>
      <c r="AY44" s="691"/>
      <c r="AZ44" s="691"/>
      <c r="BA44" s="691"/>
      <c r="BB44" s="691"/>
      <c r="BC44" s="691"/>
      <c r="BD44" s="691"/>
      <c r="BE44" s="691"/>
      <c r="BF44" s="691"/>
      <c r="BG44" s="691"/>
      <c r="BH44" s="691"/>
      <c r="BI44" s="691"/>
      <c r="BJ44" s="691"/>
      <c r="BK44" s="691"/>
      <c r="BL44" s="691"/>
      <c r="BM44" s="691"/>
      <c r="BN44" s="691"/>
      <c r="BO44" s="691"/>
      <c r="BP44" s="691"/>
      <c r="BQ44" s="691"/>
      <c r="BR44" s="691"/>
      <c r="BS44" s="691"/>
      <c r="BT44" s="691"/>
      <c r="BU44" s="691"/>
      <c r="BV44" s="691"/>
      <c r="BW44" s="691"/>
      <c r="BX44" s="691"/>
      <c r="BY44" s="691"/>
      <c r="BZ44" s="691"/>
      <c r="CA44" s="691"/>
      <c r="CB44" s="691"/>
      <c r="CC44" s="691"/>
      <c r="CD44" s="691"/>
      <c r="CE44" s="691"/>
      <c r="CF44" s="691"/>
      <c r="CG44" s="691"/>
      <c r="CH44" s="691"/>
      <c r="CI44" s="691"/>
      <c r="CJ44" s="691"/>
    </row>
    <row r="45" spans="1:96" s="692" customFormat="1" ht="18.75" customHeight="1" x14ac:dyDescent="0.4">
      <c r="A45" s="689"/>
      <c r="B45" s="335"/>
      <c r="C45" s="2267" t="s">
        <v>2977</v>
      </c>
      <c r="D45" s="2259"/>
      <c r="E45" s="2259"/>
      <c r="F45" s="2259"/>
      <c r="G45" s="2259"/>
      <c r="H45" s="2259"/>
      <c r="I45" s="2259"/>
      <c r="J45" s="2260"/>
      <c r="K45" s="351"/>
      <c r="L45" s="691"/>
      <c r="M45" s="2264"/>
      <c r="N45" s="2265"/>
      <c r="O45" s="2265"/>
      <c r="P45" s="2265"/>
      <c r="Q45" s="2265"/>
      <c r="R45" s="2265"/>
      <c r="S45" s="2265"/>
      <c r="T45" s="2266"/>
      <c r="U45" s="691"/>
      <c r="V45" s="691"/>
      <c r="W45" s="691"/>
      <c r="X45" s="691"/>
      <c r="Y45" s="691"/>
      <c r="Z45" s="691"/>
      <c r="AA45" s="691"/>
      <c r="AB45" s="691"/>
      <c r="AC45" s="691"/>
      <c r="AD45" s="691"/>
      <c r="AE45" s="691"/>
      <c r="AF45" s="691"/>
      <c r="AG45" s="691"/>
      <c r="AH45" s="691"/>
      <c r="AI45" s="691"/>
      <c r="AJ45" s="691"/>
      <c r="AK45" s="691"/>
      <c r="AL45" s="691"/>
      <c r="AM45" s="691"/>
      <c r="AN45" s="691"/>
      <c r="AO45" s="691"/>
      <c r="AP45" s="691"/>
      <c r="AQ45" s="691"/>
      <c r="AR45" s="691"/>
      <c r="AS45" s="691"/>
      <c r="AT45" s="691"/>
      <c r="AU45" s="691"/>
      <c r="AV45" s="691"/>
      <c r="AW45" s="691"/>
      <c r="AX45" s="691"/>
      <c r="AY45" s="691"/>
      <c r="AZ45" s="691"/>
      <c r="BA45" s="691"/>
      <c r="BB45" s="691"/>
      <c r="BC45" s="691"/>
      <c r="BD45" s="691"/>
      <c r="BE45" s="691"/>
      <c r="BF45" s="691"/>
      <c r="BG45" s="691"/>
      <c r="BH45" s="691"/>
      <c r="BI45" s="691"/>
      <c r="BJ45" s="691"/>
      <c r="BK45" s="691"/>
      <c r="BL45" s="691"/>
      <c r="BM45" s="691"/>
      <c r="BN45" s="691"/>
      <c r="BO45" s="691"/>
      <c r="BP45" s="691"/>
      <c r="BQ45" s="691"/>
      <c r="BR45" s="691"/>
      <c r="BS45" s="691"/>
      <c r="BT45" s="691"/>
      <c r="BU45" s="691"/>
      <c r="BV45" s="691"/>
      <c r="BW45" s="691"/>
      <c r="BX45" s="691"/>
      <c r="BY45" s="691"/>
      <c r="BZ45" s="691"/>
      <c r="CA45" s="691"/>
      <c r="CB45" s="691"/>
      <c r="CC45" s="691"/>
      <c r="CD45" s="691"/>
      <c r="CE45" s="691"/>
      <c r="CF45" s="691"/>
      <c r="CG45" s="691"/>
      <c r="CH45" s="691"/>
      <c r="CI45" s="691"/>
      <c r="CJ45" s="691"/>
    </row>
    <row r="46" spans="1:96" s="181" customFormat="1" ht="20.25" customHeight="1" x14ac:dyDescent="0.4">
      <c r="B46" s="693"/>
      <c r="C46" s="607"/>
      <c r="D46" s="608"/>
      <c r="E46" s="608"/>
      <c r="F46" s="608"/>
      <c r="G46" s="608"/>
      <c r="H46" s="608"/>
      <c r="I46" s="608"/>
      <c r="J46" s="609"/>
      <c r="K46" s="348"/>
      <c r="M46" s="601"/>
      <c r="N46" s="602"/>
      <c r="O46" s="2279" t="s">
        <v>2270</v>
      </c>
      <c r="P46" s="2279"/>
      <c r="Q46" s="2279"/>
      <c r="R46" s="2279"/>
      <c r="S46" s="2279"/>
      <c r="T46" s="1092"/>
    </row>
    <row r="47" spans="1:96" s="181" customFormat="1" ht="15.75" customHeight="1" x14ac:dyDescent="0.4">
      <c r="B47" s="693"/>
      <c r="C47" s="607"/>
      <c r="D47" s="608"/>
      <c r="E47" s="608"/>
      <c r="F47" s="608"/>
      <c r="G47" s="608"/>
      <c r="H47" s="608"/>
      <c r="I47" s="608"/>
      <c r="J47" s="609"/>
      <c r="K47" s="348"/>
      <c r="M47" s="603"/>
      <c r="N47" s="604"/>
      <c r="O47" s="2278" t="s">
        <v>2269</v>
      </c>
      <c r="P47" s="2278"/>
      <c r="Q47" s="2278"/>
      <c r="R47" s="2278"/>
      <c r="S47" s="740"/>
      <c r="T47" s="741"/>
    </row>
    <row r="48" spans="1:96" s="181" customFormat="1" ht="17.25" customHeight="1" x14ac:dyDescent="0.4">
      <c r="B48" s="693"/>
      <c r="C48" s="607"/>
      <c r="D48" s="608"/>
      <c r="E48" s="608"/>
      <c r="F48" s="608"/>
      <c r="G48" s="608"/>
      <c r="H48" s="608"/>
      <c r="I48" s="608"/>
      <c r="J48" s="609"/>
      <c r="K48" s="348"/>
      <c r="M48" s="603"/>
      <c r="N48" s="604"/>
      <c r="O48" s="2278" t="s">
        <v>764</v>
      </c>
      <c r="P48" s="2278"/>
      <c r="Q48" s="2278"/>
      <c r="R48" s="1244"/>
      <c r="S48" s="742"/>
      <c r="T48" s="743"/>
    </row>
    <row r="49" spans="2:20" s="181" customFormat="1" ht="17.25" customHeight="1" x14ac:dyDescent="0.4">
      <c r="B49" s="693"/>
      <c r="C49" s="615"/>
      <c r="D49" s="616"/>
      <c r="E49" s="616"/>
      <c r="F49" s="616"/>
      <c r="G49" s="616"/>
      <c r="H49" s="616"/>
      <c r="I49" s="616"/>
      <c r="J49" s="617"/>
      <c r="K49" s="348"/>
      <c r="M49" s="603"/>
      <c r="N49" s="600"/>
      <c r="O49" s="2278" t="s">
        <v>765</v>
      </c>
      <c r="P49" s="2278"/>
      <c r="Q49" s="2278"/>
      <c r="R49" s="1244"/>
      <c r="S49" s="1243"/>
      <c r="T49" s="743"/>
    </row>
    <row r="50" spans="2:20" s="181" customFormat="1" ht="24.75" customHeight="1" x14ac:dyDescent="0.4">
      <c r="B50" s="693"/>
      <c r="C50" s="1210"/>
      <c r="D50" s="1211"/>
      <c r="E50" s="1211"/>
      <c r="F50" s="1211"/>
      <c r="G50" s="1211"/>
      <c r="H50" s="1211"/>
      <c r="I50" s="1211"/>
      <c r="J50" s="1212"/>
      <c r="K50" s="348"/>
      <c r="M50" s="606"/>
      <c r="N50" s="600"/>
      <c r="O50" s="2278" t="s">
        <v>1271</v>
      </c>
      <c r="P50" s="2278"/>
      <c r="Q50" s="2278"/>
      <c r="R50" s="1244"/>
      <c r="S50" s="1243"/>
      <c r="T50" s="743"/>
    </row>
    <row r="51" spans="2:20" s="181" customFormat="1" ht="15.75" customHeight="1" x14ac:dyDescent="0.4">
      <c r="B51" s="693"/>
      <c r="C51" s="1210"/>
      <c r="D51" s="1211"/>
      <c r="E51" s="1211"/>
      <c r="F51" s="1211"/>
      <c r="G51" s="1211"/>
      <c r="H51" s="1211"/>
      <c r="I51" s="1211"/>
      <c r="J51" s="1212"/>
      <c r="K51" s="348"/>
      <c r="M51" s="606"/>
      <c r="N51" s="600"/>
      <c r="O51" s="2279" t="s">
        <v>2604</v>
      </c>
      <c r="P51" s="2279"/>
      <c r="Q51" s="2279"/>
      <c r="R51" s="2279"/>
      <c r="S51" s="2279"/>
      <c r="T51" s="743"/>
    </row>
    <row r="52" spans="2:20" s="181" customFormat="1" ht="15.75" customHeight="1" x14ac:dyDescent="0.4">
      <c r="B52" s="693"/>
      <c r="C52" s="1210"/>
      <c r="D52" s="1211"/>
      <c r="E52" s="1211"/>
      <c r="F52" s="1211"/>
      <c r="G52" s="1211"/>
      <c r="H52" s="1211"/>
      <c r="I52" s="1211"/>
      <c r="J52" s="1212"/>
      <c r="K52" s="348"/>
      <c r="M52" s="606"/>
      <c r="N52" s="600"/>
      <c r="O52" s="2278" t="s">
        <v>2035</v>
      </c>
      <c r="P52" s="2278"/>
      <c r="Q52" s="2278"/>
      <c r="R52" s="2278"/>
      <c r="S52" s="740"/>
      <c r="T52" s="743"/>
    </row>
    <row r="53" spans="2:20" s="181" customFormat="1" ht="15.75" customHeight="1" x14ac:dyDescent="0.4">
      <c r="B53" s="693"/>
      <c r="C53" s="1210"/>
      <c r="D53" s="1211"/>
      <c r="E53" s="1211"/>
      <c r="F53" s="1211"/>
      <c r="G53" s="1211"/>
      <c r="H53" s="1211"/>
      <c r="I53" s="1211"/>
      <c r="J53" s="1212"/>
      <c r="K53" s="348"/>
      <c r="M53" s="606"/>
      <c r="N53" s="600"/>
      <c r="O53" s="2278" t="s">
        <v>764</v>
      </c>
      <c r="P53" s="2278"/>
      <c r="Q53" s="2278"/>
      <c r="R53" s="1405"/>
      <c r="S53" s="742"/>
      <c r="T53" s="743"/>
    </row>
    <row r="54" spans="2:20" s="181" customFormat="1" ht="15.75" customHeight="1" x14ac:dyDescent="0.4">
      <c r="B54" s="693"/>
      <c r="C54" s="1210"/>
      <c r="D54" s="1211"/>
      <c r="E54" s="1211"/>
      <c r="F54" s="1211"/>
      <c r="G54" s="1211"/>
      <c r="H54" s="1211"/>
      <c r="I54" s="1211"/>
      <c r="J54" s="1212"/>
      <c r="K54" s="348"/>
      <c r="M54" s="606"/>
      <c r="N54" s="600"/>
      <c r="O54" s="2278" t="s">
        <v>765</v>
      </c>
      <c r="P54" s="2278"/>
      <c r="Q54" s="2278"/>
      <c r="R54" s="1405"/>
      <c r="S54" s="1406"/>
      <c r="T54" s="743"/>
    </row>
    <row r="55" spans="2:20" s="181" customFormat="1" ht="15.75" customHeight="1" x14ac:dyDescent="0.4">
      <c r="B55" s="693"/>
      <c r="C55" s="1210"/>
      <c r="D55" s="1211"/>
      <c r="E55" s="1211"/>
      <c r="F55" s="1211"/>
      <c r="G55" s="1211"/>
      <c r="H55" s="1211"/>
      <c r="I55" s="1211"/>
      <c r="J55" s="1212"/>
      <c r="K55" s="348"/>
      <c r="M55" s="606"/>
      <c r="N55" s="600"/>
      <c r="O55" s="2278" t="s">
        <v>1271</v>
      </c>
      <c r="P55" s="2278"/>
      <c r="Q55" s="2278"/>
      <c r="R55" s="1405"/>
      <c r="S55" s="1406"/>
      <c r="T55" s="743"/>
    </row>
    <row r="56" spans="2:20" s="181" customFormat="1" ht="15.75" customHeight="1" x14ac:dyDescent="0.4">
      <c r="B56" s="693"/>
      <c r="C56" s="1210"/>
      <c r="D56" s="1211"/>
      <c r="E56" s="1211"/>
      <c r="F56" s="1211"/>
      <c r="G56" s="1211"/>
      <c r="H56" s="1211"/>
      <c r="I56" s="1211"/>
      <c r="J56" s="1212"/>
      <c r="K56" s="348"/>
      <c r="M56" s="606"/>
      <c r="N56" s="600"/>
      <c r="O56" s="1405"/>
      <c r="P56" s="1405"/>
      <c r="Q56" s="1405"/>
      <c r="R56" s="1405"/>
      <c r="S56" s="1406"/>
      <c r="T56" s="743"/>
    </row>
    <row r="57" spans="2:20" s="181" customFormat="1" ht="18" customHeight="1" x14ac:dyDescent="0.4">
      <c r="B57" s="693"/>
      <c r="C57" s="618"/>
      <c r="D57" s="619"/>
      <c r="E57" s="619"/>
      <c r="F57" s="619"/>
      <c r="G57" s="619"/>
      <c r="H57" s="619"/>
      <c r="I57" s="619"/>
      <c r="J57" s="620"/>
      <c r="K57" s="352"/>
      <c r="M57" s="606"/>
      <c r="N57" s="600"/>
      <c r="O57" s="2279" t="s">
        <v>2696</v>
      </c>
      <c r="P57" s="2279"/>
      <c r="Q57" s="2279"/>
      <c r="R57" s="2279"/>
      <c r="S57" s="2279"/>
      <c r="T57" s="605"/>
    </row>
    <row r="58" spans="2:20" s="181" customFormat="1" ht="15.75" customHeight="1" x14ac:dyDescent="0.4">
      <c r="B58" s="693"/>
      <c r="C58" s="618"/>
      <c r="D58" s="619"/>
      <c r="E58" s="619"/>
      <c r="F58" s="619"/>
      <c r="G58" s="619"/>
      <c r="H58" s="619"/>
      <c r="I58" s="619"/>
      <c r="J58" s="620"/>
      <c r="K58" s="352"/>
      <c r="M58" s="606"/>
      <c r="N58" s="600"/>
      <c r="O58" s="2278" t="s">
        <v>2035</v>
      </c>
      <c r="P58" s="2278"/>
      <c r="Q58" s="2278"/>
      <c r="R58" s="2278"/>
      <c r="S58" s="740"/>
      <c r="T58" s="605"/>
    </row>
    <row r="59" spans="2:20" s="181" customFormat="1" ht="14.25" customHeight="1" x14ac:dyDescent="0.4">
      <c r="B59" s="693"/>
      <c r="C59" s="1210"/>
      <c r="D59" s="1211"/>
      <c r="E59" s="1211"/>
      <c r="F59" s="1211"/>
      <c r="G59" s="1211"/>
      <c r="H59" s="1211"/>
      <c r="I59" s="1211"/>
      <c r="J59" s="1212"/>
      <c r="K59" s="182"/>
      <c r="M59" s="606"/>
      <c r="N59" s="600"/>
      <c r="O59" s="2278" t="s">
        <v>764</v>
      </c>
      <c r="P59" s="2278"/>
      <c r="Q59" s="2278"/>
      <c r="R59" s="1244"/>
      <c r="S59" s="742"/>
      <c r="T59" s="605"/>
    </row>
    <row r="60" spans="2:20" s="181" customFormat="1" ht="14.25" customHeight="1" x14ac:dyDescent="0.4">
      <c r="B60" s="693"/>
      <c r="C60" s="1326"/>
      <c r="D60" s="1327"/>
      <c r="E60" s="1327"/>
      <c r="F60" s="1327"/>
      <c r="G60" s="1327"/>
      <c r="H60" s="1327"/>
      <c r="I60" s="1327"/>
      <c r="J60" s="1328"/>
      <c r="K60" s="182"/>
      <c r="M60" s="603"/>
      <c r="N60" s="604"/>
      <c r="O60" s="2278" t="s">
        <v>765</v>
      </c>
      <c r="P60" s="2278"/>
      <c r="Q60" s="2278"/>
      <c r="R60" s="1244"/>
      <c r="S60" s="1243"/>
      <c r="T60" s="605"/>
    </row>
    <row r="61" spans="2:20" s="181" customFormat="1" ht="20.25" customHeight="1" x14ac:dyDescent="0.4">
      <c r="B61" s="693"/>
      <c r="C61" s="1326"/>
      <c r="D61" s="1327"/>
      <c r="E61" s="1327"/>
      <c r="F61" s="1327"/>
      <c r="G61" s="1327"/>
      <c r="H61" s="1327"/>
      <c r="I61" s="1327"/>
      <c r="J61" s="1328"/>
      <c r="K61" s="182"/>
      <c r="M61" s="603"/>
      <c r="N61" s="604"/>
      <c r="O61" s="2278" t="s">
        <v>1271</v>
      </c>
      <c r="P61" s="2278"/>
      <c r="Q61" s="2278"/>
      <c r="R61" s="1244"/>
      <c r="S61" s="1243"/>
      <c r="T61" s="605"/>
    </row>
    <row r="62" spans="2:20" s="181" customFormat="1" ht="20.25" customHeight="1" x14ac:dyDescent="0.4">
      <c r="B62" s="693"/>
      <c r="C62" s="1326"/>
      <c r="D62" s="1327"/>
      <c r="E62" s="1327"/>
      <c r="F62" s="1327"/>
      <c r="G62" s="1327"/>
      <c r="H62" s="1327"/>
      <c r="I62" s="1327"/>
      <c r="J62" s="1328"/>
      <c r="K62" s="182"/>
      <c r="M62" s="603"/>
      <c r="N62" s="604"/>
      <c r="O62" s="1324"/>
      <c r="P62" s="1324"/>
      <c r="Q62" s="1324"/>
      <c r="R62" s="1324"/>
      <c r="S62" s="1325"/>
      <c r="T62" s="605"/>
    </row>
    <row r="63" spans="2:20" s="181" customFormat="1" ht="20.25" customHeight="1" x14ac:dyDescent="0.4">
      <c r="B63" s="693"/>
      <c r="C63" s="1326"/>
      <c r="D63" s="1327"/>
      <c r="E63" s="1327"/>
      <c r="F63" s="1327"/>
      <c r="G63" s="1327"/>
      <c r="H63" s="1327"/>
      <c r="I63" s="1327"/>
      <c r="J63" s="1328"/>
      <c r="K63" s="182"/>
      <c r="M63" s="603"/>
      <c r="N63" s="604"/>
      <c r="O63" s="2279" t="s">
        <v>2608</v>
      </c>
      <c r="P63" s="2279"/>
      <c r="Q63" s="2279"/>
      <c r="R63" s="2279"/>
      <c r="S63" s="2279"/>
      <c r="T63" s="605"/>
    </row>
    <row r="64" spans="2:20" s="181" customFormat="1" ht="14.25" customHeight="1" x14ac:dyDescent="0.4">
      <c r="B64" s="693"/>
      <c r="C64" s="1210"/>
      <c r="D64" s="1211"/>
      <c r="E64" s="1211"/>
      <c r="F64" s="1211"/>
      <c r="G64" s="1211"/>
      <c r="H64" s="1211"/>
      <c r="I64" s="1211"/>
      <c r="J64" s="1212"/>
      <c r="K64" s="182"/>
      <c r="M64" s="603"/>
      <c r="N64" s="604"/>
      <c r="O64" s="2278" t="s">
        <v>2035</v>
      </c>
      <c r="P64" s="2278"/>
      <c r="Q64" s="2278"/>
      <c r="R64" s="2278"/>
      <c r="S64" s="740"/>
      <c r="T64" s="605"/>
    </row>
    <row r="65" spans="2:20" s="181" customFormat="1" ht="14.25" customHeight="1" x14ac:dyDescent="0.4">
      <c r="B65" s="693"/>
      <c r="C65" s="1326"/>
      <c r="D65" s="1327"/>
      <c r="E65" s="1327"/>
      <c r="F65" s="1327"/>
      <c r="G65" s="1327"/>
      <c r="H65" s="1327"/>
      <c r="I65" s="1327"/>
      <c r="J65" s="1328"/>
      <c r="K65" s="182"/>
      <c r="M65" s="603"/>
      <c r="N65" s="604"/>
      <c r="O65" s="2278" t="s">
        <v>764</v>
      </c>
      <c r="P65" s="2278"/>
      <c r="Q65" s="2278"/>
      <c r="R65" s="1415"/>
      <c r="S65" s="742"/>
      <c r="T65" s="605"/>
    </row>
    <row r="66" spans="2:20" s="181" customFormat="1" ht="15" customHeight="1" x14ac:dyDescent="0.4">
      <c r="B66" s="693"/>
      <c r="C66" s="618"/>
      <c r="D66" s="619"/>
      <c r="E66" s="619"/>
      <c r="F66" s="619"/>
      <c r="G66" s="619"/>
      <c r="H66" s="619"/>
      <c r="I66" s="619"/>
      <c r="J66" s="620"/>
      <c r="K66" s="182"/>
      <c r="M66" s="603"/>
      <c r="N66" s="604"/>
      <c r="O66" s="2278" t="s">
        <v>765</v>
      </c>
      <c r="P66" s="2278"/>
      <c r="Q66" s="2278"/>
      <c r="R66" s="1415"/>
      <c r="S66" s="1414"/>
      <c r="T66" s="605"/>
    </row>
    <row r="67" spans="2:20" s="181" customFormat="1" ht="19.5" customHeight="1" x14ac:dyDescent="0.4">
      <c r="B67" s="693"/>
      <c r="C67" s="618"/>
      <c r="D67" s="619"/>
      <c r="E67" s="619"/>
      <c r="F67" s="619"/>
      <c r="G67" s="619"/>
      <c r="H67" s="619"/>
      <c r="I67" s="619"/>
      <c r="J67" s="620"/>
      <c r="K67" s="182"/>
      <c r="M67" s="603"/>
      <c r="N67" s="604"/>
      <c r="O67" s="2278" t="s">
        <v>1271</v>
      </c>
      <c r="P67" s="2278"/>
      <c r="Q67" s="2278"/>
      <c r="R67" s="1415"/>
      <c r="S67" s="1414"/>
      <c r="T67" s="605"/>
    </row>
    <row r="68" spans="2:20" s="181" customFormat="1" ht="19.5" customHeight="1" x14ac:dyDescent="0.4">
      <c r="B68" s="693"/>
      <c r="C68" s="618"/>
      <c r="D68" s="619"/>
      <c r="E68" s="619"/>
      <c r="F68" s="619"/>
      <c r="G68" s="619"/>
      <c r="H68" s="619"/>
      <c r="I68" s="619"/>
      <c r="J68" s="620"/>
      <c r="K68" s="182"/>
      <c r="M68" s="603"/>
      <c r="N68" s="604"/>
      <c r="O68" s="1324"/>
      <c r="P68" s="1324"/>
      <c r="Q68" s="1324"/>
      <c r="R68" s="1324"/>
      <c r="S68" s="1325"/>
      <c r="T68" s="605"/>
    </row>
    <row r="69" spans="2:20" s="181" customFormat="1" ht="15.75" customHeight="1" x14ac:dyDescent="0.4">
      <c r="B69" s="693"/>
      <c r="C69" s="618"/>
      <c r="D69" s="619"/>
      <c r="E69" s="619"/>
      <c r="F69" s="619"/>
      <c r="G69" s="619"/>
      <c r="H69" s="619"/>
      <c r="I69" s="619"/>
      <c r="J69" s="620"/>
      <c r="K69" s="182"/>
      <c r="M69" s="603"/>
      <c r="N69" s="604"/>
      <c r="O69" s="2279" t="s">
        <v>2878</v>
      </c>
      <c r="P69" s="2279"/>
      <c r="Q69" s="2279"/>
      <c r="R69" s="2279"/>
      <c r="S69" s="2279"/>
      <c r="T69" s="605"/>
    </row>
    <row r="70" spans="2:20" s="181" customFormat="1" ht="14.25" customHeight="1" x14ac:dyDescent="0.4">
      <c r="B70" s="693"/>
      <c r="C70" s="2284"/>
      <c r="D70" s="2285"/>
      <c r="E70" s="2285"/>
      <c r="F70" s="2285"/>
      <c r="G70" s="2285"/>
      <c r="H70" s="2285"/>
      <c r="I70" s="2285"/>
      <c r="J70" s="2286"/>
      <c r="K70" s="182"/>
      <c r="M70" s="603"/>
      <c r="N70" s="604"/>
      <c r="O70" s="2278" t="s">
        <v>1467</v>
      </c>
      <c r="P70" s="2278"/>
      <c r="Q70" s="2278"/>
      <c r="R70" s="2278"/>
      <c r="S70" s="740"/>
      <c r="T70" s="1092"/>
    </row>
    <row r="71" spans="2:20" s="181" customFormat="1" ht="16.5" customHeight="1" x14ac:dyDescent="0.4">
      <c r="B71" s="693"/>
      <c r="C71" s="618"/>
      <c r="D71" s="619"/>
      <c r="E71" s="619"/>
      <c r="F71" s="619"/>
      <c r="G71" s="619"/>
      <c r="H71" s="619"/>
      <c r="I71" s="619"/>
      <c r="J71" s="620"/>
      <c r="K71" s="182"/>
      <c r="M71" s="603"/>
      <c r="N71" s="604"/>
      <c r="O71" s="2278" t="s">
        <v>764</v>
      </c>
      <c r="P71" s="2278"/>
      <c r="Q71" s="2278"/>
      <c r="R71" s="1244"/>
      <c r="S71" s="742"/>
      <c r="T71" s="605"/>
    </row>
    <row r="72" spans="2:20" s="181" customFormat="1" ht="16.5" customHeight="1" x14ac:dyDescent="0.4">
      <c r="B72" s="693"/>
      <c r="C72" s="618"/>
      <c r="D72" s="619"/>
      <c r="E72" s="619"/>
      <c r="F72" s="619"/>
      <c r="G72" s="619"/>
      <c r="H72" s="619"/>
      <c r="I72" s="619"/>
      <c r="J72" s="620"/>
      <c r="K72" s="182"/>
      <c r="M72" s="603"/>
      <c r="N72" s="604"/>
      <c r="O72" s="2278" t="s">
        <v>765</v>
      </c>
      <c r="P72" s="2278"/>
      <c r="Q72" s="2278"/>
      <c r="R72" s="1244"/>
      <c r="S72" s="1243"/>
      <c r="T72" s="605"/>
    </row>
    <row r="73" spans="2:20" s="181" customFormat="1" ht="16.5" customHeight="1" x14ac:dyDescent="0.4">
      <c r="B73" s="693"/>
      <c r="C73" s="2284"/>
      <c r="D73" s="2285"/>
      <c r="E73" s="2285"/>
      <c r="F73" s="2285"/>
      <c r="G73" s="2285"/>
      <c r="H73" s="2285"/>
      <c r="I73" s="2285"/>
      <c r="J73" s="2286"/>
      <c r="K73" s="182"/>
      <c r="M73" s="603"/>
      <c r="N73" s="604"/>
      <c r="O73" s="2278" t="s">
        <v>1468</v>
      </c>
      <c r="P73" s="2278"/>
      <c r="Q73" s="2278"/>
      <c r="R73" s="1244"/>
      <c r="S73" s="1243"/>
      <c r="T73" s="605"/>
    </row>
    <row r="74" spans="2:20" s="181" customFormat="1" ht="21" customHeight="1" x14ac:dyDescent="0.4">
      <c r="B74" s="693"/>
      <c r="C74" s="2284" t="s">
        <v>1785</v>
      </c>
      <c r="D74" s="2285"/>
      <c r="E74" s="2285"/>
      <c r="F74" s="2285"/>
      <c r="G74" s="2285"/>
      <c r="H74" s="2285"/>
      <c r="I74" s="2285"/>
      <c r="J74" s="2286"/>
      <c r="K74" s="182"/>
      <c r="M74" s="603"/>
      <c r="N74" s="604"/>
      <c r="O74" s="1321"/>
      <c r="P74" s="1321"/>
      <c r="Q74" s="1321"/>
      <c r="R74" s="1321"/>
      <c r="S74" s="1322"/>
      <c r="T74" s="605"/>
    </row>
    <row r="75" spans="2:20" s="181" customFormat="1" ht="18" customHeight="1" x14ac:dyDescent="0.4">
      <c r="B75" s="693"/>
      <c r="C75" s="618"/>
      <c r="D75" s="619"/>
      <c r="E75" s="619"/>
      <c r="F75" s="619"/>
      <c r="G75" s="619"/>
      <c r="H75" s="619"/>
      <c r="I75" s="619"/>
      <c r="J75" s="620"/>
      <c r="K75" s="182"/>
      <c r="M75" s="603"/>
      <c r="N75" s="604"/>
      <c r="O75" s="2279" t="s">
        <v>2806</v>
      </c>
      <c r="P75" s="2279"/>
      <c r="Q75" s="2279"/>
      <c r="R75" s="2279"/>
      <c r="S75" s="2279"/>
      <c r="T75" s="605"/>
    </row>
    <row r="76" spans="2:20" s="181" customFormat="1" ht="19.5" customHeight="1" x14ac:dyDescent="0.4">
      <c r="B76" s="693"/>
      <c r="C76" s="2284" t="s">
        <v>828</v>
      </c>
      <c r="D76" s="2285"/>
      <c r="E76" s="2285"/>
      <c r="F76" s="2285"/>
      <c r="G76" s="2285"/>
      <c r="H76" s="2285"/>
      <c r="I76" s="2285"/>
      <c r="J76" s="2286"/>
      <c r="K76" s="182"/>
      <c r="M76" s="618"/>
      <c r="N76" s="619"/>
      <c r="O76" s="2283" t="s">
        <v>2809</v>
      </c>
      <c r="P76" s="2283"/>
      <c r="Q76" s="2283"/>
      <c r="R76" s="604"/>
      <c r="S76" s="604"/>
      <c r="T76" s="620"/>
    </row>
    <row r="77" spans="2:20" s="181" customFormat="1" ht="15.75" customHeight="1" x14ac:dyDescent="0.4">
      <c r="B77" s="693"/>
      <c r="C77" s="618"/>
      <c r="D77" s="619"/>
      <c r="E77" s="619"/>
      <c r="F77" s="619"/>
      <c r="G77" s="619"/>
      <c r="H77" s="619"/>
      <c r="I77" s="619"/>
      <c r="J77" s="620"/>
      <c r="K77" s="182"/>
      <c r="M77" s="618"/>
      <c r="N77" s="619"/>
      <c r="O77" s="2283" t="s">
        <v>764</v>
      </c>
      <c r="P77" s="2283"/>
      <c r="Q77" s="2283"/>
      <c r="R77" s="604"/>
      <c r="S77" s="604"/>
      <c r="T77" s="620"/>
    </row>
    <row r="78" spans="2:20" s="181" customFormat="1" ht="18" customHeight="1" x14ac:dyDescent="0.4">
      <c r="B78" s="693"/>
      <c r="C78" s="618"/>
      <c r="D78" s="619"/>
      <c r="E78" s="619"/>
      <c r="F78" s="619"/>
      <c r="G78" s="619"/>
      <c r="H78" s="619"/>
      <c r="I78" s="619"/>
      <c r="J78" s="620"/>
      <c r="K78" s="182"/>
      <c r="M78" s="618"/>
      <c r="N78" s="619"/>
      <c r="O78" s="2283" t="s">
        <v>765</v>
      </c>
      <c r="P78" s="2283"/>
      <c r="Q78" s="2283"/>
      <c r="R78" s="604"/>
      <c r="S78" s="604"/>
      <c r="T78" s="620"/>
    </row>
    <row r="79" spans="2:20" s="181" customFormat="1" ht="18" customHeight="1" x14ac:dyDescent="0.4">
      <c r="B79" s="693"/>
      <c r="C79" s="618"/>
      <c r="D79" s="619"/>
      <c r="E79" s="619"/>
      <c r="F79" s="619"/>
      <c r="G79" s="619"/>
      <c r="H79" s="619"/>
      <c r="I79" s="619"/>
      <c r="J79" s="620"/>
      <c r="M79" s="618"/>
      <c r="N79" s="619"/>
      <c r="O79" s="2278" t="s">
        <v>1468</v>
      </c>
      <c r="P79" s="2278"/>
      <c r="Q79" s="2278"/>
      <c r="R79" s="604"/>
      <c r="S79" s="604"/>
      <c r="T79" s="620"/>
    </row>
    <row r="80" spans="2:20" s="181" customFormat="1" ht="18" customHeight="1" x14ac:dyDescent="0.4">
      <c r="B80" s="693"/>
      <c r="C80" s="618"/>
      <c r="D80" s="619"/>
      <c r="E80" s="619"/>
      <c r="F80" s="619"/>
      <c r="G80" s="619"/>
      <c r="H80" s="619"/>
      <c r="I80" s="619"/>
      <c r="J80" s="620"/>
      <c r="M80" s="618"/>
      <c r="N80" s="619"/>
      <c r="O80" s="1580"/>
      <c r="P80" s="1580"/>
      <c r="Q80" s="1580"/>
      <c r="R80" s="604"/>
      <c r="S80" s="604"/>
      <c r="T80" s="620"/>
    </row>
    <row r="81" spans="2:20" s="181" customFormat="1" ht="18" customHeight="1" x14ac:dyDescent="0.4">
      <c r="B81" s="693"/>
      <c r="C81" s="618"/>
      <c r="D81" s="619"/>
      <c r="E81" s="619"/>
      <c r="F81" s="619"/>
      <c r="G81" s="619"/>
      <c r="H81" s="619"/>
      <c r="I81" s="619"/>
      <c r="J81" s="620"/>
      <c r="M81" s="618"/>
      <c r="N81" s="619"/>
      <c r="O81" s="2279" t="s">
        <v>2946</v>
      </c>
      <c r="P81" s="2279"/>
      <c r="Q81" s="2279"/>
      <c r="R81" s="2279"/>
      <c r="S81" s="2279"/>
      <c r="T81" s="620"/>
    </row>
    <row r="82" spans="2:20" s="181" customFormat="1" ht="18" customHeight="1" x14ac:dyDescent="0.4">
      <c r="B82" s="693"/>
      <c r="C82" s="618"/>
      <c r="D82" s="619"/>
      <c r="E82" s="619"/>
      <c r="F82" s="619"/>
      <c r="G82" s="619"/>
      <c r="H82" s="619"/>
      <c r="I82" s="619"/>
      <c r="J82" s="620"/>
      <c r="M82" s="618"/>
      <c r="N82" s="619"/>
      <c r="O82" s="2283" t="s">
        <v>2945</v>
      </c>
      <c r="P82" s="2283"/>
      <c r="Q82" s="2283"/>
      <c r="R82" s="604"/>
      <c r="S82" s="604"/>
      <c r="T82" s="620"/>
    </row>
    <row r="83" spans="2:20" s="181" customFormat="1" ht="18" customHeight="1" x14ac:dyDescent="0.4">
      <c r="B83" s="693"/>
      <c r="C83" s="618"/>
      <c r="D83" s="619"/>
      <c r="E83" s="619"/>
      <c r="F83" s="619"/>
      <c r="G83" s="619"/>
      <c r="H83" s="619"/>
      <c r="I83" s="619"/>
      <c r="J83" s="620"/>
      <c r="M83" s="618"/>
      <c r="N83" s="619"/>
      <c r="O83" s="2283" t="s">
        <v>764</v>
      </c>
      <c r="P83" s="2283"/>
      <c r="Q83" s="2283"/>
      <c r="R83" s="604"/>
      <c r="S83" s="604"/>
      <c r="T83" s="620"/>
    </row>
    <row r="84" spans="2:20" s="181" customFormat="1" ht="18" customHeight="1" x14ac:dyDescent="0.4">
      <c r="B84" s="693"/>
      <c r="C84" s="618"/>
      <c r="D84" s="619"/>
      <c r="E84" s="619"/>
      <c r="F84" s="619"/>
      <c r="G84" s="619"/>
      <c r="H84" s="619"/>
      <c r="I84" s="619"/>
      <c r="J84" s="620"/>
      <c r="M84" s="618"/>
      <c r="N84" s="619"/>
      <c r="O84" s="2283" t="s">
        <v>765</v>
      </c>
      <c r="P84" s="2283"/>
      <c r="Q84" s="2283"/>
      <c r="R84" s="604"/>
      <c r="S84" s="604"/>
      <c r="T84" s="620"/>
    </row>
    <row r="85" spans="2:20" s="181" customFormat="1" ht="18" customHeight="1" x14ac:dyDescent="0.4">
      <c r="B85" s="693"/>
      <c r="C85" s="618"/>
      <c r="D85" s="619"/>
      <c r="E85" s="619"/>
      <c r="F85" s="619"/>
      <c r="G85" s="619"/>
      <c r="H85" s="619"/>
      <c r="I85" s="619"/>
      <c r="J85" s="620"/>
      <c r="M85" s="618"/>
      <c r="N85" s="619"/>
      <c r="O85" s="2278" t="s">
        <v>1468</v>
      </c>
      <c r="P85" s="2278"/>
      <c r="Q85" s="2278"/>
      <c r="R85" s="604"/>
      <c r="S85" s="604"/>
      <c r="T85" s="620"/>
    </row>
    <row r="86" spans="2:20" s="181" customFormat="1" ht="18" customHeight="1" x14ac:dyDescent="0.4">
      <c r="B86" s="693"/>
      <c r="C86" s="618"/>
      <c r="D86" s="619"/>
      <c r="E86" s="619"/>
      <c r="F86" s="619"/>
      <c r="G86" s="619"/>
      <c r="H86" s="619"/>
      <c r="I86" s="619"/>
      <c r="J86" s="620"/>
      <c r="M86" s="618"/>
      <c r="N86" s="619"/>
      <c r="O86" s="1580"/>
      <c r="P86" s="1580"/>
      <c r="Q86" s="1580"/>
      <c r="R86" s="604"/>
      <c r="S86" s="604"/>
      <c r="T86" s="620"/>
    </row>
    <row r="87" spans="2:20" s="181" customFormat="1" ht="20.100000000000001" customHeight="1" thickBot="1" x14ac:dyDescent="0.45">
      <c r="B87" s="693"/>
      <c r="C87" s="1249"/>
      <c r="D87" s="1248"/>
      <c r="E87" s="2282"/>
      <c r="F87" s="2282"/>
      <c r="G87" s="2282"/>
      <c r="H87" s="1248"/>
      <c r="I87" s="1248"/>
      <c r="J87" s="1250"/>
      <c r="M87" s="1249"/>
      <c r="N87" s="1248"/>
      <c r="O87" s="2282"/>
      <c r="P87" s="2282"/>
      <c r="Q87" s="2282"/>
      <c r="R87" s="1248"/>
      <c r="S87" s="1248"/>
      <c r="T87" s="1250"/>
    </row>
    <row r="88" spans="2:20" s="181" customFormat="1" x14ac:dyDescent="0.2">
      <c r="B88" s="693"/>
    </row>
    <row r="89" spans="2:20" s="181" customFormat="1" x14ac:dyDescent="0.2">
      <c r="B89" s="693"/>
    </row>
    <row r="90" spans="2:20" s="181" customFormat="1" x14ac:dyDescent="0.2">
      <c r="B90" s="693"/>
    </row>
    <row r="91" spans="2:20" s="181" customFormat="1" x14ac:dyDescent="0.2">
      <c r="B91" s="693"/>
    </row>
    <row r="92" spans="2:20" s="181" customFormat="1" x14ac:dyDescent="0.2">
      <c r="B92" s="693"/>
    </row>
    <row r="93" spans="2:20" s="181" customFormat="1" x14ac:dyDescent="0.2">
      <c r="B93" s="693"/>
    </row>
    <row r="94" spans="2:20" s="181" customFormat="1" x14ac:dyDescent="0.2">
      <c r="B94" s="693"/>
    </row>
    <row r="95" spans="2:20" s="181" customFormat="1" x14ac:dyDescent="0.2">
      <c r="B95" s="693"/>
    </row>
    <row r="96" spans="2:20" s="181" customFormat="1" x14ac:dyDescent="0.2">
      <c r="B96" s="693"/>
    </row>
    <row r="97" spans="2:2" s="181" customFormat="1" x14ac:dyDescent="0.2">
      <c r="B97" s="693"/>
    </row>
    <row r="98" spans="2:2" s="181" customFormat="1" x14ac:dyDescent="0.2">
      <c r="B98" s="693"/>
    </row>
    <row r="99" spans="2:2" s="181" customFormat="1" x14ac:dyDescent="0.2">
      <c r="B99" s="693"/>
    </row>
    <row r="100" spans="2:2" s="181" customFormat="1" x14ac:dyDescent="0.2">
      <c r="B100" s="693"/>
    </row>
    <row r="101" spans="2:2" s="181" customFormat="1" x14ac:dyDescent="0.2">
      <c r="B101" s="693"/>
    </row>
    <row r="102" spans="2:2" s="181" customFormat="1" x14ac:dyDescent="0.2">
      <c r="B102" s="693"/>
    </row>
    <row r="103" spans="2:2" s="181" customFormat="1" x14ac:dyDescent="0.2">
      <c r="B103" s="693"/>
    </row>
    <row r="104" spans="2:2" s="181" customFormat="1" x14ac:dyDescent="0.2">
      <c r="B104" s="693"/>
    </row>
    <row r="105" spans="2:2" s="181" customFormat="1" x14ac:dyDescent="0.2">
      <c r="B105" s="693"/>
    </row>
    <row r="106" spans="2:2" s="181" customFormat="1" x14ac:dyDescent="0.2">
      <c r="B106" s="693"/>
    </row>
    <row r="107" spans="2:2" s="181" customFormat="1" x14ac:dyDescent="0.2">
      <c r="B107" s="693"/>
    </row>
    <row r="108" spans="2:2" s="181" customFormat="1" x14ac:dyDescent="0.2">
      <c r="B108" s="693"/>
    </row>
    <row r="109" spans="2:2" s="181" customFormat="1" x14ac:dyDescent="0.2">
      <c r="B109" s="693"/>
    </row>
    <row r="110" spans="2:2" s="181" customFormat="1" x14ac:dyDescent="0.2">
      <c r="B110" s="693"/>
    </row>
    <row r="111" spans="2:2" s="181" customFormat="1" x14ac:dyDescent="0.2">
      <c r="B111" s="693"/>
    </row>
    <row r="112" spans="2:2" s="181" customFormat="1" x14ac:dyDescent="0.2">
      <c r="B112" s="693"/>
    </row>
    <row r="113" spans="2:2" s="181" customFormat="1" x14ac:dyDescent="0.2">
      <c r="B113" s="693"/>
    </row>
    <row r="114" spans="2:2" s="181" customFormat="1" x14ac:dyDescent="0.2">
      <c r="B114" s="693"/>
    </row>
    <row r="115" spans="2:2" s="181" customFormat="1" x14ac:dyDescent="0.2">
      <c r="B115" s="693"/>
    </row>
    <row r="116" spans="2:2" s="181" customFormat="1" x14ac:dyDescent="0.2">
      <c r="B116" s="693"/>
    </row>
    <row r="117" spans="2:2" s="181" customFormat="1" x14ac:dyDescent="0.2">
      <c r="B117" s="693"/>
    </row>
    <row r="118" spans="2:2" s="181" customFormat="1" x14ac:dyDescent="0.2">
      <c r="B118" s="693"/>
    </row>
    <row r="119" spans="2:2" s="181" customFormat="1" x14ac:dyDescent="0.2">
      <c r="B119" s="693"/>
    </row>
    <row r="120" spans="2:2" s="181" customFormat="1" x14ac:dyDescent="0.2">
      <c r="B120" s="693"/>
    </row>
    <row r="121" spans="2:2" s="181" customFormat="1" x14ac:dyDescent="0.2">
      <c r="B121" s="693"/>
    </row>
    <row r="122" spans="2:2" s="181" customFormat="1" x14ac:dyDescent="0.2">
      <c r="B122" s="693"/>
    </row>
    <row r="123" spans="2:2" s="181" customFormat="1" x14ac:dyDescent="0.2">
      <c r="B123" s="693"/>
    </row>
    <row r="124" spans="2:2" s="181" customFormat="1" x14ac:dyDescent="0.2">
      <c r="B124" s="693"/>
    </row>
    <row r="125" spans="2:2" s="181" customFormat="1" x14ac:dyDescent="0.2">
      <c r="B125" s="693"/>
    </row>
    <row r="126" spans="2:2" s="181" customFormat="1" x14ac:dyDescent="0.2">
      <c r="B126" s="693"/>
    </row>
    <row r="127" spans="2:2" s="181" customFormat="1" x14ac:dyDescent="0.2">
      <c r="B127" s="693"/>
    </row>
    <row r="128" spans="2:2" s="181" customFormat="1" x14ac:dyDescent="0.2">
      <c r="B128" s="693"/>
    </row>
    <row r="129" spans="2:2" s="181" customFormat="1" x14ac:dyDescent="0.2">
      <c r="B129" s="693"/>
    </row>
    <row r="130" spans="2:2" s="181" customFormat="1" x14ac:dyDescent="0.2">
      <c r="B130" s="693"/>
    </row>
    <row r="131" spans="2:2" s="181" customFormat="1" x14ac:dyDescent="0.2">
      <c r="B131" s="693"/>
    </row>
    <row r="132" spans="2:2" s="181" customFormat="1" x14ac:dyDescent="0.2">
      <c r="B132" s="693"/>
    </row>
    <row r="133" spans="2:2" s="181" customFormat="1" x14ac:dyDescent="0.2">
      <c r="B133" s="693"/>
    </row>
    <row r="134" spans="2:2" s="181" customFormat="1" x14ac:dyDescent="0.2">
      <c r="B134" s="693"/>
    </row>
    <row r="135" spans="2:2" s="181" customFormat="1" x14ac:dyDescent="0.2">
      <c r="B135" s="693"/>
    </row>
    <row r="136" spans="2:2" s="181" customFormat="1" x14ac:dyDescent="0.2">
      <c r="B136" s="693"/>
    </row>
    <row r="137" spans="2:2" s="181" customFormat="1" x14ac:dyDescent="0.2">
      <c r="B137" s="693"/>
    </row>
    <row r="138" spans="2:2" s="181" customFormat="1" x14ac:dyDescent="0.2">
      <c r="B138" s="693"/>
    </row>
    <row r="139" spans="2:2" s="181" customFormat="1" x14ac:dyDescent="0.2">
      <c r="B139" s="693"/>
    </row>
    <row r="140" spans="2:2" s="181" customFormat="1" x14ac:dyDescent="0.2">
      <c r="B140" s="693"/>
    </row>
    <row r="141" spans="2:2" s="181" customFormat="1" x14ac:dyDescent="0.2">
      <c r="B141" s="693"/>
    </row>
    <row r="142" spans="2:2" s="181" customFormat="1" x14ac:dyDescent="0.2">
      <c r="B142" s="693"/>
    </row>
    <row r="143" spans="2:2" s="181" customFormat="1" x14ac:dyDescent="0.2">
      <c r="B143" s="693"/>
    </row>
    <row r="144" spans="2:2" s="181" customFormat="1" x14ac:dyDescent="0.2">
      <c r="B144" s="693"/>
    </row>
    <row r="145" spans="2:2" s="181" customFormat="1" x14ac:dyDescent="0.2">
      <c r="B145" s="693"/>
    </row>
    <row r="146" spans="2:2" s="181" customFormat="1" x14ac:dyDescent="0.2">
      <c r="B146" s="693"/>
    </row>
    <row r="147" spans="2:2" s="181" customFormat="1" x14ac:dyDescent="0.2">
      <c r="B147" s="693"/>
    </row>
    <row r="148" spans="2:2" s="181" customFormat="1" x14ac:dyDescent="0.2">
      <c r="B148" s="693"/>
    </row>
    <row r="149" spans="2:2" s="181" customFormat="1" x14ac:dyDescent="0.2">
      <c r="B149" s="693"/>
    </row>
    <row r="150" spans="2:2" s="181" customFormat="1" x14ac:dyDescent="0.2">
      <c r="B150" s="693"/>
    </row>
    <row r="151" spans="2:2" s="181" customFormat="1" x14ac:dyDescent="0.2">
      <c r="B151" s="693"/>
    </row>
    <row r="152" spans="2:2" s="181" customFormat="1" x14ac:dyDescent="0.2">
      <c r="B152" s="693"/>
    </row>
    <row r="153" spans="2:2" s="181" customFormat="1" x14ac:dyDescent="0.2">
      <c r="B153" s="693"/>
    </row>
    <row r="154" spans="2:2" s="181" customFormat="1" x14ac:dyDescent="0.2">
      <c r="B154" s="693"/>
    </row>
    <row r="155" spans="2:2" s="181" customFormat="1" x14ac:dyDescent="0.2">
      <c r="B155" s="693"/>
    </row>
    <row r="156" spans="2:2" s="181" customFormat="1" x14ac:dyDescent="0.2">
      <c r="B156" s="693"/>
    </row>
    <row r="157" spans="2:2" s="181" customFormat="1" x14ac:dyDescent="0.2">
      <c r="B157" s="693"/>
    </row>
    <row r="158" spans="2:2" s="181" customFormat="1" x14ac:dyDescent="0.2">
      <c r="B158" s="693"/>
    </row>
    <row r="159" spans="2:2" s="181" customFormat="1" x14ac:dyDescent="0.2">
      <c r="B159" s="693"/>
    </row>
    <row r="160" spans="2:2" s="181" customFormat="1" x14ac:dyDescent="0.2">
      <c r="B160" s="693"/>
    </row>
    <row r="161" spans="2:2" s="181" customFormat="1" x14ac:dyDescent="0.2">
      <c r="B161" s="693"/>
    </row>
    <row r="162" spans="2:2" s="181" customFormat="1" x14ac:dyDescent="0.2">
      <c r="B162" s="693"/>
    </row>
    <row r="163" spans="2:2" s="181" customFormat="1" x14ac:dyDescent="0.2">
      <c r="B163" s="693"/>
    </row>
    <row r="164" spans="2:2" s="181" customFormat="1" x14ac:dyDescent="0.2">
      <c r="B164" s="693"/>
    </row>
    <row r="165" spans="2:2" s="181" customFormat="1" x14ac:dyDescent="0.2">
      <c r="B165" s="693"/>
    </row>
    <row r="166" spans="2:2" s="181" customFormat="1" x14ac:dyDescent="0.2">
      <c r="B166" s="693"/>
    </row>
    <row r="167" spans="2:2" s="181" customFormat="1" x14ac:dyDescent="0.2">
      <c r="B167" s="693"/>
    </row>
    <row r="168" spans="2:2" s="181" customFormat="1" x14ac:dyDescent="0.2">
      <c r="B168" s="693"/>
    </row>
    <row r="169" spans="2:2" s="181" customFormat="1" x14ac:dyDescent="0.2">
      <c r="B169" s="693"/>
    </row>
    <row r="170" spans="2:2" s="181" customFormat="1" x14ac:dyDescent="0.2">
      <c r="B170" s="693"/>
    </row>
    <row r="171" spans="2:2" s="181" customFormat="1" x14ac:dyDescent="0.2">
      <c r="B171" s="693"/>
    </row>
    <row r="172" spans="2:2" s="181" customFormat="1" x14ac:dyDescent="0.2">
      <c r="B172" s="693"/>
    </row>
    <row r="173" spans="2:2" s="181" customFormat="1" x14ac:dyDescent="0.2">
      <c r="B173" s="693"/>
    </row>
    <row r="174" spans="2:2" s="181" customFormat="1" x14ac:dyDescent="0.2">
      <c r="B174" s="693"/>
    </row>
    <row r="175" spans="2:2" s="181" customFormat="1" x14ac:dyDescent="0.2">
      <c r="B175" s="693"/>
    </row>
    <row r="176" spans="2:2" s="181" customFormat="1" x14ac:dyDescent="0.2">
      <c r="B176" s="693"/>
    </row>
    <row r="177" spans="2:2" s="181" customFormat="1" x14ac:dyDescent="0.2">
      <c r="B177" s="693"/>
    </row>
    <row r="178" spans="2:2" s="181" customFormat="1" x14ac:dyDescent="0.2">
      <c r="B178" s="693"/>
    </row>
    <row r="179" spans="2:2" s="181" customFormat="1" x14ac:dyDescent="0.2">
      <c r="B179" s="693"/>
    </row>
    <row r="180" spans="2:2" s="181" customFormat="1" x14ac:dyDescent="0.2">
      <c r="B180" s="693"/>
    </row>
    <row r="181" spans="2:2" s="181" customFormat="1" x14ac:dyDescent="0.2">
      <c r="B181" s="693"/>
    </row>
    <row r="182" spans="2:2" s="181" customFormat="1" x14ac:dyDescent="0.2">
      <c r="B182" s="693"/>
    </row>
    <row r="183" spans="2:2" s="181" customFormat="1" x14ac:dyDescent="0.2">
      <c r="B183" s="693"/>
    </row>
    <row r="184" spans="2:2" s="181" customFormat="1" x14ac:dyDescent="0.2">
      <c r="B184" s="693"/>
    </row>
    <row r="185" spans="2:2" s="181" customFormat="1" x14ac:dyDescent="0.2">
      <c r="B185" s="693"/>
    </row>
    <row r="186" spans="2:2" s="181" customFormat="1" x14ac:dyDescent="0.2">
      <c r="B186" s="693"/>
    </row>
    <row r="187" spans="2:2" s="181" customFormat="1" x14ac:dyDescent="0.2">
      <c r="B187" s="693"/>
    </row>
    <row r="188" spans="2:2" s="181" customFormat="1" x14ac:dyDescent="0.2">
      <c r="B188" s="693"/>
    </row>
    <row r="189" spans="2:2" s="181" customFormat="1" x14ac:dyDescent="0.2">
      <c r="B189" s="693"/>
    </row>
    <row r="190" spans="2:2" s="181" customFormat="1" x14ac:dyDescent="0.2">
      <c r="B190" s="693"/>
    </row>
    <row r="191" spans="2:2" s="181" customFormat="1" x14ac:dyDescent="0.2">
      <c r="B191" s="693"/>
    </row>
    <row r="192" spans="2:2" s="181" customFormat="1" x14ac:dyDescent="0.2">
      <c r="B192" s="693"/>
    </row>
    <row r="193" spans="2:2" s="181" customFormat="1" x14ac:dyDescent="0.2">
      <c r="B193" s="693"/>
    </row>
    <row r="194" spans="2:2" s="181" customFormat="1" x14ac:dyDescent="0.2">
      <c r="B194" s="693"/>
    </row>
    <row r="195" spans="2:2" s="181" customFormat="1" x14ac:dyDescent="0.2">
      <c r="B195" s="693"/>
    </row>
    <row r="196" spans="2:2" s="181" customFormat="1" x14ac:dyDescent="0.2">
      <c r="B196" s="693"/>
    </row>
    <row r="197" spans="2:2" s="181" customFormat="1" x14ac:dyDescent="0.2">
      <c r="B197" s="693"/>
    </row>
    <row r="198" spans="2:2" s="181" customFormat="1" x14ac:dyDescent="0.2">
      <c r="B198" s="693"/>
    </row>
    <row r="199" spans="2:2" s="181" customFormat="1" x14ac:dyDescent="0.2">
      <c r="B199" s="693"/>
    </row>
    <row r="200" spans="2:2" s="181" customFormat="1" x14ac:dyDescent="0.2">
      <c r="B200" s="693"/>
    </row>
    <row r="201" spans="2:2" s="181" customFormat="1" x14ac:dyDescent="0.2">
      <c r="B201" s="693"/>
    </row>
    <row r="202" spans="2:2" s="181" customFormat="1" x14ac:dyDescent="0.2">
      <c r="B202" s="693"/>
    </row>
    <row r="203" spans="2:2" s="181" customFormat="1" x14ac:dyDescent="0.2">
      <c r="B203" s="693"/>
    </row>
    <row r="204" spans="2:2" s="181" customFormat="1" x14ac:dyDescent="0.2">
      <c r="B204" s="693"/>
    </row>
    <row r="205" spans="2:2" s="181" customFormat="1" x14ac:dyDescent="0.2">
      <c r="B205" s="693"/>
    </row>
    <row r="206" spans="2:2" s="181" customFormat="1" x14ac:dyDescent="0.2">
      <c r="B206" s="693"/>
    </row>
    <row r="207" spans="2:2" s="181" customFormat="1" x14ac:dyDescent="0.2">
      <c r="B207" s="693"/>
    </row>
    <row r="208" spans="2:2" s="181" customFormat="1" x14ac:dyDescent="0.2">
      <c r="B208" s="693"/>
    </row>
    <row r="209" spans="2:2" s="181" customFormat="1" x14ac:dyDescent="0.2">
      <c r="B209" s="693"/>
    </row>
    <row r="210" spans="2:2" s="181" customFormat="1" x14ac:dyDescent="0.2">
      <c r="B210" s="693"/>
    </row>
    <row r="211" spans="2:2" s="181" customFormat="1" x14ac:dyDescent="0.2">
      <c r="B211" s="693"/>
    </row>
    <row r="212" spans="2:2" s="181" customFormat="1" x14ac:dyDescent="0.2">
      <c r="B212" s="693"/>
    </row>
    <row r="213" spans="2:2" s="181" customFormat="1" x14ac:dyDescent="0.2">
      <c r="B213" s="693"/>
    </row>
    <row r="214" spans="2:2" s="181" customFormat="1" x14ac:dyDescent="0.2">
      <c r="B214" s="693"/>
    </row>
    <row r="215" spans="2:2" s="181" customFormat="1" x14ac:dyDescent="0.2">
      <c r="B215" s="693"/>
    </row>
    <row r="216" spans="2:2" s="181" customFormat="1" x14ac:dyDescent="0.2">
      <c r="B216" s="693"/>
    </row>
    <row r="217" spans="2:2" s="181" customFormat="1" x14ac:dyDescent="0.2">
      <c r="B217" s="693"/>
    </row>
    <row r="218" spans="2:2" s="181" customFormat="1" x14ac:dyDescent="0.2">
      <c r="B218" s="693"/>
    </row>
    <row r="219" spans="2:2" s="181" customFormat="1" x14ac:dyDescent="0.2">
      <c r="B219" s="693"/>
    </row>
    <row r="220" spans="2:2" s="181" customFormat="1" x14ac:dyDescent="0.2">
      <c r="B220" s="693"/>
    </row>
    <row r="221" spans="2:2" s="181" customFormat="1" x14ac:dyDescent="0.2">
      <c r="B221" s="693"/>
    </row>
    <row r="222" spans="2:2" s="181" customFormat="1" x14ac:dyDescent="0.2">
      <c r="B222" s="693"/>
    </row>
    <row r="223" spans="2:2" s="181" customFormat="1" x14ac:dyDescent="0.2">
      <c r="B223" s="693"/>
    </row>
    <row r="224" spans="2:2" s="181" customFormat="1" x14ac:dyDescent="0.2">
      <c r="B224" s="693"/>
    </row>
    <row r="225" spans="2:2" s="181" customFormat="1" x14ac:dyDescent="0.2">
      <c r="B225" s="693"/>
    </row>
    <row r="226" spans="2:2" s="181" customFormat="1" x14ac:dyDescent="0.2">
      <c r="B226" s="693"/>
    </row>
    <row r="227" spans="2:2" s="181" customFormat="1" x14ac:dyDescent="0.2">
      <c r="B227" s="693"/>
    </row>
    <row r="228" spans="2:2" s="181" customFormat="1" x14ac:dyDescent="0.2">
      <c r="B228" s="693"/>
    </row>
    <row r="229" spans="2:2" s="181" customFormat="1" x14ac:dyDescent="0.2">
      <c r="B229" s="693"/>
    </row>
    <row r="230" spans="2:2" s="181" customFormat="1" x14ac:dyDescent="0.2">
      <c r="B230" s="693"/>
    </row>
    <row r="231" spans="2:2" s="181" customFormat="1" x14ac:dyDescent="0.2">
      <c r="B231" s="693"/>
    </row>
    <row r="232" spans="2:2" s="181" customFormat="1" x14ac:dyDescent="0.2">
      <c r="B232" s="693"/>
    </row>
    <row r="233" spans="2:2" s="181" customFormat="1" x14ac:dyDescent="0.2">
      <c r="B233" s="693"/>
    </row>
    <row r="234" spans="2:2" s="181" customFormat="1" x14ac:dyDescent="0.2">
      <c r="B234" s="693"/>
    </row>
    <row r="235" spans="2:2" s="181" customFormat="1" x14ac:dyDescent="0.2">
      <c r="B235" s="693"/>
    </row>
    <row r="236" spans="2:2" s="181" customFormat="1" x14ac:dyDescent="0.2">
      <c r="B236" s="693"/>
    </row>
    <row r="237" spans="2:2" s="181" customFormat="1" x14ac:dyDescent="0.2">
      <c r="B237" s="693"/>
    </row>
    <row r="238" spans="2:2" s="181" customFormat="1" x14ac:dyDescent="0.2">
      <c r="B238" s="693"/>
    </row>
    <row r="239" spans="2:2" s="181" customFormat="1" x14ac:dyDescent="0.2">
      <c r="B239" s="693"/>
    </row>
    <row r="240" spans="2:2" s="181" customFormat="1" x14ac:dyDescent="0.2">
      <c r="B240" s="693"/>
    </row>
    <row r="241" spans="2:2" s="181" customFormat="1" x14ac:dyDescent="0.2">
      <c r="B241" s="693"/>
    </row>
    <row r="242" spans="2:2" s="181" customFormat="1" x14ac:dyDescent="0.2">
      <c r="B242" s="693"/>
    </row>
    <row r="243" spans="2:2" s="181" customFormat="1" x14ac:dyDescent="0.2">
      <c r="B243" s="693"/>
    </row>
    <row r="244" spans="2:2" s="181" customFormat="1" x14ac:dyDescent="0.2">
      <c r="B244" s="693"/>
    </row>
    <row r="245" spans="2:2" s="181" customFormat="1" x14ac:dyDescent="0.2">
      <c r="B245" s="693"/>
    </row>
    <row r="246" spans="2:2" s="181" customFormat="1" x14ac:dyDescent="0.2">
      <c r="B246" s="693"/>
    </row>
    <row r="247" spans="2:2" s="181" customFormat="1" x14ac:dyDescent="0.2">
      <c r="B247" s="693"/>
    </row>
    <row r="248" spans="2:2" s="181" customFormat="1" x14ac:dyDescent="0.2">
      <c r="B248" s="693"/>
    </row>
    <row r="249" spans="2:2" s="181" customFormat="1" x14ac:dyDescent="0.2">
      <c r="B249" s="693"/>
    </row>
    <row r="250" spans="2:2" s="181" customFormat="1" x14ac:dyDescent="0.2">
      <c r="B250" s="693"/>
    </row>
    <row r="251" spans="2:2" s="181" customFormat="1" x14ac:dyDescent="0.2">
      <c r="B251" s="693"/>
    </row>
    <row r="252" spans="2:2" s="181" customFormat="1" x14ac:dyDescent="0.2">
      <c r="B252" s="693"/>
    </row>
    <row r="253" spans="2:2" s="181" customFormat="1" x14ac:dyDescent="0.2">
      <c r="B253" s="693"/>
    </row>
    <row r="254" spans="2:2" s="181" customFormat="1" x14ac:dyDescent="0.2">
      <c r="B254" s="693"/>
    </row>
    <row r="255" spans="2:2" s="181" customFormat="1" x14ac:dyDescent="0.2">
      <c r="B255" s="693"/>
    </row>
    <row r="256" spans="2:2" s="181" customFormat="1" x14ac:dyDescent="0.2">
      <c r="B256" s="693"/>
    </row>
    <row r="257" spans="2:2" s="181" customFormat="1" x14ac:dyDescent="0.2">
      <c r="B257" s="693"/>
    </row>
    <row r="258" spans="2:2" s="181" customFormat="1" x14ac:dyDescent="0.2">
      <c r="B258" s="693"/>
    </row>
    <row r="259" spans="2:2" s="181" customFormat="1" x14ac:dyDescent="0.2">
      <c r="B259" s="693"/>
    </row>
    <row r="260" spans="2:2" s="181" customFormat="1" x14ac:dyDescent="0.2">
      <c r="B260" s="693"/>
    </row>
    <row r="261" spans="2:2" s="181" customFormat="1" x14ac:dyDescent="0.2">
      <c r="B261" s="693"/>
    </row>
    <row r="262" spans="2:2" s="181" customFormat="1" x14ac:dyDescent="0.2">
      <c r="B262" s="693"/>
    </row>
    <row r="263" spans="2:2" s="181" customFormat="1" x14ac:dyDescent="0.2">
      <c r="B263" s="693"/>
    </row>
    <row r="264" spans="2:2" s="181" customFormat="1" x14ac:dyDescent="0.2">
      <c r="B264" s="693"/>
    </row>
    <row r="265" spans="2:2" s="181" customFormat="1" x14ac:dyDescent="0.2">
      <c r="B265" s="693"/>
    </row>
    <row r="266" spans="2:2" s="181" customFormat="1" x14ac:dyDescent="0.2">
      <c r="B266" s="693"/>
    </row>
    <row r="267" spans="2:2" s="181" customFormat="1" x14ac:dyDescent="0.2">
      <c r="B267" s="693"/>
    </row>
    <row r="268" spans="2:2" s="181" customFormat="1" x14ac:dyDescent="0.2">
      <c r="B268" s="693"/>
    </row>
    <row r="269" spans="2:2" s="181" customFormat="1" x14ac:dyDescent="0.2">
      <c r="B269" s="693"/>
    </row>
    <row r="270" spans="2:2" s="181" customFormat="1" x14ac:dyDescent="0.2">
      <c r="B270" s="693"/>
    </row>
    <row r="271" spans="2:2" s="181" customFormat="1" x14ac:dyDescent="0.2">
      <c r="B271" s="693"/>
    </row>
    <row r="272" spans="2:2" s="181" customFormat="1" x14ac:dyDescent="0.2">
      <c r="B272" s="693"/>
    </row>
    <row r="273" spans="2:2" s="181" customFormat="1" x14ac:dyDescent="0.2">
      <c r="B273" s="693"/>
    </row>
    <row r="274" spans="2:2" s="181" customFormat="1" x14ac:dyDescent="0.2">
      <c r="B274" s="693"/>
    </row>
    <row r="275" spans="2:2" s="181" customFormat="1" x14ac:dyDescent="0.2">
      <c r="B275" s="693"/>
    </row>
    <row r="276" spans="2:2" s="181" customFormat="1" x14ac:dyDescent="0.2">
      <c r="B276" s="693"/>
    </row>
    <row r="277" spans="2:2" s="181" customFormat="1" x14ac:dyDescent="0.2">
      <c r="B277" s="693"/>
    </row>
    <row r="278" spans="2:2" s="181" customFormat="1" x14ac:dyDescent="0.2">
      <c r="B278" s="693"/>
    </row>
    <row r="279" spans="2:2" s="181" customFormat="1" x14ac:dyDescent="0.2">
      <c r="B279" s="693"/>
    </row>
    <row r="280" spans="2:2" s="181" customFormat="1" x14ac:dyDescent="0.2">
      <c r="B280" s="693"/>
    </row>
    <row r="281" spans="2:2" s="181" customFormat="1" x14ac:dyDescent="0.2">
      <c r="B281" s="693"/>
    </row>
    <row r="282" spans="2:2" s="181" customFormat="1" x14ac:dyDescent="0.2">
      <c r="B282" s="693"/>
    </row>
    <row r="283" spans="2:2" s="181" customFormat="1" x14ac:dyDescent="0.2">
      <c r="B283" s="693"/>
    </row>
    <row r="284" spans="2:2" s="181" customFormat="1" x14ac:dyDescent="0.2">
      <c r="B284" s="693"/>
    </row>
    <row r="285" spans="2:2" s="181" customFormat="1" x14ac:dyDescent="0.2">
      <c r="B285" s="693"/>
    </row>
    <row r="286" spans="2:2" s="181" customFormat="1" x14ac:dyDescent="0.2">
      <c r="B286" s="693"/>
    </row>
    <row r="287" spans="2:2" s="181" customFormat="1" x14ac:dyDescent="0.2">
      <c r="B287" s="693"/>
    </row>
    <row r="288" spans="2:2" s="181" customFormat="1" x14ac:dyDescent="0.2">
      <c r="B288" s="693"/>
    </row>
    <row r="289" spans="2:2" s="181" customFormat="1" x14ac:dyDescent="0.2">
      <c r="B289" s="693"/>
    </row>
    <row r="290" spans="2:2" s="181" customFormat="1" x14ac:dyDescent="0.2">
      <c r="B290" s="693"/>
    </row>
    <row r="291" spans="2:2" s="181" customFormat="1" x14ac:dyDescent="0.2">
      <c r="B291" s="693"/>
    </row>
    <row r="292" spans="2:2" s="181" customFormat="1" x14ac:dyDescent="0.2">
      <c r="B292" s="693"/>
    </row>
    <row r="293" spans="2:2" s="181" customFormat="1" x14ac:dyDescent="0.2">
      <c r="B293" s="693"/>
    </row>
    <row r="294" spans="2:2" s="181" customFormat="1" x14ac:dyDescent="0.2">
      <c r="B294" s="693"/>
    </row>
    <row r="295" spans="2:2" s="181" customFormat="1" x14ac:dyDescent="0.2">
      <c r="B295" s="693"/>
    </row>
    <row r="296" spans="2:2" s="181" customFormat="1" x14ac:dyDescent="0.2">
      <c r="B296" s="693"/>
    </row>
    <row r="297" spans="2:2" s="181" customFormat="1" x14ac:dyDescent="0.2">
      <c r="B297" s="693"/>
    </row>
    <row r="298" spans="2:2" s="181" customFormat="1" x14ac:dyDescent="0.2">
      <c r="B298" s="693"/>
    </row>
    <row r="299" spans="2:2" s="181" customFormat="1" x14ac:dyDescent="0.2">
      <c r="B299" s="693"/>
    </row>
    <row r="300" spans="2:2" s="181" customFormat="1" x14ac:dyDescent="0.2">
      <c r="B300" s="693"/>
    </row>
    <row r="301" spans="2:2" s="181" customFormat="1" x14ac:dyDescent="0.2">
      <c r="B301" s="693"/>
    </row>
    <row r="302" spans="2:2" s="181" customFormat="1" x14ac:dyDescent="0.2">
      <c r="B302" s="693"/>
    </row>
    <row r="303" spans="2:2" s="181" customFormat="1" x14ac:dyDescent="0.2">
      <c r="B303" s="693"/>
    </row>
    <row r="304" spans="2:2" s="181" customFormat="1" x14ac:dyDescent="0.2">
      <c r="B304" s="693"/>
    </row>
    <row r="305" spans="2:2" s="181" customFormat="1" x14ac:dyDescent="0.2">
      <c r="B305" s="693"/>
    </row>
    <row r="306" spans="2:2" s="181" customFormat="1" x14ac:dyDescent="0.2">
      <c r="B306" s="693"/>
    </row>
    <row r="307" spans="2:2" s="181" customFormat="1" x14ac:dyDescent="0.2">
      <c r="B307" s="693"/>
    </row>
    <row r="308" spans="2:2" s="181" customFormat="1" x14ac:dyDescent="0.2">
      <c r="B308" s="693"/>
    </row>
    <row r="309" spans="2:2" s="181" customFormat="1" x14ac:dyDescent="0.2">
      <c r="B309" s="693"/>
    </row>
    <row r="310" spans="2:2" s="181" customFormat="1" x14ac:dyDescent="0.2">
      <c r="B310" s="693"/>
    </row>
    <row r="311" spans="2:2" s="181" customFormat="1" x14ac:dyDescent="0.2">
      <c r="B311" s="693"/>
    </row>
    <row r="312" spans="2:2" s="181" customFormat="1" x14ac:dyDescent="0.2">
      <c r="B312" s="693"/>
    </row>
    <row r="313" spans="2:2" s="181" customFormat="1" x14ac:dyDescent="0.2">
      <c r="B313" s="693"/>
    </row>
    <row r="314" spans="2:2" s="181" customFormat="1" x14ac:dyDescent="0.2">
      <c r="B314" s="693"/>
    </row>
    <row r="315" spans="2:2" s="181" customFormat="1" x14ac:dyDescent="0.2">
      <c r="B315" s="693"/>
    </row>
    <row r="316" spans="2:2" s="181" customFormat="1" x14ac:dyDescent="0.2">
      <c r="B316" s="693"/>
    </row>
    <row r="317" spans="2:2" s="181" customFormat="1" x14ac:dyDescent="0.2">
      <c r="B317" s="693"/>
    </row>
    <row r="318" spans="2:2" s="181" customFormat="1" x14ac:dyDescent="0.2">
      <c r="B318" s="693"/>
    </row>
    <row r="319" spans="2:2" s="181" customFormat="1" x14ac:dyDescent="0.2">
      <c r="B319" s="693"/>
    </row>
    <row r="320" spans="2:2" s="181" customFormat="1" x14ac:dyDescent="0.2">
      <c r="B320" s="693"/>
    </row>
    <row r="321" spans="2:2" s="181" customFormat="1" x14ac:dyDescent="0.2">
      <c r="B321" s="693"/>
    </row>
    <row r="322" spans="2:2" s="181" customFormat="1" x14ac:dyDescent="0.2">
      <c r="B322" s="693"/>
    </row>
    <row r="323" spans="2:2" s="181" customFormat="1" x14ac:dyDescent="0.2">
      <c r="B323" s="693"/>
    </row>
    <row r="324" spans="2:2" s="181" customFormat="1" x14ac:dyDescent="0.2">
      <c r="B324" s="693"/>
    </row>
    <row r="325" spans="2:2" s="181" customFormat="1" x14ac:dyDescent="0.2">
      <c r="B325" s="693"/>
    </row>
    <row r="326" spans="2:2" s="181" customFormat="1" x14ac:dyDescent="0.2">
      <c r="B326" s="693"/>
    </row>
    <row r="327" spans="2:2" s="181" customFormat="1" x14ac:dyDescent="0.2">
      <c r="B327" s="693"/>
    </row>
    <row r="328" spans="2:2" s="181" customFormat="1" x14ac:dyDescent="0.2">
      <c r="B328" s="693"/>
    </row>
    <row r="329" spans="2:2" s="181" customFormat="1" x14ac:dyDescent="0.2">
      <c r="B329" s="693"/>
    </row>
    <row r="330" spans="2:2" s="181" customFormat="1" x14ac:dyDescent="0.2">
      <c r="B330" s="693"/>
    </row>
    <row r="331" spans="2:2" s="181" customFormat="1" x14ac:dyDescent="0.2">
      <c r="B331" s="693"/>
    </row>
    <row r="332" spans="2:2" s="181" customFormat="1" x14ac:dyDescent="0.2">
      <c r="B332" s="693"/>
    </row>
    <row r="333" spans="2:2" s="181" customFormat="1" x14ac:dyDescent="0.2">
      <c r="B333" s="693"/>
    </row>
    <row r="334" spans="2:2" s="181" customFormat="1" x14ac:dyDescent="0.2">
      <c r="B334" s="693"/>
    </row>
    <row r="335" spans="2:2" s="181" customFormat="1" x14ac:dyDescent="0.2">
      <c r="B335" s="693"/>
    </row>
    <row r="336" spans="2:2" s="181" customFormat="1" x14ac:dyDescent="0.2">
      <c r="B336" s="693"/>
    </row>
    <row r="337" spans="2:2" s="181" customFormat="1" x14ac:dyDescent="0.2">
      <c r="B337" s="693"/>
    </row>
    <row r="338" spans="2:2" s="181" customFormat="1" x14ac:dyDescent="0.2">
      <c r="B338" s="693"/>
    </row>
    <row r="339" spans="2:2" s="181" customFormat="1" x14ac:dyDescent="0.2">
      <c r="B339" s="693"/>
    </row>
    <row r="340" spans="2:2" s="181" customFormat="1" x14ac:dyDescent="0.2">
      <c r="B340" s="693"/>
    </row>
    <row r="341" spans="2:2" s="181" customFormat="1" x14ac:dyDescent="0.2">
      <c r="B341" s="693"/>
    </row>
    <row r="342" spans="2:2" s="181" customFormat="1" x14ac:dyDescent="0.2">
      <c r="B342" s="693"/>
    </row>
    <row r="343" spans="2:2" s="181" customFormat="1" x14ac:dyDescent="0.2">
      <c r="B343" s="693"/>
    </row>
    <row r="344" spans="2:2" s="181" customFormat="1" x14ac:dyDescent="0.2">
      <c r="B344" s="693"/>
    </row>
    <row r="345" spans="2:2" s="181" customFormat="1" x14ac:dyDescent="0.2">
      <c r="B345" s="693"/>
    </row>
    <row r="346" spans="2:2" s="181" customFormat="1" x14ac:dyDescent="0.2">
      <c r="B346" s="693"/>
    </row>
    <row r="347" spans="2:2" s="181" customFormat="1" x14ac:dyDescent="0.2">
      <c r="B347" s="693"/>
    </row>
    <row r="348" spans="2:2" s="181" customFormat="1" x14ac:dyDescent="0.2">
      <c r="B348" s="693"/>
    </row>
    <row r="349" spans="2:2" s="181" customFormat="1" x14ac:dyDescent="0.2">
      <c r="B349" s="693"/>
    </row>
    <row r="350" spans="2:2" s="181" customFormat="1" x14ac:dyDescent="0.2">
      <c r="B350" s="693"/>
    </row>
    <row r="351" spans="2:2" s="181" customFormat="1" x14ac:dyDescent="0.2">
      <c r="B351" s="693"/>
    </row>
    <row r="352" spans="2:2" s="181" customFormat="1" x14ac:dyDescent="0.2">
      <c r="B352" s="693"/>
    </row>
    <row r="353" spans="2:2" s="181" customFormat="1" x14ac:dyDescent="0.2">
      <c r="B353" s="693"/>
    </row>
    <row r="354" spans="2:2" s="181" customFormat="1" x14ac:dyDescent="0.2">
      <c r="B354" s="693"/>
    </row>
    <row r="355" spans="2:2" s="181" customFormat="1" x14ac:dyDescent="0.2">
      <c r="B355" s="693"/>
    </row>
    <row r="356" spans="2:2" s="181" customFormat="1" x14ac:dyDescent="0.2">
      <c r="B356" s="693"/>
    </row>
    <row r="357" spans="2:2" s="181" customFormat="1" x14ac:dyDescent="0.2">
      <c r="B357" s="693"/>
    </row>
    <row r="358" spans="2:2" s="181" customFormat="1" x14ac:dyDescent="0.2">
      <c r="B358" s="693"/>
    </row>
    <row r="359" spans="2:2" s="181" customFormat="1" x14ac:dyDescent="0.2">
      <c r="B359" s="693"/>
    </row>
    <row r="360" spans="2:2" s="181" customFormat="1" x14ac:dyDescent="0.2">
      <c r="B360" s="693"/>
    </row>
    <row r="361" spans="2:2" s="181" customFormat="1" x14ac:dyDescent="0.2">
      <c r="B361" s="693"/>
    </row>
    <row r="362" spans="2:2" s="181" customFormat="1" x14ac:dyDescent="0.2">
      <c r="B362" s="693"/>
    </row>
    <row r="363" spans="2:2" s="181" customFormat="1" x14ac:dyDescent="0.2">
      <c r="B363" s="693"/>
    </row>
    <row r="364" spans="2:2" s="181" customFormat="1" x14ac:dyDescent="0.2">
      <c r="B364" s="693"/>
    </row>
    <row r="365" spans="2:2" s="181" customFormat="1" x14ac:dyDescent="0.2">
      <c r="B365" s="693"/>
    </row>
    <row r="366" spans="2:2" s="181" customFormat="1" x14ac:dyDescent="0.2">
      <c r="B366" s="693"/>
    </row>
    <row r="367" spans="2:2" s="181" customFormat="1" x14ac:dyDescent="0.2">
      <c r="B367" s="693"/>
    </row>
    <row r="368" spans="2:2" s="181" customFormat="1" x14ac:dyDescent="0.2">
      <c r="B368" s="693"/>
    </row>
    <row r="369" spans="2:2" s="181" customFormat="1" x14ac:dyDescent="0.2">
      <c r="B369" s="693"/>
    </row>
    <row r="370" spans="2:2" s="181" customFormat="1" x14ac:dyDescent="0.2">
      <c r="B370" s="693"/>
    </row>
    <row r="371" spans="2:2" s="181" customFormat="1" x14ac:dyDescent="0.2">
      <c r="B371" s="693"/>
    </row>
    <row r="372" spans="2:2" s="181" customFormat="1" x14ac:dyDescent="0.2">
      <c r="B372" s="693"/>
    </row>
    <row r="373" spans="2:2" s="181" customFormat="1" x14ac:dyDescent="0.2">
      <c r="B373" s="693"/>
    </row>
    <row r="374" spans="2:2" s="181" customFormat="1" x14ac:dyDescent="0.2">
      <c r="B374" s="693"/>
    </row>
    <row r="375" spans="2:2" s="181" customFormat="1" x14ac:dyDescent="0.2">
      <c r="B375" s="693"/>
    </row>
    <row r="376" spans="2:2" s="181" customFormat="1" x14ac:dyDescent="0.2">
      <c r="B376" s="693"/>
    </row>
    <row r="377" spans="2:2" s="181" customFormat="1" x14ac:dyDescent="0.2">
      <c r="B377" s="693"/>
    </row>
    <row r="378" spans="2:2" s="181" customFormat="1" x14ac:dyDescent="0.2">
      <c r="B378" s="693"/>
    </row>
    <row r="379" spans="2:2" s="181" customFormat="1" x14ac:dyDescent="0.2">
      <c r="B379" s="693"/>
    </row>
    <row r="380" spans="2:2" s="181" customFormat="1" x14ac:dyDescent="0.2">
      <c r="B380" s="693"/>
    </row>
    <row r="381" spans="2:2" s="181" customFormat="1" x14ac:dyDescent="0.2">
      <c r="B381" s="693"/>
    </row>
    <row r="382" spans="2:2" s="181" customFormat="1" x14ac:dyDescent="0.2">
      <c r="B382" s="693"/>
    </row>
    <row r="383" spans="2:2" s="181" customFormat="1" x14ac:dyDescent="0.2">
      <c r="B383" s="693"/>
    </row>
    <row r="384" spans="2:2" s="181" customFormat="1" x14ac:dyDescent="0.2">
      <c r="B384" s="693"/>
    </row>
    <row r="385" spans="2:2" s="181" customFormat="1" x14ac:dyDescent="0.2">
      <c r="B385" s="693"/>
    </row>
    <row r="386" spans="2:2" s="181" customFormat="1" x14ac:dyDescent="0.2">
      <c r="B386" s="693"/>
    </row>
    <row r="387" spans="2:2" s="181" customFormat="1" x14ac:dyDescent="0.2">
      <c r="B387" s="693"/>
    </row>
    <row r="388" spans="2:2" s="181" customFormat="1" x14ac:dyDescent="0.2">
      <c r="B388" s="693"/>
    </row>
    <row r="389" spans="2:2" s="181" customFormat="1" x14ac:dyDescent="0.2">
      <c r="B389" s="693"/>
    </row>
    <row r="390" spans="2:2" s="181" customFormat="1" x14ac:dyDescent="0.2">
      <c r="B390" s="693"/>
    </row>
    <row r="391" spans="2:2" s="181" customFormat="1" x14ac:dyDescent="0.2">
      <c r="B391" s="693"/>
    </row>
    <row r="392" spans="2:2" s="181" customFormat="1" x14ac:dyDescent="0.2">
      <c r="B392" s="693"/>
    </row>
    <row r="393" spans="2:2" s="181" customFormat="1" x14ac:dyDescent="0.2">
      <c r="B393" s="693"/>
    </row>
    <row r="394" spans="2:2" s="181" customFormat="1" x14ac:dyDescent="0.2">
      <c r="B394" s="693"/>
    </row>
    <row r="395" spans="2:2" s="181" customFormat="1" x14ac:dyDescent="0.2">
      <c r="B395" s="693"/>
    </row>
    <row r="396" spans="2:2" s="181" customFormat="1" x14ac:dyDescent="0.2">
      <c r="B396" s="693"/>
    </row>
    <row r="397" spans="2:2" s="181" customFormat="1" x14ac:dyDescent="0.2">
      <c r="B397" s="693"/>
    </row>
    <row r="398" spans="2:2" s="181" customFormat="1" x14ac:dyDescent="0.2">
      <c r="B398" s="693"/>
    </row>
    <row r="399" spans="2:2" s="181" customFormat="1" x14ac:dyDescent="0.2">
      <c r="B399" s="693"/>
    </row>
    <row r="400" spans="2:2" s="181" customFormat="1" x14ac:dyDescent="0.2">
      <c r="B400" s="693"/>
    </row>
    <row r="401" spans="2:2" s="181" customFormat="1" x14ac:dyDescent="0.2">
      <c r="B401" s="693"/>
    </row>
    <row r="402" spans="2:2" s="181" customFormat="1" x14ac:dyDescent="0.2">
      <c r="B402" s="693"/>
    </row>
    <row r="403" spans="2:2" s="181" customFormat="1" x14ac:dyDescent="0.2">
      <c r="B403" s="693"/>
    </row>
    <row r="404" spans="2:2" s="181" customFormat="1" x14ac:dyDescent="0.2">
      <c r="B404" s="693"/>
    </row>
    <row r="405" spans="2:2" s="181" customFormat="1" x14ac:dyDescent="0.2">
      <c r="B405" s="693"/>
    </row>
    <row r="406" spans="2:2" s="181" customFormat="1" x14ac:dyDescent="0.2">
      <c r="B406" s="693"/>
    </row>
    <row r="407" spans="2:2" s="181" customFormat="1" x14ac:dyDescent="0.2">
      <c r="B407" s="693"/>
    </row>
    <row r="408" spans="2:2" s="181" customFormat="1" x14ac:dyDescent="0.2">
      <c r="B408" s="693"/>
    </row>
    <row r="409" spans="2:2" s="181" customFormat="1" x14ac:dyDescent="0.2">
      <c r="B409" s="693"/>
    </row>
    <row r="410" spans="2:2" s="181" customFormat="1" x14ac:dyDescent="0.2">
      <c r="B410" s="693"/>
    </row>
    <row r="411" spans="2:2" s="181" customFormat="1" x14ac:dyDescent="0.2">
      <c r="B411" s="693"/>
    </row>
    <row r="412" spans="2:2" s="181" customFormat="1" x14ac:dyDescent="0.2">
      <c r="B412" s="693"/>
    </row>
    <row r="413" spans="2:2" s="181" customFormat="1" x14ac:dyDescent="0.2">
      <c r="B413" s="693"/>
    </row>
    <row r="414" spans="2:2" s="181" customFormat="1" x14ac:dyDescent="0.2">
      <c r="B414" s="693"/>
    </row>
    <row r="415" spans="2:2" s="181" customFormat="1" x14ac:dyDescent="0.2">
      <c r="B415" s="693"/>
    </row>
    <row r="416" spans="2:2" s="181" customFormat="1" x14ac:dyDescent="0.2">
      <c r="B416" s="693"/>
    </row>
    <row r="417" spans="2:2" s="181" customFormat="1" x14ac:dyDescent="0.2">
      <c r="B417" s="693"/>
    </row>
    <row r="418" spans="2:2" s="181" customFormat="1" x14ac:dyDescent="0.2">
      <c r="B418" s="693"/>
    </row>
    <row r="419" spans="2:2" s="181" customFormat="1" x14ac:dyDescent="0.2">
      <c r="B419" s="693"/>
    </row>
    <row r="420" spans="2:2" s="181" customFormat="1" x14ac:dyDescent="0.2">
      <c r="B420" s="693"/>
    </row>
    <row r="421" spans="2:2" s="181" customFormat="1" x14ac:dyDescent="0.2">
      <c r="B421" s="693"/>
    </row>
    <row r="422" spans="2:2" s="181" customFormat="1" x14ac:dyDescent="0.2">
      <c r="B422" s="693"/>
    </row>
    <row r="423" spans="2:2" s="181" customFormat="1" x14ac:dyDescent="0.2">
      <c r="B423" s="693"/>
    </row>
    <row r="424" spans="2:2" s="181" customFormat="1" x14ac:dyDescent="0.2">
      <c r="B424" s="693"/>
    </row>
    <row r="425" spans="2:2" s="181" customFormat="1" x14ac:dyDescent="0.2">
      <c r="B425" s="693"/>
    </row>
    <row r="426" spans="2:2" s="181" customFormat="1" x14ac:dyDescent="0.2">
      <c r="B426" s="693"/>
    </row>
    <row r="427" spans="2:2" s="181" customFormat="1" x14ac:dyDescent="0.2">
      <c r="B427" s="693"/>
    </row>
    <row r="428" spans="2:2" s="181" customFormat="1" x14ac:dyDescent="0.2">
      <c r="B428" s="693"/>
    </row>
    <row r="429" spans="2:2" s="181" customFormat="1" x14ac:dyDescent="0.2">
      <c r="B429" s="693"/>
    </row>
    <row r="430" spans="2:2" s="181" customFormat="1" x14ac:dyDescent="0.2">
      <c r="B430" s="693"/>
    </row>
    <row r="431" spans="2:2" s="181" customFormat="1" x14ac:dyDescent="0.2">
      <c r="B431" s="693"/>
    </row>
    <row r="432" spans="2:2" s="181" customFormat="1" x14ac:dyDescent="0.2">
      <c r="B432" s="693"/>
    </row>
    <row r="433" spans="2:2" s="181" customFormat="1" x14ac:dyDescent="0.2">
      <c r="B433" s="693"/>
    </row>
    <row r="434" spans="2:2" s="181" customFormat="1" x14ac:dyDescent="0.2">
      <c r="B434" s="693"/>
    </row>
    <row r="435" spans="2:2" s="181" customFormat="1" x14ac:dyDescent="0.2">
      <c r="B435" s="693"/>
    </row>
    <row r="436" spans="2:2" s="181" customFormat="1" x14ac:dyDescent="0.2">
      <c r="B436" s="693"/>
    </row>
    <row r="437" spans="2:2" s="181" customFormat="1" x14ac:dyDescent="0.2">
      <c r="B437" s="693"/>
    </row>
    <row r="438" spans="2:2" s="181" customFormat="1" x14ac:dyDescent="0.2">
      <c r="B438" s="693"/>
    </row>
    <row r="439" spans="2:2" s="181" customFormat="1" x14ac:dyDescent="0.2">
      <c r="B439" s="693"/>
    </row>
    <row r="440" spans="2:2" s="181" customFormat="1" x14ac:dyDescent="0.2">
      <c r="B440" s="693"/>
    </row>
    <row r="441" spans="2:2" s="181" customFormat="1" x14ac:dyDescent="0.2">
      <c r="B441" s="693"/>
    </row>
    <row r="442" spans="2:2" s="181" customFormat="1" x14ac:dyDescent="0.2">
      <c r="B442" s="693"/>
    </row>
    <row r="443" spans="2:2" s="181" customFormat="1" x14ac:dyDescent="0.2">
      <c r="B443" s="693"/>
    </row>
    <row r="444" spans="2:2" s="181" customFormat="1" x14ac:dyDescent="0.2">
      <c r="B444" s="693"/>
    </row>
    <row r="445" spans="2:2" s="181" customFormat="1" x14ac:dyDescent="0.2">
      <c r="B445" s="693"/>
    </row>
    <row r="446" spans="2:2" s="181" customFormat="1" x14ac:dyDescent="0.2">
      <c r="B446" s="693"/>
    </row>
    <row r="447" spans="2:2" s="181" customFormat="1" x14ac:dyDescent="0.2">
      <c r="B447" s="693"/>
    </row>
    <row r="448" spans="2:2" s="181" customFormat="1" x14ac:dyDescent="0.2">
      <c r="B448" s="693"/>
    </row>
    <row r="449" spans="2:2" s="181" customFormat="1" x14ac:dyDescent="0.2">
      <c r="B449" s="693"/>
    </row>
    <row r="450" spans="2:2" s="181" customFormat="1" x14ac:dyDescent="0.2">
      <c r="B450" s="693"/>
    </row>
    <row r="451" spans="2:2" s="181" customFormat="1" x14ac:dyDescent="0.2">
      <c r="B451" s="693"/>
    </row>
    <row r="452" spans="2:2" s="181" customFormat="1" x14ac:dyDescent="0.2">
      <c r="B452" s="693"/>
    </row>
    <row r="453" spans="2:2" s="181" customFormat="1" x14ac:dyDescent="0.2">
      <c r="B453" s="693"/>
    </row>
    <row r="454" spans="2:2" s="181" customFormat="1" x14ac:dyDescent="0.2">
      <c r="B454" s="693"/>
    </row>
    <row r="455" spans="2:2" s="181" customFormat="1" x14ac:dyDescent="0.2">
      <c r="B455" s="693"/>
    </row>
    <row r="456" spans="2:2" s="181" customFormat="1" x14ac:dyDescent="0.2">
      <c r="B456" s="693"/>
    </row>
    <row r="457" spans="2:2" s="181" customFormat="1" x14ac:dyDescent="0.2">
      <c r="B457" s="693"/>
    </row>
    <row r="458" spans="2:2" s="181" customFormat="1" x14ac:dyDescent="0.2">
      <c r="B458" s="693"/>
    </row>
    <row r="459" spans="2:2" s="181" customFormat="1" x14ac:dyDescent="0.2">
      <c r="B459" s="693"/>
    </row>
    <row r="460" spans="2:2" s="181" customFormat="1" x14ac:dyDescent="0.2">
      <c r="B460" s="693"/>
    </row>
    <row r="461" spans="2:2" s="181" customFormat="1" x14ac:dyDescent="0.2">
      <c r="B461" s="693"/>
    </row>
    <row r="462" spans="2:2" s="181" customFormat="1" x14ac:dyDescent="0.2">
      <c r="B462" s="693"/>
    </row>
    <row r="463" spans="2:2" s="181" customFormat="1" x14ac:dyDescent="0.2">
      <c r="B463" s="693"/>
    </row>
    <row r="464" spans="2:2" s="181" customFormat="1" x14ac:dyDescent="0.2">
      <c r="B464" s="693"/>
    </row>
    <row r="465" spans="2:2" s="181" customFormat="1" x14ac:dyDescent="0.2">
      <c r="B465" s="693"/>
    </row>
    <row r="466" spans="2:2" s="181" customFormat="1" x14ac:dyDescent="0.2">
      <c r="B466" s="693"/>
    </row>
    <row r="467" spans="2:2" s="181" customFormat="1" x14ac:dyDescent="0.2">
      <c r="B467" s="693"/>
    </row>
    <row r="468" spans="2:2" s="181" customFormat="1" x14ac:dyDescent="0.2">
      <c r="B468" s="693"/>
    </row>
    <row r="469" spans="2:2" s="181" customFormat="1" x14ac:dyDescent="0.2">
      <c r="B469" s="693"/>
    </row>
    <row r="470" spans="2:2" s="181" customFormat="1" x14ac:dyDescent="0.2">
      <c r="B470" s="693"/>
    </row>
    <row r="471" spans="2:2" s="181" customFormat="1" x14ac:dyDescent="0.2">
      <c r="B471" s="693"/>
    </row>
    <row r="472" spans="2:2" s="181" customFormat="1" x14ac:dyDescent="0.2">
      <c r="B472" s="693"/>
    </row>
    <row r="473" spans="2:2" s="181" customFormat="1" x14ac:dyDescent="0.2">
      <c r="B473" s="693"/>
    </row>
    <row r="474" spans="2:2" s="181" customFormat="1" x14ac:dyDescent="0.2">
      <c r="B474" s="693"/>
    </row>
    <row r="475" spans="2:2" s="181" customFormat="1" x14ac:dyDescent="0.2">
      <c r="B475" s="693"/>
    </row>
    <row r="476" spans="2:2" s="181" customFormat="1" x14ac:dyDescent="0.2">
      <c r="B476" s="693"/>
    </row>
    <row r="477" spans="2:2" s="181" customFormat="1" x14ac:dyDescent="0.2">
      <c r="B477" s="693"/>
    </row>
    <row r="478" spans="2:2" s="181" customFormat="1" x14ac:dyDescent="0.2">
      <c r="B478" s="693"/>
    </row>
    <row r="479" spans="2:2" s="181" customFormat="1" x14ac:dyDescent="0.2">
      <c r="B479" s="693"/>
    </row>
    <row r="480" spans="2:2" s="181" customFormat="1" x14ac:dyDescent="0.2">
      <c r="B480" s="693"/>
    </row>
    <row r="481" spans="2:2" s="181" customFormat="1" x14ac:dyDescent="0.2">
      <c r="B481" s="693"/>
    </row>
    <row r="482" spans="2:2" s="181" customFormat="1" x14ac:dyDescent="0.2">
      <c r="B482" s="693"/>
    </row>
    <row r="483" spans="2:2" s="181" customFormat="1" x14ac:dyDescent="0.2">
      <c r="B483" s="693"/>
    </row>
    <row r="484" spans="2:2" s="181" customFormat="1" x14ac:dyDescent="0.2">
      <c r="B484" s="693"/>
    </row>
    <row r="485" spans="2:2" s="181" customFormat="1" x14ac:dyDescent="0.2">
      <c r="B485" s="693"/>
    </row>
    <row r="486" spans="2:2" s="181" customFormat="1" x14ac:dyDescent="0.2">
      <c r="B486" s="693"/>
    </row>
    <row r="487" spans="2:2" s="181" customFormat="1" x14ac:dyDescent="0.2">
      <c r="B487" s="693"/>
    </row>
    <row r="488" spans="2:2" s="181" customFormat="1" x14ac:dyDescent="0.2">
      <c r="B488" s="693"/>
    </row>
    <row r="489" spans="2:2" s="181" customFormat="1" x14ac:dyDescent="0.2">
      <c r="B489" s="693"/>
    </row>
    <row r="490" spans="2:2" s="181" customFormat="1" x14ac:dyDescent="0.2">
      <c r="B490" s="693"/>
    </row>
    <row r="491" spans="2:2" s="181" customFormat="1" x14ac:dyDescent="0.2">
      <c r="B491" s="693"/>
    </row>
    <row r="492" spans="2:2" s="181" customFormat="1" x14ac:dyDescent="0.2">
      <c r="B492" s="693"/>
    </row>
    <row r="493" spans="2:2" s="181" customFormat="1" x14ac:dyDescent="0.2">
      <c r="B493" s="693"/>
    </row>
    <row r="494" spans="2:2" s="181" customFormat="1" x14ac:dyDescent="0.2">
      <c r="B494" s="693"/>
    </row>
    <row r="495" spans="2:2" s="181" customFormat="1" x14ac:dyDescent="0.2">
      <c r="B495" s="693"/>
    </row>
    <row r="496" spans="2:2" s="181" customFormat="1" x14ac:dyDescent="0.2">
      <c r="B496" s="693"/>
    </row>
    <row r="497" spans="2:2" s="181" customFormat="1" x14ac:dyDescent="0.2">
      <c r="B497" s="693"/>
    </row>
    <row r="498" spans="2:2" s="181" customFormat="1" x14ac:dyDescent="0.2">
      <c r="B498" s="693"/>
    </row>
    <row r="499" spans="2:2" s="181" customFormat="1" x14ac:dyDescent="0.2">
      <c r="B499" s="693"/>
    </row>
    <row r="500" spans="2:2" s="181" customFormat="1" x14ac:dyDescent="0.2">
      <c r="B500" s="693"/>
    </row>
    <row r="501" spans="2:2" s="181" customFormat="1" x14ac:dyDescent="0.2">
      <c r="B501" s="693"/>
    </row>
    <row r="502" spans="2:2" s="181" customFormat="1" x14ac:dyDescent="0.2">
      <c r="B502" s="693"/>
    </row>
    <row r="503" spans="2:2" s="181" customFormat="1" x14ac:dyDescent="0.2">
      <c r="B503" s="693"/>
    </row>
    <row r="504" spans="2:2" s="181" customFormat="1" x14ac:dyDescent="0.2">
      <c r="B504" s="693"/>
    </row>
    <row r="505" spans="2:2" s="181" customFormat="1" x14ac:dyDescent="0.2">
      <c r="B505" s="693"/>
    </row>
    <row r="506" spans="2:2" s="181" customFormat="1" x14ac:dyDescent="0.2">
      <c r="B506" s="693"/>
    </row>
    <row r="507" spans="2:2" s="181" customFormat="1" x14ac:dyDescent="0.2">
      <c r="B507" s="693"/>
    </row>
    <row r="508" spans="2:2" s="181" customFormat="1" x14ac:dyDescent="0.2">
      <c r="B508" s="693"/>
    </row>
    <row r="509" spans="2:2" s="181" customFormat="1" x14ac:dyDescent="0.2">
      <c r="B509" s="693"/>
    </row>
    <row r="510" spans="2:2" s="181" customFormat="1" x14ac:dyDescent="0.2">
      <c r="B510" s="693"/>
    </row>
    <row r="511" spans="2:2" s="181" customFormat="1" x14ac:dyDescent="0.2">
      <c r="B511" s="693"/>
    </row>
    <row r="512" spans="2:2" s="181" customFormat="1" x14ac:dyDescent="0.2">
      <c r="B512" s="693"/>
    </row>
    <row r="513" spans="2:2" s="181" customFormat="1" x14ac:dyDescent="0.2">
      <c r="B513" s="693"/>
    </row>
    <row r="514" spans="2:2" s="181" customFormat="1" x14ac:dyDescent="0.2">
      <c r="B514" s="693"/>
    </row>
    <row r="515" spans="2:2" s="181" customFormat="1" x14ac:dyDescent="0.2">
      <c r="B515" s="693"/>
    </row>
    <row r="516" spans="2:2" s="181" customFormat="1" x14ac:dyDescent="0.2">
      <c r="B516" s="693"/>
    </row>
    <row r="517" spans="2:2" s="181" customFormat="1" x14ac:dyDescent="0.2">
      <c r="B517" s="693"/>
    </row>
    <row r="518" spans="2:2" s="181" customFormat="1" x14ac:dyDescent="0.2">
      <c r="B518" s="693"/>
    </row>
    <row r="519" spans="2:2" s="181" customFormat="1" x14ac:dyDescent="0.2">
      <c r="B519" s="693"/>
    </row>
    <row r="520" spans="2:2" s="181" customFormat="1" x14ac:dyDescent="0.2">
      <c r="B520" s="693"/>
    </row>
    <row r="521" spans="2:2" s="181" customFormat="1" x14ac:dyDescent="0.2">
      <c r="B521" s="693"/>
    </row>
    <row r="522" spans="2:2" s="181" customFormat="1" x14ac:dyDescent="0.2">
      <c r="B522" s="693"/>
    </row>
    <row r="523" spans="2:2" s="181" customFormat="1" x14ac:dyDescent="0.2">
      <c r="B523" s="693"/>
    </row>
    <row r="524" spans="2:2" s="181" customFormat="1" x14ac:dyDescent="0.2">
      <c r="B524" s="693"/>
    </row>
    <row r="525" spans="2:2" s="181" customFormat="1" x14ac:dyDescent="0.2">
      <c r="B525" s="693"/>
    </row>
    <row r="526" spans="2:2" s="181" customFormat="1" x14ac:dyDescent="0.2">
      <c r="B526" s="693"/>
    </row>
    <row r="527" spans="2:2" s="181" customFormat="1" x14ac:dyDescent="0.2">
      <c r="B527" s="693"/>
    </row>
    <row r="528" spans="2:2" s="181" customFormat="1" x14ac:dyDescent="0.2">
      <c r="B528" s="693"/>
    </row>
    <row r="529" spans="2:2" s="181" customFormat="1" x14ac:dyDescent="0.2">
      <c r="B529" s="693"/>
    </row>
    <row r="530" spans="2:2" s="181" customFormat="1" x14ac:dyDescent="0.2">
      <c r="B530" s="693"/>
    </row>
    <row r="531" spans="2:2" s="181" customFormat="1" x14ac:dyDescent="0.2">
      <c r="B531" s="693"/>
    </row>
    <row r="532" spans="2:2" s="181" customFormat="1" x14ac:dyDescent="0.2">
      <c r="B532" s="693"/>
    </row>
    <row r="533" spans="2:2" s="181" customFormat="1" x14ac:dyDescent="0.2">
      <c r="B533" s="693"/>
    </row>
    <row r="534" spans="2:2" s="181" customFormat="1" x14ac:dyDescent="0.2">
      <c r="B534" s="693"/>
    </row>
    <row r="535" spans="2:2" s="181" customFormat="1" x14ac:dyDescent="0.2">
      <c r="B535" s="693"/>
    </row>
    <row r="536" spans="2:2" s="181" customFormat="1" x14ac:dyDescent="0.2">
      <c r="B536" s="693"/>
    </row>
    <row r="537" spans="2:2" s="181" customFormat="1" x14ac:dyDescent="0.2">
      <c r="B537" s="693"/>
    </row>
    <row r="538" spans="2:2" s="181" customFormat="1" x14ac:dyDescent="0.2">
      <c r="B538" s="693"/>
    </row>
    <row r="539" spans="2:2" s="181" customFormat="1" x14ac:dyDescent="0.2">
      <c r="B539" s="693"/>
    </row>
    <row r="540" spans="2:2" s="181" customFormat="1" x14ac:dyDescent="0.2">
      <c r="B540" s="693"/>
    </row>
    <row r="541" spans="2:2" s="181" customFormat="1" x14ac:dyDescent="0.2">
      <c r="B541" s="693"/>
    </row>
    <row r="542" spans="2:2" s="181" customFormat="1" x14ac:dyDescent="0.2">
      <c r="B542" s="693"/>
    </row>
    <row r="543" spans="2:2" s="181" customFormat="1" x14ac:dyDescent="0.2">
      <c r="B543" s="693"/>
    </row>
    <row r="544" spans="2:2" s="181" customFormat="1" x14ac:dyDescent="0.2">
      <c r="B544" s="693"/>
    </row>
    <row r="545" spans="2:2" s="181" customFormat="1" x14ac:dyDescent="0.2">
      <c r="B545" s="693"/>
    </row>
    <row r="546" spans="2:2" s="181" customFormat="1" x14ac:dyDescent="0.2">
      <c r="B546" s="693"/>
    </row>
    <row r="547" spans="2:2" s="181" customFormat="1" x14ac:dyDescent="0.2">
      <c r="B547" s="693"/>
    </row>
    <row r="548" spans="2:2" s="181" customFormat="1" x14ac:dyDescent="0.2">
      <c r="B548" s="693"/>
    </row>
    <row r="549" spans="2:2" s="181" customFormat="1" x14ac:dyDescent="0.2">
      <c r="B549" s="693"/>
    </row>
    <row r="550" spans="2:2" s="181" customFormat="1" x14ac:dyDescent="0.2">
      <c r="B550" s="693"/>
    </row>
    <row r="551" spans="2:2" s="181" customFormat="1" x14ac:dyDescent="0.2">
      <c r="B551" s="693"/>
    </row>
    <row r="552" spans="2:2" s="181" customFormat="1" x14ac:dyDescent="0.2">
      <c r="B552" s="693"/>
    </row>
    <row r="553" spans="2:2" s="181" customFormat="1" x14ac:dyDescent="0.2">
      <c r="B553" s="693"/>
    </row>
    <row r="554" spans="2:2" s="181" customFormat="1" x14ac:dyDescent="0.2">
      <c r="B554" s="693"/>
    </row>
    <row r="555" spans="2:2" s="181" customFormat="1" x14ac:dyDescent="0.2">
      <c r="B555" s="693"/>
    </row>
    <row r="556" spans="2:2" s="181" customFormat="1" x14ac:dyDescent="0.2">
      <c r="B556" s="693"/>
    </row>
    <row r="557" spans="2:2" s="181" customFormat="1" x14ac:dyDescent="0.2">
      <c r="B557" s="693"/>
    </row>
    <row r="558" spans="2:2" s="181" customFormat="1" x14ac:dyDescent="0.2">
      <c r="B558" s="693"/>
    </row>
    <row r="559" spans="2:2" s="181" customFormat="1" x14ac:dyDescent="0.2">
      <c r="B559" s="693"/>
    </row>
    <row r="560" spans="2:2" s="181" customFormat="1" x14ac:dyDescent="0.2">
      <c r="B560" s="693"/>
    </row>
    <row r="561" spans="2:2" s="181" customFormat="1" x14ac:dyDescent="0.2">
      <c r="B561" s="693"/>
    </row>
    <row r="562" spans="2:2" s="181" customFormat="1" x14ac:dyDescent="0.2">
      <c r="B562" s="693"/>
    </row>
    <row r="563" spans="2:2" s="181" customFormat="1" x14ac:dyDescent="0.2">
      <c r="B563" s="693"/>
    </row>
    <row r="564" spans="2:2" s="181" customFormat="1" x14ac:dyDescent="0.2">
      <c r="B564" s="693"/>
    </row>
    <row r="565" spans="2:2" s="181" customFormat="1" x14ac:dyDescent="0.2">
      <c r="B565" s="693"/>
    </row>
    <row r="566" spans="2:2" s="181" customFormat="1" x14ac:dyDescent="0.2">
      <c r="B566" s="693"/>
    </row>
    <row r="567" spans="2:2" s="181" customFormat="1" x14ac:dyDescent="0.2">
      <c r="B567" s="693"/>
    </row>
    <row r="568" spans="2:2" s="181" customFormat="1" x14ac:dyDescent="0.2">
      <c r="B568" s="693"/>
    </row>
    <row r="569" spans="2:2" s="181" customFormat="1" x14ac:dyDescent="0.2">
      <c r="B569" s="693"/>
    </row>
    <row r="570" spans="2:2" s="181" customFormat="1" x14ac:dyDescent="0.2">
      <c r="B570" s="693"/>
    </row>
    <row r="571" spans="2:2" s="181" customFormat="1" x14ac:dyDescent="0.2">
      <c r="B571" s="693"/>
    </row>
    <row r="572" spans="2:2" s="181" customFormat="1" x14ac:dyDescent="0.2">
      <c r="B572" s="693"/>
    </row>
    <row r="573" spans="2:2" s="181" customFormat="1" x14ac:dyDescent="0.2">
      <c r="B573" s="693"/>
    </row>
    <row r="574" spans="2:2" s="181" customFormat="1" x14ac:dyDescent="0.2">
      <c r="B574" s="693"/>
    </row>
    <row r="575" spans="2:2" s="181" customFormat="1" x14ac:dyDescent="0.2">
      <c r="B575" s="693"/>
    </row>
    <row r="576" spans="2:2" s="181" customFormat="1" x14ac:dyDescent="0.2">
      <c r="B576" s="693"/>
    </row>
    <row r="577" spans="2:2" s="181" customFormat="1" x14ac:dyDescent="0.2">
      <c r="B577" s="693"/>
    </row>
    <row r="578" spans="2:2" s="181" customFormat="1" x14ac:dyDescent="0.2">
      <c r="B578" s="693"/>
    </row>
    <row r="579" spans="2:2" s="181" customFormat="1" x14ac:dyDescent="0.2">
      <c r="B579" s="693"/>
    </row>
    <row r="580" spans="2:2" s="181" customFormat="1" x14ac:dyDescent="0.2">
      <c r="B580" s="693"/>
    </row>
    <row r="581" spans="2:2" s="181" customFormat="1" x14ac:dyDescent="0.2">
      <c r="B581" s="693"/>
    </row>
    <row r="582" spans="2:2" s="181" customFormat="1" x14ac:dyDescent="0.2">
      <c r="B582" s="693"/>
    </row>
    <row r="583" spans="2:2" s="181" customFormat="1" x14ac:dyDescent="0.2">
      <c r="B583" s="693"/>
    </row>
    <row r="584" spans="2:2" s="181" customFormat="1" x14ac:dyDescent="0.2">
      <c r="B584" s="693"/>
    </row>
    <row r="585" spans="2:2" s="181" customFormat="1" x14ac:dyDescent="0.2">
      <c r="B585" s="693"/>
    </row>
    <row r="586" spans="2:2" s="181" customFormat="1" x14ac:dyDescent="0.2">
      <c r="B586" s="693"/>
    </row>
    <row r="587" spans="2:2" s="181" customFormat="1" x14ac:dyDescent="0.2">
      <c r="B587" s="693"/>
    </row>
    <row r="588" spans="2:2" s="181" customFormat="1" x14ac:dyDescent="0.2">
      <c r="B588" s="693"/>
    </row>
    <row r="589" spans="2:2" s="181" customFormat="1" x14ac:dyDescent="0.2">
      <c r="B589" s="693"/>
    </row>
    <row r="590" spans="2:2" s="181" customFormat="1" x14ac:dyDescent="0.2">
      <c r="B590" s="693"/>
    </row>
    <row r="591" spans="2:2" s="181" customFormat="1" x14ac:dyDescent="0.2">
      <c r="B591" s="693"/>
    </row>
    <row r="592" spans="2:2" s="181" customFormat="1" x14ac:dyDescent="0.2">
      <c r="B592" s="693"/>
    </row>
    <row r="593" spans="2:2" s="181" customFormat="1" x14ac:dyDescent="0.2">
      <c r="B593" s="693"/>
    </row>
    <row r="594" spans="2:2" s="181" customFormat="1" x14ac:dyDescent="0.2">
      <c r="B594" s="693"/>
    </row>
    <row r="595" spans="2:2" s="181" customFormat="1" x14ac:dyDescent="0.2">
      <c r="B595" s="693"/>
    </row>
    <row r="596" spans="2:2" s="181" customFormat="1" x14ac:dyDescent="0.2">
      <c r="B596" s="693"/>
    </row>
    <row r="597" spans="2:2" s="181" customFormat="1" x14ac:dyDescent="0.2">
      <c r="B597" s="693"/>
    </row>
    <row r="598" spans="2:2" s="181" customFormat="1" x14ac:dyDescent="0.2">
      <c r="B598" s="693"/>
    </row>
    <row r="599" spans="2:2" s="181" customFormat="1" x14ac:dyDescent="0.2">
      <c r="B599" s="693"/>
    </row>
    <row r="600" spans="2:2" s="181" customFormat="1" x14ac:dyDescent="0.2">
      <c r="B600" s="693"/>
    </row>
    <row r="601" spans="2:2" s="181" customFormat="1" x14ac:dyDescent="0.2">
      <c r="B601" s="693"/>
    </row>
    <row r="602" spans="2:2" s="181" customFormat="1" x14ac:dyDescent="0.2">
      <c r="B602" s="693"/>
    </row>
    <row r="603" spans="2:2" s="181" customFormat="1" x14ac:dyDescent="0.2">
      <c r="B603" s="693"/>
    </row>
    <row r="604" spans="2:2" s="181" customFormat="1" x14ac:dyDescent="0.2">
      <c r="B604" s="693"/>
    </row>
    <row r="605" spans="2:2" s="181" customFormat="1" x14ac:dyDescent="0.2">
      <c r="B605" s="693"/>
    </row>
    <row r="606" spans="2:2" s="181" customFormat="1" x14ac:dyDescent="0.2">
      <c r="B606" s="693"/>
    </row>
    <row r="607" spans="2:2" s="181" customFormat="1" x14ac:dyDescent="0.2">
      <c r="B607" s="693"/>
    </row>
    <row r="608" spans="2:2" s="181" customFormat="1" x14ac:dyDescent="0.2">
      <c r="B608" s="693"/>
    </row>
    <row r="609" spans="2:2" s="181" customFormat="1" x14ac:dyDescent="0.2">
      <c r="B609" s="693"/>
    </row>
    <row r="610" spans="2:2" s="181" customFormat="1" x14ac:dyDescent="0.2">
      <c r="B610" s="693"/>
    </row>
    <row r="611" spans="2:2" s="181" customFormat="1" x14ac:dyDescent="0.2">
      <c r="B611" s="693"/>
    </row>
    <row r="612" spans="2:2" s="181" customFormat="1" x14ac:dyDescent="0.2">
      <c r="B612" s="693"/>
    </row>
    <row r="613" spans="2:2" s="181" customFormat="1" x14ac:dyDescent="0.2">
      <c r="B613" s="693"/>
    </row>
    <row r="614" spans="2:2" s="181" customFormat="1" x14ac:dyDescent="0.2">
      <c r="B614" s="693"/>
    </row>
    <row r="615" spans="2:2" s="181" customFormat="1" x14ac:dyDescent="0.2">
      <c r="B615" s="693"/>
    </row>
    <row r="616" spans="2:2" s="181" customFormat="1" x14ac:dyDescent="0.2">
      <c r="B616" s="693"/>
    </row>
    <row r="617" spans="2:2" s="181" customFormat="1" x14ac:dyDescent="0.2">
      <c r="B617" s="693"/>
    </row>
    <row r="618" spans="2:2" s="181" customFormat="1" x14ac:dyDescent="0.2">
      <c r="B618" s="693"/>
    </row>
    <row r="619" spans="2:2" s="181" customFormat="1" x14ac:dyDescent="0.2">
      <c r="B619" s="693"/>
    </row>
    <row r="620" spans="2:2" s="181" customFormat="1" x14ac:dyDescent="0.2">
      <c r="B620" s="693"/>
    </row>
    <row r="621" spans="2:2" s="181" customFormat="1" x14ac:dyDescent="0.2">
      <c r="B621" s="693"/>
    </row>
    <row r="622" spans="2:2" s="181" customFormat="1" x14ac:dyDescent="0.2">
      <c r="B622" s="693"/>
    </row>
    <row r="623" spans="2:2" s="181" customFormat="1" x14ac:dyDescent="0.2">
      <c r="B623" s="693"/>
    </row>
    <row r="624" spans="2:2" s="181" customFormat="1" x14ac:dyDescent="0.2">
      <c r="B624" s="693"/>
    </row>
    <row r="625" spans="2:10" s="181" customFormat="1" x14ac:dyDescent="0.2">
      <c r="B625" s="693"/>
    </row>
    <row r="626" spans="2:10" s="181" customFormat="1" x14ac:dyDescent="0.2">
      <c r="B626" s="693"/>
    </row>
    <row r="627" spans="2:10" s="181" customFormat="1" x14ac:dyDescent="0.2">
      <c r="B627" s="693"/>
      <c r="C627"/>
      <c r="D627"/>
      <c r="E627"/>
      <c r="F627"/>
      <c r="G627"/>
      <c r="H627"/>
      <c r="I627"/>
      <c r="J627"/>
    </row>
  </sheetData>
  <customSheetViews>
    <customSheetView guid="{A374FC54-96E3-45F0-9C12-8450400C12DF}" scale="80" showGridLines="0" state="hidden" topLeftCell="A46">
      <selection activeCell="Z36" sqref="Z36"/>
      <pageMargins left="0" right="0" top="0.78740157480314998" bottom="0.78740157480314998" header="0" footer="0"/>
      <pageSetup paperSize="132" orientation="portrait" r:id="rId1"/>
    </customSheetView>
  </customSheetViews>
  <mergeCells count="59">
    <mergeCell ref="O70:R70"/>
    <mergeCell ref="O67:Q67"/>
    <mergeCell ref="O69:S69"/>
    <mergeCell ref="O63:S63"/>
    <mergeCell ref="O64:R64"/>
    <mergeCell ref="O65:Q65"/>
    <mergeCell ref="O66:Q66"/>
    <mergeCell ref="O47:R47"/>
    <mergeCell ref="O50:Q50"/>
    <mergeCell ref="O59:Q59"/>
    <mergeCell ref="O61:Q61"/>
    <mergeCell ref="O58:R58"/>
    <mergeCell ref="E87:G87"/>
    <mergeCell ref="C76:J76"/>
    <mergeCell ref="C70:J70"/>
    <mergeCell ref="C74:J74"/>
    <mergeCell ref="C73:J73"/>
    <mergeCell ref="O87:Q87"/>
    <mergeCell ref="O75:S75"/>
    <mergeCell ref="O71:Q71"/>
    <mergeCell ref="O72:Q72"/>
    <mergeCell ref="O73:Q73"/>
    <mergeCell ref="O76:Q76"/>
    <mergeCell ref="O77:Q77"/>
    <mergeCell ref="O78:Q78"/>
    <mergeCell ref="O79:Q79"/>
    <mergeCell ref="O81:S81"/>
    <mergeCell ref="O82:Q82"/>
    <mergeCell ref="O83:Q83"/>
    <mergeCell ref="O84:Q84"/>
    <mergeCell ref="O85:Q85"/>
    <mergeCell ref="O8:S8"/>
    <mergeCell ref="N15:S15"/>
    <mergeCell ref="O14:S14"/>
    <mergeCell ref="O60:Q60"/>
    <mergeCell ref="O48:Q48"/>
    <mergeCell ref="O49:Q49"/>
    <mergeCell ref="O57:S57"/>
    <mergeCell ref="O46:S46"/>
    <mergeCell ref="P21:S21"/>
    <mergeCell ref="O55:Q55"/>
    <mergeCell ref="P22:S22"/>
    <mergeCell ref="P23:R24"/>
    <mergeCell ref="O51:S51"/>
    <mergeCell ref="O52:R52"/>
    <mergeCell ref="O53:Q53"/>
    <mergeCell ref="O54:Q54"/>
    <mergeCell ref="F16:J16"/>
    <mergeCell ref="E17:K17"/>
    <mergeCell ref="C42:J42"/>
    <mergeCell ref="M41:T45"/>
    <mergeCell ref="C45:J45"/>
    <mergeCell ref="P18:R18"/>
    <mergeCell ref="P16:Q16"/>
    <mergeCell ref="C43:J43"/>
    <mergeCell ref="Q39:S39"/>
    <mergeCell ref="P17:S17"/>
    <mergeCell ref="F19:J19"/>
    <mergeCell ref="P19:S19"/>
  </mergeCells>
  <pageMargins left="0" right="0" top="0.78740157480314998" bottom="0.78740157480314998" header="0" footer="0"/>
  <pageSetup paperSize="11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D46"/>
  <sheetViews>
    <sheetView topLeftCell="A22" zoomScale="124" zoomScaleNormal="124" workbookViewId="0">
      <selection activeCell="C32" sqref="C32"/>
    </sheetView>
  </sheetViews>
  <sheetFormatPr defaultRowHeight="12.75" x14ac:dyDescent="0.2"/>
  <cols>
    <col min="1" max="1" width="1.7109375" customWidth="1"/>
    <col min="2" max="2" width="5.85546875" customWidth="1"/>
    <col min="3" max="3" width="112.7109375" bestFit="1" customWidth="1"/>
    <col min="4" max="4" width="48.85546875" customWidth="1"/>
  </cols>
  <sheetData>
    <row r="2" spans="2:4" ht="18.75" x14ac:dyDescent="0.3">
      <c r="B2" s="179" t="s">
        <v>700</v>
      </c>
      <c r="C2" s="179"/>
      <c r="D2" s="179"/>
    </row>
    <row r="3" spans="2:4" x14ac:dyDescent="0.2">
      <c r="B3" s="36" t="s">
        <v>701</v>
      </c>
      <c r="C3" s="180" t="s">
        <v>1261</v>
      </c>
      <c r="D3" s="175"/>
    </row>
    <row r="4" spans="2:4" x14ac:dyDescent="0.2">
      <c r="B4" s="36" t="s">
        <v>702</v>
      </c>
      <c r="C4" s="180" t="s">
        <v>1227</v>
      </c>
      <c r="D4" s="175"/>
    </row>
    <row r="5" spans="2:4" x14ac:dyDescent="0.2">
      <c r="B5" s="36" t="s">
        <v>703</v>
      </c>
      <c r="C5" s="180" t="s">
        <v>730</v>
      </c>
      <c r="D5" s="175"/>
    </row>
    <row r="6" spans="2:4" x14ac:dyDescent="0.2">
      <c r="B6" s="36" t="s">
        <v>704</v>
      </c>
      <c r="C6" s="180" t="s">
        <v>705</v>
      </c>
      <c r="D6" s="175"/>
    </row>
    <row r="7" spans="2:4" x14ac:dyDescent="0.2">
      <c r="B7" s="36" t="s">
        <v>706</v>
      </c>
      <c r="C7" s="180" t="s">
        <v>1228</v>
      </c>
      <c r="D7" s="175"/>
    </row>
    <row r="8" spans="2:4" x14ac:dyDescent="0.2">
      <c r="B8" s="36" t="s">
        <v>707</v>
      </c>
      <c r="C8" s="180" t="s">
        <v>1229</v>
      </c>
      <c r="D8" s="175"/>
    </row>
    <row r="9" spans="2:4" x14ac:dyDescent="0.2">
      <c r="B9" s="36" t="s">
        <v>708</v>
      </c>
      <c r="C9" s="180" t="s">
        <v>731</v>
      </c>
      <c r="D9" s="175"/>
    </row>
    <row r="10" spans="2:4" s="834" customFormat="1" x14ac:dyDescent="0.2">
      <c r="B10" s="174" t="s">
        <v>709</v>
      </c>
      <c r="C10" s="726" t="s">
        <v>798</v>
      </c>
      <c r="D10" s="175"/>
    </row>
    <row r="11" spans="2:4" s="834" customFormat="1" x14ac:dyDescent="0.2">
      <c r="B11" s="174" t="s">
        <v>1055</v>
      </c>
      <c r="C11" s="180" t="s">
        <v>1056</v>
      </c>
      <c r="D11" s="175"/>
    </row>
    <row r="12" spans="2:4" s="834" customFormat="1" x14ac:dyDescent="0.2">
      <c r="B12" s="174" t="s">
        <v>710</v>
      </c>
      <c r="C12" s="180" t="s">
        <v>711</v>
      </c>
      <c r="D12" s="175"/>
    </row>
    <row r="13" spans="2:4" s="834" customFormat="1" x14ac:dyDescent="0.2">
      <c r="B13" s="174" t="s">
        <v>712</v>
      </c>
      <c r="C13" s="180" t="s">
        <v>1234</v>
      </c>
      <c r="D13" s="838"/>
    </row>
    <row r="14" spans="2:4" s="834" customFormat="1" x14ac:dyDescent="0.2">
      <c r="B14" s="174" t="s">
        <v>673</v>
      </c>
      <c r="C14" s="180" t="s">
        <v>713</v>
      </c>
      <c r="D14" s="175"/>
    </row>
    <row r="15" spans="2:4" s="834" customFormat="1" x14ac:dyDescent="0.2">
      <c r="B15" s="174" t="s">
        <v>674</v>
      </c>
      <c r="C15" s="180" t="s">
        <v>714</v>
      </c>
      <c r="D15" s="175"/>
    </row>
    <row r="16" spans="2:4" s="834" customFormat="1" x14ac:dyDescent="0.2">
      <c r="B16" s="174" t="s">
        <v>2186</v>
      </c>
      <c r="C16" s="180" t="s">
        <v>715</v>
      </c>
      <c r="D16" s="175"/>
    </row>
    <row r="17" spans="2:4" s="1127" customFormat="1" x14ac:dyDescent="0.2">
      <c r="B17" s="174" t="s">
        <v>2187</v>
      </c>
      <c r="C17" s="180" t="s">
        <v>716</v>
      </c>
      <c r="D17" s="175"/>
    </row>
    <row r="18" spans="2:4" s="834" customFormat="1" x14ac:dyDescent="0.2">
      <c r="B18" s="174" t="s">
        <v>675</v>
      </c>
      <c r="C18" s="180" t="s">
        <v>2188</v>
      </c>
      <c r="D18" s="175"/>
    </row>
    <row r="19" spans="2:4" s="834" customFormat="1" x14ac:dyDescent="0.2">
      <c r="B19" s="174" t="s">
        <v>676</v>
      </c>
      <c r="C19" s="180" t="s">
        <v>2189</v>
      </c>
      <c r="D19" s="175"/>
    </row>
    <row r="20" spans="2:4" s="834" customFormat="1" x14ac:dyDescent="0.2">
      <c r="B20" s="174" t="s">
        <v>1057</v>
      </c>
      <c r="C20" s="180" t="s">
        <v>1987</v>
      </c>
      <c r="D20" s="175"/>
    </row>
    <row r="21" spans="2:4" s="834" customFormat="1" x14ac:dyDescent="0.2">
      <c r="B21" s="174" t="s">
        <v>1058</v>
      </c>
      <c r="C21" s="180" t="s">
        <v>1986</v>
      </c>
      <c r="D21" s="175"/>
    </row>
    <row r="22" spans="2:4" s="834" customFormat="1" x14ac:dyDescent="0.2">
      <c r="B22" s="174" t="s">
        <v>1059</v>
      </c>
      <c r="C22" s="180" t="s">
        <v>2231</v>
      </c>
    </row>
    <row r="23" spans="2:4" s="1191" customFormat="1" x14ac:dyDescent="0.2">
      <c r="B23" s="174" t="s">
        <v>2228</v>
      </c>
      <c r="C23" s="180" t="s">
        <v>717</v>
      </c>
      <c r="D23" s="175"/>
    </row>
    <row r="24" spans="2:4" s="834" customFormat="1" x14ac:dyDescent="0.2">
      <c r="B24" s="174" t="s">
        <v>677</v>
      </c>
      <c r="C24" s="180" t="s">
        <v>1250</v>
      </c>
      <c r="D24" s="175"/>
    </row>
    <row r="25" spans="2:4" s="834" customFormat="1" ht="12.75" customHeight="1" x14ac:dyDescent="0.2">
      <c r="B25" s="174" t="s">
        <v>678</v>
      </c>
      <c r="C25" s="180" t="s">
        <v>729</v>
      </c>
      <c r="D25" s="175"/>
    </row>
    <row r="26" spans="2:4" s="834" customFormat="1" x14ac:dyDescent="0.2">
      <c r="B26" s="174" t="s">
        <v>1060</v>
      </c>
      <c r="C26" s="180" t="s">
        <v>718</v>
      </c>
      <c r="D26" s="175"/>
    </row>
    <row r="27" spans="2:4" s="834" customFormat="1" x14ac:dyDescent="0.2">
      <c r="B27" s="174" t="s">
        <v>1061</v>
      </c>
      <c r="C27" s="180" t="s">
        <v>1251</v>
      </c>
      <c r="D27" s="175"/>
    </row>
    <row r="28" spans="2:4" s="834" customFormat="1" x14ac:dyDescent="0.2">
      <c r="B28" s="174" t="s">
        <v>679</v>
      </c>
      <c r="C28" s="726" t="s">
        <v>3060</v>
      </c>
      <c r="D28" s="175"/>
    </row>
    <row r="29" spans="2:4" s="834" customFormat="1" x14ac:dyDescent="0.2">
      <c r="B29" s="174" t="s">
        <v>680</v>
      </c>
      <c r="C29" s="772" t="s">
        <v>2477</v>
      </c>
      <c r="D29" s="175"/>
    </row>
    <row r="30" spans="2:4" s="834" customFormat="1" x14ac:dyDescent="0.2">
      <c r="B30" s="174" t="s">
        <v>681</v>
      </c>
      <c r="C30" s="726" t="s">
        <v>719</v>
      </c>
      <c r="D30" s="175"/>
    </row>
    <row r="31" spans="2:4" s="834" customFormat="1" x14ac:dyDescent="0.2">
      <c r="B31" s="174" t="s">
        <v>682</v>
      </c>
      <c r="C31" s="180" t="s">
        <v>720</v>
      </c>
      <c r="D31" s="175"/>
    </row>
    <row r="32" spans="2:4" s="834" customFormat="1" x14ac:dyDescent="0.2">
      <c r="B32" s="174" t="s">
        <v>683</v>
      </c>
      <c r="C32" s="180" t="s">
        <v>721</v>
      </c>
      <c r="D32" s="175"/>
    </row>
    <row r="33" spans="2:4" s="834" customFormat="1" x14ac:dyDescent="0.2">
      <c r="B33" s="174" t="s">
        <v>684</v>
      </c>
      <c r="C33" s="180" t="s">
        <v>1259</v>
      </c>
      <c r="D33" s="175"/>
    </row>
    <row r="34" spans="2:4" s="834" customFormat="1" x14ac:dyDescent="0.2">
      <c r="B34" s="174" t="s">
        <v>685</v>
      </c>
      <c r="C34" s="180" t="s">
        <v>722</v>
      </c>
      <c r="D34" s="175"/>
    </row>
    <row r="35" spans="2:4" s="834" customFormat="1" x14ac:dyDescent="0.2">
      <c r="B35" s="174" t="s">
        <v>686</v>
      </c>
      <c r="C35" s="180" t="s">
        <v>723</v>
      </c>
      <c r="D35" s="175"/>
    </row>
    <row r="36" spans="2:4" s="834" customFormat="1" x14ac:dyDescent="0.2">
      <c r="B36" s="174" t="s">
        <v>687</v>
      </c>
      <c r="C36" s="180" t="s">
        <v>724</v>
      </c>
      <c r="D36" s="175"/>
    </row>
    <row r="37" spans="2:4" s="834" customFormat="1" x14ac:dyDescent="0.2">
      <c r="B37" s="174" t="s">
        <v>688</v>
      </c>
      <c r="C37" s="180" t="s">
        <v>725</v>
      </c>
      <c r="D37" s="175"/>
    </row>
    <row r="38" spans="2:4" s="834" customFormat="1" x14ac:dyDescent="0.2">
      <c r="B38" s="174" t="s">
        <v>689</v>
      </c>
      <c r="C38" s="180" t="s">
        <v>1258</v>
      </c>
      <c r="D38" s="175"/>
    </row>
    <row r="39" spans="2:4" s="834" customFormat="1" ht="12" customHeight="1" x14ac:dyDescent="0.25">
      <c r="B39" s="174" t="s">
        <v>690</v>
      </c>
      <c r="C39" s="180" t="s">
        <v>1378</v>
      </c>
      <c r="D39" s="176"/>
    </row>
    <row r="40" spans="2:4" x14ac:dyDescent="0.2">
      <c r="B40" s="174" t="s">
        <v>691</v>
      </c>
      <c r="C40" s="180" t="s">
        <v>1527</v>
      </c>
    </row>
    <row r="41" spans="2:4" x14ac:dyDescent="0.2">
      <c r="B41" s="174" t="s">
        <v>692</v>
      </c>
      <c r="C41" s="180" t="s">
        <v>1407</v>
      </c>
    </row>
    <row r="42" spans="2:4" x14ac:dyDescent="0.2">
      <c r="B42" s="174" t="s">
        <v>693</v>
      </c>
      <c r="C42" s="180" t="s">
        <v>1429</v>
      </c>
    </row>
    <row r="43" spans="2:4" x14ac:dyDescent="0.2">
      <c r="B43" s="174" t="s">
        <v>1878</v>
      </c>
      <c r="C43" s="180" t="s">
        <v>1879</v>
      </c>
    </row>
    <row r="44" spans="2:4" s="977" customFormat="1" x14ac:dyDescent="0.2">
      <c r="B44" s="174" t="s">
        <v>2077</v>
      </c>
      <c r="C44" s="180" t="s">
        <v>2078</v>
      </c>
    </row>
    <row r="46" spans="2:4" x14ac:dyDescent="0.2">
      <c r="C46" s="180" t="s">
        <v>1265</v>
      </c>
    </row>
  </sheetData>
  <customSheetViews>
    <customSheetView guid="{A374FC54-96E3-45F0-9C12-8450400C12DF}" scale="124" state="hidden" topLeftCell="A13">
      <selection activeCell="C2" sqref="C2"/>
      <pageMargins left="0.196850393700787" right="0.196850393700787" top="0.15748031496063" bottom="0.15748031496063" header="0" footer="0"/>
      <pageSetup paperSize="132" orientation="portrait" r:id="rId1"/>
    </customSheetView>
  </customSheetViews>
  <hyperlinks>
    <hyperlink ref="C3" location="'Table IA'!A1" display="Selected Economic Indicators (Money and Banking)"/>
    <hyperlink ref="C4" location="'Table IB'!A1" display="Selected Economic Indicators ( Inflation, Production, Foreign Trade, Forex Reserves and Exchange Rate) "/>
    <hyperlink ref="C5" location="TableIIA!A1" display="Monetary Survey (M2)"/>
    <hyperlink ref="C6" location="TableIIB!A1" display="Claims on Resident Sector by the Banking System"/>
    <hyperlink ref="C7" location="'TableIIC '!A1" display="Reserve Money and its Components"/>
    <hyperlink ref="C8" location="'Table IID'!A1" display="Reserve Money and its Sources"/>
    <hyperlink ref="C9" location="'Table IIE'!A1" display="Monetary Survey (M3)  "/>
    <hyperlink ref="C10" location="'Table IIF'!A1" display="Claims on Resident Sector by Depository Corporations "/>
    <hyperlink ref="C12" location="'Table III A'!A1" display="Balance of  Payments"/>
    <hyperlink ref="C13" location="'Table IIIB'!A1" display="Foreign Direct Investment (FDI) Inflows and Stocks by Components in Bangladesh"/>
    <hyperlink ref="C14" location="'Table IV'!A1" display="Foreign Trade"/>
    <hyperlink ref="C15" location="'Table V'!A1" display="Production of Major Agricultural Commodities "/>
    <hyperlink ref="C16" location="'Table VIA'!A1" display="Production of Major Industrial Commodities (Other than Jute Goods) "/>
    <hyperlink ref="C18" location="'Table VII'!A1" display="Consumer Price Index and Inflation Rate in Bangladesh"/>
    <hyperlink ref="C19" location="'Table VIII'!A1" display="Average Prices of Selected Commodities"/>
    <hyperlink ref="C20" location="TableIXA!A1" display="Gross Domestic Product of Bangladesh at Current Market Price"/>
    <hyperlink ref="C21" location="TableIXB!A1" display="Gross Domestic Product of Bangladesh at Constant Market Price "/>
    <hyperlink ref="C24" location="TableX!A1" display="Index Number of  Ordinary Share Prices, Turn Over, Issued Capital and Total Number of Companies Listed with the Dhaka Stock Exchange Ltd."/>
    <hyperlink ref="C25" location="TableXI!A1" display="Market Capitalisation (Value) of Ordinary Shares of Companies Listed with the Dhaka Stock Exchange Ltd."/>
    <hyperlink ref="C26" location="'Table XIIA'!A1" display="Interest Rate Structure of Government Securities/Bonds and Savings Instruments "/>
    <hyperlink ref="C27" location="'Table XIIB'!A1" display="Bank Rate and Interest Rate Structure of Post Office Savings Bank and House Building Finance Corporation and National Savings Certificates"/>
    <hyperlink ref="C28" location="TableXIII!A1" display="Bank-wise Announced Interest Rate Structure in Bangladesh (Except Islamic Banks), December 2014"/>
    <hyperlink ref="C29" location="'Table XIV'!A1" display="Profit Rate Structure of  the Islamic Banks, 2013"/>
    <hyperlink ref="C30" location="TableXV!A1" display="Rate of Interest on Non-resident Foreign Currency Deposit (NFCD) Accounts "/>
    <hyperlink ref="C31" location="TableXVI!A1" display="Monthly Average Call Money Market Rates"/>
    <hyperlink ref="C32" location="'Table XVII'!A1" display="Some Indicators of Income, Expenditure &amp; Profitability of the Banking Sector"/>
    <hyperlink ref="C33" location="'Table XVIII'!A1" display="Number of Persons Left for Abroad on Employment and Total Workers’ Remittances"/>
    <hyperlink ref="C34" location="TableXIX!A1" display="Country-wise Workers’ Remittances"/>
    <hyperlink ref="C35" location="TableXX!A1" display="Exchange Rates (Taka Per Currencies)"/>
    <hyperlink ref="C36" location="TableXXI!A1" display="Appreciation/Depreciation of Some Selected Currencies Against U.S. Dollar"/>
    <hyperlink ref="C37" location="'Table XXII'!A1" display="Some Selected Commodity Prices at International Markets"/>
    <hyperlink ref="C38" location="'Table XXIII'!A1" display="Selected Tax Revenue Receipts of the Government Under NBR and Others"/>
    <hyperlink ref="C46" location="'Appendix- Weights &amp; Measures'!A1" display="Appendix : Weights and Measures"/>
    <hyperlink ref="C11" location="'Table IIG'!A1" display="E-Banking &amp; E-Commerce Statistics"/>
    <hyperlink ref="C39" location="'Table XXIV'!A1" display="Central Bank Survey"/>
    <hyperlink ref="C40" location="'Table XXV'!A1" display="Depository Corporation Survey"/>
    <hyperlink ref="C41" location="'Table XXVI'!A1" display="Important Economic Indicators of Bangladesh with SAARC Countries"/>
    <hyperlink ref="C17" location="'Table VIB'!A1" display="Average Prices of Selected Commodities"/>
    <hyperlink ref="C43" location="'Table XXVIII'!A1" display="Investment Under National Savings Schemes"/>
    <hyperlink ref="C42" location="'Table XXVII'!A1" display="Important Economic Indicators of SAARC Countries "/>
    <hyperlink ref="C44" location="'Table XXIX'!A1" display="National Budget Statistics"/>
    <hyperlink ref="C23" location="TableIXC!A1" display="Key Indicators of National Accounts"/>
    <hyperlink ref="C22" location="TableIXD!A1" display=" Quarterly   Gross Domestic Product Of Bangladesh  (Base:2015-16)   "/>
  </hyperlinks>
  <pageMargins left="0.196850393700787" right="0.196850393700787" top="0.15748031496063" bottom="0.15748031496063" header="0" footer="0"/>
  <pageSetup paperSize="145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313"/>
  <sheetViews>
    <sheetView zoomScale="98" zoomScaleNormal="98" workbookViewId="0">
      <pane xSplit="2" ySplit="6" topLeftCell="C51" activePane="bottomRight" state="frozen"/>
      <selection activeCell="E7" sqref="E7:T7"/>
      <selection pane="topRight" activeCell="E7" sqref="E7:T7"/>
      <selection pane="bottomLeft" activeCell="E7" sqref="E7:T7"/>
      <selection pane="bottomRight" activeCell="B71" sqref="B71"/>
    </sheetView>
  </sheetViews>
  <sheetFormatPr defaultColWidth="9.140625" defaultRowHeight="11.25" x14ac:dyDescent="0.2"/>
  <cols>
    <col min="1" max="1" width="9.140625" style="23"/>
    <col min="2" max="2" width="9.28515625" style="23" customWidth="1"/>
    <col min="3" max="3" width="9" style="8" customWidth="1"/>
    <col min="4" max="4" width="9.5703125" style="8" customWidth="1"/>
    <col min="5" max="6" width="8.5703125" style="8" customWidth="1"/>
    <col min="7" max="7" width="8.85546875" style="8" customWidth="1"/>
    <col min="8" max="8" width="7.85546875" style="8" customWidth="1"/>
    <col min="9" max="9" width="8.42578125" style="8" customWidth="1"/>
    <col min="10" max="10" width="8" style="8" customWidth="1"/>
    <col min="11" max="12" width="9.42578125" style="8" customWidth="1"/>
    <col min="13" max="13" width="26.28515625" style="8" bestFit="1" customWidth="1"/>
    <col min="14" max="15" width="9.140625" style="8" customWidth="1"/>
    <col min="16" max="16" width="9.7109375" style="8" customWidth="1"/>
    <col min="17" max="17" width="9.85546875" style="8" customWidth="1"/>
    <col min="18" max="18" width="9.140625" style="8"/>
    <col min="19" max="19" width="6.85546875" style="8" customWidth="1"/>
    <col min="20" max="20" width="8.140625" style="8" customWidth="1"/>
    <col min="21" max="21" width="8.5703125" style="8" customWidth="1"/>
    <col min="22" max="22" width="10.28515625" style="8" customWidth="1"/>
    <col min="23" max="23" width="8.7109375" style="8" customWidth="1"/>
    <col min="24" max="24" width="8.5703125" style="8" customWidth="1"/>
    <col min="25" max="25" width="9" style="8" customWidth="1"/>
    <col min="26" max="26" width="9.85546875" style="8" customWidth="1"/>
    <col min="27" max="27" width="8.85546875" style="8" customWidth="1"/>
    <col min="28" max="28" width="9" style="8" customWidth="1"/>
    <col min="29" max="29" width="8.5703125" style="8" customWidth="1"/>
    <col min="30" max="30" width="11.42578125" style="8" customWidth="1"/>
    <col min="31" max="31" width="9.5703125" style="8" customWidth="1"/>
    <col min="32" max="32" width="9.28515625" style="8" customWidth="1"/>
    <col min="33" max="33" width="10.140625" style="8" customWidth="1"/>
    <col min="34" max="34" width="11" style="8" customWidth="1"/>
    <col min="35" max="35" width="9.28515625" style="8" bestFit="1" customWidth="1"/>
    <col min="36" max="36" width="10.28515625" style="8" customWidth="1"/>
    <col min="37" max="37" width="9.28515625" style="8" customWidth="1"/>
    <col min="38" max="38" width="9.5703125" style="8" customWidth="1"/>
    <col min="39" max="39" width="10" style="8" customWidth="1"/>
    <col min="40" max="41" width="10.5703125" style="8" customWidth="1"/>
    <col min="42" max="42" width="8.28515625" style="8" customWidth="1"/>
    <col min="43" max="43" width="7.85546875" style="8" customWidth="1"/>
    <col min="44" max="44" width="7.28515625" style="8" customWidth="1"/>
    <col min="45" max="45" width="8.28515625" style="8" customWidth="1"/>
    <col min="46" max="46" width="7.42578125" style="8" customWidth="1"/>
    <col min="47" max="47" width="7.7109375" style="8" customWidth="1"/>
    <col min="48" max="48" width="7.42578125" style="8" customWidth="1"/>
    <col min="49" max="49" width="7.28515625" style="8" customWidth="1"/>
    <col min="50" max="50" width="8" style="8" customWidth="1"/>
    <col min="51" max="51" width="8.42578125" style="8" customWidth="1"/>
    <col min="52" max="52" width="6.28515625" style="8" customWidth="1"/>
    <col min="53" max="54" width="6" style="8" customWidth="1"/>
    <col min="55" max="55" width="7.5703125" style="8" customWidth="1"/>
    <col min="56" max="56" width="5.85546875" style="8" customWidth="1"/>
    <col min="57" max="57" width="6.5703125" style="8" customWidth="1"/>
    <col min="58" max="58" width="6.140625" style="8" customWidth="1"/>
    <col min="59" max="59" width="9.42578125" style="8" bestFit="1" customWidth="1"/>
    <col min="60" max="60" width="5.85546875" style="8" customWidth="1"/>
    <col min="61" max="61" width="6.42578125" style="8" customWidth="1"/>
    <col min="62" max="62" width="7.7109375" style="8" customWidth="1"/>
    <col min="63" max="63" width="7.140625" style="8" customWidth="1"/>
    <col min="64" max="64" width="6.28515625" style="8" customWidth="1"/>
    <col min="65" max="65" width="6.5703125" style="8" customWidth="1"/>
    <col min="66" max="66" width="8" style="8" customWidth="1"/>
    <col min="67" max="67" width="5.140625" style="8" customWidth="1"/>
    <col min="68" max="68" width="6.5703125" style="8" customWidth="1"/>
    <col min="69" max="69" width="7.7109375" style="8" customWidth="1"/>
    <col min="70" max="70" width="6.5703125" style="8" customWidth="1"/>
    <col min="71" max="71" width="6.7109375" style="8" customWidth="1"/>
    <col min="72" max="72" width="7.42578125" style="8" customWidth="1"/>
    <col min="73" max="73" width="7.140625" style="8" customWidth="1"/>
    <col min="74" max="16384" width="9.140625" style="8"/>
  </cols>
  <sheetData>
    <row r="1" spans="1:73" s="30" customFormat="1" ht="13.5" customHeight="1" x14ac:dyDescent="0.25">
      <c r="A1" s="1713"/>
      <c r="B1" s="2298" t="s">
        <v>125</v>
      </c>
      <c r="C1" s="2298"/>
      <c r="D1" s="2298"/>
      <c r="E1" s="2298"/>
      <c r="F1" s="2298"/>
      <c r="G1" s="2298"/>
      <c r="H1" s="2298"/>
      <c r="I1" s="2298"/>
      <c r="J1" s="2298"/>
      <c r="K1" s="198" t="s">
        <v>126</v>
      </c>
      <c r="P1" s="2292" t="s">
        <v>295</v>
      </c>
      <c r="Q1" s="2292"/>
      <c r="R1" s="2292"/>
      <c r="W1" s="2295" t="s">
        <v>125</v>
      </c>
      <c r="X1" s="2295"/>
      <c r="Y1" s="2295"/>
      <c r="Z1" s="2295"/>
      <c r="AA1" s="2287" t="s">
        <v>294</v>
      </c>
      <c r="AB1" s="2271"/>
      <c r="AF1" s="2292" t="s">
        <v>295</v>
      </c>
      <c r="AG1" s="2292"/>
      <c r="AH1" s="2292"/>
      <c r="AI1" s="199"/>
      <c r="AJ1" s="199"/>
      <c r="AK1" s="199"/>
      <c r="AL1" s="199"/>
      <c r="AM1" s="2325" t="s">
        <v>125</v>
      </c>
      <c r="AN1" s="2325"/>
      <c r="AO1" s="2325"/>
      <c r="AP1" s="2324" t="s">
        <v>294</v>
      </c>
      <c r="AQ1" s="2324"/>
      <c r="AR1" s="2324"/>
      <c r="AS1" s="2324"/>
      <c r="AT1" s="2324"/>
      <c r="AU1" s="2324"/>
      <c r="AV1" s="2324"/>
      <c r="AW1" s="2292" t="s">
        <v>295</v>
      </c>
      <c r="AX1" s="2292"/>
      <c r="AY1" s="2292"/>
      <c r="AZ1" s="1355"/>
      <c r="BA1" s="1355"/>
      <c r="BB1" s="1355"/>
      <c r="BC1" s="1355"/>
      <c r="BD1" s="1355"/>
      <c r="BE1" s="1355"/>
      <c r="BF1" s="2325" t="s">
        <v>125</v>
      </c>
      <c r="BG1" s="2325"/>
      <c r="BH1" s="2325"/>
      <c r="BI1" s="2325"/>
      <c r="BJ1" s="2325"/>
      <c r="BK1" s="2324" t="s">
        <v>294</v>
      </c>
      <c r="BL1" s="2324"/>
      <c r="BM1" s="2324"/>
      <c r="BN1" s="1364"/>
      <c r="BO1" s="1364"/>
      <c r="BR1" s="1364"/>
      <c r="BS1" s="2326" t="s">
        <v>563</v>
      </c>
      <c r="BT1" s="2326"/>
      <c r="BU1" s="2326"/>
    </row>
    <row r="2" spans="1:73" s="36" customFormat="1" ht="11.25" customHeight="1" x14ac:dyDescent="0.2">
      <c r="A2" s="87"/>
      <c r="B2" s="201"/>
      <c r="C2" s="200"/>
      <c r="D2" s="200"/>
      <c r="E2" s="200"/>
      <c r="F2" s="200"/>
      <c r="G2" s="200"/>
      <c r="H2" s="200"/>
      <c r="I2" s="2293" t="s">
        <v>1262</v>
      </c>
      <c r="J2" s="2293"/>
      <c r="K2" s="36" t="s">
        <v>293</v>
      </c>
      <c r="Q2" s="2294" t="s">
        <v>1542</v>
      </c>
      <c r="R2" s="2294"/>
      <c r="X2" s="831"/>
      <c r="Y2" s="2289" t="s">
        <v>1262</v>
      </c>
      <c r="Z2" s="2289"/>
      <c r="AA2" s="36" t="s">
        <v>293</v>
      </c>
      <c r="AF2" s="831"/>
      <c r="AG2" s="2289" t="s">
        <v>24</v>
      </c>
      <c r="AH2" s="2321"/>
      <c r="AI2" s="201"/>
      <c r="AJ2" s="201"/>
      <c r="AK2" s="201"/>
      <c r="AL2" s="201"/>
      <c r="AM2" s="201"/>
      <c r="AN2" s="2293" t="s">
        <v>1263</v>
      </c>
      <c r="AO2" s="2293"/>
      <c r="AP2" s="1356" t="s">
        <v>293</v>
      </c>
      <c r="AQ2" s="831"/>
      <c r="AR2" s="831"/>
      <c r="AS2" s="831"/>
      <c r="AT2" s="831"/>
      <c r="AU2" s="831"/>
      <c r="AV2" s="831"/>
      <c r="AW2" s="831"/>
      <c r="AX2" s="2289" t="s">
        <v>24</v>
      </c>
      <c r="AY2" s="2321"/>
      <c r="AZ2" s="831"/>
      <c r="BA2" s="831"/>
      <c r="BB2" s="831"/>
      <c r="BC2" s="831"/>
      <c r="BD2" s="831"/>
      <c r="BE2" s="831"/>
      <c r="BF2" s="201"/>
      <c r="BG2" s="201"/>
      <c r="BI2" s="2294" t="s">
        <v>1264</v>
      </c>
      <c r="BJ2" s="2294"/>
      <c r="BK2" s="2328" t="s">
        <v>293</v>
      </c>
      <c r="BL2" s="2328"/>
      <c r="BM2" s="831"/>
      <c r="BN2" s="831"/>
      <c r="BO2" s="831"/>
      <c r="BR2" s="460"/>
      <c r="BS2" s="101"/>
      <c r="BT2" s="2327" t="s">
        <v>24</v>
      </c>
      <c r="BU2" s="2327"/>
    </row>
    <row r="3" spans="1:73" s="211" customFormat="1" ht="24.75" customHeight="1" x14ac:dyDescent="0.2">
      <c r="B3" s="2318" t="s">
        <v>1333</v>
      </c>
      <c r="C3" s="2303" t="s">
        <v>120</v>
      </c>
      <c r="D3" s="2304"/>
      <c r="E3" s="2305"/>
      <c r="F3" s="2290" t="s">
        <v>175</v>
      </c>
      <c r="G3" s="2290" t="s">
        <v>3113</v>
      </c>
      <c r="H3" s="2313" t="s">
        <v>622</v>
      </c>
      <c r="I3" s="2314"/>
      <c r="J3" s="2315"/>
      <c r="K3" s="2316" t="s">
        <v>176</v>
      </c>
      <c r="L3" s="2316"/>
      <c r="M3" s="2317"/>
      <c r="N3" s="2307" t="s">
        <v>373</v>
      </c>
      <c r="O3" s="2303" t="s">
        <v>124</v>
      </c>
      <c r="P3" s="2304"/>
      <c r="Q3" s="2304"/>
      <c r="R3" s="2305"/>
      <c r="S3" s="2299" t="s">
        <v>374</v>
      </c>
      <c r="T3" s="2299"/>
      <c r="U3" s="2299"/>
      <c r="V3" s="2299"/>
      <c r="W3" s="2323"/>
      <c r="X3" s="2323"/>
      <c r="Y3" s="2323"/>
      <c r="Z3" s="2323"/>
      <c r="AA3" s="2299" t="s">
        <v>375</v>
      </c>
      <c r="AB3" s="2299"/>
      <c r="AC3" s="2299"/>
      <c r="AD3" s="2299"/>
      <c r="AE3" s="2323" t="s">
        <v>948</v>
      </c>
      <c r="AF3" s="2323"/>
      <c r="AG3" s="2323"/>
      <c r="AH3" s="2323"/>
      <c r="AI3" s="2299" t="s">
        <v>22</v>
      </c>
      <c r="AJ3" s="2299"/>
      <c r="AK3" s="2299"/>
      <c r="AL3" s="2299"/>
      <c r="AM3" s="2299" t="s">
        <v>151</v>
      </c>
      <c r="AN3" s="2299"/>
      <c r="AO3" s="2299"/>
      <c r="AP3" s="2299" t="s">
        <v>1299</v>
      </c>
      <c r="AQ3" s="2299"/>
      <c r="AR3" s="2299"/>
      <c r="AS3" s="2288" t="s">
        <v>274</v>
      </c>
      <c r="AT3" s="2288" t="s">
        <v>732</v>
      </c>
      <c r="AU3" s="2323" t="s">
        <v>644</v>
      </c>
      <c r="AV3" s="2323"/>
      <c r="AW3" s="2323"/>
      <c r="AX3" s="2323"/>
      <c r="AY3" s="2323"/>
      <c r="AZ3" s="2323" t="s">
        <v>130</v>
      </c>
      <c r="BA3" s="2323"/>
      <c r="BB3" s="2323"/>
      <c r="BC3" s="2337"/>
      <c r="BD3" s="2323"/>
      <c r="BE3" s="2288" t="s">
        <v>131</v>
      </c>
      <c r="BF3" s="2347" t="s">
        <v>1883</v>
      </c>
      <c r="BG3" s="2334"/>
      <c r="BH3" s="2334"/>
      <c r="BI3" s="2334"/>
      <c r="BJ3" s="2335"/>
      <c r="BK3" s="2323" t="s">
        <v>187</v>
      </c>
      <c r="BL3" s="2323"/>
      <c r="BM3" s="2323"/>
      <c r="BN3" s="2323"/>
      <c r="BO3" s="2323"/>
      <c r="BP3" s="2323"/>
      <c r="BQ3" s="2323"/>
      <c r="BR3" s="2323"/>
      <c r="BS3" s="2323"/>
      <c r="BT3" s="2323"/>
      <c r="BU3" s="2323"/>
    </row>
    <row r="4" spans="1:73" s="211" customFormat="1" ht="18" customHeight="1" x14ac:dyDescent="0.2">
      <c r="B4" s="2319"/>
      <c r="C4" s="2288" t="s">
        <v>1290</v>
      </c>
      <c r="D4" s="2288" t="s">
        <v>1203</v>
      </c>
      <c r="E4" s="2290" t="s">
        <v>919</v>
      </c>
      <c r="F4" s="2300"/>
      <c r="G4" s="2301"/>
      <c r="H4" s="2290" t="s">
        <v>2633</v>
      </c>
      <c r="I4" s="2290" t="s">
        <v>2634</v>
      </c>
      <c r="J4" s="1361" t="s">
        <v>121</v>
      </c>
      <c r="K4" s="2309" t="s">
        <v>483</v>
      </c>
      <c r="L4" s="2310"/>
      <c r="M4" s="2306" t="s">
        <v>745</v>
      </c>
      <c r="N4" s="2308"/>
      <c r="O4" s="2290" t="s">
        <v>1769</v>
      </c>
      <c r="P4" s="2290" t="s">
        <v>2679</v>
      </c>
      <c r="Q4" s="2290" t="s">
        <v>2680</v>
      </c>
      <c r="R4" s="2290" t="s">
        <v>2681</v>
      </c>
      <c r="S4" s="2288" t="s">
        <v>186</v>
      </c>
      <c r="T4" s="2288" t="s">
        <v>178</v>
      </c>
      <c r="U4" s="2288" t="s">
        <v>177</v>
      </c>
      <c r="V4" s="2288" t="s">
        <v>639</v>
      </c>
      <c r="W4" s="2288" t="s">
        <v>940</v>
      </c>
      <c r="X4" s="2288" t="s">
        <v>179</v>
      </c>
      <c r="Y4" s="2288" t="s">
        <v>941</v>
      </c>
      <c r="Z4" s="2288" t="s">
        <v>640</v>
      </c>
      <c r="AA4" s="2288" t="s">
        <v>942</v>
      </c>
      <c r="AB4" s="2288" t="s">
        <v>943</v>
      </c>
      <c r="AC4" s="2288" t="s">
        <v>944</v>
      </c>
      <c r="AD4" s="2288" t="s">
        <v>641</v>
      </c>
      <c r="AE4" s="2288" t="s">
        <v>642</v>
      </c>
      <c r="AF4" s="2322" t="s">
        <v>1809</v>
      </c>
      <c r="AG4" s="2288" t="s">
        <v>945</v>
      </c>
      <c r="AH4" s="2288" t="s">
        <v>744</v>
      </c>
      <c r="AI4" s="2288" t="s">
        <v>946</v>
      </c>
      <c r="AJ4" s="2288" t="s">
        <v>947</v>
      </c>
      <c r="AK4" s="2288" t="s">
        <v>2716</v>
      </c>
      <c r="AL4" s="2288" t="s">
        <v>2715</v>
      </c>
      <c r="AM4" s="2288" t="s">
        <v>23</v>
      </c>
      <c r="AN4" s="2288" t="s">
        <v>1004</v>
      </c>
      <c r="AO4" s="2288" t="s">
        <v>643</v>
      </c>
      <c r="AP4" s="2288" t="s">
        <v>2145</v>
      </c>
      <c r="AQ4" s="2288" t="s">
        <v>1304</v>
      </c>
      <c r="AR4" s="2343" t="s">
        <v>470</v>
      </c>
      <c r="AS4" s="2288"/>
      <c r="AT4" s="2288"/>
      <c r="AU4" s="2343" t="s">
        <v>127</v>
      </c>
      <c r="AV4" s="2343"/>
      <c r="AW4" s="2343" t="s">
        <v>128</v>
      </c>
      <c r="AX4" s="2343"/>
      <c r="AY4" s="2288" t="s">
        <v>1302</v>
      </c>
      <c r="AZ4" s="2288" t="s">
        <v>133</v>
      </c>
      <c r="BA4" s="2288" t="s">
        <v>134</v>
      </c>
      <c r="BB4" s="2346" t="s">
        <v>182</v>
      </c>
      <c r="BC4" s="2290" t="s">
        <v>139</v>
      </c>
      <c r="BD4" s="2290" t="s">
        <v>1316</v>
      </c>
      <c r="BE4" s="2288"/>
      <c r="BF4" s="2346" t="s">
        <v>1884</v>
      </c>
      <c r="BG4" s="2348"/>
      <c r="BH4" s="2348"/>
      <c r="BI4" s="2349"/>
      <c r="BJ4" s="2341" t="s">
        <v>1899</v>
      </c>
      <c r="BK4" s="2331" t="s">
        <v>766</v>
      </c>
      <c r="BL4" s="2329" t="s">
        <v>2666</v>
      </c>
      <c r="BM4" s="2331" t="s">
        <v>1898</v>
      </c>
      <c r="BN4" s="2336" t="s">
        <v>975</v>
      </c>
      <c r="BO4" s="2291" t="s">
        <v>135</v>
      </c>
      <c r="BP4" s="2333" t="s">
        <v>1808</v>
      </c>
      <c r="BQ4" s="2334"/>
      <c r="BR4" s="2335"/>
      <c r="BS4" s="2333" t="s">
        <v>1184</v>
      </c>
      <c r="BT4" s="2334"/>
      <c r="BU4" s="2335"/>
    </row>
    <row r="5" spans="1:73" s="211" customFormat="1" ht="33.75" x14ac:dyDescent="0.2">
      <c r="B5" s="2319"/>
      <c r="C5" s="2288"/>
      <c r="D5" s="2288"/>
      <c r="E5" s="2291"/>
      <c r="F5" s="2291"/>
      <c r="G5" s="2302"/>
      <c r="H5" s="2291"/>
      <c r="I5" s="2291"/>
      <c r="J5" s="1353" t="s">
        <v>2620</v>
      </c>
      <c r="K5" s="1353" t="s">
        <v>2619</v>
      </c>
      <c r="L5" s="1353" t="s">
        <v>939</v>
      </c>
      <c r="M5" s="2288"/>
      <c r="N5" s="2308"/>
      <c r="O5" s="2291"/>
      <c r="P5" s="2291"/>
      <c r="Q5" s="2291"/>
      <c r="R5" s="2291"/>
      <c r="S5" s="2288"/>
      <c r="T5" s="2288"/>
      <c r="U5" s="2288"/>
      <c r="V5" s="2288"/>
      <c r="W5" s="2288"/>
      <c r="X5" s="2288"/>
      <c r="Y5" s="2288"/>
      <c r="Z5" s="2288"/>
      <c r="AA5" s="2288"/>
      <c r="AB5" s="2288"/>
      <c r="AC5" s="2288"/>
      <c r="AD5" s="2288"/>
      <c r="AE5" s="2288"/>
      <c r="AF5" s="2322"/>
      <c r="AG5" s="2288"/>
      <c r="AH5" s="2288"/>
      <c r="AI5" s="2288"/>
      <c r="AJ5" s="2288"/>
      <c r="AK5" s="2288"/>
      <c r="AL5" s="2288"/>
      <c r="AM5" s="2288"/>
      <c r="AN5" s="2288"/>
      <c r="AO5" s="2288"/>
      <c r="AP5" s="2288"/>
      <c r="AQ5" s="2288"/>
      <c r="AR5" s="2343"/>
      <c r="AS5" s="2288"/>
      <c r="AT5" s="2288"/>
      <c r="AU5" s="1360" t="s">
        <v>1303</v>
      </c>
      <c r="AV5" s="1354" t="s">
        <v>181</v>
      </c>
      <c r="AW5" s="1360" t="s">
        <v>129</v>
      </c>
      <c r="AX5" s="1354" t="s">
        <v>181</v>
      </c>
      <c r="AY5" s="2288"/>
      <c r="AZ5" s="2288"/>
      <c r="BA5" s="2288"/>
      <c r="BB5" s="2346"/>
      <c r="BC5" s="2291"/>
      <c r="BD5" s="2291"/>
      <c r="BE5" s="2288"/>
      <c r="BF5" s="1359" t="s">
        <v>1885</v>
      </c>
      <c r="BG5" s="885" t="s">
        <v>142</v>
      </c>
      <c r="BH5" s="1359" t="s">
        <v>143</v>
      </c>
      <c r="BI5" s="1359" t="s">
        <v>822</v>
      </c>
      <c r="BJ5" s="2342"/>
      <c r="BK5" s="2332"/>
      <c r="BL5" s="2330"/>
      <c r="BM5" s="2332"/>
      <c r="BN5" s="2331"/>
      <c r="BO5" s="2288"/>
      <c r="BP5" s="1357" t="s">
        <v>136</v>
      </c>
      <c r="BQ5" s="1358" t="s">
        <v>137</v>
      </c>
      <c r="BR5" s="1358" t="s">
        <v>1886</v>
      </c>
      <c r="BS5" s="1358" t="s">
        <v>136</v>
      </c>
      <c r="BT5" s="1358" t="s">
        <v>137</v>
      </c>
      <c r="BU5" s="1358" t="s">
        <v>1887</v>
      </c>
    </row>
    <row r="6" spans="1:73" s="125" customFormat="1" ht="9" customHeight="1" x14ac:dyDescent="0.2">
      <c r="B6" s="2320"/>
      <c r="C6" s="124">
        <v>1</v>
      </c>
      <c r="D6" s="124">
        <v>2</v>
      </c>
      <c r="E6" s="124">
        <v>3</v>
      </c>
      <c r="F6" s="124">
        <v>4</v>
      </c>
      <c r="G6" s="124">
        <v>5</v>
      </c>
      <c r="H6" s="124">
        <v>6</v>
      </c>
      <c r="I6" s="124">
        <v>7</v>
      </c>
      <c r="J6" s="124">
        <v>8</v>
      </c>
      <c r="K6" s="124">
        <v>9</v>
      </c>
      <c r="L6" s="124">
        <v>10</v>
      </c>
      <c r="M6" s="124">
        <v>11</v>
      </c>
      <c r="N6" s="124">
        <v>12</v>
      </c>
      <c r="O6" s="124">
        <v>13</v>
      </c>
      <c r="P6" s="124">
        <v>14</v>
      </c>
      <c r="Q6" s="124">
        <v>15</v>
      </c>
      <c r="R6" s="124">
        <v>16</v>
      </c>
      <c r="S6" s="124">
        <v>17</v>
      </c>
      <c r="T6" s="124">
        <v>18</v>
      </c>
      <c r="U6" s="124">
        <v>19</v>
      </c>
      <c r="V6" s="124">
        <v>20</v>
      </c>
      <c r="W6" s="124">
        <v>21</v>
      </c>
      <c r="X6" s="124">
        <v>22</v>
      </c>
      <c r="Y6" s="124">
        <v>23</v>
      </c>
      <c r="Z6" s="124">
        <v>24</v>
      </c>
      <c r="AA6" s="124">
        <v>25</v>
      </c>
      <c r="AB6" s="124">
        <v>26</v>
      </c>
      <c r="AC6" s="124">
        <v>27</v>
      </c>
      <c r="AD6" s="124">
        <v>28</v>
      </c>
      <c r="AE6" s="124">
        <v>29</v>
      </c>
      <c r="AF6" s="124">
        <v>30</v>
      </c>
      <c r="AG6" s="124">
        <v>31</v>
      </c>
      <c r="AH6" s="124">
        <v>32</v>
      </c>
      <c r="AI6" s="124">
        <v>33</v>
      </c>
      <c r="AJ6" s="124">
        <v>34</v>
      </c>
      <c r="AK6" s="124">
        <v>35</v>
      </c>
      <c r="AL6" s="124">
        <v>36</v>
      </c>
      <c r="AM6" s="124">
        <v>37</v>
      </c>
      <c r="AN6" s="124">
        <v>38</v>
      </c>
      <c r="AO6" s="124">
        <v>39</v>
      </c>
      <c r="AP6" s="124">
        <v>40</v>
      </c>
      <c r="AQ6" s="124">
        <v>41</v>
      </c>
      <c r="AR6" s="124">
        <v>42</v>
      </c>
      <c r="AS6" s="124">
        <v>43</v>
      </c>
      <c r="AT6" s="124">
        <v>44</v>
      </c>
      <c r="AU6" s="124">
        <v>45</v>
      </c>
      <c r="AV6" s="124">
        <v>46</v>
      </c>
      <c r="AW6" s="124">
        <v>47</v>
      </c>
      <c r="AX6" s="124">
        <v>48</v>
      </c>
      <c r="AY6" s="124">
        <v>49</v>
      </c>
      <c r="AZ6" s="1365">
        <v>50</v>
      </c>
      <c r="BA6" s="1365">
        <v>51</v>
      </c>
      <c r="BB6" s="1365">
        <v>52</v>
      </c>
      <c r="BC6" s="1365">
        <v>53</v>
      </c>
      <c r="BD6" s="1365">
        <v>54</v>
      </c>
      <c r="BE6" s="1365">
        <v>55</v>
      </c>
      <c r="BF6" s="1365">
        <v>56</v>
      </c>
      <c r="BG6" s="1365">
        <v>57</v>
      </c>
      <c r="BH6" s="1365">
        <v>58</v>
      </c>
      <c r="BI6" s="1365">
        <v>59</v>
      </c>
      <c r="BJ6" s="1365">
        <v>60</v>
      </c>
      <c r="BK6" s="1365">
        <v>61</v>
      </c>
      <c r="BL6" s="1365">
        <v>62</v>
      </c>
      <c r="BM6" s="1365">
        <v>63</v>
      </c>
      <c r="BN6" s="1365">
        <v>64</v>
      </c>
      <c r="BO6" s="1365">
        <v>65</v>
      </c>
      <c r="BP6" s="1365">
        <v>66</v>
      </c>
      <c r="BQ6" s="1365">
        <v>67</v>
      </c>
      <c r="BR6" s="124">
        <v>68</v>
      </c>
      <c r="BS6" s="1365">
        <v>69</v>
      </c>
      <c r="BT6" s="124">
        <v>70</v>
      </c>
      <c r="BU6" s="1365">
        <v>71</v>
      </c>
    </row>
    <row r="7" spans="1:73" s="125" customFormat="1" ht="11.25" customHeight="1" x14ac:dyDescent="0.2">
      <c r="B7" s="1681" t="s">
        <v>535</v>
      </c>
      <c r="C7" s="2026">
        <v>5966.2</v>
      </c>
      <c r="D7" s="2026">
        <v>141.30000000000001</v>
      </c>
      <c r="E7" s="2026">
        <v>6107.5</v>
      </c>
      <c r="F7" s="2026">
        <v>691.5</v>
      </c>
      <c r="G7" s="2026">
        <v>5416</v>
      </c>
      <c r="H7" s="2026">
        <v>859.7</v>
      </c>
      <c r="I7" s="2026">
        <v>2949.5</v>
      </c>
      <c r="J7" s="2026">
        <v>5751.1</v>
      </c>
      <c r="K7" s="2026">
        <v>25235.9</v>
      </c>
      <c r="L7" s="2026">
        <v>30987</v>
      </c>
      <c r="M7" s="2026">
        <v>33936.5</v>
      </c>
      <c r="N7" s="2026" t="s">
        <v>288</v>
      </c>
      <c r="P7" s="2026">
        <v>11167.1</v>
      </c>
      <c r="Q7" s="2026">
        <v>36403</v>
      </c>
      <c r="R7" s="2026">
        <v>37125.199999999997</v>
      </c>
      <c r="S7" s="2026">
        <v>0</v>
      </c>
      <c r="T7" s="2026">
        <v>3786.7</v>
      </c>
      <c r="U7" s="2026">
        <v>20256.599999999999</v>
      </c>
      <c r="V7" s="2026">
        <v>24043.3</v>
      </c>
      <c r="W7" s="2026">
        <v>17</v>
      </c>
      <c r="X7" s="2026">
        <v>101.5</v>
      </c>
      <c r="Y7" s="2026">
        <v>643.9</v>
      </c>
      <c r="Z7" s="2026">
        <v>745.4</v>
      </c>
      <c r="AA7" s="2026">
        <v>22.4</v>
      </c>
      <c r="AB7" s="2026">
        <v>5843.6</v>
      </c>
      <c r="AC7" s="2026">
        <v>71.900000000000006</v>
      </c>
      <c r="AD7" s="2026">
        <v>5915.5</v>
      </c>
      <c r="AE7" s="2026">
        <v>39.4</v>
      </c>
      <c r="AF7" s="2026">
        <v>9731.7999999999993</v>
      </c>
      <c r="AG7" s="2026">
        <v>20972.400000000001</v>
      </c>
      <c r="AH7" s="2026">
        <v>30704.2</v>
      </c>
      <c r="AI7" s="2026">
        <v>536</v>
      </c>
      <c r="AJ7" s="2026">
        <v>2687.4</v>
      </c>
      <c r="AK7" s="2026">
        <v>325.60000000000002</v>
      </c>
      <c r="AL7" s="2026" t="s">
        <v>288</v>
      </c>
      <c r="AM7" s="2026">
        <v>34829.199999999997</v>
      </c>
      <c r="AN7" s="2026">
        <v>266.3</v>
      </c>
      <c r="AO7" s="2026">
        <v>35095.5</v>
      </c>
      <c r="AP7" s="2026">
        <v>1754.8</v>
      </c>
      <c r="AQ7" s="2026">
        <v>3095.2</v>
      </c>
      <c r="AR7" s="2026">
        <v>4850</v>
      </c>
      <c r="AS7" s="2026">
        <v>64458.6</v>
      </c>
      <c r="AT7" s="2026">
        <v>10957.5</v>
      </c>
      <c r="AU7" s="2026">
        <v>25.8</v>
      </c>
      <c r="AV7" s="2026">
        <v>1224.0999999999999</v>
      </c>
      <c r="AW7" s="2026">
        <v>466</v>
      </c>
      <c r="AX7" s="2026">
        <v>5282.3</v>
      </c>
      <c r="AY7" s="2026">
        <v>6998.2</v>
      </c>
      <c r="AZ7" s="2027">
        <v>19.37</v>
      </c>
      <c r="BA7" s="2027">
        <v>-16.47</v>
      </c>
      <c r="BB7" s="2027">
        <v>8.57</v>
      </c>
      <c r="BC7" s="2027">
        <v>4.8600000000000003</v>
      </c>
      <c r="BD7" s="2027">
        <v>15.43</v>
      </c>
      <c r="BE7" s="2027">
        <v>3.7</v>
      </c>
      <c r="BF7" s="2027">
        <v>3605</v>
      </c>
      <c r="BG7" s="2027">
        <v>5780</v>
      </c>
      <c r="BH7" s="2027"/>
      <c r="BK7" s="2027">
        <v>87.88</v>
      </c>
      <c r="BL7" s="2027">
        <v>6.04</v>
      </c>
      <c r="BM7" s="2027">
        <v>5.31</v>
      </c>
      <c r="BN7" s="2027">
        <v>16.329999999999998</v>
      </c>
      <c r="BO7" s="2027">
        <v>5.5</v>
      </c>
      <c r="BP7" s="2027">
        <v>5.34</v>
      </c>
      <c r="BQ7" s="2027">
        <v>12.78</v>
      </c>
      <c r="BR7" s="2027">
        <v>7.4399999999999995</v>
      </c>
      <c r="BS7" s="2026" t="s">
        <v>288</v>
      </c>
      <c r="BT7" s="2027" t="s">
        <v>288</v>
      </c>
      <c r="BU7" s="2026" t="s">
        <v>288</v>
      </c>
    </row>
    <row r="8" spans="1:73" s="125" customFormat="1" ht="11.25" customHeight="1" x14ac:dyDescent="0.2">
      <c r="B8" s="1681" t="s">
        <v>536</v>
      </c>
      <c r="C8" s="2026">
        <v>7030.5</v>
      </c>
      <c r="D8" s="2026">
        <v>158</v>
      </c>
      <c r="E8" s="2026">
        <v>7188.5</v>
      </c>
      <c r="F8" s="2026">
        <v>623.4</v>
      </c>
      <c r="G8" s="2026">
        <v>6565.1</v>
      </c>
      <c r="H8" s="2026">
        <v>1006</v>
      </c>
      <c r="I8" s="2026">
        <v>3423.9</v>
      </c>
      <c r="J8" s="2026">
        <v>6614.3</v>
      </c>
      <c r="K8" s="2026">
        <v>29032.9</v>
      </c>
      <c r="L8" s="2026">
        <v>35647.200000000004</v>
      </c>
      <c r="M8" s="2026">
        <v>39071.100000000006</v>
      </c>
      <c r="N8" s="2026" t="s">
        <v>288</v>
      </c>
      <c r="P8" s="2026">
        <v>13179.400000000001</v>
      </c>
      <c r="Q8" s="2026">
        <v>42212.3</v>
      </c>
      <c r="R8" s="2026">
        <v>43396.800000000003</v>
      </c>
      <c r="S8" s="2026">
        <v>0</v>
      </c>
      <c r="T8" s="2026">
        <v>3609.5</v>
      </c>
      <c r="U8" s="2026">
        <v>28824.3</v>
      </c>
      <c r="V8" s="2026">
        <v>32433.8</v>
      </c>
      <c r="W8" s="2026">
        <v>0</v>
      </c>
      <c r="X8" s="2026">
        <v>90.4</v>
      </c>
      <c r="Y8" s="2026">
        <v>1030.8</v>
      </c>
      <c r="Z8" s="2026">
        <v>1121.2</v>
      </c>
      <c r="AA8" s="2026">
        <v>28.2</v>
      </c>
      <c r="AB8" s="2026">
        <v>7074.8</v>
      </c>
      <c r="AC8" s="2026">
        <v>795.8</v>
      </c>
      <c r="AD8" s="2026">
        <v>7870.6</v>
      </c>
      <c r="AE8" s="2026">
        <v>28.2</v>
      </c>
      <c r="AF8" s="2026">
        <v>10774.7</v>
      </c>
      <c r="AG8" s="2026">
        <v>30650.899999999998</v>
      </c>
      <c r="AH8" s="2026">
        <v>41425.599999999999</v>
      </c>
      <c r="AI8" s="2026">
        <v>605.79999999999995</v>
      </c>
      <c r="AJ8" s="2026">
        <v>3001.5</v>
      </c>
      <c r="AK8" s="2026">
        <v>625.6</v>
      </c>
      <c r="AL8" s="2026" t="s">
        <v>288</v>
      </c>
      <c r="AM8" s="2026">
        <v>39070.5</v>
      </c>
      <c r="AN8" s="2026">
        <v>1173.4000000000001</v>
      </c>
      <c r="AO8" s="2026">
        <v>40243.9</v>
      </c>
      <c r="AP8" s="2026">
        <v>2012.2</v>
      </c>
      <c r="AQ8" s="2026">
        <v>1753.1</v>
      </c>
      <c r="AR8" s="2026">
        <v>3765.3</v>
      </c>
      <c r="AS8" s="2026">
        <v>171654.6</v>
      </c>
      <c r="AT8" s="2026">
        <v>10953.8</v>
      </c>
      <c r="AU8" s="2026">
        <v>25.2</v>
      </c>
      <c r="AV8" s="2026">
        <v>1429.9</v>
      </c>
      <c r="AW8" s="2026">
        <v>484</v>
      </c>
      <c r="AX8" s="2026">
        <v>6194.9</v>
      </c>
      <c r="AY8" s="2026">
        <v>8134</v>
      </c>
      <c r="AZ8" s="2027">
        <v>-1.45</v>
      </c>
      <c r="BA8" s="2027">
        <v>-2.66</v>
      </c>
      <c r="BB8" s="2027">
        <v>26.66</v>
      </c>
      <c r="BC8" s="2027">
        <v>17.559999999999999</v>
      </c>
      <c r="BD8" s="2027">
        <v>16.11</v>
      </c>
      <c r="BE8" s="2027">
        <v>3.6</v>
      </c>
      <c r="BF8" s="2027">
        <v>3611</v>
      </c>
      <c r="BG8" s="2027">
        <v>5813</v>
      </c>
      <c r="BH8" s="2027"/>
      <c r="BK8" s="2027">
        <v>95.39</v>
      </c>
      <c r="BL8" s="2027">
        <v>6.73</v>
      </c>
      <c r="BM8" s="2027">
        <v>6.42</v>
      </c>
      <c r="BN8" s="2027">
        <v>11.22</v>
      </c>
      <c r="BO8" s="2027">
        <v>5.5</v>
      </c>
      <c r="BP8" s="2027">
        <v>4.8600000000000003</v>
      </c>
      <c r="BQ8" s="2027">
        <v>12.22</v>
      </c>
      <c r="BR8" s="2027">
        <v>7.36</v>
      </c>
      <c r="BS8" s="2026" t="s">
        <v>288</v>
      </c>
      <c r="BT8" s="2027" t="s">
        <v>288</v>
      </c>
      <c r="BU8" s="2026" t="s">
        <v>288</v>
      </c>
    </row>
    <row r="9" spans="1:73" s="125" customFormat="1" ht="11.25" customHeight="1" x14ac:dyDescent="0.2">
      <c r="B9" s="1681" t="s">
        <v>537</v>
      </c>
      <c r="C9" s="2026">
        <v>7718</v>
      </c>
      <c r="D9" s="2026">
        <v>181.3</v>
      </c>
      <c r="E9" s="2026">
        <v>7899.3</v>
      </c>
      <c r="F9" s="2026">
        <v>776</v>
      </c>
      <c r="G9" s="2026">
        <v>7123.3</v>
      </c>
      <c r="H9" s="2026">
        <v>1024.8</v>
      </c>
      <c r="I9" s="2026">
        <v>3296.1</v>
      </c>
      <c r="J9" s="2026">
        <v>7336.1</v>
      </c>
      <c r="K9" s="2026">
        <v>31231.1</v>
      </c>
      <c r="L9" s="2026">
        <v>38567.199999999997</v>
      </c>
      <c r="M9" s="2026">
        <v>41863.299999999996</v>
      </c>
      <c r="N9" s="2026" t="s">
        <v>288</v>
      </c>
      <c r="P9" s="2026">
        <v>14459.400000000001</v>
      </c>
      <c r="Q9" s="2026">
        <v>45690.5</v>
      </c>
      <c r="R9" s="2026">
        <v>47252</v>
      </c>
      <c r="S9" s="2026">
        <v>0</v>
      </c>
      <c r="T9" s="2026">
        <v>3836.4</v>
      </c>
      <c r="U9" s="2026">
        <v>33028.400000000001</v>
      </c>
      <c r="V9" s="2026">
        <v>36864.800000000003</v>
      </c>
      <c r="W9" s="2026">
        <v>0</v>
      </c>
      <c r="X9" s="2026">
        <v>44.4</v>
      </c>
      <c r="Y9" s="2026">
        <v>1188.5999999999999</v>
      </c>
      <c r="Z9" s="2026">
        <v>1233</v>
      </c>
      <c r="AA9" s="2026">
        <v>36.1</v>
      </c>
      <c r="AB9" s="2026">
        <v>6975.6</v>
      </c>
      <c r="AC9" s="2026">
        <v>843.6</v>
      </c>
      <c r="AD9" s="2026">
        <v>7819.2000000000007</v>
      </c>
      <c r="AE9" s="2026">
        <v>36.1</v>
      </c>
      <c r="AF9" s="2026">
        <v>10856.400000000001</v>
      </c>
      <c r="AG9" s="2026">
        <v>35060.6</v>
      </c>
      <c r="AH9" s="2026">
        <v>45917</v>
      </c>
      <c r="AI9" s="2026">
        <v>627.4</v>
      </c>
      <c r="AJ9" s="2026">
        <v>3622.3</v>
      </c>
      <c r="AK9" s="2026">
        <v>572.1</v>
      </c>
      <c r="AL9" s="2026" t="s">
        <v>288</v>
      </c>
      <c r="AM9" s="2026">
        <v>41864.6</v>
      </c>
      <c r="AN9" s="2026">
        <v>1729.2</v>
      </c>
      <c r="AO9" s="2026">
        <v>43593.799999999996</v>
      </c>
      <c r="AP9" s="2026">
        <v>2179.6999999999998</v>
      </c>
      <c r="AQ9" s="2026">
        <v>1125.9000000000001</v>
      </c>
      <c r="AR9" s="2026">
        <v>3305.6</v>
      </c>
      <c r="AS9" s="2026">
        <v>191346.1</v>
      </c>
      <c r="AT9" s="2026">
        <v>11204.9</v>
      </c>
      <c r="AU9" s="2026">
        <v>69.099999999999994</v>
      </c>
      <c r="AV9" s="2026">
        <v>2770.2</v>
      </c>
      <c r="AW9" s="2026">
        <v>391</v>
      </c>
      <c r="AX9" s="2026">
        <v>6178.5</v>
      </c>
      <c r="AY9" s="2026">
        <v>9408.7999999999993</v>
      </c>
      <c r="AZ9" s="2027">
        <v>36.76</v>
      </c>
      <c r="BA9" s="2027">
        <v>11.74</v>
      </c>
      <c r="BB9" s="2027">
        <v>19.18</v>
      </c>
      <c r="BC9" s="2027">
        <v>20.420000000000002</v>
      </c>
      <c r="BD9" s="2027">
        <v>8.26</v>
      </c>
      <c r="BE9" s="2027">
        <v>3.6</v>
      </c>
      <c r="BF9" s="2027">
        <v>3620</v>
      </c>
      <c r="BG9" s="2027">
        <v>5874</v>
      </c>
      <c r="BH9" s="2027"/>
      <c r="BK9" s="2027">
        <v>101.35</v>
      </c>
      <c r="BL9" s="2027">
        <v>7.14</v>
      </c>
      <c r="BM9" s="2027">
        <v>7.24</v>
      </c>
      <c r="BN9" s="2027">
        <v>9.73</v>
      </c>
      <c r="BO9" s="2027">
        <v>6.5</v>
      </c>
      <c r="BP9" s="2027">
        <v>6.11</v>
      </c>
      <c r="BQ9" s="2027">
        <v>13.41</v>
      </c>
      <c r="BR9" s="2027">
        <v>7.3</v>
      </c>
      <c r="BS9" s="2026" t="s">
        <v>288</v>
      </c>
      <c r="BT9" s="2027" t="s">
        <v>288</v>
      </c>
      <c r="BU9" s="2026" t="s">
        <v>288</v>
      </c>
    </row>
    <row r="10" spans="1:73" s="125" customFormat="1" ht="11.25" customHeight="1" x14ac:dyDescent="0.2">
      <c r="B10" s="1681" t="s">
        <v>538</v>
      </c>
      <c r="C10" s="2026">
        <v>8249.2000000000007</v>
      </c>
      <c r="D10" s="2026">
        <v>205.5</v>
      </c>
      <c r="E10" s="2026">
        <v>8454.7000000000007</v>
      </c>
      <c r="F10" s="2026">
        <v>880.1</v>
      </c>
      <c r="G10" s="2026">
        <v>7574.6</v>
      </c>
      <c r="H10" s="2026">
        <v>2172.8000000000002</v>
      </c>
      <c r="I10" s="2026">
        <v>3499.1</v>
      </c>
      <c r="J10" s="2026">
        <v>7592.4</v>
      </c>
      <c r="K10" s="2026">
        <v>35460.300000000003</v>
      </c>
      <c r="L10" s="2026">
        <v>43052.700000000004</v>
      </c>
      <c r="M10" s="2026">
        <v>46551.8</v>
      </c>
      <c r="N10" s="2026" t="s">
        <v>288</v>
      </c>
      <c r="P10" s="2026">
        <v>15167</v>
      </c>
      <c r="Q10" s="2026">
        <v>50627.3</v>
      </c>
      <c r="R10" s="2026">
        <v>52143</v>
      </c>
      <c r="S10" s="2026">
        <v>0</v>
      </c>
      <c r="T10" s="2026">
        <v>4403.3999999999996</v>
      </c>
      <c r="U10" s="2026">
        <v>36564.1</v>
      </c>
      <c r="V10" s="2026">
        <v>40967.5</v>
      </c>
      <c r="W10" s="2026">
        <v>0.6</v>
      </c>
      <c r="X10" s="2026">
        <v>173.3</v>
      </c>
      <c r="Y10" s="2026">
        <v>1508</v>
      </c>
      <c r="Z10" s="2026">
        <v>1681.3</v>
      </c>
      <c r="AA10" s="2026">
        <v>17.7</v>
      </c>
      <c r="AB10" s="2026">
        <v>7379.7</v>
      </c>
      <c r="AC10" s="2026">
        <v>859.7</v>
      </c>
      <c r="AD10" s="2026">
        <v>8239.4</v>
      </c>
      <c r="AE10" s="2026">
        <v>18.3</v>
      </c>
      <c r="AF10" s="2026">
        <v>11956.4</v>
      </c>
      <c r="AG10" s="2026">
        <v>38931.799999999996</v>
      </c>
      <c r="AH10" s="2026">
        <v>50888.200000000004</v>
      </c>
      <c r="AI10" s="2026">
        <v>676.9</v>
      </c>
      <c r="AJ10" s="2026">
        <v>3928.5</v>
      </c>
      <c r="AK10" s="2026">
        <v>651.9</v>
      </c>
      <c r="AL10" s="2026" t="s">
        <v>288</v>
      </c>
      <c r="AM10" s="2026">
        <v>46552.6</v>
      </c>
      <c r="AN10" s="2026">
        <v>2001.5</v>
      </c>
      <c r="AO10" s="2026">
        <v>48554.1</v>
      </c>
      <c r="AP10" s="2026">
        <v>2427.6</v>
      </c>
      <c r="AQ10" s="2026">
        <v>1674.4</v>
      </c>
      <c r="AR10" s="2026">
        <v>4102</v>
      </c>
      <c r="AS10" s="2026">
        <v>219520.3</v>
      </c>
      <c r="AT10" s="2026">
        <v>12556.7</v>
      </c>
      <c r="AU10" s="2026">
        <v>69.099999999999994</v>
      </c>
      <c r="AV10" s="2026">
        <v>4158.3</v>
      </c>
      <c r="AW10" s="2026">
        <v>398.7</v>
      </c>
      <c r="AX10" s="2026">
        <v>6628.6</v>
      </c>
      <c r="AY10" s="2026">
        <v>11254.7</v>
      </c>
      <c r="AZ10" s="2027">
        <v>27.05</v>
      </c>
      <c r="BA10" s="2027">
        <v>7.15</v>
      </c>
      <c r="BB10" s="2027">
        <v>12.15</v>
      </c>
      <c r="BC10" s="2027">
        <v>13.68</v>
      </c>
      <c r="BD10" s="2027">
        <v>10.82</v>
      </c>
      <c r="BE10" s="2027">
        <v>3.6</v>
      </c>
      <c r="BF10" s="2027">
        <v>3619</v>
      </c>
      <c r="BG10" s="2027">
        <v>5911</v>
      </c>
      <c r="BH10" s="2027"/>
      <c r="BK10" s="2027">
        <v>101.21</v>
      </c>
      <c r="BL10" s="2027">
        <v>7.89</v>
      </c>
      <c r="BM10" s="2027">
        <v>7.98</v>
      </c>
      <c r="BN10" s="2027">
        <v>10.68</v>
      </c>
      <c r="BO10" s="2027">
        <v>7.5</v>
      </c>
      <c r="BP10" s="2027">
        <v>6.67</v>
      </c>
      <c r="BQ10" s="2027">
        <v>13.69</v>
      </c>
      <c r="BR10" s="2027">
        <v>7.02</v>
      </c>
      <c r="BS10" s="2026" t="s">
        <v>288</v>
      </c>
      <c r="BT10" s="2027" t="s">
        <v>288</v>
      </c>
      <c r="BU10" s="2026" t="s">
        <v>288</v>
      </c>
    </row>
    <row r="11" spans="1:73" s="125" customFormat="1" ht="11.25" customHeight="1" x14ac:dyDescent="0.2">
      <c r="B11" s="1681" t="s">
        <v>539</v>
      </c>
      <c r="C11" s="2026">
        <v>8852.2000000000007</v>
      </c>
      <c r="D11" s="2026">
        <v>224.4</v>
      </c>
      <c r="E11" s="2026">
        <v>9076.6</v>
      </c>
      <c r="F11" s="2026">
        <v>923.3</v>
      </c>
      <c r="G11" s="2026">
        <v>8153.3</v>
      </c>
      <c r="H11" s="2026">
        <v>1800</v>
      </c>
      <c r="I11" s="2026">
        <v>4172.6000000000004</v>
      </c>
      <c r="J11" s="2026">
        <v>7735.2</v>
      </c>
      <c r="K11" s="2026">
        <v>39980.5</v>
      </c>
      <c r="L11" s="2026">
        <v>47715.7</v>
      </c>
      <c r="M11" s="2026">
        <v>51888.299999999996</v>
      </c>
      <c r="N11" s="2026" t="s">
        <v>288</v>
      </c>
      <c r="P11" s="2026">
        <v>15888.5</v>
      </c>
      <c r="Q11" s="2026">
        <v>55869</v>
      </c>
      <c r="R11" s="2026">
        <v>57133.3</v>
      </c>
      <c r="S11" s="2026">
        <v>0</v>
      </c>
      <c r="T11" s="2026">
        <v>4780.3999999999996</v>
      </c>
      <c r="U11" s="2026">
        <v>41621.699999999997</v>
      </c>
      <c r="V11" s="2026">
        <v>46402.1</v>
      </c>
      <c r="W11" s="2026">
        <v>0</v>
      </c>
      <c r="X11" s="2026">
        <v>78</v>
      </c>
      <c r="Y11" s="2026">
        <v>1932.5</v>
      </c>
      <c r="Z11" s="2026">
        <v>2010.5</v>
      </c>
      <c r="AA11" s="2026">
        <v>19.899999999999999</v>
      </c>
      <c r="AB11" s="2026">
        <v>8383.2000000000007</v>
      </c>
      <c r="AC11" s="2026">
        <v>635.79999999999995</v>
      </c>
      <c r="AD11" s="2026">
        <v>9019</v>
      </c>
      <c r="AE11" s="2026">
        <v>19.899999999999999</v>
      </c>
      <c r="AF11" s="2026">
        <v>13241.6</v>
      </c>
      <c r="AG11" s="2026">
        <v>44190</v>
      </c>
      <c r="AH11" s="2026">
        <v>57431.6</v>
      </c>
      <c r="AI11" s="2026">
        <v>710.7</v>
      </c>
      <c r="AJ11" s="2026">
        <v>4041.4</v>
      </c>
      <c r="AK11" s="2026">
        <v>1020.9</v>
      </c>
      <c r="AL11" s="2026" t="s">
        <v>288</v>
      </c>
      <c r="AM11" s="2026">
        <v>51887.8</v>
      </c>
      <c r="AN11" s="2026">
        <v>2449.9</v>
      </c>
      <c r="AO11" s="2026">
        <v>54337.700000000004</v>
      </c>
      <c r="AP11" s="2026">
        <v>2716.9</v>
      </c>
      <c r="AQ11" s="2026">
        <v>2002.1</v>
      </c>
      <c r="AR11" s="2026">
        <v>4719</v>
      </c>
      <c r="AS11" s="2026">
        <v>246006</v>
      </c>
      <c r="AT11" s="2026">
        <v>13795.6</v>
      </c>
      <c r="AU11" s="2026">
        <v>69.099999999999994</v>
      </c>
      <c r="AV11" s="2026">
        <v>4964.5</v>
      </c>
      <c r="AW11" s="2026">
        <v>516</v>
      </c>
      <c r="AX11" s="2026">
        <v>7633.2</v>
      </c>
      <c r="AY11" s="2026">
        <v>13182.8</v>
      </c>
      <c r="AZ11" s="2027">
        <v>15.65</v>
      </c>
      <c r="BA11" s="2027">
        <v>6.4</v>
      </c>
      <c r="BB11" s="2027">
        <v>12.99</v>
      </c>
      <c r="BC11" s="2027">
        <v>12.64</v>
      </c>
      <c r="BD11" s="2027">
        <v>10.17</v>
      </c>
      <c r="BE11" s="2027">
        <v>3.6</v>
      </c>
      <c r="BF11" s="2027">
        <v>3617</v>
      </c>
      <c r="BG11" s="2027">
        <v>5952</v>
      </c>
      <c r="BH11" s="2027"/>
      <c r="BK11" s="2027">
        <v>102.33</v>
      </c>
      <c r="BL11" s="2027">
        <v>8.7200000000000006</v>
      </c>
      <c r="BM11" s="2027">
        <v>8.92</v>
      </c>
      <c r="BN11" s="2027">
        <v>10.87</v>
      </c>
      <c r="BO11" s="2027">
        <v>8</v>
      </c>
      <c r="BP11" s="2027">
        <v>7.07</v>
      </c>
      <c r="BQ11" s="2027">
        <v>14.02</v>
      </c>
      <c r="BR11" s="2027">
        <v>6.9499999999999993</v>
      </c>
      <c r="BS11" s="2026" t="s">
        <v>288</v>
      </c>
      <c r="BT11" s="2027" t="s">
        <v>288</v>
      </c>
      <c r="BU11" s="2026" t="s">
        <v>288</v>
      </c>
    </row>
    <row r="12" spans="1:73" s="125" customFormat="1" ht="11.25" customHeight="1" x14ac:dyDescent="0.2">
      <c r="B12" s="1681" t="s">
        <v>540</v>
      </c>
      <c r="C12" s="2026">
        <v>9478.6</v>
      </c>
      <c r="D12" s="2026">
        <v>234.9</v>
      </c>
      <c r="E12" s="2026">
        <v>9713.5</v>
      </c>
      <c r="F12" s="2026">
        <v>1026.9000000000001</v>
      </c>
      <c r="G12" s="2026">
        <v>8686.6</v>
      </c>
      <c r="H12" s="2026">
        <v>2636.1</v>
      </c>
      <c r="I12" s="2026">
        <v>4891.6000000000004</v>
      </c>
      <c r="J12" s="2026">
        <v>8562.7999999999993</v>
      </c>
      <c r="K12" s="2026">
        <v>45777.3</v>
      </c>
      <c r="L12" s="2026">
        <v>54340.100000000006</v>
      </c>
      <c r="M12" s="2026">
        <v>59231.700000000004</v>
      </c>
      <c r="N12" s="2026" t="s">
        <v>288</v>
      </c>
      <c r="P12" s="2026">
        <v>17249.400000000001</v>
      </c>
      <c r="Q12" s="2026">
        <v>63026.700000000004</v>
      </c>
      <c r="R12" s="2026">
        <v>64083.8</v>
      </c>
      <c r="S12" s="2026">
        <v>22.5</v>
      </c>
      <c r="T12" s="2026">
        <v>5008.1000000000004</v>
      </c>
      <c r="U12" s="2026">
        <v>47569.7</v>
      </c>
      <c r="V12" s="2026">
        <v>52577.799999999996</v>
      </c>
      <c r="W12" s="2026">
        <v>0</v>
      </c>
      <c r="X12" s="2026">
        <v>99.1</v>
      </c>
      <c r="Y12" s="2026">
        <v>1941.1</v>
      </c>
      <c r="Z12" s="2026">
        <v>2040.1999999999998</v>
      </c>
      <c r="AA12" s="2026">
        <v>26.6</v>
      </c>
      <c r="AB12" s="2026">
        <v>9633</v>
      </c>
      <c r="AC12" s="2026">
        <v>805.5</v>
      </c>
      <c r="AD12" s="2026">
        <v>10438.5</v>
      </c>
      <c r="AE12" s="2026">
        <v>49.1</v>
      </c>
      <c r="AF12" s="2026">
        <v>14740.2</v>
      </c>
      <c r="AG12" s="2026">
        <v>50316.299999999996</v>
      </c>
      <c r="AH12" s="2026">
        <v>65056.499999999993</v>
      </c>
      <c r="AI12" s="2026">
        <v>671.2</v>
      </c>
      <c r="AJ12" s="2026">
        <v>4956.2</v>
      </c>
      <c r="AK12" s="2026">
        <v>1106.2</v>
      </c>
      <c r="AL12" s="2026">
        <v>48.4</v>
      </c>
      <c r="AM12" s="2026">
        <v>59231</v>
      </c>
      <c r="AN12" s="2026">
        <v>2562</v>
      </c>
      <c r="AO12" s="2026">
        <v>61793</v>
      </c>
      <c r="AP12" s="2026">
        <v>3089.7</v>
      </c>
      <c r="AQ12" s="2026">
        <v>2611.3000000000002</v>
      </c>
      <c r="AR12" s="2026">
        <v>5701</v>
      </c>
      <c r="AS12" s="2026">
        <v>281594.09999999998</v>
      </c>
      <c r="AT12" s="2026">
        <v>15414.5</v>
      </c>
      <c r="AU12" s="2026">
        <v>69.099999999999994</v>
      </c>
      <c r="AV12" s="2026">
        <v>6027.5</v>
      </c>
      <c r="AW12" s="2026">
        <v>866.8</v>
      </c>
      <c r="AX12" s="2026">
        <v>8929.2999999999993</v>
      </c>
      <c r="AY12" s="2026">
        <v>15892.7</v>
      </c>
      <c r="AZ12" s="2027">
        <v>21.32</v>
      </c>
      <c r="BA12" s="2027">
        <v>-3.67</v>
      </c>
      <c r="BB12" s="2027">
        <v>13.76</v>
      </c>
      <c r="BC12" s="2027">
        <v>13.06</v>
      </c>
      <c r="BD12" s="2027">
        <v>12.81</v>
      </c>
      <c r="BE12" s="2027">
        <v>3.5</v>
      </c>
      <c r="BF12" s="2027">
        <v>3616</v>
      </c>
      <c r="BG12" s="2027">
        <v>5983</v>
      </c>
      <c r="BH12" s="2027"/>
      <c r="BK12" s="2027">
        <v>101.23</v>
      </c>
      <c r="BL12" s="2027">
        <v>9.9</v>
      </c>
      <c r="BM12" s="2027">
        <v>10.02</v>
      </c>
      <c r="BN12" s="2027">
        <v>11.36</v>
      </c>
      <c r="BO12" s="2027">
        <v>8</v>
      </c>
      <c r="BP12" s="2027">
        <v>7.28</v>
      </c>
      <c r="BQ12" s="2027">
        <v>14.16</v>
      </c>
      <c r="BR12" s="2027">
        <v>6.88</v>
      </c>
      <c r="BS12" s="2026" t="s">
        <v>288</v>
      </c>
      <c r="BT12" s="2027" t="s">
        <v>288</v>
      </c>
      <c r="BU12" s="2026" t="s">
        <v>288</v>
      </c>
    </row>
    <row r="13" spans="1:73" s="125" customFormat="1" ht="11.25" customHeight="1" x14ac:dyDescent="0.2">
      <c r="B13" s="1681" t="s">
        <v>541</v>
      </c>
      <c r="C13" s="2026">
        <v>11034.6</v>
      </c>
      <c r="D13" s="2026">
        <v>229.8</v>
      </c>
      <c r="E13" s="2026">
        <v>11264.4</v>
      </c>
      <c r="F13" s="2026">
        <v>1088.4000000000001</v>
      </c>
      <c r="G13" s="2026">
        <v>10176</v>
      </c>
      <c r="H13" s="2026">
        <v>3880.7</v>
      </c>
      <c r="I13" s="2026">
        <v>5615.2</v>
      </c>
      <c r="J13" s="2026">
        <v>9705.2999999999993</v>
      </c>
      <c r="K13" s="2026">
        <v>54881.1</v>
      </c>
      <c r="L13" s="2026">
        <v>64586.399999999994</v>
      </c>
      <c r="M13" s="2026">
        <v>70201.599999999991</v>
      </c>
      <c r="N13" s="2026" t="s">
        <v>288</v>
      </c>
      <c r="P13" s="2026">
        <v>19881.3</v>
      </c>
      <c r="Q13" s="2026">
        <v>74762.399999999994</v>
      </c>
      <c r="R13" s="2026">
        <v>75729.399999999994</v>
      </c>
      <c r="S13" s="2026">
        <v>7</v>
      </c>
      <c r="T13" s="2026">
        <v>5093.1000000000004</v>
      </c>
      <c r="U13" s="2026">
        <v>52823.5</v>
      </c>
      <c r="V13" s="2026">
        <v>57916.6</v>
      </c>
      <c r="W13" s="2026">
        <v>0</v>
      </c>
      <c r="X13" s="2026">
        <v>64</v>
      </c>
      <c r="Y13" s="2026">
        <v>2206.8000000000002</v>
      </c>
      <c r="Z13" s="2026">
        <v>2270.8000000000002</v>
      </c>
      <c r="AA13" s="2026">
        <v>35.6</v>
      </c>
      <c r="AB13" s="2026">
        <v>12338.1</v>
      </c>
      <c r="AC13" s="2026">
        <v>589.79999999999995</v>
      </c>
      <c r="AD13" s="2026">
        <v>12927.9</v>
      </c>
      <c r="AE13" s="2026">
        <v>42.6</v>
      </c>
      <c r="AF13" s="2026">
        <v>17495.2</v>
      </c>
      <c r="AG13" s="2026">
        <v>55620.100000000006</v>
      </c>
      <c r="AH13" s="2026">
        <v>73115.3</v>
      </c>
      <c r="AI13" s="2026">
        <v>590.4</v>
      </c>
      <c r="AJ13" s="2026">
        <v>4566.1000000000004</v>
      </c>
      <c r="AK13" s="2026">
        <v>1509.1</v>
      </c>
      <c r="AL13" s="2026">
        <v>19.8</v>
      </c>
      <c r="AM13" s="2026">
        <v>70275.899999999994</v>
      </c>
      <c r="AN13" s="2026">
        <v>2933.2</v>
      </c>
      <c r="AO13" s="2026">
        <v>73209.099999999991</v>
      </c>
      <c r="AP13" s="2026">
        <v>2928.4</v>
      </c>
      <c r="AQ13" s="2026">
        <v>2906.6</v>
      </c>
      <c r="AR13" s="2026">
        <v>5835</v>
      </c>
      <c r="AS13" s="2026">
        <v>326422.2</v>
      </c>
      <c r="AT13" s="2026">
        <v>17099.400000000001</v>
      </c>
      <c r="AU13" s="2026">
        <v>69.099999999999994</v>
      </c>
      <c r="AV13" s="2026">
        <v>7765.8</v>
      </c>
      <c r="AW13" s="2026">
        <v>633</v>
      </c>
      <c r="AX13" s="2026">
        <v>11657.2</v>
      </c>
      <c r="AY13" s="2026">
        <v>20125.100000000002</v>
      </c>
      <c r="AZ13" s="2027">
        <v>31.33</v>
      </c>
      <c r="BA13" s="2027">
        <v>2.5</v>
      </c>
      <c r="BB13" s="2027">
        <v>10.75</v>
      </c>
      <c r="BC13" s="2027">
        <v>13.64</v>
      </c>
      <c r="BD13" s="2027">
        <v>18.62</v>
      </c>
      <c r="BE13" s="2027">
        <v>3.2</v>
      </c>
      <c r="BF13" s="2027">
        <v>3607</v>
      </c>
      <c r="BG13" s="2027">
        <v>6056</v>
      </c>
      <c r="BH13" s="2027"/>
      <c r="BK13" s="2027">
        <v>96.26</v>
      </c>
      <c r="BL13" s="2027">
        <v>11.59</v>
      </c>
      <c r="BM13" s="2027">
        <v>11.16</v>
      </c>
      <c r="BN13" s="2027">
        <v>9.86</v>
      </c>
      <c r="BO13" s="2027">
        <v>7</v>
      </c>
      <c r="BP13" s="2027">
        <v>7.21</v>
      </c>
      <c r="BQ13" s="2027">
        <v>13.86</v>
      </c>
      <c r="BR13" s="2027">
        <v>6.6499999999999995</v>
      </c>
      <c r="BS13" s="2026" t="s">
        <v>288</v>
      </c>
      <c r="BT13" s="2027" t="s">
        <v>288</v>
      </c>
      <c r="BU13" s="2026" t="s">
        <v>288</v>
      </c>
    </row>
    <row r="14" spans="1:73" s="125" customFormat="1" ht="11.25" customHeight="1" x14ac:dyDescent="0.2">
      <c r="B14" s="1681" t="s">
        <v>542</v>
      </c>
      <c r="C14" s="2026">
        <v>12547</v>
      </c>
      <c r="D14" s="2026">
        <v>285.8</v>
      </c>
      <c r="E14" s="2026">
        <v>12832.8</v>
      </c>
      <c r="F14" s="2026">
        <v>1354.5</v>
      </c>
      <c r="G14" s="2026">
        <v>11478.3</v>
      </c>
      <c r="H14" s="2026" t="s">
        <v>3115</v>
      </c>
      <c r="I14" s="2026" t="s">
        <v>3116</v>
      </c>
      <c r="J14" s="2026">
        <v>10869.1</v>
      </c>
      <c r="K14" s="2026" t="s">
        <v>3117</v>
      </c>
      <c r="L14" s="2026">
        <v>75695.899999999994</v>
      </c>
      <c r="M14" s="2026">
        <v>81604.399999999994</v>
      </c>
      <c r="N14" s="2026" t="s">
        <v>288</v>
      </c>
      <c r="P14" s="2026">
        <v>22347.4</v>
      </c>
      <c r="Q14" s="2026">
        <v>87174.1</v>
      </c>
      <c r="R14" s="2026">
        <v>88213.3</v>
      </c>
      <c r="S14" s="2026">
        <v>0</v>
      </c>
      <c r="T14" s="2026">
        <v>5537.1</v>
      </c>
      <c r="U14" s="2026">
        <v>61553.8</v>
      </c>
      <c r="V14" s="2026">
        <v>67090.900000000009</v>
      </c>
      <c r="W14" s="2026">
        <v>0</v>
      </c>
      <c r="X14" s="2026">
        <v>1016.9</v>
      </c>
      <c r="Y14" s="2026" t="s">
        <v>3119</v>
      </c>
      <c r="Z14" s="2026">
        <v>3523.6</v>
      </c>
      <c r="AA14" s="2026" t="s">
        <v>3120</v>
      </c>
      <c r="AB14" s="2026" t="s">
        <v>3121</v>
      </c>
      <c r="AC14" s="2026" t="s">
        <v>3122</v>
      </c>
      <c r="AD14" s="2026">
        <v>13940.4</v>
      </c>
      <c r="AE14" s="2026">
        <v>34.5</v>
      </c>
      <c r="AF14" s="2026">
        <v>19883.5</v>
      </c>
      <c r="AG14" s="2026">
        <v>64671.3</v>
      </c>
      <c r="AH14" s="2026">
        <v>84554.900000000009</v>
      </c>
      <c r="AI14" s="2026" t="s">
        <v>3123</v>
      </c>
      <c r="AJ14" s="2026" t="s">
        <v>3124</v>
      </c>
      <c r="AK14" s="2026" t="s">
        <v>3125</v>
      </c>
      <c r="AL14" s="2026" t="s">
        <v>288</v>
      </c>
      <c r="AM14" s="2026" t="s">
        <v>3126</v>
      </c>
      <c r="AN14" s="2026" t="s">
        <v>3127</v>
      </c>
      <c r="AO14" s="2026">
        <v>84765</v>
      </c>
      <c r="AP14" s="2026" t="s">
        <v>3128</v>
      </c>
      <c r="AQ14" s="2026" t="s">
        <v>3129</v>
      </c>
      <c r="AR14" s="2026">
        <v>6661.6</v>
      </c>
      <c r="AS14" s="2026" t="s">
        <v>3130</v>
      </c>
      <c r="AT14" s="2026">
        <v>19494.400000000001</v>
      </c>
      <c r="AU14" s="2026" t="s">
        <v>3131</v>
      </c>
      <c r="AV14" s="2026" t="s">
        <v>3132</v>
      </c>
      <c r="AW14" s="2026" t="s">
        <v>3133</v>
      </c>
      <c r="AX14" s="2026" t="s">
        <v>3134</v>
      </c>
      <c r="AY14" s="2026">
        <v>23247.5</v>
      </c>
      <c r="AZ14" s="2027" t="s">
        <v>3135</v>
      </c>
      <c r="BA14" s="2027" t="s">
        <v>3136</v>
      </c>
      <c r="BB14" s="2027" t="s">
        <v>3137</v>
      </c>
      <c r="BC14" s="2027" t="s">
        <v>3138</v>
      </c>
      <c r="BD14" s="2027" t="s">
        <v>3139</v>
      </c>
      <c r="BE14" s="2027" t="s">
        <v>3140</v>
      </c>
      <c r="BF14" s="2027" t="s">
        <v>3142</v>
      </c>
      <c r="BG14" s="2027" t="s">
        <v>3141</v>
      </c>
      <c r="BH14" s="2027"/>
      <c r="BK14" s="2027" t="s">
        <v>3143</v>
      </c>
      <c r="BL14" s="2027" t="s">
        <v>3144</v>
      </c>
      <c r="BM14" s="2027" t="s">
        <v>3145</v>
      </c>
      <c r="BN14" s="2027" t="s">
        <v>3146</v>
      </c>
      <c r="BO14" s="2027" t="s">
        <v>3147</v>
      </c>
      <c r="BP14" s="2027">
        <v>7.03</v>
      </c>
      <c r="BQ14" s="2027">
        <v>13.75</v>
      </c>
      <c r="BR14" s="2027">
        <v>6.72</v>
      </c>
      <c r="BS14" s="2026" t="s">
        <v>288</v>
      </c>
      <c r="BT14" s="2027" t="s">
        <v>288</v>
      </c>
      <c r="BU14" s="2026" t="s">
        <v>288</v>
      </c>
    </row>
    <row r="15" spans="1:73" s="125" customFormat="1" ht="11.25" customHeight="1" x14ac:dyDescent="0.2">
      <c r="B15" s="1681" t="s">
        <v>543</v>
      </c>
      <c r="C15" s="2026">
        <v>13581.6</v>
      </c>
      <c r="D15" s="2026">
        <v>298.60000000000002</v>
      </c>
      <c r="E15" s="2026">
        <v>13880.2</v>
      </c>
      <c r="F15" s="2026">
        <v>1348.8</v>
      </c>
      <c r="G15" s="2026">
        <v>12531.400000000001</v>
      </c>
      <c r="H15" s="2026">
        <v>5576</v>
      </c>
      <c r="I15" s="2026">
        <v>5931</v>
      </c>
      <c r="J15" s="2026">
        <v>11620.4</v>
      </c>
      <c r="K15" s="2026">
        <v>74454.899999999994</v>
      </c>
      <c r="L15" s="2026">
        <v>86075.299999999988</v>
      </c>
      <c r="M15" s="2026">
        <v>92006.299999999988</v>
      </c>
      <c r="N15" s="2026">
        <v>9.3000000000000007</v>
      </c>
      <c r="P15" s="2026">
        <v>24161.100000000002</v>
      </c>
      <c r="Q15" s="2026">
        <v>98616</v>
      </c>
      <c r="R15" s="2026">
        <v>100001.4</v>
      </c>
      <c r="S15" s="2026">
        <v>0</v>
      </c>
      <c r="T15" s="2026">
        <v>5696</v>
      </c>
      <c r="U15" s="2026">
        <v>70258</v>
      </c>
      <c r="V15" s="2026">
        <v>75954</v>
      </c>
      <c r="W15" s="2026">
        <v>0</v>
      </c>
      <c r="X15" s="2026">
        <v>754.4</v>
      </c>
      <c r="Y15" s="2026">
        <v>2884.7</v>
      </c>
      <c r="Z15" s="2026">
        <v>3639.1</v>
      </c>
      <c r="AA15" s="2026">
        <v>47.2</v>
      </c>
      <c r="AB15" s="2026">
        <v>14055.9</v>
      </c>
      <c r="AC15" s="2026">
        <v>403.3</v>
      </c>
      <c r="AD15" s="2026">
        <v>14459.199999999999</v>
      </c>
      <c r="AE15" s="2026">
        <v>47.2</v>
      </c>
      <c r="AF15" s="2026">
        <v>20506.3</v>
      </c>
      <c r="AG15" s="2026">
        <v>73546</v>
      </c>
      <c r="AH15" s="2026">
        <v>94052.3</v>
      </c>
      <c r="AI15" s="2026">
        <v>602.4</v>
      </c>
      <c r="AJ15" s="2026">
        <v>4993.5</v>
      </c>
      <c r="AK15" s="2026">
        <v>1368.6</v>
      </c>
      <c r="AL15" s="2026">
        <v>7</v>
      </c>
      <c r="AM15" s="2026">
        <v>92031.9</v>
      </c>
      <c r="AN15" s="2026">
        <v>4029.6</v>
      </c>
      <c r="AO15" s="2026">
        <v>96061.5</v>
      </c>
      <c r="AP15" s="2026">
        <v>3842.46</v>
      </c>
      <c r="AQ15" s="2026">
        <v>2841.04</v>
      </c>
      <c r="AR15" s="2026">
        <v>6683.5</v>
      </c>
      <c r="AS15" s="2026">
        <v>413044.5</v>
      </c>
      <c r="AT15" s="2026">
        <v>20563.7</v>
      </c>
      <c r="AU15" s="2026">
        <v>69.099999999999994</v>
      </c>
      <c r="AV15" s="2026">
        <v>13189.2</v>
      </c>
      <c r="AW15" s="2026">
        <v>1146.2</v>
      </c>
      <c r="AX15" s="2026">
        <v>11840.5</v>
      </c>
      <c r="AY15" s="2026">
        <v>26245</v>
      </c>
      <c r="AZ15" s="2027">
        <v>14.07</v>
      </c>
      <c r="BA15" s="2027">
        <v>-1.59</v>
      </c>
      <c r="BB15" s="2027">
        <v>14.39</v>
      </c>
      <c r="BC15" s="2027">
        <v>12.92</v>
      </c>
      <c r="BD15" s="2027">
        <v>13.13</v>
      </c>
      <c r="BE15" s="2027">
        <v>2.8</v>
      </c>
      <c r="BF15" s="2027">
        <v>3572</v>
      </c>
      <c r="BG15" s="2027">
        <v>6278</v>
      </c>
      <c r="BH15" s="2027"/>
      <c r="BK15" s="2027">
        <v>102.28</v>
      </c>
      <c r="BL15" s="2027">
        <v>14.66</v>
      </c>
      <c r="BM15" s="2027">
        <v>14.98</v>
      </c>
      <c r="BN15" s="2027">
        <v>12.12</v>
      </c>
      <c r="BO15" s="2027">
        <v>6</v>
      </c>
      <c r="BP15" s="2027">
        <v>6.74</v>
      </c>
      <c r="BQ15" s="2027">
        <v>13.16</v>
      </c>
      <c r="BR15" s="2027">
        <v>6.42</v>
      </c>
      <c r="BS15" s="2026" t="s">
        <v>288</v>
      </c>
      <c r="BT15" s="2027" t="s">
        <v>288</v>
      </c>
      <c r="BU15" s="2026" t="s">
        <v>288</v>
      </c>
    </row>
    <row r="16" spans="1:73" s="125" customFormat="1" ht="11.25" customHeight="1" x14ac:dyDescent="0.2">
      <c r="B16" s="1681" t="s">
        <v>544</v>
      </c>
      <c r="C16" s="2026">
        <v>15024.4</v>
      </c>
      <c r="D16" s="2026">
        <v>317.7</v>
      </c>
      <c r="E16" s="2026">
        <v>15342.1</v>
      </c>
      <c r="F16" s="2026">
        <v>1440.5</v>
      </c>
      <c r="G16" s="2026">
        <v>13901.6</v>
      </c>
      <c r="H16" s="2026">
        <v>4741.8999999999996</v>
      </c>
      <c r="I16" s="2026">
        <v>6494.8</v>
      </c>
      <c r="J16" s="2026">
        <v>12827.9</v>
      </c>
      <c r="K16" s="2026">
        <v>87251.1</v>
      </c>
      <c r="L16" s="2026">
        <v>100079</v>
      </c>
      <c r="M16" s="2026">
        <v>106573.8</v>
      </c>
      <c r="N16" s="2026">
        <v>13.7</v>
      </c>
      <c r="P16" s="2026">
        <v>26743.200000000001</v>
      </c>
      <c r="Q16" s="2026">
        <v>113994.3</v>
      </c>
      <c r="R16" s="2026">
        <v>116202.3</v>
      </c>
      <c r="S16" s="2026">
        <v>0</v>
      </c>
      <c r="T16" s="2026">
        <v>5720.7</v>
      </c>
      <c r="U16" s="2026">
        <v>78850.8</v>
      </c>
      <c r="V16" s="2026">
        <v>84571.5</v>
      </c>
      <c r="W16" s="2026">
        <v>0</v>
      </c>
      <c r="X16" s="2026">
        <v>874.8</v>
      </c>
      <c r="Y16" s="2026">
        <v>3348.3</v>
      </c>
      <c r="Z16" s="2026">
        <v>4223.1000000000004</v>
      </c>
      <c r="AA16" s="2026">
        <v>59.3</v>
      </c>
      <c r="AB16" s="2026">
        <v>18087.400000000001</v>
      </c>
      <c r="AC16" s="2026">
        <v>686.8</v>
      </c>
      <c r="AD16" s="2026">
        <v>18774.2</v>
      </c>
      <c r="AE16" s="2026">
        <v>59.3</v>
      </c>
      <c r="AF16" s="2026">
        <v>24682.9</v>
      </c>
      <c r="AG16" s="2026">
        <v>82885.900000000009</v>
      </c>
      <c r="AH16" s="2026">
        <v>107568.8</v>
      </c>
      <c r="AI16" s="2026">
        <v>578.70000000000005</v>
      </c>
      <c r="AJ16" s="2026">
        <v>4906.8999999999996</v>
      </c>
      <c r="AK16" s="2026">
        <v>1349.1</v>
      </c>
      <c r="AL16" s="2026" t="s">
        <v>288</v>
      </c>
      <c r="AM16" s="2026">
        <v>106592.3</v>
      </c>
      <c r="AN16" s="2026">
        <v>3174.6</v>
      </c>
      <c r="AO16" s="2026">
        <v>109766.90000000001</v>
      </c>
      <c r="AP16" s="2026">
        <v>4390.6760000000004</v>
      </c>
      <c r="AQ16" s="2026">
        <v>1694.8239999999996</v>
      </c>
      <c r="AR16" s="2026">
        <v>6085.5</v>
      </c>
      <c r="AS16" s="2026">
        <v>464314.6</v>
      </c>
      <c r="AT16" s="2026">
        <v>21427.599999999999</v>
      </c>
      <c r="AU16" s="2026">
        <v>69.099999999999994</v>
      </c>
      <c r="AV16" s="2026">
        <v>12475.7</v>
      </c>
      <c r="AW16" s="2026">
        <v>1189.2</v>
      </c>
      <c r="AX16" s="2026">
        <v>12162.7</v>
      </c>
      <c r="AY16" s="2026">
        <v>25896.700000000004</v>
      </c>
      <c r="AZ16" s="2027" t="s">
        <v>3148</v>
      </c>
      <c r="BA16" s="2027" t="s">
        <v>3149</v>
      </c>
      <c r="BB16" s="2027">
        <v>14.93</v>
      </c>
      <c r="BC16" s="2027" t="s">
        <v>3150</v>
      </c>
      <c r="BD16" s="2027" t="s">
        <v>3151</v>
      </c>
      <c r="BE16" s="2027" t="s">
        <v>3152</v>
      </c>
      <c r="BF16" s="2027" t="s">
        <v>3154</v>
      </c>
      <c r="BG16" s="2027" t="s">
        <v>3153</v>
      </c>
      <c r="BH16" s="2027"/>
      <c r="BK16" s="2027">
        <v>101.1</v>
      </c>
      <c r="BL16" s="2027" t="s">
        <v>3155</v>
      </c>
      <c r="BM16" s="2027" t="s">
        <v>3156</v>
      </c>
      <c r="BN16" s="2027" t="s">
        <v>3157</v>
      </c>
      <c r="BO16" s="2027" t="s">
        <v>3158</v>
      </c>
      <c r="BP16" s="2027">
        <v>6.29</v>
      </c>
      <c r="BQ16" s="2027">
        <v>12.78</v>
      </c>
      <c r="BR16" s="2027">
        <v>6.4899999999999993</v>
      </c>
      <c r="BS16" s="2026" t="s">
        <v>288</v>
      </c>
      <c r="BT16" s="2027" t="s">
        <v>288</v>
      </c>
      <c r="BU16" s="2026" t="s">
        <v>288</v>
      </c>
    </row>
    <row r="17" spans="2:73" s="125" customFormat="1" ht="11.25" customHeight="1" x14ac:dyDescent="0.2">
      <c r="B17" s="1681" t="s">
        <v>545</v>
      </c>
      <c r="C17" s="2026">
        <v>16942.2</v>
      </c>
      <c r="D17" s="2026">
        <v>345.2</v>
      </c>
      <c r="E17" s="2026">
        <v>17287.400000000001</v>
      </c>
      <c r="F17" s="2026">
        <v>1476.4</v>
      </c>
      <c r="G17" s="2026">
        <v>15811.000000000002</v>
      </c>
      <c r="H17" s="2026">
        <v>4387</v>
      </c>
      <c r="I17" s="2026">
        <v>7400.6</v>
      </c>
      <c r="J17" s="2026">
        <v>14612.6</v>
      </c>
      <c r="K17" s="2026">
        <v>99273.7</v>
      </c>
      <c r="L17" s="2026">
        <v>113886.3</v>
      </c>
      <c r="M17" s="2026">
        <v>121286.90000000001</v>
      </c>
      <c r="N17" s="2026">
        <v>24.4</v>
      </c>
      <c r="P17" s="2026">
        <v>30448.000000000004</v>
      </c>
      <c r="Q17" s="2026">
        <v>129721.7</v>
      </c>
      <c r="R17" s="2026">
        <v>133121.20000000001</v>
      </c>
      <c r="S17" s="2026">
        <v>2.1</v>
      </c>
      <c r="T17" s="2026">
        <v>6230.2</v>
      </c>
      <c r="U17" s="2026">
        <v>88774.7</v>
      </c>
      <c r="V17" s="2026">
        <v>95004.9</v>
      </c>
      <c r="W17" s="2026">
        <v>25.3</v>
      </c>
      <c r="X17" s="2026">
        <v>1908.6</v>
      </c>
      <c r="Y17" s="2026">
        <v>5124.6000000000004</v>
      </c>
      <c r="Z17" s="2026">
        <v>7033.2000000000007</v>
      </c>
      <c r="AA17" s="2026">
        <v>378.9</v>
      </c>
      <c r="AB17" s="2026">
        <v>17122.8</v>
      </c>
      <c r="AC17" s="2026">
        <v>728.7</v>
      </c>
      <c r="AD17" s="2026">
        <v>17851.5</v>
      </c>
      <c r="AE17" s="2026">
        <v>406.29999999999995</v>
      </c>
      <c r="AF17" s="2026">
        <v>25261.599999999999</v>
      </c>
      <c r="AG17" s="2026">
        <v>94628</v>
      </c>
      <c r="AH17" s="2026">
        <v>119889.59999999999</v>
      </c>
      <c r="AI17" s="2026">
        <v>622.29999999999995</v>
      </c>
      <c r="AJ17" s="2026">
        <v>5382</v>
      </c>
      <c r="AK17" s="2026">
        <v>1932.9</v>
      </c>
      <c r="AL17" s="2026">
        <v>63.5</v>
      </c>
      <c r="AM17" s="2026">
        <v>121256</v>
      </c>
      <c r="AN17" s="2026">
        <v>2657.8</v>
      </c>
      <c r="AO17" s="2026">
        <v>123913.8</v>
      </c>
      <c r="AP17" s="2026">
        <v>4956.5520000000006</v>
      </c>
      <c r="AQ17" s="2026">
        <v>1602.0479999999998</v>
      </c>
      <c r="AR17" s="2026">
        <v>6558.6</v>
      </c>
      <c r="AS17" s="2026">
        <v>514084.9</v>
      </c>
      <c r="AT17" s="2026">
        <v>23846</v>
      </c>
      <c r="AU17" s="2026">
        <v>89</v>
      </c>
      <c r="AV17" s="2026">
        <v>11379.9</v>
      </c>
      <c r="AW17" s="2026">
        <v>948.6</v>
      </c>
      <c r="AX17" s="2026">
        <v>15142.8</v>
      </c>
      <c r="AY17" s="2026">
        <v>27560.3</v>
      </c>
      <c r="AZ17" s="2027">
        <v>6.8</v>
      </c>
      <c r="BA17" s="2027" t="s">
        <v>3159</v>
      </c>
      <c r="BB17" s="2027" t="s">
        <v>3160</v>
      </c>
      <c r="BC17" s="2027" t="s">
        <v>3161</v>
      </c>
      <c r="BD17" s="2027" t="s">
        <v>3162</v>
      </c>
      <c r="BE17" s="2027">
        <v>2.6</v>
      </c>
      <c r="BF17" s="2027" t="s">
        <v>3164</v>
      </c>
      <c r="BG17" s="2027" t="s">
        <v>3163</v>
      </c>
      <c r="BH17" s="2027"/>
      <c r="BK17" s="2027" t="s">
        <v>3165</v>
      </c>
      <c r="BL17" s="2027" t="s">
        <v>3166</v>
      </c>
      <c r="BM17" s="2027" t="s">
        <v>3167</v>
      </c>
      <c r="BN17" s="2027" t="s">
        <v>3168</v>
      </c>
      <c r="BO17" s="2027" t="s">
        <v>3169</v>
      </c>
      <c r="BP17" s="2027">
        <v>5.65</v>
      </c>
      <c r="BQ17" s="2027">
        <v>11.01</v>
      </c>
      <c r="BR17" s="2027">
        <v>5.3599999999999994</v>
      </c>
      <c r="BS17" s="2026" t="s">
        <v>288</v>
      </c>
      <c r="BT17" s="2027" t="s">
        <v>288</v>
      </c>
      <c r="BU17" s="2026" t="s">
        <v>288</v>
      </c>
    </row>
    <row r="18" spans="2:73" s="125" customFormat="1" ht="11.25" customHeight="1" x14ac:dyDescent="0.2">
      <c r="B18" s="1681" t="s">
        <v>546</v>
      </c>
      <c r="C18" s="2026">
        <v>19965.900000000001</v>
      </c>
      <c r="D18" s="2026">
        <v>362</v>
      </c>
      <c r="E18" s="2026">
        <v>20327.900000000001</v>
      </c>
      <c r="F18" s="2026">
        <v>1809.8</v>
      </c>
      <c r="G18" s="2026">
        <v>18518.100000000002</v>
      </c>
      <c r="H18" s="2026">
        <v>4329.8</v>
      </c>
      <c r="I18" s="2026">
        <v>9693.2999999999993</v>
      </c>
      <c r="J18" s="2026">
        <v>16849.900000000001</v>
      </c>
      <c r="K18" s="2026">
        <v>116042.3</v>
      </c>
      <c r="L18" s="2026">
        <v>132892.20000000001</v>
      </c>
      <c r="M18" s="2026">
        <v>142585.5</v>
      </c>
      <c r="N18" s="2026">
        <v>36.1</v>
      </c>
      <c r="P18" s="2026">
        <v>35404.1</v>
      </c>
      <c r="Q18" s="2026">
        <v>151446.39999999999</v>
      </c>
      <c r="R18" s="2026">
        <v>156106.6</v>
      </c>
      <c r="S18" s="2026">
        <v>0</v>
      </c>
      <c r="T18" s="2026">
        <v>6740.2</v>
      </c>
      <c r="U18" s="2026">
        <v>104730.8</v>
      </c>
      <c r="V18" s="2026">
        <v>111471</v>
      </c>
      <c r="W18" s="2026">
        <v>0</v>
      </c>
      <c r="X18" s="2026">
        <v>3065.7</v>
      </c>
      <c r="Y18" s="2026">
        <v>5229.7</v>
      </c>
      <c r="Z18" s="2026">
        <v>8295.4</v>
      </c>
      <c r="AA18" s="2026">
        <v>270.89999999999998</v>
      </c>
      <c r="AB18" s="2026">
        <v>19929.400000000001</v>
      </c>
      <c r="AC18" s="2026">
        <v>713.5</v>
      </c>
      <c r="AD18" s="2026">
        <v>20642.900000000001</v>
      </c>
      <c r="AE18" s="2026">
        <v>270.89999999999998</v>
      </c>
      <c r="AF18" s="2026">
        <v>29735.300000000003</v>
      </c>
      <c r="AG18" s="2026">
        <v>110674</v>
      </c>
      <c r="AH18" s="2026">
        <v>140409.29999999999</v>
      </c>
      <c r="AI18" s="2026">
        <v>659.2</v>
      </c>
      <c r="AJ18" s="2026">
        <v>5599.9</v>
      </c>
      <c r="AK18" s="2026">
        <v>1384.8</v>
      </c>
      <c r="AL18" s="2026">
        <v>499.9</v>
      </c>
      <c r="AM18" s="2026">
        <v>146210.1</v>
      </c>
      <c r="AN18" s="2026">
        <v>1864.2</v>
      </c>
      <c r="AO18" s="2026">
        <v>148074.30000000002</v>
      </c>
      <c r="AP18" s="2026">
        <v>6663.3435000000009</v>
      </c>
      <c r="AQ18" s="2026">
        <v>373.05649999999878</v>
      </c>
      <c r="AR18" s="2026">
        <v>7036.4</v>
      </c>
      <c r="AS18" s="2026">
        <v>582919.69999999995</v>
      </c>
      <c r="AT18" s="2026">
        <v>27364.300000000003</v>
      </c>
      <c r="AU18" s="2026">
        <v>84</v>
      </c>
      <c r="AV18" s="2026">
        <v>15262.4</v>
      </c>
      <c r="AW18" s="2026">
        <v>670.7</v>
      </c>
      <c r="AX18" s="2026">
        <v>18832</v>
      </c>
      <c r="AY18" s="2026">
        <v>34849.1</v>
      </c>
      <c r="AZ18" s="2027">
        <v>15.51</v>
      </c>
      <c r="BA18" s="2027">
        <v>24.44</v>
      </c>
      <c r="BB18" s="2027">
        <v>17.02</v>
      </c>
      <c r="BC18" s="2027">
        <v>17.28</v>
      </c>
      <c r="BD18" s="2027">
        <v>16.79</v>
      </c>
      <c r="BE18" s="2027">
        <v>2.5</v>
      </c>
      <c r="BF18" s="2027">
        <v>3388</v>
      </c>
      <c r="BG18" s="2027">
        <v>6318</v>
      </c>
      <c r="BH18" s="2027"/>
      <c r="BK18" s="2027">
        <v>98.47</v>
      </c>
      <c r="BL18" s="2027">
        <v>22.57</v>
      </c>
      <c r="BM18" s="2027">
        <v>22.22</v>
      </c>
      <c r="BN18" s="2027">
        <v>8.41</v>
      </c>
      <c r="BO18" s="2027">
        <v>5</v>
      </c>
      <c r="BP18" s="2027">
        <v>5.62</v>
      </c>
      <c r="BQ18" s="2027">
        <v>10.93</v>
      </c>
      <c r="BR18" s="2027">
        <v>5.31</v>
      </c>
      <c r="BS18" s="2026" t="s">
        <v>288</v>
      </c>
      <c r="BT18" s="2027" t="s">
        <v>288</v>
      </c>
      <c r="BU18" s="2026" t="s">
        <v>288</v>
      </c>
    </row>
    <row r="19" spans="2:73" s="125" customFormat="1" ht="11.25" customHeight="1" x14ac:dyDescent="0.2">
      <c r="B19" s="1681" t="s">
        <v>551</v>
      </c>
      <c r="C19" s="2026">
        <v>24496.3</v>
      </c>
      <c r="D19" s="2026">
        <v>397.8</v>
      </c>
      <c r="E19" s="2026">
        <v>24894.1</v>
      </c>
      <c r="F19" s="2026">
        <v>2032</v>
      </c>
      <c r="G19" s="2026">
        <v>22862.1</v>
      </c>
      <c r="H19" s="2026">
        <v>3438.5</v>
      </c>
      <c r="I19" s="2026">
        <v>11227.8</v>
      </c>
      <c r="J19" s="2026">
        <v>19739.599999999999</v>
      </c>
      <c r="K19" s="2026">
        <v>138021.9</v>
      </c>
      <c r="L19" s="2026">
        <v>157761.5</v>
      </c>
      <c r="M19" s="2026">
        <v>168989.3</v>
      </c>
      <c r="N19" s="2026">
        <v>50.6</v>
      </c>
      <c r="P19" s="2026">
        <v>42652.299999999996</v>
      </c>
      <c r="Q19" s="2026">
        <v>180674.19999999998</v>
      </c>
      <c r="R19" s="2026">
        <v>185701.9</v>
      </c>
      <c r="S19" s="2026">
        <v>0</v>
      </c>
      <c r="T19" s="2026">
        <v>7606.1</v>
      </c>
      <c r="U19" s="2026">
        <v>122042</v>
      </c>
      <c r="V19" s="2026">
        <v>129648.1</v>
      </c>
      <c r="W19" s="2026">
        <v>0</v>
      </c>
      <c r="X19" s="2026">
        <v>6170.5</v>
      </c>
      <c r="Y19" s="2026">
        <v>8137.4</v>
      </c>
      <c r="Z19" s="2026">
        <v>14307.9</v>
      </c>
      <c r="AA19" s="2026">
        <v>1783.8</v>
      </c>
      <c r="AB19" s="2026">
        <v>18178.599999999999</v>
      </c>
      <c r="AC19" s="2026">
        <v>708.1</v>
      </c>
      <c r="AD19" s="2026">
        <v>18886.699999999997</v>
      </c>
      <c r="AE19" s="2026">
        <v>1783.8</v>
      </c>
      <c r="AF19" s="2026">
        <v>31955.199999999997</v>
      </c>
      <c r="AG19" s="2026">
        <v>130887.5</v>
      </c>
      <c r="AH19" s="2026">
        <v>162842.70000000001</v>
      </c>
      <c r="AI19" s="2026">
        <v>626.20000000000005</v>
      </c>
      <c r="AJ19" s="2026">
        <v>7046.6</v>
      </c>
      <c r="AK19" s="2026">
        <v>2590.5</v>
      </c>
      <c r="AL19" s="2026">
        <v>656.1</v>
      </c>
      <c r="AM19" s="2026">
        <v>169001</v>
      </c>
      <c r="AN19" s="2026">
        <v>3452.4</v>
      </c>
      <c r="AO19" s="2026">
        <v>172453.4</v>
      </c>
      <c r="AP19" s="2026">
        <v>8622.67</v>
      </c>
      <c r="AQ19" s="2026">
        <v>387.32999999999993</v>
      </c>
      <c r="AR19" s="2026">
        <v>9010</v>
      </c>
      <c r="AS19" s="2026">
        <v>661370</v>
      </c>
      <c r="AT19" s="2026">
        <v>33904.1</v>
      </c>
      <c r="AU19" s="2026">
        <v>69.099999999999994</v>
      </c>
      <c r="AV19" s="2026">
        <v>24581.599999999999</v>
      </c>
      <c r="AW19" s="2026">
        <v>765.6</v>
      </c>
      <c r="AX19" s="2026">
        <v>17060</v>
      </c>
      <c r="AY19" s="2026">
        <v>42476.299999999996</v>
      </c>
      <c r="AZ19" s="2027">
        <v>21.95</v>
      </c>
      <c r="BA19" s="2027">
        <v>34.72</v>
      </c>
      <c r="BB19" s="2027">
        <v>18.27</v>
      </c>
      <c r="BC19" s="2027">
        <v>20.16</v>
      </c>
      <c r="BD19" s="2027">
        <v>19.510000000000002</v>
      </c>
      <c r="BE19" s="2027">
        <v>2.2999999999999998</v>
      </c>
      <c r="BF19" s="2027">
        <v>3389</v>
      </c>
      <c r="BG19" s="2027">
        <v>6425</v>
      </c>
      <c r="BH19" s="2027"/>
      <c r="BK19" s="2027">
        <v>96.36</v>
      </c>
      <c r="BL19" s="2027">
        <v>26.3</v>
      </c>
      <c r="BM19" s="2027">
        <v>25.35</v>
      </c>
      <c r="BN19" s="2027">
        <v>9.9499999999999993</v>
      </c>
      <c r="BO19" s="2027">
        <v>5</v>
      </c>
      <c r="BP19" s="2027">
        <v>6.68</v>
      </c>
      <c r="BQ19" s="2027">
        <v>12.06</v>
      </c>
      <c r="BR19" s="2027">
        <v>5.3800000000000008</v>
      </c>
      <c r="BS19" s="2026" t="s">
        <v>288</v>
      </c>
      <c r="BT19" s="2027" t="s">
        <v>288</v>
      </c>
      <c r="BU19" s="2026" t="s">
        <v>288</v>
      </c>
    </row>
    <row r="20" spans="2:73" s="125" customFormat="1" ht="11.25" customHeight="1" x14ac:dyDescent="0.2">
      <c r="B20" s="1681" t="s">
        <v>560</v>
      </c>
      <c r="C20" s="2026">
        <v>28363</v>
      </c>
      <c r="D20" s="2026">
        <v>424.4</v>
      </c>
      <c r="E20" s="2026">
        <v>28787.4</v>
      </c>
      <c r="F20" s="2026">
        <v>2143.6</v>
      </c>
      <c r="G20" s="2026">
        <v>26643.800000000003</v>
      </c>
      <c r="H20" s="2026">
        <v>5100</v>
      </c>
      <c r="I20" s="2026">
        <v>12157.6</v>
      </c>
      <c r="J20" s="2026">
        <v>23462.5</v>
      </c>
      <c r="K20" s="2026">
        <v>161336.20000000001</v>
      </c>
      <c r="L20" s="2026">
        <v>184798.7</v>
      </c>
      <c r="M20" s="2026">
        <v>196956.30000000002</v>
      </c>
      <c r="N20" s="2026">
        <v>61.7</v>
      </c>
      <c r="P20" s="2026">
        <v>50168</v>
      </c>
      <c r="Q20" s="2026">
        <v>211504.2</v>
      </c>
      <c r="R20" s="2026">
        <v>217123.5</v>
      </c>
      <c r="S20" s="2026">
        <v>0</v>
      </c>
      <c r="T20" s="2026">
        <v>7653.6</v>
      </c>
      <c r="U20" s="2026">
        <v>140776.20000000001</v>
      </c>
      <c r="V20" s="2026">
        <v>148429.80000000002</v>
      </c>
      <c r="W20" s="2026">
        <v>0</v>
      </c>
      <c r="X20" s="2026">
        <v>7575.7</v>
      </c>
      <c r="Y20" s="2026">
        <v>8889.2000000000007</v>
      </c>
      <c r="Z20" s="2026">
        <v>16464.900000000001</v>
      </c>
      <c r="AA20" s="2026">
        <v>845.8</v>
      </c>
      <c r="AB20" s="2026">
        <v>23560.799999999999</v>
      </c>
      <c r="AC20" s="2026">
        <v>935.6</v>
      </c>
      <c r="AD20" s="2026">
        <v>24496.399999999998</v>
      </c>
      <c r="AE20" s="2026">
        <v>845.8</v>
      </c>
      <c r="AF20" s="2026">
        <v>38790.1</v>
      </c>
      <c r="AG20" s="2026">
        <v>150601.00000000003</v>
      </c>
      <c r="AH20" s="2026">
        <v>189391.1</v>
      </c>
      <c r="AI20" s="2026">
        <v>602.1</v>
      </c>
      <c r="AJ20" s="2026">
        <v>5735.6</v>
      </c>
      <c r="AK20" s="2026">
        <v>1613.8</v>
      </c>
      <c r="AL20" s="2026">
        <v>661.8</v>
      </c>
      <c r="AM20" s="2026">
        <v>197000.3</v>
      </c>
      <c r="AN20" s="2026">
        <v>3203.4</v>
      </c>
      <c r="AO20" s="2026">
        <v>200203.69999999998</v>
      </c>
      <c r="AP20" s="2026">
        <v>10010.184999999999</v>
      </c>
      <c r="AQ20" s="2026">
        <v>563.41500000000087</v>
      </c>
      <c r="AR20" s="2026">
        <v>10573.6</v>
      </c>
      <c r="AS20" s="2026">
        <v>592845.69999999995</v>
      </c>
      <c r="AT20" s="2026">
        <v>39361</v>
      </c>
      <c r="AU20" s="2026">
        <v>1005.1</v>
      </c>
      <c r="AV20" s="2026">
        <v>24550.1</v>
      </c>
      <c r="AW20" s="2026">
        <v>920.4</v>
      </c>
      <c r="AX20" s="2026">
        <v>21346.1</v>
      </c>
      <c r="AY20" s="2026">
        <v>47821.7</v>
      </c>
      <c r="AZ20" s="2027">
        <v>13.94</v>
      </c>
      <c r="BA20" s="2027">
        <v>15.05</v>
      </c>
      <c r="BB20" s="2027">
        <v>15.12</v>
      </c>
      <c r="BC20" s="2027">
        <v>14.9</v>
      </c>
      <c r="BD20" s="2027">
        <v>17.02</v>
      </c>
      <c r="BE20" s="2027">
        <v>2.2000000000000002</v>
      </c>
      <c r="BF20" s="2027">
        <v>3383</v>
      </c>
      <c r="BG20" s="2027">
        <v>6596</v>
      </c>
      <c r="BH20" s="2027"/>
      <c r="BK20" s="2027">
        <v>96.137467810962733</v>
      </c>
      <c r="BL20" s="2027">
        <v>29.94</v>
      </c>
      <c r="BM20" s="2027">
        <v>28.79</v>
      </c>
      <c r="BN20" s="2027">
        <v>6.4554216414898864</v>
      </c>
      <c r="BO20" s="2027">
        <v>5</v>
      </c>
      <c r="BP20" s="2027">
        <v>6.85</v>
      </c>
      <c r="BQ20" s="2027">
        <v>12.78</v>
      </c>
      <c r="BR20" s="2027">
        <v>5.93</v>
      </c>
      <c r="BS20" s="2026" t="s">
        <v>288</v>
      </c>
      <c r="BT20" s="2027" t="s">
        <v>288</v>
      </c>
      <c r="BU20" s="2026" t="s">
        <v>288</v>
      </c>
    </row>
    <row r="21" spans="2:73" s="125" customFormat="1" ht="11.25" customHeight="1" x14ac:dyDescent="0.2">
      <c r="B21" s="1681" t="s">
        <v>325</v>
      </c>
      <c r="C21" s="2026">
        <v>35188.300000000003</v>
      </c>
      <c r="D21" s="2026">
        <v>460.2</v>
      </c>
      <c r="E21" s="2026">
        <v>35648.5</v>
      </c>
      <c r="F21" s="2026">
        <v>2958.6</v>
      </c>
      <c r="G21" s="2026">
        <v>32689.9</v>
      </c>
      <c r="H21" s="2026">
        <v>5221.6000000000004</v>
      </c>
      <c r="I21" s="2026">
        <v>15680.8</v>
      </c>
      <c r="J21" s="2026">
        <v>26517.599999999999</v>
      </c>
      <c r="K21" s="2026">
        <v>189480.5</v>
      </c>
      <c r="L21" s="2026">
        <v>215998.1</v>
      </c>
      <c r="M21" s="2026">
        <v>231678.9</v>
      </c>
      <c r="N21" s="2026">
        <v>106.9</v>
      </c>
      <c r="P21" s="2026">
        <v>59314.400000000001</v>
      </c>
      <c r="Q21" s="2026">
        <v>248794.9</v>
      </c>
      <c r="R21" s="2026">
        <v>253826.3</v>
      </c>
      <c r="S21" s="2026">
        <v>0</v>
      </c>
      <c r="T21" s="2026">
        <v>7117.1</v>
      </c>
      <c r="U21" s="2026">
        <v>175997.3</v>
      </c>
      <c r="V21" s="2026">
        <v>183114.4</v>
      </c>
      <c r="W21" s="2026">
        <v>0</v>
      </c>
      <c r="X21" s="2026">
        <v>2638.4</v>
      </c>
      <c r="Y21" s="2026">
        <v>10887.8</v>
      </c>
      <c r="Z21" s="2026">
        <v>13526.199999999999</v>
      </c>
      <c r="AA21" s="2026">
        <v>2148.6999999999998</v>
      </c>
      <c r="AB21" s="2026">
        <v>37538.400000000001</v>
      </c>
      <c r="AC21" s="2026">
        <v>1553.9</v>
      </c>
      <c r="AD21" s="2026">
        <v>39092.300000000003</v>
      </c>
      <c r="AE21" s="2026">
        <v>2148.6999999999998</v>
      </c>
      <c r="AF21" s="2026">
        <v>47293.9</v>
      </c>
      <c r="AG21" s="2026">
        <v>188438.99999999997</v>
      </c>
      <c r="AH21" s="2026">
        <v>235732.90000000002</v>
      </c>
      <c r="AI21" s="2026">
        <v>758.8</v>
      </c>
      <c r="AJ21" s="2026">
        <v>6684.7</v>
      </c>
      <c r="AK21" s="2026">
        <v>4086.1</v>
      </c>
      <c r="AL21" s="2026">
        <v>1564.7</v>
      </c>
      <c r="AM21" s="2026">
        <v>231718.2</v>
      </c>
      <c r="AN21" s="2026">
        <v>3287.2</v>
      </c>
      <c r="AO21" s="2026">
        <v>235005.40000000002</v>
      </c>
      <c r="AP21" s="2026">
        <v>11750.270000000002</v>
      </c>
      <c r="AQ21" s="2026">
        <v>56.429999999998472</v>
      </c>
      <c r="AR21" s="2026">
        <v>11806.7</v>
      </c>
      <c r="AS21" s="2026">
        <v>601032.80000000005</v>
      </c>
      <c r="AT21" s="2026">
        <v>47455.199999999997</v>
      </c>
      <c r="AU21" s="2026">
        <v>2271.4</v>
      </c>
      <c r="AV21" s="2026">
        <v>23252.400000000001</v>
      </c>
      <c r="AW21" s="2026">
        <v>1119.9000000000001</v>
      </c>
      <c r="AX21" s="2026">
        <v>35472.699999999997</v>
      </c>
      <c r="AY21" s="2026">
        <v>62116.4</v>
      </c>
      <c r="AZ21" s="2027">
        <v>30.41</v>
      </c>
      <c r="BA21" s="2027">
        <v>-32.17</v>
      </c>
      <c r="BB21" s="2027">
        <v>25.15</v>
      </c>
      <c r="BC21" s="2027">
        <v>21.18</v>
      </c>
      <c r="BD21" s="2027">
        <v>17.59</v>
      </c>
      <c r="BE21" s="2027">
        <v>2.19</v>
      </c>
      <c r="BF21" s="2027">
        <v>3383</v>
      </c>
      <c r="BG21" s="2027">
        <v>6747</v>
      </c>
      <c r="BH21" s="2027"/>
      <c r="BK21" s="2027">
        <v>101.7325786235177</v>
      </c>
      <c r="BL21" s="2027">
        <v>34.343886171631837</v>
      </c>
      <c r="BM21" s="2027">
        <v>34.938921001926786</v>
      </c>
      <c r="BN21" s="2027">
        <v>6.3720933444157604</v>
      </c>
      <c r="BO21" s="2027">
        <v>5</v>
      </c>
      <c r="BP21" s="2027">
        <v>6.95</v>
      </c>
      <c r="BQ21" s="2027">
        <v>12.29</v>
      </c>
      <c r="BR21" s="2027">
        <v>5.339999999999999</v>
      </c>
      <c r="BS21" s="2026" t="s">
        <v>288</v>
      </c>
      <c r="BT21" s="2027" t="s">
        <v>288</v>
      </c>
      <c r="BU21" s="2026" t="s">
        <v>288</v>
      </c>
    </row>
    <row r="22" spans="2:73" s="125" customFormat="1" ht="11.25" customHeight="1" x14ac:dyDescent="0.2">
      <c r="B22" s="1681" t="s">
        <v>85</v>
      </c>
      <c r="C22" s="2026">
        <v>38970</v>
      </c>
      <c r="D22" s="2026">
        <v>478.7</v>
      </c>
      <c r="E22" s="2026">
        <v>39448.699999999997</v>
      </c>
      <c r="F22" s="2026">
        <v>3399.5</v>
      </c>
      <c r="G22" s="2026">
        <v>36049.199999999997</v>
      </c>
      <c r="H22" s="2026">
        <v>7076.3</v>
      </c>
      <c r="I22" s="2026">
        <v>18312.599999999999</v>
      </c>
      <c r="J22" s="2026">
        <v>30236.5</v>
      </c>
      <c r="K22" s="2026">
        <v>230073</v>
      </c>
      <c r="L22" s="2026">
        <v>260309.5</v>
      </c>
      <c r="M22" s="2026">
        <v>278622.09999999998</v>
      </c>
      <c r="N22" s="2026">
        <v>141.19999999999999</v>
      </c>
      <c r="P22" s="2026">
        <v>66426.899999999994</v>
      </c>
      <c r="Q22" s="2026">
        <v>296499.90000000002</v>
      </c>
      <c r="R22" s="2026">
        <v>302584.60000000003</v>
      </c>
      <c r="S22" s="2026">
        <v>0</v>
      </c>
      <c r="T22" s="2026">
        <v>9644</v>
      </c>
      <c r="U22" s="2026">
        <v>204574.6</v>
      </c>
      <c r="V22" s="2026">
        <v>214218.6</v>
      </c>
      <c r="W22" s="2026">
        <v>0</v>
      </c>
      <c r="X22" s="2026">
        <v>2611.9</v>
      </c>
      <c r="Y22" s="2026">
        <v>9103.2000000000007</v>
      </c>
      <c r="Z22" s="2026">
        <v>11715.1</v>
      </c>
      <c r="AA22" s="2026">
        <v>1545.7</v>
      </c>
      <c r="AB22" s="2026">
        <v>46863.8</v>
      </c>
      <c r="AC22" s="2026">
        <v>2227.6</v>
      </c>
      <c r="AD22" s="2026">
        <v>49091.4</v>
      </c>
      <c r="AE22" s="2026">
        <v>1545.7</v>
      </c>
      <c r="AF22" s="2026">
        <v>59119.700000000004</v>
      </c>
      <c r="AG22" s="2026">
        <v>215905.40000000002</v>
      </c>
      <c r="AH22" s="2026">
        <v>275025.10000000003</v>
      </c>
      <c r="AI22" s="2026">
        <v>1208.5</v>
      </c>
      <c r="AJ22" s="2026">
        <v>6102</v>
      </c>
      <c r="AK22" s="2026">
        <v>2594.1999999999998</v>
      </c>
      <c r="AL22" s="2026">
        <v>1213.5999999999999</v>
      </c>
      <c r="AM22" s="2026">
        <v>278680.39999999997</v>
      </c>
      <c r="AN22" s="2026">
        <v>3960.4</v>
      </c>
      <c r="AO22" s="2026">
        <v>282640.8</v>
      </c>
      <c r="AP22" s="2026">
        <v>14132.04</v>
      </c>
      <c r="AQ22" s="2026">
        <v>9027.4599999999991</v>
      </c>
      <c r="AR22" s="2026">
        <v>23159.5</v>
      </c>
      <c r="AS22" s="2026">
        <v>704068.7</v>
      </c>
      <c r="AT22" s="2026">
        <v>69424.600000000006</v>
      </c>
      <c r="AU22" s="2026">
        <v>3973</v>
      </c>
      <c r="AV22" s="2026">
        <v>28474.1</v>
      </c>
      <c r="AW22" s="2026">
        <v>2797.6</v>
      </c>
      <c r="AX22" s="2026">
        <v>44754.700000000004</v>
      </c>
      <c r="AY22" s="2026">
        <v>79999.399999999994</v>
      </c>
      <c r="AZ22" s="2027">
        <v>24.04</v>
      </c>
      <c r="BA22" s="2027">
        <v>6.55</v>
      </c>
      <c r="BB22" s="2027">
        <v>14.62</v>
      </c>
      <c r="BC22" s="2027">
        <v>16.02</v>
      </c>
      <c r="BD22" s="2027">
        <v>19.170000000000002</v>
      </c>
      <c r="BE22" s="2027">
        <v>2.0699999999999998</v>
      </c>
      <c r="BF22" s="2027">
        <v>3387</v>
      </c>
      <c r="BG22" s="2027">
        <v>6936</v>
      </c>
      <c r="BH22" s="2027"/>
      <c r="BK22" s="2027">
        <v>98.688354114605858</v>
      </c>
      <c r="BL22" s="2027">
        <v>40.178835063437134</v>
      </c>
      <c r="BM22" s="2027">
        <v>39.651831026528264</v>
      </c>
      <c r="BN22" s="2027">
        <v>11.976227965798817</v>
      </c>
      <c r="BO22" s="2027">
        <v>5</v>
      </c>
      <c r="BP22" s="2027">
        <v>7.01</v>
      </c>
      <c r="BQ22" s="2027">
        <v>11.87</v>
      </c>
      <c r="BR22" s="2027">
        <v>4.8600000000000003</v>
      </c>
      <c r="BS22" s="2026" t="s">
        <v>288</v>
      </c>
      <c r="BT22" s="2027" t="s">
        <v>288</v>
      </c>
      <c r="BU22" s="2026" t="s">
        <v>288</v>
      </c>
    </row>
    <row r="23" spans="2:73" s="125" customFormat="1" ht="11.25" customHeight="1" x14ac:dyDescent="0.2">
      <c r="B23" s="1681" t="s">
        <v>81</v>
      </c>
      <c r="C23" s="2026">
        <v>49947.3</v>
      </c>
      <c r="D23" s="2026">
        <v>518.1</v>
      </c>
      <c r="E23" s="2026">
        <v>50465.4</v>
      </c>
      <c r="F23" s="2026">
        <v>4308.3</v>
      </c>
      <c r="G23" s="2026">
        <v>46157.1</v>
      </c>
      <c r="H23" s="2026">
        <v>7971.5</v>
      </c>
      <c r="I23" s="2026">
        <v>20181.099999999999</v>
      </c>
      <c r="J23" s="2026">
        <v>41621.800000000003</v>
      </c>
      <c r="K23" s="2026">
        <v>275042.8</v>
      </c>
      <c r="L23" s="2026">
        <v>316664.59999999998</v>
      </c>
      <c r="M23" s="2026">
        <v>336845.69999999995</v>
      </c>
      <c r="N23" s="2026">
        <v>209.4</v>
      </c>
      <c r="P23" s="2026">
        <v>87988.299999999988</v>
      </c>
      <c r="Q23" s="2026">
        <v>363031.1</v>
      </c>
      <c r="R23" s="2026">
        <v>369966.39999999997</v>
      </c>
      <c r="S23" s="2026">
        <v>0</v>
      </c>
      <c r="T23" s="2026">
        <v>10726.3</v>
      </c>
      <c r="U23" s="2026">
        <v>253455.9</v>
      </c>
      <c r="V23" s="2026">
        <v>264182.2</v>
      </c>
      <c r="W23" s="2026">
        <v>0</v>
      </c>
      <c r="X23" s="2026">
        <v>3865.2</v>
      </c>
      <c r="Y23" s="2026">
        <v>10202.4</v>
      </c>
      <c r="Z23" s="2026">
        <v>14067.599999999999</v>
      </c>
      <c r="AA23" s="2026">
        <v>2127.4</v>
      </c>
      <c r="AB23" s="2026">
        <v>51891.3</v>
      </c>
      <c r="AC23" s="2026">
        <v>4513.7</v>
      </c>
      <c r="AD23" s="2026">
        <v>56405</v>
      </c>
      <c r="AE23" s="2026">
        <v>2127.4</v>
      </c>
      <c r="AF23" s="2026">
        <v>66482.8</v>
      </c>
      <c r="AG23" s="2026">
        <v>268172</v>
      </c>
      <c r="AH23" s="2026">
        <v>334654.8</v>
      </c>
      <c r="AI23" s="2026">
        <v>1749.5</v>
      </c>
      <c r="AJ23" s="2026">
        <v>5852.1</v>
      </c>
      <c r="AK23" s="2026">
        <v>5087.3</v>
      </c>
      <c r="AL23" s="2026">
        <v>1561.7</v>
      </c>
      <c r="AM23" s="2026">
        <v>336869.7</v>
      </c>
      <c r="AN23" s="2026">
        <v>3885.6</v>
      </c>
      <c r="AO23" s="2026">
        <v>340755.3</v>
      </c>
      <c r="AP23" s="2026">
        <v>18741.541499999999</v>
      </c>
      <c r="AQ23" s="2026">
        <v>4726.4585000000006</v>
      </c>
      <c r="AR23" s="2026">
        <v>23468</v>
      </c>
      <c r="AS23" s="2026">
        <v>863330.4</v>
      </c>
      <c r="AT23" s="2026">
        <v>81350</v>
      </c>
      <c r="AU23" s="2026">
        <v>5.0999999999999996</v>
      </c>
      <c r="AV23" s="2026">
        <v>21788.2</v>
      </c>
      <c r="AW23" s="2026">
        <v>3141.2</v>
      </c>
      <c r="AX23" s="2026">
        <v>49111.5</v>
      </c>
      <c r="AY23" s="2026">
        <v>74046</v>
      </c>
      <c r="AZ23" s="2027">
        <v>-6.52</v>
      </c>
      <c r="BA23" s="2027">
        <v>20.77</v>
      </c>
      <c r="BB23" s="2027">
        <v>24.24</v>
      </c>
      <c r="BC23" s="2027">
        <v>17.89</v>
      </c>
      <c r="BD23" s="2027">
        <v>22.44</v>
      </c>
      <c r="BE23" s="2027">
        <v>1.91</v>
      </c>
      <c r="BF23" s="2027">
        <v>3394</v>
      </c>
      <c r="BG23" s="2027">
        <v>7246</v>
      </c>
      <c r="BH23" s="2027"/>
      <c r="BK23" s="2027">
        <v>99.342505425688316</v>
      </c>
      <c r="BL23" s="2027">
        <v>46.490436102677343</v>
      </c>
      <c r="BM23" s="2027">
        <v>46.184764007728397</v>
      </c>
      <c r="BN23" s="2027">
        <v>10.447036346694286</v>
      </c>
      <c r="BO23" s="2027">
        <v>5</v>
      </c>
      <c r="BP23" s="2027">
        <v>6.01</v>
      </c>
      <c r="BQ23" s="2027">
        <v>11.31</v>
      </c>
      <c r="BR23" s="2027">
        <v>5.3000000000000007</v>
      </c>
      <c r="BS23" s="2026" t="s">
        <v>288</v>
      </c>
      <c r="BT23" s="2027" t="s">
        <v>288</v>
      </c>
      <c r="BU23" s="2026" t="s">
        <v>288</v>
      </c>
    </row>
    <row r="24" spans="2:73" s="125" customFormat="1" ht="11.25" customHeight="1" x14ac:dyDescent="0.2">
      <c r="B24" s="1681" t="s">
        <v>189</v>
      </c>
      <c r="C24" s="2026">
        <v>59915.5</v>
      </c>
      <c r="D24" s="2026">
        <v>611.4</v>
      </c>
      <c r="E24" s="2026">
        <v>60526.9</v>
      </c>
      <c r="F24" s="2026">
        <v>5731.8</v>
      </c>
      <c r="G24" s="2026">
        <v>54795.1</v>
      </c>
      <c r="H24" s="2026">
        <v>9482</v>
      </c>
      <c r="I24" s="2026">
        <v>24919.8</v>
      </c>
      <c r="J24" s="2026">
        <v>48106.2</v>
      </c>
      <c r="K24" s="2026">
        <v>337418.9</v>
      </c>
      <c r="L24" s="2026">
        <v>385525.10000000003</v>
      </c>
      <c r="M24" s="2026">
        <v>410444.9</v>
      </c>
      <c r="N24" s="2026">
        <v>199.8</v>
      </c>
      <c r="P24" s="2026">
        <v>103101.09999999999</v>
      </c>
      <c r="Q24" s="2026">
        <v>440520</v>
      </c>
      <c r="R24" s="2026">
        <v>445496</v>
      </c>
      <c r="S24" s="2026">
        <v>0</v>
      </c>
      <c r="T24" s="2026">
        <v>13830.7</v>
      </c>
      <c r="U24" s="2026">
        <v>312803.5</v>
      </c>
      <c r="V24" s="2026">
        <v>326634.2</v>
      </c>
      <c r="W24" s="2026">
        <v>0</v>
      </c>
      <c r="X24" s="2026">
        <v>4371.8999999999996</v>
      </c>
      <c r="Y24" s="2026">
        <v>16670.400000000001</v>
      </c>
      <c r="Z24" s="2026">
        <v>21042.300000000003</v>
      </c>
      <c r="AA24" s="2026">
        <v>3080.3</v>
      </c>
      <c r="AB24" s="2026">
        <v>66704</v>
      </c>
      <c r="AC24" s="2026">
        <v>8095.2</v>
      </c>
      <c r="AD24" s="2026">
        <v>74799.199999999997</v>
      </c>
      <c r="AE24" s="2026">
        <v>3080.3</v>
      </c>
      <c r="AF24" s="2026">
        <v>84906.6</v>
      </c>
      <c r="AG24" s="2026">
        <v>337569.10000000003</v>
      </c>
      <c r="AH24" s="2026">
        <v>422475.7</v>
      </c>
      <c r="AI24" s="2026">
        <v>1959.3</v>
      </c>
      <c r="AJ24" s="2026">
        <v>17833.400000000001</v>
      </c>
      <c r="AK24" s="2026">
        <v>3960.3</v>
      </c>
      <c r="AL24" s="2026">
        <v>2329.1999999999998</v>
      </c>
      <c r="AM24" s="2026">
        <v>410470.7</v>
      </c>
      <c r="AN24" s="2026">
        <v>5461.7</v>
      </c>
      <c r="AO24" s="2026">
        <v>415932.4</v>
      </c>
      <c r="AP24" s="2026">
        <v>24955.944</v>
      </c>
      <c r="AQ24" s="2026">
        <v>4051.7560000000012</v>
      </c>
      <c r="AR24" s="2026">
        <v>29007.7</v>
      </c>
      <c r="AS24" s="2026">
        <v>1087850.3</v>
      </c>
      <c r="AT24" s="2026">
        <v>89534.6</v>
      </c>
      <c r="AU24" s="2026">
        <v>10732.9</v>
      </c>
      <c r="AV24" s="2026">
        <v>20625.2</v>
      </c>
      <c r="AW24" s="2026">
        <v>2591</v>
      </c>
      <c r="AX24" s="2026">
        <v>63715.1</v>
      </c>
      <c r="AY24" s="2026">
        <v>97664.2</v>
      </c>
      <c r="AZ24" s="2027">
        <v>34.89</v>
      </c>
      <c r="BA24" s="2027">
        <v>28.72</v>
      </c>
      <c r="BB24" s="2027">
        <v>25.84</v>
      </c>
      <c r="BC24" s="2027">
        <v>27.41</v>
      </c>
      <c r="BD24" s="2027">
        <v>21.34</v>
      </c>
      <c r="BE24" s="2027">
        <v>1.8</v>
      </c>
      <c r="BF24" s="2027">
        <v>3414</v>
      </c>
      <c r="BG24" s="2027">
        <v>7712</v>
      </c>
      <c r="BH24" s="2027"/>
      <c r="BK24" s="2027">
        <v>102.92469109244581</v>
      </c>
      <c r="BL24" s="2027">
        <v>53.224935165975104</v>
      </c>
      <c r="BM24" s="2027">
        <v>54.781600103734441</v>
      </c>
      <c r="BN24" s="2027">
        <v>8.4633324619759698</v>
      </c>
      <c r="BO24" s="2027">
        <v>5</v>
      </c>
      <c r="BP24" s="2027">
        <v>7.27</v>
      </c>
      <c r="BQ24" s="2027">
        <v>12.42</v>
      </c>
      <c r="BR24" s="2027">
        <v>5.15</v>
      </c>
      <c r="BS24" s="2026" t="s">
        <v>288</v>
      </c>
      <c r="BT24" s="2027" t="s">
        <v>288</v>
      </c>
      <c r="BU24" s="2026" t="s">
        <v>288</v>
      </c>
    </row>
    <row r="25" spans="2:73" s="125" customFormat="1" ht="11.25" customHeight="1" x14ac:dyDescent="0.2">
      <c r="B25" s="1681" t="s">
        <v>825</v>
      </c>
      <c r="C25" s="2026">
        <v>64200.7</v>
      </c>
      <c r="D25" s="2026">
        <v>695.8</v>
      </c>
      <c r="E25" s="2026">
        <v>64896.5</v>
      </c>
      <c r="F25" s="2026">
        <v>6479.4</v>
      </c>
      <c r="G25" s="2026">
        <v>58417.1</v>
      </c>
      <c r="H25" s="2026">
        <v>11992.2</v>
      </c>
      <c r="I25" s="2026">
        <v>31574.2</v>
      </c>
      <c r="J25" s="2026">
        <v>51060.4</v>
      </c>
      <c r="K25" s="2026">
        <v>407388.1</v>
      </c>
      <c r="L25" s="2026">
        <v>458448.5</v>
      </c>
      <c r="M25" s="2026">
        <v>490022.7</v>
      </c>
      <c r="N25" s="2026">
        <v>243.9</v>
      </c>
      <c r="P25" s="2026">
        <v>109721.4</v>
      </c>
      <c r="Q25" s="2026">
        <v>517109.5</v>
      </c>
      <c r="R25" s="2026">
        <v>519643.2</v>
      </c>
      <c r="S25" s="2026">
        <v>0</v>
      </c>
      <c r="T25" s="2026">
        <v>14190.3</v>
      </c>
      <c r="U25" s="2026">
        <v>373614.6</v>
      </c>
      <c r="V25" s="2026">
        <v>387804.89999999997</v>
      </c>
      <c r="W25" s="2026">
        <v>0</v>
      </c>
      <c r="X25" s="2026">
        <v>2534.6999999999998</v>
      </c>
      <c r="Y25" s="2026">
        <v>21317.5</v>
      </c>
      <c r="Z25" s="2026">
        <v>23852.2</v>
      </c>
      <c r="AA25" s="2026">
        <v>5173</v>
      </c>
      <c r="AB25" s="2026">
        <v>86057.1</v>
      </c>
      <c r="AC25" s="2026">
        <v>9370.7999999999993</v>
      </c>
      <c r="AD25" s="2026">
        <v>95427.900000000009</v>
      </c>
      <c r="AE25" s="2026">
        <v>5173</v>
      </c>
      <c r="AF25" s="2026">
        <v>102782.1</v>
      </c>
      <c r="AG25" s="2026">
        <v>404302.89999999997</v>
      </c>
      <c r="AH25" s="2026">
        <v>507085</v>
      </c>
      <c r="AI25" s="2026">
        <v>2320</v>
      </c>
      <c r="AJ25" s="2026">
        <v>21671.599999999999</v>
      </c>
      <c r="AK25" s="2026">
        <v>9197</v>
      </c>
      <c r="AL25" s="2026">
        <v>3377.7</v>
      </c>
      <c r="AM25" s="2026">
        <v>490038.80000000005</v>
      </c>
      <c r="AN25" s="2026">
        <v>7141.5</v>
      </c>
      <c r="AO25" s="2026">
        <v>497180.30000000005</v>
      </c>
      <c r="AP25" s="2026">
        <v>29830.818000000003</v>
      </c>
      <c r="AQ25" s="2026">
        <v>2831.4819999999963</v>
      </c>
      <c r="AR25" s="2026">
        <v>32662.3</v>
      </c>
      <c r="AS25" s="2026">
        <v>1296703.2</v>
      </c>
      <c r="AT25" s="2026">
        <v>97558.8</v>
      </c>
      <c r="AU25" s="2026">
        <v>9829.8000000000011</v>
      </c>
      <c r="AV25" s="2026">
        <v>27482.100000000002</v>
      </c>
      <c r="AW25" s="2026">
        <v>3379.1</v>
      </c>
      <c r="AX25" s="2026">
        <v>82057.899999999994</v>
      </c>
      <c r="AY25" s="2026">
        <v>122748.9</v>
      </c>
      <c r="AZ25" s="2027">
        <v>25.15</v>
      </c>
      <c r="BA25" s="2027">
        <v>-5.01</v>
      </c>
      <c r="BB25" s="2027">
        <v>19.72</v>
      </c>
      <c r="BC25" s="2027">
        <v>19.53</v>
      </c>
      <c r="BD25" s="2027">
        <v>17.39</v>
      </c>
      <c r="BE25" s="2027">
        <v>1.78</v>
      </c>
      <c r="BF25" s="2027">
        <v>3449</v>
      </c>
      <c r="BG25" s="2027">
        <v>8059</v>
      </c>
      <c r="BH25" s="2027"/>
      <c r="BK25" s="2027">
        <v>103.47854088288517</v>
      </c>
      <c r="BL25" s="2027">
        <v>60.806402779501184</v>
      </c>
      <c r="BM25" s="2027">
        <v>62.921578359597966</v>
      </c>
      <c r="BN25" s="2027">
        <v>7.9874695636345514</v>
      </c>
      <c r="BO25" s="2027">
        <v>5</v>
      </c>
      <c r="BP25" s="2027">
        <v>8.15</v>
      </c>
      <c r="BQ25" s="2027">
        <v>13.75</v>
      </c>
      <c r="BR25" s="2027">
        <v>5.6</v>
      </c>
      <c r="BS25" s="2026" t="s">
        <v>288</v>
      </c>
      <c r="BT25" s="2027" t="s">
        <v>288</v>
      </c>
      <c r="BU25" s="2026" t="s">
        <v>288</v>
      </c>
    </row>
    <row r="26" spans="2:73" s="125" customFormat="1" ht="11.25" customHeight="1" x14ac:dyDescent="0.2">
      <c r="B26" s="1681" t="s">
        <v>804</v>
      </c>
      <c r="C26" s="2026">
        <v>74633.600000000006</v>
      </c>
      <c r="D26" s="2026">
        <v>738.7</v>
      </c>
      <c r="E26" s="2026">
        <v>75372.3</v>
      </c>
      <c r="F26" s="2026">
        <v>7819.4</v>
      </c>
      <c r="G26" s="2026">
        <v>67552.899999999994</v>
      </c>
      <c r="H26" s="2026">
        <v>16749.2</v>
      </c>
      <c r="I26" s="2026">
        <v>37251.699999999997</v>
      </c>
      <c r="J26" s="2026">
        <v>55736.5</v>
      </c>
      <c r="K26" s="2026">
        <v>479902.3</v>
      </c>
      <c r="L26" s="2026">
        <v>535638.80000000005</v>
      </c>
      <c r="M26" s="2026">
        <v>572890.5</v>
      </c>
      <c r="N26" s="2026">
        <v>313.7</v>
      </c>
      <c r="O26" s="2026">
        <v>112489.39999999998</v>
      </c>
      <c r="P26" s="2026">
        <v>123603.09999999999</v>
      </c>
      <c r="Q26" s="2026">
        <v>603505.4</v>
      </c>
      <c r="R26" s="2026">
        <v>680182.9</v>
      </c>
      <c r="S26" s="2026">
        <v>0</v>
      </c>
      <c r="T26" s="2026">
        <v>10424.6</v>
      </c>
      <c r="U26" s="2026">
        <v>417890.5</v>
      </c>
      <c r="V26" s="2026">
        <v>428315.1</v>
      </c>
      <c r="W26" s="2026">
        <v>0</v>
      </c>
      <c r="X26" s="2026">
        <v>939.6</v>
      </c>
      <c r="Y26" s="2026">
        <v>18961.2</v>
      </c>
      <c r="Z26" s="2026">
        <v>19900.8</v>
      </c>
      <c r="AA26" s="2026">
        <v>6677.8</v>
      </c>
      <c r="AB26" s="2026">
        <v>123736.6</v>
      </c>
      <c r="AC26" s="2026">
        <v>11125.2</v>
      </c>
      <c r="AD26" s="2026">
        <v>134861.80000000002</v>
      </c>
      <c r="AE26" s="2026">
        <v>6677.8</v>
      </c>
      <c r="AF26" s="2026">
        <v>135100.80000000002</v>
      </c>
      <c r="AG26" s="2026">
        <v>447976.9</v>
      </c>
      <c r="AH26" s="2026">
        <v>583077.69999999995</v>
      </c>
      <c r="AI26" s="2026">
        <v>9784.5</v>
      </c>
      <c r="AJ26" s="2026">
        <v>9441.9</v>
      </c>
      <c r="AK26" s="2026">
        <v>9640.7999999999993</v>
      </c>
      <c r="AL26" s="2026">
        <v>147</v>
      </c>
      <c r="AM26" s="2026">
        <v>572957.5</v>
      </c>
      <c r="AN26" s="2026">
        <v>6509</v>
      </c>
      <c r="AO26" s="2026">
        <v>579466.5</v>
      </c>
      <c r="AP26" s="2026">
        <v>34767.99</v>
      </c>
      <c r="AQ26" s="2026">
        <v>2035.4100000000035</v>
      </c>
      <c r="AR26" s="2026">
        <v>36803.4</v>
      </c>
      <c r="AS26" s="2026">
        <v>1462258.7</v>
      </c>
      <c r="AT26" s="2026">
        <v>112175.70000000001</v>
      </c>
      <c r="AU26" s="2026">
        <v>9204.5</v>
      </c>
      <c r="AV26" s="2026">
        <v>21263.200000000001</v>
      </c>
      <c r="AW26" s="2026">
        <v>3720.1000000000004</v>
      </c>
      <c r="AX26" s="2026">
        <v>123280</v>
      </c>
      <c r="AY26" s="2026">
        <v>157467.79999999999</v>
      </c>
      <c r="AZ26" s="2027">
        <v>19.91</v>
      </c>
      <c r="BA26" s="2027">
        <v>9.06</v>
      </c>
      <c r="BB26" s="2027">
        <v>10.85</v>
      </c>
      <c r="BC26" s="2027">
        <v>12.4</v>
      </c>
      <c r="BD26" s="2027">
        <v>16.71</v>
      </c>
      <c r="BE26" s="2027">
        <v>1.99</v>
      </c>
      <c r="BF26" s="2027">
        <v>3499</v>
      </c>
      <c r="BG26" s="2027">
        <v>1476</v>
      </c>
      <c r="BH26" s="2027">
        <v>3386</v>
      </c>
      <c r="BI26" s="2027">
        <v>66</v>
      </c>
      <c r="BJ26" s="2027">
        <v>8427</v>
      </c>
      <c r="BK26" s="2027">
        <v>101.76630901942988</v>
      </c>
      <c r="BL26" s="2027">
        <v>67.990684703927855</v>
      </c>
      <c r="BM26" s="2027">
        <v>69.191610300225463</v>
      </c>
      <c r="BN26" s="2027">
        <v>7.7881518262698375</v>
      </c>
      <c r="BO26" s="2027">
        <v>5</v>
      </c>
      <c r="BP26" s="2027">
        <v>8.5399999999999991</v>
      </c>
      <c r="BQ26" s="2027">
        <v>13.67</v>
      </c>
      <c r="BR26" s="2026">
        <v>5.1300000000000008</v>
      </c>
      <c r="BS26" s="2027">
        <v>14.21</v>
      </c>
      <c r="BT26" s="2026">
        <v>17.440000000000001</v>
      </c>
      <c r="BU26" s="2027">
        <v>3.2300000000000004</v>
      </c>
    </row>
    <row r="27" spans="2:73" s="125" customFormat="1" ht="11.25" customHeight="1" x14ac:dyDescent="0.2">
      <c r="B27" s="1681" t="s">
        <v>978</v>
      </c>
      <c r="C27" s="2026">
        <v>84714.1</v>
      </c>
      <c r="D27" s="2026">
        <v>771.1</v>
      </c>
      <c r="E27" s="2026">
        <v>85485.200000000012</v>
      </c>
      <c r="F27" s="2026">
        <v>8576.7999999999993</v>
      </c>
      <c r="G27" s="2026">
        <v>76908.400000000009</v>
      </c>
      <c r="H27" s="2026">
        <v>14653.7</v>
      </c>
      <c r="I27" s="2026">
        <v>39217.699999999997</v>
      </c>
      <c r="J27" s="2026">
        <v>64344.3</v>
      </c>
      <c r="K27" s="2026">
        <v>558978.4</v>
      </c>
      <c r="L27" s="2026">
        <v>623322.70000000007</v>
      </c>
      <c r="M27" s="2026">
        <v>662540.4</v>
      </c>
      <c r="N27" s="2026">
        <v>392.4</v>
      </c>
      <c r="O27" s="2026">
        <v>129875.29999999999</v>
      </c>
      <c r="P27" s="2026">
        <v>141645.1</v>
      </c>
      <c r="Q27" s="2026">
        <v>700623.5</v>
      </c>
      <c r="R27" s="2026">
        <v>792445.3</v>
      </c>
      <c r="S27" s="2026">
        <v>0</v>
      </c>
      <c r="T27" s="2026">
        <v>12682.9</v>
      </c>
      <c r="U27" s="2026">
        <v>472716.79999999999</v>
      </c>
      <c r="V27" s="2026">
        <v>485399.7</v>
      </c>
      <c r="W27" s="2026">
        <v>0</v>
      </c>
      <c r="X27" s="2026">
        <v>1119.4000000000001</v>
      </c>
      <c r="Y27" s="2026">
        <v>18229.8</v>
      </c>
      <c r="Z27" s="2026">
        <v>19349.2</v>
      </c>
      <c r="AA27" s="2026">
        <v>7694</v>
      </c>
      <c r="AB27" s="2026">
        <v>152996.79999999999</v>
      </c>
      <c r="AC27" s="2026">
        <v>12420.6</v>
      </c>
      <c r="AD27" s="2026">
        <v>165417.4</v>
      </c>
      <c r="AE27" s="2026">
        <v>7694</v>
      </c>
      <c r="AF27" s="2026">
        <v>166799.09999999998</v>
      </c>
      <c r="AG27" s="2026">
        <v>503367.19999999995</v>
      </c>
      <c r="AH27" s="2026">
        <v>670166.30000000005</v>
      </c>
      <c r="AI27" s="2026">
        <v>5706.9</v>
      </c>
      <c r="AJ27" s="2026">
        <v>5526.6</v>
      </c>
      <c r="AK27" s="2026">
        <v>9945.7000000000007</v>
      </c>
      <c r="AL27" s="2026">
        <v>26.2</v>
      </c>
      <c r="AM27" s="2026">
        <v>662559.30000000005</v>
      </c>
      <c r="AN27" s="2026">
        <v>6612.1</v>
      </c>
      <c r="AO27" s="2026">
        <v>669171.4</v>
      </c>
      <c r="AP27" s="2026">
        <v>43496.141000000003</v>
      </c>
      <c r="AQ27" s="2026">
        <v>501.55899999999383</v>
      </c>
      <c r="AR27" s="2026">
        <v>43997.7</v>
      </c>
      <c r="AS27" s="2026">
        <v>1689948.5</v>
      </c>
      <c r="AT27" s="2026">
        <v>129482.90000000001</v>
      </c>
      <c r="AU27" s="2026">
        <v>78.099999999999994</v>
      </c>
      <c r="AV27" s="2026">
        <v>16886.2</v>
      </c>
      <c r="AW27" s="2026">
        <v>2769.5</v>
      </c>
      <c r="AX27" s="2026">
        <v>152495.40000000002</v>
      </c>
      <c r="AY27" s="2026">
        <v>172229.2</v>
      </c>
      <c r="AZ27" s="2027">
        <v>6.72</v>
      </c>
      <c r="BA27" s="2027">
        <v>34.71</v>
      </c>
      <c r="BB27" s="2027">
        <v>12.27</v>
      </c>
      <c r="BC27" s="2027">
        <v>11.57</v>
      </c>
      <c r="BD27" s="2027">
        <v>15.46</v>
      </c>
      <c r="BE27" s="2027">
        <v>1.92</v>
      </c>
      <c r="BF27" s="2027">
        <v>3536</v>
      </c>
      <c r="BG27" s="2027">
        <v>1496</v>
      </c>
      <c r="BH27" s="2027">
        <v>3692</v>
      </c>
      <c r="BI27" s="2027">
        <v>70</v>
      </c>
      <c r="BJ27" s="2027">
        <v>8794</v>
      </c>
      <c r="BK27" s="2027">
        <v>101.14812364719657</v>
      </c>
      <c r="BL27" s="2027">
        <v>75.342199226745507</v>
      </c>
      <c r="BM27" s="2027">
        <v>76.20722083238573</v>
      </c>
      <c r="BN27" s="2027">
        <v>7.9350633218792641</v>
      </c>
      <c r="BO27" s="2027">
        <v>5</v>
      </c>
      <c r="BP27" s="2027">
        <v>7.79</v>
      </c>
      <c r="BQ27" s="2027">
        <v>13.1</v>
      </c>
      <c r="BR27" s="2026">
        <v>5.31</v>
      </c>
      <c r="BS27" s="2027">
        <v>12.52</v>
      </c>
      <c r="BT27" s="2026">
        <v>16.899999999999999</v>
      </c>
      <c r="BU27" s="2027">
        <v>4.38</v>
      </c>
    </row>
    <row r="28" spans="2:73" s="125" customFormat="1" ht="11.25" customHeight="1" x14ac:dyDescent="0.2">
      <c r="B28" s="1681" t="s">
        <v>1029</v>
      </c>
      <c r="C28" s="2026">
        <v>97361.5</v>
      </c>
      <c r="D28" s="2026">
        <v>792.4</v>
      </c>
      <c r="E28" s="2026">
        <v>98153.9</v>
      </c>
      <c r="F28" s="2026">
        <v>10213.1</v>
      </c>
      <c r="G28" s="2026">
        <v>87940.799999999988</v>
      </c>
      <c r="H28" s="2026">
        <v>13317.8</v>
      </c>
      <c r="I28" s="2026">
        <v>47116.6</v>
      </c>
      <c r="J28" s="2026">
        <v>72383.7</v>
      </c>
      <c r="K28" s="2026">
        <v>626799.9</v>
      </c>
      <c r="L28" s="2026">
        <v>699183.6</v>
      </c>
      <c r="M28" s="2026">
        <v>746300.2</v>
      </c>
      <c r="N28" s="2026">
        <v>489.7</v>
      </c>
      <c r="O28" s="2026">
        <v>148482.50000000003</v>
      </c>
      <c r="P28" s="2026">
        <v>160814.20000000001</v>
      </c>
      <c r="Q28" s="2026">
        <v>787614.10000000009</v>
      </c>
      <c r="R28" s="2026">
        <v>910049</v>
      </c>
      <c r="S28" s="2026">
        <v>0</v>
      </c>
      <c r="T28" s="2026">
        <v>15343.1</v>
      </c>
      <c r="U28" s="2026">
        <v>537605.1</v>
      </c>
      <c r="V28" s="2026">
        <v>552948.19999999995</v>
      </c>
      <c r="W28" s="2026">
        <v>0</v>
      </c>
      <c r="X28" s="2026">
        <v>1250.4000000000001</v>
      </c>
      <c r="Y28" s="2026">
        <v>18779.3</v>
      </c>
      <c r="Z28" s="2026">
        <v>20029.7</v>
      </c>
      <c r="AA28" s="2026">
        <v>7130.6</v>
      </c>
      <c r="AB28" s="2026">
        <v>157018.4</v>
      </c>
      <c r="AC28" s="2026">
        <v>13569.3</v>
      </c>
      <c r="AD28" s="2026">
        <v>170587.69999999998</v>
      </c>
      <c r="AE28" s="2026">
        <v>7130.6</v>
      </c>
      <c r="AF28" s="2026">
        <v>173611.9</v>
      </c>
      <c r="AG28" s="2026">
        <v>569953.70000000007</v>
      </c>
      <c r="AH28" s="2026">
        <v>743565.59999999986</v>
      </c>
      <c r="AI28" s="2026">
        <v>5604.1</v>
      </c>
      <c r="AJ28" s="2026">
        <v>4823.6000000000004</v>
      </c>
      <c r="AK28" s="2026">
        <v>7890.2</v>
      </c>
      <c r="AL28" s="2026">
        <v>217.9</v>
      </c>
      <c r="AM28" s="2026">
        <v>746329.9</v>
      </c>
      <c r="AN28" s="2026">
        <v>6653.4</v>
      </c>
      <c r="AO28" s="2026">
        <v>752983.3</v>
      </c>
      <c r="AP28" s="2026">
        <v>48943.914500000006</v>
      </c>
      <c r="AQ28" s="2026">
        <v>894.98549999999523</v>
      </c>
      <c r="AR28" s="2026">
        <v>49838.9</v>
      </c>
      <c r="AS28" s="2026">
        <v>1962638.4</v>
      </c>
      <c r="AT28" s="2026">
        <v>147992.79999999999</v>
      </c>
      <c r="AU28" s="2026">
        <v>2435.4</v>
      </c>
      <c r="AV28" s="2026">
        <v>8796.4</v>
      </c>
      <c r="AW28" s="2026">
        <v>3334.2</v>
      </c>
      <c r="AX28" s="2026">
        <v>155768.70000000001</v>
      </c>
      <c r="AY28" s="2026">
        <v>170334.7</v>
      </c>
      <c r="AZ28" s="2027">
        <v>-6.19</v>
      </c>
      <c r="BA28" s="2027">
        <v>34.71</v>
      </c>
      <c r="BB28" s="2027">
        <v>12.27</v>
      </c>
      <c r="BC28" s="2027">
        <v>11.57</v>
      </c>
      <c r="BD28" s="2027">
        <v>16.09</v>
      </c>
      <c r="BE28" s="2027">
        <v>1.92</v>
      </c>
      <c r="BF28" s="2027">
        <v>3669</v>
      </c>
      <c r="BG28" s="2027">
        <v>1405</v>
      </c>
      <c r="BH28" s="2027">
        <v>3982</v>
      </c>
      <c r="BI28" s="2027">
        <v>75</v>
      </c>
      <c r="BJ28" s="2027">
        <v>9131</v>
      </c>
      <c r="BK28" s="2027">
        <v>99.629614196081363</v>
      </c>
      <c r="BL28" s="2027">
        <v>81.735833972182675</v>
      </c>
      <c r="BM28" s="2027">
        <v>81.43309604643521</v>
      </c>
      <c r="BN28" s="2027">
        <v>8.0463076717146134</v>
      </c>
      <c r="BO28" s="2027">
        <v>5</v>
      </c>
      <c r="BP28" s="2027">
        <v>6.8</v>
      </c>
      <c r="BQ28" s="2027">
        <v>11.67</v>
      </c>
      <c r="BR28" s="2026">
        <v>4.87</v>
      </c>
      <c r="BS28" s="2027">
        <v>10.61</v>
      </c>
      <c r="BT28" s="2026">
        <v>15.12</v>
      </c>
      <c r="BU28" s="2027">
        <v>4.51</v>
      </c>
    </row>
    <row r="29" spans="2:73" s="125" customFormat="1" ht="11.25" customHeight="1" x14ac:dyDescent="0.2">
      <c r="B29" s="1681" t="s">
        <v>1150</v>
      </c>
      <c r="C29" s="2026">
        <v>130728.7</v>
      </c>
      <c r="D29" s="2026">
        <v>1576.5</v>
      </c>
      <c r="E29" s="2026">
        <v>132305.20000000001</v>
      </c>
      <c r="F29" s="2026">
        <v>10230.700000000001</v>
      </c>
      <c r="G29" s="2026">
        <v>122074.50000000001</v>
      </c>
      <c r="H29" s="2026">
        <v>17126.2</v>
      </c>
      <c r="I29" s="2026">
        <v>55874.7</v>
      </c>
      <c r="J29" s="2026">
        <v>89759.1</v>
      </c>
      <c r="K29" s="2026">
        <v>703947.2</v>
      </c>
      <c r="L29" s="2026">
        <v>793706.29999999993</v>
      </c>
      <c r="M29" s="2026">
        <v>849580.99999999988</v>
      </c>
      <c r="N29" s="2026">
        <v>597.1</v>
      </c>
      <c r="O29" s="2026">
        <v>193201.30000000002</v>
      </c>
      <c r="P29" s="2026">
        <v>212430.70000000004</v>
      </c>
      <c r="Q29" s="2026">
        <v>916377.9</v>
      </c>
      <c r="R29" s="2026">
        <v>1076743.2</v>
      </c>
      <c r="S29" s="2026">
        <v>0</v>
      </c>
      <c r="T29" s="2026">
        <v>14977.5</v>
      </c>
      <c r="U29" s="2026">
        <v>627918.19999999995</v>
      </c>
      <c r="V29" s="2026">
        <v>642895.69999999995</v>
      </c>
      <c r="W29" s="2026">
        <v>0</v>
      </c>
      <c r="X29" s="2026">
        <v>1589</v>
      </c>
      <c r="Y29" s="2026">
        <v>22461</v>
      </c>
      <c r="Z29" s="2026">
        <v>24050</v>
      </c>
      <c r="AA29" s="2026">
        <v>8613</v>
      </c>
      <c r="AB29" s="2026">
        <v>157964.29999999999</v>
      </c>
      <c r="AC29" s="2026">
        <v>15663.2</v>
      </c>
      <c r="AD29" s="2026">
        <v>173627.5</v>
      </c>
      <c r="AE29" s="2026">
        <v>8613</v>
      </c>
      <c r="AF29" s="2026">
        <v>174530.8</v>
      </c>
      <c r="AG29" s="2026">
        <v>666042.39999999991</v>
      </c>
      <c r="AH29" s="2026">
        <v>840573.2</v>
      </c>
      <c r="AI29" s="2026">
        <v>5436.7</v>
      </c>
      <c r="AJ29" s="2026">
        <v>18388.400000000001</v>
      </c>
      <c r="AK29" s="2026">
        <v>12975.5</v>
      </c>
      <c r="AL29" s="2026">
        <v>50.7</v>
      </c>
      <c r="AM29" s="2026">
        <v>849617.20000000007</v>
      </c>
      <c r="AN29" s="2026">
        <v>6908.3</v>
      </c>
      <c r="AO29" s="2026">
        <v>856525.50000000012</v>
      </c>
      <c r="AP29" s="2026">
        <v>55674.157500000008</v>
      </c>
      <c r="AQ29" s="2026">
        <v>4624.8424999999916</v>
      </c>
      <c r="AR29" s="2026">
        <v>60299</v>
      </c>
      <c r="AS29" s="2026">
        <v>2370730.1</v>
      </c>
      <c r="AT29" s="2026">
        <v>192604.2</v>
      </c>
      <c r="AU29" s="2026">
        <v>4000</v>
      </c>
      <c r="AV29" s="2026">
        <v>15984.8</v>
      </c>
      <c r="AW29" s="2026">
        <v>3911.6</v>
      </c>
      <c r="AX29" s="2026">
        <v>156583.5</v>
      </c>
      <c r="AY29" s="2026">
        <v>180479.9</v>
      </c>
      <c r="AZ29" s="2027">
        <v>3.59</v>
      </c>
      <c r="BA29" s="2027">
        <v>-3.71</v>
      </c>
      <c r="BB29" s="2027">
        <v>16.78</v>
      </c>
      <c r="BC29" s="2027">
        <v>14.22</v>
      </c>
      <c r="BD29" s="2027">
        <v>16.350000000000001</v>
      </c>
      <c r="BE29" s="2027">
        <v>2.2652458407438507</v>
      </c>
      <c r="BF29" s="2027">
        <v>3700</v>
      </c>
      <c r="BG29" s="2027">
        <v>1407</v>
      </c>
      <c r="BH29" s="2027">
        <v>4271</v>
      </c>
      <c r="BI29" s="2027">
        <v>75</v>
      </c>
      <c r="BJ29" s="2027">
        <v>9453</v>
      </c>
      <c r="BK29" s="2027">
        <v>98.935520608575231</v>
      </c>
      <c r="BL29" s="2027">
        <v>89.878049296519634</v>
      </c>
      <c r="BM29" s="2027">
        <v>88.921315984343593</v>
      </c>
      <c r="BN29" s="2027">
        <v>8.3013503022302277</v>
      </c>
      <c r="BO29" s="2027">
        <v>5</v>
      </c>
      <c r="BP29" s="2027">
        <v>5.54</v>
      </c>
      <c r="BQ29" s="2027">
        <v>10.39</v>
      </c>
      <c r="BR29" s="2026">
        <v>4.8500000000000005</v>
      </c>
      <c r="BS29" s="2027">
        <v>8.9499999999999993</v>
      </c>
      <c r="BT29" s="2026">
        <v>13.07</v>
      </c>
      <c r="BU29" s="2027">
        <v>4.120000000000001</v>
      </c>
    </row>
    <row r="30" spans="2:73" s="125" customFormat="1" ht="11.25" customHeight="1" x14ac:dyDescent="0.2">
      <c r="B30" s="1681" t="s">
        <v>1174</v>
      </c>
      <c r="C30" s="2026">
        <v>149724.70000000001</v>
      </c>
      <c r="D30" s="2026">
        <v>1540.5</v>
      </c>
      <c r="E30" s="2026">
        <v>151265.20000000001</v>
      </c>
      <c r="F30" s="2026">
        <v>13733.4</v>
      </c>
      <c r="G30" s="2026">
        <v>137531.80000000002</v>
      </c>
      <c r="H30" s="2026">
        <v>22096.9</v>
      </c>
      <c r="I30" s="2026">
        <v>64651.3</v>
      </c>
      <c r="J30" s="2026">
        <v>101885.2</v>
      </c>
      <c r="K30" s="2026">
        <v>775997.6</v>
      </c>
      <c r="L30" s="2026">
        <v>877882.79999999993</v>
      </c>
      <c r="M30" s="2026">
        <v>942534.1</v>
      </c>
      <c r="N30" s="2026">
        <v>661.5</v>
      </c>
      <c r="O30" s="2026">
        <v>224659.39999999997</v>
      </c>
      <c r="P30" s="2026">
        <v>240078.5</v>
      </c>
      <c r="Q30" s="2026">
        <v>1016076.1</v>
      </c>
      <c r="R30" s="2026">
        <v>1233465.5</v>
      </c>
      <c r="S30" s="2026">
        <v>0</v>
      </c>
      <c r="T30" s="2026">
        <v>15533.2</v>
      </c>
      <c r="U30" s="2026">
        <v>728117</v>
      </c>
      <c r="V30" s="2026">
        <v>743650.2</v>
      </c>
      <c r="W30" s="2026">
        <v>0</v>
      </c>
      <c r="X30" s="2026">
        <v>1726.2</v>
      </c>
      <c r="Y30" s="2026">
        <v>27218.5</v>
      </c>
      <c r="Z30" s="2026">
        <v>28944.7</v>
      </c>
      <c r="AA30" s="2026">
        <v>14073.4</v>
      </c>
      <c r="AB30" s="2026">
        <v>152329.70000000001</v>
      </c>
      <c r="AC30" s="2026">
        <v>15744.2</v>
      </c>
      <c r="AD30" s="2026">
        <v>168073.90000000002</v>
      </c>
      <c r="AE30" s="2026">
        <v>14073.4</v>
      </c>
      <c r="AF30" s="2026">
        <v>169589.1</v>
      </c>
      <c r="AG30" s="2026">
        <v>771079.7</v>
      </c>
      <c r="AH30" s="2026">
        <v>940668.79999999993</v>
      </c>
      <c r="AI30" s="2026">
        <v>7470.4</v>
      </c>
      <c r="AJ30" s="2026">
        <v>24394.1</v>
      </c>
      <c r="AK30" s="2026">
        <v>20759.3</v>
      </c>
      <c r="AL30" s="2026">
        <v>62.9</v>
      </c>
      <c r="AM30" s="2026">
        <v>942558.51</v>
      </c>
      <c r="AN30" s="2026">
        <v>5784.1</v>
      </c>
      <c r="AO30" s="2026">
        <v>948342.61</v>
      </c>
      <c r="AP30" s="2026">
        <v>61642.269650000002</v>
      </c>
      <c r="AQ30" s="2026">
        <v>11090.430349999995</v>
      </c>
      <c r="AR30" s="2026">
        <v>72732.7</v>
      </c>
      <c r="AS30" s="2026">
        <v>2223734.2999999998</v>
      </c>
      <c r="AT30" s="2026">
        <v>223997.90000000002</v>
      </c>
      <c r="AU30" s="2026">
        <v>3015.6</v>
      </c>
      <c r="AV30" s="2026">
        <v>10964.5</v>
      </c>
      <c r="AW30" s="2026">
        <v>3364.4</v>
      </c>
      <c r="AX30" s="2026">
        <v>151102.29999999999</v>
      </c>
      <c r="AY30" s="2026">
        <v>168446.8</v>
      </c>
      <c r="AZ30" s="2027">
        <v>-14.78</v>
      </c>
      <c r="BA30" s="2027">
        <v>7.66</v>
      </c>
      <c r="BB30" s="2027">
        <v>15.66</v>
      </c>
      <c r="BC30" s="2027">
        <v>11.16</v>
      </c>
      <c r="BD30" s="2027">
        <v>10.88</v>
      </c>
      <c r="BE30" s="2027">
        <v>2.2875324003782787</v>
      </c>
      <c r="BF30" s="2027">
        <v>3713</v>
      </c>
      <c r="BG30" s="2027">
        <v>1407</v>
      </c>
      <c r="BH30" s="2027">
        <v>4529</v>
      </c>
      <c r="BI30" s="2027">
        <v>71</v>
      </c>
      <c r="BJ30" s="2027">
        <v>9720</v>
      </c>
      <c r="BK30" s="2027">
        <v>99.799512711417776</v>
      </c>
      <c r="BL30" s="2027">
        <v>96.971040123456788</v>
      </c>
      <c r="BM30" s="2027">
        <v>96.776625514403278</v>
      </c>
      <c r="BN30" s="2027">
        <v>9.1735525256676098</v>
      </c>
      <c r="BO30" s="2027">
        <v>5</v>
      </c>
      <c r="BP30" s="2027">
        <v>4.84</v>
      </c>
      <c r="BQ30" s="2027">
        <v>9.56</v>
      </c>
      <c r="BR30" s="2026">
        <v>4.7200000000000006</v>
      </c>
      <c r="BS30" s="2027">
        <v>8.3699999999999992</v>
      </c>
      <c r="BT30" s="2026">
        <v>11.69</v>
      </c>
      <c r="BU30" s="2027">
        <v>3.3200000000000003</v>
      </c>
    </row>
    <row r="31" spans="2:73" s="125" customFormat="1" ht="11.25" customHeight="1" x14ac:dyDescent="0.2">
      <c r="B31" s="1681" t="s">
        <v>1296</v>
      </c>
      <c r="C31" s="2026">
        <v>153411.20000000001</v>
      </c>
      <c r="D31" s="2026">
        <v>1529.3</v>
      </c>
      <c r="E31" s="2026">
        <v>154940.5</v>
      </c>
      <c r="F31" s="2026">
        <v>14023</v>
      </c>
      <c r="G31" s="2026">
        <v>140917.5</v>
      </c>
      <c r="H31" s="2026">
        <v>33411</v>
      </c>
      <c r="I31" s="2026">
        <v>75790.3</v>
      </c>
      <c r="J31" s="2026">
        <v>113217.1</v>
      </c>
      <c r="K31" s="2026">
        <v>855087.3</v>
      </c>
      <c r="L31" s="2026">
        <v>968304.4</v>
      </c>
      <c r="M31" s="2026">
        <v>1044094.7000000001</v>
      </c>
      <c r="N31" s="2026">
        <v>759.1</v>
      </c>
      <c r="O31" s="2026">
        <v>233743</v>
      </c>
      <c r="P31" s="2026">
        <v>254893.7</v>
      </c>
      <c r="Q31" s="2026">
        <v>1109981</v>
      </c>
      <c r="R31" s="2026">
        <v>1373748.5</v>
      </c>
      <c r="S31" s="2026">
        <v>0</v>
      </c>
      <c r="T31" s="2026">
        <v>18543.400000000001</v>
      </c>
      <c r="U31" s="2026">
        <v>859131.1</v>
      </c>
      <c r="V31" s="2026">
        <v>877674.5</v>
      </c>
      <c r="W31" s="2026">
        <v>0</v>
      </c>
      <c r="X31" s="2026">
        <v>1666.1</v>
      </c>
      <c r="Y31" s="2026">
        <v>26533.1</v>
      </c>
      <c r="Z31" s="2026">
        <v>28199.199999999997</v>
      </c>
      <c r="AA31" s="2026">
        <v>17367.400000000001</v>
      </c>
      <c r="AB31" s="2026">
        <v>152836.79999999999</v>
      </c>
      <c r="AC31" s="2026">
        <v>16721.3</v>
      </c>
      <c r="AD31" s="2026">
        <v>169558.09999999998</v>
      </c>
      <c r="AE31" s="2026">
        <v>17367.400000000001</v>
      </c>
      <c r="AF31" s="2026">
        <v>173046.3</v>
      </c>
      <c r="AG31" s="2026">
        <v>902385.5</v>
      </c>
      <c r="AH31" s="2026">
        <v>1075431.7999999998</v>
      </c>
      <c r="AI31" s="2026">
        <v>9988.7999999999993</v>
      </c>
      <c r="AJ31" s="2026">
        <v>32329.9</v>
      </c>
      <c r="AK31" s="2026">
        <v>25777.8</v>
      </c>
      <c r="AL31" s="2026">
        <v>59.2</v>
      </c>
      <c r="AM31" s="2026">
        <v>1044113.46</v>
      </c>
      <c r="AN31" s="2026">
        <v>7577.6</v>
      </c>
      <c r="AO31" s="2026">
        <v>1051691.06</v>
      </c>
      <c r="AP31" s="2026">
        <v>55721.048349999997</v>
      </c>
      <c r="AQ31" s="2026">
        <v>22320.841650000002</v>
      </c>
      <c r="AR31" s="2026">
        <v>78041.89</v>
      </c>
      <c r="AS31" s="2026">
        <v>2680520.5</v>
      </c>
      <c r="AT31" s="2026">
        <v>232982.39</v>
      </c>
      <c r="AU31" s="2026">
        <v>4000</v>
      </c>
      <c r="AV31" s="2026">
        <v>17878.900000000001</v>
      </c>
      <c r="AW31" s="2026">
        <v>4818</v>
      </c>
      <c r="AX31" s="2026">
        <v>151396</v>
      </c>
      <c r="AY31" s="2026">
        <v>178092.9</v>
      </c>
      <c r="AZ31" s="2027">
        <v>-2.5099999999999998</v>
      </c>
      <c r="BA31" s="2027">
        <v>11.11</v>
      </c>
      <c r="BB31" s="2027">
        <v>16.940000000000001</v>
      </c>
      <c r="BC31" s="2027">
        <v>14.71</v>
      </c>
      <c r="BD31" s="2027">
        <v>9.24</v>
      </c>
      <c r="BE31" s="2027">
        <v>2.3777416009823593</v>
      </c>
      <c r="BF31" s="2027">
        <v>3741</v>
      </c>
      <c r="BG31" s="2027">
        <v>1411</v>
      </c>
      <c r="BH31" s="2027">
        <v>4888</v>
      </c>
      <c r="BI31" s="2027">
        <v>74</v>
      </c>
      <c r="BJ31" s="2027">
        <v>10114</v>
      </c>
      <c r="BK31" s="2027">
        <v>102.99951501439315</v>
      </c>
      <c r="BL31" s="2027">
        <v>103.23447300771208</v>
      </c>
      <c r="BM31" s="2027">
        <v>106.33100652560805</v>
      </c>
      <c r="BN31" s="2027">
        <v>8.8175177820234207</v>
      </c>
      <c r="BO31" s="2027">
        <v>5</v>
      </c>
      <c r="BP31" s="2027">
        <v>5.5</v>
      </c>
      <c r="BQ31" s="2027">
        <v>9.9499999999999993</v>
      </c>
      <c r="BR31" s="2026">
        <v>4.4499999999999993</v>
      </c>
      <c r="BS31" s="2027">
        <v>10.14</v>
      </c>
      <c r="BT31" s="2026">
        <v>12.67</v>
      </c>
      <c r="BU31" s="2027">
        <v>2.5299999999999994</v>
      </c>
    </row>
    <row r="32" spans="2:73" s="125" customFormat="1" ht="11.25" customHeight="1" x14ac:dyDescent="0.2">
      <c r="B32" s="1681" t="s">
        <v>1404</v>
      </c>
      <c r="C32" s="2026">
        <v>168858.3</v>
      </c>
      <c r="D32" s="2026">
        <v>1528.8</v>
      </c>
      <c r="E32" s="2026">
        <v>170387.09999999998</v>
      </c>
      <c r="F32" s="2026">
        <v>16100.1</v>
      </c>
      <c r="G32" s="2026">
        <v>154286.99999999997</v>
      </c>
      <c r="H32" s="2026">
        <v>39425.5</v>
      </c>
      <c r="I32" s="2026">
        <v>82779.3</v>
      </c>
      <c r="J32" s="2026">
        <v>118217.9</v>
      </c>
      <c r="K32" s="2026">
        <v>946318.1</v>
      </c>
      <c r="L32" s="2026">
        <v>1064536</v>
      </c>
      <c r="M32" s="2026">
        <v>1147315.3</v>
      </c>
      <c r="N32" s="2026">
        <v>788.5</v>
      </c>
      <c r="O32" s="2026">
        <v>246187.7</v>
      </c>
      <c r="P32" s="2026">
        <v>273293.39999999997</v>
      </c>
      <c r="Q32" s="2026">
        <v>1219611.5</v>
      </c>
      <c r="R32" s="2026">
        <v>1534026.9</v>
      </c>
      <c r="S32" s="2026">
        <v>0</v>
      </c>
      <c r="T32" s="2026">
        <v>20919.7</v>
      </c>
      <c r="U32" s="2026">
        <v>959297.9</v>
      </c>
      <c r="V32" s="2026">
        <v>980217.6</v>
      </c>
      <c r="W32" s="2026">
        <v>0</v>
      </c>
      <c r="X32" s="2026">
        <v>1846.4</v>
      </c>
      <c r="Y32" s="2026">
        <v>28721.3</v>
      </c>
      <c r="Z32" s="2026">
        <v>30567.7</v>
      </c>
      <c r="AA32" s="2026">
        <v>26155.9</v>
      </c>
      <c r="AB32" s="2026">
        <v>171543.8</v>
      </c>
      <c r="AC32" s="2026">
        <v>17447.099999999999</v>
      </c>
      <c r="AD32" s="2026">
        <v>188990.9</v>
      </c>
      <c r="AE32" s="2026">
        <v>26155.9</v>
      </c>
      <c r="AF32" s="2026">
        <v>194309.9</v>
      </c>
      <c r="AG32" s="2026">
        <v>1005466.3</v>
      </c>
      <c r="AH32" s="2026">
        <v>1199776.2</v>
      </c>
      <c r="AI32" s="2026">
        <v>10348.200000000001</v>
      </c>
      <c r="AJ32" s="2026">
        <v>35369.800000000003</v>
      </c>
      <c r="AK32" s="2026">
        <v>35152.699999999997</v>
      </c>
      <c r="AL32" s="2026">
        <v>146.6</v>
      </c>
      <c r="AM32" s="2026">
        <v>1147338.68</v>
      </c>
      <c r="AN32" s="2026">
        <v>7705.6</v>
      </c>
      <c r="AO32" s="2026">
        <v>1155044.28</v>
      </c>
      <c r="AP32" s="2026">
        <v>60993.162450000003</v>
      </c>
      <c r="AQ32" s="2026">
        <v>13942.628850000008</v>
      </c>
      <c r="AR32" s="2026">
        <v>74935.791300000012</v>
      </c>
      <c r="AS32" s="2026">
        <v>3029188.4</v>
      </c>
      <c r="AT32" s="2026">
        <v>245322.89129999999</v>
      </c>
      <c r="AU32" s="2026">
        <v>1422.9</v>
      </c>
      <c r="AV32" s="2026">
        <v>30233</v>
      </c>
      <c r="AW32" s="2026">
        <v>4900.8</v>
      </c>
      <c r="AX32" s="2026">
        <v>168433.9</v>
      </c>
      <c r="AY32" s="2026">
        <v>204990.59999999998</v>
      </c>
      <c r="AZ32" s="2027">
        <v>19.37</v>
      </c>
      <c r="BA32" s="2027">
        <v>21.64</v>
      </c>
      <c r="BB32" s="2027">
        <v>11.32</v>
      </c>
      <c r="BC32" s="2027">
        <v>12.26</v>
      </c>
      <c r="BD32" s="2027">
        <v>9.8800000000000008</v>
      </c>
      <c r="BE32" s="2027">
        <v>2.4199747214584315</v>
      </c>
      <c r="BF32" s="2027">
        <v>3759</v>
      </c>
      <c r="BG32" s="2027">
        <v>1483</v>
      </c>
      <c r="BH32" s="2027">
        <v>5094</v>
      </c>
      <c r="BI32" s="2027">
        <v>68</v>
      </c>
      <c r="BJ32" s="2027">
        <v>10396</v>
      </c>
      <c r="BK32" s="2027">
        <v>104.57036103759702</v>
      </c>
      <c r="BL32" s="2027">
        <v>110.36347441323585</v>
      </c>
      <c r="BM32" s="2027">
        <v>115.40748364755675</v>
      </c>
      <c r="BN32" s="2027">
        <v>7.9345264730375886</v>
      </c>
      <c r="BO32" s="2027">
        <v>5</v>
      </c>
      <c r="BP32" s="2027">
        <v>5.43</v>
      </c>
      <c r="BQ32" s="2027">
        <v>9.58</v>
      </c>
      <c r="BR32" s="2026">
        <v>4.1500000000000004</v>
      </c>
      <c r="BS32" s="2027">
        <v>10.56</v>
      </c>
      <c r="BT32" s="2026">
        <v>13</v>
      </c>
      <c r="BU32" s="2027">
        <v>2.4399999999999995</v>
      </c>
    </row>
    <row r="33" spans="2:73" s="125" customFormat="1" ht="11.25" customHeight="1" x14ac:dyDescent="0.2">
      <c r="B33" s="1681" t="s">
        <v>1484</v>
      </c>
      <c r="C33" s="2026">
        <v>206552.2</v>
      </c>
      <c r="D33" s="2026">
        <v>1541.9</v>
      </c>
      <c r="E33" s="2026">
        <v>208094.1</v>
      </c>
      <c r="F33" s="2026">
        <v>15979.6</v>
      </c>
      <c r="G33" s="2026">
        <v>192114.5</v>
      </c>
      <c r="H33" s="2026">
        <v>30355.7</v>
      </c>
      <c r="I33" s="2026">
        <v>88099.4</v>
      </c>
      <c r="J33" s="2026">
        <v>135528.4</v>
      </c>
      <c r="K33" s="2026">
        <v>1045471.1</v>
      </c>
      <c r="L33" s="2026">
        <v>1180999.5</v>
      </c>
      <c r="M33" s="2026">
        <v>1269098.8999999999</v>
      </c>
      <c r="N33" s="2026">
        <v>621</v>
      </c>
      <c r="O33" s="2026">
        <v>284483.40000000002</v>
      </c>
      <c r="P33" s="2026">
        <v>328263.90000000002</v>
      </c>
      <c r="Q33" s="2026">
        <v>1373735</v>
      </c>
      <c r="R33" s="2026">
        <v>1703937.4</v>
      </c>
      <c r="S33" s="2026">
        <v>0</v>
      </c>
      <c r="T33" s="2026">
        <v>25708.3</v>
      </c>
      <c r="U33" s="2026">
        <v>1050976</v>
      </c>
      <c r="V33" s="2026">
        <v>1076684.3</v>
      </c>
      <c r="W33" s="2026">
        <v>0</v>
      </c>
      <c r="X33" s="2026">
        <v>1921.3</v>
      </c>
      <c r="Y33" s="2026">
        <v>22033.3</v>
      </c>
      <c r="Z33" s="2026">
        <v>23954.6</v>
      </c>
      <c r="AA33" s="2026">
        <v>25407.3</v>
      </c>
      <c r="AB33" s="2026">
        <v>232935.5</v>
      </c>
      <c r="AC33" s="2026">
        <v>18916</v>
      </c>
      <c r="AD33" s="2026">
        <v>251851.5</v>
      </c>
      <c r="AE33" s="2026">
        <v>25407.3</v>
      </c>
      <c r="AF33" s="2026">
        <v>260565.1</v>
      </c>
      <c r="AG33" s="2026">
        <v>1091925.3</v>
      </c>
      <c r="AH33" s="2026">
        <v>1352490.4000000001</v>
      </c>
      <c r="AI33" s="2026">
        <v>13614.7</v>
      </c>
      <c r="AJ33" s="2026">
        <v>50299.7</v>
      </c>
      <c r="AK33" s="2026">
        <v>35190.199999999997</v>
      </c>
      <c r="AL33" s="2026">
        <v>58.5</v>
      </c>
      <c r="AM33" s="2026">
        <v>1269113.6399999999</v>
      </c>
      <c r="AN33" s="2026">
        <v>10934.2</v>
      </c>
      <c r="AO33" s="2026">
        <v>1280047.8399999999</v>
      </c>
      <c r="AP33" s="2026">
        <v>49693.31</v>
      </c>
      <c r="AQ33" s="2026">
        <v>26071.655700000003</v>
      </c>
      <c r="AR33" s="2026">
        <v>75764.965700000001</v>
      </c>
      <c r="AS33" s="2026">
        <v>3332696.5</v>
      </c>
      <c r="AT33" s="2026">
        <v>283859.06570000004</v>
      </c>
      <c r="AU33" s="2026">
        <v>10631</v>
      </c>
      <c r="AV33" s="2026">
        <v>36086.9</v>
      </c>
      <c r="AW33" s="2026">
        <v>4710.3</v>
      </c>
      <c r="AX33" s="2026">
        <v>229191.6</v>
      </c>
      <c r="AY33" s="2026">
        <v>280619.8</v>
      </c>
      <c r="AZ33" s="2027">
        <v>55.51</v>
      </c>
      <c r="BA33" s="2027">
        <v>25.09</v>
      </c>
      <c r="BB33" s="2027">
        <v>8.61</v>
      </c>
      <c r="BC33" s="2027">
        <v>13.58</v>
      </c>
      <c r="BD33" s="2027">
        <v>12.64</v>
      </c>
      <c r="BE33" s="2027">
        <v>2.3079189217716665</v>
      </c>
      <c r="BF33" s="2027">
        <v>3775</v>
      </c>
      <c r="BG33" s="2027">
        <v>1483</v>
      </c>
      <c r="BH33" s="2027">
        <v>5265</v>
      </c>
      <c r="BI33" s="2027">
        <v>65</v>
      </c>
      <c r="BJ33" s="2027">
        <v>10588</v>
      </c>
      <c r="BK33" s="2027">
        <v>106.56968433496627</v>
      </c>
      <c r="BL33" s="2027">
        <v>119.86339629769549</v>
      </c>
      <c r="BM33" s="2027">
        <v>127.73804306762374</v>
      </c>
      <c r="BN33" s="2027">
        <v>7.2290268427025977</v>
      </c>
      <c r="BO33" s="2027">
        <v>5</v>
      </c>
      <c r="BP33" s="2027">
        <v>5.0599999999999996</v>
      </c>
      <c r="BQ33" s="2027">
        <v>7.95</v>
      </c>
      <c r="BR33" s="2026">
        <v>2.8900000000000006</v>
      </c>
      <c r="BS33" s="2027">
        <v>9.7200000000000006</v>
      </c>
      <c r="BT33" s="2026">
        <v>12.93</v>
      </c>
      <c r="BU33" s="2027">
        <v>3.2099999999999991</v>
      </c>
    </row>
    <row r="34" spans="2:73" s="125" customFormat="1" ht="11.25" customHeight="1" x14ac:dyDescent="0.2">
      <c r="B34" s="1681" t="s">
        <v>1536</v>
      </c>
      <c r="C34" s="2025">
        <v>225322.2</v>
      </c>
      <c r="D34" s="2025">
        <v>1566.1</v>
      </c>
      <c r="E34" s="2025">
        <v>226888.30000000002</v>
      </c>
      <c r="F34" s="2025">
        <v>17370.599999999999</v>
      </c>
      <c r="G34" s="2025">
        <v>209517.7</v>
      </c>
      <c r="H34" s="2025">
        <v>40048.199999999997</v>
      </c>
      <c r="I34" s="2025">
        <v>96176.5</v>
      </c>
      <c r="J34" s="2025">
        <v>165724.5</v>
      </c>
      <c r="K34" s="2025">
        <v>1185066.6000000001</v>
      </c>
      <c r="L34" s="2025">
        <v>1350791.1</v>
      </c>
      <c r="M34" s="2025">
        <v>1446967.6</v>
      </c>
      <c r="N34" s="2025">
        <v>586.5</v>
      </c>
      <c r="O34" s="2025">
        <v>348071.80000000005</v>
      </c>
      <c r="P34" s="2025">
        <v>375828.7</v>
      </c>
      <c r="Q34" s="2025">
        <v>1560895.3</v>
      </c>
      <c r="R34" s="2025">
        <v>1929045.3</v>
      </c>
      <c r="S34" s="2025">
        <v>0</v>
      </c>
      <c r="T34" s="2025">
        <v>26917.4</v>
      </c>
      <c r="U34" s="2025">
        <v>1139574.1000000001</v>
      </c>
      <c r="V34" s="2025">
        <v>1166491.5</v>
      </c>
      <c r="W34" s="2025">
        <v>0</v>
      </c>
      <c r="X34" s="2025">
        <v>1788.7</v>
      </c>
      <c r="Y34" s="2025">
        <v>22235.9</v>
      </c>
      <c r="Z34" s="2025">
        <v>24024.600000000002</v>
      </c>
      <c r="AA34" s="2025">
        <v>29531.4</v>
      </c>
      <c r="AB34" s="2025">
        <v>299276.3</v>
      </c>
      <c r="AC34" s="2025">
        <v>21206.9</v>
      </c>
      <c r="AD34" s="2025">
        <v>320483.20000000001</v>
      </c>
      <c r="AE34" s="2025">
        <v>29531.4</v>
      </c>
      <c r="AF34" s="2025">
        <v>327982.39999999997</v>
      </c>
      <c r="AG34" s="2025">
        <v>1183016.8999999999</v>
      </c>
      <c r="AH34" s="2025">
        <v>1510999.3</v>
      </c>
      <c r="AI34" s="2025">
        <v>7539</v>
      </c>
      <c r="AJ34" s="2025">
        <v>73626.100000000006</v>
      </c>
      <c r="AK34" s="2025">
        <v>37421.1</v>
      </c>
      <c r="AL34" s="2025">
        <v>75.3</v>
      </c>
      <c r="AM34" s="2025">
        <v>1446984.11</v>
      </c>
      <c r="AN34" s="2025">
        <v>9967.1</v>
      </c>
      <c r="AO34" s="2025">
        <v>1456951.2100000002</v>
      </c>
      <c r="AP34" s="2025">
        <v>58278.048400000007</v>
      </c>
      <c r="AQ34" s="2025">
        <v>62314.271199999996</v>
      </c>
      <c r="AR34" s="2025">
        <v>120592.3196</v>
      </c>
      <c r="AS34" s="2025">
        <v>3842083.7</v>
      </c>
      <c r="AT34" s="2025">
        <v>347480.61960000003</v>
      </c>
      <c r="AU34" s="2025">
        <v>4126.8</v>
      </c>
      <c r="AV34" s="2025">
        <v>29712.3</v>
      </c>
      <c r="AW34" s="2026">
        <v>5780.6</v>
      </c>
      <c r="AX34" s="2026">
        <v>295402.2</v>
      </c>
      <c r="AY34" s="2026">
        <v>335021.89999999997</v>
      </c>
      <c r="AZ34" s="2027">
        <v>22.01</v>
      </c>
      <c r="BA34" s="2027">
        <v>2.75</v>
      </c>
      <c r="BB34" s="2027">
        <v>8.35</v>
      </c>
      <c r="BC34" s="2027">
        <v>10.11</v>
      </c>
      <c r="BD34" s="2027">
        <v>13.62</v>
      </c>
      <c r="BE34" s="2027">
        <v>2.2616411235269913</v>
      </c>
      <c r="BF34" s="2027">
        <v>3801</v>
      </c>
      <c r="BG34" s="2027">
        <v>1504</v>
      </c>
      <c r="BH34" s="2027">
        <v>5421</v>
      </c>
      <c r="BI34" s="2027">
        <v>67</v>
      </c>
      <c r="BJ34" s="2027">
        <v>10793</v>
      </c>
      <c r="BK34" s="2027">
        <v>104.42404236215144</v>
      </c>
      <c r="BL34" s="2027">
        <v>134.06690540164922</v>
      </c>
      <c r="BM34" s="2027">
        <v>139.99808209024368</v>
      </c>
      <c r="BN34" s="2027">
        <v>9.5345151786082845</v>
      </c>
      <c r="BO34" s="2027">
        <v>4</v>
      </c>
      <c r="BP34" s="2027">
        <v>4.13</v>
      </c>
      <c r="BQ34" s="2027">
        <v>7.33</v>
      </c>
      <c r="BR34" s="2026">
        <v>3.2</v>
      </c>
      <c r="BS34" s="2027">
        <v>7.82</v>
      </c>
      <c r="BT34" s="2026">
        <v>11.19</v>
      </c>
      <c r="BU34" s="2027">
        <v>3.3699999999999992</v>
      </c>
    </row>
    <row r="35" spans="2:73" s="125" customFormat="1" ht="11.25" customHeight="1" x14ac:dyDescent="0.2">
      <c r="B35" s="1681" t="s">
        <v>1817</v>
      </c>
      <c r="C35" s="2025">
        <v>254519.5</v>
      </c>
      <c r="D35" s="2025">
        <v>1663.3</v>
      </c>
      <c r="E35" s="2025">
        <v>256182.8</v>
      </c>
      <c r="F35" s="2025">
        <v>19733.8</v>
      </c>
      <c r="G35" s="2025">
        <v>236449</v>
      </c>
      <c r="H35" s="2025">
        <v>36254.9</v>
      </c>
      <c r="I35" s="2025">
        <v>108918.7</v>
      </c>
      <c r="J35" s="2025">
        <v>188859.4</v>
      </c>
      <c r="K35" s="2025">
        <v>1282217.5</v>
      </c>
      <c r="L35" s="2025">
        <v>1471076.9</v>
      </c>
      <c r="M35" s="2025">
        <v>1579995.5999999999</v>
      </c>
      <c r="N35" s="2025">
        <v>596.4</v>
      </c>
      <c r="O35" s="2025">
        <v>347162</v>
      </c>
      <c r="P35" s="2025">
        <v>425904.80000000005</v>
      </c>
      <c r="Q35" s="2025">
        <v>1708122.3</v>
      </c>
      <c r="R35" s="2025">
        <v>2097973.2999999998</v>
      </c>
      <c r="S35" s="2025">
        <v>0</v>
      </c>
      <c r="T35" s="2025">
        <v>38512.6</v>
      </c>
      <c r="U35" s="2025">
        <v>1286429.5</v>
      </c>
      <c r="V35" s="2025">
        <v>1324942.1000000001</v>
      </c>
      <c r="W35" s="2025">
        <v>0</v>
      </c>
      <c r="X35" s="2025">
        <v>1884.6</v>
      </c>
      <c r="Y35" s="2025">
        <v>32287.9</v>
      </c>
      <c r="Z35" s="2025">
        <v>34172.5</v>
      </c>
      <c r="AA35" s="2025">
        <v>30832</v>
      </c>
      <c r="AB35" s="2025">
        <v>334009.8</v>
      </c>
      <c r="AC35" s="2025">
        <v>26582.3</v>
      </c>
      <c r="AD35" s="2025">
        <v>360592.1</v>
      </c>
      <c r="AE35" s="2025">
        <v>30832</v>
      </c>
      <c r="AF35" s="2025">
        <v>374407</v>
      </c>
      <c r="AG35" s="2025">
        <v>1345299.7</v>
      </c>
      <c r="AH35" s="2025">
        <v>1719706.7000000002</v>
      </c>
      <c r="AI35" s="2025">
        <v>7702.1</v>
      </c>
      <c r="AJ35" s="2025">
        <v>91659.8</v>
      </c>
      <c r="AK35" s="2025">
        <v>42893.9</v>
      </c>
      <c r="AL35" s="2025">
        <v>634.4</v>
      </c>
      <c r="AM35" s="2025">
        <v>1580021.02</v>
      </c>
      <c r="AN35" s="2025">
        <v>14605</v>
      </c>
      <c r="AO35" s="2025">
        <v>1594626.02</v>
      </c>
      <c r="AP35" s="2025">
        <v>63785.040800000002</v>
      </c>
      <c r="AQ35" s="2025">
        <v>26589.661199999988</v>
      </c>
      <c r="AR35" s="2025">
        <v>90374.70199999999</v>
      </c>
      <c r="AS35" s="2025">
        <v>4276170.7</v>
      </c>
      <c r="AT35" s="2025">
        <v>346557.50199999998</v>
      </c>
      <c r="AU35" s="2025">
        <v>4853.7</v>
      </c>
      <c r="AV35" s="2025">
        <v>53503</v>
      </c>
      <c r="AW35" s="2026">
        <v>11175.3</v>
      </c>
      <c r="AX35" s="2026">
        <v>329468.59999999998</v>
      </c>
      <c r="AY35" s="2026">
        <v>399000.6</v>
      </c>
      <c r="AZ35" s="2027">
        <v>28.18</v>
      </c>
      <c r="BA35" s="2027">
        <v>23.92</v>
      </c>
      <c r="BB35" s="2027">
        <v>13.66</v>
      </c>
      <c r="BC35" s="2027">
        <v>16.100000000000001</v>
      </c>
      <c r="BD35" s="2027">
        <v>9.43</v>
      </c>
      <c r="BE35" s="2027">
        <v>2.3279727878953862</v>
      </c>
      <c r="BF35" s="2027">
        <v>3812</v>
      </c>
      <c r="BG35" s="2027">
        <v>1519</v>
      </c>
      <c r="BH35" s="2027">
        <v>5567</v>
      </c>
      <c r="BI35" s="2027">
        <v>65</v>
      </c>
      <c r="BJ35" s="2027">
        <v>10963</v>
      </c>
      <c r="BK35" s="2027">
        <v>108.8407482072612</v>
      </c>
      <c r="BL35" s="2027">
        <v>144.1230520842835</v>
      </c>
      <c r="BM35" s="2027">
        <v>156.86460822767492</v>
      </c>
      <c r="BN35" s="2027">
        <v>6.9687998201441639</v>
      </c>
      <c r="BO35" s="2027">
        <v>4</v>
      </c>
      <c r="BP35" s="2027">
        <v>3.97</v>
      </c>
      <c r="BQ35" s="2027">
        <v>7.09</v>
      </c>
      <c r="BR35" s="2026">
        <v>3.1199999999999997</v>
      </c>
      <c r="BS35" s="2027">
        <v>7.49</v>
      </c>
      <c r="BT35" s="2026">
        <v>9.85</v>
      </c>
      <c r="BU35" s="2027">
        <v>2.3599999999999994</v>
      </c>
    </row>
    <row r="36" spans="2:73" s="125" customFormat="1" ht="11.25" customHeight="1" x14ac:dyDescent="0.2">
      <c r="B36" s="1681" t="s">
        <v>2066</v>
      </c>
      <c r="C36" s="2025">
        <v>310153.40000000002</v>
      </c>
      <c r="D36" s="2025">
        <v>1794.4</v>
      </c>
      <c r="E36" s="2025">
        <v>311947.80000000005</v>
      </c>
      <c r="F36" s="2025">
        <v>20034.3</v>
      </c>
      <c r="G36" s="2025">
        <v>291913.50000000006</v>
      </c>
      <c r="H36" s="2025">
        <v>33759.4</v>
      </c>
      <c r="I36" s="2025">
        <v>103350.9</v>
      </c>
      <c r="J36" s="2025">
        <v>199304.3</v>
      </c>
      <c r="K36" s="2025">
        <v>1395280.2</v>
      </c>
      <c r="L36" s="2025">
        <v>1594584.5</v>
      </c>
      <c r="M36" s="2025">
        <v>1697935.4</v>
      </c>
      <c r="N36" s="2025">
        <v>670.1</v>
      </c>
      <c r="O36" s="2025">
        <v>383585.19999999995</v>
      </c>
      <c r="P36" s="2025">
        <v>491887.9</v>
      </c>
      <c r="Q36" s="2025">
        <v>1887168.1</v>
      </c>
      <c r="R36" s="2025">
        <v>2273892.4900000002</v>
      </c>
      <c r="S36" s="2025">
        <v>0</v>
      </c>
      <c r="T36" s="2025">
        <v>51470.2</v>
      </c>
      <c r="U36" s="2025">
        <v>1421339.2</v>
      </c>
      <c r="V36" s="2025">
        <v>1472809.4</v>
      </c>
      <c r="W36" s="2025">
        <v>0</v>
      </c>
      <c r="X36" s="2025">
        <v>807.9</v>
      </c>
      <c r="Y36" s="2025">
        <v>38453</v>
      </c>
      <c r="Z36" s="2025">
        <v>39260.9</v>
      </c>
      <c r="AA36" s="2025">
        <v>30458.2</v>
      </c>
      <c r="AB36" s="2025">
        <v>329477.8</v>
      </c>
      <c r="AC36" s="2025">
        <v>27112.7</v>
      </c>
      <c r="AD36" s="2025">
        <v>356590.5</v>
      </c>
      <c r="AE36" s="2025">
        <v>30458.2</v>
      </c>
      <c r="AF36" s="2025">
        <v>381755.89999999997</v>
      </c>
      <c r="AG36" s="2025">
        <v>1486904.9</v>
      </c>
      <c r="AH36" s="2025">
        <v>1868660.7999999998</v>
      </c>
      <c r="AI36" s="2025">
        <v>9730.7999999999993</v>
      </c>
      <c r="AJ36" s="2025">
        <v>105117.8</v>
      </c>
      <c r="AK36" s="2025">
        <v>44627.199999999997</v>
      </c>
      <c r="AL36" s="2025">
        <v>115.4</v>
      </c>
      <c r="AM36" s="2025">
        <v>1697975.9100000001</v>
      </c>
      <c r="AN36" s="2025">
        <v>17873.2</v>
      </c>
      <c r="AO36" s="2025">
        <v>1715849.11</v>
      </c>
      <c r="AP36" s="2025">
        <v>68633.964400000012</v>
      </c>
      <c r="AQ36" s="2025">
        <v>2330.6837999999843</v>
      </c>
      <c r="AR36" s="2025">
        <v>70964.648199999996</v>
      </c>
      <c r="AS36" s="2025">
        <v>4601082.2</v>
      </c>
      <c r="AT36" s="2025">
        <v>382912.44820000004</v>
      </c>
      <c r="AU36" s="2025">
        <v>24318</v>
      </c>
      <c r="AV36" s="2025">
        <v>132269.79999999999</v>
      </c>
      <c r="AW36" s="2026">
        <v>15486</v>
      </c>
      <c r="AX36" s="2026">
        <v>324998.7</v>
      </c>
      <c r="AY36" s="2026">
        <v>497072.5</v>
      </c>
      <c r="AZ36" s="2027">
        <v>36.65</v>
      </c>
      <c r="BA36" s="2027">
        <v>22.29</v>
      </c>
      <c r="BB36" s="2027">
        <v>10.57</v>
      </c>
      <c r="BC36" s="2027">
        <v>15.25</v>
      </c>
      <c r="BD36" s="2027">
        <v>10.48</v>
      </c>
      <c r="BE36" s="2027">
        <v>2.37967248386617</v>
      </c>
      <c r="BF36" s="2027">
        <v>3823</v>
      </c>
      <c r="BG36" s="2027">
        <v>1523</v>
      </c>
      <c r="BH36" s="2027">
        <v>5768</v>
      </c>
      <c r="BI36" s="2027">
        <v>63</v>
      </c>
      <c r="BJ36" s="2027">
        <v>11177</v>
      </c>
      <c r="BK36" s="2027">
        <v>110.05225627729899</v>
      </c>
      <c r="BL36" s="2027">
        <v>151.916964301691</v>
      </c>
      <c r="BM36" s="2027">
        <v>167.18804688198978</v>
      </c>
      <c r="BN36" s="2027">
        <v>5.3592602618255043</v>
      </c>
      <c r="BO36" s="2027">
        <v>4</v>
      </c>
      <c r="BP36" s="2027">
        <v>4.38</v>
      </c>
      <c r="BQ36" s="2027">
        <v>7.31</v>
      </c>
      <c r="BR36" s="2026">
        <v>2.9299999999999997</v>
      </c>
      <c r="BS36" s="2027">
        <v>7.93</v>
      </c>
      <c r="BT36" s="2026">
        <v>8.1999999999999993</v>
      </c>
      <c r="BU36" s="2027">
        <v>0.26999999999999957</v>
      </c>
    </row>
    <row r="37" spans="2:73" s="125" customFormat="1" ht="11.25" customHeight="1" x14ac:dyDescent="0.2">
      <c r="B37" s="1681" t="s">
        <v>2206</v>
      </c>
      <c r="C37" s="2025">
        <v>318403</v>
      </c>
      <c r="D37" s="2025">
        <v>1905.9</v>
      </c>
      <c r="E37" s="2025">
        <v>320308.90000000002</v>
      </c>
      <c r="F37" s="2025">
        <v>29872.400000000001</v>
      </c>
      <c r="G37" s="2025">
        <v>290436.5</v>
      </c>
      <c r="H37" s="2025">
        <v>32754.9</v>
      </c>
      <c r="I37" s="2025">
        <v>120147.8</v>
      </c>
      <c r="J37" s="2025">
        <v>209917.3</v>
      </c>
      <c r="K37" s="2025">
        <v>1532307.2</v>
      </c>
      <c r="L37" s="2025">
        <v>1742224.5</v>
      </c>
      <c r="M37" s="2025">
        <v>1862372.3</v>
      </c>
      <c r="N37" s="2025">
        <v>573</v>
      </c>
      <c r="O37" s="2025">
        <v>413644.6</v>
      </c>
      <c r="P37" s="2025">
        <v>500926.8</v>
      </c>
      <c r="Q37" s="2025">
        <v>2033234</v>
      </c>
      <c r="R37" s="2025">
        <v>2407957.7440705281</v>
      </c>
      <c r="S37" s="2025">
        <v>0</v>
      </c>
      <c r="T37" s="2025">
        <v>56736.6</v>
      </c>
      <c r="U37" s="2025">
        <v>1564444.9</v>
      </c>
      <c r="V37" s="2025">
        <v>1621181.5</v>
      </c>
      <c r="W37" s="2025">
        <v>0</v>
      </c>
      <c r="X37" s="2025">
        <v>518.70000000000005</v>
      </c>
      <c r="Y37" s="2025">
        <v>38612.699999999997</v>
      </c>
      <c r="Z37" s="2025">
        <v>39131.399999999994</v>
      </c>
      <c r="AA37" s="2025">
        <v>27137.4</v>
      </c>
      <c r="AB37" s="2025">
        <v>399628.7</v>
      </c>
      <c r="AC37" s="2025">
        <v>29389.1</v>
      </c>
      <c r="AD37" s="2025">
        <v>429017.8</v>
      </c>
      <c r="AE37" s="2025">
        <v>27137.4</v>
      </c>
      <c r="AF37" s="2025">
        <v>456884</v>
      </c>
      <c r="AG37" s="2025">
        <v>1632446.7</v>
      </c>
      <c r="AH37" s="2025">
        <v>2089330.7</v>
      </c>
      <c r="AI37" s="2025">
        <v>15168</v>
      </c>
      <c r="AJ37" s="2025">
        <v>172788.1</v>
      </c>
      <c r="AK37" s="2025">
        <v>32701.4</v>
      </c>
      <c r="AL37" s="2025">
        <v>93.6</v>
      </c>
      <c r="AM37" s="2025">
        <v>1862408.37</v>
      </c>
      <c r="AN37" s="2025">
        <v>17820</v>
      </c>
      <c r="AO37" s="2025">
        <v>1880228.37</v>
      </c>
      <c r="AP37" s="2025">
        <v>75209.1348</v>
      </c>
      <c r="AQ37" s="2025">
        <v>17554.383000000002</v>
      </c>
      <c r="AR37" s="2025">
        <v>92763.517800000001</v>
      </c>
      <c r="AS37" s="2025">
        <v>5149667.5</v>
      </c>
      <c r="AT37" s="2025">
        <v>413072.41780000005</v>
      </c>
      <c r="AU37" s="2025">
        <v>69247.100000000006</v>
      </c>
      <c r="AV37" s="2025">
        <v>75231.8</v>
      </c>
      <c r="AW37" s="2026">
        <v>16171.7</v>
      </c>
      <c r="AX37" s="2026">
        <v>395501.7</v>
      </c>
      <c r="AY37" s="2026">
        <v>556152.30000000005</v>
      </c>
      <c r="AZ37" s="2027">
        <v>9.69</v>
      </c>
      <c r="BA37" s="2027">
        <v>9.42</v>
      </c>
      <c r="BB37" s="2027">
        <v>9.84</v>
      </c>
      <c r="BC37" s="2027">
        <v>9.8000000000000007</v>
      </c>
      <c r="BD37" s="2027">
        <v>7.74</v>
      </c>
      <c r="BE37" s="2027">
        <v>2.4827604489326256</v>
      </c>
      <c r="BF37" s="2027">
        <v>3835</v>
      </c>
      <c r="BG37" s="2027">
        <v>1541</v>
      </c>
      <c r="BH37" s="2027">
        <v>5858</v>
      </c>
      <c r="BI37" s="2027">
        <v>63</v>
      </c>
      <c r="BJ37" s="2027">
        <v>11297</v>
      </c>
      <c r="BK37" s="2027">
        <v>112.18434869899127</v>
      </c>
      <c r="BL37" s="2027">
        <v>164.8586677879083</v>
      </c>
      <c r="BM37" s="2027">
        <v>184.94562273169868</v>
      </c>
      <c r="BN37" s="2027">
        <v>6.5848027626722914</v>
      </c>
      <c r="BO37" s="2027">
        <v>4</v>
      </c>
      <c r="BP37" s="2027">
        <v>5.49</v>
      </c>
      <c r="BQ37" s="2027">
        <v>11.52</v>
      </c>
      <c r="BR37" s="2026">
        <v>6.0299999999999994</v>
      </c>
      <c r="BS37" s="2027">
        <v>9.83</v>
      </c>
      <c r="BT37" s="2026">
        <v>12.79</v>
      </c>
      <c r="BU37" s="2027">
        <v>2.9599999999999991</v>
      </c>
    </row>
    <row r="38" spans="2:73" s="125" customFormat="1" ht="11.25" customHeight="1" x14ac:dyDescent="0.2">
      <c r="B38" s="1681" t="s">
        <v>3064</v>
      </c>
      <c r="C38" s="2026">
        <v>324728.5</v>
      </c>
      <c r="D38" s="2026">
        <v>1968.1</v>
      </c>
      <c r="E38" s="2026">
        <v>326696.59999999998</v>
      </c>
      <c r="F38" s="2026">
        <v>30244.7</v>
      </c>
      <c r="G38" s="2026">
        <v>296451.89999999997</v>
      </c>
      <c r="H38" s="2026">
        <v>37852.800000000003</v>
      </c>
      <c r="I38" s="2026">
        <v>120252.5</v>
      </c>
      <c r="J38" s="2026">
        <v>213109.9</v>
      </c>
      <c r="K38" s="2026">
        <v>1664454.7</v>
      </c>
      <c r="L38" s="2026">
        <v>1877564.5999999999</v>
      </c>
      <c r="M38" s="2026">
        <v>1997817.0999999999</v>
      </c>
      <c r="N38" s="2026">
        <v>605.20000000000005</v>
      </c>
      <c r="O38" s="2026">
        <v>413179</v>
      </c>
      <c r="P38" s="2026">
        <v>510166.99999999994</v>
      </c>
      <c r="Q38" s="2026">
        <v>2174621.6999999997</v>
      </c>
      <c r="R38" s="2026">
        <v>2552900.8000000003</v>
      </c>
      <c r="S38" s="2026">
        <v>0</v>
      </c>
      <c r="T38" s="2026">
        <v>53989.5</v>
      </c>
      <c r="U38" s="2026">
        <v>1681592.8</v>
      </c>
      <c r="V38" s="2026">
        <v>1735582.3</v>
      </c>
      <c r="W38" s="2026">
        <v>0</v>
      </c>
      <c r="X38" s="2026">
        <v>448.5</v>
      </c>
      <c r="Y38" s="2026">
        <v>28082.2</v>
      </c>
      <c r="Z38" s="2026">
        <v>28530.7</v>
      </c>
      <c r="AA38" s="2026">
        <v>25427.4</v>
      </c>
      <c r="AB38" s="2026">
        <v>523929.59999999998</v>
      </c>
      <c r="AC38" s="2026">
        <v>28724.2</v>
      </c>
      <c r="AD38" s="2026">
        <v>552653.79999999993</v>
      </c>
      <c r="AE38" s="2026">
        <v>25427.4</v>
      </c>
      <c r="AF38" s="2026">
        <v>578367.6</v>
      </c>
      <c r="AG38" s="2026">
        <v>1738399.2</v>
      </c>
      <c r="AH38" s="2026">
        <v>2316766.7999999998</v>
      </c>
      <c r="AI38" s="2026">
        <v>16534.8</v>
      </c>
      <c r="AJ38" s="2026">
        <v>197261.4</v>
      </c>
      <c r="AK38" s="2026">
        <v>35027.300000000003</v>
      </c>
      <c r="AL38" s="2026">
        <v>182.9</v>
      </c>
      <c r="AM38" s="2026">
        <v>2010643.07</v>
      </c>
      <c r="AN38" s="2026">
        <v>18899.400000000001</v>
      </c>
      <c r="AO38" s="2026">
        <v>2029542.47</v>
      </c>
      <c r="AP38" s="2026">
        <v>81181.698799999998</v>
      </c>
      <c r="AQ38" s="2026">
        <v>4693.9682999999932</v>
      </c>
      <c r="AR38" s="2026">
        <v>85875.667099999991</v>
      </c>
      <c r="AS38" s="2026">
        <v>5146852.3</v>
      </c>
      <c r="AT38" s="2026">
        <v>412572.26709999994</v>
      </c>
      <c r="AU38" s="2026">
        <v>23431.5</v>
      </c>
      <c r="AV38" s="2026">
        <v>64010.7</v>
      </c>
      <c r="AW38" s="2026">
        <v>17015.7</v>
      </c>
      <c r="AX38" s="2026">
        <v>520021</v>
      </c>
      <c r="AY38" s="2026">
        <v>624478.89999999991</v>
      </c>
      <c r="AZ38" s="2027">
        <v>14.83</v>
      </c>
      <c r="BA38" s="2027">
        <v>-1.88</v>
      </c>
      <c r="BB38" s="2027">
        <v>6.49</v>
      </c>
      <c r="BC38" s="2027">
        <v>7.97</v>
      </c>
      <c r="BD38" s="2027">
        <v>6.95</v>
      </c>
      <c r="BE38" s="2027">
        <v>2.5534340064757006</v>
      </c>
      <c r="BF38" s="2027">
        <v>3843</v>
      </c>
      <c r="BG38" s="2027">
        <v>1543</v>
      </c>
      <c r="BH38" s="2027">
        <v>5923</v>
      </c>
      <c r="BI38" s="2027">
        <v>63</v>
      </c>
      <c r="BJ38" s="2027">
        <v>11372</v>
      </c>
      <c r="BK38" s="2027">
        <v>115.22516525024005</v>
      </c>
      <c r="BL38" s="2027">
        <v>176.80646060499473</v>
      </c>
      <c r="BM38" s="2027">
        <v>203.72553640520576</v>
      </c>
      <c r="BN38" s="2027">
        <v>5.7752849738765413</v>
      </c>
      <c r="BO38" s="2027">
        <v>4</v>
      </c>
      <c r="BP38" s="2027">
        <v>6.26</v>
      </c>
      <c r="BQ38" s="2027">
        <v>12.08</v>
      </c>
      <c r="BR38" s="2026">
        <v>5.82</v>
      </c>
      <c r="BS38" s="2027">
        <v>10.68</v>
      </c>
      <c r="BT38" s="2026">
        <v>13.89</v>
      </c>
      <c r="BU38" s="2027">
        <v>3.2100000000000009</v>
      </c>
    </row>
    <row r="39" spans="2:73" s="125" customFormat="1" ht="11.25" customHeight="1" x14ac:dyDescent="0.2">
      <c r="B39" s="1681"/>
      <c r="C39" s="1992"/>
      <c r="D39" s="1992"/>
      <c r="E39" s="1992"/>
      <c r="F39" s="1992"/>
      <c r="G39" s="1992"/>
      <c r="H39" s="1992"/>
      <c r="I39" s="1992"/>
      <c r="J39" s="1992"/>
      <c r="K39" s="1992"/>
      <c r="L39" s="1992"/>
      <c r="M39" s="1992"/>
      <c r="N39" s="1992"/>
      <c r="O39" s="1992"/>
      <c r="P39" s="1992"/>
      <c r="Q39" s="1992"/>
      <c r="R39" s="1992"/>
      <c r="S39" s="1992"/>
      <c r="T39" s="1992"/>
      <c r="U39" s="1992"/>
      <c r="V39" s="1992"/>
      <c r="W39" s="1992"/>
      <c r="X39" s="1992"/>
      <c r="Y39" s="1992"/>
      <c r="Z39" s="1992"/>
      <c r="AA39" s="1992"/>
      <c r="AB39" s="1992"/>
      <c r="AC39" s="1992"/>
      <c r="AD39" s="1992"/>
      <c r="AE39" s="1992"/>
      <c r="AF39" s="1992"/>
      <c r="AG39" s="1992"/>
      <c r="AH39" s="1992"/>
      <c r="AI39" s="1992"/>
      <c r="AJ39" s="1992"/>
      <c r="AK39" s="1992"/>
      <c r="AL39" s="1992"/>
      <c r="AM39" s="1992"/>
      <c r="AN39" s="1992"/>
      <c r="AO39" s="1992"/>
      <c r="AP39" s="1992"/>
      <c r="AQ39" s="1992"/>
      <c r="AR39" s="1992"/>
      <c r="AS39" s="1992"/>
      <c r="AT39" s="1992"/>
      <c r="AU39" s="1992"/>
      <c r="AV39" s="1992"/>
      <c r="AW39" s="1992"/>
      <c r="AX39" s="1992"/>
      <c r="AY39" s="1992"/>
      <c r="AZ39" s="903"/>
      <c r="BA39" s="903"/>
      <c r="BB39" s="903"/>
      <c r="BC39" s="903"/>
      <c r="BD39" s="903"/>
      <c r="BE39" s="903"/>
      <c r="BF39" s="903"/>
      <c r="BG39" s="903"/>
      <c r="BH39" s="903"/>
      <c r="BI39" s="903"/>
      <c r="BJ39" s="903"/>
      <c r="BK39" s="903"/>
      <c r="BL39" s="903"/>
      <c r="BM39" s="903"/>
      <c r="BN39" s="903"/>
      <c r="BO39" s="903"/>
      <c r="BP39" s="903"/>
      <c r="BQ39" s="903"/>
      <c r="BR39" s="1992"/>
      <c r="BS39" s="903"/>
      <c r="BT39" s="1992"/>
      <c r="BU39" s="903"/>
    </row>
    <row r="40" spans="2:73" s="125" customFormat="1" ht="11.25" customHeight="1" x14ac:dyDescent="0.2">
      <c r="B40" s="1681"/>
      <c r="C40" s="1992"/>
      <c r="D40" s="1992"/>
      <c r="E40" s="1992"/>
      <c r="F40" s="1992"/>
      <c r="G40" s="1992"/>
      <c r="H40" s="1992"/>
      <c r="I40" s="1992"/>
      <c r="J40" s="1992"/>
      <c r="K40" s="1992"/>
      <c r="L40" s="1992"/>
      <c r="M40" s="1992"/>
      <c r="N40" s="1992"/>
      <c r="O40" s="1992"/>
      <c r="P40" s="1992"/>
      <c r="Q40" s="1992"/>
      <c r="R40" s="1992"/>
      <c r="S40" s="1992"/>
      <c r="T40" s="1992"/>
      <c r="U40" s="1992"/>
      <c r="V40" s="1992"/>
      <c r="W40" s="1992"/>
      <c r="X40" s="1992"/>
      <c r="Y40" s="1992"/>
      <c r="Z40" s="1992"/>
      <c r="AA40" s="1992"/>
      <c r="AB40" s="1992"/>
      <c r="AC40" s="1992"/>
      <c r="AD40" s="1992"/>
      <c r="AE40" s="1992"/>
      <c r="AF40" s="1992"/>
      <c r="AG40" s="1992"/>
      <c r="AH40" s="1992"/>
      <c r="AI40" s="1992"/>
      <c r="AJ40" s="1992"/>
      <c r="AK40" s="1992"/>
      <c r="AL40" s="1992"/>
      <c r="AM40" s="1992"/>
      <c r="AN40" s="1992"/>
      <c r="AO40" s="1992"/>
      <c r="AP40" s="1992"/>
      <c r="AQ40" s="1992"/>
      <c r="AR40" s="1992"/>
      <c r="AS40" s="1992"/>
      <c r="AT40" s="1992"/>
      <c r="AU40" s="1992"/>
      <c r="AV40" s="1992"/>
      <c r="AW40" s="1992"/>
      <c r="AX40" s="1992"/>
      <c r="AY40" s="1992"/>
      <c r="AZ40" s="903"/>
      <c r="BA40" s="903"/>
      <c r="BB40" s="903"/>
      <c r="BC40" s="903"/>
      <c r="BD40" s="903"/>
      <c r="BE40" s="903"/>
      <c r="BF40" s="903"/>
      <c r="BG40" s="903"/>
      <c r="BH40" s="903"/>
      <c r="BI40" s="903"/>
      <c r="BJ40" s="903"/>
      <c r="BK40" s="903"/>
      <c r="BL40" s="903"/>
      <c r="BM40" s="903"/>
      <c r="BN40" s="903"/>
      <c r="BO40" s="903"/>
      <c r="BP40" s="903"/>
      <c r="BQ40" s="903"/>
      <c r="BR40" s="1992"/>
      <c r="BS40" s="903"/>
      <c r="BT40" s="1992"/>
      <c r="BU40" s="903"/>
    </row>
    <row r="41" spans="2:73" s="125" customFormat="1" ht="11.25" customHeight="1" x14ac:dyDescent="0.2">
      <c r="B41" s="1681"/>
      <c r="C41" s="1992"/>
      <c r="D41" s="1992"/>
      <c r="E41" s="1992"/>
      <c r="F41" s="1992"/>
      <c r="G41" s="1992"/>
      <c r="H41" s="1992"/>
      <c r="I41" s="1992"/>
      <c r="J41" s="1992"/>
      <c r="K41" s="1992"/>
      <c r="L41" s="1992"/>
      <c r="M41" s="1992"/>
      <c r="N41" s="1992"/>
      <c r="O41" s="1992"/>
      <c r="P41" s="1992"/>
      <c r="Q41" s="1992"/>
      <c r="R41" s="1992"/>
      <c r="S41" s="1992"/>
      <c r="T41" s="1992"/>
      <c r="U41" s="1992"/>
      <c r="V41" s="1992"/>
      <c r="W41" s="1992"/>
      <c r="X41" s="1992"/>
      <c r="Y41" s="1992"/>
      <c r="Z41" s="1992"/>
      <c r="AA41" s="1992"/>
      <c r="AB41" s="1992"/>
      <c r="AC41" s="1992"/>
      <c r="AD41" s="1992"/>
      <c r="AE41" s="1992"/>
      <c r="AF41" s="1992"/>
      <c r="AG41" s="1992"/>
      <c r="AH41" s="1992"/>
      <c r="AI41" s="1992"/>
      <c r="AJ41" s="1992"/>
      <c r="AK41" s="1992"/>
      <c r="AL41" s="1992"/>
      <c r="AM41" s="1992"/>
      <c r="AN41" s="1992"/>
      <c r="AO41" s="1992"/>
      <c r="AP41" s="1992"/>
      <c r="AQ41" s="1992"/>
      <c r="AR41" s="1992"/>
      <c r="AS41" s="1992"/>
      <c r="AT41" s="1992"/>
      <c r="AU41" s="1992"/>
      <c r="AV41" s="1992"/>
      <c r="AW41" s="1992"/>
      <c r="AX41" s="1992"/>
      <c r="AY41" s="1992"/>
      <c r="AZ41" s="903"/>
      <c r="BA41" s="903"/>
      <c r="BB41" s="903"/>
      <c r="BC41" s="903"/>
      <c r="BD41" s="903"/>
      <c r="BE41" s="903"/>
      <c r="BF41" s="903"/>
      <c r="BG41" s="903"/>
      <c r="BH41" s="903"/>
      <c r="BI41" s="903"/>
      <c r="BJ41" s="903"/>
      <c r="BK41" s="903"/>
      <c r="BL41" s="903"/>
      <c r="BM41" s="903"/>
      <c r="BN41" s="903"/>
      <c r="BO41" s="903"/>
      <c r="BP41" s="903"/>
      <c r="BQ41" s="903"/>
      <c r="BR41" s="1992"/>
      <c r="BS41" s="903"/>
      <c r="BT41" s="1992"/>
      <c r="BU41" s="903"/>
    </row>
    <row r="42" spans="2:73" s="125" customFormat="1" ht="11.25" customHeight="1" x14ac:dyDescent="0.2">
      <c r="B42" s="1681"/>
      <c r="C42" s="1992"/>
      <c r="D42" s="1992"/>
      <c r="E42" s="1992"/>
      <c r="F42" s="1992"/>
      <c r="G42" s="1992"/>
      <c r="H42" s="1992"/>
      <c r="I42" s="1992"/>
      <c r="J42" s="1992"/>
      <c r="K42" s="1992"/>
      <c r="L42" s="1992"/>
      <c r="M42" s="1992"/>
      <c r="N42" s="1992"/>
      <c r="O42" s="1992"/>
      <c r="P42" s="1992"/>
      <c r="Q42" s="1992"/>
      <c r="R42" s="1992"/>
      <c r="S42" s="1992"/>
      <c r="T42" s="1992"/>
      <c r="U42" s="1992"/>
      <c r="V42" s="1992"/>
      <c r="W42" s="1992"/>
      <c r="X42" s="1992"/>
      <c r="Y42" s="1992"/>
      <c r="Z42" s="1992"/>
      <c r="AA42" s="1992"/>
      <c r="AB42" s="1992"/>
      <c r="AC42" s="1992"/>
      <c r="AD42" s="1992"/>
      <c r="AE42" s="1992"/>
      <c r="AF42" s="1992"/>
      <c r="AG42" s="1992"/>
      <c r="AH42" s="1992"/>
      <c r="AI42" s="1992"/>
      <c r="AJ42" s="1992"/>
      <c r="AK42" s="1992"/>
      <c r="AL42" s="1992"/>
      <c r="AM42" s="1992"/>
      <c r="AN42" s="1992"/>
      <c r="AO42" s="1992"/>
      <c r="AP42" s="1992"/>
      <c r="AQ42" s="1992"/>
      <c r="AR42" s="1992"/>
      <c r="AS42" s="1992"/>
      <c r="AT42" s="1992"/>
      <c r="AU42" s="1992"/>
      <c r="AV42" s="1992"/>
      <c r="AW42" s="1992"/>
      <c r="AX42" s="1992"/>
      <c r="AY42" s="1992"/>
      <c r="AZ42" s="903"/>
      <c r="BA42" s="903"/>
      <c r="BB42" s="903"/>
      <c r="BC42" s="903"/>
      <c r="BD42" s="903"/>
      <c r="BE42" s="903"/>
      <c r="BF42" s="903"/>
      <c r="BG42" s="903"/>
      <c r="BH42" s="903"/>
      <c r="BI42" s="903"/>
      <c r="BJ42" s="903"/>
      <c r="BK42" s="903"/>
      <c r="BL42" s="903"/>
      <c r="BM42" s="903"/>
      <c r="BN42" s="903"/>
      <c r="BO42" s="903"/>
      <c r="BP42" s="903"/>
      <c r="BQ42" s="903"/>
      <c r="BR42" s="1992"/>
      <c r="BS42" s="903"/>
      <c r="BT42" s="1992"/>
      <c r="BU42" s="903"/>
    </row>
    <row r="43" spans="2:73" s="125" customFormat="1" ht="11.25" customHeight="1" x14ac:dyDescent="0.2">
      <c r="B43" s="1681"/>
      <c r="C43" s="1992"/>
      <c r="D43" s="1992"/>
      <c r="E43" s="1992"/>
      <c r="F43" s="1992"/>
      <c r="G43" s="1992"/>
      <c r="H43" s="1992"/>
      <c r="I43" s="1992"/>
      <c r="J43" s="1992"/>
      <c r="K43" s="1992"/>
      <c r="L43" s="1992"/>
      <c r="M43" s="1992"/>
      <c r="N43" s="1992"/>
      <c r="O43" s="1992"/>
      <c r="P43" s="1992"/>
      <c r="Q43" s="1992"/>
      <c r="R43" s="1992"/>
      <c r="S43" s="1992"/>
      <c r="T43" s="1992"/>
      <c r="U43" s="1992"/>
      <c r="V43" s="1992"/>
      <c r="W43" s="1992"/>
      <c r="X43" s="1992"/>
      <c r="Y43" s="1992"/>
      <c r="Z43" s="1992"/>
      <c r="AA43" s="1992"/>
      <c r="AB43" s="1992"/>
      <c r="AC43" s="1992"/>
      <c r="AD43" s="1992"/>
      <c r="AE43" s="1992"/>
      <c r="AF43" s="1992"/>
      <c r="AG43" s="1992"/>
      <c r="AH43" s="1992"/>
      <c r="AI43" s="1992"/>
      <c r="AJ43" s="1992"/>
      <c r="AK43" s="1992"/>
      <c r="AL43" s="1992"/>
      <c r="AM43" s="1992"/>
      <c r="AN43" s="1992"/>
      <c r="AO43" s="1992"/>
      <c r="AP43" s="1992"/>
      <c r="AQ43" s="1992"/>
      <c r="AR43" s="1992"/>
      <c r="AS43" s="1992"/>
      <c r="AT43" s="1992"/>
      <c r="AU43" s="1992"/>
      <c r="AV43" s="1992"/>
      <c r="AW43" s="1992"/>
      <c r="AX43" s="1992"/>
      <c r="AY43" s="1992"/>
      <c r="AZ43" s="903"/>
      <c r="BA43" s="903"/>
      <c r="BB43" s="903"/>
      <c r="BC43" s="903"/>
      <c r="BD43" s="903"/>
      <c r="BE43" s="903"/>
      <c r="BF43" s="903"/>
      <c r="BG43" s="903"/>
      <c r="BH43" s="903"/>
      <c r="BI43" s="903"/>
      <c r="BJ43" s="903"/>
      <c r="BK43" s="903"/>
      <c r="BL43" s="903"/>
      <c r="BM43" s="903"/>
      <c r="BN43" s="903"/>
      <c r="BO43" s="903"/>
      <c r="BP43" s="903"/>
      <c r="BQ43" s="903"/>
      <c r="BR43" s="1992"/>
      <c r="BS43" s="903"/>
      <c r="BT43" s="1992"/>
      <c r="BU43" s="903"/>
    </row>
    <row r="44" spans="2:73" s="125" customFormat="1" ht="11.25" customHeight="1" x14ac:dyDescent="0.2">
      <c r="B44" s="1681"/>
      <c r="C44" s="1992"/>
      <c r="D44" s="1992"/>
      <c r="E44" s="1992"/>
      <c r="F44" s="1992"/>
      <c r="G44" s="1992"/>
      <c r="H44" s="1992"/>
      <c r="I44" s="1992"/>
      <c r="J44" s="1992"/>
      <c r="K44" s="1992"/>
      <c r="L44" s="1992"/>
      <c r="M44" s="1992"/>
      <c r="N44" s="1992"/>
      <c r="O44" s="1992"/>
      <c r="P44" s="1992"/>
      <c r="Q44" s="1992"/>
      <c r="R44" s="1992"/>
      <c r="S44" s="1992"/>
      <c r="T44" s="1992"/>
      <c r="U44" s="1992"/>
      <c r="V44" s="1992"/>
      <c r="W44" s="1992"/>
      <c r="X44" s="1992"/>
      <c r="Y44" s="1992"/>
      <c r="Z44" s="1992"/>
      <c r="AA44" s="1992"/>
      <c r="AB44" s="1992"/>
      <c r="AC44" s="1992"/>
      <c r="AD44" s="1992"/>
      <c r="AE44" s="1992"/>
      <c r="AF44" s="1992"/>
      <c r="AG44" s="1992"/>
      <c r="AH44" s="1992"/>
      <c r="AI44" s="1992"/>
      <c r="AJ44" s="1992"/>
      <c r="AK44" s="1992"/>
      <c r="AL44" s="1992"/>
      <c r="AM44" s="1992"/>
      <c r="AN44" s="1992"/>
      <c r="AO44" s="1992"/>
      <c r="AP44" s="1992"/>
      <c r="AQ44" s="1992"/>
      <c r="AR44" s="1992"/>
      <c r="AS44" s="1992"/>
      <c r="AT44" s="1992"/>
      <c r="AU44" s="1992"/>
      <c r="AV44" s="1992"/>
      <c r="AW44" s="1992"/>
      <c r="AX44" s="1992"/>
      <c r="AY44" s="1992"/>
      <c r="AZ44" s="903"/>
      <c r="BA44" s="903"/>
      <c r="BB44" s="903"/>
      <c r="BC44" s="903"/>
      <c r="BD44" s="903"/>
      <c r="BE44" s="903"/>
      <c r="BF44" s="903"/>
      <c r="BG44" s="903"/>
      <c r="BH44" s="903"/>
      <c r="BI44" s="903"/>
      <c r="BJ44" s="903"/>
      <c r="BK44" s="903"/>
      <c r="BL44" s="903"/>
      <c r="BM44" s="903"/>
      <c r="BN44" s="903"/>
      <c r="BO44" s="903"/>
      <c r="BP44" s="903"/>
      <c r="BQ44" s="903"/>
      <c r="BR44" s="1992"/>
      <c r="BS44" s="903"/>
      <c r="BT44" s="1992"/>
      <c r="BU44" s="903"/>
    </row>
    <row r="45" spans="2:73" s="125" customFormat="1" ht="11.25" customHeight="1" x14ac:dyDescent="0.2">
      <c r="B45" s="1681"/>
      <c r="C45" s="1992"/>
      <c r="D45" s="1992"/>
      <c r="E45" s="1992"/>
      <c r="F45" s="1992"/>
      <c r="G45" s="1992"/>
      <c r="H45" s="1992"/>
      <c r="I45" s="1992"/>
      <c r="J45" s="1992"/>
      <c r="K45" s="1992"/>
      <c r="L45" s="1992"/>
      <c r="M45" s="1992"/>
      <c r="N45" s="1992"/>
      <c r="O45" s="1992"/>
      <c r="P45" s="1992"/>
      <c r="Q45" s="1992"/>
      <c r="R45" s="1992"/>
      <c r="S45" s="1992"/>
      <c r="T45" s="1992"/>
      <c r="U45" s="1992"/>
      <c r="V45" s="1992"/>
      <c r="W45" s="1992"/>
      <c r="X45" s="1992"/>
      <c r="Y45" s="1992"/>
      <c r="Z45" s="1992"/>
      <c r="AA45" s="1992"/>
      <c r="AB45" s="1992"/>
      <c r="AC45" s="1992"/>
      <c r="AD45" s="1992"/>
      <c r="AE45" s="1992"/>
      <c r="AF45" s="1992"/>
      <c r="AG45" s="1992"/>
      <c r="AH45" s="1992"/>
      <c r="AI45" s="1992"/>
      <c r="AJ45" s="1992"/>
      <c r="AK45" s="1992"/>
      <c r="AL45" s="1992"/>
      <c r="AM45" s="1992"/>
      <c r="AN45" s="1992"/>
      <c r="AO45" s="1992"/>
      <c r="AP45" s="1992"/>
      <c r="AQ45" s="1992"/>
      <c r="AR45" s="1992"/>
      <c r="AS45" s="1992"/>
      <c r="AT45" s="1992"/>
      <c r="AU45" s="1992"/>
      <c r="AV45" s="1992"/>
      <c r="AW45" s="1992"/>
      <c r="AX45" s="1992"/>
      <c r="AY45" s="1992"/>
      <c r="AZ45" s="903"/>
      <c r="BA45" s="903"/>
      <c r="BB45" s="903"/>
      <c r="BC45" s="903"/>
      <c r="BD45" s="903"/>
      <c r="BE45" s="903"/>
      <c r="BF45" s="903"/>
      <c r="BG45" s="903"/>
      <c r="BH45" s="903"/>
      <c r="BI45" s="903"/>
      <c r="BJ45" s="903"/>
      <c r="BK45" s="903"/>
      <c r="BL45" s="903"/>
      <c r="BM45" s="903"/>
      <c r="BN45" s="903"/>
      <c r="BO45" s="903"/>
      <c r="BP45" s="903"/>
      <c r="BQ45" s="903"/>
      <c r="BR45" s="1992"/>
      <c r="BS45" s="903"/>
      <c r="BT45" s="1992"/>
      <c r="BU45" s="903"/>
    </row>
    <row r="46" spans="2:73" s="125" customFormat="1" ht="11.25" customHeight="1" x14ac:dyDescent="0.2">
      <c r="B46" s="1681"/>
      <c r="C46" s="1992"/>
      <c r="D46" s="1992"/>
      <c r="E46" s="1992"/>
      <c r="F46" s="1992"/>
      <c r="G46" s="1992"/>
      <c r="H46" s="1992"/>
      <c r="I46" s="1992"/>
      <c r="J46" s="1992"/>
      <c r="K46" s="1992"/>
      <c r="L46" s="1992"/>
      <c r="M46" s="1992"/>
      <c r="N46" s="1992"/>
      <c r="O46" s="1992"/>
      <c r="P46" s="1992"/>
      <c r="Q46" s="1992"/>
      <c r="R46" s="1992"/>
      <c r="S46" s="1992"/>
      <c r="T46" s="1992"/>
      <c r="U46" s="1992"/>
      <c r="V46" s="1992"/>
      <c r="W46" s="1992"/>
      <c r="X46" s="1992"/>
      <c r="Y46" s="1992"/>
      <c r="Z46" s="1992"/>
      <c r="AA46" s="1992"/>
      <c r="AB46" s="1992"/>
      <c r="AC46" s="1992"/>
      <c r="AD46" s="1992"/>
      <c r="AE46" s="1992"/>
      <c r="AF46" s="1992"/>
      <c r="AG46" s="1992"/>
      <c r="AH46" s="1992"/>
      <c r="AI46" s="1992"/>
      <c r="AJ46" s="1992"/>
      <c r="AK46" s="1992"/>
      <c r="AL46" s="1992"/>
      <c r="AM46" s="1992"/>
      <c r="AN46" s="1992"/>
      <c r="AO46" s="1992"/>
      <c r="AP46" s="1992"/>
      <c r="AQ46" s="1992"/>
      <c r="AR46" s="1992"/>
      <c r="AS46" s="1992"/>
      <c r="AT46" s="1992"/>
      <c r="AU46" s="1992"/>
      <c r="AV46" s="1992"/>
      <c r="AW46" s="1992"/>
      <c r="AX46" s="1992"/>
      <c r="AY46" s="1992"/>
      <c r="AZ46" s="903"/>
      <c r="BA46" s="903"/>
      <c r="BB46" s="903"/>
      <c r="BC46" s="903"/>
      <c r="BD46" s="903"/>
      <c r="BE46" s="903"/>
      <c r="BF46" s="903"/>
      <c r="BG46" s="903"/>
      <c r="BH46" s="903"/>
      <c r="BI46" s="903"/>
      <c r="BJ46" s="903"/>
      <c r="BK46" s="903"/>
      <c r="BL46" s="903"/>
      <c r="BM46" s="903"/>
      <c r="BN46" s="903"/>
      <c r="BO46" s="903"/>
      <c r="BP46" s="903"/>
      <c r="BQ46" s="903"/>
      <c r="BR46" s="1992"/>
      <c r="BS46" s="903"/>
      <c r="BT46" s="1992"/>
      <c r="BU46" s="903"/>
    </row>
    <row r="47" spans="2:73" s="125" customFormat="1" ht="11.25" customHeight="1" x14ac:dyDescent="0.2">
      <c r="B47" s="1681"/>
      <c r="C47" s="1992"/>
      <c r="D47" s="1992"/>
      <c r="E47" s="1992"/>
      <c r="F47" s="1992"/>
      <c r="G47" s="1992"/>
      <c r="H47" s="1992"/>
      <c r="I47" s="1992"/>
      <c r="J47" s="1992"/>
      <c r="K47" s="1992"/>
      <c r="L47" s="1992"/>
      <c r="M47" s="1992"/>
      <c r="N47" s="1992"/>
      <c r="O47" s="1992"/>
      <c r="P47" s="1992"/>
      <c r="Q47" s="1992"/>
      <c r="R47" s="1992"/>
      <c r="S47" s="1992"/>
      <c r="T47" s="1992"/>
      <c r="U47" s="1992"/>
      <c r="V47" s="1992"/>
      <c r="W47" s="1992"/>
      <c r="X47" s="1992"/>
      <c r="Y47" s="1992"/>
      <c r="Z47" s="1992"/>
      <c r="AA47" s="1992"/>
      <c r="AB47" s="1992"/>
      <c r="AC47" s="1992"/>
      <c r="AD47" s="1992"/>
      <c r="AE47" s="1992"/>
      <c r="AF47" s="1992"/>
      <c r="AG47" s="1992"/>
      <c r="AH47" s="1992"/>
      <c r="AI47" s="1992"/>
      <c r="AJ47" s="1992"/>
      <c r="AK47" s="1992"/>
      <c r="AL47" s="1992"/>
      <c r="AM47" s="1992"/>
      <c r="AN47" s="1992"/>
      <c r="AO47" s="1992"/>
      <c r="AP47" s="1992"/>
      <c r="AQ47" s="1992"/>
      <c r="AR47" s="1992"/>
      <c r="AS47" s="1992"/>
      <c r="AT47" s="1992"/>
      <c r="AU47" s="1992"/>
      <c r="AV47" s="1992"/>
      <c r="AW47" s="1992"/>
      <c r="AX47" s="1992"/>
      <c r="AY47" s="1992"/>
      <c r="AZ47" s="903"/>
      <c r="BA47" s="903"/>
      <c r="BB47" s="903"/>
      <c r="BC47" s="903"/>
      <c r="BD47" s="903"/>
      <c r="BE47" s="903"/>
      <c r="BF47" s="903"/>
      <c r="BG47" s="903"/>
      <c r="BH47" s="903"/>
      <c r="BI47" s="903"/>
      <c r="BJ47" s="903"/>
      <c r="BK47" s="903"/>
      <c r="BL47" s="903"/>
      <c r="BM47" s="903"/>
      <c r="BN47" s="903"/>
      <c r="BO47" s="903"/>
      <c r="BP47" s="903"/>
      <c r="BQ47" s="903"/>
      <c r="BR47" s="1992"/>
      <c r="BS47" s="903"/>
      <c r="BT47" s="1992"/>
      <c r="BU47" s="903"/>
    </row>
    <row r="48" spans="2:73" s="125" customFormat="1" ht="11.25" customHeight="1" x14ac:dyDescent="0.2">
      <c r="B48" s="1681"/>
      <c r="C48" s="1992"/>
      <c r="D48" s="1992"/>
      <c r="E48" s="1992"/>
      <c r="F48" s="1992"/>
      <c r="G48" s="1992"/>
      <c r="H48" s="1992"/>
      <c r="I48" s="1992"/>
      <c r="J48" s="1992"/>
      <c r="K48" s="1992"/>
      <c r="L48" s="1992"/>
      <c r="M48" s="1992"/>
      <c r="N48" s="1992"/>
      <c r="O48" s="1992"/>
      <c r="P48" s="1992"/>
      <c r="Q48" s="1992"/>
      <c r="R48" s="1992"/>
      <c r="S48" s="1992"/>
      <c r="T48" s="1992"/>
      <c r="U48" s="1992"/>
      <c r="V48" s="1992"/>
      <c r="W48" s="1992"/>
      <c r="X48" s="1992"/>
      <c r="Y48" s="1992"/>
      <c r="Z48" s="1992"/>
      <c r="AA48" s="1992"/>
      <c r="AB48" s="1992"/>
      <c r="AC48" s="1992"/>
      <c r="AD48" s="1992"/>
      <c r="AE48" s="1992"/>
      <c r="AF48" s="1992"/>
      <c r="AG48" s="1992"/>
      <c r="AH48" s="1992"/>
      <c r="AI48" s="1992"/>
      <c r="AJ48" s="1992"/>
      <c r="AK48" s="1992"/>
      <c r="AL48" s="1992"/>
      <c r="AM48" s="1992"/>
      <c r="AN48" s="1992"/>
      <c r="AO48" s="1992"/>
      <c r="AP48" s="1992"/>
      <c r="AQ48" s="1992"/>
      <c r="AR48" s="1992"/>
      <c r="AS48" s="1992"/>
      <c r="AT48" s="1992"/>
      <c r="AU48" s="1992"/>
      <c r="AV48" s="1992"/>
      <c r="AW48" s="1992"/>
      <c r="AX48" s="1992"/>
      <c r="AY48" s="1992"/>
      <c r="AZ48" s="903"/>
      <c r="BA48" s="903"/>
      <c r="BB48" s="903"/>
      <c r="BC48" s="903"/>
      <c r="BD48" s="903"/>
      <c r="BE48" s="903"/>
      <c r="BF48" s="903"/>
      <c r="BG48" s="903"/>
      <c r="BH48" s="903"/>
      <c r="BI48" s="903"/>
      <c r="BJ48" s="903"/>
      <c r="BK48" s="903"/>
      <c r="BL48" s="903"/>
      <c r="BM48" s="903"/>
      <c r="BN48" s="903"/>
      <c r="BO48" s="903"/>
      <c r="BP48" s="903"/>
      <c r="BQ48" s="903"/>
      <c r="BR48" s="1992"/>
      <c r="BS48" s="903"/>
      <c r="BT48" s="1992"/>
      <c r="BU48" s="903"/>
    </row>
    <row r="49" spans="1:73" s="125" customFormat="1" ht="11.25" customHeight="1" x14ac:dyDescent="0.2">
      <c r="B49" s="1681"/>
      <c r="C49" s="1992"/>
      <c r="D49" s="1992"/>
      <c r="E49" s="1992"/>
      <c r="F49" s="1992"/>
      <c r="G49" s="1992"/>
      <c r="H49" s="1992"/>
      <c r="I49" s="1992"/>
      <c r="J49" s="1992"/>
      <c r="K49" s="1992"/>
      <c r="L49" s="1992"/>
      <c r="M49" s="1992"/>
      <c r="N49" s="1992"/>
      <c r="O49" s="1992"/>
      <c r="P49" s="1992"/>
      <c r="Q49" s="1992"/>
      <c r="R49" s="1992"/>
      <c r="S49" s="1992"/>
      <c r="T49" s="1992"/>
      <c r="U49" s="1992"/>
      <c r="V49" s="1992"/>
      <c r="W49" s="1992"/>
      <c r="X49" s="1992"/>
      <c r="Y49" s="1992"/>
      <c r="Z49" s="1992"/>
      <c r="AA49" s="1992"/>
      <c r="AB49" s="1992"/>
      <c r="AC49" s="1992"/>
      <c r="AD49" s="1992"/>
      <c r="AE49" s="1992"/>
      <c r="AF49" s="1992"/>
      <c r="AG49" s="1992"/>
      <c r="AH49" s="1992"/>
      <c r="AI49" s="1992"/>
      <c r="AJ49" s="1992"/>
      <c r="AK49" s="1992"/>
      <c r="AL49" s="1992"/>
      <c r="AM49" s="1992"/>
      <c r="AN49" s="1992"/>
      <c r="AO49" s="1992"/>
      <c r="AP49" s="1992"/>
      <c r="AQ49" s="1992"/>
      <c r="AR49" s="1992"/>
      <c r="AS49" s="1992"/>
      <c r="AT49" s="1992"/>
      <c r="AU49" s="1992"/>
      <c r="AV49" s="1992"/>
      <c r="AW49" s="1992"/>
      <c r="AX49" s="1992"/>
      <c r="AY49" s="1992"/>
      <c r="AZ49" s="903"/>
      <c r="BA49" s="903"/>
      <c r="BB49" s="903"/>
      <c r="BC49" s="903"/>
      <c r="BD49" s="903"/>
      <c r="BE49" s="903"/>
      <c r="BF49" s="903"/>
      <c r="BG49" s="903"/>
      <c r="BH49" s="903"/>
      <c r="BI49" s="903"/>
      <c r="BJ49" s="903"/>
      <c r="BK49" s="903"/>
      <c r="BL49" s="903"/>
      <c r="BM49" s="903"/>
      <c r="BN49" s="903"/>
      <c r="BO49" s="903"/>
      <c r="BP49" s="903"/>
      <c r="BQ49" s="903"/>
      <c r="BR49" s="1992"/>
      <c r="BS49" s="903"/>
      <c r="BT49" s="1992"/>
      <c r="BU49" s="903"/>
    </row>
    <row r="50" spans="1:73" s="125" customFormat="1" ht="11.25" customHeight="1" x14ac:dyDescent="0.2">
      <c r="B50" s="1681"/>
      <c r="C50" s="1992"/>
      <c r="D50" s="1992"/>
      <c r="E50" s="1992"/>
      <c r="F50" s="1992"/>
      <c r="G50" s="1992"/>
      <c r="H50" s="1992"/>
      <c r="I50" s="1992"/>
      <c r="J50" s="1992"/>
      <c r="K50" s="1992"/>
      <c r="L50" s="1992"/>
      <c r="M50" s="1992"/>
      <c r="N50" s="1992"/>
      <c r="O50" s="1992"/>
      <c r="P50" s="1992"/>
      <c r="Q50" s="1992"/>
      <c r="R50" s="1992"/>
      <c r="S50" s="1992"/>
      <c r="T50" s="1992"/>
      <c r="U50" s="1992"/>
      <c r="V50" s="1992"/>
      <c r="W50" s="1992"/>
      <c r="X50" s="1992"/>
      <c r="Y50" s="1992"/>
      <c r="Z50" s="1992"/>
      <c r="AA50" s="1992"/>
      <c r="AB50" s="1992"/>
      <c r="AC50" s="1992"/>
      <c r="AD50" s="1992"/>
      <c r="AE50" s="1992"/>
      <c r="AF50" s="1992"/>
      <c r="AG50" s="1992"/>
      <c r="AH50" s="1992"/>
      <c r="AI50" s="1992"/>
      <c r="AJ50" s="1992"/>
      <c r="AK50" s="1992"/>
      <c r="AL50" s="1992"/>
      <c r="AM50" s="1992"/>
      <c r="AN50" s="1992"/>
      <c r="AO50" s="1992"/>
      <c r="AP50" s="1992"/>
      <c r="AQ50" s="1992"/>
      <c r="AR50" s="1992"/>
      <c r="AS50" s="1992"/>
      <c r="AT50" s="1992"/>
      <c r="AU50" s="1992"/>
      <c r="AV50" s="1992"/>
      <c r="AW50" s="1992"/>
      <c r="AX50" s="1992"/>
      <c r="AY50" s="1992"/>
      <c r="AZ50" s="903"/>
      <c r="BA50" s="903"/>
      <c r="BB50" s="903"/>
      <c r="BC50" s="903"/>
      <c r="BD50" s="903"/>
      <c r="BE50" s="903"/>
      <c r="BF50" s="903"/>
      <c r="BG50" s="903"/>
      <c r="BH50" s="903"/>
      <c r="BI50" s="903"/>
      <c r="BJ50" s="903"/>
      <c r="BK50" s="903"/>
      <c r="BL50" s="903"/>
      <c r="BM50" s="903"/>
      <c r="BN50" s="903"/>
      <c r="BO50" s="903"/>
      <c r="BP50" s="903"/>
      <c r="BQ50" s="903"/>
      <c r="BR50" s="1992"/>
      <c r="BS50" s="903"/>
      <c r="BT50" s="1992"/>
      <c r="BU50" s="903"/>
    </row>
    <row r="51" spans="1:73" s="125" customFormat="1" ht="11.25" customHeight="1" x14ac:dyDescent="0.2">
      <c r="B51" s="1681"/>
      <c r="C51" s="1992"/>
      <c r="D51" s="1992"/>
      <c r="E51" s="1992"/>
      <c r="F51" s="1992"/>
      <c r="G51" s="1992"/>
      <c r="H51" s="1992"/>
      <c r="I51" s="1992"/>
      <c r="J51" s="1992"/>
      <c r="K51" s="1992"/>
      <c r="L51" s="1992"/>
      <c r="M51" s="1992"/>
      <c r="N51" s="1992"/>
      <c r="O51" s="1992"/>
      <c r="P51" s="1992"/>
      <c r="Q51" s="1992"/>
      <c r="R51" s="1992"/>
      <c r="S51" s="1992"/>
      <c r="T51" s="1992"/>
      <c r="U51" s="1992"/>
      <c r="V51" s="1992"/>
      <c r="W51" s="1992"/>
      <c r="X51" s="1992"/>
      <c r="Y51" s="1992"/>
      <c r="Z51" s="1992"/>
      <c r="AA51" s="1992"/>
      <c r="AB51" s="1992"/>
      <c r="AC51" s="1992"/>
      <c r="AD51" s="1992"/>
      <c r="AE51" s="1992"/>
      <c r="AF51" s="1992"/>
      <c r="AG51" s="1992"/>
      <c r="AH51" s="1992"/>
      <c r="AI51" s="1992"/>
      <c r="AJ51" s="1992"/>
      <c r="AK51" s="1992"/>
      <c r="AL51" s="1992"/>
      <c r="AM51" s="1992"/>
      <c r="AN51" s="1992"/>
      <c r="AO51" s="1992"/>
      <c r="AP51" s="1992"/>
      <c r="AQ51" s="1992"/>
      <c r="AR51" s="1992"/>
      <c r="AS51" s="1992"/>
      <c r="AT51" s="1992"/>
      <c r="AU51" s="1992"/>
      <c r="AV51" s="1992"/>
      <c r="AW51" s="1992"/>
      <c r="AX51" s="1992"/>
      <c r="AY51" s="1992"/>
      <c r="AZ51" s="903"/>
      <c r="BA51" s="903"/>
      <c r="BB51" s="903"/>
      <c r="BC51" s="903"/>
      <c r="BD51" s="903"/>
      <c r="BE51" s="903"/>
      <c r="BF51" s="903"/>
      <c r="BG51" s="903"/>
      <c r="BH51" s="903"/>
      <c r="BI51" s="903"/>
      <c r="BJ51" s="903"/>
      <c r="BK51" s="903"/>
      <c r="BL51" s="903"/>
      <c r="BM51" s="903"/>
      <c r="BN51" s="903"/>
      <c r="BO51" s="903"/>
      <c r="BP51" s="903"/>
      <c r="BQ51" s="903"/>
      <c r="BR51" s="1992"/>
      <c r="BS51" s="903"/>
      <c r="BT51" s="1992"/>
      <c r="BU51" s="903"/>
    </row>
    <row r="52" spans="1:73" s="125" customFormat="1" ht="11.25" customHeight="1" x14ac:dyDescent="0.2">
      <c r="B52" s="1681"/>
      <c r="C52" s="1992"/>
      <c r="D52" s="1992"/>
      <c r="E52" s="1992"/>
      <c r="F52" s="1992"/>
      <c r="G52" s="1992"/>
      <c r="H52" s="1992"/>
      <c r="I52" s="1992"/>
      <c r="J52" s="1992"/>
      <c r="K52" s="1992"/>
      <c r="L52" s="1992"/>
      <c r="M52" s="1992"/>
      <c r="N52" s="1992"/>
      <c r="O52" s="1992"/>
      <c r="P52" s="1992"/>
      <c r="Q52" s="1992"/>
      <c r="R52" s="1992"/>
      <c r="S52" s="1992"/>
      <c r="T52" s="1992"/>
      <c r="U52" s="1992"/>
      <c r="V52" s="1992"/>
      <c r="W52" s="1992"/>
      <c r="X52" s="1992"/>
      <c r="Y52" s="1992"/>
      <c r="Z52" s="1992"/>
      <c r="AA52" s="1992"/>
      <c r="AB52" s="1992"/>
      <c r="AC52" s="1992"/>
      <c r="AD52" s="1992"/>
      <c r="AE52" s="1992"/>
      <c r="AF52" s="1992"/>
      <c r="AG52" s="1992"/>
      <c r="AH52" s="1992"/>
      <c r="AI52" s="1992"/>
      <c r="AJ52" s="1992"/>
      <c r="AK52" s="1992"/>
      <c r="AL52" s="1992"/>
      <c r="AM52" s="1992"/>
      <c r="AN52" s="1992"/>
      <c r="AO52" s="1992"/>
      <c r="AP52" s="1992"/>
      <c r="AQ52" s="1992"/>
      <c r="AR52" s="1992"/>
      <c r="AS52" s="1992"/>
      <c r="AT52" s="1992"/>
      <c r="AU52" s="1992"/>
      <c r="AV52" s="1992"/>
      <c r="AW52" s="1992"/>
      <c r="AX52" s="1992"/>
      <c r="AY52" s="1992"/>
      <c r="AZ52" s="903"/>
      <c r="BA52" s="903"/>
      <c r="BB52" s="903"/>
      <c r="BC52" s="903"/>
      <c r="BD52" s="903"/>
      <c r="BE52" s="903"/>
      <c r="BF52" s="903"/>
      <c r="BG52" s="903"/>
      <c r="BH52" s="903"/>
      <c r="BI52" s="903"/>
      <c r="BJ52" s="903"/>
      <c r="BK52" s="903"/>
      <c r="BL52" s="903"/>
      <c r="BM52" s="903"/>
      <c r="BN52" s="903"/>
      <c r="BO52" s="903"/>
      <c r="BP52" s="903"/>
      <c r="BQ52" s="903"/>
      <c r="BR52" s="1992"/>
      <c r="BS52" s="903"/>
      <c r="BT52" s="1992"/>
      <c r="BU52" s="903"/>
    </row>
    <row r="53" spans="1:73" s="125" customFormat="1" ht="11.25" customHeight="1" x14ac:dyDescent="0.2">
      <c r="B53" s="1681"/>
      <c r="C53" s="1992"/>
      <c r="D53" s="1992"/>
      <c r="E53" s="1992"/>
      <c r="F53" s="1992"/>
      <c r="G53" s="1992"/>
      <c r="H53" s="1992"/>
      <c r="I53" s="1992"/>
      <c r="J53" s="1992"/>
      <c r="K53" s="1992"/>
      <c r="L53" s="1992"/>
      <c r="M53" s="1992"/>
      <c r="N53" s="1992"/>
      <c r="O53" s="1992"/>
      <c r="P53" s="1992"/>
      <c r="Q53" s="1992"/>
      <c r="R53" s="1992"/>
      <c r="S53" s="1992"/>
      <c r="T53" s="1992"/>
      <c r="U53" s="1992"/>
      <c r="V53" s="1992"/>
      <c r="W53" s="1992"/>
      <c r="X53" s="1992"/>
      <c r="Y53" s="1992"/>
      <c r="Z53" s="1992"/>
      <c r="AA53" s="1992"/>
      <c r="AB53" s="1992"/>
      <c r="AC53" s="1992"/>
      <c r="AD53" s="1992"/>
      <c r="AE53" s="1992"/>
      <c r="AF53" s="1992"/>
      <c r="AG53" s="1992"/>
      <c r="AH53" s="1992"/>
      <c r="AI53" s="1992"/>
      <c r="AJ53" s="1992"/>
      <c r="AK53" s="1992"/>
      <c r="AL53" s="1992"/>
      <c r="AM53" s="1992"/>
      <c r="AN53" s="1992"/>
      <c r="AO53" s="1992"/>
      <c r="AP53" s="1992"/>
      <c r="AQ53" s="1992"/>
      <c r="AR53" s="1992"/>
      <c r="AS53" s="1992"/>
      <c r="AT53" s="1992"/>
      <c r="AU53" s="1992"/>
      <c r="AV53" s="1992"/>
      <c r="AW53" s="1992"/>
      <c r="AX53" s="1992"/>
      <c r="AY53" s="1992"/>
      <c r="AZ53" s="903"/>
      <c r="BA53" s="903"/>
      <c r="BB53" s="903"/>
      <c r="BC53" s="903"/>
      <c r="BD53" s="903"/>
      <c r="BE53" s="903"/>
      <c r="BF53" s="903"/>
      <c r="BG53" s="903"/>
      <c r="BH53" s="903"/>
      <c r="BI53" s="903"/>
      <c r="BJ53" s="903"/>
      <c r="BK53" s="903"/>
      <c r="BL53" s="903"/>
      <c r="BM53" s="903"/>
      <c r="BN53" s="903"/>
      <c r="BO53" s="903"/>
      <c r="BP53" s="903"/>
      <c r="BQ53" s="903"/>
      <c r="BR53" s="1992"/>
      <c r="BS53" s="903"/>
      <c r="BT53" s="1992"/>
      <c r="BU53" s="903"/>
    </row>
    <row r="54" spans="1:73" s="125" customFormat="1" ht="11.25" customHeight="1" x14ac:dyDescent="0.2">
      <c r="B54" s="1681"/>
      <c r="C54" s="1992"/>
      <c r="D54" s="1992"/>
      <c r="E54" s="1992"/>
      <c r="F54" s="1992"/>
      <c r="G54" s="1992"/>
      <c r="H54" s="1992"/>
      <c r="I54" s="1992"/>
      <c r="J54" s="1992"/>
      <c r="K54" s="1992"/>
      <c r="L54" s="1992"/>
      <c r="M54" s="1992"/>
      <c r="N54" s="1992"/>
      <c r="O54" s="1992"/>
      <c r="P54" s="1992"/>
      <c r="Q54" s="1992"/>
      <c r="R54" s="1992"/>
      <c r="S54" s="1992"/>
      <c r="T54" s="1992"/>
      <c r="U54" s="1992"/>
      <c r="V54" s="1992"/>
      <c r="W54" s="1992"/>
      <c r="X54" s="1992"/>
      <c r="Y54" s="1992"/>
      <c r="Z54" s="1992"/>
      <c r="AA54" s="1992"/>
      <c r="AB54" s="1992"/>
      <c r="AC54" s="1992"/>
      <c r="AD54" s="1992"/>
      <c r="AE54" s="1992"/>
      <c r="AF54" s="1992"/>
      <c r="AG54" s="1992"/>
      <c r="AH54" s="1992"/>
      <c r="AI54" s="1992"/>
      <c r="AJ54" s="1992"/>
      <c r="AK54" s="1992"/>
      <c r="AL54" s="1992"/>
      <c r="AM54" s="1992"/>
      <c r="AN54" s="1992"/>
      <c r="AO54" s="1992"/>
      <c r="AP54" s="1992"/>
      <c r="AQ54" s="1992"/>
      <c r="AR54" s="1992"/>
      <c r="AS54" s="1992"/>
      <c r="AT54" s="1992"/>
      <c r="AU54" s="1992"/>
      <c r="AV54" s="1992"/>
      <c r="AW54" s="1992"/>
      <c r="AX54" s="1992"/>
      <c r="AY54" s="1992"/>
      <c r="AZ54" s="903"/>
      <c r="BA54" s="903"/>
      <c r="BB54" s="903"/>
      <c r="BC54" s="903"/>
      <c r="BD54" s="903"/>
      <c r="BE54" s="903"/>
      <c r="BF54" s="903"/>
      <c r="BG54" s="903"/>
      <c r="BH54" s="903"/>
      <c r="BI54" s="903"/>
      <c r="BJ54" s="903"/>
      <c r="BK54" s="903"/>
      <c r="BL54" s="903"/>
      <c r="BM54" s="903"/>
      <c r="BN54" s="903"/>
      <c r="BO54" s="903"/>
      <c r="BP54" s="903"/>
      <c r="BQ54" s="903"/>
      <c r="BR54" s="1992"/>
      <c r="BS54" s="903"/>
      <c r="BT54" s="1992"/>
      <c r="BU54" s="903"/>
    </row>
    <row r="55" spans="1:73" s="154" customFormat="1" ht="9.9499999999999993" customHeight="1" x14ac:dyDescent="0.2">
      <c r="A55" s="160" t="s">
        <v>81</v>
      </c>
      <c r="B55" s="275" t="s">
        <v>552</v>
      </c>
      <c r="C55" s="2028">
        <v>39389.599999999999</v>
      </c>
      <c r="D55" s="2029">
        <v>479.5</v>
      </c>
      <c r="E55" s="2029">
        <v>39869.1</v>
      </c>
      <c r="F55" s="2029">
        <v>2800.9</v>
      </c>
      <c r="G55" s="2029">
        <v>37068.199999999997</v>
      </c>
      <c r="H55" s="2029">
        <v>5616.6</v>
      </c>
      <c r="I55" s="2029">
        <v>16128.1</v>
      </c>
      <c r="J55" s="2029">
        <v>28166.6</v>
      </c>
      <c r="K55" s="2029">
        <v>232735.8</v>
      </c>
      <c r="L55" s="2029">
        <v>260902.39999999999</v>
      </c>
      <c r="M55" s="2029">
        <v>277030.5</v>
      </c>
      <c r="N55" s="2029">
        <v>124.8</v>
      </c>
      <c r="O55" s="2029">
        <v>65359.6</v>
      </c>
      <c r="P55" s="2029">
        <v>298095.40000000002</v>
      </c>
      <c r="Q55" s="2029">
        <v>6168.4</v>
      </c>
      <c r="R55" s="2029">
        <v>304263.8</v>
      </c>
      <c r="S55" s="2029">
        <v>0</v>
      </c>
      <c r="T55" s="2029">
        <v>9899.2999999999993</v>
      </c>
      <c r="U55" s="2029">
        <v>206708.5</v>
      </c>
      <c r="V55" s="2029">
        <v>216607.8</v>
      </c>
      <c r="W55" s="2029">
        <v>0</v>
      </c>
      <c r="X55" s="2029">
        <v>2943.5</v>
      </c>
      <c r="Y55" s="2029">
        <v>8584.9</v>
      </c>
      <c r="Z55" s="2029">
        <v>11528.4</v>
      </c>
      <c r="AA55" s="2029">
        <v>1517.7</v>
      </c>
      <c r="AB55" s="2029">
        <v>48618.9</v>
      </c>
      <c r="AC55" s="2029">
        <v>2229.3000000000002</v>
      </c>
      <c r="AD55" s="2029">
        <v>50848.2</v>
      </c>
      <c r="AE55" s="2029">
        <v>1517.7</v>
      </c>
      <c r="AF55" s="2029">
        <v>61461.7</v>
      </c>
      <c r="AG55" s="2029">
        <v>217522.7</v>
      </c>
      <c r="AH55" s="2029">
        <v>278984.40000000002</v>
      </c>
      <c r="AI55" s="2029">
        <v>1183</v>
      </c>
      <c r="AJ55" s="2029">
        <v>6006.9</v>
      </c>
      <c r="AK55" s="2029">
        <v>2631.1</v>
      </c>
      <c r="AL55" s="2029">
        <v>1088.2</v>
      </c>
      <c r="AM55" s="2029">
        <v>277088.7</v>
      </c>
      <c r="AN55" s="2029">
        <v>4241.2</v>
      </c>
      <c r="AO55" s="2029">
        <v>281329.90000000002</v>
      </c>
      <c r="AP55" s="2029">
        <v>14066.5</v>
      </c>
      <c r="AQ55" s="2029">
        <v>13511.4</v>
      </c>
      <c r="AR55" s="2029">
        <v>27577.9</v>
      </c>
      <c r="AS55" s="2029">
        <v>706160.3</v>
      </c>
      <c r="AT55" s="2029">
        <v>67447</v>
      </c>
      <c r="AU55" s="2029">
        <v>5.0999999999999996</v>
      </c>
      <c r="AV55" s="2029">
        <v>24316.9</v>
      </c>
      <c r="AW55" s="2029">
        <v>3114.1</v>
      </c>
      <c r="AX55" s="2029">
        <v>46400.9</v>
      </c>
      <c r="AY55" s="2029">
        <v>73837</v>
      </c>
      <c r="AZ55" s="2030">
        <v>-0.57999999999999996</v>
      </c>
      <c r="BA55" s="2030">
        <v>2.71</v>
      </c>
      <c r="BB55" s="2030">
        <v>0.74</v>
      </c>
      <c r="BC55" s="2030">
        <v>0.56000000000000005</v>
      </c>
      <c r="BD55" s="2030">
        <v>0.54</v>
      </c>
      <c r="BE55" s="2031" t="s">
        <v>3076</v>
      </c>
      <c r="BF55" s="2032">
        <v>6951</v>
      </c>
      <c r="BG55" s="2032">
        <v>3387</v>
      </c>
      <c r="BH55" s="2033"/>
      <c r="BI55" s="2033"/>
      <c r="BJ55" s="2033"/>
      <c r="BK55" s="2030">
        <v>100.68</v>
      </c>
      <c r="BL55" s="2030">
        <v>39.86</v>
      </c>
      <c r="BM55" s="2030">
        <v>40.14</v>
      </c>
      <c r="BN55" s="2030">
        <v>10.96</v>
      </c>
      <c r="BO55" s="2030">
        <v>5</v>
      </c>
      <c r="BP55" s="2030">
        <v>6.96</v>
      </c>
      <c r="BQ55" s="2030">
        <v>11.99</v>
      </c>
      <c r="BR55" s="2030">
        <v>5.0199999999999996</v>
      </c>
      <c r="BS55" s="2033"/>
      <c r="BT55" s="2033"/>
      <c r="BU55" s="2033"/>
    </row>
    <row r="56" spans="1:73" s="154" customFormat="1" ht="9.9499999999999993" customHeight="1" x14ac:dyDescent="0.2">
      <c r="A56" s="160" t="s">
        <v>81</v>
      </c>
      <c r="B56" s="236" t="s">
        <v>553</v>
      </c>
      <c r="C56" s="2028">
        <v>40256.300000000003</v>
      </c>
      <c r="D56" s="2029">
        <v>481.8</v>
      </c>
      <c r="E56" s="2029">
        <v>40738.1</v>
      </c>
      <c r="F56" s="2029">
        <v>3479.6</v>
      </c>
      <c r="G56" s="2029">
        <v>37258.5</v>
      </c>
      <c r="H56" s="2029">
        <v>5964</v>
      </c>
      <c r="I56" s="2029">
        <v>16505.099999999999</v>
      </c>
      <c r="J56" s="2029">
        <v>28614.1</v>
      </c>
      <c r="K56" s="2029">
        <v>237620.8</v>
      </c>
      <c r="L56" s="2029">
        <v>266234.90000000002</v>
      </c>
      <c r="M56" s="2029">
        <v>282740</v>
      </c>
      <c r="N56" s="2029">
        <v>113.1</v>
      </c>
      <c r="O56" s="2029">
        <v>65985.7</v>
      </c>
      <c r="P56" s="2029">
        <v>303606.5</v>
      </c>
      <c r="Q56" s="2029">
        <v>6228.6</v>
      </c>
      <c r="R56" s="2029">
        <v>309835.09999999998</v>
      </c>
      <c r="S56" s="2029">
        <v>0</v>
      </c>
      <c r="T56" s="2029">
        <v>9911.7999999999993</v>
      </c>
      <c r="U56" s="2029">
        <v>209754.7</v>
      </c>
      <c r="V56" s="2029">
        <v>219666.5</v>
      </c>
      <c r="W56" s="2029">
        <v>0</v>
      </c>
      <c r="X56" s="2029">
        <v>2875.4</v>
      </c>
      <c r="Y56" s="2029">
        <v>8489.7000000000007</v>
      </c>
      <c r="Z56" s="2029">
        <v>11365.1</v>
      </c>
      <c r="AA56" s="2029">
        <v>1767.7</v>
      </c>
      <c r="AB56" s="2029">
        <v>48050.3</v>
      </c>
      <c r="AC56" s="2029">
        <v>2580.3000000000002</v>
      </c>
      <c r="AD56" s="2029">
        <v>50630.6</v>
      </c>
      <c r="AE56" s="2029">
        <v>1767.7</v>
      </c>
      <c r="AF56" s="2029">
        <v>60837.5</v>
      </c>
      <c r="AG56" s="2029">
        <v>220824.7</v>
      </c>
      <c r="AH56" s="2029">
        <v>281662.2</v>
      </c>
      <c r="AI56" s="2029">
        <v>1202.5999999999999</v>
      </c>
      <c r="AJ56" s="2029">
        <v>5949</v>
      </c>
      <c r="AK56" s="2029">
        <v>3273.4</v>
      </c>
      <c r="AL56" s="2029">
        <v>945.2</v>
      </c>
      <c r="AM56" s="2029">
        <v>282800.5</v>
      </c>
      <c r="AN56" s="2029">
        <v>4137.3</v>
      </c>
      <c r="AO56" s="2029">
        <v>286937.8</v>
      </c>
      <c r="AP56" s="2029">
        <v>14346.9</v>
      </c>
      <c r="AQ56" s="2029">
        <v>12386.6</v>
      </c>
      <c r="AR56" s="2029">
        <v>26733.5</v>
      </c>
      <c r="AS56" s="2029">
        <v>725562.6</v>
      </c>
      <c r="AT56" s="2029">
        <v>67471.600000000006</v>
      </c>
      <c r="AU56" s="2029">
        <v>5.0999999999999996</v>
      </c>
      <c r="AV56" s="2029">
        <v>23404.7</v>
      </c>
      <c r="AW56" s="2029">
        <v>3000.5</v>
      </c>
      <c r="AX56" s="2029">
        <v>45806.400000000001</v>
      </c>
      <c r="AY56" s="2029">
        <v>72216.7</v>
      </c>
      <c r="AZ56" s="2030">
        <v>-5.87</v>
      </c>
      <c r="BA56" s="2030">
        <v>3.13</v>
      </c>
      <c r="BB56" s="2030">
        <v>2.27</v>
      </c>
      <c r="BC56" s="2030">
        <v>0.67</v>
      </c>
      <c r="BD56" s="2030">
        <v>2.4</v>
      </c>
      <c r="BE56" s="2031" t="s">
        <v>3076</v>
      </c>
      <c r="BF56" s="2032">
        <v>6969</v>
      </c>
      <c r="BG56" s="2032">
        <v>3387</v>
      </c>
      <c r="BH56" s="2033"/>
      <c r="BI56" s="2033"/>
      <c r="BJ56" s="2033"/>
      <c r="BK56" s="2030">
        <v>99.6</v>
      </c>
      <c r="BL56" s="2030">
        <v>40.58</v>
      </c>
      <c r="BM56" s="2030">
        <v>40.42</v>
      </c>
      <c r="BN56" s="2030">
        <v>10.68</v>
      </c>
      <c r="BO56" s="2030">
        <v>5</v>
      </c>
      <c r="BP56" s="2030">
        <v>6.83</v>
      </c>
      <c r="BQ56" s="2030">
        <v>11.9</v>
      </c>
      <c r="BR56" s="2030">
        <v>5.08</v>
      </c>
      <c r="BS56" s="2033"/>
      <c r="BT56" s="2033"/>
      <c r="BU56" s="2033"/>
    </row>
    <row r="57" spans="1:73" s="154" customFormat="1" ht="9.9499999999999993" customHeight="1" x14ac:dyDescent="0.2">
      <c r="A57" s="160" t="s">
        <v>81</v>
      </c>
      <c r="B57" s="275" t="s">
        <v>547</v>
      </c>
      <c r="C57" s="2028">
        <v>44230.9</v>
      </c>
      <c r="D57" s="2029">
        <v>489.5</v>
      </c>
      <c r="E57" s="2029">
        <v>44720.4</v>
      </c>
      <c r="F57" s="2029">
        <v>3825.7</v>
      </c>
      <c r="G57" s="2029">
        <v>40894.699999999997</v>
      </c>
      <c r="H57" s="2029">
        <v>5473</v>
      </c>
      <c r="I57" s="2029">
        <v>16941.099999999999</v>
      </c>
      <c r="J57" s="2029">
        <v>30360</v>
      </c>
      <c r="K57" s="2029">
        <v>240666.9</v>
      </c>
      <c r="L57" s="2029">
        <v>271026.90000000002</v>
      </c>
      <c r="M57" s="2029">
        <v>287968</v>
      </c>
      <c r="N57" s="2029">
        <v>135.30000000000001</v>
      </c>
      <c r="O57" s="2029">
        <v>71390</v>
      </c>
      <c r="P57" s="2029">
        <v>312056.90000000002</v>
      </c>
      <c r="Q57" s="2029">
        <v>6307.7</v>
      </c>
      <c r="R57" s="2029">
        <v>318364.59999999998</v>
      </c>
      <c r="S57" s="2029">
        <v>0</v>
      </c>
      <c r="T57" s="2029">
        <v>10171.4</v>
      </c>
      <c r="U57" s="2029">
        <v>213130.6</v>
      </c>
      <c r="V57" s="2029">
        <v>223302</v>
      </c>
      <c r="W57" s="2029">
        <v>0</v>
      </c>
      <c r="X57" s="2029">
        <v>2853.7</v>
      </c>
      <c r="Y57" s="2029">
        <v>8929.7000000000007</v>
      </c>
      <c r="Z57" s="2029">
        <v>11783.4</v>
      </c>
      <c r="AA57" s="2029">
        <v>1715.4</v>
      </c>
      <c r="AB57" s="2029">
        <v>49534.5</v>
      </c>
      <c r="AC57" s="2029">
        <v>2639.2</v>
      </c>
      <c r="AD57" s="2029">
        <v>52173.7</v>
      </c>
      <c r="AE57" s="2029">
        <v>1715.4</v>
      </c>
      <c r="AF57" s="2029">
        <v>62559.6</v>
      </c>
      <c r="AG57" s="2029">
        <v>224699.5</v>
      </c>
      <c r="AH57" s="2029">
        <v>287259.09999999998</v>
      </c>
      <c r="AI57" s="2029">
        <v>1191.3</v>
      </c>
      <c r="AJ57" s="2029">
        <v>5983.4</v>
      </c>
      <c r="AK57" s="2029">
        <v>3048.7</v>
      </c>
      <c r="AL57" s="2029">
        <v>900.7</v>
      </c>
      <c r="AM57" s="2029">
        <v>288025.3</v>
      </c>
      <c r="AN57" s="2029">
        <v>4814.8999999999996</v>
      </c>
      <c r="AO57" s="2029">
        <v>292840.2</v>
      </c>
      <c r="AP57" s="2029">
        <v>14642</v>
      </c>
      <c r="AQ57" s="2029">
        <v>15136.4</v>
      </c>
      <c r="AR57" s="2029">
        <v>29778.400000000001</v>
      </c>
      <c r="AS57" s="2029">
        <v>737760.5</v>
      </c>
      <c r="AT57" s="2029">
        <v>74498.8</v>
      </c>
      <c r="AU57" s="2029">
        <v>5.0999999999999996</v>
      </c>
      <c r="AV57" s="2029">
        <v>23793.3</v>
      </c>
      <c r="AW57" s="2029">
        <v>3091.4</v>
      </c>
      <c r="AX57" s="2029">
        <v>47321.8</v>
      </c>
      <c r="AY57" s="2029">
        <v>74211.600000000006</v>
      </c>
      <c r="AZ57" s="2030">
        <v>-2.88</v>
      </c>
      <c r="BA57" s="2030">
        <v>4.01</v>
      </c>
      <c r="BB57" s="2030">
        <v>4.07</v>
      </c>
      <c r="BC57" s="2030">
        <v>2.67</v>
      </c>
      <c r="BD57" s="2030">
        <v>5.25</v>
      </c>
      <c r="BE57" s="2031" t="s">
        <v>3077</v>
      </c>
      <c r="BF57" s="2032">
        <v>6981</v>
      </c>
      <c r="BG57" s="2032">
        <v>3387</v>
      </c>
      <c r="BH57" s="2033"/>
      <c r="BI57" s="2033"/>
      <c r="BJ57" s="2033"/>
      <c r="BK57" s="2030">
        <v>99.73</v>
      </c>
      <c r="BL57" s="2030">
        <v>41.26</v>
      </c>
      <c r="BM57" s="2030">
        <v>41.15</v>
      </c>
      <c r="BN57" s="2030">
        <v>11.67</v>
      </c>
      <c r="BO57" s="2030">
        <v>5</v>
      </c>
      <c r="BP57" s="2030">
        <v>6.53</v>
      </c>
      <c r="BQ57" s="2030">
        <v>11.72</v>
      </c>
      <c r="BR57" s="2030">
        <v>5.19</v>
      </c>
      <c r="BS57" s="2033"/>
      <c r="BT57" s="2033"/>
      <c r="BU57" s="2033"/>
    </row>
    <row r="58" spans="1:73" s="154" customFormat="1" ht="9.9499999999999993" customHeight="1" x14ac:dyDescent="0.2">
      <c r="A58" s="160" t="s">
        <v>81</v>
      </c>
      <c r="B58" s="236" t="s">
        <v>554</v>
      </c>
      <c r="C58" s="2028">
        <v>41072.199999999997</v>
      </c>
      <c r="D58" s="2029">
        <v>491.3</v>
      </c>
      <c r="E58" s="2029">
        <v>41563.5</v>
      </c>
      <c r="F58" s="2029">
        <v>3142.2</v>
      </c>
      <c r="G58" s="2029">
        <v>38421.300000000003</v>
      </c>
      <c r="H58" s="2029">
        <v>6325.9</v>
      </c>
      <c r="I58" s="2029">
        <v>17549.900000000001</v>
      </c>
      <c r="J58" s="2029">
        <v>31080.7</v>
      </c>
      <c r="K58" s="2029">
        <v>242948.7</v>
      </c>
      <c r="L58" s="2029">
        <v>274029.40000000002</v>
      </c>
      <c r="M58" s="2029">
        <v>291579.3</v>
      </c>
      <c r="N58" s="2029">
        <v>128.69999999999999</v>
      </c>
      <c r="O58" s="2029">
        <v>69630.7</v>
      </c>
      <c r="P58" s="2029">
        <v>312579.40000000002</v>
      </c>
      <c r="Q58" s="2029">
        <v>6411.8</v>
      </c>
      <c r="R58" s="2029">
        <v>318991.2</v>
      </c>
      <c r="S58" s="2029">
        <v>0</v>
      </c>
      <c r="T58" s="2029">
        <v>10407.5</v>
      </c>
      <c r="U58" s="2029">
        <v>217680.9</v>
      </c>
      <c r="V58" s="2029">
        <v>228088.4</v>
      </c>
      <c r="W58" s="2029">
        <v>0</v>
      </c>
      <c r="X58" s="2029">
        <v>2828.2</v>
      </c>
      <c r="Y58" s="2029">
        <v>8974.9</v>
      </c>
      <c r="Z58" s="2029">
        <v>11803.1</v>
      </c>
      <c r="AA58" s="2029">
        <v>2328.5</v>
      </c>
      <c r="AB58" s="2029">
        <v>52240.2</v>
      </c>
      <c r="AC58" s="2029">
        <v>2634.1</v>
      </c>
      <c r="AD58" s="2029">
        <v>54874.3</v>
      </c>
      <c r="AE58" s="2029">
        <v>2328.5</v>
      </c>
      <c r="AF58" s="2029">
        <v>65475.9</v>
      </c>
      <c r="AG58" s="2029">
        <v>229289.9</v>
      </c>
      <c r="AH58" s="2029">
        <v>294765.8</v>
      </c>
      <c r="AI58" s="2029">
        <v>1233.2</v>
      </c>
      <c r="AJ58" s="2029">
        <v>5949</v>
      </c>
      <c r="AK58" s="2029">
        <v>3792.1</v>
      </c>
      <c r="AL58" s="2029">
        <v>965.2</v>
      </c>
      <c r="AM58" s="2029">
        <v>291635.8</v>
      </c>
      <c r="AN58" s="2029">
        <v>4195.3</v>
      </c>
      <c r="AO58" s="2029">
        <v>295831.09999999998</v>
      </c>
      <c r="AP58" s="2029">
        <v>14791.6</v>
      </c>
      <c r="AQ58" s="2029">
        <v>12275</v>
      </c>
      <c r="AR58" s="2029">
        <v>27066.6</v>
      </c>
      <c r="AS58" s="2029">
        <v>754572.2</v>
      </c>
      <c r="AT58" s="2029">
        <v>68630.100000000006</v>
      </c>
      <c r="AU58" s="2029">
        <v>5.0999999999999996</v>
      </c>
      <c r="AV58" s="2029">
        <v>23646.3</v>
      </c>
      <c r="AW58" s="2029">
        <v>3027.9</v>
      </c>
      <c r="AX58" s="2029">
        <v>49976.9</v>
      </c>
      <c r="AY58" s="2029">
        <v>76656.2</v>
      </c>
      <c r="AZ58" s="2030">
        <v>-5.71</v>
      </c>
      <c r="BA58" s="2030">
        <v>6.58</v>
      </c>
      <c r="BB58" s="2030">
        <v>6.19</v>
      </c>
      <c r="BC58" s="2030">
        <v>3.81</v>
      </c>
      <c r="BD58" s="2030">
        <v>5.42</v>
      </c>
      <c r="BE58" s="2031" t="s">
        <v>3077</v>
      </c>
      <c r="BF58" s="2032">
        <v>7019</v>
      </c>
      <c r="BG58" s="2032">
        <v>3389</v>
      </c>
      <c r="BH58" s="2033"/>
      <c r="BI58" s="2033"/>
      <c r="BJ58" s="2033"/>
      <c r="BK58" s="2030">
        <v>101.07</v>
      </c>
      <c r="BL58" s="2030">
        <v>41.55</v>
      </c>
      <c r="BM58" s="2030">
        <v>42</v>
      </c>
      <c r="BN58" s="2030">
        <v>10.36</v>
      </c>
      <c r="BO58" s="2030">
        <v>5</v>
      </c>
      <c r="BP58" s="2030">
        <v>6.44</v>
      </c>
      <c r="BQ58" s="2030">
        <v>11.64</v>
      </c>
      <c r="BR58" s="2030">
        <v>5.2</v>
      </c>
      <c r="BS58" s="2033"/>
      <c r="BT58" s="2033"/>
      <c r="BU58" s="2033"/>
    </row>
    <row r="59" spans="1:73" s="154" customFormat="1" ht="9.9499999999999993" customHeight="1" x14ac:dyDescent="0.2">
      <c r="A59" s="160" t="s">
        <v>81</v>
      </c>
      <c r="B59" s="275" t="s">
        <v>555</v>
      </c>
      <c r="C59" s="2028">
        <v>49288.5</v>
      </c>
      <c r="D59" s="2029">
        <v>495.6</v>
      </c>
      <c r="E59" s="2029">
        <v>49784.1</v>
      </c>
      <c r="F59" s="2029">
        <v>4247.8999999999996</v>
      </c>
      <c r="G59" s="2029">
        <v>45536.2</v>
      </c>
      <c r="H59" s="2029">
        <v>6800.8</v>
      </c>
      <c r="I59" s="2029">
        <v>17777.599999999999</v>
      </c>
      <c r="J59" s="2029">
        <v>31216.3</v>
      </c>
      <c r="K59" s="2029">
        <v>246110.8</v>
      </c>
      <c r="L59" s="2029">
        <v>277327.09999999998</v>
      </c>
      <c r="M59" s="2029">
        <v>295104.7</v>
      </c>
      <c r="N59" s="2029">
        <v>136.1</v>
      </c>
      <c r="O59" s="2029">
        <v>76888.600000000006</v>
      </c>
      <c r="P59" s="2029">
        <v>322999.40000000002</v>
      </c>
      <c r="Q59" s="2029">
        <v>6183.1</v>
      </c>
      <c r="R59" s="2029">
        <v>329182.5</v>
      </c>
      <c r="S59" s="2029">
        <v>0</v>
      </c>
      <c r="T59" s="2029">
        <v>10529.6</v>
      </c>
      <c r="U59" s="2029">
        <v>222706.2</v>
      </c>
      <c r="V59" s="2029">
        <v>233235.8</v>
      </c>
      <c r="W59" s="2029">
        <v>0</v>
      </c>
      <c r="X59" s="2029">
        <v>3096.3</v>
      </c>
      <c r="Y59" s="2029">
        <v>9364</v>
      </c>
      <c r="Z59" s="2029">
        <v>12460.3</v>
      </c>
      <c r="AA59" s="2029">
        <v>1676</v>
      </c>
      <c r="AB59" s="2029">
        <v>53916.9</v>
      </c>
      <c r="AC59" s="2029">
        <v>2986.2</v>
      </c>
      <c r="AD59" s="2029">
        <v>56903.1</v>
      </c>
      <c r="AE59" s="2029">
        <v>1676</v>
      </c>
      <c r="AF59" s="2029">
        <v>67542.8</v>
      </c>
      <c r="AG59" s="2029">
        <v>235056.4</v>
      </c>
      <c r="AH59" s="2029">
        <v>302599.2</v>
      </c>
      <c r="AI59" s="2029">
        <v>1262.4000000000001</v>
      </c>
      <c r="AJ59" s="2029">
        <v>8387.7000000000007</v>
      </c>
      <c r="AK59" s="2029">
        <v>2690.9</v>
      </c>
      <c r="AL59" s="2029">
        <v>1312.2</v>
      </c>
      <c r="AM59" s="2029">
        <v>295139.09999999998</v>
      </c>
      <c r="AN59" s="2029">
        <v>4307.7</v>
      </c>
      <c r="AO59" s="2029">
        <v>299446.8</v>
      </c>
      <c r="AP59" s="2029">
        <v>14972.3</v>
      </c>
      <c r="AQ59" s="2029">
        <v>9387</v>
      </c>
      <c r="AR59" s="2029">
        <v>24359.3</v>
      </c>
      <c r="AS59" s="2029">
        <v>768628.1</v>
      </c>
      <c r="AT59" s="2029">
        <v>74143.399999999994</v>
      </c>
      <c r="AU59" s="2029">
        <v>5.0999999999999996</v>
      </c>
      <c r="AV59" s="2029">
        <v>23624.9</v>
      </c>
      <c r="AW59" s="2029">
        <v>2535.6999999999998</v>
      </c>
      <c r="AX59" s="2029">
        <v>51635.1</v>
      </c>
      <c r="AY59" s="2029">
        <v>77800.800000000003</v>
      </c>
      <c r="AZ59" s="2030">
        <v>-11.59</v>
      </c>
      <c r="BA59" s="2030">
        <v>11.41</v>
      </c>
      <c r="BB59" s="2030">
        <v>8.9</v>
      </c>
      <c r="BC59" s="2030">
        <v>4.88</v>
      </c>
      <c r="BD59" s="2030">
        <v>8.94</v>
      </c>
      <c r="BE59" s="2031" t="s">
        <v>3077</v>
      </c>
      <c r="BF59" s="2032">
        <v>7071</v>
      </c>
      <c r="BG59" s="2032">
        <v>3389</v>
      </c>
      <c r="BH59" s="2033"/>
      <c r="BI59" s="2033"/>
      <c r="BJ59" s="2033"/>
      <c r="BK59" s="2030">
        <v>102.53</v>
      </c>
      <c r="BL59" s="2030">
        <v>41.74</v>
      </c>
      <c r="BM59" s="2030">
        <v>42.79</v>
      </c>
      <c r="BN59" s="2030">
        <v>9.69</v>
      </c>
      <c r="BO59" s="2030">
        <v>5</v>
      </c>
      <c r="BP59" s="2030">
        <v>6.4</v>
      </c>
      <c r="BQ59" s="2030">
        <v>11.62</v>
      </c>
      <c r="BR59" s="2030">
        <v>5.22</v>
      </c>
      <c r="BS59" s="2033"/>
      <c r="BT59" s="2033"/>
      <c r="BU59" s="2033"/>
    </row>
    <row r="60" spans="1:73" s="154" customFormat="1" ht="9.9499999999999993" customHeight="1" x14ac:dyDescent="0.2">
      <c r="A60" s="160" t="s">
        <v>81</v>
      </c>
      <c r="B60" s="236" t="s">
        <v>548</v>
      </c>
      <c r="C60" s="2028">
        <v>44459.3</v>
      </c>
      <c r="D60" s="2029">
        <v>497.5</v>
      </c>
      <c r="E60" s="2029">
        <v>44956.800000000003</v>
      </c>
      <c r="F60" s="2029">
        <v>3540.9</v>
      </c>
      <c r="G60" s="2029">
        <v>41415.9</v>
      </c>
      <c r="H60" s="2029">
        <v>7862.5</v>
      </c>
      <c r="I60" s="2029">
        <v>17640.8</v>
      </c>
      <c r="J60" s="2029">
        <v>33777</v>
      </c>
      <c r="K60" s="2029">
        <v>252832.2</v>
      </c>
      <c r="L60" s="2029">
        <v>286609.2</v>
      </c>
      <c r="M60" s="2029">
        <v>304250</v>
      </c>
      <c r="N60" s="2029">
        <v>167.2</v>
      </c>
      <c r="O60" s="2029">
        <v>75360.100000000006</v>
      </c>
      <c r="P60" s="2029">
        <v>328192.3</v>
      </c>
      <c r="Q60" s="2029">
        <v>6207.9</v>
      </c>
      <c r="R60" s="2029">
        <v>334400.2</v>
      </c>
      <c r="S60" s="2029">
        <v>0</v>
      </c>
      <c r="T60" s="2029">
        <v>11062.2</v>
      </c>
      <c r="U60" s="2029">
        <v>229102.7</v>
      </c>
      <c r="V60" s="2029">
        <v>240164.9</v>
      </c>
      <c r="W60" s="2029">
        <v>0</v>
      </c>
      <c r="X60" s="2029">
        <v>3563.6</v>
      </c>
      <c r="Y60" s="2029">
        <v>9381</v>
      </c>
      <c r="Z60" s="2029">
        <v>12944.6</v>
      </c>
      <c r="AA60" s="2029">
        <v>1507</v>
      </c>
      <c r="AB60" s="2029">
        <v>52646.6</v>
      </c>
      <c r="AC60" s="2029">
        <v>2837.7</v>
      </c>
      <c r="AD60" s="2029">
        <v>55484.3</v>
      </c>
      <c r="AE60" s="2029">
        <v>1507</v>
      </c>
      <c r="AF60" s="2029">
        <v>67272.399999999994</v>
      </c>
      <c r="AG60" s="2029">
        <v>241321.4</v>
      </c>
      <c r="AH60" s="2029">
        <v>308593.8</v>
      </c>
      <c r="AI60" s="2029">
        <v>1413.4</v>
      </c>
      <c r="AJ60" s="2029">
        <v>7168.9</v>
      </c>
      <c r="AK60" s="2029">
        <v>3219.7</v>
      </c>
      <c r="AL60" s="2029">
        <v>1340.2</v>
      </c>
      <c r="AM60" s="2029">
        <v>304274.90000000002</v>
      </c>
      <c r="AN60" s="2029">
        <v>3640.7</v>
      </c>
      <c r="AO60" s="2029">
        <v>307915.59999999998</v>
      </c>
      <c r="AP60" s="2029">
        <v>15395.8</v>
      </c>
      <c r="AQ60" s="2029">
        <v>10451.6</v>
      </c>
      <c r="AR60" s="2029">
        <v>25847.4</v>
      </c>
      <c r="AS60" s="2029">
        <v>753789.5</v>
      </c>
      <c r="AT60" s="2029">
        <v>70804.2</v>
      </c>
      <c r="AU60" s="2029">
        <v>5.0999999999999996</v>
      </c>
      <c r="AV60" s="2029">
        <v>23624.9</v>
      </c>
      <c r="AW60" s="2029">
        <v>2785</v>
      </c>
      <c r="AX60" s="2029">
        <v>50301.7</v>
      </c>
      <c r="AY60" s="2029">
        <v>76716.7</v>
      </c>
      <c r="AZ60" s="2030">
        <v>-16.13</v>
      </c>
      <c r="BA60" s="2030">
        <v>20.350000000000001</v>
      </c>
      <c r="BB60" s="2030">
        <v>11.83</v>
      </c>
      <c r="BC60" s="2030">
        <v>6.94</v>
      </c>
      <c r="BD60" s="2030">
        <v>10.69</v>
      </c>
      <c r="BE60" s="2031" t="s">
        <v>3077</v>
      </c>
      <c r="BF60" s="2032">
        <v>7187</v>
      </c>
      <c r="BG60" s="2032">
        <v>3390</v>
      </c>
      <c r="BH60" s="2033"/>
      <c r="BI60" s="2033"/>
      <c r="BJ60" s="2033"/>
      <c r="BK60" s="2030">
        <v>101.42</v>
      </c>
      <c r="BL60" s="2030">
        <v>42.34</v>
      </c>
      <c r="BM60" s="2030">
        <v>42.94</v>
      </c>
      <c r="BN60" s="2030">
        <v>9.66</v>
      </c>
      <c r="BO60" s="2030">
        <v>5</v>
      </c>
      <c r="BP60" s="2030">
        <v>6.29</v>
      </c>
      <c r="BQ60" s="2030">
        <v>11.51</v>
      </c>
      <c r="BR60" s="2030">
        <v>5.22</v>
      </c>
      <c r="BS60" s="2033"/>
      <c r="BT60" s="2033"/>
      <c r="BU60" s="2033"/>
    </row>
    <row r="61" spans="1:73" s="154" customFormat="1" ht="9.9499999999999993" customHeight="1" x14ac:dyDescent="0.2">
      <c r="A61" s="160" t="s">
        <v>81</v>
      </c>
      <c r="B61" s="275" t="s">
        <v>556</v>
      </c>
      <c r="C61" s="2028">
        <v>45284.4</v>
      </c>
      <c r="D61" s="2029">
        <v>499.6</v>
      </c>
      <c r="E61" s="2029">
        <v>45784</v>
      </c>
      <c r="F61" s="2029">
        <v>4089.6</v>
      </c>
      <c r="G61" s="2029">
        <v>41694.400000000001</v>
      </c>
      <c r="H61" s="2029">
        <v>6697.7</v>
      </c>
      <c r="I61" s="2029">
        <v>17960.3</v>
      </c>
      <c r="J61" s="2029">
        <v>33502</v>
      </c>
      <c r="K61" s="2029">
        <v>252658.5</v>
      </c>
      <c r="L61" s="2029">
        <v>286160.5</v>
      </c>
      <c r="M61" s="2029">
        <v>304120.8</v>
      </c>
      <c r="N61" s="2029">
        <v>135.80000000000001</v>
      </c>
      <c r="O61" s="2029">
        <v>75332.2</v>
      </c>
      <c r="P61" s="2029">
        <v>327990.7</v>
      </c>
      <c r="Q61" s="2029">
        <v>6309.7</v>
      </c>
      <c r="R61" s="2029">
        <v>334300.40000000002</v>
      </c>
      <c r="S61" s="2029">
        <v>0</v>
      </c>
      <c r="T61" s="2029">
        <v>10724.7</v>
      </c>
      <c r="U61" s="2029">
        <v>231511.3</v>
      </c>
      <c r="V61" s="2029">
        <v>242236</v>
      </c>
      <c r="W61" s="2029">
        <v>0</v>
      </c>
      <c r="X61" s="2029">
        <v>3009.1</v>
      </c>
      <c r="Y61" s="2029">
        <v>9055.2000000000007</v>
      </c>
      <c r="Z61" s="2029">
        <v>12064.3</v>
      </c>
      <c r="AA61" s="2029">
        <v>1541.6</v>
      </c>
      <c r="AB61" s="2029">
        <v>52386.6</v>
      </c>
      <c r="AC61" s="2029">
        <v>3124</v>
      </c>
      <c r="AD61" s="2029">
        <v>55510.6</v>
      </c>
      <c r="AE61" s="2029">
        <v>1541.6</v>
      </c>
      <c r="AF61" s="2029">
        <v>66120.399999999994</v>
      </c>
      <c r="AG61" s="2029">
        <v>243690.5</v>
      </c>
      <c r="AH61" s="2029">
        <v>309810.90000000002</v>
      </c>
      <c r="AI61" s="2029">
        <v>1420</v>
      </c>
      <c r="AJ61" s="2029">
        <v>6210.3</v>
      </c>
      <c r="AK61" s="2029">
        <v>3939.8</v>
      </c>
      <c r="AL61" s="2029">
        <v>1354.1</v>
      </c>
      <c r="AM61" s="2029">
        <v>304155.2</v>
      </c>
      <c r="AN61" s="2029">
        <v>4446.7</v>
      </c>
      <c r="AO61" s="2029">
        <v>308601.90000000002</v>
      </c>
      <c r="AP61" s="2029">
        <v>15430.1</v>
      </c>
      <c r="AQ61" s="2029">
        <v>9580.2999999999993</v>
      </c>
      <c r="AR61" s="2029">
        <v>25010.400000000001</v>
      </c>
      <c r="AS61" s="2029">
        <v>760244.3</v>
      </c>
      <c r="AT61" s="2029">
        <v>70794.399999999994</v>
      </c>
      <c r="AU61" s="2029">
        <v>5.0999999999999996</v>
      </c>
      <c r="AV61" s="2029">
        <v>23575.3</v>
      </c>
      <c r="AW61" s="2029">
        <v>2686.2</v>
      </c>
      <c r="AX61" s="2029">
        <v>49975.5</v>
      </c>
      <c r="AY61" s="2029">
        <v>76242.100000000006</v>
      </c>
      <c r="AZ61" s="2030">
        <v>-16.57</v>
      </c>
      <c r="BA61" s="2030">
        <v>15.1</v>
      </c>
      <c r="BB61" s="2030">
        <v>13.06</v>
      </c>
      <c r="BC61" s="2030">
        <v>7.17</v>
      </c>
      <c r="BD61" s="2030">
        <v>10.64</v>
      </c>
      <c r="BE61" s="2031" t="s">
        <v>3077</v>
      </c>
      <c r="BF61" s="2032">
        <v>7188</v>
      </c>
      <c r="BG61" s="2032">
        <v>3391</v>
      </c>
      <c r="BH61" s="2033"/>
      <c r="BI61" s="2033"/>
      <c r="BJ61" s="2033"/>
      <c r="BK61" s="2030">
        <v>101.86</v>
      </c>
      <c r="BL61" s="2030">
        <v>42.31</v>
      </c>
      <c r="BM61" s="2030">
        <v>43.1</v>
      </c>
      <c r="BN61" s="2030">
        <v>9.57</v>
      </c>
      <c r="BO61" s="2030">
        <v>5</v>
      </c>
      <c r="BP61" s="2030">
        <v>6.31</v>
      </c>
      <c r="BQ61" s="2030">
        <v>11.51</v>
      </c>
      <c r="BR61" s="2030">
        <v>5.2</v>
      </c>
      <c r="BS61" s="2033"/>
      <c r="BT61" s="2033"/>
      <c r="BU61" s="2033"/>
    </row>
    <row r="62" spans="1:73" s="154" customFormat="1" ht="9.9499999999999993" customHeight="1" x14ac:dyDescent="0.2">
      <c r="A62" s="160" t="s">
        <v>81</v>
      </c>
      <c r="B62" s="236" t="s">
        <v>557</v>
      </c>
      <c r="C62" s="2028">
        <v>45454.3</v>
      </c>
      <c r="D62" s="2029">
        <v>501.4</v>
      </c>
      <c r="E62" s="2029">
        <v>45955.7</v>
      </c>
      <c r="F62" s="2029">
        <v>4353.3</v>
      </c>
      <c r="G62" s="2029">
        <v>41602.400000000001</v>
      </c>
      <c r="H62" s="2029">
        <v>7316.6</v>
      </c>
      <c r="I62" s="2029">
        <v>18925.099999999999</v>
      </c>
      <c r="J62" s="2029">
        <v>34195.4</v>
      </c>
      <c r="K62" s="2029">
        <v>258434.4</v>
      </c>
      <c r="L62" s="2029">
        <v>292629.8</v>
      </c>
      <c r="M62" s="2029">
        <v>311554.90000000002</v>
      </c>
      <c r="N62" s="2029">
        <v>138.9</v>
      </c>
      <c r="O62" s="2029">
        <v>75936.7</v>
      </c>
      <c r="P62" s="2029">
        <v>334371.09999999998</v>
      </c>
      <c r="Q62" s="2029">
        <v>6375.9</v>
      </c>
      <c r="R62" s="2029">
        <v>340747</v>
      </c>
      <c r="S62" s="2029">
        <v>0</v>
      </c>
      <c r="T62" s="2029">
        <v>10750.6</v>
      </c>
      <c r="U62" s="2029">
        <v>233232.7</v>
      </c>
      <c r="V62" s="2029">
        <v>243983.3</v>
      </c>
      <c r="W62" s="2029">
        <v>0</v>
      </c>
      <c r="X62" s="2029">
        <v>3114</v>
      </c>
      <c r="Y62" s="2029">
        <v>9478.4</v>
      </c>
      <c r="Z62" s="2029">
        <v>12592.4</v>
      </c>
      <c r="AA62" s="2029">
        <v>2232.1</v>
      </c>
      <c r="AB62" s="2029">
        <v>52763.8</v>
      </c>
      <c r="AC62" s="2029">
        <v>3000.1</v>
      </c>
      <c r="AD62" s="2029">
        <v>55763.9</v>
      </c>
      <c r="AE62" s="2029">
        <v>2232.1</v>
      </c>
      <c r="AF62" s="2029">
        <v>66628.399999999994</v>
      </c>
      <c r="AG62" s="2029">
        <v>245711.2</v>
      </c>
      <c r="AH62" s="2029">
        <v>312339.59999999998</v>
      </c>
      <c r="AI62" s="2029">
        <v>1466.3</v>
      </c>
      <c r="AJ62" s="2029">
        <v>5771</v>
      </c>
      <c r="AK62" s="2029">
        <v>3513.7</v>
      </c>
      <c r="AL62" s="2029">
        <v>1226.5999999999999</v>
      </c>
      <c r="AM62" s="2029">
        <v>311588.2</v>
      </c>
      <c r="AN62" s="2029">
        <v>4097.8999999999996</v>
      </c>
      <c r="AO62" s="2029">
        <v>315686.09999999998</v>
      </c>
      <c r="AP62" s="2029">
        <v>15784.3</v>
      </c>
      <c r="AQ62" s="2029">
        <v>11061.3</v>
      </c>
      <c r="AR62" s="2029">
        <v>26845.599999999999</v>
      </c>
      <c r="AS62" s="2029">
        <v>780891.2</v>
      </c>
      <c r="AT62" s="2029">
        <v>72801.3</v>
      </c>
      <c r="AU62" s="2029">
        <v>5.0999999999999996</v>
      </c>
      <c r="AV62" s="2029">
        <v>23548.799999999999</v>
      </c>
      <c r="AW62" s="2029">
        <v>2871.8</v>
      </c>
      <c r="AX62" s="2029">
        <v>50166.1</v>
      </c>
      <c r="AY62" s="2029">
        <v>76591.8</v>
      </c>
      <c r="AZ62" s="2030">
        <v>-15.1</v>
      </c>
      <c r="BA62" s="2030">
        <v>15.7</v>
      </c>
      <c r="BB62" s="2030">
        <v>13.8</v>
      </c>
      <c r="BC62" s="2030">
        <v>8.0500000000000007</v>
      </c>
      <c r="BD62" s="2030">
        <v>12.77</v>
      </c>
      <c r="BE62" s="2031" t="s">
        <v>3077</v>
      </c>
      <c r="BF62" s="2032">
        <v>7189</v>
      </c>
      <c r="BG62" s="2032">
        <v>3391</v>
      </c>
      <c r="BH62" s="2033"/>
      <c r="BI62" s="2033"/>
      <c r="BJ62" s="2033"/>
      <c r="BK62" s="2030">
        <v>100.24</v>
      </c>
      <c r="BL62" s="2030">
        <v>43.34</v>
      </c>
      <c r="BM62" s="2030">
        <v>43.45</v>
      </c>
      <c r="BN62" s="2030">
        <v>10.01</v>
      </c>
      <c r="BO62" s="2030">
        <v>5</v>
      </c>
      <c r="BP62" s="2030">
        <v>6.23</v>
      </c>
      <c r="BQ62" s="2030">
        <v>11.47</v>
      </c>
      <c r="BR62" s="2030">
        <v>5.24</v>
      </c>
      <c r="BS62" s="2033"/>
      <c r="BT62" s="2033"/>
      <c r="BU62" s="2033"/>
    </row>
    <row r="63" spans="1:73" s="154" customFormat="1" ht="9.9499999999999993" customHeight="1" x14ac:dyDescent="0.2">
      <c r="A63" s="160" t="s">
        <v>81</v>
      </c>
      <c r="B63" s="275" t="s">
        <v>549</v>
      </c>
      <c r="C63" s="2028">
        <v>45075.5</v>
      </c>
      <c r="D63" s="2029">
        <v>504.4</v>
      </c>
      <c r="E63" s="2029">
        <v>45579.9</v>
      </c>
      <c r="F63" s="2029">
        <v>4086.4</v>
      </c>
      <c r="G63" s="2029">
        <v>41493.5</v>
      </c>
      <c r="H63" s="2029">
        <v>6946.9</v>
      </c>
      <c r="I63" s="2029">
        <v>18774.900000000001</v>
      </c>
      <c r="J63" s="2029">
        <v>35935</v>
      </c>
      <c r="K63" s="2029">
        <v>260000.1</v>
      </c>
      <c r="L63" s="2029">
        <v>295935.09999999998</v>
      </c>
      <c r="M63" s="2029">
        <v>314710</v>
      </c>
      <c r="N63" s="2029">
        <v>150.6</v>
      </c>
      <c r="O63" s="2029">
        <v>77579.100000000006</v>
      </c>
      <c r="P63" s="2029">
        <v>337579.2</v>
      </c>
      <c r="Q63" s="2029">
        <v>6447</v>
      </c>
      <c r="R63" s="2029">
        <v>344026.2</v>
      </c>
      <c r="S63" s="2029">
        <v>0</v>
      </c>
      <c r="T63" s="2029">
        <v>11016</v>
      </c>
      <c r="U63" s="2029">
        <v>235592.2</v>
      </c>
      <c r="V63" s="2029">
        <v>246608.2</v>
      </c>
      <c r="W63" s="2029">
        <v>0</v>
      </c>
      <c r="X63" s="2029">
        <v>3613.5</v>
      </c>
      <c r="Y63" s="2029">
        <v>9975.7999999999993</v>
      </c>
      <c r="Z63" s="2029">
        <v>13589.3</v>
      </c>
      <c r="AA63" s="2029">
        <v>2503.5</v>
      </c>
      <c r="AB63" s="2029">
        <v>52850.400000000001</v>
      </c>
      <c r="AC63" s="2029">
        <v>3136.6</v>
      </c>
      <c r="AD63" s="2029">
        <v>55987</v>
      </c>
      <c r="AE63" s="2029">
        <v>2503.5</v>
      </c>
      <c r="AF63" s="2029">
        <v>67479.899999999994</v>
      </c>
      <c r="AG63" s="2029">
        <v>248704.6</v>
      </c>
      <c r="AH63" s="2029">
        <v>316184.5</v>
      </c>
      <c r="AI63" s="2029">
        <v>1515.1</v>
      </c>
      <c r="AJ63" s="2029">
        <v>5780.6</v>
      </c>
      <c r="AK63" s="2029">
        <v>3753.6</v>
      </c>
      <c r="AL63" s="2029">
        <v>1182.0999999999999</v>
      </c>
      <c r="AM63" s="2029">
        <v>314735.09999999998</v>
      </c>
      <c r="AN63" s="2029">
        <v>3994</v>
      </c>
      <c r="AO63" s="2029">
        <v>318729.09999999998</v>
      </c>
      <c r="AP63" s="2029">
        <v>15936.5</v>
      </c>
      <c r="AQ63" s="2029">
        <v>7852.5</v>
      </c>
      <c r="AR63" s="2029">
        <v>23789</v>
      </c>
      <c r="AS63" s="2029">
        <v>788550.8</v>
      </c>
      <c r="AT63" s="2029">
        <v>69368.899999999994</v>
      </c>
      <c r="AU63" s="2029">
        <v>5.0999999999999996</v>
      </c>
      <c r="AV63" s="2029">
        <v>23548.799999999999</v>
      </c>
      <c r="AW63" s="2029">
        <v>3011</v>
      </c>
      <c r="AX63" s="2029">
        <v>50075.4</v>
      </c>
      <c r="AY63" s="2029">
        <v>76640.3</v>
      </c>
      <c r="AZ63" s="2030">
        <v>-17.73</v>
      </c>
      <c r="BA63" s="2030">
        <v>22.11</v>
      </c>
      <c r="BB63" s="2030">
        <v>15.21</v>
      </c>
      <c r="BC63" s="2030">
        <v>8.8699999999999992</v>
      </c>
      <c r="BD63" s="2030">
        <v>13.85</v>
      </c>
      <c r="BE63" s="2031" t="s">
        <v>3077</v>
      </c>
      <c r="BF63" s="2032">
        <v>7201</v>
      </c>
      <c r="BG63" s="2032">
        <v>3391</v>
      </c>
      <c r="BH63" s="2033"/>
      <c r="BI63" s="2033"/>
      <c r="BJ63" s="2033"/>
      <c r="BK63" s="2030">
        <v>100.46</v>
      </c>
      <c r="BL63" s="2030">
        <v>43.71</v>
      </c>
      <c r="BM63" s="2030">
        <v>43.91</v>
      </c>
      <c r="BN63" s="2030">
        <v>8.86</v>
      </c>
      <c r="BO63" s="2030">
        <v>5</v>
      </c>
      <c r="BP63" s="2030">
        <v>6.09</v>
      </c>
      <c r="BQ63" s="2030">
        <v>11.3</v>
      </c>
      <c r="BR63" s="2030">
        <v>5.21</v>
      </c>
      <c r="BS63" s="2033"/>
      <c r="BT63" s="2033"/>
      <c r="BU63" s="2033"/>
    </row>
    <row r="64" spans="1:73" s="154" customFormat="1" ht="9.9499999999999993" customHeight="1" x14ac:dyDescent="0.2">
      <c r="A64" s="160" t="s">
        <v>81</v>
      </c>
      <c r="B64" s="236" t="s">
        <v>558</v>
      </c>
      <c r="C64" s="2028">
        <v>45821.4</v>
      </c>
      <c r="D64" s="2029">
        <v>507.1</v>
      </c>
      <c r="E64" s="2029">
        <v>46328.5</v>
      </c>
      <c r="F64" s="2029">
        <v>3998.4</v>
      </c>
      <c r="G64" s="2029">
        <v>42330.1</v>
      </c>
      <c r="H64" s="2029">
        <v>6806.9</v>
      </c>
      <c r="I64" s="2029">
        <v>19556.7</v>
      </c>
      <c r="J64" s="2029">
        <v>36879.9</v>
      </c>
      <c r="K64" s="2029">
        <v>263672.5</v>
      </c>
      <c r="L64" s="2029">
        <v>300552.40000000002</v>
      </c>
      <c r="M64" s="2029">
        <v>320109.09999999998</v>
      </c>
      <c r="N64" s="2029">
        <v>158.30000000000001</v>
      </c>
      <c r="O64" s="2029">
        <v>79368.3</v>
      </c>
      <c r="P64" s="2029">
        <v>343040.8</v>
      </c>
      <c r="Q64" s="2029">
        <v>6790.5</v>
      </c>
      <c r="R64" s="2029">
        <v>349831.3</v>
      </c>
      <c r="S64" s="2029">
        <v>0</v>
      </c>
      <c r="T64" s="2029">
        <v>11131.7</v>
      </c>
      <c r="U64" s="2029">
        <v>240026.8</v>
      </c>
      <c r="V64" s="2029">
        <v>251158.5</v>
      </c>
      <c r="W64" s="2029">
        <v>0</v>
      </c>
      <c r="X64" s="2029">
        <v>3850.6</v>
      </c>
      <c r="Y64" s="2029">
        <v>10298.5</v>
      </c>
      <c r="Z64" s="2029">
        <v>14149.1</v>
      </c>
      <c r="AA64" s="2029">
        <v>2098.4</v>
      </c>
      <c r="AB64" s="2029">
        <v>51421.2</v>
      </c>
      <c r="AC64" s="2029">
        <v>3460.1</v>
      </c>
      <c r="AD64" s="2029">
        <v>54881.3</v>
      </c>
      <c r="AE64" s="2029">
        <v>2098.4</v>
      </c>
      <c r="AF64" s="2029">
        <v>66403.5</v>
      </c>
      <c r="AG64" s="2029">
        <v>253785.4</v>
      </c>
      <c r="AH64" s="2029">
        <v>320188.90000000002</v>
      </c>
      <c r="AI64" s="2029">
        <v>1540.3</v>
      </c>
      <c r="AJ64" s="2029">
        <v>5761.7</v>
      </c>
      <c r="AK64" s="2029">
        <v>3666</v>
      </c>
      <c r="AL64" s="2029">
        <v>884.1</v>
      </c>
      <c r="AM64" s="2029">
        <v>320134.2</v>
      </c>
      <c r="AN64" s="2029">
        <v>4433.3</v>
      </c>
      <c r="AO64" s="2029">
        <v>324567.5</v>
      </c>
      <c r="AP64" s="2029">
        <v>16228.4</v>
      </c>
      <c r="AQ64" s="2029">
        <v>8339.2000000000007</v>
      </c>
      <c r="AR64" s="2029">
        <v>24567.599999999999</v>
      </c>
      <c r="AS64" s="2029">
        <v>803941.4</v>
      </c>
      <c r="AT64" s="2029">
        <v>70896.100000000006</v>
      </c>
      <c r="AU64" s="2029">
        <v>5.0999999999999996</v>
      </c>
      <c r="AV64" s="2029">
        <v>23548.799999999999</v>
      </c>
      <c r="AW64" s="2029">
        <v>3030.9</v>
      </c>
      <c r="AX64" s="2029">
        <v>48663</v>
      </c>
      <c r="AY64" s="2029">
        <v>75247.8</v>
      </c>
      <c r="AZ64" s="2030">
        <v>-17.89</v>
      </c>
      <c r="BA64" s="2030">
        <v>24.63</v>
      </c>
      <c r="BB64" s="2030">
        <v>17.559999999999999</v>
      </c>
      <c r="BC64" s="2030">
        <v>10.72</v>
      </c>
      <c r="BD64" s="2030">
        <v>15.7</v>
      </c>
      <c r="BE64" s="2031" t="s">
        <v>3077</v>
      </c>
      <c r="BF64" s="2032">
        <v>7207</v>
      </c>
      <c r="BG64" s="2032">
        <v>3392</v>
      </c>
      <c r="BH64" s="2033"/>
      <c r="BI64" s="2033"/>
      <c r="BJ64" s="2033"/>
      <c r="BK64" s="2030">
        <v>100.02</v>
      </c>
      <c r="BL64" s="2030">
        <v>44.42</v>
      </c>
      <c r="BM64" s="2030">
        <v>44.43</v>
      </c>
      <c r="BN64" s="2030">
        <v>8.92</v>
      </c>
      <c r="BO64" s="2030">
        <v>5</v>
      </c>
      <c r="BP64" s="2030">
        <v>6.09</v>
      </c>
      <c r="BQ64" s="2030">
        <v>11.32</v>
      </c>
      <c r="BR64" s="2030">
        <v>5.23</v>
      </c>
      <c r="BS64" s="2033"/>
      <c r="BT64" s="2033"/>
      <c r="BU64" s="2033"/>
    </row>
    <row r="65" spans="1:74" s="154" customFormat="1" ht="9.9499999999999993" customHeight="1" x14ac:dyDescent="0.2">
      <c r="A65" s="160" t="s">
        <v>81</v>
      </c>
      <c r="B65" s="275" t="s">
        <v>559</v>
      </c>
      <c r="C65" s="2028">
        <v>48433.7</v>
      </c>
      <c r="D65" s="2029">
        <v>510.1</v>
      </c>
      <c r="E65" s="2029">
        <v>48943.8</v>
      </c>
      <c r="F65" s="2029">
        <v>4364.8999999999996</v>
      </c>
      <c r="G65" s="2029">
        <v>44578.9</v>
      </c>
      <c r="H65" s="2029">
        <v>7243.3</v>
      </c>
      <c r="I65" s="2029">
        <v>19604</v>
      </c>
      <c r="J65" s="2029">
        <v>38004.5</v>
      </c>
      <c r="K65" s="2029">
        <v>269477.2</v>
      </c>
      <c r="L65" s="2029">
        <v>307481.7</v>
      </c>
      <c r="M65" s="2029">
        <v>327085.7</v>
      </c>
      <c r="N65" s="2029">
        <v>165.2</v>
      </c>
      <c r="O65" s="2029">
        <v>82748.600000000006</v>
      </c>
      <c r="P65" s="2029">
        <v>352225.8</v>
      </c>
      <c r="Q65" s="2029">
        <v>6866.1</v>
      </c>
      <c r="R65" s="2029">
        <v>359091.9</v>
      </c>
      <c r="S65" s="2029">
        <v>0</v>
      </c>
      <c r="T65" s="2029">
        <v>10546.9</v>
      </c>
      <c r="U65" s="2029">
        <v>246801.2</v>
      </c>
      <c r="V65" s="2029">
        <v>257348.1</v>
      </c>
      <c r="W65" s="2029">
        <v>0</v>
      </c>
      <c r="X65" s="2029">
        <v>3887.2</v>
      </c>
      <c r="Y65" s="2029">
        <v>10439.299999999999</v>
      </c>
      <c r="Z65" s="2029">
        <v>14326.5</v>
      </c>
      <c r="AA65" s="2029">
        <v>2700.9</v>
      </c>
      <c r="AB65" s="2029">
        <v>51863.199999999997</v>
      </c>
      <c r="AC65" s="2029">
        <v>4314</v>
      </c>
      <c r="AD65" s="2029">
        <v>56177.2</v>
      </c>
      <c r="AE65" s="2029">
        <v>2700.9</v>
      </c>
      <c r="AF65" s="2029">
        <v>66297.3</v>
      </c>
      <c r="AG65" s="2029">
        <v>261554.5</v>
      </c>
      <c r="AH65" s="2029">
        <v>327851.8</v>
      </c>
      <c r="AI65" s="2029">
        <v>1704.4</v>
      </c>
      <c r="AJ65" s="2029">
        <v>5884.7</v>
      </c>
      <c r="AK65" s="2029">
        <v>5283.2</v>
      </c>
      <c r="AL65" s="2029">
        <v>920.5</v>
      </c>
      <c r="AM65" s="2029">
        <v>327103.3</v>
      </c>
      <c r="AN65" s="2029">
        <v>4131.8</v>
      </c>
      <c r="AO65" s="2029">
        <v>331235.09999999998</v>
      </c>
      <c r="AP65" s="2029">
        <v>18217.900000000001</v>
      </c>
      <c r="AQ65" s="2029">
        <v>8541.5</v>
      </c>
      <c r="AR65" s="2029">
        <v>26759.4</v>
      </c>
      <c r="AS65" s="2029">
        <v>832641.6</v>
      </c>
      <c r="AT65" s="2029">
        <v>75703.199999999997</v>
      </c>
      <c r="AU65" s="2029">
        <v>5.0999999999999996</v>
      </c>
      <c r="AV65" s="2029">
        <v>23467.200000000001</v>
      </c>
      <c r="AW65" s="2029">
        <v>3191</v>
      </c>
      <c r="AX65" s="2029">
        <v>49100.7</v>
      </c>
      <c r="AY65" s="2029">
        <v>75764</v>
      </c>
      <c r="AZ65" s="2030">
        <v>-15.01</v>
      </c>
      <c r="BA65" s="2030">
        <v>18.98</v>
      </c>
      <c r="BB65" s="2030">
        <v>21.16</v>
      </c>
      <c r="BC65" s="2030">
        <v>13.77</v>
      </c>
      <c r="BD65" s="2030">
        <v>18.79</v>
      </c>
      <c r="BE65" s="2031" t="s">
        <v>3077</v>
      </c>
      <c r="BF65" s="2032">
        <v>7221</v>
      </c>
      <c r="BG65" s="2032">
        <v>3392</v>
      </c>
      <c r="BH65" s="2033"/>
      <c r="BI65" s="2033"/>
      <c r="BJ65" s="2033"/>
      <c r="BK65" s="2030">
        <v>100.23</v>
      </c>
      <c r="BL65" s="2030">
        <v>45.3</v>
      </c>
      <c r="BM65" s="2030">
        <v>45.4</v>
      </c>
      <c r="BN65" s="2030">
        <v>9.52</v>
      </c>
      <c r="BO65" s="2030">
        <v>5</v>
      </c>
      <c r="BP65" s="2030">
        <v>6.09</v>
      </c>
      <c r="BQ65" s="2030">
        <v>11.31</v>
      </c>
      <c r="BR65" s="2030">
        <v>5.22</v>
      </c>
      <c r="BS65" s="2033"/>
      <c r="BT65" s="2033"/>
      <c r="BU65" s="2033"/>
    </row>
    <row r="66" spans="1:74" s="154" customFormat="1" ht="9.9499999999999993" customHeight="1" x14ac:dyDescent="0.2">
      <c r="A66" s="160" t="s">
        <v>81</v>
      </c>
      <c r="B66" s="236" t="s">
        <v>550</v>
      </c>
      <c r="C66" s="2028">
        <v>49947.3</v>
      </c>
      <c r="D66" s="2029">
        <v>518.1</v>
      </c>
      <c r="E66" s="2029">
        <v>50465.4</v>
      </c>
      <c r="F66" s="2029">
        <v>4308.3</v>
      </c>
      <c r="G66" s="2029">
        <v>46157.1</v>
      </c>
      <c r="H66" s="2029">
        <v>7971.5</v>
      </c>
      <c r="I66" s="2029">
        <v>20181.099999999999</v>
      </c>
      <c r="J66" s="2029">
        <v>41621.800000000003</v>
      </c>
      <c r="K66" s="2029">
        <v>275042.8</v>
      </c>
      <c r="L66" s="2029">
        <v>316664.59999999998</v>
      </c>
      <c r="M66" s="2029">
        <v>336845.7</v>
      </c>
      <c r="N66" s="2029">
        <v>209.4</v>
      </c>
      <c r="O66" s="2029">
        <v>87988.3</v>
      </c>
      <c r="P66" s="2029">
        <v>363031.1</v>
      </c>
      <c r="Q66" s="2029">
        <v>6935.3</v>
      </c>
      <c r="R66" s="2029">
        <v>369966.4</v>
      </c>
      <c r="S66" s="2029">
        <v>0</v>
      </c>
      <c r="T66" s="2029">
        <v>10726.3</v>
      </c>
      <c r="U66" s="2029">
        <v>253455.9</v>
      </c>
      <c r="V66" s="2029">
        <v>264182.2</v>
      </c>
      <c r="W66" s="2029">
        <v>0</v>
      </c>
      <c r="X66" s="2029">
        <v>3865.2</v>
      </c>
      <c r="Y66" s="2029">
        <v>10202.4</v>
      </c>
      <c r="Z66" s="2029">
        <v>14067.6</v>
      </c>
      <c r="AA66" s="2029">
        <v>2127.4</v>
      </c>
      <c r="AB66" s="2029">
        <v>51891.3</v>
      </c>
      <c r="AC66" s="2029">
        <v>4513.7</v>
      </c>
      <c r="AD66" s="2029">
        <v>56405</v>
      </c>
      <c r="AE66" s="2029">
        <v>2127.4</v>
      </c>
      <c r="AF66" s="2029">
        <v>66482.8</v>
      </c>
      <c r="AG66" s="2029">
        <v>268172</v>
      </c>
      <c r="AH66" s="2029">
        <v>334654.8</v>
      </c>
      <c r="AI66" s="2029">
        <v>1749.5</v>
      </c>
      <c r="AJ66" s="2029">
        <v>5852.1</v>
      </c>
      <c r="AK66" s="2029">
        <v>5087.3</v>
      </c>
      <c r="AL66" s="2029">
        <v>1561.7</v>
      </c>
      <c r="AM66" s="2029">
        <v>336869.7</v>
      </c>
      <c r="AN66" s="2029">
        <v>3885.6</v>
      </c>
      <c r="AO66" s="2029">
        <v>340755.3</v>
      </c>
      <c r="AP66" s="2029">
        <v>18741.5</v>
      </c>
      <c r="AQ66" s="2029">
        <v>12143.1</v>
      </c>
      <c r="AR66" s="2029">
        <v>30884.6</v>
      </c>
      <c r="AS66" s="2029">
        <v>863330.4</v>
      </c>
      <c r="AT66" s="2029">
        <v>81350</v>
      </c>
      <c r="AU66" s="2029">
        <v>5.0999999999999996</v>
      </c>
      <c r="AV66" s="2029">
        <v>21788.2</v>
      </c>
      <c r="AW66" s="2029">
        <v>3141.2</v>
      </c>
      <c r="AX66" s="2029">
        <v>49111.5</v>
      </c>
      <c r="AY66" s="2029">
        <v>74046</v>
      </c>
      <c r="AZ66" s="2030">
        <v>-6.52</v>
      </c>
      <c r="BA66" s="2030">
        <v>20.77</v>
      </c>
      <c r="BB66" s="2030">
        <v>24.24</v>
      </c>
      <c r="BC66" s="2030">
        <v>17.89</v>
      </c>
      <c r="BD66" s="2030">
        <v>22.44</v>
      </c>
      <c r="BE66" s="2031" t="s">
        <v>3077</v>
      </c>
      <c r="BF66" s="2032">
        <v>7246</v>
      </c>
      <c r="BG66" s="2032">
        <v>3394</v>
      </c>
      <c r="BH66" s="2033"/>
      <c r="BI66" s="2033"/>
      <c r="BJ66" s="2033"/>
      <c r="BK66" s="2030">
        <v>99.34</v>
      </c>
      <c r="BL66" s="2030">
        <v>46.49</v>
      </c>
      <c r="BM66" s="2030">
        <v>46.18</v>
      </c>
      <c r="BN66" s="2030">
        <v>10.45</v>
      </c>
      <c r="BO66" s="2030">
        <v>5</v>
      </c>
      <c r="BP66" s="2030">
        <v>6.01</v>
      </c>
      <c r="BQ66" s="2030">
        <v>11.31</v>
      </c>
      <c r="BR66" s="2030">
        <v>5.3</v>
      </c>
      <c r="BS66" s="2033"/>
      <c r="BT66" s="2033"/>
      <c r="BU66" s="2033"/>
    </row>
    <row r="67" spans="1:74" s="154" customFormat="1" ht="9.9499999999999993" customHeight="1" x14ac:dyDescent="0.2">
      <c r="A67" s="160" t="s">
        <v>189</v>
      </c>
      <c r="B67" s="275" t="s">
        <v>552</v>
      </c>
      <c r="C67" s="2034">
        <v>50801.2</v>
      </c>
      <c r="D67" s="2034">
        <v>525.9</v>
      </c>
      <c r="E67" s="2035">
        <f t="shared" ref="E67:E90" si="0">C67+D67</f>
        <v>51327.1</v>
      </c>
      <c r="F67" s="2034">
        <v>4210.7</v>
      </c>
      <c r="G67" s="2035">
        <f t="shared" ref="G67:G90" si="1">E67-F67</f>
        <v>47116.4</v>
      </c>
      <c r="H67" s="2034">
        <v>7357.2</v>
      </c>
      <c r="I67" s="2034">
        <v>18774</v>
      </c>
      <c r="J67" s="2034">
        <v>38870.1</v>
      </c>
      <c r="K67" s="2034">
        <v>278226.7</v>
      </c>
      <c r="L67" s="1959">
        <f t="shared" ref="L67:L90" si="2">J67+K67</f>
        <v>317096.8</v>
      </c>
      <c r="M67" s="2034">
        <f t="shared" ref="M67:M90" si="3">I67+L67</f>
        <v>335870.8</v>
      </c>
      <c r="N67" s="2034">
        <v>169.9</v>
      </c>
      <c r="O67" s="2034">
        <f t="shared" ref="O67:O78" si="4">G67+J67+N67</f>
        <v>86156.4</v>
      </c>
      <c r="P67" s="1959">
        <f t="shared" ref="P67:P77" si="5">K67+O67</f>
        <v>364383.1</v>
      </c>
      <c r="Q67" s="2034">
        <v>7047.83</v>
      </c>
      <c r="R67" s="2034">
        <f t="shared" ref="R67:R78" si="6">P67+Q67</f>
        <v>371430.93</v>
      </c>
      <c r="S67" s="2034">
        <v>0</v>
      </c>
      <c r="T67" s="2034">
        <v>9804.5</v>
      </c>
      <c r="U67" s="2034">
        <v>254899.3</v>
      </c>
      <c r="V67" s="2034">
        <f t="shared" ref="V67:V89" si="7">T67+U67</f>
        <v>264703.8</v>
      </c>
      <c r="W67" s="2034">
        <v>0</v>
      </c>
      <c r="X67" s="2034">
        <v>3842.4</v>
      </c>
      <c r="Y67" s="2034">
        <v>10863.5</v>
      </c>
      <c r="Z67" s="2034">
        <f t="shared" ref="Z67:Z90" si="8">X67+Y67</f>
        <v>14705.9</v>
      </c>
      <c r="AA67" s="2034">
        <v>1867.8</v>
      </c>
      <c r="AB67" s="2034">
        <v>53119.5</v>
      </c>
      <c r="AC67" s="2034">
        <v>5562.8</v>
      </c>
      <c r="AD67" s="2034">
        <f t="shared" ref="AD67:AD90" si="9">AB67+AC67</f>
        <v>58682.3</v>
      </c>
      <c r="AE67" s="2034">
        <f t="shared" ref="AE67:AH82" si="10">S67+W67+AA67</f>
        <v>1867.8</v>
      </c>
      <c r="AF67" s="2034">
        <f t="shared" si="10"/>
        <v>66766.399999999994</v>
      </c>
      <c r="AG67" s="2034">
        <f t="shared" si="10"/>
        <v>271325.59999999998</v>
      </c>
      <c r="AH67" s="2034">
        <f t="shared" si="10"/>
        <v>338092</v>
      </c>
      <c r="AI67" s="2034">
        <v>1787.2</v>
      </c>
      <c r="AJ67" s="2034">
        <v>5843.7</v>
      </c>
      <c r="AK67" s="2034">
        <v>5792.4</v>
      </c>
      <c r="AL67" s="2034">
        <v>1521.7</v>
      </c>
      <c r="AM67" s="2034">
        <f>335900.6-5.7</f>
        <v>335894.89999999997</v>
      </c>
      <c r="AN67" s="2034">
        <v>4251.1000000000004</v>
      </c>
      <c r="AO67" s="2034">
        <f t="shared" ref="AO67:AO90" si="11">AM67+AN67</f>
        <v>340145.99999999994</v>
      </c>
      <c r="AP67" s="2034">
        <f>AO67*0.055</f>
        <v>18708.029999999995</v>
      </c>
      <c r="AQ67" s="2036">
        <f t="shared" ref="AQ67:AQ89" si="12">AR67-AP67</f>
        <v>4111.8700000000063</v>
      </c>
      <c r="AR67" s="2034">
        <v>22819.9</v>
      </c>
      <c r="AS67" s="2034">
        <v>872818.6</v>
      </c>
      <c r="AT67" s="2035">
        <f t="shared" ref="AT67:AT90" si="13">E67+AR67</f>
        <v>74147</v>
      </c>
      <c r="AU67" s="2034">
        <v>5.0999999999999996</v>
      </c>
      <c r="AV67" s="2034">
        <v>21788.2</v>
      </c>
      <c r="AW67" s="2034">
        <f>679.7+569.1+890.2</f>
        <v>2139</v>
      </c>
      <c r="AX67" s="2034">
        <f>47841.4+2478.5</f>
        <v>50319.9</v>
      </c>
      <c r="AY67" s="2034">
        <f t="shared" ref="AY67:AY88" si="14">AU67+AV67+AW67+AX67</f>
        <v>74252.2</v>
      </c>
      <c r="AZ67" s="573">
        <v>-0.77</v>
      </c>
      <c r="BA67" s="573">
        <v>0.22</v>
      </c>
      <c r="BB67" s="573">
        <v>1.1599999999999999</v>
      </c>
      <c r="BC67" s="573">
        <v>0.81</v>
      </c>
      <c r="BD67" s="573">
        <v>0.37</v>
      </c>
      <c r="BE67" s="2034" t="s">
        <v>288</v>
      </c>
      <c r="BF67" s="1454">
        <v>7273</v>
      </c>
      <c r="BG67" s="1454">
        <v>3398</v>
      </c>
      <c r="BH67" s="1454"/>
      <c r="BI67" s="1454"/>
      <c r="BJ67" s="574"/>
      <c r="BK67" s="574">
        <f>AM67/BF67</f>
        <v>46.183816856867864</v>
      </c>
      <c r="BL67" s="574">
        <f>AH67/BF67</f>
        <v>46.485906778495803</v>
      </c>
      <c r="BM67" s="574">
        <f t="shared" ref="BM67:BM78" si="15">(F67+AR67)/AM67*100</f>
        <v>8.0473386169304764</v>
      </c>
      <c r="BN67" s="573">
        <v>5</v>
      </c>
      <c r="BO67" s="573">
        <v>6</v>
      </c>
      <c r="BP67" s="573">
        <v>11.24</v>
      </c>
      <c r="BQ67" s="573">
        <f t="shared" ref="BQ67:BQ78" si="16">BP67-BO67</f>
        <v>5.24</v>
      </c>
      <c r="BR67" s="2034"/>
      <c r="BS67" s="2037"/>
      <c r="BT67" s="1959"/>
      <c r="BU67" s="1959"/>
    </row>
    <row r="68" spans="1:74" s="154" customFormat="1" ht="9.9499999999999993" customHeight="1" x14ac:dyDescent="0.2">
      <c r="A68" s="160" t="s">
        <v>189</v>
      </c>
      <c r="B68" s="236" t="s">
        <v>553</v>
      </c>
      <c r="C68" s="2038">
        <v>54093.599999999999</v>
      </c>
      <c r="D68" s="2038">
        <v>538.6</v>
      </c>
      <c r="E68" s="2039">
        <f t="shared" si="0"/>
        <v>54632.2</v>
      </c>
      <c r="F68" s="2038">
        <v>4812.5</v>
      </c>
      <c r="G68" s="2039">
        <f t="shared" si="1"/>
        <v>49819.7</v>
      </c>
      <c r="H68" s="2038">
        <v>7570.3</v>
      </c>
      <c r="I68" s="2038">
        <v>19476.3</v>
      </c>
      <c r="J68" s="2038">
        <v>40061.5</v>
      </c>
      <c r="K68" s="2038">
        <v>283049.90000000002</v>
      </c>
      <c r="L68" s="286">
        <f t="shared" si="2"/>
        <v>323111.40000000002</v>
      </c>
      <c r="M68" s="2038">
        <f t="shared" si="3"/>
        <v>342587.7</v>
      </c>
      <c r="N68" s="2038">
        <v>168.8</v>
      </c>
      <c r="O68" s="2038">
        <f t="shared" si="4"/>
        <v>90050</v>
      </c>
      <c r="P68" s="286">
        <f t="shared" si="5"/>
        <v>373099.9</v>
      </c>
      <c r="Q68" s="2038">
        <v>6926.5</v>
      </c>
      <c r="R68" s="2038">
        <f t="shared" si="6"/>
        <v>380026.4</v>
      </c>
      <c r="S68" s="2038">
        <v>0</v>
      </c>
      <c r="T68" s="2038">
        <v>10043.799999999999</v>
      </c>
      <c r="U68" s="2038">
        <v>261284.3</v>
      </c>
      <c r="V68" s="2038">
        <f t="shared" si="7"/>
        <v>271328.09999999998</v>
      </c>
      <c r="W68" s="2038">
        <v>0</v>
      </c>
      <c r="X68" s="2038">
        <v>3731.8</v>
      </c>
      <c r="Y68" s="2038">
        <v>11367.3</v>
      </c>
      <c r="Z68" s="2038">
        <f t="shared" si="8"/>
        <v>15099.099999999999</v>
      </c>
      <c r="AA68" s="2038">
        <v>1780.4</v>
      </c>
      <c r="AB68" s="2038">
        <v>53032.9</v>
      </c>
      <c r="AC68" s="2038">
        <v>5088.2</v>
      </c>
      <c r="AD68" s="2038">
        <f t="shared" si="9"/>
        <v>58121.1</v>
      </c>
      <c r="AE68" s="2038">
        <f t="shared" si="10"/>
        <v>1780.4</v>
      </c>
      <c r="AF68" s="2038">
        <f t="shared" si="10"/>
        <v>66808.5</v>
      </c>
      <c r="AG68" s="2038">
        <f t="shared" si="10"/>
        <v>277739.8</v>
      </c>
      <c r="AH68" s="2038">
        <f t="shared" si="10"/>
        <v>344548.29999999993</v>
      </c>
      <c r="AI68" s="2038">
        <v>1771.6</v>
      </c>
      <c r="AJ68" s="2038">
        <v>6435</v>
      </c>
      <c r="AK68" s="2038">
        <v>4476.1000000000004</v>
      </c>
      <c r="AL68" s="2038">
        <v>1625.5</v>
      </c>
      <c r="AM68" s="2038">
        <f>342623-5.5</f>
        <v>342617.5</v>
      </c>
      <c r="AN68" s="2038">
        <v>4070.2</v>
      </c>
      <c r="AO68" s="2038">
        <f t="shared" si="11"/>
        <v>346687.7</v>
      </c>
      <c r="AP68" s="2038">
        <f>AO68*0.055</f>
        <v>19067.823500000002</v>
      </c>
      <c r="AQ68" s="2040">
        <f t="shared" si="12"/>
        <v>2439.6764999999978</v>
      </c>
      <c r="AR68" s="2038">
        <v>21507.5</v>
      </c>
      <c r="AS68" s="2038">
        <v>903234.9</v>
      </c>
      <c r="AT68" s="2039">
        <f t="shared" si="13"/>
        <v>76139.7</v>
      </c>
      <c r="AU68" s="2038">
        <v>5.0999999999999996</v>
      </c>
      <c r="AV68" s="2038">
        <v>21639.1</v>
      </c>
      <c r="AW68" s="2038">
        <f>700.5+503.8+927.2</f>
        <v>2131.5</v>
      </c>
      <c r="AX68" s="2038">
        <f>47523.4+2666.3</f>
        <v>50189.700000000004</v>
      </c>
      <c r="AY68" s="2038">
        <f t="shared" si="14"/>
        <v>73965.399999999994</v>
      </c>
      <c r="AZ68" s="2041">
        <v>-1.77</v>
      </c>
      <c r="BA68" s="2041">
        <v>1.41</v>
      </c>
      <c r="BB68" s="2041">
        <v>3.6</v>
      </c>
      <c r="BC68" s="2041">
        <v>2.64</v>
      </c>
      <c r="BD68" s="2041">
        <v>2.77</v>
      </c>
      <c r="BE68" s="2041" t="s">
        <v>288</v>
      </c>
      <c r="BF68" s="2042">
        <v>7310</v>
      </c>
      <c r="BG68" s="2042">
        <v>3402</v>
      </c>
      <c r="BH68" s="2042"/>
      <c r="BI68" s="2042"/>
      <c r="BJ68" s="2041"/>
      <c r="BK68" s="574">
        <f t="shared" ref="BK68:BK78" si="17">AM68/BF68</f>
        <v>46.86969904240766</v>
      </c>
      <c r="BL68" s="574">
        <f t="shared" ref="BL68:BL78" si="18">AH68/BF68</f>
        <v>47.133830369357035</v>
      </c>
      <c r="BM68" s="2041">
        <f t="shared" si="15"/>
        <v>7.6820360898086051</v>
      </c>
      <c r="BN68" s="2041">
        <v>5</v>
      </c>
      <c r="BO68" s="2041">
        <v>6.04</v>
      </c>
      <c r="BP68" s="2041">
        <v>11.23</v>
      </c>
      <c r="BQ68" s="2041">
        <f t="shared" si="16"/>
        <v>5.19</v>
      </c>
      <c r="BR68" s="2034"/>
      <c r="BS68" s="2037"/>
      <c r="BT68" s="1959"/>
      <c r="BU68" s="1959"/>
    </row>
    <row r="69" spans="1:74" s="154" customFormat="1" ht="9.9499999999999993" customHeight="1" x14ac:dyDescent="0.2">
      <c r="A69" s="160" t="s">
        <v>189</v>
      </c>
      <c r="B69" s="275" t="s">
        <v>547</v>
      </c>
      <c r="C69" s="2034">
        <v>53630.6</v>
      </c>
      <c r="D69" s="2034">
        <v>547.9</v>
      </c>
      <c r="E69" s="2035">
        <f t="shared" si="0"/>
        <v>54178.5</v>
      </c>
      <c r="F69" s="2034">
        <v>4440.2</v>
      </c>
      <c r="G69" s="2035">
        <f t="shared" si="1"/>
        <v>49738.3</v>
      </c>
      <c r="H69" s="2034">
        <v>8864.7999999999993</v>
      </c>
      <c r="I69" s="2034">
        <v>20406.3</v>
      </c>
      <c r="J69" s="2034">
        <v>41832.800000000003</v>
      </c>
      <c r="K69" s="2034">
        <v>287287.8</v>
      </c>
      <c r="L69" s="1959">
        <f t="shared" si="2"/>
        <v>329120.59999999998</v>
      </c>
      <c r="M69" s="2034">
        <f t="shared" si="3"/>
        <v>349526.89999999997</v>
      </c>
      <c r="N69" s="2034">
        <v>237.1</v>
      </c>
      <c r="O69" s="2034">
        <f t="shared" si="4"/>
        <v>91808.200000000012</v>
      </c>
      <c r="P69" s="2034">
        <f t="shared" si="5"/>
        <v>379096</v>
      </c>
      <c r="Q69" s="2034">
        <v>6779.7</v>
      </c>
      <c r="R69" s="2034">
        <f t="shared" si="6"/>
        <v>385875.7</v>
      </c>
      <c r="S69" s="2034">
        <v>0</v>
      </c>
      <c r="T69" s="2034">
        <v>10411.200000000001</v>
      </c>
      <c r="U69" s="2034">
        <v>267026.7</v>
      </c>
      <c r="V69" s="2034">
        <f t="shared" si="7"/>
        <v>277437.90000000002</v>
      </c>
      <c r="W69" s="2034">
        <v>0</v>
      </c>
      <c r="X69" s="2034">
        <v>3690.2</v>
      </c>
      <c r="Y69" s="2034">
        <v>12010</v>
      </c>
      <c r="Z69" s="2034">
        <f t="shared" si="8"/>
        <v>15700.2</v>
      </c>
      <c r="AA69" s="2034">
        <v>2350</v>
      </c>
      <c r="AB69" s="2034">
        <v>51172.7</v>
      </c>
      <c r="AC69" s="2034">
        <v>5545.8</v>
      </c>
      <c r="AD69" s="2034">
        <f t="shared" si="9"/>
        <v>56718.5</v>
      </c>
      <c r="AE69" s="2034">
        <f t="shared" si="10"/>
        <v>2350</v>
      </c>
      <c r="AF69" s="2034">
        <f t="shared" si="10"/>
        <v>65274.1</v>
      </c>
      <c r="AG69" s="2034">
        <f t="shared" si="10"/>
        <v>284582.5</v>
      </c>
      <c r="AH69" s="2034">
        <f t="shared" si="10"/>
        <v>349856.60000000003</v>
      </c>
      <c r="AI69" s="2034">
        <v>2148.5</v>
      </c>
      <c r="AJ69" s="2034">
        <v>5910.6</v>
      </c>
      <c r="AK69" s="2034">
        <v>5110</v>
      </c>
      <c r="AL69" s="2034">
        <f>1.5+1664.7</f>
        <v>1666.2</v>
      </c>
      <c r="AM69" s="2034">
        <f>349557.5-5.4</f>
        <v>349552.1</v>
      </c>
      <c r="AN69" s="2034">
        <v>4321</v>
      </c>
      <c r="AO69" s="2034">
        <f t="shared" si="11"/>
        <v>353873.1</v>
      </c>
      <c r="AP69" s="2034">
        <f>AO69*0.055</f>
        <v>19463.020499999999</v>
      </c>
      <c r="AQ69" s="2036">
        <f t="shared" si="12"/>
        <v>3003.4795000000013</v>
      </c>
      <c r="AR69" s="2034">
        <v>22466.5</v>
      </c>
      <c r="AS69" s="2034">
        <v>926169</v>
      </c>
      <c r="AT69" s="2035">
        <f t="shared" si="13"/>
        <v>76645</v>
      </c>
      <c r="AU69" s="2034">
        <f>1000+5.1+395.3</f>
        <v>1400.4</v>
      </c>
      <c r="AV69" s="2034">
        <f>22034.4-395.3</f>
        <v>21639.100000000002</v>
      </c>
      <c r="AW69" s="2034">
        <f>739.4+367.2+1057.5</f>
        <v>2164.1</v>
      </c>
      <c r="AX69" s="2034">
        <f>45657.6+2612.7</f>
        <v>48270.299999999996</v>
      </c>
      <c r="AY69" s="2034">
        <f t="shared" si="14"/>
        <v>73473.899999999994</v>
      </c>
      <c r="AZ69" s="573">
        <v>-1.38</v>
      </c>
      <c r="BA69" s="573">
        <v>3.67</v>
      </c>
      <c r="BB69" s="573">
        <v>6.09</v>
      </c>
      <c r="BC69" s="573">
        <v>4.79</v>
      </c>
      <c r="BD69" s="573">
        <v>4.43</v>
      </c>
      <c r="BE69" s="573" t="s">
        <v>288</v>
      </c>
      <c r="BF69" s="1454">
        <v>7335</v>
      </c>
      <c r="BG69" s="1454">
        <v>3402</v>
      </c>
      <c r="BH69" s="1454"/>
      <c r="BI69" s="1454"/>
      <c r="BJ69" s="574"/>
      <c r="BK69" s="574">
        <f t="shared" si="17"/>
        <v>47.655364689843218</v>
      </c>
      <c r="BL69" s="574">
        <f t="shared" si="18"/>
        <v>47.69687798227676</v>
      </c>
      <c r="BM69" s="574">
        <f t="shared" si="15"/>
        <v>7.6974791454549978</v>
      </c>
      <c r="BN69" s="573">
        <v>5</v>
      </c>
      <c r="BO69" s="573">
        <v>6.01</v>
      </c>
      <c r="BP69" s="573">
        <v>11.17</v>
      </c>
      <c r="BQ69" s="573">
        <f t="shared" si="16"/>
        <v>5.16</v>
      </c>
      <c r="BR69" s="2034"/>
      <c r="BS69" s="2037"/>
      <c r="BT69" s="1959"/>
      <c r="BU69" s="1959"/>
    </row>
    <row r="70" spans="1:74" s="154" customFormat="1" ht="9.9499999999999993" customHeight="1" x14ac:dyDescent="0.2">
      <c r="A70" s="160" t="s">
        <v>189</v>
      </c>
      <c r="B70" s="236" t="s">
        <v>554</v>
      </c>
      <c r="C70" s="2038">
        <v>53201.599999999999</v>
      </c>
      <c r="D70" s="2038">
        <v>551.5</v>
      </c>
      <c r="E70" s="2039">
        <f t="shared" si="0"/>
        <v>53753.1</v>
      </c>
      <c r="F70" s="2038">
        <v>5129.8</v>
      </c>
      <c r="G70" s="2039">
        <f t="shared" si="1"/>
        <v>48623.299999999996</v>
      </c>
      <c r="H70" s="2038">
        <v>8840</v>
      </c>
      <c r="I70" s="2038">
        <v>20796.3</v>
      </c>
      <c r="J70" s="2038">
        <v>43979.6</v>
      </c>
      <c r="K70" s="2038">
        <v>292446.40000000002</v>
      </c>
      <c r="L70" s="2038">
        <f t="shared" si="2"/>
        <v>336426</v>
      </c>
      <c r="M70" s="2038">
        <f t="shared" si="3"/>
        <v>357222.3</v>
      </c>
      <c r="N70" s="2038">
        <v>182</v>
      </c>
      <c r="O70" s="2038">
        <f t="shared" si="4"/>
        <v>92784.9</v>
      </c>
      <c r="P70" s="2038">
        <f t="shared" si="5"/>
        <v>385231.30000000005</v>
      </c>
      <c r="Q70" s="2038">
        <v>6627.5</v>
      </c>
      <c r="R70" s="2038">
        <f t="shared" si="6"/>
        <v>391858.80000000005</v>
      </c>
      <c r="S70" s="2038">
        <v>0</v>
      </c>
      <c r="T70" s="2038">
        <v>10796.9</v>
      </c>
      <c r="U70" s="2038">
        <v>272487.09999999998</v>
      </c>
      <c r="V70" s="2038">
        <f t="shared" si="7"/>
        <v>283284</v>
      </c>
      <c r="W70" s="2038">
        <v>0</v>
      </c>
      <c r="X70" s="2038">
        <v>3914.1</v>
      </c>
      <c r="Y70" s="2038">
        <v>12534.5</v>
      </c>
      <c r="Z70" s="2038">
        <f t="shared" si="8"/>
        <v>16448.599999999999</v>
      </c>
      <c r="AA70" s="2038">
        <v>2659.9</v>
      </c>
      <c r="AB70" s="2038">
        <v>51633.5</v>
      </c>
      <c r="AC70" s="2038">
        <v>6146.8</v>
      </c>
      <c r="AD70" s="2038">
        <f t="shared" si="9"/>
        <v>57780.3</v>
      </c>
      <c r="AE70" s="2038">
        <f t="shared" si="10"/>
        <v>2659.9</v>
      </c>
      <c r="AF70" s="2038">
        <f t="shared" si="10"/>
        <v>66344.5</v>
      </c>
      <c r="AG70" s="2038">
        <f t="shared" si="10"/>
        <v>291168.39999999997</v>
      </c>
      <c r="AH70" s="2038">
        <f t="shared" si="10"/>
        <v>357512.89999999997</v>
      </c>
      <c r="AI70" s="2038">
        <v>1992.2</v>
      </c>
      <c r="AJ70" s="2038">
        <v>6107.4</v>
      </c>
      <c r="AK70" s="2038">
        <v>4790.8999999999996</v>
      </c>
      <c r="AL70" s="2038">
        <v>1287.7</v>
      </c>
      <c r="AM70" s="2038">
        <f>357252.6-5.5</f>
        <v>357247.1</v>
      </c>
      <c r="AN70" s="2038">
        <v>4406.8</v>
      </c>
      <c r="AO70" s="2038">
        <f t="shared" si="11"/>
        <v>361653.89999999997</v>
      </c>
      <c r="AP70" s="2038">
        <f>AO70*0.055</f>
        <v>19890.964499999998</v>
      </c>
      <c r="AQ70" s="2040">
        <f t="shared" si="12"/>
        <v>2536.5355000000018</v>
      </c>
      <c r="AR70" s="2038">
        <v>22427.5</v>
      </c>
      <c r="AS70" s="2038">
        <v>948394.2</v>
      </c>
      <c r="AT70" s="2039">
        <f t="shared" si="13"/>
        <v>76180.600000000006</v>
      </c>
      <c r="AU70" s="2038">
        <f>1000+697.5+5.1</f>
        <v>1702.6</v>
      </c>
      <c r="AV70" s="2038">
        <f>22336.6-697.5</f>
        <v>21639.1</v>
      </c>
      <c r="AW70" s="2038">
        <f>743.7+295.2+3+1058.6</f>
        <v>2100.5</v>
      </c>
      <c r="AX70" s="2038">
        <f>46402.3+2607</f>
        <v>49009.3</v>
      </c>
      <c r="AY70" s="2038">
        <f t="shared" si="14"/>
        <v>74451.5</v>
      </c>
      <c r="AZ70" s="2041">
        <v>-0.3</v>
      </c>
      <c r="BA70" s="2041">
        <v>6.24</v>
      </c>
      <c r="BB70" s="2041">
        <v>8.5299999999999994</v>
      </c>
      <c r="BC70" s="2041">
        <v>7.02</v>
      </c>
      <c r="BD70" s="2041">
        <v>6.12</v>
      </c>
      <c r="BE70" s="2041" t="s">
        <v>288</v>
      </c>
      <c r="BF70" s="2042">
        <v>7400</v>
      </c>
      <c r="BG70" s="2042">
        <v>3403</v>
      </c>
      <c r="BH70" s="2042"/>
      <c r="BI70" s="2042"/>
      <c r="BJ70" s="2041"/>
      <c r="BK70" s="574">
        <f t="shared" si="17"/>
        <v>48.27663513513513</v>
      </c>
      <c r="BL70" s="574">
        <f t="shared" si="18"/>
        <v>48.312554054054047</v>
      </c>
      <c r="BM70" s="2041">
        <f t="shared" si="15"/>
        <v>7.7137924982456125</v>
      </c>
      <c r="BN70" s="2041">
        <v>5</v>
      </c>
      <c r="BO70" s="2041">
        <v>6.03</v>
      </c>
      <c r="BP70" s="2041">
        <v>11.21</v>
      </c>
      <c r="BQ70" s="2041">
        <f t="shared" si="16"/>
        <v>5.1800000000000006</v>
      </c>
      <c r="BR70" s="2034"/>
      <c r="BS70" s="2037"/>
      <c r="BT70" s="1959"/>
      <c r="BU70" s="1959"/>
    </row>
    <row r="71" spans="1:74" s="154" customFormat="1" ht="9.9499999999999993" customHeight="1" x14ac:dyDescent="0.2">
      <c r="A71" s="160" t="s">
        <v>189</v>
      </c>
      <c r="B71" s="275" t="s">
        <v>555</v>
      </c>
      <c r="C71" s="2034">
        <v>58554.5</v>
      </c>
      <c r="D71" s="2034">
        <v>557.79999999999995</v>
      </c>
      <c r="E71" s="2035">
        <f t="shared" si="0"/>
        <v>59112.3</v>
      </c>
      <c r="F71" s="2034">
        <v>5886.4</v>
      </c>
      <c r="G71" s="2035">
        <f t="shared" si="1"/>
        <v>53225.9</v>
      </c>
      <c r="H71" s="2034">
        <v>9863</v>
      </c>
      <c r="I71" s="2034">
        <v>21484</v>
      </c>
      <c r="J71" s="2034">
        <v>44465.599999999999</v>
      </c>
      <c r="K71" s="2034">
        <v>296774.8</v>
      </c>
      <c r="L71" s="1959">
        <f t="shared" si="2"/>
        <v>341240.39999999997</v>
      </c>
      <c r="M71" s="2034">
        <f t="shared" si="3"/>
        <v>362724.39999999997</v>
      </c>
      <c r="N71" s="2034">
        <v>185.7</v>
      </c>
      <c r="O71" s="2034">
        <f t="shared" si="4"/>
        <v>97877.2</v>
      </c>
      <c r="P71" s="2034">
        <f t="shared" si="5"/>
        <v>394652</v>
      </c>
      <c r="Q71" s="2034">
        <v>6494.5</v>
      </c>
      <c r="R71" s="2034">
        <f t="shared" si="6"/>
        <v>401146.5</v>
      </c>
      <c r="S71" s="2034">
        <v>0</v>
      </c>
      <c r="T71" s="2034">
        <v>11954.3</v>
      </c>
      <c r="U71" s="2034">
        <v>280175.3</v>
      </c>
      <c r="V71" s="2034">
        <f t="shared" si="7"/>
        <v>292129.59999999998</v>
      </c>
      <c r="W71" s="2034">
        <v>0</v>
      </c>
      <c r="X71" s="2034">
        <v>4155.3</v>
      </c>
      <c r="Y71" s="2034">
        <v>13391</v>
      </c>
      <c r="Z71" s="2034">
        <f t="shared" si="8"/>
        <v>17546.3</v>
      </c>
      <c r="AA71" s="2034">
        <v>2573</v>
      </c>
      <c r="AB71" s="2034">
        <v>54030.6</v>
      </c>
      <c r="AC71" s="2034">
        <v>6838.9</v>
      </c>
      <c r="AD71" s="2034">
        <f t="shared" si="9"/>
        <v>60869.5</v>
      </c>
      <c r="AE71" s="2034">
        <f t="shared" si="10"/>
        <v>2573</v>
      </c>
      <c r="AF71" s="2034">
        <f t="shared" si="10"/>
        <v>70140.2</v>
      </c>
      <c r="AG71" s="2034">
        <f t="shared" si="10"/>
        <v>300405.2</v>
      </c>
      <c r="AH71" s="2034">
        <f t="shared" si="10"/>
        <v>370545.39999999997</v>
      </c>
      <c r="AI71" s="2034">
        <v>1844.9</v>
      </c>
      <c r="AJ71" s="2034">
        <v>9085.2999999999993</v>
      </c>
      <c r="AK71" s="2034">
        <v>5241.1000000000004</v>
      </c>
      <c r="AL71" s="2034">
        <f>35+1728.3</f>
        <v>1763.3</v>
      </c>
      <c r="AM71" s="2034">
        <f>362755.4-5.3</f>
        <v>362750.10000000003</v>
      </c>
      <c r="AN71" s="2034">
        <v>4990.2</v>
      </c>
      <c r="AO71" s="2034">
        <f t="shared" si="11"/>
        <v>367740.30000000005</v>
      </c>
      <c r="AP71" s="2034">
        <f>AO71*0.055</f>
        <v>20225.716500000002</v>
      </c>
      <c r="AQ71" s="2036">
        <f t="shared" si="12"/>
        <v>957.88349999999627</v>
      </c>
      <c r="AR71" s="2034">
        <v>21183.599999999999</v>
      </c>
      <c r="AS71" s="2034">
        <v>964588.6</v>
      </c>
      <c r="AT71" s="2035">
        <f t="shared" si="13"/>
        <v>80295.899999999994</v>
      </c>
      <c r="AU71" s="2034">
        <f>1000+188.7+5.1</f>
        <v>1193.8</v>
      </c>
      <c r="AV71" s="2034">
        <f>22050.8-188.7</f>
        <v>21862.1</v>
      </c>
      <c r="AW71" s="2034">
        <f>256.8+865.7+14.7+1201.7</f>
        <v>2338.9</v>
      </c>
      <c r="AX71" s="2034">
        <f>48671.6+2683.9</f>
        <v>51355.5</v>
      </c>
      <c r="AY71" s="2034">
        <f t="shared" si="14"/>
        <v>76750.3</v>
      </c>
      <c r="AZ71" s="573">
        <v>2.67</v>
      </c>
      <c r="BA71" s="573">
        <v>14.28</v>
      </c>
      <c r="BB71" s="573">
        <v>11.99</v>
      </c>
      <c r="BC71" s="573">
        <v>10.6</v>
      </c>
      <c r="BD71" s="573">
        <v>8.7100000000000009</v>
      </c>
      <c r="BE71" s="573" t="s">
        <v>288</v>
      </c>
      <c r="BF71" s="1454">
        <v>7444</v>
      </c>
      <c r="BG71" s="1454">
        <v>3403</v>
      </c>
      <c r="BH71" s="1454"/>
      <c r="BI71" s="1454"/>
      <c r="BJ71" s="574"/>
      <c r="BK71" s="574">
        <f t="shared" si="17"/>
        <v>48.730534658785601</v>
      </c>
      <c r="BL71" s="574">
        <f t="shared" si="18"/>
        <v>49.777727028479305</v>
      </c>
      <c r="BM71" s="574">
        <f t="shared" si="15"/>
        <v>7.4624376395761152</v>
      </c>
      <c r="BN71" s="573">
        <v>5</v>
      </c>
      <c r="BO71" s="573">
        <v>6.07</v>
      </c>
      <c r="BP71" s="573">
        <v>11.23</v>
      </c>
      <c r="BQ71" s="573">
        <f t="shared" si="16"/>
        <v>5.16</v>
      </c>
      <c r="BR71" s="2034"/>
      <c r="BS71" s="2037"/>
      <c r="BT71" s="1959"/>
      <c r="BU71" s="1959"/>
    </row>
    <row r="72" spans="1:74" s="154" customFormat="1" ht="9.9499999999999993" customHeight="1" x14ac:dyDescent="0.2">
      <c r="A72" s="160" t="s">
        <v>189</v>
      </c>
      <c r="B72" s="236" t="s">
        <v>548</v>
      </c>
      <c r="C72" s="2038">
        <v>57318.2</v>
      </c>
      <c r="D72" s="2038">
        <v>563.20000000000005</v>
      </c>
      <c r="E72" s="2039">
        <f t="shared" si="0"/>
        <v>57881.399999999994</v>
      </c>
      <c r="F72" s="2038">
        <v>4963.8</v>
      </c>
      <c r="G72" s="2039">
        <f t="shared" si="1"/>
        <v>52917.599999999991</v>
      </c>
      <c r="H72" s="2038">
        <v>8799.5</v>
      </c>
      <c r="I72" s="2038">
        <v>22227.3</v>
      </c>
      <c r="J72" s="2038">
        <v>46777.599999999999</v>
      </c>
      <c r="K72" s="2038">
        <v>299360.09999999998</v>
      </c>
      <c r="L72" s="286">
        <f t="shared" si="2"/>
        <v>346137.69999999995</v>
      </c>
      <c r="M72" s="2038">
        <f t="shared" si="3"/>
        <v>368364.99999999994</v>
      </c>
      <c r="N72" s="2038">
        <v>223.7</v>
      </c>
      <c r="O72" s="2038">
        <f t="shared" si="4"/>
        <v>99918.89999999998</v>
      </c>
      <c r="P72" s="2038">
        <f t="shared" si="5"/>
        <v>399278.99999999994</v>
      </c>
      <c r="Q72" s="2038">
        <v>6277.8</v>
      </c>
      <c r="R72" s="2038">
        <f t="shared" si="6"/>
        <v>405556.79999999993</v>
      </c>
      <c r="S72" s="2038">
        <v>0</v>
      </c>
      <c r="T72" s="2038">
        <v>13428</v>
      </c>
      <c r="U72" s="2038">
        <v>288478.5</v>
      </c>
      <c r="V72" s="2038">
        <f t="shared" si="7"/>
        <v>301906.5</v>
      </c>
      <c r="W72" s="2038">
        <v>0</v>
      </c>
      <c r="X72" s="2038">
        <v>4286.2</v>
      </c>
      <c r="Y72" s="2038">
        <v>13499.2</v>
      </c>
      <c r="Z72" s="2038">
        <f t="shared" si="8"/>
        <v>17785.400000000001</v>
      </c>
      <c r="AA72" s="2038">
        <v>2526.8000000000002</v>
      </c>
      <c r="AB72" s="2038">
        <v>54111.199999999997</v>
      </c>
      <c r="AC72" s="2038">
        <v>6040.8</v>
      </c>
      <c r="AD72" s="2038">
        <f t="shared" si="9"/>
        <v>60152</v>
      </c>
      <c r="AE72" s="2038">
        <f t="shared" si="10"/>
        <v>2526.8000000000002</v>
      </c>
      <c r="AF72" s="2038">
        <f t="shared" si="10"/>
        <v>71825.399999999994</v>
      </c>
      <c r="AG72" s="2038">
        <f t="shared" si="10"/>
        <v>308018.5</v>
      </c>
      <c r="AH72" s="2038">
        <f t="shared" si="10"/>
        <v>379843.9</v>
      </c>
      <c r="AI72" s="2038">
        <v>2096</v>
      </c>
      <c r="AJ72" s="2038">
        <v>11969.5</v>
      </c>
      <c r="AK72" s="2038">
        <v>3239.9</v>
      </c>
      <c r="AL72" s="2038">
        <f>2244.7+385</f>
        <v>2629.7</v>
      </c>
      <c r="AM72" s="2038">
        <f>368396.7-5.78</f>
        <v>368390.92</v>
      </c>
      <c r="AN72" s="2038">
        <v>4361.5</v>
      </c>
      <c r="AO72" s="2038">
        <f t="shared" si="11"/>
        <v>372752.42</v>
      </c>
      <c r="AP72" s="2038">
        <f t="shared" ref="AP72:AP89" si="19">AO72*0.06</f>
        <v>22365.145199999999</v>
      </c>
      <c r="AQ72" s="2040">
        <f t="shared" si="12"/>
        <v>1574.9547999999995</v>
      </c>
      <c r="AR72" s="2038">
        <v>23940.1</v>
      </c>
      <c r="AS72" s="2038">
        <v>959326.7</v>
      </c>
      <c r="AT72" s="2039">
        <f t="shared" si="13"/>
        <v>81821.5</v>
      </c>
      <c r="AU72" s="2038">
        <v>5.0999999999999996</v>
      </c>
      <c r="AV72" s="2038">
        <v>22033.5</v>
      </c>
      <c r="AW72" s="2038">
        <f>750.7+253.7+12.8+1226.5</f>
        <v>2243.6999999999998</v>
      </c>
      <c r="AX72" s="2038">
        <f>49929.2+1420</f>
        <v>51349.2</v>
      </c>
      <c r="AY72" s="2038">
        <f t="shared" si="14"/>
        <v>75631.5</v>
      </c>
      <c r="AZ72" s="2041">
        <v>-3.55</v>
      </c>
      <c r="BA72" s="2041">
        <v>26.02</v>
      </c>
      <c r="BB72" s="2041">
        <v>14.83</v>
      </c>
      <c r="BC72" s="2041">
        <v>12.39</v>
      </c>
      <c r="BD72" s="2041">
        <v>9.98</v>
      </c>
      <c r="BE72" s="2041" t="s">
        <v>288</v>
      </c>
      <c r="BF72" s="2042">
        <v>7658</v>
      </c>
      <c r="BG72" s="2042">
        <v>3404</v>
      </c>
      <c r="BH72" s="2042"/>
      <c r="BI72" s="2042"/>
      <c r="BJ72" s="2041"/>
      <c r="BK72" s="574">
        <f t="shared" si="17"/>
        <v>48.105369548184903</v>
      </c>
      <c r="BL72" s="574">
        <f t="shared" si="18"/>
        <v>49.600927135022204</v>
      </c>
      <c r="BM72" s="2041">
        <f t="shared" si="15"/>
        <v>7.8459859977004855</v>
      </c>
      <c r="BN72" s="2041">
        <v>5</v>
      </c>
      <c r="BO72" s="2041">
        <v>6.08</v>
      </c>
      <c r="BP72" s="2041">
        <v>11.31</v>
      </c>
      <c r="BQ72" s="2041">
        <f t="shared" si="16"/>
        <v>5.23</v>
      </c>
      <c r="BR72" s="2034"/>
      <c r="BS72" s="2034"/>
      <c r="BT72" s="1959"/>
      <c r="BU72" s="1959"/>
    </row>
    <row r="73" spans="1:74" s="154" customFormat="1" ht="9.9499999999999993" customHeight="1" x14ac:dyDescent="0.2">
      <c r="A73" s="160" t="s">
        <v>189</v>
      </c>
      <c r="B73" s="275" t="s">
        <v>556</v>
      </c>
      <c r="C73" s="2034">
        <v>56868.7</v>
      </c>
      <c r="D73" s="2034">
        <v>569.6</v>
      </c>
      <c r="E73" s="2035">
        <f t="shared" si="0"/>
        <v>57438.299999999996</v>
      </c>
      <c r="F73" s="2034">
        <v>5354.4</v>
      </c>
      <c r="G73" s="2035">
        <f t="shared" si="1"/>
        <v>52083.899999999994</v>
      </c>
      <c r="H73" s="2034">
        <v>8396.2000000000007</v>
      </c>
      <c r="I73" s="2034">
        <v>21703</v>
      </c>
      <c r="J73" s="2034">
        <v>46017.1</v>
      </c>
      <c r="K73" s="2034">
        <v>303551.7</v>
      </c>
      <c r="L73" s="1959">
        <f t="shared" si="2"/>
        <v>349568.8</v>
      </c>
      <c r="M73" s="2034">
        <f t="shared" si="3"/>
        <v>371271.8</v>
      </c>
      <c r="N73" s="2034">
        <v>187.8</v>
      </c>
      <c r="O73" s="2034">
        <f t="shared" si="4"/>
        <v>98288.8</v>
      </c>
      <c r="P73" s="2034">
        <f t="shared" si="5"/>
        <v>401840.5</v>
      </c>
      <c r="Q73" s="2034">
        <v>6053.9</v>
      </c>
      <c r="R73" s="2034">
        <f t="shared" si="6"/>
        <v>407894.4</v>
      </c>
      <c r="S73" s="2034">
        <v>0</v>
      </c>
      <c r="T73" s="2034">
        <v>13632.4</v>
      </c>
      <c r="U73" s="2034">
        <v>292292.59999999998</v>
      </c>
      <c r="V73" s="2034">
        <f t="shared" si="7"/>
        <v>305925</v>
      </c>
      <c r="W73" s="2034">
        <v>0</v>
      </c>
      <c r="X73" s="2034">
        <v>4579.8999999999996</v>
      </c>
      <c r="Y73" s="2034">
        <v>13486.3</v>
      </c>
      <c r="Z73" s="2034">
        <f t="shared" si="8"/>
        <v>18066.199999999997</v>
      </c>
      <c r="AA73" s="2034">
        <v>3111.6</v>
      </c>
      <c r="AB73" s="2034">
        <v>56650.5</v>
      </c>
      <c r="AC73" s="2034">
        <v>6439.1</v>
      </c>
      <c r="AD73" s="2034">
        <f t="shared" si="9"/>
        <v>63089.599999999999</v>
      </c>
      <c r="AE73" s="2034">
        <f t="shared" si="10"/>
        <v>3111.6</v>
      </c>
      <c r="AF73" s="2034">
        <f t="shared" si="10"/>
        <v>74862.8</v>
      </c>
      <c r="AG73" s="2034">
        <f t="shared" si="10"/>
        <v>312217.99999999994</v>
      </c>
      <c r="AH73" s="2034">
        <f t="shared" si="10"/>
        <v>387080.8</v>
      </c>
      <c r="AI73" s="2034">
        <v>2182.9</v>
      </c>
      <c r="AJ73" s="2034">
        <v>14111.6</v>
      </c>
      <c r="AK73" s="2034">
        <v>4654.7</v>
      </c>
      <c r="AL73" s="2034">
        <f>92+2356.7</f>
        <v>2448.6999999999998</v>
      </c>
      <c r="AM73" s="2034">
        <f>371300.7-5.8</f>
        <v>371294.9</v>
      </c>
      <c r="AN73" s="2034">
        <v>4628</v>
      </c>
      <c r="AO73" s="2034">
        <f t="shared" si="11"/>
        <v>375922.9</v>
      </c>
      <c r="AP73" s="2034">
        <f t="shared" si="19"/>
        <v>22555.374</v>
      </c>
      <c r="AQ73" s="2036">
        <f t="shared" si="12"/>
        <v>1409.3260000000009</v>
      </c>
      <c r="AR73" s="2034">
        <v>23964.7</v>
      </c>
      <c r="AS73" s="2034">
        <v>980871.6</v>
      </c>
      <c r="AT73" s="2035">
        <f t="shared" si="13"/>
        <v>81403</v>
      </c>
      <c r="AU73" s="2034">
        <v>5.0999999999999996</v>
      </c>
      <c r="AV73" s="2034">
        <v>22033.5</v>
      </c>
      <c r="AW73" s="2034">
        <f>722.5+251+11.1+1423.5</f>
        <v>2408.1</v>
      </c>
      <c r="AX73" s="2034">
        <f>51772.8+1962.4</f>
        <v>53735.200000000004</v>
      </c>
      <c r="AY73" s="2034">
        <f t="shared" si="14"/>
        <v>78181.899999999994</v>
      </c>
      <c r="AZ73" s="573">
        <v>0.77</v>
      </c>
      <c r="BA73" s="573">
        <v>31.91</v>
      </c>
      <c r="BB73" s="573">
        <v>16.399999999999999</v>
      </c>
      <c r="BC73" s="573">
        <v>14.59</v>
      </c>
      <c r="BD73" s="573">
        <v>10.69</v>
      </c>
      <c r="BE73" s="573" t="s">
        <v>288</v>
      </c>
      <c r="BF73" s="1454">
        <v>7663</v>
      </c>
      <c r="BG73" s="1454">
        <v>3404</v>
      </c>
      <c r="BH73" s="1454"/>
      <c r="BI73" s="1454"/>
      <c r="BJ73" s="574"/>
      <c r="BK73" s="574">
        <f t="shared" si="17"/>
        <v>48.452942711731701</v>
      </c>
      <c r="BL73" s="574">
        <f t="shared" si="18"/>
        <v>50.512958371395015</v>
      </c>
      <c r="BM73" s="574">
        <f t="shared" si="15"/>
        <v>7.8964456554614664</v>
      </c>
      <c r="BN73" s="573">
        <v>5</v>
      </c>
      <c r="BO73" s="573">
        <v>6.39</v>
      </c>
      <c r="BP73" s="573">
        <v>11.34</v>
      </c>
      <c r="BQ73" s="573">
        <f t="shared" si="16"/>
        <v>4.95</v>
      </c>
      <c r="BR73" s="2034"/>
      <c r="BS73" s="2034"/>
      <c r="BT73" s="1959"/>
      <c r="BU73" s="1959"/>
    </row>
    <row r="74" spans="1:74" s="154" customFormat="1" ht="9.9499999999999993" customHeight="1" x14ac:dyDescent="0.2">
      <c r="A74" s="160" t="s">
        <v>189</v>
      </c>
      <c r="B74" s="236" t="s">
        <v>557</v>
      </c>
      <c r="C74" s="2038">
        <v>56769.1</v>
      </c>
      <c r="D74" s="2038">
        <v>575.20000000000005</v>
      </c>
      <c r="E74" s="2039">
        <f t="shared" si="0"/>
        <v>57344.299999999996</v>
      </c>
      <c r="F74" s="2038">
        <v>5426.1</v>
      </c>
      <c r="G74" s="2039">
        <f t="shared" si="1"/>
        <v>51918.2</v>
      </c>
      <c r="H74" s="2038">
        <v>8343</v>
      </c>
      <c r="I74" s="2038">
        <v>21791</v>
      </c>
      <c r="J74" s="2038">
        <v>45060.3</v>
      </c>
      <c r="K74" s="2038">
        <v>309622.2</v>
      </c>
      <c r="L74" s="286">
        <f t="shared" si="2"/>
        <v>354682.5</v>
      </c>
      <c r="M74" s="2038">
        <f t="shared" si="3"/>
        <v>376473.5</v>
      </c>
      <c r="N74" s="2038">
        <v>184.2</v>
      </c>
      <c r="O74" s="2038">
        <f t="shared" si="4"/>
        <v>97162.7</v>
      </c>
      <c r="P74" s="2038">
        <f t="shared" si="5"/>
        <v>406784.9</v>
      </c>
      <c r="Q74" s="2038">
        <v>5855.6</v>
      </c>
      <c r="R74" s="2038">
        <f t="shared" si="6"/>
        <v>412640.5</v>
      </c>
      <c r="S74" s="2038">
        <v>0</v>
      </c>
      <c r="T74" s="2038">
        <v>13905.5</v>
      </c>
      <c r="U74" s="2038">
        <v>294261.40000000002</v>
      </c>
      <c r="V74" s="2038">
        <f t="shared" si="7"/>
        <v>308166.90000000002</v>
      </c>
      <c r="W74" s="2038">
        <v>0</v>
      </c>
      <c r="X74" s="2038">
        <v>4341.8999999999996</v>
      </c>
      <c r="Y74" s="2038">
        <v>14406</v>
      </c>
      <c r="Z74" s="2038">
        <f t="shared" si="8"/>
        <v>18747.900000000001</v>
      </c>
      <c r="AA74" s="2038">
        <v>3119</v>
      </c>
      <c r="AB74" s="2038">
        <v>58882.8</v>
      </c>
      <c r="AC74" s="2038">
        <v>6618.2</v>
      </c>
      <c r="AD74" s="2038">
        <f t="shared" si="9"/>
        <v>65501</v>
      </c>
      <c r="AE74" s="2038">
        <f t="shared" si="10"/>
        <v>3119</v>
      </c>
      <c r="AF74" s="2038">
        <f t="shared" si="10"/>
        <v>77130.200000000012</v>
      </c>
      <c r="AG74" s="2038">
        <f t="shared" si="10"/>
        <v>315285.60000000003</v>
      </c>
      <c r="AH74" s="2038">
        <f t="shared" si="10"/>
        <v>392415.80000000005</v>
      </c>
      <c r="AI74" s="2038">
        <v>1983</v>
      </c>
      <c r="AJ74" s="2038">
        <v>17509.599999999999</v>
      </c>
      <c r="AK74" s="2038">
        <v>3768.2</v>
      </c>
      <c r="AL74" s="2038">
        <f>134.5+2175.7</f>
        <v>2310.1999999999998</v>
      </c>
      <c r="AM74" s="2038">
        <f>376500.9-5.24</f>
        <v>376495.66000000003</v>
      </c>
      <c r="AN74" s="2038">
        <v>5856.5</v>
      </c>
      <c r="AO74" s="2038">
        <f t="shared" si="11"/>
        <v>382352.16000000003</v>
      </c>
      <c r="AP74" s="2038">
        <f t="shared" si="19"/>
        <v>22941.1296</v>
      </c>
      <c r="AQ74" s="2040">
        <f t="shared" si="12"/>
        <v>2084.0704000000005</v>
      </c>
      <c r="AR74" s="2038">
        <v>25025.200000000001</v>
      </c>
      <c r="AS74" s="2038">
        <v>1008559</v>
      </c>
      <c r="AT74" s="2039">
        <f t="shared" si="13"/>
        <v>82369.5</v>
      </c>
      <c r="AU74" s="2038">
        <v>5.0999999999999996</v>
      </c>
      <c r="AV74" s="2038">
        <v>21923.7</v>
      </c>
      <c r="AW74" s="2038">
        <f>743.8+248.6+1560.2</f>
        <v>2552.6</v>
      </c>
      <c r="AX74" s="2038">
        <f>53594+2463.8</f>
        <v>56057.8</v>
      </c>
      <c r="AY74" s="2038">
        <f t="shared" si="14"/>
        <v>80539.199999999997</v>
      </c>
      <c r="AZ74" s="2041">
        <v>3.09</v>
      </c>
      <c r="BA74" s="2041">
        <v>31.91</v>
      </c>
      <c r="BB74" s="2041">
        <v>24.75</v>
      </c>
      <c r="BC74" s="2041">
        <v>15.87</v>
      </c>
      <c r="BD74" s="2041">
        <v>12.05</v>
      </c>
      <c r="BE74" s="2041" t="s">
        <v>288</v>
      </c>
      <c r="BF74" s="2042">
        <v>7664</v>
      </c>
      <c r="BG74" s="2042">
        <v>3404</v>
      </c>
      <c r="BH74" s="2042"/>
      <c r="BI74" s="2042"/>
      <c r="BJ74" s="2041"/>
      <c r="BK74" s="574">
        <f t="shared" si="17"/>
        <v>49.125216597077248</v>
      </c>
      <c r="BL74" s="574">
        <f t="shared" si="18"/>
        <v>51.202479123173283</v>
      </c>
      <c r="BM74" s="2041">
        <f t="shared" si="15"/>
        <v>8.0880879211197279</v>
      </c>
      <c r="BN74" s="2041">
        <v>5</v>
      </c>
      <c r="BO74" s="2041">
        <v>6.54</v>
      </c>
      <c r="BP74" s="2041">
        <v>11.41</v>
      </c>
      <c r="BQ74" s="2041">
        <f t="shared" si="16"/>
        <v>4.87</v>
      </c>
      <c r="BR74" s="2043"/>
      <c r="BS74" s="2034"/>
      <c r="BT74" s="1959"/>
      <c r="BU74" s="1959"/>
    </row>
    <row r="75" spans="1:74" s="154" customFormat="1" ht="9.9499999999999993" customHeight="1" x14ac:dyDescent="0.2">
      <c r="A75" s="160" t="s">
        <v>189</v>
      </c>
      <c r="B75" s="275" t="s">
        <v>549</v>
      </c>
      <c r="C75" s="2034">
        <v>55978.9</v>
      </c>
      <c r="D75" s="2034">
        <v>585.29999999999995</v>
      </c>
      <c r="E75" s="2035">
        <f t="shared" si="0"/>
        <v>56564.200000000004</v>
      </c>
      <c r="F75" s="2034">
        <v>4759.6000000000004</v>
      </c>
      <c r="G75" s="2035">
        <f t="shared" si="1"/>
        <v>51804.600000000006</v>
      </c>
      <c r="H75" s="2034">
        <v>7899.3</v>
      </c>
      <c r="I75" s="2034">
        <v>21844.400000000001</v>
      </c>
      <c r="J75" s="2034">
        <v>48006.8</v>
      </c>
      <c r="K75" s="2034">
        <v>316927.5</v>
      </c>
      <c r="L75" s="1959">
        <f t="shared" si="2"/>
        <v>364934.3</v>
      </c>
      <c r="M75" s="2034">
        <f t="shared" si="3"/>
        <v>386778.7</v>
      </c>
      <c r="N75" s="2034">
        <v>192.2</v>
      </c>
      <c r="O75" s="2034">
        <f t="shared" si="4"/>
        <v>100003.6</v>
      </c>
      <c r="P75" s="2034">
        <f t="shared" si="5"/>
        <v>416931.1</v>
      </c>
      <c r="Q75" s="2034">
        <v>5611.8</v>
      </c>
      <c r="R75" s="2034">
        <f t="shared" si="6"/>
        <v>422542.89999999997</v>
      </c>
      <c r="S75" s="2034">
        <v>0</v>
      </c>
      <c r="T75" s="2034">
        <v>14407.9</v>
      </c>
      <c r="U75" s="2034">
        <v>297723.3</v>
      </c>
      <c r="V75" s="2034">
        <f t="shared" si="7"/>
        <v>312131.20000000001</v>
      </c>
      <c r="W75" s="2034">
        <v>0</v>
      </c>
      <c r="X75" s="2034">
        <v>4356.8</v>
      </c>
      <c r="Y75" s="2034">
        <v>15623.1</v>
      </c>
      <c r="Z75" s="2034">
        <f t="shared" si="8"/>
        <v>19979.900000000001</v>
      </c>
      <c r="AA75" s="2034">
        <v>3505.5</v>
      </c>
      <c r="AB75" s="2034">
        <v>60551.5</v>
      </c>
      <c r="AC75" s="2034">
        <v>7684.7</v>
      </c>
      <c r="AD75" s="2034">
        <f t="shared" si="9"/>
        <v>68236.2</v>
      </c>
      <c r="AE75" s="2034">
        <f t="shared" si="10"/>
        <v>3505.5</v>
      </c>
      <c r="AF75" s="2034">
        <f t="shared" si="10"/>
        <v>79316.2</v>
      </c>
      <c r="AG75" s="2034">
        <f t="shared" si="10"/>
        <v>321031.09999999998</v>
      </c>
      <c r="AH75" s="2034">
        <f t="shared" si="10"/>
        <v>400347.30000000005</v>
      </c>
      <c r="AI75" s="2034">
        <v>1894.2</v>
      </c>
      <c r="AJ75" s="2034">
        <v>16516.3</v>
      </c>
      <c r="AK75" s="2034">
        <v>4405.7</v>
      </c>
      <c r="AL75" s="2034">
        <f>18+2134.7</f>
        <v>2152.6999999999998</v>
      </c>
      <c r="AM75" s="2034">
        <f>386807.8-5.3</f>
        <v>386802.5</v>
      </c>
      <c r="AN75" s="2034">
        <v>5253.8</v>
      </c>
      <c r="AO75" s="2034">
        <f t="shared" si="11"/>
        <v>392056.3</v>
      </c>
      <c r="AP75" s="2034">
        <f t="shared" si="19"/>
        <v>23523.377999999997</v>
      </c>
      <c r="AQ75" s="2036">
        <f t="shared" si="12"/>
        <v>1941.7220000000016</v>
      </c>
      <c r="AR75" s="2034">
        <v>25465.1</v>
      </c>
      <c r="AS75" s="2034">
        <v>1043110.6</v>
      </c>
      <c r="AT75" s="2035">
        <f t="shared" si="13"/>
        <v>82029.3</v>
      </c>
      <c r="AU75" s="2034">
        <v>5.0999999999999996</v>
      </c>
      <c r="AV75" s="2034">
        <v>21850.5</v>
      </c>
      <c r="AW75" s="2034">
        <f>754.2+248.1+144.9+1730.2</f>
        <v>2877.4</v>
      </c>
      <c r="AX75" s="2034">
        <f>55621.3+2120</f>
        <v>57741.3</v>
      </c>
      <c r="AY75" s="2034">
        <f t="shared" si="14"/>
        <v>82474.3</v>
      </c>
      <c r="AZ75" s="573">
        <v>12.1</v>
      </c>
      <c r="BA75" s="573">
        <v>33.08</v>
      </c>
      <c r="BB75" s="573">
        <v>19.690000000000001</v>
      </c>
      <c r="BC75" s="573">
        <v>19.07</v>
      </c>
      <c r="BD75" s="573">
        <v>14.85</v>
      </c>
      <c r="BE75" s="573" t="s">
        <v>288</v>
      </c>
      <c r="BF75" s="1454">
        <v>7686</v>
      </c>
      <c r="BG75" s="1454">
        <v>3412</v>
      </c>
      <c r="BH75" s="1454"/>
      <c r="BI75" s="1454"/>
      <c r="BJ75" s="574"/>
      <c r="BK75" s="574">
        <f t="shared" si="17"/>
        <v>50.325591985428048</v>
      </c>
      <c r="BL75" s="574">
        <f t="shared" si="18"/>
        <v>52.087861046057775</v>
      </c>
      <c r="BM75" s="574">
        <f t="shared" si="15"/>
        <v>7.8139877586106605</v>
      </c>
      <c r="BN75" s="573">
        <v>5</v>
      </c>
      <c r="BO75" s="573">
        <v>6.81</v>
      </c>
      <c r="BP75" s="573">
        <v>11.95</v>
      </c>
      <c r="BQ75" s="573">
        <f t="shared" si="16"/>
        <v>5.14</v>
      </c>
      <c r="BR75" s="2034"/>
      <c r="BS75" s="2034"/>
      <c r="BT75" s="1959"/>
      <c r="BU75" s="1959"/>
    </row>
    <row r="76" spans="1:74" s="154" customFormat="1" ht="9.9499999999999993" customHeight="1" x14ac:dyDescent="0.2">
      <c r="A76" s="160" t="s">
        <v>189</v>
      </c>
      <c r="B76" s="236" t="s">
        <v>558</v>
      </c>
      <c r="C76" s="2038">
        <v>56350.400000000001</v>
      </c>
      <c r="D76" s="2038">
        <v>593.6</v>
      </c>
      <c r="E76" s="2039">
        <f t="shared" si="0"/>
        <v>56944</v>
      </c>
      <c r="F76" s="2038">
        <v>4590</v>
      </c>
      <c r="G76" s="2039">
        <f t="shared" si="1"/>
        <v>52354</v>
      </c>
      <c r="H76" s="2038">
        <v>7506.7</v>
      </c>
      <c r="I76" s="2038">
        <v>22659</v>
      </c>
      <c r="J76" s="2038">
        <v>46001.1</v>
      </c>
      <c r="K76" s="2038">
        <v>322917</v>
      </c>
      <c r="L76" s="286">
        <f t="shared" si="2"/>
        <v>368918.1</v>
      </c>
      <c r="M76" s="2038">
        <f t="shared" si="3"/>
        <v>391577.1</v>
      </c>
      <c r="N76" s="2038">
        <v>189.4</v>
      </c>
      <c r="O76" s="2038">
        <f t="shared" si="4"/>
        <v>98544.5</v>
      </c>
      <c r="P76" s="2038">
        <f t="shared" si="5"/>
        <v>421461.5</v>
      </c>
      <c r="Q76" s="2038">
        <v>5415.02</v>
      </c>
      <c r="R76" s="2038">
        <f t="shared" si="6"/>
        <v>426876.52</v>
      </c>
      <c r="S76" s="2038">
        <v>0</v>
      </c>
      <c r="T76" s="2038">
        <v>13318.1</v>
      </c>
      <c r="U76" s="2038">
        <v>303519.3</v>
      </c>
      <c r="V76" s="2038">
        <f t="shared" si="7"/>
        <v>316837.39999999997</v>
      </c>
      <c r="W76" s="2038">
        <v>0</v>
      </c>
      <c r="X76" s="2038">
        <v>4440.8</v>
      </c>
      <c r="Y76" s="2038">
        <v>16036.3</v>
      </c>
      <c r="Z76" s="2038">
        <f t="shared" si="8"/>
        <v>20477.099999999999</v>
      </c>
      <c r="AA76" s="2038">
        <v>2903.1</v>
      </c>
      <c r="AB76" s="2038">
        <v>61988.9</v>
      </c>
      <c r="AC76" s="2038">
        <v>7848.1</v>
      </c>
      <c r="AD76" s="2038">
        <f t="shared" si="9"/>
        <v>69837</v>
      </c>
      <c r="AE76" s="2038">
        <f t="shared" si="10"/>
        <v>2903.1</v>
      </c>
      <c r="AF76" s="2038">
        <f t="shared" si="10"/>
        <v>79747.8</v>
      </c>
      <c r="AG76" s="2038">
        <f t="shared" si="10"/>
        <v>327403.69999999995</v>
      </c>
      <c r="AH76" s="2038">
        <f t="shared" si="10"/>
        <v>407151.49999999994</v>
      </c>
      <c r="AI76" s="2038">
        <v>1855.4</v>
      </c>
      <c r="AJ76" s="2038">
        <v>16718.5</v>
      </c>
      <c r="AK76" s="2038">
        <v>4498.5</v>
      </c>
      <c r="AL76" s="2038">
        <f>36+2029.5</f>
        <v>2065.5</v>
      </c>
      <c r="AM76" s="2038">
        <f>391608.9-5.3</f>
        <v>391603.60000000003</v>
      </c>
      <c r="AN76" s="2038">
        <v>5934.4</v>
      </c>
      <c r="AO76" s="2038">
        <f t="shared" si="11"/>
        <v>397538.00000000006</v>
      </c>
      <c r="AP76" s="2038">
        <f t="shared" si="19"/>
        <v>23852.280000000002</v>
      </c>
      <c r="AQ76" s="2040">
        <f t="shared" si="12"/>
        <v>2241.8199999999961</v>
      </c>
      <c r="AR76" s="2044">
        <v>26094.1</v>
      </c>
      <c r="AS76" s="2038">
        <v>1060515</v>
      </c>
      <c r="AT76" s="2039">
        <f t="shared" si="13"/>
        <v>83038.100000000006</v>
      </c>
      <c r="AU76" s="2038">
        <f>1000+729+5.1</f>
        <v>1734.1</v>
      </c>
      <c r="AV76" s="2038">
        <f>22579.5-729</f>
        <v>21850.5</v>
      </c>
      <c r="AW76" s="2038">
        <f>248+1698.5+780+110.2</f>
        <v>2836.7</v>
      </c>
      <c r="AX76" s="2038">
        <f>57330.7+2020.5</f>
        <v>59351.199999999997</v>
      </c>
      <c r="AY76" s="2038">
        <f t="shared" si="14"/>
        <v>85772.5</v>
      </c>
      <c r="AZ76" s="2041">
        <v>17.18</v>
      </c>
      <c r="BA76" s="2041">
        <v>22.87</v>
      </c>
      <c r="BB76" s="2041">
        <v>22.05</v>
      </c>
      <c r="BC76" s="2041">
        <v>21.31</v>
      </c>
      <c r="BD76" s="2041">
        <v>16.100000000000001</v>
      </c>
      <c r="BE76" s="2041" t="s">
        <v>288</v>
      </c>
      <c r="BF76" s="2042">
        <v>7693</v>
      </c>
      <c r="BG76" s="2042">
        <v>3412</v>
      </c>
      <c r="BH76" s="2042"/>
      <c r="BI76" s="2042"/>
      <c r="BJ76" s="2041"/>
      <c r="BK76" s="574">
        <f t="shared" si="17"/>
        <v>50.903886650201486</v>
      </c>
      <c r="BL76" s="574">
        <f t="shared" si="18"/>
        <v>52.924931756141937</v>
      </c>
      <c r="BM76" s="2041">
        <f t="shared" si="15"/>
        <v>7.8354999800818979</v>
      </c>
      <c r="BN76" s="2041">
        <v>5</v>
      </c>
      <c r="BO76" s="2041">
        <v>7.06</v>
      </c>
      <c r="BP76" s="2041">
        <v>12.02</v>
      </c>
      <c r="BQ76" s="2041">
        <f t="shared" si="16"/>
        <v>4.96</v>
      </c>
      <c r="BR76" s="2034"/>
      <c r="BS76" s="2034"/>
      <c r="BT76" s="1959"/>
      <c r="BU76" s="1959"/>
    </row>
    <row r="77" spans="1:74" s="154" customFormat="1" ht="9.9499999999999993" customHeight="1" x14ac:dyDescent="0.2">
      <c r="A77" s="160" t="s">
        <v>189</v>
      </c>
      <c r="B77" s="275" t="s">
        <v>559</v>
      </c>
      <c r="C77" s="2034">
        <v>58567.7</v>
      </c>
      <c r="D77" s="2034">
        <v>602.79999999999995</v>
      </c>
      <c r="E77" s="2035">
        <f t="shared" si="0"/>
        <v>59170.5</v>
      </c>
      <c r="F77" s="2034">
        <v>5211.8999999999996</v>
      </c>
      <c r="G77" s="2035">
        <f t="shared" si="1"/>
        <v>53958.6</v>
      </c>
      <c r="H77" s="2034">
        <v>7671.2</v>
      </c>
      <c r="I77" s="2034">
        <v>23327.8</v>
      </c>
      <c r="J77" s="2034">
        <v>45508.9</v>
      </c>
      <c r="K77" s="2034">
        <v>329627</v>
      </c>
      <c r="L77" s="1959">
        <f t="shared" si="2"/>
        <v>375135.9</v>
      </c>
      <c r="M77" s="2034">
        <f t="shared" si="3"/>
        <v>398463.7</v>
      </c>
      <c r="N77" s="2034">
        <v>181.3</v>
      </c>
      <c r="O77" s="2034">
        <f t="shared" si="4"/>
        <v>99648.8</v>
      </c>
      <c r="P77" s="2034">
        <f t="shared" si="5"/>
        <v>429275.8</v>
      </c>
      <c r="Q77" s="2034">
        <v>5180.8</v>
      </c>
      <c r="R77" s="2034">
        <f t="shared" si="6"/>
        <v>434456.6</v>
      </c>
      <c r="S77" s="2034">
        <v>0</v>
      </c>
      <c r="T77" s="2034">
        <v>12941</v>
      </c>
      <c r="U77" s="2034">
        <v>308342.5</v>
      </c>
      <c r="V77" s="2034">
        <f t="shared" si="7"/>
        <v>321283.5</v>
      </c>
      <c r="W77" s="2034">
        <v>0</v>
      </c>
      <c r="X77" s="2034">
        <v>4552.1000000000004</v>
      </c>
      <c r="Y77" s="2034">
        <v>17175.5</v>
      </c>
      <c r="Z77" s="2034">
        <f t="shared" si="8"/>
        <v>21727.599999999999</v>
      </c>
      <c r="AA77" s="2034">
        <v>3374.6</v>
      </c>
      <c r="AB77" s="2034">
        <v>64333.1</v>
      </c>
      <c r="AC77" s="2034">
        <v>8065.8</v>
      </c>
      <c r="AD77" s="2034">
        <f t="shared" si="9"/>
        <v>72398.899999999994</v>
      </c>
      <c r="AE77" s="2034">
        <f t="shared" si="10"/>
        <v>3374.6</v>
      </c>
      <c r="AF77" s="2034">
        <f t="shared" si="10"/>
        <v>81826.2</v>
      </c>
      <c r="AG77" s="2034">
        <f t="shared" si="10"/>
        <v>333583.8</v>
      </c>
      <c r="AH77" s="2034">
        <f t="shared" si="10"/>
        <v>415410</v>
      </c>
      <c r="AI77" s="2034">
        <v>1821.2</v>
      </c>
      <c r="AJ77" s="2034">
        <v>17896.400000000001</v>
      </c>
      <c r="AK77" s="2034">
        <v>5070.6000000000004</v>
      </c>
      <c r="AL77" s="2034">
        <f>7+2122.7</f>
        <v>2129.6999999999998</v>
      </c>
      <c r="AM77" s="2034">
        <f>398493.3-5.4</f>
        <v>398487.89999999997</v>
      </c>
      <c r="AN77" s="2034">
        <v>5753.3</v>
      </c>
      <c r="AO77" s="2034">
        <f t="shared" si="11"/>
        <v>404241.19999999995</v>
      </c>
      <c r="AP77" s="2034">
        <f t="shared" si="19"/>
        <v>24254.471999999998</v>
      </c>
      <c r="AQ77" s="2036">
        <f t="shared" si="12"/>
        <v>1737.5280000000021</v>
      </c>
      <c r="AR77" s="2035">
        <v>25992</v>
      </c>
      <c r="AS77" s="2034">
        <v>1077405.8999999999</v>
      </c>
      <c r="AT77" s="2035">
        <f t="shared" si="13"/>
        <v>85162.5</v>
      </c>
      <c r="AU77" s="2034">
        <f>1000+5.1+1562.6</f>
        <v>2567.6999999999998</v>
      </c>
      <c r="AV77" s="2034">
        <f>23666.6-1562.6</f>
        <v>22104</v>
      </c>
      <c r="AW77" s="2034">
        <f>771.9+248.4+182.9+796.9</f>
        <v>2000.1</v>
      </c>
      <c r="AX77" s="2034">
        <f>59457+2208.4</f>
        <v>61665.4</v>
      </c>
      <c r="AY77" s="2034">
        <f t="shared" si="14"/>
        <v>88337.2</v>
      </c>
      <c r="AZ77" s="573">
        <v>20.67</v>
      </c>
      <c r="BA77" s="573">
        <v>25.49</v>
      </c>
      <c r="BB77" s="573">
        <v>24.33</v>
      </c>
      <c r="BC77" s="573">
        <v>23.8</v>
      </c>
      <c r="BD77" s="573">
        <v>18.25</v>
      </c>
      <c r="BE77" s="573" t="s">
        <v>288</v>
      </c>
      <c r="BF77" s="1454">
        <v>7700</v>
      </c>
      <c r="BG77" s="1454">
        <v>3413</v>
      </c>
      <c r="BH77" s="1454"/>
      <c r="BI77" s="1454"/>
      <c r="BJ77" s="574"/>
      <c r="BK77" s="574">
        <f t="shared" si="17"/>
        <v>51.751675324675318</v>
      </c>
      <c r="BL77" s="574">
        <f t="shared" si="18"/>
        <v>53.949350649350649</v>
      </c>
      <c r="BM77" s="574">
        <f t="shared" si="15"/>
        <v>7.8305765369538207</v>
      </c>
      <c r="BN77" s="573">
        <v>5</v>
      </c>
      <c r="BO77" s="573">
        <v>7.24</v>
      </c>
      <c r="BP77" s="573">
        <v>12.17</v>
      </c>
      <c r="BQ77" s="573">
        <f t="shared" si="16"/>
        <v>4.93</v>
      </c>
      <c r="BR77" s="2034"/>
      <c r="BS77" s="2034"/>
      <c r="BT77" s="1959"/>
      <c r="BU77" s="1959"/>
    </row>
    <row r="78" spans="1:74" s="154" customFormat="1" ht="9.9499999999999993" customHeight="1" x14ac:dyDescent="0.2">
      <c r="A78" s="160" t="s">
        <v>189</v>
      </c>
      <c r="B78" s="236" t="s">
        <v>550</v>
      </c>
      <c r="C78" s="2038">
        <v>59915.5</v>
      </c>
      <c r="D78" s="2038">
        <v>611.4</v>
      </c>
      <c r="E78" s="2039">
        <f t="shared" si="0"/>
        <v>60526.9</v>
      </c>
      <c r="F78" s="2038">
        <v>5731.8</v>
      </c>
      <c r="G78" s="2039">
        <f t="shared" si="1"/>
        <v>54795.1</v>
      </c>
      <c r="H78" s="2038">
        <v>9482</v>
      </c>
      <c r="I78" s="2038">
        <v>24919.8</v>
      </c>
      <c r="J78" s="2038">
        <v>48106.2</v>
      </c>
      <c r="K78" s="2038">
        <v>337418.9</v>
      </c>
      <c r="L78" s="286">
        <f t="shared" si="2"/>
        <v>385525.10000000003</v>
      </c>
      <c r="M78" s="2038">
        <f t="shared" si="3"/>
        <v>410444.9</v>
      </c>
      <c r="N78" s="2038">
        <v>199.8</v>
      </c>
      <c r="O78" s="2038">
        <f t="shared" si="4"/>
        <v>103101.09999999999</v>
      </c>
      <c r="P78" s="2038">
        <f>K78+O78</f>
        <v>440520</v>
      </c>
      <c r="Q78" s="2038">
        <v>4976</v>
      </c>
      <c r="R78" s="2038">
        <f t="shared" si="6"/>
        <v>445496</v>
      </c>
      <c r="S78" s="2038">
        <v>0</v>
      </c>
      <c r="T78" s="2038">
        <v>13830.7</v>
      </c>
      <c r="U78" s="2038">
        <v>312803.5</v>
      </c>
      <c r="V78" s="2038">
        <f t="shared" si="7"/>
        <v>326634.2</v>
      </c>
      <c r="W78" s="2038">
        <v>0</v>
      </c>
      <c r="X78" s="2038">
        <v>4371.8999999999996</v>
      </c>
      <c r="Y78" s="2038">
        <v>16670.400000000001</v>
      </c>
      <c r="Z78" s="2038">
        <f t="shared" si="8"/>
        <v>21042.300000000003</v>
      </c>
      <c r="AA78" s="2038">
        <v>3080.3</v>
      </c>
      <c r="AB78" s="2038">
        <v>66704</v>
      </c>
      <c r="AC78" s="2038">
        <v>8095.2</v>
      </c>
      <c r="AD78" s="2038">
        <f t="shared" si="9"/>
        <v>74799.199999999997</v>
      </c>
      <c r="AE78" s="2038">
        <f t="shared" si="10"/>
        <v>3080.3</v>
      </c>
      <c r="AF78" s="2038">
        <f t="shared" si="10"/>
        <v>84906.6</v>
      </c>
      <c r="AG78" s="2038">
        <f t="shared" si="10"/>
        <v>337569.10000000003</v>
      </c>
      <c r="AH78" s="2038">
        <f t="shared" si="10"/>
        <v>422475.7</v>
      </c>
      <c r="AI78" s="2038">
        <v>1959.3</v>
      </c>
      <c r="AJ78" s="2038">
        <v>17833.400000000001</v>
      </c>
      <c r="AK78" s="2038">
        <v>3960.3</v>
      </c>
      <c r="AL78" s="2038">
        <f>35.5+2293.7</f>
        <v>2329.1999999999998</v>
      </c>
      <c r="AM78" s="2038">
        <f>410476.2-5.5</f>
        <v>410470.7</v>
      </c>
      <c r="AN78" s="2038">
        <v>5461.7</v>
      </c>
      <c r="AO78" s="2038">
        <f t="shared" si="11"/>
        <v>415932.4</v>
      </c>
      <c r="AP78" s="2038">
        <f t="shared" si="19"/>
        <v>24955.944</v>
      </c>
      <c r="AQ78" s="2040">
        <f t="shared" si="12"/>
        <v>4051.7560000000012</v>
      </c>
      <c r="AR78" s="2039">
        <v>29007.7</v>
      </c>
      <c r="AS78" s="2038">
        <v>1087850.3</v>
      </c>
      <c r="AT78" s="2039">
        <f t="shared" si="13"/>
        <v>89534.6</v>
      </c>
      <c r="AU78" s="2038">
        <f>1000+9727.8+5.1</f>
        <v>10732.9</v>
      </c>
      <c r="AV78" s="2038">
        <f>30353-9727.8</f>
        <v>20625.2</v>
      </c>
      <c r="AW78" s="2038">
        <f>753.1+581.6+1104.2+152.1</f>
        <v>2591</v>
      </c>
      <c r="AX78" s="2038">
        <f>61483.4+2231.7</f>
        <v>63715.1</v>
      </c>
      <c r="AY78" s="2038">
        <f t="shared" si="14"/>
        <v>97664.2</v>
      </c>
      <c r="AZ78" s="2041">
        <v>34.89</v>
      </c>
      <c r="BA78" s="2041">
        <v>28.72</v>
      </c>
      <c r="BB78" s="2041">
        <v>25.84</v>
      </c>
      <c r="BC78" s="2041">
        <v>27.41</v>
      </c>
      <c r="BD78" s="2041">
        <v>21.34</v>
      </c>
      <c r="BE78" s="2041" t="s">
        <v>288</v>
      </c>
      <c r="BF78" s="2042">
        <v>7712</v>
      </c>
      <c r="BG78" s="2042">
        <v>3414</v>
      </c>
      <c r="BH78" s="2042"/>
      <c r="BI78" s="2042"/>
      <c r="BJ78" s="2041"/>
      <c r="BK78" s="574">
        <f t="shared" si="17"/>
        <v>53.224935165975104</v>
      </c>
      <c r="BL78" s="574">
        <f t="shared" si="18"/>
        <v>54.781600103734441</v>
      </c>
      <c r="BM78" s="2041">
        <f t="shared" si="15"/>
        <v>8.4633324619759698</v>
      </c>
      <c r="BN78" s="2041">
        <v>5</v>
      </c>
      <c r="BO78" s="2041">
        <v>7.27</v>
      </c>
      <c r="BP78" s="2041">
        <v>12.42</v>
      </c>
      <c r="BQ78" s="2041">
        <f t="shared" si="16"/>
        <v>5.15</v>
      </c>
      <c r="BR78" s="2034"/>
      <c r="BS78" s="2034"/>
      <c r="BT78" s="1959"/>
      <c r="BU78" s="1959"/>
    </row>
    <row r="79" spans="1:74" s="154" customFormat="1" ht="9.9499999999999993" customHeight="1" x14ac:dyDescent="0.2">
      <c r="A79" s="160" t="s">
        <v>696</v>
      </c>
      <c r="B79" s="275" t="s">
        <v>552</v>
      </c>
      <c r="C79" s="2038">
        <v>60817.8</v>
      </c>
      <c r="D79" s="2038">
        <v>620.5</v>
      </c>
      <c r="E79" s="2039">
        <f t="shared" si="0"/>
        <v>61438.3</v>
      </c>
      <c r="F79" s="2038">
        <v>6163.7</v>
      </c>
      <c r="G79" s="2039">
        <f t="shared" si="1"/>
        <v>55274.600000000006</v>
      </c>
      <c r="H79" s="2038">
        <v>9221.7999999999993</v>
      </c>
      <c r="I79" s="2038">
        <v>24196.9</v>
      </c>
      <c r="J79" s="2038">
        <v>48001.5</v>
      </c>
      <c r="K79" s="2038">
        <v>339006.3</v>
      </c>
      <c r="L79" s="286">
        <f t="shared" si="2"/>
        <v>387007.8</v>
      </c>
      <c r="M79" s="2038">
        <f t="shared" si="3"/>
        <v>411204.7</v>
      </c>
      <c r="N79" s="2038">
        <v>257.60000000000002</v>
      </c>
      <c r="O79" s="1959"/>
      <c r="P79" s="2038">
        <f t="shared" ref="P79:P90" si="20">G79+J79+N79</f>
        <v>103533.70000000001</v>
      </c>
      <c r="Q79" s="2038">
        <f t="shared" ref="Q79:Q90" si="21">K79+P79</f>
        <v>442540</v>
      </c>
      <c r="R79" s="2038"/>
      <c r="S79" s="2038">
        <v>0</v>
      </c>
      <c r="T79" s="2038">
        <v>13431.8</v>
      </c>
      <c r="U79" s="2038">
        <v>312828.40000000002</v>
      </c>
      <c r="V79" s="2038">
        <f t="shared" si="7"/>
        <v>326260.2</v>
      </c>
      <c r="W79" s="2038">
        <v>0</v>
      </c>
      <c r="X79" s="2038">
        <v>4473.8</v>
      </c>
      <c r="Y79" s="2038">
        <v>16725.2</v>
      </c>
      <c r="Z79" s="2038">
        <f t="shared" si="8"/>
        <v>21199</v>
      </c>
      <c r="AA79" s="2038">
        <v>3803.1</v>
      </c>
      <c r="AB79" s="2038">
        <v>67582</v>
      </c>
      <c r="AC79" s="2038">
        <v>8045.7</v>
      </c>
      <c r="AD79" s="2038">
        <f t="shared" si="9"/>
        <v>75627.7</v>
      </c>
      <c r="AE79" s="2038">
        <f t="shared" si="10"/>
        <v>3803.1</v>
      </c>
      <c r="AF79" s="2038">
        <f t="shared" si="10"/>
        <v>85487.6</v>
      </c>
      <c r="AG79" s="2038">
        <f t="shared" si="10"/>
        <v>337599.30000000005</v>
      </c>
      <c r="AH79" s="2038">
        <f t="shared" si="10"/>
        <v>423086.9</v>
      </c>
      <c r="AI79" s="2038">
        <v>2053.1999999999998</v>
      </c>
      <c r="AJ79" s="2038">
        <v>16802.599999999999</v>
      </c>
      <c r="AK79" s="2038">
        <v>6106.6</v>
      </c>
      <c r="AL79" s="2038">
        <f>27+2054.7</f>
        <v>2081.6999999999998</v>
      </c>
      <c r="AM79" s="2038">
        <f>411235-7.7</f>
        <v>411227.3</v>
      </c>
      <c r="AN79" s="2038">
        <v>4855.2</v>
      </c>
      <c r="AO79" s="2038">
        <f t="shared" si="11"/>
        <v>416082.5</v>
      </c>
      <c r="AP79" s="2038">
        <f t="shared" si="19"/>
        <v>24964.95</v>
      </c>
      <c r="AQ79" s="2040">
        <f t="shared" si="12"/>
        <v>2266.75</v>
      </c>
      <c r="AR79" s="2039">
        <v>27231.7</v>
      </c>
      <c r="AS79" s="2038">
        <v>1090805.3</v>
      </c>
      <c r="AT79" s="2039">
        <f t="shared" si="13"/>
        <v>88670</v>
      </c>
      <c r="AU79" s="2038">
        <f>2000+9294.8+5.1</f>
        <v>11299.9</v>
      </c>
      <c r="AV79" s="2038">
        <f>29920-9294.8</f>
        <v>20625.2</v>
      </c>
      <c r="AW79" s="2038">
        <f>784.7+601.3+66.4+1146</f>
        <v>2598.4</v>
      </c>
      <c r="AX79" s="2038">
        <f>61959.2+2584.9</f>
        <v>64544.1</v>
      </c>
      <c r="AY79" s="2038">
        <f t="shared" si="14"/>
        <v>99067.6</v>
      </c>
      <c r="AZ79" s="2041">
        <v>2.8</v>
      </c>
      <c r="BA79" s="2041">
        <v>-1.52</v>
      </c>
      <c r="BB79" s="2041">
        <v>-0.02</v>
      </c>
      <c r="BC79" s="2041">
        <v>0.39</v>
      </c>
      <c r="BD79" s="2041">
        <v>0.46</v>
      </c>
      <c r="BE79" s="2041" t="s">
        <v>288</v>
      </c>
      <c r="BF79" s="2042">
        <v>7722</v>
      </c>
      <c r="BG79" s="2042">
        <v>3414</v>
      </c>
      <c r="BH79" s="1959"/>
      <c r="BI79" s="1959"/>
      <c r="BJ79" s="1959"/>
      <c r="BK79" s="2041">
        <f t="shared" ref="BK79:BK90" si="22">AH79/AM79*100</f>
        <v>102.88395250023528</v>
      </c>
      <c r="BL79" s="2041">
        <f t="shared" ref="BL79:BL90" si="23">AM79/BF79</f>
        <v>53.253988603988603</v>
      </c>
      <c r="BM79" s="2041">
        <f t="shared" ref="BM79:BM90" si="24">AH79/BF79</f>
        <v>54.789808339808346</v>
      </c>
      <c r="BN79" s="2041">
        <f t="shared" ref="BN79:BN90" si="25">(F79+AR79)/AM79*100</f>
        <v>8.1209102605785173</v>
      </c>
      <c r="BO79" s="2041">
        <v>5</v>
      </c>
      <c r="BP79" s="2041">
        <v>7.32</v>
      </c>
      <c r="BQ79" s="2041">
        <v>12.55</v>
      </c>
      <c r="BR79" s="2041">
        <f t="shared" ref="BR79:BR90" si="26">BQ79-BP79</f>
        <v>5.23</v>
      </c>
      <c r="BS79" s="2034"/>
      <c r="BT79" s="1959"/>
      <c r="BU79" s="1959"/>
    </row>
    <row r="80" spans="1:74" s="154" customFormat="1" ht="9.9499999999999993" customHeight="1" x14ac:dyDescent="0.2">
      <c r="A80" s="160" t="s">
        <v>696</v>
      </c>
      <c r="B80" s="236" t="s">
        <v>553</v>
      </c>
      <c r="C80" s="2034">
        <v>69795.899999999994</v>
      </c>
      <c r="D80" s="2034">
        <v>643.5</v>
      </c>
      <c r="E80" s="2035">
        <f t="shared" si="0"/>
        <v>70439.399999999994</v>
      </c>
      <c r="F80" s="2034">
        <v>6185.4</v>
      </c>
      <c r="G80" s="2035">
        <f t="shared" si="1"/>
        <v>64253.999999999993</v>
      </c>
      <c r="H80" s="2034">
        <v>9631.2000000000007</v>
      </c>
      <c r="I80" s="2034">
        <v>24090</v>
      </c>
      <c r="J80" s="2034">
        <v>47173.7</v>
      </c>
      <c r="K80" s="2034">
        <v>342150.9</v>
      </c>
      <c r="L80" s="1959">
        <f t="shared" si="2"/>
        <v>389324.60000000003</v>
      </c>
      <c r="M80" s="2034">
        <f t="shared" si="3"/>
        <v>413414.60000000003</v>
      </c>
      <c r="N80" s="2034">
        <v>266.8</v>
      </c>
      <c r="O80" s="1959"/>
      <c r="P80" s="2034">
        <f t="shared" si="20"/>
        <v>111694.49999999999</v>
      </c>
      <c r="Q80" s="2034">
        <f t="shared" si="21"/>
        <v>453845.4</v>
      </c>
      <c r="R80" s="2034"/>
      <c r="S80" s="2034">
        <v>0</v>
      </c>
      <c r="T80" s="2034">
        <v>13800.1</v>
      </c>
      <c r="U80" s="2034">
        <v>317250</v>
      </c>
      <c r="V80" s="2034">
        <f t="shared" si="7"/>
        <v>331050.09999999998</v>
      </c>
      <c r="W80" s="2034">
        <v>0</v>
      </c>
      <c r="X80" s="2034">
        <v>4754.2</v>
      </c>
      <c r="Y80" s="2034">
        <v>17081.7</v>
      </c>
      <c r="Z80" s="2034">
        <f t="shared" si="8"/>
        <v>21835.9</v>
      </c>
      <c r="AA80" s="2034">
        <v>3734.8</v>
      </c>
      <c r="AB80" s="2034">
        <v>68703</v>
      </c>
      <c r="AC80" s="2034">
        <v>8159.9</v>
      </c>
      <c r="AD80" s="2034">
        <f t="shared" si="9"/>
        <v>76862.899999999994</v>
      </c>
      <c r="AE80" s="2034">
        <f t="shared" si="10"/>
        <v>3734.8</v>
      </c>
      <c r="AF80" s="2034">
        <f t="shared" si="10"/>
        <v>87257.3</v>
      </c>
      <c r="AG80" s="2034">
        <f t="shared" si="10"/>
        <v>342491.60000000003</v>
      </c>
      <c r="AH80" s="2034">
        <f t="shared" si="10"/>
        <v>429748.9</v>
      </c>
      <c r="AI80" s="2034">
        <v>2231.9</v>
      </c>
      <c r="AJ80" s="2034">
        <v>20898.099999999999</v>
      </c>
      <c r="AK80" s="2034">
        <v>5212.8</v>
      </c>
      <c r="AL80" s="2034">
        <f>188.7+2339.7</f>
        <v>2528.3999999999996</v>
      </c>
      <c r="AM80" s="2034">
        <f>413442.9-8.1</f>
        <v>413434.80000000005</v>
      </c>
      <c r="AN80" s="2034">
        <v>6703.6</v>
      </c>
      <c r="AO80" s="2034">
        <f t="shared" si="11"/>
        <v>420138.4</v>
      </c>
      <c r="AP80" s="2034">
        <f t="shared" si="19"/>
        <v>25208.304</v>
      </c>
      <c r="AQ80" s="2036">
        <f t="shared" si="12"/>
        <v>493.79599999999846</v>
      </c>
      <c r="AR80" s="2035">
        <v>25702.1</v>
      </c>
      <c r="AS80" s="2034">
        <v>1121204.3</v>
      </c>
      <c r="AT80" s="2035">
        <f t="shared" si="13"/>
        <v>96141.5</v>
      </c>
      <c r="AU80" s="2034">
        <f>2000+10869.9+5.1</f>
        <v>12875</v>
      </c>
      <c r="AV80" s="2034">
        <f>30091.7-10869.9</f>
        <v>19221.800000000003</v>
      </c>
      <c r="AW80" s="2034">
        <f>852.2+587.2+30.2+1201</f>
        <v>2670.6000000000004</v>
      </c>
      <c r="AX80" s="2034">
        <f>63148.9+2324.5</f>
        <v>65473.4</v>
      </c>
      <c r="AY80" s="2034">
        <f t="shared" si="14"/>
        <v>100240.8</v>
      </c>
      <c r="AZ80" s="573">
        <v>4.6100000000000003</v>
      </c>
      <c r="BA80" s="573">
        <v>2.21</v>
      </c>
      <c r="BB80" s="573">
        <v>1.42</v>
      </c>
      <c r="BC80" s="573">
        <v>2</v>
      </c>
      <c r="BD80" s="573">
        <v>3.02</v>
      </c>
      <c r="BE80" s="573" t="s">
        <v>288</v>
      </c>
      <c r="BF80" s="1454">
        <v>7732</v>
      </c>
      <c r="BG80" s="1454">
        <v>3419</v>
      </c>
      <c r="BH80" s="1959"/>
      <c r="BI80" s="1959"/>
      <c r="BJ80" s="1959"/>
      <c r="BK80" s="574">
        <f t="shared" si="22"/>
        <v>103.94599100027379</v>
      </c>
      <c r="BL80" s="574">
        <f t="shared" si="23"/>
        <v>53.470615623383345</v>
      </c>
      <c r="BM80" s="574">
        <f t="shared" si="24"/>
        <v>55.580561303673051</v>
      </c>
      <c r="BN80" s="574">
        <f t="shared" si="25"/>
        <v>7.7128243679535444</v>
      </c>
      <c r="BO80" s="573">
        <v>5</v>
      </c>
      <c r="BP80" s="573">
        <v>7.4</v>
      </c>
      <c r="BQ80" s="573">
        <v>12.63</v>
      </c>
      <c r="BR80" s="573">
        <f t="shared" si="26"/>
        <v>5.23</v>
      </c>
      <c r="BS80" s="2034"/>
      <c r="BT80" s="1959"/>
      <c r="BU80" s="1959"/>
      <c r="BV80" s="9"/>
    </row>
    <row r="81" spans="1:74" s="154" customFormat="1" ht="9.9499999999999993" customHeight="1" x14ac:dyDescent="0.2">
      <c r="A81" s="160" t="s">
        <v>696</v>
      </c>
      <c r="B81" s="275" t="s">
        <v>547</v>
      </c>
      <c r="C81" s="2038">
        <v>61868.9</v>
      </c>
      <c r="D81" s="2038">
        <v>651.6</v>
      </c>
      <c r="E81" s="2039">
        <f t="shared" si="0"/>
        <v>62520.5</v>
      </c>
      <c r="F81" s="2038">
        <v>5366.1</v>
      </c>
      <c r="G81" s="2039">
        <f t="shared" si="1"/>
        <v>57154.400000000001</v>
      </c>
      <c r="H81" s="2038">
        <v>9648.2999999999993</v>
      </c>
      <c r="I81" s="2038">
        <v>24500.1</v>
      </c>
      <c r="J81" s="2038">
        <v>47049.5</v>
      </c>
      <c r="K81" s="2038">
        <v>348892.5</v>
      </c>
      <c r="L81" s="2038">
        <f t="shared" si="2"/>
        <v>395942</v>
      </c>
      <c r="M81" s="2038">
        <f t="shared" si="3"/>
        <v>420442.1</v>
      </c>
      <c r="N81" s="2038">
        <v>301.2</v>
      </c>
      <c r="O81" s="1959"/>
      <c r="P81" s="2038">
        <f t="shared" si="20"/>
        <v>104505.09999999999</v>
      </c>
      <c r="Q81" s="2038">
        <f t="shared" si="21"/>
        <v>453397.6</v>
      </c>
      <c r="R81" s="2038"/>
      <c r="S81" s="2038">
        <v>0</v>
      </c>
      <c r="T81" s="2038">
        <v>13154.2</v>
      </c>
      <c r="U81" s="2038">
        <v>322439.09999999998</v>
      </c>
      <c r="V81" s="2038">
        <f t="shared" si="7"/>
        <v>335593.3</v>
      </c>
      <c r="W81" s="2038">
        <v>0</v>
      </c>
      <c r="X81" s="2038">
        <v>4159.1000000000004</v>
      </c>
      <c r="Y81" s="2038">
        <v>16759.3</v>
      </c>
      <c r="Z81" s="2038">
        <f t="shared" si="8"/>
        <v>20918.400000000001</v>
      </c>
      <c r="AA81" s="2038">
        <v>4431.2</v>
      </c>
      <c r="AB81" s="2038">
        <v>69331.5</v>
      </c>
      <c r="AC81" s="2038">
        <v>8110.9</v>
      </c>
      <c r="AD81" s="2038">
        <f t="shared" si="9"/>
        <v>77442.399999999994</v>
      </c>
      <c r="AE81" s="2038">
        <f t="shared" si="10"/>
        <v>4431.2</v>
      </c>
      <c r="AF81" s="2038">
        <f t="shared" si="10"/>
        <v>86644.800000000003</v>
      </c>
      <c r="AG81" s="2038">
        <f t="shared" si="10"/>
        <v>347309.3</v>
      </c>
      <c r="AH81" s="2038">
        <f t="shared" si="10"/>
        <v>433954.1</v>
      </c>
      <c r="AI81" s="2038">
        <v>2188.8000000000002</v>
      </c>
      <c r="AJ81" s="2038">
        <v>12838.1</v>
      </c>
      <c r="AK81" s="2038">
        <v>7185.4</v>
      </c>
      <c r="AL81" s="2038">
        <f>22+2686.7</f>
        <v>2708.7</v>
      </c>
      <c r="AM81" s="2038">
        <f>420471-8.1</f>
        <v>420462.9</v>
      </c>
      <c r="AN81" s="2038">
        <v>4839</v>
      </c>
      <c r="AO81" s="2038">
        <f t="shared" si="11"/>
        <v>425301.9</v>
      </c>
      <c r="AP81" s="2038">
        <f t="shared" si="19"/>
        <v>25518.114000000001</v>
      </c>
      <c r="AQ81" s="2040">
        <f t="shared" si="12"/>
        <v>2159.4859999999971</v>
      </c>
      <c r="AR81" s="2039">
        <v>27677.599999999999</v>
      </c>
      <c r="AS81" s="2038">
        <v>1111338.5</v>
      </c>
      <c r="AT81" s="2039">
        <f t="shared" si="13"/>
        <v>90198.1</v>
      </c>
      <c r="AU81" s="2038">
        <f>2000+13435.6+5.1</f>
        <v>15440.7</v>
      </c>
      <c r="AV81" s="2038">
        <f>34042.9-13435.6</f>
        <v>20607.300000000003</v>
      </c>
      <c r="AW81" s="2038">
        <f>823.7+545.2+5.9+1195.2</f>
        <v>2570</v>
      </c>
      <c r="AX81" s="2038">
        <f>63884.5+1993.7</f>
        <v>65878.2</v>
      </c>
      <c r="AY81" s="2038">
        <f t="shared" si="14"/>
        <v>104496.2</v>
      </c>
      <c r="AZ81" s="2041">
        <v>9.84</v>
      </c>
      <c r="BA81" s="2041">
        <v>-2.5099999999999998</v>
      </c>
      <c r="BB81" s="2041">
        <v>2.84</v>
      </c>
      <c r="BC81" s="2041">
        <v>3.78</v>
      </c>
      <c r="BD81" s="2041">
        <v>2.92</v>
      </c>
      <c r="BE81" s="2041" t="s">
        <v>288</v>
      </c>
      <c r="BF81" s="2042">
        <v>7761</v>
      </c>
      <c r="BG81" s="2042">
        <v>3420</v>
      </c>
      <c r="BH81" s="1959"/>
      <c r="BI81" s="1959"/>
      <c r="BJ81" s="1959"/>
      <c r="BK81" s="2041">
        <f t="shared" si="22"/>
        <v>103.20865408101403</v>
      </c>
      <c r="BL81" s="2041">
        <f t="shared" si="23"/>
        <v>54.176381909547743</v>
      </c>
      <c r="BM81" s="2041">
        <f t="shared" si="24"/>
        <v>55.914714598634191</v>
      </c>
      <c r="BN81" s="2041">
        <f t="shared" si="25"/>
        <v>7.8588860039732396</v>
      </c>
      <c r="BO81" s="2041">
        <v>5</v>
      </c>
      <c r="BP81" s="2041">
        <v>7.42</v>
      </c>
      <c r="BQ81" s="2041">
        <v>12.74</v>
      </c>
      <c r="BR81" s="2041">
        <f t="shared" si="26"/>
        <v>5.32</v>
      </c>
      <c r="BS81" s="2034"/>
      <c r="BT81" s="1959"/>
      <c r="BU81" s="1959"/>
      <c r="BV81" s="9"/>
    </row>
    <row r="82" spans="1:74" s="154" customFormat="1" ht="9.9499999999999993" customHeight="1" x14ac:dyDescent="0.2">
      <c r="A82" s="160" t="s">
        <v>696</v>
      </c>
      <c r="B82" s="236" t="s">
        <v>554</v>
      </c>
      <c r="C82" s="2034">
        <v>65160.5</v>
      </c>
      <c r="D82" s="2034">
        <v>660.4</v>
      </c>
      <c r="E82" s="2035">
        <f t="shared" si="0"/>
        <v>65820.899999999994</v>
      </c>
      <c r="F82" s="2034">
        <v>6347.8</v>
      </c>
      <c r="G82" s="2035">
        <f t="shared" si="1"/>
        <v>59473.099999999991</v>
      </c>
      <c r="H82" s="2034">
        <v>10256.4</v>
      </c>
      <c r="I82" s="2034">
        <v>25038.1</v>
      </c>
      <c r="J82" s="2034">
        <v>48274.6</v>
      </c>
      <c r="K82" s="2034">
        <v>353286.40000000002</v>
      </c>
      <c r="L82" s="2034">
        <f t="shared" si="2"/>
        <v>401561</v>
      </c>
      <c r="M82" s="2034">
        <f t="shared" si="3"/>
        <v>426599.1</v>
      </c>
      <c r="N82" s="2034">
        <v>270.10000000000002</v>
      </c>
      <c r="O82" s="1959"/>
      <c r="P82" s="2034">
        <f t="shared" si="20"/>
        <v>108017.79999999999</v>
      </c>
      <c r="Q82" s="2034">
        <f t="shared" si="21"/>
        <v>461304.2</v>
      </c>
      <c r="R82" s="2034"/>
      <c r="S82" s="2034">
        <v>0</v>
      </c>
      <c r="T82" s="2034">
        <v>12849.3</v>
      </c>
      <c r="U82" s="2034">
        <v>327623.7</v>
      </c>
      <c r="V82" s="2034">
        <f t="shared" si="7"/>
        <v>340473</v>
      </c>
      <c r="W82" s="2034">
        <v>0</v>
      </c>
      <c r="X82" s="2034">
        <v>3533.7</v>
      </c>
      <c r="Y82" s="2034">
        <v>17588.400000000001</v>
      </c>
      <c r="Z82" s="2034">
        <f t="shared" si="8"/>
        <v>21122.100000000002</v>
      </c>
      <c r="AA82" s="2034">
        <v>4802.7</v>
      </c>
      <c r="AB82" s="2034">
        <v>73334.100000000006</v>
      </c>
      <c r="AC82" s="2034">
        <v>8674</v>
      </c>
      <c r="AD82" s="2034">
        <f t="shared" si="9"/>
        <v>82008.100000000006</v>
      </c>
      <c r="AE82" s="2034">
        <f t="shared" si="10"/>
        <v>4802.7</v>
      </c>
      <c r="AF82" s="2034">
        <f t="shared" si="10"/>
        <v>89717.1</v>
      </c>
      <c r="AG82" s="2034">
        <f t="shared" si="10"/>
        <v>353886.10000000003</v>
      </c>
      <c r="AH82" s="2034">
        <f t="shared" si="10"/>
        <v>443603.19999999995</v>
      </c>
      <c r="AI82" s="2034">
        <v>2270</v>
      </c>
      <c r="AJ82" s="2034">
        <v>15843.1</v>
      </c>
      <c r="AK82" s="2034">
        <v>7384</v>
      </c>
      <c r="AL82" s="2034">
        <f>95+2754.7</f>
        <v>2849.7</v>
      </c>
      <c r="AM82" s="2034">
        <f>426626.2-8.4</f>
        <v>426617.8</v>
      </c>
      <c r="AN82" s="2034">
        <v>5971.1</v>
      </c>
      <c r="AO82" s="2034">
        <f t="shared" si="11"/>
        <v>432588.89999999997</v>
      </c>
      <c r="AP82" s="2034">
        <f t="shared" si="19"/>
        <v>25955.333999999995</v>
      </c>
      <c r="AQ82" s="2036">
        <f t="shared" si="12"/>
        <v>1676.3660000000054</v>
      </c>
      <c r="AR82" s="2035">
        <v>27631.7</v>
      </c>
      <c r="AS82" s="2034">
        <v>1185980.7</v>
      </c>
      <c r="AT82" s="2035">
        <f t="shared" si="13"/>
        <v>93452.599999999991</v>
      </c>
      <c r="AU82" s="2034">
        <f>2000+16615.9+5.1</f>
        <v>18621</v>
      </c>
      <c r="AV82" s="2034">
        <f>37223.3-16615.9</f>
        <v>20607.400000000001</v>
      </c>
      <c r="AW82" s="2034">
        <f>899.1+518.1+1734.4</f>
        <v>3151.6000000000004</v>
      </c>
      <c r="AX82" s="2034">
        <f>67588.6+2199.7</f>
        <v>69788.3</v>
      </c>
      <c r="AY82" s="2034">
        <f t="shared" si="14"/>
        <v>112168.3</v>
      </c>
      <c r="AZ82" s="573">
        <v>19.57</v>
      </c>
      <c r="BA82" s="573">
        <v>-9.8699999999999992</v>
      </c>
      <c r="BB82" s="573">
        <v>4.76</v>
      </c>
      <c r="BC82" s="573">
        <v>6.61</v>
      </c>
      <c r="BD82" s="573">
        <v>4.72</v>
      </c>
      <c r="BE82" s="573" t="s">
        <v>288</v>
      </c>
      <c r="BF82" s="1454">
        <v>7792</v>
      </c>
      <c r="BG82" s="1454">
        <v>3422</v>
      </c>
      <c r="BH82" s="1959"/>
      <c r="BI82" s="1959"/>
      <c r="BJ82" s="1959"/>
      <c r="BK82" s="574">
        <f t="shared" si="22"/>
        <v>103.98140912076335</v>
      </c>
      <c r="BL82" s="574">
        <f t="shared" si="23"/>
        <v>54.750744353182753</v>
      </c>
      <c r="BM82" s="574">
        <f t="shared" si="24"/>
        <v>56.930595482546195</v>
      </c>
      <c r="BN82" s="574">
        <f t="shared" si="25"/>
        <v>7.964857537589852</v>
      </c>
      <c r="BO82" s="573">
        <v>5</v>
      </c>
      <c r="BP82" s="573">
        <v>7.46</v>
      </c>
      <c r="BQ82" s="573">
        <v>12.8</v>
      </c>
      <c r="BR82" s="573">
        <f t="shared" si="26"/>
        <v>5.3400000000000007</v>
      </c>
      <c r="BS82" s="2034"/>
      <c r="BT82" s="1959"/>
      <c r="BU82" s="1959"/>
      <c r="BV82" s="9"/>
    </row>
    <row r="83" spans="1:74" s="154" customFormat="1" ht="9.9499999999999993" customHeight="1" x14ac:dyDescent="0.2">
      <c r="A83" s="160" t="s">
        <v>696</v>
      </c>
      <c r="B83" s="275" t="s">
        <v>555</v>
      </c>
      <c r="C83" s="2038">
        <v>63635.9</v>
      </c>
      <c r="D83" s="2038">
        <v>666.8</v>
      </c>
      <c r="E83" s="2039">
        <f t="shared" si="0"/>
        <v>64302.700000000004</v>
      </c>
      <c r="F83" s="2038">
        <v>5727.4</v>
      </c>
      <c r="G83" s="2039">
        <f t="shared" si="1"/>
        <v>58575.3</v>
      </c>
      <c r="H83" s="2038">
        <v>10328.9</v>
      </c>
      <c r="I83" s="2038">
        <v>27123.3</v>
      </c>
      <c r="J83" s="2038">
        <v>45512.5</v>
      </c>
      <c r="K83" s="2038">
        <v>360154.4</v>
      </c>
      <c r="L83" s="2038">
        <f t="shared" si="2"/>
        <v>405666.9</v>
      </c>
      <c r="M83" s="2038">
        <f t="shared" si="3"/>
        <v>432790.2</v>
      </c>
      <c r="N83" s="2038">
        <v>279.7</v>
      </c>
      <c r="O83" s="1959"/>
      <c r="P83" s="2038">
        <f t="shared" si="20"/>
        <v>104367.5</v>
      </c>
      <c r="Q83" s="2038">
        <f t="shared" si="21"/>
        <v>464521.9</v>
      </c>
      <c r="R83" s="2038"/>
      <c r="S83" s="2038">
        <v>0</v>
      </c>
      <c r="T83" s="2038">
        <v>14216.5</v>
      </c>
      <c r="U83" s="2038">
        <v>331869.8</v>
      </c>
      <c r="V83" s="2038">
        <f t="shared" si="7"/>
        <v>346086.3</v>
      </c>
      <c r="W83" s="2038">
        <v>0</v>
      </c>
      <c r="X83" s="2038">
        <v>4589.8999999999996</v>
      </c>
      <c r="Y83" s="2038">
        <v>18126.900000000001</v>
      </c>
      <c r="Z83" s="2038">
        <f t="shared" si="8"/>
        <v>22716.800000000003</v>
      </c>
      <c r="AA83" s="2038">
        <v>4472.3</v>
      </c>
      <c r="AB83" s="2038">
        <v>74492.7</v>
      </c>
      <c r="AC83" s="2038">
        <v>8786</v>
      </c>
      <c r="AD83" s="2038">
        <f t="shared" si="9"/>
        <v>83278.7</v>
      </c>
      <c r="AE83" s="2038">
        <f t="shared" ref="AE83:AH90" si="27">S83+W83+AA83</f>
        <v>4472.3</v>
      </c>
      <c r="AF83" s="2038">
        <f t="shared" si="27"/>
        <v>93299.1</v>
      </c>
      <c r="AG83" s="2038">
        <f t="shared" si="27"/>
        <v>358782.7</v>
      </c>
      <c r="AH83" s="2038">
        <f t="shared" si="27"/>
        <v>452081.8</v>
      </c>
      <c r="AI83" s="2038">
        <v>2296.5</v>
      </c>
      <c r="AJ83" s="2038">
        <v>15541.7</v>
      </c>
      <c r="AK83" s="2038">
        <v>8914.7000000000007</v>
      </c>
      <c r="AL83" s="2038">
        <f>112+2764</f>
        <v>2876</v>
      </c>
      <c r="AM83" s="2038">
        <f>432817.1-8.6</f>
        <v>432808.5</v>
      </c>
      <c r="AN83" s="2038">
        <v>5854.4</v>
      </c>
      <c r="AO83" s="2038">
        <f t="shared" si="11"/>
        <v>438662.9</v>
      </c>
      <c r="AP83" s="2038">
        <f t="shared" si="19"/>
        <v>26319.774000000001</v>
      </c>
      <c r="AQ83" s="2040">
        <f t="shared" si="12"/>
        <v>2028.6260000000002</v>
      </c>
      <c r="AR83" s="2039">
        <v>28348.400000000001</v>
      </c>
      <c r="AS83" s="2038">
        <v>1183285</v>
      </c>
      <c r="AT83" s="2039">
        <f t="shared" si="13"/>
        <v>92651.1</v>
      </c>
      <c r="AU83" s="2038">
        <f>2000+20612.5+5.1</f>
        <v>22617.599999999999</v>
      </c>
      <c r="AV83" s="2038">
        <f>41106.7-20612.5</f>
        <v>20494.199999999997</v>
      </c>
      <c r="AW83" s="2038">
        <f>281+904.1+1.7+2014.3</f>
        <v>3201.1</v>
      </c>
      <c r="AX83" s="2038">
        <f>68437+2412.9</f>
        <v>70849.899999999994</v>
      </c>
      <c r="AY83" s="2038">
        <f t="shared" si="14"/>
        <v>117162.79999999999</v>
      </c>
      <c r="AZ83" s="2041">
        <v>23.53</v>
      </c>
      <c r="BA83" s="2041">
        <v>2.88</v>
      </c>
      <c r="BB83" s="2041">
        <v>6.2</v>
      </c>
      <c r="BC83" s="2041">
        <v>8.99</v>
      </c>
      <c r="BD83" s="2041">
        <v>5.45</v>
      </c>
      <c r="BE83" s="2041" t="s">
        <v>288</v>
      </c>
      <c r="BF83" s="2042">
        <v>7829</v>
      </c>
      <c r="BG83" s="2042">
        <v>3424</v>
      </c>
      <c r="BH83" s="1959"/>
      <c r="BI83" s="1959"/>
      <c r="BJ83" s="1959"/>
      <c r="BK83" s="2041">
        <f t="shared" si="22"/>
        <v>104.45307797790477</v>
      </c>
      <c r="BL83" s="2041">
        <f t="shared" si="23"/>
        <v>55.282730872397494</v>
      </c>
      <c r="BM83" s="2041">
        <f t="shared" si="24"/>
        <v>57.744513986460596</v>
      </c>
      <c r="BN83" s="2041">
        <f t="shared" si="25"/>
        <v>7.873181788250462</v>
      </c>
      <c r="BO83" s="2041">
        <v>5</v>
      </c>
      <c r="BP83" s="2041">
        <v>7.53</v>
      </c>
      <c r="BQ83" s="2041">
        <v>12.83</v>
      </c>
      <c r="BR83" s="2041">
        <f t="shared" si="26"/>
        <v>5.3</v>
      </c>
      <c r="BS83" s="2034"/>
      <c r="BT83" s="1959"/>
      <c r="BU83" s="1959"/>
      <c r="BV83" s="9"/>
    </row>
    <row r="84" spans="1:74" s="154" customFormat="1" ht="9.9499999999999993" customHeight="1" x14ac:dyDescent="0.2">
      <c r="A84" s="160" t="s">
        <v>696</v>
      </c>
      <c r="B84" s="236" t="s">
        <v>548</v>
      </c>
      <c r="C84" s="2034">
        <v>63181.2</v>
      </c>
      <c r="D84" s="2034">
        <v>671.4</v>
      </c>
      <c r="E84" s="2035">
        <f t="shared" si="0"/>
        <v>63852.6</v>
      </c>
      <c r="F84" s="2034">
        <v>5707.3</v>
      </c>
      <c r="G84" s="2035">
        <f t="shared" si="1"/>
        <v>58145.299999999996</v>
      </c>
      <c r="H84" s="2034">
        <v>11461.4</v>
      </c>
      <c r="I84" s="2034">
        <v>26783.9</v>
      </c>
      <c r="J84" s="2034">
        <v>49524.1</v>
      </c>
      <c r="K84" s="2034">
        <v>367540.6</v>
      </c>
      <c r="L84" s="2034">
        <f t="shared" si="2"/>
        <v>417064.69999999995</v>
      </c>
      <c r="M84" s="2034">
        <f t="shared" si="3"/>
        <v>443848.6</v>
      </c>
      <c r="N84" s="2034">
        <v>286.89999999999998</v>
      </c>
      <c r="O84" s="1959"/>
      <c r="P84" s="2034">
        <f t="shared" si="20"/>
        <v>107956.29999999999</v>
      </c>
      <c r="Q84" s="2034">
        <f t="shared" si="21"/>
        <v>475496.89999999997</v>
      </c>
      <c r="R84" s="2034"/>
      <c r="S84" s="2034">
        <v>0</v>
      </c>
      <c r="T84" s="2034">
        <v>14158.8</v>
      </c>
      <c r="U84" s="2034">
        <v>340370.5</v>
      </c>
      <c r="V84" s="2034">
        <f t="shared" si="7"/>
        <v>354529.3</v>
      </c>
      <c r="W84" s="2034">
        <v>0</v>
      </c>
      <c r="X84" s="2034">
        <v>3940.3</v>
      </c>
      <c r="Y84" s="2034">
        <v>18877.5</v>
      </c>
      <c r="Z84" s="2034">
        <f t="shared" si="8"/>
        <v>22817.8</v>
      </c>
      <c r="AA84" s="2034">
        <v>4640.1000000000004</v>
      </c>
      <c r="AB84" s="2034">
        <v>76416.5</v>
      </c>
      <c r="AC84" s="2034">
        <v>8821.1</v>
      </c>
      <c r="AD84" s="2034">
        <f t="shared" si="9"/>
        <v>85237.6</v>
      </c>
      <c r="AE84" s="2034">
        <f t="shared" si="27"/>
        <v>4640.1000000000004</v>
      </c>
      <c r="AF84" s="2034">
        <f t="shared" si="27"/>
        <v>94515.6</v>
      </c>
      <c r="AG84" s="2034">
        <f t="shared" si="27"/>
        <v>368069.1</v>
      </c>
      <c r="AH84" s="2034">
        <f t="shared" si="27"/>
        <v>462584.69999999995</v>
      </c>
      <c r="AI84" s="2034">
        <v>2291.1</v>
      </c>
      <c r="AJ84" s="2034">
        <v>16063</v>
      </c>
      <c r="AK84" s="2034">
        <v>7937.3</v>
      </c>
      <c r="AL84" s="2034">
        <f>160+2964.7</f>
        <v>3124.7</v>
      </c>
      <c r="AM84" s="2034">
        <f>443875.7-8.4</f>
        <v>443867.3</v>
      </c>
      <c r="AN84" s="2034">
        <v>6124.1</v>
      </c>
      <c r="AO84" s="2034">
        <f t="shared" si="11"/>
        <v>449991.39999999997</v>
      </c>
      <c r="AP84" s="2034">
        <f t="shared" si="19"/>
        <v>26999.483999999997</v>
      </c>
      <c r="AQ84" s="2036">
        <f t="shared" si="12"/>
        <v>1396.0160000000033</v>
      </c>
      <c r="AR84" s="2035">
        <v>28395.5</v>
      </c>
      <c r="AS84" s="2034">
        <v>1147905.8</v>
      </c>
      <c r="AT84" s="2035">
        <f t="shared" si="13"/>
        <v>92248.1</v>
      </c>
      <c r="AU84" s="2034">
        <f>2000+18728.1+5.1</f>
        <v>20733.199999999997</v>
      </c>
      <c r="AV84" s="2034">
        <f>39201.6-18728.1</f>
        <v>20473.5</v>
      </c>
      <c r="AW84" s="2034">
        <f>798.1+262.4+2105.5</f>
        <v>3166</v>
      </c>
      <c r="AX84" s="2034">
        <f>70519.5+2213.5</f>
        <v>72733</v>
      </c>
      <c r="AY84" s="2034">
        <f t="shared" si="14"/>
        <v>117105.7</v>
      </c>
      <c r="AZ84" s="573">
        <v>23.91</v>
      </c>
      <c r="BA84" s="573">
        <v>-0.39</v>
      </c>
      <c r="BB84" s="573">
        <v>8.9600000000000009</v>
      </c>
      <c r="BC84" s="573">
        <v>11.08</v>
      </c>
      <c r="BD84" s="573">
        <v>7.94</v>
      </c>
      <c r="BE84" s="573" t="s">
        <v>3075</v>
      </c>
      <c r="BF84" s="1454">
        <v>7961</v>
      </c>
      <c r="BG84" s="1454">
        <v>3437</v>
      </c>
      <c r="BH84" s="1959"/>
      <c r="BI84" s="1959"/>
      <c r="BJ84" s="1959"/>
      <c r="BK84" s="574">
        <f t="shared" si="22"/>
        <v>104.21689094916431</v>
      </c>
      <c r="BL84" s="574">
        <f t="shared" si="23"/>
        <v>55.755219193568642</v>
      </c>
      <c r="BM84" s="574">
        <f t="shared" si="24"/>
        <v>58.106355985428962</v>
      </c>
      <c r="BN84" s="574">
        <f t="shared" si="25"/>
        <v>7.6831070907904238</v>
      </c>
      <c r="BO84" s="573">
        <v>5</v>
      </c>
      <c r="BP84" s="573">
        <v>7.55</v>
      </c>
      <c r="BQ84" s="573">
        <v>13.01</v>
      </c>
      <c r="BR84" s="573">
        <f t="shared" si="26"/>
        <v>5.46</v>
      </c>
      <c r="BS84" s="2034"/>
      <c r="BT84" s="1959"/>
      <c r="BU84" s="1959"/>
      <c r="BV84" s="8"/>
    </row>
    <row r="85" spans="1:74" s="154" customFormat="1" ht="9.9499999999999993" customHeight="1" x14ac:dyDescent="0.2">
      <c r="A85" s="160" t="s">
        <v>696</v>
      </c>
      <c r="B85" s="275" t="s">
        <v>556</v>
      </c>
      <c r="C85" s="2038">
        <v>63015.8</v>
      </c>
      <c r="D85" s="2038">
        <v>676.4</v>
      </c>
      <c r="E85" s="2039">
        <f t="shared" si="0"/>
        <v>63692.200000000004</v>
      </c>
      <c r="F85" s="2038">
        <v>5808.8</v>
      </c>
      <c r="G85" s="2039">
        <f t="shared" si="1"/>
        <v>57883.4</v>
      </c>
      <c r="H85" s="2038">
        <v>9757.7999999999993</v>
      </c>
      <c r="I85" s="2038">
        <v>26566.400000000001</v>
      </c>
      <c r="J85" s="2038">
        <v>46425.2</v>
      </c>
      <c r="K85" s="2038">
        <v>369137.8</v>
      </c>
      <c r="L85" s="2038">
        <f t="shared" si="2"/>
        <v>415563</v>
      </c>
      <c r="M85" s="2038">
        <f t="shared" si="3"/>
        <v>442129.4</v>
      </c>
      <c r="N85" s="2038">
        <v>257.3</v>
      </c>
      <c r="O85" s="1959"/>
      <c r="P85" s="2038">
        <f t="shared" si="20"/>
        <v>104565.90000000001</v>
      </c>
      <c r="Q85" s="2038">
        <f t="shared" si="21"/>
        <v>473703.7</v>
      </c>
      <c r="R85" s="2038"/>
      <c r="S85" s="2038">
        <v>0</v>
      </c>
      <c r="T85" s="2038">
        <v>13539.8</v>
      </c>
      <c r="U85" s="2038">
        <v>343816.2</v>
      </c>
      <c r="V85" s="2038">
        <f t="shared" si="7"/>
        <v>357356</v>
      </c>
      <c r="W85" s="2038">
        <v>0</v>
      </c>
      <c r="X85" s="2038">
        <v>2823.7</v>
      </c>
      <c r="Y85" s="2038">
        <v>18926.400000000001</v>
      </c>
      <c r="Z85" s="2038">
        <f t="shared" si="8"/>
        <v>21750.100000000002</v>
      </c>
      <c r="AA85" s="2038">
        <v>4883.8</v>
      </c>
      <c r="AB85" s="2038">
        <v>78003.899999999994</v>
      </c>
      <c r="AC85" s="2038">
        <v>8907.5</v>
      </c>
      <c r="AD85" s="2038">
        <f t="shared" si="9"/>
        <v>86911.4</v>
      </c>
      <c r="AE85" s="2038">
        <f t="shared" si="27"/>
        <v>4883.8</v>
      </c>
      <c r="AF85" s="2038">
        <f t="shared" si="27"/>
        <v>94367.4</v>
      </c>
      <c r="AG85" s="2038">
        <f t="shared" si="27"/>
        <v>371650.10000000003</v>
      </c>
      <c r="AH85" s="2038">
        <f t="shared" si="27"/>
        <v>466017.5</v>
      </c>
      <c r="AI85" s="2038">
        <v>2091.4</v>
      </c>
      <c r="AJ85" s="2038">
        <v>18229.7</v>
      </c>
      <c r="AK85" s="2038">
        <v>7095.7</v>
      </c>
      <c r="AL85" s="2038">
        <f>325+2958.1</f>
        <v>3283.1</v>
      </c>
      <c r="AM85" s="2038">
        <f>442155.9-6.4</f>
        <v>442149.5</v>
      </c>
      <c r="AN85" s="2038">
        <v>6737.3</v>
      </c>
      <c r="AO85" s="2038">
        <f t="shared" si="11"/>
        <v>448886.8</v>
      </c>
      <c r="AP85" s="2038">
        <f t="shared" si="19"/>
        <v>26933.207999999999</v>
      </c>
      <c r="AQ85" s="2040">
        <f t="shared" si="12"/>
        <v>-89.807999999997264</v>
      </c>
      <c r="AR85" s="2039">
        <v>26843.4</v>
      </c>
      <c r="AS85" s="2038">
        <v>1184954.6000000001</v>
      </c>
      <c r="AT85" s="2039">
        <f t="shared" si="13"/>
        <v>90535.6</v>
      </c>
      <c r="AU85" s="2038">
        <f>2000+15268.8+5.1</f>
        <v>17273.899999999998</v>
      </c>
      <c r="AV85" s="2038">
        <f>35729.6-15268.8</f>
        <v>20460.8</v>
      </c>
      <c r="AW85" s="2038">
        <f>796.7+301.8+1702.8</f>
        <v>2801.3</v>
      </c>
      <c r="AX85" s="2038">
        <f>72787.1+1539.1</f>
        <v>74326.200000000012</v>
      </c>
      <c r="AY85" s="2038">
        <f t="shared" si="14"/>
        <v>114862.20000000001</v>
      </c>
      <c r="AZ85" s="2041">
        <v>21.22</v>
      </c>
      <c r="BA85" s="2041">
        <v>-7.5</v>
      </c>
      <c r="BB85" s="2041">
        <v>10.02</v>
      </c>
      <c r="BC85" s="2041">
        <v>11.13</v>
      </c>
      <c r="BD85" s="2041">
        <v>7.53</v>
      </c>
      <c r="BE85" s="2041" t="s">
        <v>288</v>
      </c>
      <c r="BF85" s="2042">
        <v>7967</v>
      </c>
      <c r="BG85" s="2042">
        <v>3438</v>
      </c>
      <c r="BH85" s="1959"/>
      <c r="BI85" s="1959"/>
      <c r="BJ85" s="1959"/>
      <c r="BK85" s="2041">
        <f t="shared" si="22"/>
        <v>105.3981741469797</v>
      </c>
      <c r="BL85" s="2041">
        <f t="shared" si="23"/>
        <v>55.4976151625455</v>
      </c>
      <c r="BM85" s="2041">
        <f t="shared" si="24"/>
        <v>58.493473076440317</v>
      </c>
      <c r="BN85" s="2041">
        <f t="shared" si="25"/>
        <v>7.3848777393166793</v>
      </c>
      <c r="BO85" s="2041">
        <v>5</v>
      </c>
      <c r="BP85" s="2041">
        <v>7.86</v>
      </c>
      <c r="BQ85" s="2041">
        <v>13.49</v>
      </c>
      <c r="BR85" s="2041">
        <f t="shared" si="26"/>
        <v>5.63</v>
      </c>
      <c r="BS85" s="2034"/>
      <c r="BT85" s="1959"/>
      <c r="BU85" s="1959"/>
      <c r="BV85" s="8"/>
    </row>
    <row r="86" spans="1:74" s="154" customFormat="1" ht="9.9499999999999993" customHeight="1" x14ac:dyDescent="0.2">
      <c r="A86" s="160" t="s">
        <v>696</v>
      </c>
      <c r="B86" s="236" t="s">
        <v>557</v>
      </c>
      <c r="C86" s="2034">
        <v>62691.8</v>
      </c>
      <c r="D86" s="2034">
        <v>680.9</v>
      </c>
      <c r="E86" s="2035">
        <f t="shared" si="0"/>
        <v>63372.700000000004</v>
      </c>
      <c r="F86" s="2034">
        <v>5790.2</v>
      </c>
      <c r="G86" s="2035">
        <f t="shared" si="1"/>
        <v>57582.500000000007</v>
      </c>
      <c r="H86" s="2034">
        <v>10028.9</v>
      </c>
      <c r="I86" s="2034">
        <v>26635.599999999999</v>
      </c>
      <c r="J86" s="2034">
        <v>46248</v>
      </c>
      <c r="K86" s="2034">
        <v>376714.7</v>
      </c>
      <c r="L86" s="2034">
        <f t="shared" si="2"/>
        <v>422962.7</v>
      </c>
      <c r="M86" s="2034">
        <f t="shared" si="3"/>
        <v>449598.3</v>
      </c>
      <c r="N86" s="2034">
        <v>254.1</v>
      </c>
      <c r="O86" s="1959"/>
      <c r="P86" s="2034">
        <f t="shared" si="20"/>
        <v>104084.6</v>
      </c>
      <c r="Q86" s="2034">
        <f t="shared" si="21"/>
        <v>480799.30000000005</v>
      </c>
      <c r="R86" s="2034"/>
      <c r="S86" s="2034">
        <v>0</v>
      </c>
      <c r="T86" s="2034">
        <v>14345.5</v>
      </c>
      <c r="U86" s="2034">
        <v>347423.5</v>
      </c>
      <c r="V86" s="2034">
        <f t="shared" si="7"/>
        <v>361769</v>
      </c>
      <c r="W86" s="2034">
        <v>0</v>
      </c>
      <c r="X86" s="2034">
        <v>3584.9</v>
      </c>
      <c r="Y86" s="2034">
        <v>20436.599999999999</v>
      </c>
      <c r="Z86" s="2034">
        <f t="shared" si="8"/>
        <v>24021.5</v>
      </c>
      <c r="AA86" s="2034">
        <v>5300.5</v>
      </c>
      <c r="AB86" s="2034">
        <v>78799</v>
      </c>
      <c r="AC86" s="2034">
        <v>9414.9</v>
      </c>
      <c r="AD86" s="2034">
        <f t="shared" si="9"/>
        <v>88213.9</v>
      </c>
      <c r="AE86" s="2034">
        <f t="shared" si="27"/>
        <v>5300.5</v>
      </c>
      <c r="AF86" s="2034">
        <f t="shared" si="27"/>
        <v>96729.4</v>
      </c>
      <c r="AG86" s="2034">
        <f t="shared" si="27"/>
        <v>377275</v>
      </c>
      <c r="AH86" s="2034">
        <f t="shared" si="27"/>
        <v>474004.4</v>
      </c>
      <c r="AI86" s="2034">
        <v>2072.6999999999998</v>
      </c>
      <c r="AJ86" s="2034">
        <v>19132.900000000001</v>
      </c>
      <c r="AK86" s="2034">
        <v>8056</v>
      </c>
      <c r="AL86" s="2034">
        <f>396+2986.7</f>
        <v>3382.7</v>
      </c>
      <c r="AM86" s="2034">
        <f>449624.4-6</f>
        <v>449618.4</v>
      </c>
      <c r="AN86" s="2034">
        <v>7879.4</v>
      </c>
      <c r="AO86" s="2034">
        <f t="shared" si="11"/>
        <v>457497.80000000005</v>
      </c>
      <c r="AP86" s="2034">
        <f t="shared" si="19"/>
        <v>27449.868000000002</v>
      </c>
      <c r="AQ86" s="2036">
        <f t="shared" si="12"/>
        <v>324.33199999999852</v>
      </c>
      <c r="AR86" s="2045">
        <v>27774.2</v>
      </c>
      <c r="AS86" s="2034">
        <v>1177048.5</v>
      </c>
      <c r="AT86" s="2035">
        <f t="shared" si="13"/>
        <v>91146.900000000009</v>
      </c>
      <c r="AU86" s="2034">
        <f>2000+14996.2+5.1</f>
        <v>17001.3</v>
      </c>
      <c r="AV86" s="2034">
        <f>35336.4-14996.2</f>
        <v>20340.2</v>
      </c>
      <c r="AW86" s="2034">
        <f>806.3+271.3+2128.9</f>
        <v>3206.5</v>
      </c>
      <c r="AX86" s="2034">
        <f>73457.2+1576.7</f>
        <v>75033.899999999994</v>
      </c>
      <c r="AY86" s="2034">
        <f t="shared" si="14"/>
        <v>115581.9</v>
      </c>
      <c r="AZ86" s="573">
        <v>22.11</v>
      </c>
      <c r="BA86" s="573">
        <v>-1.05</v>
      </c>
      <c r="BB86" s="573">
        <v>11.68</v>
      </c>
      <c r="BC86" s="573">
        <v>12.88</v>
      </c>
      <c r="BD86" s="573">
        <v>9.14</v>
      </c>
      <c r="BE86" s="573" t="s">
        <v>288</v>
      </c>
      <c r="BF86" s="1454">
        <v>7973</v>
      </c>
      <c r="BG86" s="1454">
        <v>3439</v>
      </c>
      <c r="BH86" s="1959"/>
      <c r="BI86" s="1959"/>
      <c r="BJ86" s="1959"/>
      <c r="BK86" s="574">
        <f t="shared" si="22"/>
        <v>105.42371041754519</v>
      </c>
      <c r="BL86" s="574">
        <f t="shared" si="23"/>
        <v>56.392625109745396</v>
      </c>
      <c r="BM86" s="574">
        <f t="shared" si="24"/>
        <v>59.451197792549856</v>
      </c>
      <c r="BN86" s="574">
        <f t="shared" si="25"/>
        <v>7.4650859484398326</v>
      </c>
      <c r="BO86" s="573">
        <v>5</v>
      </c>
      <c r="BP86" s="573">
        <v>7.95</v>
      </c>
      <c r="BQ86" s="573">
        <v>13.63</v>
      </c>
      <c r="BR86" s="573">
        <f t="shared" si="26"/>
        <v>5.6800000000000006</v>
      </c>
      <c r="BS86" s="2034"/>
      <c r="BT86" s="1959"/>
      <c r="BU86" s="1959"/>
      <c r="BV86" s="8"/>
    </row>
    <row r="87" spans="1:74" s="154" customFormat="1" ht="9.9499999999999993" customHeight="1" x14ac:dyDescent="0.2">
      <c r="A87" s="160" t="s">
        <v>696</v>
      </c>
      <c r="B87" s="275" t="s">
        <v>549</v>
      </c>
      <c r="C87" s="2038">
        <v>63007.199999999997</v>
      </c>
      <c r="D87" s="2038">
        <v>685.1</v>
      </c>
      <c r="E87" s="2039">
        <f t="shared" si="0"/>
        <v>63692.299999999996</v>
      </c>
      <c r="F87" s="2038">
        <v>5719.7</v>
      </c>
      <c r="G87" s="2039">
        <f t="shared" si="1"/>
        <v>57972.6</v>
      </c>
      <c r="H87" s="2038">
        <v>9635.2000000000007</v>
      </c>
      <c r="I87" s="2038">
        <v>27034.2</v>
      </c>
      <c r="J87" s="2038">
        <v>48335.7</v>
      </c>
      <c r="K87" s="2038">
        <v>383764.7</v>
      </c>
      <c r="L87" s="2038">
        <f t="shared" si="2"/>
        <v>432100.4</v>
      </c>
      <c r="M87" s="2038">
        <f t="shared" si="3"/>
        <v>459134.60000000003</v>
      </c>
      <c r="N87" s="2038">
        <v>254.8</v>
      </c>
      <c r="O87" s="1959"/>
      <c r="P87" s="2038">
        <f t="shared" si="20"/>
        <v>106563.09999999999</v>
      </c>
      <c r="Q87" s="2038">
        <f t="shared" si="21"/>
        <v>490327.8</v>
      </c>
      <c r="R87" s="2038"/>
      <c r="S87" s="2038">
        <v>0</v>
      </c>
      <c r="T87" s="2038">
        <v>14178.6</v>
      </c>
      <c r="U87" s="2038">
        <v>354283.1</v>
      </c>
      <c r="V87" s="2038">
        <f t="shared" si="7"/>
        <v>368461.69999999995</v>
      </c>
      <c r="W87" s="2038">
        <v>0</v>
      </c>
      <c r="X87" s="2038">
        <v>2766.4</v>
      </c>
      <c r="Y87" s="2038">
        <v>20536.2</v>
      </c>
      <c r="Z87" s="2038">
        <f t="shared" si="8"/>
        <v>23302.600000000002</v>
      </c>
      <c r="AA87" s="2038">
        <v>5027.8999999999996</v>
      </c>
      <c r="AB87" s="2038">
        <v>80556.7</v>
      </c>
      <c r="AC87" s="2038">
        <v>9033.2000000000007</v>
      </c>
      <c r="AD87" s="2038">
        <f t="shared" si="9"/>
        <v>89589.9</v>
      </c>
      <c r="AE87" s="2038">
        <f t="shared" si="27"/>
        <v>5027.8999999999996</v>
      </c>
      <c r="AF87" s="2038">
        <f t="shared" si="27"/>
        <v>97501.7</v>
      </c>
      <c r="AG87" s="2038">
        <f t="shared" si="27"/>
        <v>383852.5</v>
      </c>
      <c r="AH87" s="2038">
        <f t="shared" si="27"/>
        <v>481354.19999999995</v>
      </c>
      <c r="AI87" s="2038">
        <v>2140.9</v>
      </c>
      <c r="AJ87" s="2038">
        <v>19100.5</v>
      </c>
      <c r="AK87" s="2038">
        <v>7887.4</v>
      </c>
      <c r="AL87" s="2038">
        <f>298.5+3049.7</f>
        <v>3348.2</v>
      </c>
      <c r="AM87" s="2038">
        <f>459148.1-6.3</f>
        <v>459141.8</v>
      </c>
      <c r="AN87" s="2038">
        <v>7339.5</v>
      </c>
      <c r="AO87" s="2038">
        <f t="shared" si="11"/>
        <v>466481.3</v>
      </c>
      <c r="AP87" s="2038">
        <f t="shared" si="19"/>
        <v>27988.877999999997</v>
      </c>
      <c r="AQ87" s="2040">
        <f t="shared" si="12"/>
        <v>31.122000000003027</v>
      </c>
      <c r="AR87" s="2039">
        <v>28020</v>
      </c>
      <c r="AS87" s="2038">
        <v>1225436</v>
      </c>
      <c r="AT87" s="2039">
        <f t="shared" si="13"/>
        <v>91712.299999999988</v>
      </c>
      <c r="AU87" s="2038">
        <f>2000+14410.9+5.1</f>
        <v>16416</v>
      </c>
      <c r="AV87" s="2038">
        <f>34751.1-14996.2</f>
        <v>19754.899999999998</v>
      </c>
      <c r="AW87" s="2038">
        <f>824.1+375.2+2091.7</f>
        <v>3291</v>
      </c>
      <c r="AX87" s="2038">
        <f>75376.3+1459.3</f>
        <v>76835.600000000006</v>
      </c>
      <c r="AY87" s="2038">
        <f t="shared" si="14"/>
        <v>116297.5</v>
      </c>
      <c r="AZ87" s="2041">
        <v>23.33</v>
      </c>
      <c r="BA87" s="2041">
        <v>-5.25</v>
      </c>
      <c r="BB87" s="2041">
        <v>13.62</v>
      </c>
      <c r="BC87" s="2041">
        <v>14.42</v>
      </c>
      <c r="BD87" s="2041">
        <v>11.31</v>
      </c>
      <c r="BE87" s="2041" t="s">
        <v>288</v>
      </c>
      <c r="BF87" s="2042">
        <v>7998</v>
      </c>
      <c r="BG87" s="2042">
        <v>3442</v>
      </c>
      <c r="BH87" s="1959"/>
      <c r="BI87" s="1959"/>
      <c r="BJ87" s="1959"/>
      <c r="BK87" s="2041">
        <f t="shared" si="22"/>
        <v>104.83780827622316</v>
      </c>
      <c r="BL87" s="2041">
        <f t="shared" si="23"/>
        <v>57.407076769192294</v>
      </c>
      <c r="BM87" s="2041">
        <f t="shared" si="24"/>
        <v>60.18432108027006</v>
      </c>
      <c r="BN87" s="2041">
        <f t="shared" si="25"/>
        <v>7.3484270001119469</v>
      </c>
      <c r="BO87" s="2041">
        <v>5</v>
      </c>
      <c r="BP87" s="2041">
        <v>8.11</v>
      </c>
      <c r="BQ87" s="2041">
        <v>13.69</v>
      </c>
      <c r="BR87" s="2041">
        <f t="shared" si="26"/>
        <v>5.58</v>
      </c>
      <c r="BS87" s="2034"/>
      <c r="BT87" s="1959"/>
      <c r="BU87" s="1959"/>
      <c r="BV87" s="8"/>
    </row>
    <row r="88" spans="1:74" s="154" customFormat="1" ht="9.9499999999999993" customHeight="1" x14ac:dyDescent="0.2">
      <c r="A88" s="160" t="s">
        <v>696</v>
      </c>
      <c r="B88" s="236" t="s">
        <v>558</v>
      </c>
      <c r="C88" s="2034">
        <v>63107.9</v>
      </c>
      <c r="D88" s="2034">
        <v>689.2</v>
      </c>
      <c r="E88" s="2035">
        <f t="shared" si="0"/>
        <v>63797.1</v>
      </c>
      <c r="F88" s="2034">
        <v>6533</v>
      </c>
      <c r="G88" s="2035">
        <f t="shared" si="1"/>
        <v>57264.1</v>
      </c>
      <c r="H88" s="2034">
        <v>9459.6</v>
      </c>
      <c r="I88" s="2034">
        <v>27260.9</v>
      </c>
      <c r="J88" s="2034">
        <v>48339.7</v>
      </c>
      <c r="K88" s="2034">
        <v>387940.9</v>
      </c>
      <c r="L88" s="2034">
        <f t="shared" si="2"/>
        <v>436280.60000000003</v>
      </c>
      <c r="M88" s="2034">
        <f t="shared" si="3"/>
        <v>463541.50000000006</v>
      </c>
      <c r="N88" s="2034">
        <v>262.3</v>
      </c>
      <c r="O88" s="1959"/>
      <c r="P88" s="2034">
        <f t="shared" si="20"/>
        <v>105866.09999999999</v>
      </c>
      <c r="Q88" s="2034">
        <f t="shared" si="21"/>
        <v>493807</v>
      </c>
      <c r="R88" s="2043"/>
      <c r="S88" s="2034">
        <v>0</v>
      </c>
      <c r="T88" s="2034">
        <v>15064.4</v>
      </c>
      <c r="U88" s="2034">
        <v>356962.7</v>
      </c>
      <c r="V88" s="2034">
        <f t="shared" si="7"/>
        <v>372027.10000000003</v>
      </c>
      <c r="W88" s="2034">
        <v>0</v>
      </c>
      <c r="X88" s="2034">
        <v>2571</v>
      </c>
      <c r="Y88" s="2034">
        <v>21361.7</v>
      </c>
      <c r="Z88" s="2034">
        <f t="shared" si="8"/>
        <v>23932.7</v>
      </c>
      <c r="AA88" s="2034">
        <v>5040.6000000000004</v>
      </c>
      <c r="AB88" s="2034">
        <v>83285.899999999994</v>
      </c>
      <c r="AC88" s="2034">
        <v>8995.6</v>
      </c>
      <c r="AD88" s="2034">
        <f t="shared" si="9"/>
        <v>92281.5</v>
      </c>
      <c r="AE88" s="2034">
        <f t="shared" si="27"/>
        <v>5040.6000000000004</v>
      </c>
      <c r="AF88" s="2034">
        <f t="shared" si="27"/>
        <v>100921.29999999999</v>
      </c>
      <c r="AG88" s="2034">
        <f t="shared" si="27"/>
        <v>387320</v>
      </c>
      <c r="AH88" s="2034">
        <f t="shared" si="27"/>
        <v>488241.30000000005</v>
      </c>
      <c r="AI88" s="2034">
        <v>2402.1999999999998</v>
      </c>
      <c r="AJ88" s="2034">
        <v>21583</v>
      </c>
      <c r="AK88" s="2034">
        <v>8092.3</v>
      </c>
      <c r="AL88" s="2034">
        <f>251+3047.2</f>
        <v>3298.2</v>
      </c>
      <c r="AM88" s="2034">
        <f>459148.1-5.9</f>
        <v>459142.19999999995</v>
      </c>
      <c r="AN88" s="2034">
        <v>6521.1</v>
      </c>
      <c r="AO88" s="2034">
        <f t="shared" si="11"/>
        <v>465663.29999999993</v>
      </c>
      <c r="AP88" s="2034">
        <f t="shared" si="19"/>
        <v>27939.797999999995</v>
      </c>
      <c r="AQ88" s="2036">
        <f t="shared" si="12"/>
        <v>-307.39799999999377</v>
      </c>
      <c r="AR88" s="2045">
        <v>27632.400000000001</v>
      </c>
      <c r="AS88" s="2034">
        <v>1223291.8999999999</v>
      </c>
      <c r="AT88" s="2035">
        <f t="shared" si="13"/>
        <v>91429.5</v>
      </c>
      <c r="AU88" s="2034">
        <f>2000+8401.3+5.1</f>
        <v>10406.4</v>
      </c>
      <c r="AV88" s="2034">
        <f>31499.4-8401.3</f>
        <v>23098.100000000002</v>
      </c>
      <c r="AW88" s="2034">
        <f>824.7+384+2237.1</f>
        <v>3445.8</v>
      </c>
      <c r="AX88" s="2034">
        <f>77209.7+2311.9</f>
        <v>79521.599999999991</v>
      </c>
      <c r="AY88" s="2034">
        <f t="shared" si="14"/>
        <v>116471.9</v>
      </c>
      <c r="AZ88" s="573">
        <v>22.47</v>
      </c>
      <c r="BA88" s="573">
        <v>-2.27</v>
      </c>
      <c r="BB88" s="573">
        <v>14.66</v>
      </c>
      <c r="BC88" s="573">
        <v>15.23</v>
      </c>
      <c r="BD88" s="573">
        <v>12.1</v>
      </c>
      <c r="BE88" s="573" t="s">
        <v>288</v>
      </c>
      <c r="BF88" s="1454">
        <v>8004</v>
      </c>
      <c r="BG88" s="1454">
        <v>3442</v>
      </c>
      <c r="BH88" s="1959"/>
      <c r="BI88" s="1959"/>
      <c r="BJ88" s="1959"/>
      <c r="BK88" s="574">
        <f t="shared" si="22"/>
        <v>106.33770975527845</v>
      </c>
      <c r="BL88" s="574">
        <f t="shared" si="23"/>
        <v>57.364092953523233</v>
      </c>
      <c r="BM88" s="574">
        <f t="shared" si="24"/>
        <v>60.999662668665671</v>
      </c>
      <c r="BN88" s="574">
        <f t="shared" si="25"/>
        <v>7.4411369723802352</v>
      </c>
      <c r="BO88" s="573">
        <v>5</v>
      </c>
      <c r="BP88" s="573">
        <v>8.17</v>
      </c>
      <c r="BQ88" s="573">
        <v>13.72</v>
      </c>
      <c r="BR88" s="573">
        <f t="shared" si="26"/>
        <v>5.5500000000000007</v>
      </c>
      <c r="BS88" s="2034"/>
      <c r="BT88" s="1959"/>
      <c r="BU88" s="1959"/>
      <c r="BV88" s="8"/>
    </row>
    <row r="89" spans="1:74" s="154" customFormat="1" ht="9.9499999999999993" customHeight="1" x14ac:dyDescent="0.2">
      <c r="A89" s="160" t="s">
        <v>696</v>
      </c>
      <c r="B89" s="275" t="s">
        <v>559</v>
      </c>
      <c r="C89" s="2038">
        <v>63670</v>
      </c>
      <c r="D89" s="2038">
        <v>692.7</v>
      </c>
      <c r="E89" s="2039">
        <f t="shared" si="0"/>
        <v>64362.7</v>
      </c>
      <c r="F89" s="2038">
        <v>5502.9</v>
      </c>
      <c r="G89" s="2039">
        <f t="shared" si="1"/>
        <v>58859.799999999996</v>
      </c>
      <c r="H89" s="2038">
        <v>9504.7000000000007</v>
      </c>
      <c r="I89" s="2038">
        <v>29847.1</v>
      </c>
      <c r="J89" s="2038">
        <v>47342.1</v>
      </c>
      <c r="K89" s="2038">
        <v>394617</v>
      </c>
      <c r="L89" s="2038">
        <f t="shared" si="2"/>
        <v>441959.1</v>
      </c>
      <c r="M89" s="2038">
        <f t="shared" si="3"/>
        <v>471806.19999999995</v>
      </c>
      <c r="N89" s="2038">
        <v>269.7</v>
      </c>
      <c r="O89" s="1959"/>
      <c r="P89" s="2038">
        <f t="shared" si="20"/>
        <v>106471.59999999999</v>
      </c>
      <c r="Q89" s="2038">
        <f t="shared" si="21"/>
        <v>501088.6</v>
      </c>
      <c r="R89" s="2038"/>
      <c r="S89" s="2038">
        <v>0</v>
      </c>
      <c r="T89" s="2038">
        <v>14461.5</v>
      </c>
      <c r="U89" s="2038">
        <v>365078.2</v>
      </c>
      <c r="V89" s="2038">
        <f t="shared" si="7"/>
        <v>379539.7</v>
      </c>
      <c r="W89" s="2038">
        <v>0</v>
      </c>
      <c r="X89" s="2038">
        <v>2602.9</v>
      </c>
      <c r="Y89" s="2038">
        <v>20971.7</v>
      </c>
      <c r="Z89" s="2038">
        <f t="shared" si="8"/>
        <v>23574.600000000002</v>
      </c>
      <c r="AA89" s="2038">
        <v>4993.8999999999996</v>
      </c>
      <c r="AB89" s="2038">
        <v>84898.8</v>
      </c>
      <c r="AC89" s="2038">
        <v>9145.7000000000007</v>
      </c>
      <c r="AD89" s="2038">
        <f t="shared" si="9"/>
        <v>94044.5</v>
      </c>
      <c r="AE89" s="2038">
        <f t="shared" si="27"/>
        <v>4993.8999999999996</v>
      </c>
      <c r="AF89" s="2038">
        <f t="shared" si="27"/>
        <v>101963.20000000001</v>
      </c>
      <c r="AG89" s="2038">
        <f t="shared" si="27"/>
        <v>395195.60000000003</v>
      </c>
      <c r="AH89" s="2038">
        <f t="shared" si="27"/>
        <v>497158.8</v>
      </c>
      <c r="AI89" s="2038">
        <v>2467.5</v>
      </c>
      <c r="AJ89" s="2038">
        <v>22096.799999999999</v>
      </c>
      <c r="AK89" s="2038">
        <v>8274.7999999999993</v>
      </c>
      <c r="AL89" s="2038">
        <f>432+3093.7</f>
        <v>3525.7</v>
      </c>
      <c r="AM89" s="2038">
        <f>471830-5.7</f>
        <v>471824.3</v>
      </c>
      <c r="AN89" s="2038">
        <v>6891.2</v>
      </c>
      <c r="AO89" s="2038">
        <f t="shared" si="11"/>
        <v>478715.5</v>
      </c>
      <c r="AP89" s="2038">
        <f t="shared" si="19"/>
        <v>28722.93</v>
      </c>
      <c r="AQ89" s="2040">
        <f t="shared" si="12"/>
        <v>-969.13000000000102</v>
      </c>
      <c r="AR89" s="2039">
        <v>27753.8</v>
      </c>
      <c r="AS89" s="2038">
        <v>1247043.8</v>
      </c>
      <c r="AT89" s="2039">
        <f t="shared" si="13"/>
        <v>92116.5</v>
      </c>
      <c r="AU89" s="2038">
        <f>2000+5132.1+5.1</f>
        <v>7137.2000000000007</v>
      </c>
      <c r="AV89" s="2038">
        <f>30802.8-5132.1</f>
        <v>25670.699999999997</v>
      </c>
      <c r="AW89" s="2038">
        <f>864.9+377+2212.5</f>
        <v>3454.4</v>
      </c>
      <c r="AX89" s="2038">
        <f>79319.9+1771.5</f>
        <v>81091.399999999994</v>
      </c>
      <c r="AY89" s="2038">
        <f>AU89+AV89+AW89+AX89</f>
        <v>117353.69999999998</v>
      </c>
      <c r="AZ89" s="2041">
        <v>20.149999999999999</v>
      </c>
      <c r="BA89" s="2041">
        <v>-5.04</v>
      </c>
      <c r="BB89" s="2041">
        <v>16.989999999999998</v>
      </c>
      <c r="BC89" s="2041">
        <v>16.54</v>
      </c>
      <c r="BD89" s="2041">
        <v>13.75</v>
      </c>
      <c r="BE89" s="2041" t="s">
        <v>288</v>
      </c>
      <c r="BF89" s="2042">
        <v>8024</v>
      </c>
      <c r="BG89" s="2042">
        <v>3443</v>
      </c>
      <c r="BH89" s="1959"/>
      <c r="BI89" s="1959"/>
      <c r="BJ89" s="1959"/>
      <c r="BK89" s="2041">
        <f t="shared" si="22"/>
        <v>105.36947757883601</v>
      </c>
      <c r="BL89" s="2041">
        <f t="shared" si="23"/>
        <v>58.801632602193415</v>
      </c>
      <c r="BM89" s="2041">
        <f t="shared" si="24"/>
        <v>61.958973080757723</v>
      </c>
      <c r="BN89" s="2041">
        <f t="shared" si="25"/>
        <v>7.048534804163328</v>
      </c>
      <c r="BO89" s="2041">
        <v>5</v>
      </c>
      <c r="BP89" s="2041">
        <v>8.25</v>
      </c>
      <c r="BQ89" s="2041">
        <v>13.7</v>
      </c>
      <c r="BR89" s="2041">
        <f t="shared" si="26"/>
        <v>5.4499999999999993</v>
      </c>
      <c r="BS89" s="2034"/>
      <c r="BT89" s="1959"/>
      <c r="BU89" s="1959"/>
      <c r="BV89" s="8"/>
    </row>
    <row r="90" spans="1:74" s="154" customFormat="1" ht="9.9499999999999993" customHeight="1" x14ac:dyDescent="0.2">
      <c r="A90" s="160" t="s">
        <v>696</v>
      </c>
      <c r="B90" s="236" t="s">
        <v>550</v>
      </c>
      <c r="C90" s="1037">
        <v>64200.7</v>
      </c>
      <c r="D90" s="1037">
        <v>695.8</v>
      </c>
      <c r="E90" s="2046">
        <f t="shared" si="0"/>
        <v>64896.5</v>
      </c>
      <c r="F90" s="1037">
        <v>6479.4</v>
      </c>
      <c r="G90" s="2046">
        <f t="shared" si="1"/>
        <v>58417.1</v>
      </c>
      <c r="H90" s="1037">
        <v>11992.2</v>
      </c>
      <c r="I90" s="1037">
        <v>31574.2</v>
      </c>
      <c r="J90" s="1037">
        <v>51060.4</v>
      </c>
      <c r="K90" s="1037">
        <v>407388.1</v>
      </c>
      <c r="L90" s="1037">
        <f t="shared" si="2"/>
        <v>458448.5</v>
      </c>
      <c r="M90" s="1037">
        <f t="shared" si="3"/>
        <v>490022.7</v>
      </c>
      <c r="N90" s="1037">
        <v>243.9</v>
      </c>
      <c r="O90" s="354"/>
      <c r="P90" s="1037">
        <f t="shared" si="20"/>
        <v>109721.4</v>
      </c>
      <c r="Q90" s="1037">
        <f t="shared" si="21"/>
        <v>517109.5</v>
      </c>
      <c r="R90" s="1037"/>
      <c r="S90" s="1037">
        <v>0</v>
      </c>
      <c r="T90" s="1037">
        <v>14069.2</v>
      </c>
      <c r="U90" s="1037">
        <v>373614.7</v>
      </c>
      <c r="V90" s="1037">
        <f>T90+U90</f>
        <v>387683.9</v>
      </c>
      <c r="W90" s="1037">
        <v>0</v>
      </c>
      <c r="X90" s="1037">
        <v>2534.6999999999998</v>
      </c>
      <c r="Y90" s="1037">
        <v>21317.5</v>
      </c>
      <c r="Z90" s="1037">
        <f t="shared" si="8"/>
        <v>23852.2</v>
      </c>
      <c r="AA90" s="1037">
        <v>5172.8999999999996</v>
      </c>
      <c r="AB90" s="1037">
        <v>86057.2</v>
      </c>
      <c r="AC90" s="1037">
        <v>9370.9</v>
      </c>
      <c r="AD90" s="1037">
        <f t="shared" si="9"/>
        <v>95428.099999999991</v>
      </c>
      <c r="AE90" s="1037">
        <f t="shared" si="27"/>
        <v>5172.8999999999996</v>
      </c>
      <c r="AF90" s="1037">
        <f t="shared" si="27"/>
        <v>102661.1</v>
      </c>
      <c r="AG90" s="1037">
        <f t="shared" si="27"/>
        <v>404303.10000000003</v>
      </c>
      <c r="AH90" s="1037">
        <f t="shared" si="27"/>
        <v>506964.2</v>
      </c>
      <c r="AI90" s="1037">
        <v>2320</v>
      </c>
      <c r="AJ90" s="1037">
        <v>21671.599999999999</v>
      </c>
      <c r="AK90" s="1037">
        <v>9197</v>
      </c>
      <c r="AL90" s="1037">
        <f>204+3173.7</f>
        <v>3377.7</v>
      </c>
      <c r="AM90" s="1037">
        <f>490044.4-5.6</f>
        <v>490038.80000000005</v>
      </c>
      <c r="AN90" s="1037">
        <v>7141.5</v>
      </c>
      <c r="AO90" s="1037">
        <f t="shared" si="11"/>
        <v>497180.30000000005</v>
      </c>
      <c r="AP90" s="1037">
        <f>AO90*0.06</f>
        <v>29830.818000000003</v>
      </c>
      <c r="AQ90" s="2046">
        <f>AR90-AP90</f>
        <v>2831.4819999999963</v>
      </c>
      <c r="AR90" s="2046">
        <v>32662.3</v>
      </c>
      <c r="AS90" s="1037">
        <v>1296703.2</v>
      </c>
      <c r="AT90" s="2046">
        <f t="shared" si="13"/>
        <v>97558.8</v>
      </c>
      <c r="AU90" s="1037">
        <f>2000+7824.7+5.1</f>
        <v>9829.8000000000011</v>
      </c>
      <c r="AV90" s="1037">
        <f>35306.8-7824.7</f>
        <v>27482.100000000002</v>
      </c>
      <c r="AW90" s="1037">
        <f>392.6+833.5+2153</f>
        <v>3379.1</v>
      </c>
      <c r="AX90" s="1037">
        <f>80109.4+1948.5</f>
        <v>82057.899999999994</v>
      </c>
      <c r="AY90" s="1037">
        <f>AU90+AV90+AW90+AX90</f>
        <v>122748.9</v>
      </c>
      <c r="AZ90" s="1289">
        <v>25.15</v>
      </c>
      <c r="BA90" s="1289">
        <v>-5.01</v>
      </c>
      <c r="BB90" s="1289">
        <v>19.72</v>
      </c>
      <c r="BC90" s="1289">
        <v>19.53</v>
      </c>
      <c r="BD90" s="1289">
        <v>17.39</v>
      </c>
      <c r="BE90" s="1289" t="s">
        <v>288</v>
      </c>
      <c r="BF90" s="2047">
        <v>8059</v>
      </c>
      <c r="BG90" s="2047">
        <v>3449</v>
      </c>
      <c r="BH90" s="354"/>
      <c r="BI90" s="354"/>
      <c r="BJ90" s="354"/>
      <c r="BK90" s="1289">
        <f t="shared" si="22"/>
        <v>103.45388977362609</v>
      </c>
      <c r="BL90" s="1289">
        <f t="shared" si="23"/>
        <v>60.806402779501184</v>
      </c>
      <c r="BM90" s="1289">
        <f t="shared" si="24"/>
        <v>62.90658890681226</v>
      </c>
      <c r="BN90" s="1289">
        <f t="shared" si="25"/>
        <v>7.9874695636345514</v>
      </c>
      <c r="BO90" s="1289">
        <v>5</v>
      </c>
      <c r="BP90" s="1289">
        <v>8.15</v>
      </c>
      <c r="BQ90" s="1289">
        <v>13.75</v>
      </c>
      <c r="BR90" s="1289">
        <f t="shared" si="26"/>
        <v>5.6</v>
      </c>
      <c r="BS90" s="1037"/>
      <c r="BT90" s="354"/>
      <c r="BU90" s="354"/>
    </row>
    <row r="91" spans="1:74" s="154" customFormat="1" ht="9.9499999999999993" customHeight="1" x14ac:dyDescent="0.2">
      <c r="A91" s="160" t="s">
        <v>804</v>
      </c>
      <c r="B91" s="275" t="s">
        <v>552</v>
      </c>
      <c r="C91" s="1037">
        <v>66530.2</v>
      </c>
      <c r="D91" s="1037">
        <v>705.4</v>
      </c>
      <c r="E91" s="2046">
        <f t="shared" ref="E91:E102" si="28">C91+D91</f>
        <v>67235.599999999991</v>
      </c>
      <c r="F91" s="1037">
        <v>6942.6</v>
      </c>
      <c r="G91" s="2046">
        <f t="shared" ref="G91:G101" si="29">E91-F91</f>
        <v>60292.999999999993</v>
      </c>
      <c r="H91" s="1037">
        <v>10633.4</v>
      </c>
      <c r="I91" s="1037">
        <v>29383.200000000001</v>
      </c>
      <c r="J91" s="1037">
        <v>49862.6</v>
      </c>
      <c r="K91" s="1037">
        <v>412228.5</v>
      </c>
      <c r="L91" s="1037">
        <f t="shared" ref="L91:L102" si="30">J91+K91</f>
        <v>462091.1</v>
      </c>
      <c r="M91" s="1037">
        <f t="shared" ref="M91:M102" si="31">I91+L91</f>
        <v>491474.3</v>
      </c>
      <c r="N91" s="1037">
        <v>248.3</v>
      </c>
      <c r="O91" s="1037">
        <f t="shared" ref="O91:O102" si="32">G91+J91+N91</f>
        <v>110403.9</v>
      </c>
      <c r="P91" s="1037">
        <f t="shared" ref="P91:P102" si="33">K91+O91</f>
        <v>522632.4</v>
      </c>
      <c r="Q91" s="1037">
        <v>2260</v>
      </c>
      <c r="R91" s="1037">
        <f t="shared" ref="R91:R102" si="34">P91+Q91</f>
        <v>524892.4</v>
      </c>
      <c r="S91" s="1037">
        <v>0</v>
      </c>
      <c r="T91" s="1037">
        <v>14644.2</v>
      </c>
      <c r="U91" s="1037">
        <v>376079.9</v>
      </c>
      <c r="V91" s="1037">
        <f t="shared" ref="V91:V102" si="35">T91+U91</f>
        <v>390724.10000000003</v>
      </c>
      <c r="W91" s="1037">
        <v>0</v>
      </c>
      <c r="X91" s="1037">
        <v>2509.3000000000002</v>
      </c>
      <c r="Y91" s="1037">
        <v>20853.8</v>
      </c>
      <c r="Z91" s="1037">
        <f t="shared" ref="Z91:Z102" si="36">X91+Y91</f>
        <v>23363.1</v>
      </c>
      <c r="AA91" s="1037">
        <v>5950.5</v>
      </c>
      <c r="AB91" s="1037">
        <v>86539.7</v>
      </c>
      <c r="AC91" s="1037">
        <v>9123.1</v>
      </c>
      <c r="AD91" s="1037">
        <f t="shared" ref="AD91:AD102" si="37">AB91+AC91</f>
        <v>95662.8</v>
      </c>
      <c r="AE91" s="1037">
        <f>S91+W91+AA91</f>
        <v>5950.5</v>
      </c>
      <c r="AF91" s="1037">
        <f>T91+X91+AB91</f>
        <v>103693.2</v>
      </c>
      <c r="AG91" s="1037">
        <f>U91+Y91+AC91</f>
        <v>406056.8</v>
      </c>
      <c r="AH91" s="1037">
        <f>V91+Z91+AD91</f>
        <v>509750</v>
      </c>
      <c r="AI91" s="1037">
        <v>2729.1</v>
      </c>
      <c r="AJ91" s="1037">
        <v>19301.099999999999</v>
      </c>
      <c r="AK91" s="1037">
        <v>10291.4</v>
      </c>
      <c r="AL91" s="1037">
        <f>67+3203.7</f>
        <v>3270.7</v>
      </c>
      <c r="AM91" s="1037">
        <f>491604.3-6</f>
        <v>491598.3</v>
      </c>
      <c r="AN91" s="1037">
        <v>6320.3</v>
      </c>
      <c r="AO91" s="1037">
        <f>AM91+AN91</f>
        <v>497918.6</v>
      </c>
      <c r="AP91" s="1037">
        <f t="shared" ref="AP91:AP97" si="38">AO91*0.06</f>
        <v>29875.115999999998</v>
      </c>
      <c r="AQ91" s="2046">
        <f t="shared" ref="AQ91:AQ102" si="39">AR91-AP91</f>
        <v>615.18400000000111</v>
      </c>
      <c r="AR91" s="2046">
        <v>30490.3</v>
      </c>
      <c r="AS91" s="1037">
        <v>1308554.8</v>
      </c>
      <c r="AT91" s="2046">
        <f t="shared" ref="AT91:AT122" si="40">E91+AR91</f>
        <v>97725.9</v>
      </c>
      <c r="AU91" s="1037">
        <f>2000+5602.3+5.1</f>
        <v>7607.4000000000005</v>
      </c>
      <c r="AV91" s="1037">
        <f>33570.4-5602.3</f>
        <v>27968.100000000002</v>
      </c>
      <c r="AW91" s="1037">
        <f>889.9+764.1+2140.5</f>
        <v>3794.5</v>
      </c>
      <c r="AX91" s="1037">
        <f>79834.9+2775.1</f>
        <v>82610</v>
      </c>
      <c r="AY91" s="1037">
        <f t="shared" ref="AY91:AY102" si="41">AU91+AV91+AW91+AX91</f>
        <v>121980</v>
      </c>
      <c r="AZ91" s="1289">
        <v>5.86</v>
      </c>
      <c r="BA91" s="1289">
        <v>0.68</v>
      </c>
      <c r="BB91" s="1289">
        <v>0.42</v>
      </c>
      <c r="BC91" s="1289">
        <v>0.6</v>
      </c>
      <c r="BD91" s="1289">
        <v>1.07</v>
      </c>
      <c r="BE91" s="1289" t="s">
        <v>288</v>
      </c>
      <c r="BF91" s="2047">
        <v>8079</v>
      </c>
      <c r="BG91" s="2047">
        <v>3451</v>
      </c>
      <c r="BH91" s="354"/>
      <c r="BI91" s="354"/>
      <c r="BJ91" s="354"/>
      <c r="BK91" s="1289">
        <f t="shared" ref="BK91:BK122" si="42">AH91/AM91*100</f>
        <v>103.69238461565062</v>
      </c>
      <c r="BL91" s="1289">
        <f t="shared" ref="BL91:BL122" si="43">AM91/BF91</f>
        <v>60.848904567396957</v>
      </c>
      <c r="BM91" s="1289">
        <f t="shared" ref="BM91:BM122" si="44">AH91/BF91</f>
        <v>63.095680158435449</v>
      </c>
      <c r="BN91" s="1289">
        <f t="shared" ref="BN91:BN122" si="45">(F91+AR91)/AM91*100</f>
        <v>7.6145299932892376</v>
      </c>
      <c r="BO91" s="1289">
        <v>5</v>
      </c>
      <c r="BP91" s="1289">
        <v>8.3000000000000007</v>
      </c>
      <c r="BQ91" s="1289">
        <v>13.77</v>
      </c>
      <c r="BR91" s="1289">
        <f t="shared" ref="BR91:BR102" si="46">BQ91-BP91</f>
        <v>5.4699999999999989</v>
      </c>
      <c r="BS91" s="2036" t="s">
        <v>288</v>
      </c>
      <c r="BT91" s="2048" t="s">
        <v>288</v>
      </c>
      <c r="BU91" s="2049" t="s">
        <v>288</v>
      </c>
    </row>
    <row r="92" spans="1:74" s="154" customFormat="1" ht="9.9499999999999993" customHeight="1" x14ac:dyDescent="0.2">
      <c r="A92" s="160" t="s">
        <v>804</v>
      </c>
      <c r="B92" s="236" t="s">
        <v>553</v>
      </c>
      <c r="C92" s="2050">
        <v>71270.3</v>
      </c>
      <c r="D92" s="2050">
        <v>720.5</v>
      </c>
      <c r="E92" s="2040">
        <f t="shared" si="28"/>
        <v>71990.8</v>
      </c>
      <c r="F92" s="2050">
        <v>6560.3</v>
      </c>
      <c r="G92" s="2040">
        <f t="shared" si="29"/>
        <v>65430.5</v>
      </c>
      <c r="H92" s="2050">
        <v>12102.8</v>
      </c>
      <c r="I92" s="2050">
        <v>30167.9</v>
      </c>
      <c r="J92" s="2050">
        <v>51143</v>
      </c>
      <c r="K92" s="2050">
        <v>416336.1</v>
      </c>
      <c r="L92" s="2050">
        <f t="shared" si="30"/>
        <v>467479.1</v>
      </c>
      <c r="M92" s="2050">
        <f t="shared" si="31"/>
        <v>497647</v>
      </c>
      <c r="N92" s="2050">
        <v>263.89999999999998</v>
      </c>
      <c r="O92" s="2050">
        <f t="shared" si="32"/>
        <v>116837.4</v>
      </c>
      <c r="P92" s="2050">
        <f t="shared" si="33"/>
        <v>533173.5</v>
      </c>
      <c r="Q92" s="2050">
        <v>2102.3000000000002</v>
      </c>
      <c r="R92" s="2050">
        <f t="shared" si="34"/>
        <v>535275.80000000005</v>
      </c>
      <c r="S92" s="2050">
        <v>0</v>
      </c>
      <c r="T92" s="2050">
        <v>14733</v>
      </c>
      <c r="U92" s="2050">
        <v>380803.5</v>
      </c>
      <c r="V92" s="2050">
        <f t="shared" si="35"/>
        <v>395536.5</v>
      </c>
      <c r="W92" s="2050">
        <v>0</v>
      </c>
      <c r="X92" s="2050">
        <v>2706.6</v>
      </c>
      <c r="Y92" s="2050">
        <v>20692.400000000001</v>
      </c>
      <c r="Z92" s="2050">
        <f t="shared" si="36"/>
        <v>23399</v>
      </c>
      <c r="AA92" s="2050">
        <v>6319.5</v>
      </c>
      <c r="AB92" s="2050">
        <v>86652.2</v>
      </c>
      <c r="AC92" s="2050">
        <v>9275.6</v>
      </c>
      <c r="AD92" s="2050">
        <f t="shared" si="37"/>
        <v>95927.8</v>
      </c>
      <c r="AE92" s="2050">
        <f t="shared" ref="AE92:AH102" si="47">S92+W92+AA92</f>
        <v>6319.5</v>
      </c>
      <c r="AF92" s="2050">
        <f t="shared" si="47"/>
        <v>104091.79999999999</v>
      </c>
      <c r="AG92" s="2050">
        <f t="shared" si="47"/>
        <v>410771.5</v>
      </c>
      <c r="AH92" s="2050">
        <f t="shared" si="47"/>
        <v>514863.3</v>
      </c>
      <c r="AI92" s="2050">
        <v>2499.5</v>
      </c>
      <c r="AJ92" s="2050">
        <v>17903.3</v>
      </c>
      <c r="AK92" s="2050">
        <v>10678.4</v>
      </c>
      <c r="AL92" s="2050">
        <f>78+3268.7+10</f>
        <v>3356.7</v>
      </c>
      <c r="AM92" s="2050">
        <f>497671.9-5.6</f>
        <v>497666.30000000005</v>
      </c>
      <c r="AN92" s="2050">
        <v>7159.8</v>
      </c>
      <c r="AO92" s="2050">
        <f>AM92+AN92</f>
        <v>504826.10000000003</v>
      </c>
      <c r="AP92" s="2050">
        <f t="shared" si="38"/>
        <v>30289.566000000003</v>
      </c>
      <c r="AQ92" s="2040">
        <f t="shared" si="39"/>
        <v>906.03399999999601</v>
      </c>
      <c r="AR92" s="2040">
        <v>31195.599999999999</v>
      </c>
      <c r="AS92" s="2050">
        <v>1352055</v>
      </c>
      <c r="AT92" s="2040">
        <f t="shared" si="40"/>
        <v>103186.4</v>
      </c>
      <c r="AU92" s="2050">
        <f>2000+6501.5+5.1</f>
        <v>8506.6</v>
      </c>
      <c r="AV92" s="2050">
        <f>34180.4-6501.5</f>
        <v>27678.9</v>
      </c>
      <c r="AW92" s="2050">
        <f>958.3+569.7+2364.8</f>
        <v>3892.8</v>
      </c>
      <c r="AX92" s="2050">
        <f>80586.6+2056.8</f>
        <v>82643.400000000009</v>
      </c>
      <c r="AY92" s="2050">
        <f t="shared" si="41"/>
        <v>122721.70000000001</v>
      </c>
      <c r="AZ92" s="1267">
        <v>1.49</v>
      </c>
      <c r="BA92" s="1267">
        <v>0.96</v>
      </c>
      <c r="BB92" s="1267">
        <v>1.6</v>
      </c>
      <c r="BC92" s="1267">
        <v>1.56</v>
      </c>
      <c r="BD92" s="1267">
        <v>3.11</v>
      </c>
      <c r="BE92" s="1267" t="s">
        <v>288</v>
      </c>
      <c r="BF92" s="2051">
        <v>8094</v>
      </c>
      <c r="BG92" s="2051">
        <v>3451</v>
      </c>
      <c r="BH92" s="354"/>
      <c r="BI92" s="354"/>
      <c r="BJ92" s="354"/>
      <c r="BK92" s="1267">
        <f t="shared" si="42"/>
        <v>103.45552833294116</v>
      </c>
      <c r="BL92" s="1267">
        <f t="shared" si="43"/>
        <v>61.485829009142577</v>
      </c>
      <c r="BM92" s="1267">
        <f t="shared" si="44"/>
        <v>63.610489251297253</v>
      </c>
      <c r="BN92" s="1267">
        <f t="shared" si="45"/>
        <v>7.5865896485255284</v>
      </c>
      <c r="BO92" s="1267">
        <v>5</v>
      </c>
      <c r="BP92" s="1267">
        <v>8.34</v>
      </c>
      <c r="BQ92" s="1267">
        <v>13.9</v>
      </c>
      <c r="BR92" s="1267">
        <f t="shared" si="46"/>
        <v>5.5600000000000005</v>
      </c>
      <c r="BS92" s="2040" t="s">
        <v>288</v>
      </c>
      <c r="BT92" s="2052" t="s">
        <v>288</v>
      </c>
      <c r="BU92" s="2053" t="s">
        <v>288</v>
      </c>
    </row>
    <row r="93" spans="1:74" s="154" customFormat="1" ht="9.9499999999999993" customHeight="1" x14ac:dyDescent="0.2">
      <c r="A93" s="160" t="s">
        <v>804</v>
      </c>
      <c r="B93" s="275" t="s">
        <v>547</v>
      </c>
      <c r="C93" s="1037">
        <v>67522.7</v>
      </c>
      <c r="D93" s="1037">
        <v>722.2</v>
      </c>
      <c r="E93" s="2046">
        <f t="shared" si="28"/>
        <v>68244.899999999994</v>
      </c>
      <c r="F93" s="1037">
        <v>7030.4</v>
      </c>
      <c r="G93" s="2046">
        <f t="shared" si="29"/>
        <v>61214.499999999993</v>
      </c>
      <c r="H93" s="1037">
        <v>12196</v>
      </c>
      <c r="I93" s="1037">
        <v>31245.200000000001</v>
      </c>
      <c r="J93" s="1037">
        <v>49531</v>
      </c>
      <c r="K93" s="1037">
        <v>425093.7</v>
      </c>
      <c r="L93" s="1037">
        <f t="shared" si="30"/>
        <v>474624.7</v>
      </c>
      <c r="M93" s="1037">
        <f t="shared" si="31"/>
        <v>505869.9</v>
      </c>
      <c r="N93" s="1037">
        <v>264</v>
      </c>
      <c r="O93" s="1037">
        <f t="shared" si="32"/>
        <v>111009.5</v>
      </c>
      <c r="P93" s="1037">
        <f t="shared" si="33"/>
        <v>536103.19999999995</v>
      </c>
      <c r="Q93" s="1037">
        <v>1882.8</v>
      </c>
      <c r="R93" s="2054">
        <f t="shared" si="34"/>
        <v>537986</v>
      </c>
      <c r="S93" s="1037">
        <v>0</v>
      </c>
      <c r="T93" s="1037">
        <v>14007.6</v>
      </c>
      <c r="U93" s="1037">
        <v>388021.1</v>
      </c>
      <c r="V93" s="1037">
        <f t="shared" si="35"/>
        <v>402028.69999999995</v>
      </c>
      <c r="W93" s="1037">
        <v>0</v>
      </c>
      <c r="X93" s="1037">
        <v>2683.3</v>
      </c>
      <c r="Y93" s="1037">
        <v>19060.3</v>
      </c>
      <c r="Z93" s="1037">
        <f t="shared" si="36"/>
        <v>21743.599999999999</v>
      </c>
      <c r="AA93" s="1037">
        <v>4861.7</v>
      </c>
      <c r="AB93" s="1037">
        <v>87591.1</v>
      </c>
      <c r="AC93" s="1037">
        <v>9259.2000000000007</v>
      </c>
      <c r="AD93" s="1037">
        <f t="shared" si="37"/>
        <v>96850.3</v>
      </c>
      <c r="AE93" s="1037">
        <f t="shared" si="47"/>
        <v>4861.7</v>
      </c>
      <c r="AF93" s="1037">
        <f t="shared" si="47"/>
        <v>104282</v>
      </c>
      <c r="AG93" s="1037">
        <f t="shared" si="47"/>
        <v>416340.6</v>
      </c>
      <c r="AH93" s="1037">
        <f t="shared" si="47"/>
        <v>520622.59999999992</v>
      </c>
      <c r="AI93" s="1037">
        <v>2699.9</v>
      </c>
      <c r="AJ93" s="1037">
        <v>15297.7</v>
      </c>
      <c r="AK93" s="1037">
        <v>9570.2000000000007</v>
      </c>
      <c r="AL93" s="1037">
        <f>91+3435.7</f>
        <v>3526.7</v>
      </c>
      <c r="AM93" s="1037">
        <f>505894.8</f>
        <v>505894.8</v>
      </c>
      <c r="AN93" s="1037">
        <v>6061.8</v>
      </c>
      <c r="AO93" s="1037">
        <f>AM93+AN93</f>
        <v>511956.6</v>
      </c>
      <c r="AP93" s="1037">
        <f t="shared" si="38"/>
        <v>30717.395999999997</v>
      </c>
      <c r="AQ93" s="2046">
        <f t="shared" si="39"/>
        <v>732.50400000000445</v>
      </c>
      <c r="AR93" s="2046">
        <v>31449.9</v>
      </c>
      <c r="AS93" s="1037">
        <v>1368282.2</v>
      </c>
      <c r="AT93" s="2046">
        <f t="shared" si="40"/>
        <v>99694.799999999988</v>
      </c>
      <c r="AU93" s="1037">
        <f>2000+6654.1</f>
        <v>8654.1</v>
      </c>
      <c r="AV93" s="1037">
        <f>33117.9-6654.1</f>
        <v>26463.800000000003</v>
      </c>
      <c r="AW93" s="1037">
        <f>934.4+406.5+2466</f>
        <v>3806.9</v>
      </c>
      <c r="AX93" s="1037">
        <f>81431.8+2048.6</f>
        <v>83480.400000000009</v>
      </c>
      <c r="AY93" s="1037">
        <f t="shared" si="41"/>
        <v>122405.20000000001</v>
      </c>
      <c r="AZ93" s="1289">
        <v>-0.01</v>
      </c>
      <c r="BA93" s="1289">
        <v>-2.09</v>
      </c>
      <c r="BB93" s="1289">
        <v>2.98</v>
      </c>
      <c r="BC93" s="1289">
        <v>2.27</v>
      </c>
      <c r="BD93" s="1289">
        <v>3.67</v>
      </c>
      <c r="BE93" s="1289" t="s">
        <v>288</v>
      </c>
      <c r="BF93" s="2047">
        <v>8118</v>
      </c>
      <c r="BG93" s="2047">
        <v>3455</v>
      </c>
      <c r="BH93" s="354"/>
      <c r="BI93" s="354"/>
      <c r="BJ93" s="354"/>
      <c r="BK93" s="1289">
        <f t="shared" si="42"/>
        <v>102.91123767233819</v>
      </c>
      <c r="BL93" s="1289">
        <f t="shared" si="43"/>
        <v>62.317664449371762</v>
      </c>
      <c r="BM93" s="1289">
        <f t="shared" si="44"/>
        <v>64.131879773343172</v>
      </c>
      <c r="BN93" s="1289">
        <f t="shared" si="45"/>
        <v>7.6063837778130958</v>
      </c>
      <c r="BO93" s="1289">
        <v>5</v>
      </c>
      <c r="BP93" s="1289">
        <v>8.4</v>
      </c>
      <c r="BQ93" s="1289">
        <v>13.93</v>
      </c>
      <c r="BR93" s="1289">
        <f t="shared" si="46"/>
        <v>5.5299999999999994</v>
      </c>
      <c r="BS93" s="2036" t="s">
        <v>288</v>
      </c>
      <c r="BT93" s="2048" t="s">
        <v>288</v>
      </c>
      <c r="BU93" s="2049" t="s">
        <v>288</v>
      </c>
    </row>
    <row r="94" spans="1:74" s="154" customFormat="1" ht="9.9499999999999993" customHeight="1" x14ac:dyDescent="0.2">
      <c r="A94" s="160" t="s">
        <v>804</v>
      </c>
      <c r="B94" s="236" t="s">
        <v>554</v>
      </c>
      <c r="C94" s="2040">
        <v>79170.7</v>
      </c>
      <c r="D94" s="2040">
        <v>730.1</v>
      </c>
      <c r="E94" s="2040">
        <f t="shared" si="28"/>
        <v>79900.800000000003</v>
      </c>
      <c r="F94" s="2040">
        <v>7220.9</v>
      </c>
      <c r="G94" s="2040">
        <f t="shared" si="29"/>
        <v>72679.900000000009</v>
      </c>
      <c r="H94" s="2040">
        <v>13723.4</v>
      </c>
      <c r="I94" s="2040">
        <v>31412.6</v>
      </c>
      <c r="J94" s="2040">
        <v>47678.6</v>
      </c>
      <c r="K94" s="2040">
        <v>430548.7</v>
      </c>
      <c r="L94" s="2050">
        <f t="shared" si="30"/>
        <v>478227.3</v>
      </c>
      <c r="M94" s="2050">
        <f t="shared" si="31"/>
        <v>509639.89999999997</v>
      </c>
      <c r="N94" s="2040">
        <v>248.6</v>
      </c>
      <c r="O94" s="2050">
        <f t="shared" si="32"/>
        <v>120607.1</v>
      </c>
      <c r="P94" s="2050">
        <f t="shared" si="33"/>
        <v>551155.80000000005</v>
      </c>
      <c r="Q94" s="2050">
        <v>1684.5</v>
      </c>
      <c r="R94" s="2050">
        <f t="shared" si="34"/>
        <v>552840.30000000005</v>
      </c>
      <c r="S94" s="2050">
        <v>0</v>
      </c>
      <c r="T94" s="2055">
        <v>13874.8</v>
      </c>
      <c r="U94" s="2055">
        <v>391078.40000000002</v>
      </c>
      <c r="V94" s="2050">
        <f t="shared" si="35"/>
        <v>404953.2</v>
      </c>
      <c r="W94" s="2050">
        <v>0</v>
      </c>
      <c r="X94" s="2055">
        <v>3256.5</v>
      </c>
      <c r="Y94" s="2055">
        <v>17911.2</v>
      </c>
      <c r="Z94" s="2050">
        <f t="shared" si="36"/>
        <v>21167.7</v>
      </c>
      <c r="AA94" s="2055">
        <v>4938.3</v>
      </c>
      <c r="AB94" s="2055">
        <v>90646.3</v>
      </c>
      <c r="AC94" s="2040">
        <v>9797</v>
      </c>
      <c r="AD94" s="2050">
        <f t="shared" si="37"/>
        <v>100443.3</v>
      </c>
      <c r="AE94" s="2050">
        <f t="shared" si="47"/>
        <v>4938.3</v>
      </c>
      <c r="AF94" s="2050">
        <f t="shared" si="47"/>
        <v>107777.60000000001</v>
      </c>
      <c r="AG94" s="2050">
        <f t="shared" si="47"/>
        <v>418786.60000000003</v>
      </c>
      <c r="AH94" s="2050">
        <f t="shared" si="47"/>
        <v>526564.20000000007</v>
      </c>
      <c r="AI94" s="2055">
        <v>2844.4</v>
      </c>
      <c r="AJ94" s="2040">
        <v>16385</v>
      </c>
      <c r="AK94" s="2055">
        <v>9092.4</v>
      </c>
      <c r="AL94" s="2055">
        <v>3611.7</v>
      </c>
      <c r="AM94" s="2055">
        <f>509659.9-6</f>
        <v>509653.9</v>
      </c>
      <c r="AN94" s="2055">
        <v>5992.3</v>
      </c>
      <c r="AO94" s="2050">
        <f t="shared" ref="AO94:AO102" si="48">AM94+AN94</f>
        <v>515646.2</v>
      </c>
      <c r="AP94" s="2050">
        <f t="shared" si="38"/>
        <v>30938.772000000001</v>
      </c>
      <c r="AQ94" s="2040">
        <f t="shared" si="39"/>
        <v>891.22799999999916</v>
      </c>
      <c r="AR94" s="2040">
        <v>31830</v>
      </c>
      <c r="AS94" s="2055">
        <v>1390383.9</v>
      </c>
      <c r="AT94" s="2040">
        <f t="shared" si="40"/>
        <v>111730.8</v>
      </c>
      <c r="AU94" s="2050">
        <f>2000+12435.1</f>
        <v>14435.1</v>
      </c>
      <c r="AV94" s="2050">
        <f>37858.1-12435.1</f>
        <v>25423</v>
      </c>
      <c r="AW94" s="2050">
        <f>1054.5+398.9+2592.3</f>
        <v>4045.7000000000003</v>
      </c>
      <c r="AX94" s="2055">
        <v>86323.199999999997</v>
      </c>
      <c r="AY94" s="2050">
        <f t="shared" si="41"/>
        <v>130227</v>
      </c>
      <c r="AZ94" s="1267">
        <v>8.36</v>
      </c>
      <c r="BA94" s="1267">
        <v>0.14000000000000001</v>
      </c>
      <c r="BB94" s="1267">
        <v>3.59</v>
      </c>
      <c r="BC94" s="1267">
        <v>4.3099999999999996</v>
      </c>
      <c r="BD94" s="1267">
        <v>6.58</v>
      </c>
      <c r="BE94" s="1267" t="s">
        <v>288</v>
      </c>
      <c r="BF94" s="2051">
        <v>8151</v>
      </c>
      <c r="BG94" s="2051">
        <v>3468</v>
      </c>
      <c r="BH94" s="354"/>
      <c r="BI94" s="354"/>
      <c r="BJ94" s="354"/>
      <c r="BK94" s="1267">
        <f t="shared" si="42"/>
        <v>103.31799678173759</v>
      </c>
      <c r="BL94" s="1267">
        <f t="shared" si="43"/>
        <v>62.526548889706788</v>
      </c>
      <c r="BM94" s="1267">
        <f t="shared" si="44"/>
        <v>64.601177769598834</v>
      </c>
      <c r="BN94" s="1267">
        <f t="shared" si="45"/>
        <v>7.6622390214221845</v>
      </c>
      <c r="BO94" s="1267">
        <v>5</v>
      </c>
      <c r="BP94" s="1267">
        <v>8.5299999999999994</v>
      </c>
      <c r="BQ94" s="1267">
        <v>13.95</v>
      </c>
      <c r="BR94" s="1267">
        <f t="shared" si="46"/>
        <v>5.42</v>
      </c>
      <c r="BS94" s="2040" t="s">
        <v>288</v>
      </c>
      <c r="BT94" s="2052" t="s">
        <v>288</v>
      </c>
      <c r="BU94" s="2053" t="s">
        <v>288</v>
      </c>
    </row>
    <row r="95" spans="1:74" s="154" customFormat="1" ht="9.9499999999999993" customHeight="1" x14ac:dyDescent="0.2">
      <c r="A95" s="160" t="s">
        <v>804</v>
      </c>
      <c r="B95" s="275" t="s">
        <v>555</v>
      </c>
      <c r="C95" s="1922">
        <v>70804.800000000003</v>
      </c>
      <c r="D95" s="1922">
        <v>730.7</v>
      </c>
      <c r="E95" s="2046">
        <f t="shared" si="28"/>
        <v>71535.5</v>
      </c>
      <c r="F95" s="1922">
        <v>6090</v>
      </c>
      <c r="G95" s="2046">
        <f t="shared" si="29"/>
        <v>65445.5</v>
      </c>
      <c r="H95" s="1922">
        <v>12606.7</v>
      </c>
      <c r="I95" s="1922">
        <v>33010.800000000003</v>
      </c>
      <c r="J95" s="1922">
        <v>47720.4</v>
      </c>
      <c r="K95" s="1922">
        <v>437289.5</v>
      </c>
      <c r="L95" s="1037">
        <f t="shared" si="30"/>
        <v>485009.9</v>
      </c>
      <c r="M95" s="1037">
        <f t="shared" si="31"/>
        <v>518020.7</v>
      </c>
      <c r="N95" s="1922">
        <v>296</v>
      </c>
      <c r="O95" s="1037">
        <f t="shared" si="32"/>
        <v>113461.9</v>
      </c>
      <c r="P95" s="1037">
        <f t="shared" si="33"/>
        <v>550751.4</v>
      </c>
      <c r="Q95" s="1037">
        <v>1497</v>
      </c>
      <c r="R95" s="1037">
        <f t="shared" si="34"/>
        <v>552248.4</v>
      </c>
      <c r="S95" s="1037">
        <v>0</v>
      </c>
      <c r="T95" s="1922">
        <v>14692.5</v>
      </c>
      <c r="U95" s="1922">
        <v>391891.5</v>
      </c>
      <c r="V95" s="1037">
        <f t="shared" si="35"/>
        <v>406584</v>
      </c>
      <c r="W95" s="1037">
        <v>0</v>
      </c>
      <c r="X95" s="1922">
        <v>3281.1</v>
      </c>
      <c r="Y95" s="1922">
        <v>19207.900000000001</v>
      </c>
      <c r="Z95" s="1037">
        <f t="shared" si="36"/>
        <v>22489</v>
      </c>
      <c r="AA95" s="1922">
        <v>4670.8</v>
      </c>
      <c r="AB95" s="1922">
        <v>93747.7</v>
      </c>
      <c r="AC95" s="1922">
        <v>9980.2000000000007</v>
      </c>
      <c r="AD95" s="1037">
        <f t="shared" si="37"/>
        <v>103727.9</v>
      </c>
      <c r="AE95" s="1037">
        <f t="shared" si="47"/>
        <v>4670.8</v>
      </c>
      <c r="AF95" s="1037">
        <f t="shared" si="47"/>
        <v>111721.29999999999</v>
      </c>
      <c r="AG95" s="1037">
        <f t="shared" si="47"/>
        <v>421079.60000000003</v>
      </c>
      <c r="AH95" s="1037">
        <f t="shared" si="47"/>
        <v>532800.9</v>
      </c>
      <c r="AI95" s="2056">
        <v>2867.4</v>
      </c>
      <c r="AJ95" s="2056">
        <v>13648.9</v>
      </c>
      <c r="AK95" s="2056">
        <v>8272.6</v>
      </c>
      <c r="AL95" s="2056">
        <v>3603.7</v>
      </c>
      <c r="AM95" s="2056">
        <v>518041.4</v>
      </c>
      <c r="AN95" s="2056">
        <v>6096.8</v>
      </c>
      <c r="AO95" s="1037">
        <f t="shared" si="48"/>
        <v>524138.2</v>
      </c>
      <c r="AP95" s="1037">
        <f t="shared" si="38"/>
        <v>31448.292000000001</v>
      </c>
      <c r="AQ95" s="2046">
        <f t="shared" si="39"/>
        <v>2874.6080000000002</v>
      </c>
      <c r="AR95" s="2046">
        <v>34322.9</v>
      </c>
      <c r="AS95" s="1922">
        <v>1414434</v>
      </c>
      <c r="AT95" s="2046">
        <f t="shared" si="40"/>
        <v>105858.4</v>
      </c>
      <c r="AU95" s="1037">
        <f>2000+10898.5</f>
        <v>12898.5</v>
      </c>
      <c r="AV95" s="1037">
        <f>35731.7-10898.5</f>
        <v>24833.199999999997</v>
      </c>
      <c r="AW95" s="1037">
        <f>982.8+279.2+2812.9</f>
        <v>4074.9</v>
      </c>
      <c r="AX95" s="2056">
        <v>89254.399999999994</v>
      </c>
      <c r="AY95" s="1037">
        <f t="shared" si="41"/>
        <v>131061</v>
      </c>
      <c r="AZ95" s="1289">
        <v>7.52</v>
      </c>
      <c r="BA95" s="1289">
        <v>5.51</v>
      </c>
      <c r="BB95" s="1289">
        <v>4.1500000000000004</v>
      </c>
      <c r="BC95" s="1289">
        <v>4.79</v>
      </c>
      <c r="BD95" s="1289">
        <v>6.51</v>
      </c>
      <c r="BE95" s="1289" t="s">
        <v>288</v>
      </c>
      <c r="BF95" s="2047">
        <v>8194</v>
      </c>
      <c r="BG95" s="2047">
        <v>3470</v>
      </c>
      <c r="BH95" s="354"/>
      <c r="BI95" s="354"/>
      <c r="BJ95" s="354"/>
      <c r="BK95" s="1289">
        <f t="shared" si="42"/>
        <v>102.84909661660247</v>
      </c>
      <c r="BL95" s="1289">
        <f t="shared" si="43"/>
        <v>63.222040517451795</v>
      </c>
      <c r="BM95" s="1289">
        <f t="shared" si="44"/>
        <v>65.023297534781548</v>
      </c>
      <c r="BN95" s="1289">
        <f t="shared" si="45"/>
        <v>7.8010946615463554</v>
      </c>
      <c r="BO95" s="1289">
        <v>5</v>
      </c>
      <c r="BP95" s="1289">
        <v>8.5299999999999994</v>
      </c>
      <c r="BQ95" s="1289">
        <v>13.94</v>
      </c>
      <c r="BR95" s="1289">
        <f t="shared" si="46"/>
        <v>5.41</v>
      </c>
      <c r="BS95" s="2036" t="s">
        <v>288</v>
      </c>
      <c r="BT95" s="2048" t="s">
        <v>288</v>
      </c>
      <c r="BU95" s="2049" t="s">
        <v>288</v>
      </c>
    </row>
    <row r="96" spans="1:74" s="154" customFormat="1" ht="9.9499999999999993" customHeight="1" x14ac:dyDescent="0.2">
      <c r="A96" s="160" t="s">
        <v>804</v>
      </c>
      <c r="B96" s="236" t="s">
        <v>548</v>
      </c>
      <c r="C96" s="1924">
        <v>71733.2</v>
      </c>
      <c r="D96" s="1924">
        <v>731.2</v>
      </c>
      <c r="E96" s="2040">
        <f t="shared" si="28"/>
        <v>72464.399999999994</v>
      </c>
      <c r="F96" s="1924">
        <v>7529</v>
      </c>
      <c r="G96" s="2040">
        <f t="shared" si="29"/>
        <v>64935.399999999994</v>
      </c>
      <c r="H96" s="1924">
        <v>13199</v>
      </c>
      <c r="I96" s="1924">
        <v>33304.800000000003</v>
      </c>
      <c r="J96" s="1924">
        <v>53385.8</v>
      </c>
      <c r="K96" s="1924">
        <v>447296.9</v>
      </c>
      <c r="L96" s="2050">
        <f t="shared" si="30"/>
        <v>500682.7</v>
      </c>
      <c r="M96" s="2050">
        <f t="shared" si="31"/>
        <v>533987.5</v>
      </c>
      <c r="N96" s="1924">
        <f>4.5+283.4</f>
        <v>287.89999999999998</v>
      </c>
      <c r="O96" s="2050">
        <f t="shared" si="32"/>
        <v>118609.09999999999</v>
      </c>
      <c r="P96" s="2050">
        <f t="shared" si="33"/>
        <v>565906</v>
      </c>
      <c r="Q96" s="2050">
        <v>1258.5999999999999</v>
      </c>
      <c r="R96" s="2050">
        <f t="shared" si="34"/>
        <v>567164.6</v>
      </c>
      <c r="S96" s="2050">
        <v>0</v>
      </c>
      <c r="T96" s="1924">
        <v>16411.400000000001</v>
      </c>
      <c r="U96" s="1924">
        <v>399768.3</v>
      </c>
      <c r="V96" s="2050">
        <f t="shared" si="35"/>
        <v>416179.7</v>
      </c>
      <c r="W96" s="2050">
        <v>0</v>
      </c>
      <c r="X96" s="1924">
        <v>2987.6</v>
      </c>
      <c r="Y96" s="1924">
        <v>19448.400000000001</v>
      </c>
      <c r="Z96" s="2050">
        <f t="shared" si="36"/>
        <v>22436</v>
      </c>
      <c r="AA96" s="1924">
        <v>5825</v>
      </c>
      <c r="AB96" s="1924">
        <v>96280</v>
      </c>
      <c r="AC96" s="1924">
        <v>9835</v>
      </c>
      <c r="AD96" s="2050">
        <f t="shared" si="37"/>
        <v>106115</v>
      </c>
      <c r="AE96" s="2050">
        <f t="shared" si="47"/>
        <v>5825</v>
      </c>
      <c r="AF96" s="2050">
        <f t="shared" si="47"/>
        <v>115679</v>
      </c>
      <c r="AG96" s="2050">
        <f t="shared" si="47"/>
        <v>429051.7</v>
      </c>
      <c r="AH96" s="2050">
        <f t="shared" si="47"/>
        <v>544730.69999999995</v>
      </c>
      <c r="AI96" s="2057">
        <v>2616.6999999999998</v>
      </c>
      <c r="AJ96" s="2057">
        <v>15447.7</v>
      </c>
      <c r="AK96" s="2057">
        <v>9974.9</v>
      </c>
      <c r="AL96" s="2057">
        <f>39+3825.7</f>
        <v>3864.7</v>
      </c>
      <c r="AM96" s="2057">
        <f>534014.6-6.4</f>
        <v>534008.19999999995</v>
      </c>
      <c r="AN96" s="2057">
        <v>5908.1</v>
      </c>
      <c r="AO96" s="2050">
        <f t="shared" si="48"/>
        <v>539916.29999999993</v>
      </c>
      <c r="AP96" s="2050">
        <f t="shared" si="38"/>
        <v>32394.977999999996</v>
      </c>
      <c r="AQ96" s="2040">
        <f t="shared" si="39"/>
        <v>1847.2220000000016</v>
      </c>
      <c r="AR96" s="2040">
        <v>34242.199999999997</v>
      </c>
      <c r="AS96" s="1924">
        <v>1354430.5</v>
      </c>
      <c r="AT96" s="2040">
        <f t="shared" si="40"/>
        <v>106706.59999999999</v>
      </c>
      <c r="AU96" s="2050">
        <f>2000+8425.1</f>
        <v>10425.1</v>
      </c>
      <c r="AV96" s="2050">
        <f>32547.5-8425.1</f>
        <v>24122.400000000001</v>
      </c>
      <c r="AW96" s="2050">
        <f>873.1+308.3+2935</f>
        <v>4116.3999999999996</v>
      </c>
      <c r="AX96" s="2057">
        <f>89192.6+1868.9</f>
        <v>91061.5</v>
      </c>
      <c r="AY96" s="2050">
        <f t="shared" si="41"/>
        <v>129725.4</v>
      </c>
      <c r="AZ96" s="1267">
        <v>5.75</v>
      </c>
      <c r="BA96" s="1267">
        <v>16.96</v>
      </c>
      <c r="BB96" s="1267">
        <v>6.13</v>
      </c>
      <c r="BC96" s="1267">
        <v>6.44</v>
      </c>
      <c r="BD96" s="1267">
        <v>9.44</v>
      </c>
      <c r="BE96" s="1267" t="s">
        <v>288</v>
      </c>
      <c r="BF96" s="2051">
        <v>8322</v>
      </c>
      <c r="BG96" s="2051">
        <v>3474</v>
      </c>
      <c r="BH96" s="354"/>
      <c r="BI96" s="354"/>
      <c r="BJ96" s="354"/>
      <c r="BK96" s="1267">
        <f t="shared" si="42"/>
        <v>102.0079279681473</v>
      </c>
      <c r="BL96" s="1267">
        <f t="shared" si="43"/>
        <v>64.168252823840419</v>
      </c>
      <c r="BM96" s="1267">
        <f t="shared" si="44"/>
        <v>65.456705118961779</v>
      </c>
      <c r="BN96" s="1267">
        <f t="shared" si="45"/>
        <v>7.8222019811680799</v>
      </c>
      <c r="BO96" s="1267">
        <v>5</v>
      </c>
      <c r="BP96" s="1267">
        <v>8.4700000000000006</v>
      </c>
      <c r="BQ96" s="1267">
        <v>13.8</v>
      </c>
      <c r="BR96" s="1267">
        <f t="shared" si="46"/>
        <v>5.33</v>
      </c>
      <c r="BS96" s="2040" t="s">
        <v>288</v>
      </c>
      <c r="BT96" s="2052" t="s">
        <v>288</v>
      </c>
      <c r="BU96" s="2053" t="s">
        <v>288</v>
      </c>
    </row>
    <row r="97" spans="1:73" s="154" customFormat="1" ht="9.9499999999999993" customHeight="1" x14ac:dyDescent="0.2">
      <c r="A97" s="160" t="s">
        <v>804</v>
      </c>
      <c r="B97" s="275" t="s">
        <v>556</v>
      </c>
      <c r="C97" s="2056">
        <v>71197.5</v>
      </c>
      <c r="D97" s="2056">
        <v>732.5</v>
      </c>
      <c r="E97" s="2046">
        <f t="shared" si="28"/>
        <v>71930</v>
      </c>
      <c r="F97" s="2058">
        <v>6517</v>
      </c>
      <c r="G97" s="2046">
        <f t="shared" si="29"/>
        <v>65413</v>
      </c>
      <c r="H97" s="1922">
        <v>14464.7</v>
      </c>
      <c r="I97" s="1922">
        <v>33640.400000000001</v>
      </c>
      <c r="J97" s="1922">
        <v>48124.6</v>
      </c>
      <c r="K97" s="1922">
        <v>448638.8</v>
      </c>
      <c r="L97" s="1037">
        <f t="shared" si="30"/>
        <v>496763.39999999997</v>
      </c>
      <c r="M97" s="1037">
        <f t="shared" si="31"/>
        <v>530403.79999999993</v>
      </c>
      <c r="N97" s="1922">
        <v>300.39999999999998</v>
      </c>
      <c r="O97" s="1037">
        <f t="shared" si="32"/>
        <v>113838</v>
      </c>
      <c r="P97" s="1037">
        <f t="shared" si="33"/>
        <v>562476.80000000005</v>
      </c>
      <c r="Q97" s="1037">
        <v>989.3</v>
      </c>
      <c r="R97" s="1037">
        <f t="shared" si="34"/>
        <v>563466.10000000009</v>
      </c>
      <c r="S97" s="1037">
        <v>0</v>
      </c>
      <c r="T97" s="2059">
        <v>15396.5</v>
      </c>
      <c r="U97" s="2059">
        <v>397016.8</v>
      </c>
      <c r="V97" s="1037">
        <f t="shared" si="35"/>
        <v>412413.3</v>
      </c>
      <c r="W97" s="1037">
        <v>0</v>
      </c>
      <c r="X97" s="1922">
        <v>3192.1</v>
      </c>
      <c r="Y97" s="2059">
        <v>19244.3</v>
      </c>
      <c r="Z97" s="1037">
        <f t="shared" si="36"/>
        <v>22436.399999999998</v>
      </c>
      <c r="AA97" s="1922">
        <v>4641.8999999999996</v>
      </c>
      <c r="AB97" s="1922">
        <v>100756.8</v>
      </c>
      <c r="AC97" s="1922">
        <v>10317.700000000001</v>
      </c>
      <c r="AD97" s="1037">
        <f t="shared" si="37"/>
        <v>111074.5</v>
      </c>
      <c r="AE97" s="1037">
        <f t="shared" si="47"/>
        <v>4641.8999999999996</v>
      </c>
      <c r="AF97" s="1037">
        <f t="shared" si="47"/>
        <v>119345.4</v>
      </c>
      <c r="AG97" s="1037">
        <f t="shared" si="47"/>
        <v>426578.8</v>
      </c>
      <c r="AH97" s="1037">
        <f t="shared" si="47"/>
        <v>545924.19999999995</v>
      </c>
      <c r="AI97" s="2056">
        <v>2654.3</v>
      </c>
      <c r="AJ97" s="2056">
        <v>14986.1</v>
      </c>
      <c r="AK97" s="2056">
        <v>8824.2000000000007</v>
      </c>
      <c r="AL97" s="2056">
        <v>4850.7</v>
      </c>
      <c r="AM97" s="2056">
        <v>530424.5</v>
      </c>
      <c r="AN97" s="2056">
        <v>5921.3</v>
      </c>
      <c r="AO97" s="1037">
        <f t="shared" si="48"/>
        <v>536345.80000000005</v>
      </c>
      <c r="AP97" s="1037">
        <f t="shared" si="38"/>
        <v>32180.748000000003</v>
      </c>
      <c r="AQ97" s="2046">
        <f t="shared" si="39"/>
        <v>1832.5519999999997</v>
      </c>
      <c r="AR97" s="2046">
        <v>34013.300000000003</v>
      </c>
      <c r="AS97" s="2056">
        <v>1372351.2</v>
      </c>
      <c r="AT97" s="2046">
        <f t="shared" si="40"/>
        <v>105943.3</v>
      </c>
      <c r="AU97" s="1037">
        <f>2000+6833.1</f>
        <v>8833.1</v>
      </c>
      <c r="AV97" s="1037">
        <f>30587-6833.1</f>
        <v>23753.9</v>
      </c>
      <c r="AW97" s="1037">
        <f>876.3+334.4+3038.4</f>
        <v>4249.1000000000004</v>
      </c>
      <c r="AX97" s="1922">
        <f>92519.1+1801.9</f>
        <v>94321</v>
      </c>
      <c r="AY97" s="1037">
        <f t="shared" si="41"/>
        <v>131157.1</v>
      </c>
      <c r="AZ97" s="1289">
        <v>6.8</v>
      </c>
      <c r="BA97" s="1289">
        <v>18.72</v>
      </c>
      <c r="BB97" s="1289">
        <v>5.52</v>
      </c>
      <c r="BC97" s="1289">
        <v>6.22</v>
      </c>
      <c r="BD97" s="1289">
        <v>8.6999999999999993</v>
      </c>
      <c r="BE97" s="1289" t="s">
        <v>288</v>
      </c>
      <c r="BF97" s="2047">
        <v>8345</v>
      </c>
      <c r="BG97" s="2047">
        <v>3483</v>
      </c>
      <c r="BH97" s="354"/>
      <c r="BI97" s="354"/>
      <c r="BJ97" s="354"/>
      <c r="BK97" s="1289">
        <f t="shared" si="42"/>
        <v>102.92213123639651</v>
      </c>
      <c r="BL97" s="1289">
        <f t="shared" si="43"/>
        <v>63.5619532654284</v>
      </c>
      <c r="BM97" s="1289">
        <f t="shared" si="44"/>
        <v>65.419316956261227</v>
      </c>
      <c r="BN97" s="1289">
        <f t="shared" si="45"/>
        <v>7.6411063214463146</v>
      </c>
      <c r="BO97" s="1289">
        <v>5</v>
      </c>
      <c r="BP97" s="1289">
        <v>8.6</v>
      </c>
      <c r="BQ97" s="1289">
        <v>13.73</v>
      </c>
      <c r="BR97" s="1289">
        <f t="shared" si="46"/>
        <v>5.1300000000000008</v>
      </c>
      <c r="BS97" s="2036" t="s">
        <v>288</v>
      </c>
      <c r="BT97" s="2048" t="s">
        <v>288</v>
      </c>
      <c r="BU97" s="2049" t="s">
        <v>288</v>
      </c>
    </row>
    <row r="98" spans="1:73" s="154" customFormat="1" ht="9.9499999999999993" customHeight="1" x14ac:dyDescent="0.2">
      <c r="A98" s="160" t="s">
        <v>804</v>
      </c>
      <c r="B98" s="236" t="s">
        <v>557</v>
      </c>
      <c r="C98" s="2057">
        <v>72046.3</v>
      </c>
      <c r="D98" s="2057">
        <v>733.8</v>
      </c>
      <c r="E98" s="2040">
        <f t="shared" si="28"/>
        <v>72780.100000000006</v>
      </c>
      <c r="F98" s="2057">
        <v>6816.4</v>
      </c>
      <c r="G98" s="2040">
        <f t="shared" si="29"/>
        <v>65963.700000000012</v>
      </c>
      <c r="H98" s="2057">
        <v>14155.3</v>
      </c>
      <c r="I98" s="2057">
        <v>33089.9</v>
      </c>
      <c r="J98" s="2057">
        <v>48561.7</v>
      </c>
      <c r="K98" s="2057">
        <v>456837.8</v>
      </c>
      <c r="L98" s="2050">
        <f t="shared" si="30"/>
        <v>505399.5</v>
      </c>
      <c r="M98" s="2050">
        <f t="shared" si="31"/>
        <v>538489.4</v>
      </c>
      <c r="N98" s="1924">
        <v>319</v>
      </c>
      <c r="O98" s="2050">
        <f t="shared" si="32"/>
        <v>114844.40000000001</v>
      </c>
      <c r="P98" s="2050">
        <f t="shared" si="33"/>
        <v>571682.19999999995</v>
      </c>
      <c r="Q98" s="2050">
        <v>782.4</v>
      </c>
      <c r="R98" s="2050">
        <f t="shared" si="34"/>
        <v>572464.6</v>
      </c>
      <c r="S98" s="2050">
        <v>0</v>
      </c>
      <c r="T98" s="2057">
        <v>15980.8</v>
      </c>
      <c r="U98" s="2057">
        <v>400309.6</v>
      </c>
      <c r="V98" s="2050">
        <f t="shared" si="35"/>
        <v>416290.39999999997</v>
      </c>
      <c r="W98" s="2050">
        <v>0</v>
      </c>
      <c r="X98" s="2057">
        <v>3218.7</v>
      </c>
      <c r="Y98" s="1924">
        <v>18919</v>
      </c>
      <c r="Z98" s="2050">
        <f t="shared" si="36"/>
        <v>22137.7</v>
      </c>
      <c r="AA98" s="2057">
        <v>4733.2</v>
      </c>
      <c r="AB98" s="2057">
        <v>102662.9</v>
      </c>
      <c r="AC98" s="2057">
        <v>10442.9</v>
      </c>
      <c r="AD98" s="2050">
        <f t="shared" si="37"/>
        <v>113105.79999999999</v>
      </c>
      <c r="AE98" s="2050">
        <f t="shared" si="47"/>
        <v>4733.2</v>
      </c>
      <c r="AF98" s="2050">
        <f t="shared" si="47"/>
        <v>121862.39999999999</v>
      </c>
      <c r="AG98" s="2050">
        <f t="shared" si="47"/>
        <v>429671.5</v>
      </c>
      <c r="AH98" s="2050">
        <f t="shared" si="47"/>
        <v>551533.89999999991</v>
      </c>
      <c r="AI98" s="2060">
        <v>2602.5</v>
      </c>
      <c r="AJ98" s="2060">
        <v>12709.1</v>
      </c>
      <c r="AK98" s="2060">
        <v>8263.1</v>
      </c>
      <c r="AL98" s="2060">
        <v>6367.1</v>
      </c>
      <c r="AM98" s="2060">
        <v>538509.6</v>
      </c>
      <c r="AN98" s="2061">
        <v>5536</v>
      </c>
      <c r="AO98" s="2050">
        <f t="shared" si="48"/>
        <v>544045.6</v>
      </c>
      <c r="AP98" s="2050">
        <f>AO98*0.06</f>
        <v>32642.735999999997</v>
      </c>
      <c r="AQ98" s="2040">
        <f t="shared" si="39"/>
        <v>1425.8640000000014</v>
      </c>
      <c r="AR98" s="2040">
        <v>34068.6</v>
      </c>
      <c r="AS98" s="2057">
        <v>1390703.7</v>
      </c>
      <c r="AT98" s="2040">
        <f t="shared" si="40"/>
        <v>106848.70000000001</v>
      </c>
      <c r="AU98" s="2050">
        <f>2000+4507.7</f>
        <v>6507.7</v>
      </c>
      <c r="AV98" s="2050">
        <f>28350.4-4507.7</f>
        <v>23842.7</v>
      </c>
      <c r="AW98" s="2057">
        <v>4300.1000000000004</v>
      </c>
      <c r="AX98" s="2057">
        <v>95023.3</v>
      </c>
      <c r="AY98" s="2050">
        <f t="shared" si="41"/>
        <v>129673.8</v>
      </c>
      <c r="AZ98" s="1267">
        <v>5.79</v>
      </c>
      <c r="BA98" s="1267">
        <v>29.39</v>
      </c>
      <c r="BB98" s="1267">
        <v>6.31</v>
      </c>
      <c r="BC98" s="1267">
        <v>7.03</v>
      </c>
      <c r="BD98" s="1267">
        <v>10.55</v>
      </c>
      <c r="BE98" s="1267" t="s">
        <v>288</v>
      </c>
      <c r="BF98" s="2051">
        <v>8355</v>
      </c>
      <c r="BG98" s="2051">
        <v>3490</v>
      </c>
      <c r="BH98" s="354"/>
      <c r="BI98" s="354"/>
      <c r="BJ98" s="354"/>
      <c r="BK98" s="1267">
        <f t="shared" si="42"/>
        <v>102.41858269564739</v>
      </c>
      <c r="BL98" s="1267">
        <f t="shared" si="43"/>
        <v>64.453572710951519</v>
      </c>
      <c r="BM98" s="1267">
        <f t="shared" si="44"/>
        <v>66.012435667265095</v>
      </c>
      <c r="BN98" s="1267">
        <f t="shared" si="45"/>
        <v>7.5922509088045969</v>
      </c>
      <c r="BO98" s="1267">
        <v>5</v>
      </c>
      <c r="BP98" s="1267">
        <v>8.68</v>
      </c>
      <c r="BQ98" s="1267">
        <v>13.73</v>
      </c>
      <c r="BR98" s="1267">
        <f t="shared" si="46"/>
        <v>5.0500000000000007</v>
      </c>
      <c r="BS98" s="2040" t="s">
        <v>288</v>
      </c>
      <c r="BT98" s="2052" t="s">
        <v>288</v>
      </c>
      <c r="BU98" s="2053" t="s">
        <v>288</v>
      </c>
    </row>
    <row r="99" spans="1:73" s="154" customFormat="1" ht="9.9499999999999993" customHeight="1" x14ac:dyDescent="0.2">
      <c r="A99" s="160" t="s">
        <v>804</v>
      </c>
      <c r="B99" s="275" t="s">
        <v>549</v>
      </c>
      <c r="C99" s="2056">
        <v>73593.7</v>
      </c>
      <c r="D99" s="2056">
        <v>734.6</v>
      </c>
      <c r="E99" s="2046">
        <f t="shared" si="28"/>
        <v>74328.3</v>
      </c>
      <c r="F99" s="2056">
        <v>8211.7000000000007</v>
      </c>
      <c r="G99" s="2046">
        <f t="shared" si="29"/>
        <v>66116.600000000006</v>
      </c>
      <c r="H99" s="2056">
        <v>14457.6</v>
      </c>
      <c r="I99" s="2056">
        <v>34131.4</v>
      </c>
      <c r="J99" s="2056">
        <v>51935.9</v>
      </c>
      <c r="K99" s="2056">
        <v>460738.6</v>
      </c>
      <c r="L99" s="1037">
        <f t="shared" si="30"/>
        <v>512674.5</v>
      </c>
      <c r="M99" s="1037">
        <f t="shared" si="31"/>
        <v>546805.9</v>
      </c>
      <c r="N99" s="1922">
        <v>317.39999999999998</v>
      </c>
      <c r="O99" s="1037">
        <f t="shared" si="32"/>
        <v>118369.9</v>
      </c>
      <c r="P99" s="1037">
        <f t="shared" si="33"/>
        <v>579108.5</v>
      </c>
      <c r="Q99" s="1037">
        <v>614.1</v>
      </c>
      <c r="R99" s="1037">
        <f t="shared" si="34"/>
        <v>579722.6</v>
      </c>
      <c r="S99" s="1037">
        <v>0</v>
      </c>
      <c r="T99" s="2056">
        <f>298.1+2821.1+2.7+10732.9+1596.7+395+7.4+226.3</f>
        <v>16080.199999999999</v>
      </c>
      <c r="U99" s="2056">
        <f>3925.6+862+3385.8+53.2+52+315329.8+408+76782.5+2238.4</f>
        <v>403037.3</v>
      </c>
      <c r="V99" s="1037">
        <f t="shared" si="35"/>
        <v>419117.5</v>
      </c>
      <c r="W99" s="1037">
        <v>0</v>
      </c>
      <c r="X99" s="2056">
        <f>920+2199.1</f>
        <v>3119.1</v>
      </c>
      <c r="Y99" s="1922">
        <f>18726.6+400.2</f>
        <v>19126.8</v>
      </c>
      <c r="Z99" s="1037">
        <f t="shared" si="36"/>
        <v>22245.899999999998</v>
      </c>
      <c r="AA99" s="2056">
        <f>3624.7+1109.2</f>
        <v>4733.8999999999996</v>
      </c>
      <c r="AB99" s="2056">
        <f>95366.2+1812.4+0.4+332.2+38+8260.2</f>
        <v>105809.39999999998</v>
      </c>
      <c r="AC99" s="2056">
        <f>444.8+1677.1+186.5+7885.8</f>
        <v>10194.200000000001</v>
      </c>
      <c r="AD99" s="1037">
        <f t="shared" si="37"/>
        <v>116003.59999999998</v>
      </c>
      <c r="AE99" s="1037">
        <f t="shared" si="47"/>
        <v>4733.8999999999996</v>
      </c>
      <c r="AF99" s="1037">
        <f t="shared" si="47"/>
        <v>125008.69999999998</v>
      </c>
      <c r="AG99" s="1037">
        <f t="shared" si="47"/>
        <v>432358.3</v>
      </c>
      <c r="AH99" s="1037">
        <f t="shared" si="47"/>
        <v>557367</v>
      </c>
      <c r="AI99" s="2062">
        <v>2574.1999999999998</v>
      </c>
      <c r="AJ99" s="2062">
        <v>9812.9</v>
      </c>
      <c r="AK99" s="2062">
        <v>8221.9</v>
      </c>
      <c r="AL99" s="2062">
        <f>15+6988.7+2</f>
        <v>7005.7</v>
      </c>
      <c r="AM99" s="2062">
        <f>546833.5-6.9</f>
        <v>546826.6</v>
      </c>
      <c r="AN99" s="2058">
        <v>5369.4</v>
      </c>
      <c r="AO99" s="1037">
        <f t="shared" si="48"/>
        <v>552196</v>
      </c>
      <c r="AP99" s="1037">
        <f>AO99*0.06</f>
        <v>33131.760000000002</v>
      </c>
      <c r="AQ99" s="2046">
        <f t="shared" si="39"/>
        <v>412.13999999999942</v>
      </c>
      <c r="AR99" s="2046">
        <v>33543.9</v>
      </c>
      <c r="AS99" s="2056">
        <v>1416161.9</v>
      </c>
      <c r="AT99" s="2046">
        <f t="shared" si="40"/>
        <v>107872.20000000001</v>
      </c>
      <c r="AU99" s="1037">
        <f>2000+4567.7</f>
        <v>6567.7</v>
      </c>
      <c r="AV99" s="1037">
        <f>28323.5-4567.7</f>
        <v>23755.8</v>
      </c>
      <c r="AW99" s="2056">
        <f>920+298.1+2821.1</f>
        <v>4039.2</v>
      </c>
      <c r="AX99" s="2056">
        <f>95366.2+1812.4</f>
        <v>97178.599999999991</v>
      </c>
      <c r="AY99" s="1037">
        <f t="shared" si="41"/>
        <v>131541.29999999999</v>
      </c>
      <c r="AZ99" s="1289">
        <v>6.69</v>
      </c>
      <c r="BA99" s="1289">
        <v>36.46</v>
      </c>
      <c r="BB99" s="1289">
        <v>6.98</v>
      </c>
      <c r="BC99" s="1289">
        <v>7.97</v>
      </c>
      <c r="BD99" s="1289">
        <v>10.62</v>
      </c>
      <c r="BE99" s="1289" t="s">
        <v>288</v>
      </c>
      <c r="BF99" s="2047">
        <v>8375</v>
      </c>
      <c r="BG99" s="2047">
        <v>3492</v>
      </c>
      <c r="BH99" s="354"/>
      <c r="BI99" s="354"/>
      <c r="BJ99" s="354"/>
      <c r="BK99" s="1289">
        <f t="shared" si="42"/>
        <v>101.92755802296378</v>
      </c>
      <c r="BL99" s="1289">
        <f t="shared" si="43"/>
        <v>65.292728358208947</v>
      </c>
      <c r="BM99" s="1289">
        <f t="shared" si="44"/>
        <v>66.551283582089553</v>
      </c>
      <c r="BN99" s="1289">
        <f t="shared" si="45"/>
        <v>7.6359855208214107</v>
      </c>
      <c r="BO99" s="1289">
        <v>5</v>
      </c>
      <c r="BP99" s="1289">
        <v>8.67</v>
      </c>
      <c r="BQ99" s="1289">
        <v>13.73</v>
      </c>
      <c r="BR99" s="1289">
        <f t="shared" si="46"/>
        <v>5.0600000000000005</v>
      </c>
      <c r="BS99" s="2036" t="s">
        <v>288</v>
      </c>
      <c r="BT99" s="2048" t="s">
        <v>288</v>
      </c>
      <c r="BU99" s="2049" t="s">
        <v>288</v>
      </c>
    </row>
    <row r="100" spans="1:73" s="154" customFormat="1" ht="9.9499999999999993" customHeight="1" x14ac:dyDescent="0.2">
      <c r="A100" s="160" t="s">
        <v>804</v>
      </c>
      <c r="B100" s="236" t="s">
        <v>558</v>
      </c>
      <c r="C100" s="2057">
        <v>72832.899999999994</v>
      </c>
      <c r="D100" s="2057">
        <v>736.4</v>
      </c>
      <c r="E100" s="2040">
        <f t="shared" si="28"/>
        <v>73569.299999999988</v>
      </c>
      <c r="F100" s="2057">
        <v>7303.3</v>
      </c>
      <c r="G100" s="2040">
        <f t="shared" si="29"/>
        <v>66265.999999999985</v>
      </c>
      <c r="H100" s="2057">
        <v>15089.1</v>
      </c>
      <c r="I100" s="1924">
        <v>33512</v>
      </c>
      <c r="J100" s="2057">
        <v>51951.9</v>
      </c>
      <c r="K100" s="2057">
        <v>466577.7</v>
      </c>
      <c r="L100" s="2050">
        <f t="shared" si="30"/>
        <v>518529.60000000003</v>
      </c>
      <c r="M100" s="2050">
        <f t="shared" si="31"/>
        <v>552041.60000000009</v>
      </c>
      <c r="N100" s="1924">
        <f>20.6+300.6</f>
        <v>321.20000000000005</v>
      </c>
      <c r="O100" s="2050">
        <f t="shared" si="32"/>
        <v>118539.09999999999</v>
      </c>
      <c r="P100" s="2050">
        <f t="shared" si="33"/>
        <v>585116.80000000005</v>
      </c>
      <c r="Q100" s="2050">
        <v>409.8</v>
      </c>
      <c r="R100" s="2050">
        <f t="shared" si="34"/>
        <v>585526.60000000009</v>
      </c>
      <c r="S100" s="2050">
        <v>0</v>
      </c>
      <c r="T100" s="2057">
        <f>330.2+2906.7+2.4+10732.7+1727.7+285+7.4+273.8</f>
        <v>16265.9</v>
      </c>
      <c r="U100" s="2057">
        <v>406248.4</v>
      </c>
      <c r="V100" s="2050">
        <f t="shared" si="35"/>
        <v>422514.30000000005</v>
      </c>
      <c r="W100" s="2050">
        <v>0</v>
      </c>
      <c r="X100" s="2057">
        <f>909.7+0.1+2079.4</f>
        <v>2989.2000000000003</v>
      </c>
      <c r="Y100" s="1924">
        <f>19007.4+357.4</f>
        <v>19364.800000000003</v>
      </c>
      <c r="Z100" s="2050">
        <f t="shared" si="36"/>
        <v>22354.000000000004</v>
      </c>
      <c r="AA100" s="2057">
        <f>3679.2+1265.1</f>
        <v>4944.2999999999993</v>
      </c>
      <c r="AB100" s="2057">
        <f>97958.5+1944.2+0.4+343.1+36+9645.3</f>
        <v>109927.5</v>
      </c>
      <c r="AC100" s="2057">
        <f>497.4+1693+189.6+8202.3</f>
        <v>10582.3</v>
      </c>
      <c r="AD100" s="2050">
        <f t="shared" si="37"/>
        <v>120509.8</v>
      </c>
      <c r="AE100" s="2050">
        <f t="shared" si="47"/>
        <v>4944.2999999999993</v>
      </c>
      <c r="AF100" s="2050">
        <f t="shared" si="47"/>
        <v>129182.6</v>
      </c>
      <c r="AG100" s="2050">
        <f t="shared" si="47"/>
        <v>436195.5</v>
      </c>
      <c r="AH100" s="2050">
        <f t="shared" si="47"/>
        <v>565378.10000000009</v>
      </c>
      <c r="AI100" s="2057">
        <v>2600.6999999999998</v>
      </c>
      <c r="AJ100" s="2057">
        <v>8421.2000000000007</v>
      </c>
      <c r="AK100" s="2057">
        <v>8757.5</v>
      </c>
      <c r="AL100" s="2057">
        <f>15+7710.7</f>
        <v>7725.7</v>
      </c>
      <c r="AM100" s="2057">
        <f>552075.8-6.9</f>
        <v>552068.9</v>
      </c>
      <c r="AN100" s="1924">
        <v>5749.8</v>
      </c>
      <c r="AO100" s="2050">
        <f t="shared" si="48"/>
        <v>557818.70000000007</v>
      </c>
      <c r="AP100" s="2050">
        <f>AO100*0.06</f>
        <v>33469.122000000003</v>
      </c>
      <c r="AQ100" s="2040">
        <f t="shared" si="39"/>
        <v>1558.877999999997</v>
      </c>
      <c r="AR100" s="2040">
        <v>35028</v>
      </c>
      <c r="AS100" s="2057">
        <v>1388636.9</v>
      </c>
      <c r="AT100" s="2040">
        <f t="shared" si="40"/>
        <v>108597.29999999999</v>
      </c>
      <c r="AU100" s="2050">
        <f>2000+4092.8</f>
        <v>6092.8</v>
      </c>
      <c r="AV100" s="2050">
        <f>27575.5-4092.8</f>
        <v>23482.7</v>
      </c>
      <c r="AW100" s="2057">
        <f>909.7+330.2+0.1+2906.7</f>
        <v>4146.7</v>
      </c>
      <c r="AX100" s="2057">
        <f>97958.5+1944.2</f>
        <v>99902.7</v>
      </c>
      <c r="AY100" s="2050">
        <f t="shared" si="41"/>
        <v>133624.9</v>
      </c>
      <c r="AZ100" s="1267">
        <v>9.6199999999999992</v>
      </c>
      <c r="BA100" s="1267">
        <v>43.78</v>
      </c>
      <c r="BB100" s="1267">
        <v>7.92</v>
      </c>
      <c r="BC100" s="1267">
        <v>9.5</v>
      </c>
      <c r="BD100" s="1267">
        <v>13.15</v>
      </c>
      <c r="BE100" s="1267" t="s">
        <v>288</v>
      </c>
      <c r="BF100" s="2051">
        <v>8387</v>
      </c>
      <c r="BG100" s="2051">
        <v>3493</v>
      </c>
      <c r="BH100" s="354"/>
      <c r="BI100" s="354"/>
      <c r="BJ100" s="354"/>
      <c r="BK100" s="1267">
        <f t="shared" si="42"/>
        <v>102.41078604500274</v>
      </c>
      <c r="BL100" s="1267">
        <f t="shared" si="43"/>
        <v>65.824359127220703</v>
      </c>
      <c r="BM100" s="1267">
        <f t="shared" si="44"/>
        <v>67.411243591272225</v>
      </c>
      <c r="BN100" s="1267">
        <f t="shared" si="45"/>
        <v>7.6677566876163468</v>
      </c>
      <c r="BO100" s="1267">
        <v>5</v>
      </c>
      <c r="BP100" s="1267">
        <v>8.65</v>
      </c>
      <c r="BQ100" s="1267">
        <v>13.64</v>
      </c>
      <c r="BR100" s="1267">
        <f t="shared" si="46"/>
        <v>4.99</v>
      </c>
      <c r="BS100" s="2040" t="s">
        <v>288</v>
      </c>
      <c r="BT100" s="2052" t="s">
        <v>288</v>
      </c>
      <c r="BU100" s="2053" t="s">
        <v>288</v>
      </c>
    </row>
    <row r="101" spans="1:73" s="154" customFormat="1" ht="9.9499999999999993" customHeight="1" x14ac:dyDescent="0.2">
      <c r="A101" s="160" t="s">
        <v>804</v>
      </c>
      <c r="B101" s="275" t="s">
        <v>559</v>
      </c>
      <c r="C101" s="2056">
        <v>73841.2</v>
      </c>
      <c r="D101" s="2056">
        <v>737.2</v>
      </c>
      <c r="E101" s="2046">
        <f t="shared" si="28"/>
        <v>74578.399999999994</v>
      </c>
      <c r="F101" s="2056">
        <v>6653.8</v>
      </c>
      <c r="G101" s="2046">
        <f t="shared" si="29"/>
        <v>67924.599999999991</v>
      </c>
      <c r="H101" s="2056">
        <v>15781.9</v>
      </c>
      <c r="I101" s="1922">
        <v>34258.9</v>
      </c>
      <c r="J101" s="2056">
        <v>50058.3</v>
      </c>
      <c r="K101" s="2056">
        <v>473586.4</v>
      </c>
      <c r="L101" s="1037">
        <f t="shared" si="30"/>
        <v>523644.7</v>
      </c>
      <c r="M101" s="1037">
        <f t="shared" si="31"/>
        <v>557903.6</v>
      </c>
      <c r="N101" s="1922">
        <f>23.1+289.6</f>
        <v>312.70000000000005</v>
      </c>
      <c r="O101" s="1037">
        <f t="shared" si="32"/>
        <v>118295.59999999999</v>
      </c>
      <c r="P101" s="1037">
        <f t="shared" si="33"/>
        <v>591882</v>
      </c>
      <c r="Q101" s="1037">
        <v>232.4</v>
      </c>
      <c r="R101" s="1037">
        <f t="shared" si="34"/>
        <v>592114.4</v>
      </c>
      <c r="S101" s="1037">
        <v>0</v>
      </c>
      <c r="T101" s="2056">
        <f>389+2527.8+2.4+10485.8+1817.7+311.5+7.4+406.6</f>
        <v>15948.2</v>
      </c>
      <c r="U101" s="2056">
        <f>4788.9+1273+3263.9+67.1+52.5+317329.8+399.9+76561.9+5926.4</f>
        <v>409663.4</v>
      </c>
      <c r="V101" s="1037">
        <f t="shared" si="35"/>
        <v>425611.60000000003</v>
      </c>
      <c r="W101" s="1037">
        <v>0</v>
      </c>
      <c r="X101" s="2056">
        <f>946.6+0+2134.2</f>
        <v>3080.7999999999997</v>
      </c>
      <c r="Y101" s="1922">
        <f>19229.6+310.8</f>
        <v>19540.399999999998</v>
      </c>
      <c r="Z101" s="1037">
        <f t="shared" si="36"/>
        <v>22621.199999999997</v>
      </c>
      <c r="AA101" s="2056">
        <f>3714.1+726.7</f>
        <v>4440.8</v>
      </c>
      <c r="AB101" s="2056">
        <f>101676.2+2096.6+0.4+337+38+10527.2</f>
        <v>114675.4</v>
      </c>
      <c r="AC101" s="2056">
        <f>542.5+1681.1+194.2+8445.6</f>
        <v>10863.4</v>
      </c>
      <c r="AD101" s="1037">
        <f t="shared" si="37"/>
        <v>125538.79999999999</v>
      </c>
      <c r="AE101" s="1037">
        <f t="shared" si="47"/>
        <v>4440.8</v>
      </c>
      <c r="AF101" s="1037">
        <f t="shared" si="47"/>
        <v>133704.4</v>
      </c>
      <c r="AG101" s="1037">
        <f t="shared" si="47"/>
        <v>440067.20000000007</v>
      </c>
      <c r="AH101" s="1037">
        <f t="shared" si="47"/>
        <v>573771.60000000009</v>
      </c>
      <c r="AI101" s="2056">
        <v>3154.4</v>
      </c>
      <c r="AJ101" s="2056">
        <v>8997.4</v>
      </c>
      <c r="AK101" s="2056">
        <v>8240.9</v>
      </c>
      <c r="AL101" s="2056">
        <f>15+7859.5+2</f>
        <v>7876.5</v>
      </c>
      <c r="AM101" s="2056">
        <f>557935.5-6.9</f>
        <v>557928.6</v>
      </c>
      <c r="AN101" s="1922">
        <v>5784.2</v>
      </c>
      <c r="AO101" s="1037">
        <f t="shared" si="48"/>
        <v>563712.79999999993</v>
      </c>
      <c r="AP101" s="1037">
        <f>AO101*0.06</f>
        <v>33822.767999999996</v>
      </c>
      <c r="AQ101" s="2046">
        <f t="shared" si="39"/>
        <v>3024.4320000000007</v>
      </c>
      <c r="AR101" s="2046">
        <v>36847.199999999997</v>
      </c>
      <c r="AS101" s="2056">
        <v>1429872.1</v>
      </c>
      <c r="AT101" s="2046">
        <f t="shared" si="40"/>
        <v>111425.59999999999</v>
      </c>
      <c r="AU101" s="1037">
        <f>2000+3245.9</f>
        <v>5245.9</v>
      </c>
      <c r="AV101" s="1037">
        <f>26455.5-3245.9</f>
        <v>23209.599999999999</v>
      </c>
      <c r="AW101" s="2056">
        <f>946.6+389+2527.8</f>
        <v>3863.4</v>
      </c>
      <c r="AX101" s="2056">
        <f>101676.2+2096.6</f>
        <v>103772.8</v>
      </c>
      <c r="AY101" s="1037">
        <f t="shared" si="41"/>
        <v>136091.70000000001</v>
      </c>
      <c r="AZ101" s="1289">
        <v>11.49</v>
      </c>
      <c r="BA101" s="1289">
        <v>48.88</v>
      </c>
      <c r="BB101" s="1289">
        <v>8.89</v>
      </c>
      <c r="BC101" s="1289">
        <v>10.77</v>
      </c>
      <c r="BD101" s="1289">
        <v>14.46</v>
      </c>
      <c r="BE101" s="1289" t="s">
        <v>288</v>
      </c>
      <c r="BF101" s="2047">
        <v>8407</v>
      </c>
      <c r="BG101" s="2047">
        <v>3496</v>
      </c>
      <c r="BH101" s="354"/>
      <c r="BI101" s="354"/>
      <c r="BJ101" s="354"/>
      <c r="BK101" s="1289">
        <f t="shared" si="42"/>
        <v>102.83961065985865</v>
      </c>
      <c r="BL101" s="1289">
        <f t="shared" si="43"/>
        <v>66.364767455691677</v>
      </c>
      <c r="BM101" s="1289">
        <f t="shared" si="44"/>
        <v>68.249268466753904</v>
      </c>
      <c r="BN101" s="1289">
        <f t="shared" si="45"/>
        <v>7.7968758009537424</v>
      </c>
      <c r="BO101" s="1289">
        <v>5</v>
      </c>
      <c r="BP101" s="1289">
        <v>8.65</v>
      </c>
      <c r="BQ101" s="1289">
        <v>13.63</v>
      </c>
      <c r="BR101" s="1289">
        <f t="shared" si="46"/>
        <v>4.9800000000000004</v>
      </c>
      <c r="BS101" s="2036" t="s">
        <v>288</v>
      </c>
      <c r="BT101" s="2048" t="s">
        <v>288</v>
      </c>
      <c r="BU101" s="2049" t="s">
        <v>288</v>
      </c>
    </row>
    <row r="102" spans="1:73" s="154" customFormat="1" ht="9.9499999999999993" customHeight="1" x14ac:dyDescent="0.2">
      <c r="A102" s="160" t="s">
        <v>804</v>
      </c>
      <c r="B102" s="236" t="s">
        <v>550</v>
      </c>
      <c r="C102" s="2057">
        <v>74633.600000000006</v>
      </c>
      <c r="D102" s="2057">
        <v>738.7</v>
      </c>
      <c r="E102" s="2040">
        <f t="shared" si="28"/>
        <v>75372.3</v>
      </c>
      <c r="F102" s="2057">
        <v>7819.4</v>
      </c>
      <c r="G102" s="2057">
        <v>67552.899999999994</v>
      </c>
      <c r="H102" s="2057">
        <v>16749.2</v>
      </c>
      <c r="I102" s="2057">
        <v>37251.699999999997</v>
      </c>
      <c r="J102" s="2057">
        <v>55736.5</v>
      </c>
      <c r="K102" s="2057">
        <v>479902.3</v>
      </c>
      <c r="L102" s="2050">
        <f t="shared" si="30"/>
        <v>535638.80000000005</v>
      </c>
      <c r="M102" s="2050">
        <f t="shared" si="31"/>
        <v>572890.5</v>
      </c>
      <c r="N102" s="2057">
        <v>313.7</v>
      </c>
      <c r="O102" s="2050">
        <f t="shared" si="32"/>
        <v>123603.09999999999</v>
      </c>
      <c r="P102" s="2050">
        <f t="shared" si="33"/>
        <v>603505.4</v>
      </c>
      <c r="Q102" s="2057">
        <v>52.2</v>
      </c>
      <c r="R102" s="2050">
        <f t="shared" si="34"/>
        <v>603557.6</v>
      </c>
      <c r="S102" s="2050">
        <v>0</v>
      </c>
      <c r="T102" s="2057">
        <v>10424.6</v>
      </c>
      <c r="U102" s="2057">
        <v>417890.5</v>
      </c>
      <c r="V102" s="2050">
        <f t="shared" si="35"/>
        <v>428315.1</v>
      </c>
      <c r="W102" s="2050">
        <v>0</v>
      </c>
      <c r="X102" s="2057">
        <v>939.6</v>
      </c>
      <c r="Y102" s="2057">
        <v>18961.2</v>
      </c>
      <c r="Z102" s="2050">
        <f t="shared" si="36"/>
        <v>19900.8</v>
      </c>
      <c r="AA102" s="2057">
        <v>6677.8</v>
      </c>
      <c r="AB102" s="2057">
        <v>123736.6</v>
      </c>
      <c r="AC102" s="2057">
        <v>11125.2</v>
      </c>
      <c r="AD102" s="2050">
        <f t="shared" si="37"/>
        <v>134861.80000000002</v>
      </c>
      <c r="AE102" s="2050">
        <f t="shared" si="47"/>
        <v>6677.8</v>
      </c>
      <c r="AF102" s="2050">
        <f>T102+X102+AB102</f>
        <v>135100.80000000002</v>
      </c>
      <c r="AG102" s="2050">
        <f>U102+Y102+AC102</f>
        <v>447976.9</v>
      </c>
      <c r="AH102" s="2050">
        <f t="shared" si="47"/>
        <v>583077.69999999995</v>
      </c>
      <c r="AI102" s="2055">
        <v>9784.5</v>
      </c>
      <c r="AJ102" s="2057">
        <v>9441.9</v>
      </c>
      <c r="AK102" s="2057">
        <v>9640.7999999999993</v>
      </c>
      <c r="AL102" s="1924">
        <f>125+20+2</f>
        <v>147</v>
      </c>
      <c r="AM102" s="2057">
        <f>572965.5-8</f>
        <v>572957.5</v>
      </c>
      <c r="AN102" s="1924">
        <v>6509</v>
      </c>
      <c r="AO102" s="2050">
        <f t="shared" si="48"/>
        <v>579466.5</v>
      </c>
      <c r="AP102" s="2050">
        <f>AO102*0.06</f>
        <v>34767.99</v>
      </c>
      <c r="AQ102" s="2040">
        <f t="shared" si="39"/>
        <v>2035.4100000000035</v>
      </c>
      <c r="AR102" s="2057">
        <v>36803.4</v>
      </c>
      <c r="AS102" s="2057">
        <v>1462258.7</v>
      </c>
      <c r="AT102" s="2040">
        <f t="shared" si="40"/>
        <v>112175.70000000001</v>
      </c>
      <c r="AU102" s="2057">
        <f>2000+7204.5</f>
        <v>9204.5</v>
      </c>
      <c r="AV102" s="2057">
        <f>28467.7-7204.5</f>
        <v>21263.200000000001</v>
      </c>
      <c r="AW102" s="2057">
        <f>939.5+362.7+2417.9</f>
        <v>3720.1000000000004</v>
      </c>
      <c r="AX102" s="2057">
        <f>120808.7+2471.3</f>
        <v>123280</v>
      </c>
      <c r="AY102" s="2050">
        <f t="shared" si="41"/>
        <v>157467.79999999999</v>
      </c>
      <c r="AZ102" s="1267">
        <v>19.91</v>
      </c>
      <c r="BA102" s="1267">
        <v>9.06</v>
      </c>
      <c r="BB102" s="1267">
        <v>10.85</v>
      </c>
      <c r="BC102" s="1267">
        <v>12.4</v>
      </c>
      <c r="BD102" s="1267">
        <v>16.71</v>
      </c>
      <c r="BE102" s="1267" t="s">
        <v>288</v>
      </c>
      <c r="BF102" s="2051">
        <v>8427</v>
      </c>
      <c r="BG102" s="2051">
        <v>3499</v>
      </c>
      <c r="BH102" s="354"/>
      <c r="BI102" s="354"/>
      <c r="BJ102" s="354"/>
      <c r="BK102" s="1267">
        <f t="shared" si="42"/>
        <v>101.76630901942988</v>
      </c>
      <c r="BL102" s="1267">
        <f t="shared" si="43"/>
        <v>67.990684703927855</v>
      </c>
      <c r="BM102" s="1267">
        <f t="shared" si="44"/>
        <v>69.191610300225463</v>
      </c>
      <c r="BN102" s="1267">
        <f t="shared" si="45"/>
        <v>7.7881518262698375</v>
      </c>
      <c r="BO102" s="1267">
        <v>5</v>
      </c>
      <c r="BP102" s="1267">
        <v>8.5399999999999991</v>
      </c>
      <c r="BQ102" s="1267">
        <v>13.67</v>
      </c>
      <c r="BR102" s="1267">
        <f t="shared" si="46"/>
        <v>5.1300000000000008</v>
      </c>
      <c r="BS102" s="1267">
        <v>14.21</v>
      </c>
      <c r="BT102" s="1267">
        <v>17.440000000000001</v>
      </c>
      <c r="BU102" s="1267">
        <f>BT102-BS102</f>
        <v>3.2300000000000004</v>
      </c>
    </row>
    <row r="103" spans="1:73" s="154" customFormat="1" ht="9.9499999999999993" customHeight="1" x14ac:dyDescent="0.2">
      <c r="A103" s="160" t="s">
        <v>978</v>
      </c>
      <c r="B103" s="275" t="s">
        <v>552</v>
      </c>
      <c r="C103" s="2057">
        <v>80396.399999999994</v>
      </c>
      <c r="D103" s="2057">
        <v>754.9</v>
      </c>
      <c r="E103" s="2040">
        <f t="shared" ref="E103:E126" si="49">C103+D103</f>
        <v>81151.299999999988</v>
      </c>
      <c r="F103" s="2057">
        <v>8590.4</v>
      </c>
      <c r="G103" s="2040">
        <f t="shared" ref="G103:G126" si="50">E103-F103</f>
        <v>72560.899999999994</v>
      </c>
      <c r="H103" s="2057">
        <v>15820.4</v>
      </c>
      <c r="I103" s="2057">
        <v>34367.599999999999</v>
      </c>
      <c r="J103" s="2057">
        <v>54693.599999999999</v>
      </c>
      <c r="K103" s="2057">
        <v>485937.8</v>
      </c>
      <c r="L103" s="2050">
        <f>J103+K103</f>
        <v>540631.4</v>
      </c>
      <c r="M103" s="2050">
        <f>I103+L103</f>
        <v>574999</v>
      </c>
      <c r="N103" s="2057">
        <v>307.8</v>
      </c>
      <c r="O103" s="2050">
        <f>G103+J103+N103</f>
        <v>127562.3</v>
      </c>
      <c r="P103" s="2050">
        <f>K103+O103</f>
        <v>613500.1</v>
      </c>
      <c r="Q103" s="2057" t="s">
        <v>288</v>
      </c>
      <c r="R103" s="1924" t="s">
        <v>288</v>
      </c>
      <c r="S103" s="2050">
        <v>0</v>
      </c>
      <c r="T103" s="2057">
        <v>11722.7</v>
      </c>
      <c r="U103" s="2057">
        <v>421551.2</v>
      </c>
      <c r="V103" s="2050">
        <f>T103+U103</f>
        <v>433273.9</v>
      </c>
      <c r="W103" s="2050">
        <v>0</v>
      </c>
      <c r="X103" s="2057">
        <v>1003.8</v>
      </c>
      <c r="Y103" s="2057">
        <v>19369.099999999999</v>
      </c>
      <c r="Z103" s="2050">
        <f>X103+Y103</f>
        <v>20372.899999999998</v>
      </c>
      <c r="AA103" s="2057">
        <v>5081.8999999999996</v>
      </c>
      <c r="AB103" s="2057">
        <v>126631.8</v>
      </c>
      <c r="AC103" s="1924">
        <v>11348</v>
      </c>
      <c r="AD103" s="2050">
        <f>AB103+AC103</f>
        <v>137979.79999999999</v>
      </c>
      <c r="AE103" s="2050">
        <f>S103+W103+AA103</f>
        <v>5081.8999999999996</v>
      </c>
      <c r="AF103" s="2050">
        <f t="shared" ref="AF103:AH114" si="51">T103+X103+AB103</f>
        <v>139358.29999999999</v>
      </c>
      <c r="AG103" s="2050">
        <f t="shared" si="51"/>
        <v>452268.3</v>
      </c>
      <c r="AH103" s="2050">
        <f t="shared" si="51"/>
        <v>591626.60000000009</v>
      </c>
      <c r="AI103" s="2040">
        <v>8892.5</v>
      </c>
      <c r="AJ103" s="1924">
        <v>13055.8</v>
      </c>
      <c r="AK103" s="1924">
        <v>7784.2</v>
      </c>
      <c r="AL103" s="1924">
        <f>74+0+2</f>
        <v>76</v>
      </c>
      <c r="AM103" s="1924">
        <v>575020</v>
      </c>
      <c r="AN103" s="1924">
        <v>6286.5</v>
      </c>
      <c r="AO103" s="2050">
        <f>AM103+AN103</f>
        <v>581306.5</v>
      </c>
      <c r="AP103" s="2050">
        <f t="shared" ref="AP103:AP113" si="52">AO103*0.06</f>
        <v>34878.39</v>
      </c>
      <c r="AQ103" s="2040">
        <f>AR103-AP103</f>
        <v>1532.510000000002</v>
      </c>
      <c r="AR103" s="1924">
        <v>36410.9</v>
      </c>
      <c r="AS103" s="1924">
        <v>1465162.5</v>
      </c>
      <c r="AT103" s="2040">
        <f t="shared" si="40"/>
        <v>117562.19999999998</v>
      </c>
      <c r="AU103" s="1924">
        <f>4000+3408.8</f>
        <v>7408.8</v>
      </c>
      <c r="AV103" s="1924">
        <f>24484.8-3408.8</f>
        <v>21076</v>
      </c>
      <c r="AW103" s="1924">
        <f>1003.7+799.3+2333.3</f>
        <v>4136.3</v>
      </c>
      <c r="AX103" s="1924">
        <f>123385+2803.7</f>
        <v>126188.7</v>
      </c>
      <c r="AY103" s="2050">
        <f t="shared" ref="AY103:AY126" si="53">AU103+AV103+AW103+AX103</f>
        <v>158809.79999999999</v>
      </c>
      <c r="AZ103" s="1267">
        <v>4.1399999999999997</v>
      </c>
      <c r="BA103" s="1267">
        <v>2.81</v>
      </c>
      <c r="BB103" s="1267">
        <v>1.1200000000000001</v>
      </c>
      <c r="BC103" s="1267">
        <v>1.75</v>
      </c>
      <c r="BD103" s="1267">
        <v>1.66</v>
      </c>
      <c r="BE103" s="1267" t="s">
        <v>288</v>
      </c>
      <c r="BF103" s="2051">
        <v>8449</v>
      </c>
      <c r="BG103" s="2051">
        <v>3501</v>
      </c>
      <c r="BH103" s="354"/>
      <c r="BI103" s="354"/>
      <c r="BJ103" s="354"/>
      <c r="BK103" s="1267">
        <f t="shared" si="42"/>
        <v>102.88800389551669</v>
      </c>
      <c r="BL103" s="1267">
        <f t="shared" si="43"/>
        <v>68.057758314593443</v>
      </c>
      <c r="BM103" s="1267">
        <f t="shared" si="44"/>
        <v>70.023269025920243</v>
      </c>
      <c r="BN103" s="1267">
        <f t="shared" si="45"/>
        <v>7.8260408333623186</v>
      </c>
      <c r="BO103" s="1267">
        <v>5</v>
      </c>
      <c r="BP103" s="1267">
        <v>8.61</v>
      </c>
      <c r="BQ103" s="1267">
        <v>13.63</v>
      </c>
      <c r="BR103" s="1267">
        <f t="shared" ref="BR103:BR114" si="54">BQ103-BP103</f>
        <v>5.0200000000000014</v>
      </c>
      <c r="BS103" s="1267" t="s">
        <v>288</v>
      </c>
      <c r="BT103" s="1267" t="s">
        <v>288</v>
      </c>
      <c r="BU103" s="1267" t="s">
        <v>288</v>
      </c>
    </row>
    <row r="104" spans="1:73" s="154" customFormat="1" ht="9.9499999999999993" customHeight="1" x14ac:dyDescent="0.2">
      <c r="A104" s="160" t="s">
        <v>978</v>
      </c>
      <c r="B104" s="236" t="s">
        <v>553</v>
      </c>
      <c r="C104" s="1922">
        <v>78044</v>
      </c>
      <c r="D104" s="2056">
        <v>762.8</v>
      </c>
      <c r="E104" s="2046">
        <f t="shared" si="49"/>
        <v>78806.8</v>
      </c>
      <c r="F104" s="2056">
        <v>7339.1</v>
      </c>
      <c r="G104" s="2046">
        <f t="shared" si="50"/>
        <v>71467.7</v>
      </c>
      <c r="H104" s="2056">
        <v>15755.7</v>
      </c>
      <c r="I104" s="2056">
        <v>35255.699999999997</v>
      </c>
      <c r="J104" s="2056">
        <v>53312.4</v>
      </c>
      <c r="K104" s="2056">
        <v>494866.9</v>
      </c>
      <c r="L104" s="1037">
        <f>J104+K104</f>
        <v>548179.30000000005</v>
      </c>
      <c r="M104" s="1037">
        <f>I104+L104</f>
        <v>583435</v>
      </c>
      <c r="N104" s="2056">
        <v>342.1</v>
      </c>
      <c r="O104" s="1037">
        <f t="shared" ref="O104:O126" si="55">G104+J104+N104</f>
        <v>125122.20000000001</v>
      </c>
      <c r="P104" s="1037">
        <f t="shared" ref="P104:P126" si="56">K104+O104</f>
        <v>619989.10000000009</v>
      </c>
      <c r="Q104" s="2056" t="s">
        <v>288</v>
      </c>
      <c r="R104" s="2056" t="s">
        <v>288</v>
      </c>
      <c r="S104" s="1037">
        <v>0</v>
      </c>
      <c r="T104" s="2056">
        <v>11116.8</v>
      </c>
      <c r="U104" s="2056">
        <v>425931.5</v>
      </c>
      <c r="V104" s="1037">
        <f>T104+U104</f>
        <v>437048.3</v>
      </c>
      <c r="W104" s="1037">
        <v>0</v>
      </c>
      <c r="X104" s="2056">
        <v>1227.5</v>
      </c>
      <c r="Y104" s="1922">
        <v>19201</v>
      </c>
      <c r="Z104" s="1037">
        <f>X104+Y104</f>
        <v>20428.5</v>
      </c>
      <c r="AA104" s="2056">
        <v>5243.4</v>
      </c>
      <c r="AB104" s="2056">
        <v>127371.7</v>
      </c>
      <c r="AC104" s="2056">
        <v>11273.9</v>
      </c>
      <c r="AD104" s="1037">
        <f>AB104+AC104</f>
        <v>138645.6</v>
      </c>
      <c r="AE104" s="1037">
        <f t="shared" ref="AE104:AH119" si="57">S104+W104+AA104</f>
        <v>5243.4</v>
      </c>
      <c r="AF104" s="1037">
        <f t="shared" si="51"/>
        <v>139716</v>
      </c>
      <c r="AG104" s="1037">
        <f t="shared" si="51"/>
        <v>456406.4</v>
      </c>
      <c r="AH104" s="1037">
        <f t="shared" si="51"/>
        <v>596122.4</v>
      </c>
      <c r="AI104" s="2063">
        <v>7730.1</v>
      </c>
      <c r="AJ104" s="2056">
        <v>10608.2</v>
      </c>
      <c r="AK104" s="2056">
        <v>7292.3</v>
      </c>
      <c r="AL104" s="1922">
        <f>116+0+2</f>
        <v>118</v>
      </c>
      <c r="AM104" s="2056">
        <v>583455.5</v>
      </c>
      <c r="AN104" s="2056">
        <v>7068.2</v>
      </c>
      <c r="AO104" s="1037">
        <f>AM104+AN104</f>
        <v>590523.69999999995</v>
      </c>
      <c r="AP104" s="1037">
        <f t="shared" si="52"/>
        <v>35431.421999999999</v>
      </c>
      <c r="AQ104" s="2046">
        <f>AR104-AP104</f>
        <v>2762.3780000000042</v>
      </c>
      <c r="AR104" s="2056">
        <v>38193.800000000003</v>
      </c>
      <c r="AS104" s="1922">
        <v>1493467</v>
      </c>
      <c r="AT104" s="2046">
        <f t="shared" si="40"/>
        <v>117000.6</v>
      </c>
      <c r="AU104" s="1922">
        <f>2070+119.8</f>
        <v>2189.8000000000002</v>
      </c>
      <c r="AV104" s="1922">
        <f>21023.7-119.8</f>
        <v>20903.900000000001</v>
      </c>
      <c r="AW104" s="2056">
        <v>3846.4</v>
      </c>
      <c r="AX104" s="2056">
        <f>124100+2828.8</f>
        <v>126928.8</v>
      </c>
      <c r="AY104" s="1037">
        <f t="shared" si="53"/>
        <v>153868.9</v>
      </c>
      <c r="AZ104" s="1289">
        <v>0.21</v>
      </c>
      <c r="BA104" s="1289">
        <v>-4.9000000000000004</v>
      </c>
      <c r="BB104" s="1289">
        <v>2.04</v>
      </c>
      <c r="BC104" s="1289">
        <v>1.45</v>
      </c>
      <c r="BD104" s="1289">
        <v>2.73</v>
      </c>
      <c r="BE104" s="1289" t="s">
        <v>288</v>
      </c>
      <c r="BF104" s="2047">
        <v>8455</v>
      </c>
      <c r="BG104" s="2047">
        <v>3501</v>
      </c>
      <c r="BH104" s="354"/>
      <c r="BI104" s="354"/>
      <c r="BJ104" s="354"/>
      <c r="BK104" s="1289">
        <f t="shared" si="42"/>
        <v>102.17101389908913</v>
      </c>
      <c r="BL104" s="1289">
        <f t="shared" si="43"/>
        <v>69.007155529272623</v>
      </c>
      <c r="BM104" s="1289">
        <f t="shared" si="44"/>
        <v>70.505310467179186</v>
      </c>
      <c r="BN104" s="1289">
        <f t="shared" si="45"/>
        <v>7.8040056182519493</v>
      </c>
      <c r="BO104" s="1289">
        <v>5</v>
      </c>
      <c r="BP104" s="1289">
        <v>8.5500000000000007</v>
      </c>
      <c r="BQ104" s="1289">
        <v>13.56</v>
      </c>
      <c r="BR104" s="1289">
        <f t="shared" si="54"/>
        <v>5.01</v>
      </c>
      <c r="BS104" s="1289" t="s">
        <v>288</v>
      </c>
      <c r="BT104" s="1289" t="s">
        <v>288</v>
      </c>
      <c r="BU104" s="1289" t="s">
        <v>288</v>
      </c>
    </row>
    <row r="105" spans="1:73" s="154" customFormat="1" ht="9.9499999999999993" customHeight="1" x14ac:dyDescent="0.2">
      <c r="A105" s="160" t="s">
        <v>978</v>
      </c>
      <c r="B105" s="275" t="s">
        <v>547</v>
      </c>
      <c r="C105" s="1924">
        <v>76163.399999999994</v>
      </c>
      <c r="D105" s="1924">
        <v>764</v>
      </c>
      <c r="E105" s="1924">
        <f t="shared" si="49"/>
        <v>76927.399999999994</v>
      </c>
      <c r="F105" s="1924">
        <v>7770.5</v>
      </c>
      <c r="G105" s="1924">
        <f t="shared" si="50"/>
        <v>69156.899999999994</v>
      </c>
      <c r="H105" s="2057">
        <v>14305.6</v>
      </c>
      <c r="I105" s="2057">
        <v>34871.199999999997</v>
      </c>
      <c r="J105" s="2057">
        <v>53945.1</v>
      </c>
      <c r="K105" s="2057">
        <v>503287.4</v>
      </c>
      <c r="L105" s="2050">
        <f>J105+K105</f>
        <v>557232.5</v>
      </c>
      <c r="M105" s="2050">
        <f>I105+L105</f>
        <v>592103.69999999995</v>
      </c>
      <c r="N105" s="2057">
        <v>334.5</v>
      </c>
      <c r="O105" s="2050">
        <f t="shared" si="55"/>
        <v>123436.5</v>
      </c>
      <c r="P105" s="2050">
        <f t="shared" si="56"/>
        <v>626723.9</v>
      </c>
      <c r="Q105" s="2057" t="s">
        <v>288</v>
      </c>
      <c r="R105" s="2057" t="s">
        <v>288</v>
      </c>
      <c r="S105" s="2050">
        <v>0</v>
      </c>
      <c r="T105" s="2057">
        <f>360.4+1924.1+1.6+5992.3+1782.7+540+7.4+294.9</f>
        <v>10903.4</v>
      </c>
      <c r="U105" s="1924">
        <f>5578.5+1193+3277.5+379.3+18+143.3+57.8+335349+413.7+81867+3081.9</f>
        <v>431359.00000000006</v>
      </c>
      <c r="V105" s="2050">
        <f>T105+U105</f>
        <v>442262.40000000008</v>
      </c>
      <c r="W105" s="2050">
        <v>0</v>
      </c>
      <c r="X105" s="2057">
        <f>1051.2+0+115.3</f>
        <v>1166.5</v>
      </c>
      <c r="Y105" s="1924">
        <f>18275.3+421.9</f>
        <v>18697.2</v>
      </c>
      <c r="Z105" s="2050">
        <f>X105+Y105</f>
        <v>19863.7</v>
      </c>
      <c r="AA105" s="1924">
        <f>3701.6+2804.4</f>
        <v>6506</v>
      </c>
      <c r="AB105" s="2057">
        <f>124799.9+2777.8+0.2+260.8+38.5+169.7</f>
        <v>128046.9</v>
      </c>
      <c r="AC105" s="2057">
        <f>562.6+1751.7+216.6+8989.9</f>
        <v>11520.8</v>
      </c>
      <c r="AD105" s="2050">
        <f>AB105+AC105</f>
        <v>139567.69999999998</v>
      </c>
      <c r="AE105" s="2050">
        <f t="shared" si="57"/>
        <v>6506</v>
      </c>
      <c r="AF105" s="2050">
        <f t="shared" si="51"/>
        <v>140116.79999999999</v>
      </c>
      <c r="AG105" s="2050">
        <f t="shared" si="51"/>
        <v>461577.00000000006</v>
      </c>
      <c r="AH105" s="2050">
        <f t="shared" si="51"/>
        <v>601693.80000000005</v>
      </c>
      <c r="AI105" s="2057">
        <v>6122.6</v>
      </c>
      <c r="AJ105" s="2057">
        <v>8574.5</v>
      </c>
      <c r="AK105" s="2057">
        <v>9492.4</v>
      </c>
      <c r="AL105" s="1924">
        <f>0+65+35+2</f>
        <v>102</v>
      </c>
      <c r="AM105" s="2057">
        <f>592135.1-8.2</f>
        <v>592126.9</v>
      </c>
      <c r="AN105" s="1924">
        <v>6686</v>
      </c>
      <c r="AO105" s="2050">
        <f>AM105+AN105</f>
        <v>598812.9</v>
      </c>
      <c r="AP105" s="2050">
        <f t="shared" si="52"/>
        <v>35928.773999999998</v>
      </c>
      <c r="AQ105" s="2040">
        <f>AR105-AP105</f>
        <v>814.12600000000384</v>
      </c>
      <c r="AR105" s="2057">
        <v>36742.9</v>
      </c>
      <c r="AS105" s="1924">
        <v>1520548</v>
      </c>
      <c r="AT105" s="2040">
        <f t="shared" si="40"/>
        <v>113670.29999999999</v>
      </c>
      <c r="AU105" s="1924">
        <f>898.6+143.1</f>
        <v>1041.7</v>
      </c>
      <c r="AV105" s="1924">
        <f>20919-143.1</f>
        <v>20775.900000000001</v>
      </c>
      <c r="AW105" s="1924">
        <f>1051.2+360.4+1924.1</f>
        <v>3335.7</v>
      </c>
      <c r="AX105" s="1924">
        <f>124799.9+2777.8</f>
        <v>127577.7</v>
      </c>
      <c r="AY105" s="2050">
        <f t="shared" si="53"/>
        <v>152731</v>
      </c>
      <c r="AZ105" s="1267">
        <v>-0.16</v>
      </c>
      <c r="BA105" s="1267">
        <v>11.61</v>
      </c>
      <c r="BB105" s="1267">
        <v>3.18</v>
      </c>
      <c r="BC105" s="1267">
        <v>2.68</v>
      </c>
      <c r="BD105" s="1267">
        <v>3.85</v>
      </c>
      <c r="BE105" s="1267" t="s">
        <v>288</v>
      </c>
      <c r="BF105" s="2051">
        <v>8482</v>
      </c>
      <c r="BG105" s="2051">
        <v>3503</v>
      </c>
      <c r="BH105" s="354"/>
      <c r="BI105" s="354"/>
      <c r="BJ105" s="354"/>
      <c r="BK105" s="1267">
        <f t="shared" si="42"/>
        <v>101.61568407042478</v>
      </c>
      <c r="BL105" s="1267">
        <f t="shared" si="43"/>
        <v>69.809820796981853</v>
      </c>
      <c r="BM105" s="1267">
        <f t="shared" si="44"/>
        <v>70.937726951190768</v>
      </c>
      <c r="BN105" s="1267">
        <f t="shared" si="45"/>
        <v>7.5175439589047546</v>
      </c>
      <c r="BO105" s="1267">
        <v>5</v>
      </c>
      <c r="BP105" s="1267">
        <v>8.5</v>
      </c>
      <c r="BQ105" s="1267">
        <v>13.51</v>
      </c>
      <c r="BR105" s="1267">
        <f t="shared" si="54"/>
        <v>5.01</v>
      </c>
      <c r="BS105" s="1267">
        <v>13.87</v>
      </c>
      <c r="BT105" s="1267">
        <v>17.420000000000002</v>
      </c>
      <c r="BU105" s="1267">
        <v>3.55</v>
      </c>
    </row>
    <row r="106" spans="1:73" s="154" customFormat="1" ht="9.9499999999999993" customHeight="1" x14ac:dyDescent="0.2">
      <c r="A106" s="160" t="s">
        <v>978</v>
      </c>
      <c r="B106" s="236" t="s">
        <v>554</v>
      </c>
      <c r="C106" s="1922">
        <v>82332.2</v>
      </c>
      <c r="D106" s="1922">
        <v>768</v>
      </c>
      <c r="E106" s="1922">
        <f t="shared" si="49"/>
        <v>83100.2</v>
      </c>
      <c r="F106" s="1922">
        <v>7659.3</v>
      </c>
      <c r="G106" s="1922">
        <f t="shared" si="50"/>
        <v>75440.899999999994</v>
      </c>
      <c r="H106" s="2056">
        <v>13748.5</v>
      </c>
      <c r="I106" s="1922">
        <v>35579</v>
      </c>
      <c r="J106" s="2056">
        <v>51925.4</v>
      </c>
      <c r="K106" s="2056">
        <v>512615.4</v>
      </c>
      <c r="L106" s="1037">
        <f>J106+K106</f>
        <v>564540.80000000005</v>
      </c>
      <c r="M106" s="1037">
        <f>I106+L106</f>
        <v>600119.80000000005</v>
      </c>
      <c r="N106" s="2056">
        <v>335.6</v>
      </c>
      <c r="O106" s="1037">
        <f t="shared" si="55"/>
        <v>127701.9</v>
      </c>
      <c r="P106" s="1037">
        <f t="shared" si="56"/>
        <v>640317.30000000005</v>
      </c>
      <c r="Q106" s="2056" t="s">
        <v>288</v>
      </c>
      <c r="R106" s="2056" t="s">
        <v>288</v>
      </c>
      <c r="S106" s="1037">
        <v>0</v>
      </c>
      <c r="T106" s="2056">
        <v>11488.6</v>
      </c>
      <c r="U106" s="1922">
        <v>433710.8</v>
      </c>
      <c r="V106" s="1037">
        <f t="shared" ref="V106:V126" si="58">T106+U106</f>
        <v>445199.39999999997</v>
      </c>
      <c r="W106" s="1037">
        <v>0</v>
      </c>
      <c r="X106" s="2056">
        <v>1301.9000000000001</v>
      </c>
      <c r="Y106" s="1922">
        <v>18844.099999999999</v>
      </c>
      <c r="Z106" s="1037">
        <f t="shared" ref="Z106:Z126" si="59">X106+Y106</f>
        <v>20146</v>
      </c>
      <c r="AA106" s="2064">
        <v>6579</v>
      </c>
      <c r="AB106" s="2064">
        <v>128394</v>
      </c>
      <c r="AC106" s="2064">
        <v>11728</v>
      </c>
      <c r="AD106" s="2065">
        <f t="shared" ref="AD106:AD126" si="60">AB106+AC106</f>
        <v>140122</v>
      </c>
      <c r="AE106" s="1037">
        <f t="shared" si="57"/>
        <v>6579</v>
      </c>
      <c r="AF106" s="1037">
        <f t="shared" si="51"/>
        <v>141184.5</v>
      </c>
      <c r="AG106" s="1037">
        <f t="shared" si="51"/>
        <v>464282.89999999997</v>
      </c>
      <c r="AH106" s="1037">
        <f t="shared" si="51"/>
        <v>605467.39999999991</v>
      </c>
      <c r="AI106" s="2056">
        <v>6485.4</v>
      </c>
      <c r="AJ106" s="2056">
        <v>6303.4</v>
      </c>
      <c r="AK106" s="2056">
        <v>10632.6</v>
      </c>
      <c r="AL106" s="1922">
        <f>10+193.3+22</f>
        <v>225.3</v>
      </c>
      <c r="AM106" s="2056">
        <f>600182.9-9.4</f>
        <v>600173.5</v>
      </c>
      <c r="AN106" s="1922">
        <v>7106.8</v>
      </c>
      <c r="AO106" s="1037">
        <f t="shared" ref="AO106:AO126" si="61">AM106+AN106</f>
        <v>607280.30000000005</v>
      </c>
      <c r="AP106" s="1037">
        <f t="shared" si="52"/>
        <v>36436.817999999999</v>
      </c>
      <c r="AQ106" s="2046">
        <f>AR106-AP106</f>
        <v>1476.9820000000036</v>
      </c>
      <c r="AR106" s="2056">
        <v>37913.800000000003</v>
      </c>
      <c r="AS106" s="1922">
        <v>1547626.4</v>
      </c>
      <c r="AT106" s="2046">
        <f t="shared" si="40"/>
        <v>121014</v>
      </c>
      <c r="AU106" s="1922">
        <f>4000+1564</f>
        <v>5564</v>
      </c>
      <c r="AV106" s="1922">
        <f>22307.3-1564</f>
        <v>20743.3</v>
      </c>
      <c r="AW106" s="1922">
        <f>1185.9+331.4+2222</f>
        <v>3739.3</v>
      </c>
      <c r="AX106" s="1922">
        <f>124848.8+3084.1</f>
        <v>127932.90000000001</v>
      </c>
      <c r="AY106" s="1037">
        <f t="shared" si="53"/>
        <v>157979.5</v>
      </c>
      <c r="AZ106" s="1289">
        <v>4.03</v>
      </c>
      <c r="BA106" s="1289">
        <v>14.9</v>
      </c>
      <c r="BB106" s="1289">
        <v>3.77</v>
      </c>
      <c r="BC106" s="1289">
        <v>4</v>
      </c>
      <c r="BD106" s="1289">
        <v>6.1</v>
      </c>
      <c r="BE106" s="1289" t="s">
        <v>288</v>
      </c>
      <c r="BF106" s="2047">
        <v>8514</v>
      </c>
      <c r="BG106" s="2047">
        <v>3507</v>
      </c>
      <c r="BH106" s="354"/>
      <c r="BI106" s="354"/>
      <c r="BJ106" s="354"/>
      <c r="BK106" s="1289">
        <f t="shared" si="42"/>
        <v>100.88206160385286</v>
      </c>
      <c r="BL106" s="1289">
        <f t="shared" si="43"/>
        <v>70.492541696030074</v>
      </c>
      <c r="BM106" s="1289">
        <f t="shared" si="44"/>
        <v>71.114329339910725</v>
      </c>
      <c r="BN106" s="1289">
        <f t="shared" si="45"/>
        <v>7.5933209313640146</v>
      </c>
      <c r="BO106" s="1289">
        <v>5</v>
      </c>
      <c r="BP106" s="1289">
        <v>8.4700000000000006</v>
      </c>
      <c r="BQ106" s="1289">
        <v>13.42</v>
      </c>
      <c r="BR106" s="1289">
        <f t="shared" si="54"/>
        <v>4.9499999999999993</v>
      </c>
      <c r="BS106" s="354" t="s">
        <v>288</v>
      </c>
      <c r="BT106" s="354" t="s">
        <v>288</v>
      </c>
      <c r="BU106" s="354" t="s">
        <v>288</v>
      </c>
    </row>
    <row r="107" spans="1:73" s="154" customFormat="1" ht="9.9499999999999993" customHeight="1" x14ac:dyDescent="0.2">
      <c r="A107" s="160" t="s">
        <v>978</v>
      </c>
      <c r="B107" s="275" t="s">
        <v>555</v>
      </c>
      <c r="C107" s="1924">
        <v>79510.899999999994</v>
      </c>
      <c r="D107" s="1924">
        <v>768</v>
      </c>
      <c r="E107" s="1924">
        <f t="shared" si="49"/>
        <v>80278.899999999994</v>
      </c>
      <c r="F107" s="1924">
        <v>8411.7999999999993</v>
      </c>
      <c r="G107" s="1924">
        <f t="shared" si="50"/>
        <v>71867.099999999991</v>
      </c>
      <c r="H107" s="2057">
        <v>13521.7</v>
      </c>
      <c r="I107" s="1924">
        <v>37899.800000000003</v>
      </c>
      <c r="J107" s="2057">
        <v>51804.2</v>
      </c>
      <c r="K107" s="2057">
        <v>518567.9</v>
      </c>
      <c r="L107" s="2050">
        <f t="shared" ref="L107:L126" si="62">J107+K107</f>
        <v>570372.1</v>
      </c>
      <c r="M107" s="2050">
        <f t="shared" ref="M107:M126" si="63">I107+L107</f>
        <v>608271.9</v>
      </c>
      <c r="N107" s="2057">
        <v>336.7</v>
      </c>
      <c r="O107" s="2050">
        <f t="shared" si="55"/>
        <v>124007.99999999999</v>
      </c>
      <c r="P107" s="2050">
        <f t="shared" si="56"/>
        <v>642575.9</v>
      </c>
      <c r="Q107" s="2057" t="s">
        <v>288</v>
      </c>
      <c r="R107" s="2057" t="s">
        <v>288</v>
      </c>
      <c r="S107" s="2050">
        <v>0</v>
      </c>
      <c r="T107" s="2057">
        <v>11763.1</v>
      </c>
      <c r="U107" s="1924">
        <v>436244.1</v>
      </c>
      <c r="V107" s="2050">
        <f t="shared" si="58"/>
        <v>448007.19999999995</v>
      </c>
      <c r="W107" s="2050">
        <v>0</v>
      </c>
      <c r="X107" s="2057">
        <v>1244.5</v>
      </c>
      <c r="Y107" s="1924">
        <v>18711.099999999999</v>
      </c>
      <c r="Z107" s="2050">
        <f t="shared" si="59"/>
        <v>19955.599999999999</v>
      </c>
      <c r="AA107" s="2066">
        <v>6052.4</v>
      </c>
      <c r="AB107" s="2067">
        <v>134150.6</v>
      </c>
      <c r="AC107" s="2067">
        <v>12102.8</v>
      </c>
      <c r="AD107" s="2068">
        <f t="shared" si="60"/>
        <v>146253.4</v>
      </c>
      <c r="AE107" s="2050">
        <f t="shared" si="57"/>
        <v>6052.4</v>
      </c>
      <c r="AF107" s="2050">
        <f t="shared" si="51"/>
        <v>147158.20000000001</v>
      </c>
      <c r="AG107" s="2050">
        <f t="shared" si="51"/>
        <v>467057.99999999994</v>
      </c>
      <c r="AH107" s="2050">
        <f t="shared" si="51"/>
        <v>614216.19999999995</v>
      </c>
      <c r="AI107" s="2057">
        <v>7047.8</v>
      </c>
      <c r="AJ107" s="2057">
        <v>6305.4</v>
      </c>
      <c r="AK107" s="2057">
        <v>10049.299999999999</v>
      </c>
      <c r="AL107" s="1924">
        <f>10+755</f>
        <v>765</v>
      </c>
      <c r="AM107" s="2057">
        <f>608301.9-8.4</f>
        <v>608293.5</v>
      </c>
      <c r="AN107" s="1924">
        <v>6962.6</v>
      </c>
      <c r="AO107" s="2050">
        <f t="shared" si="61"/>
        <v>615256.1</v>
      </c>
      <c r="AP107" s="2050">
        <f t="shared" si="52"/>
        <v>36915.365999999995</v>
      </c>
      <c r="AQ107" s="2040">
        <f t="shared" ref="AQ107:AQ126" si="64">AR107-AP107</f>
        <v>3033.734000000004</v>
      </c>
      <c r="AR107" s="2057">
        <v>39949.1</v>
      </c>
      <c r="AS107" s="1924">
        <v>1559865.2</v>
      </c>
      <c r="AT107" s="2040">
        <f t="shared" si="40"/>
        <v>120228</v>
      </c>
      <c r="AU107" s="1924">
        <f>2335.8+150</f>
        <v>2485.8000000000002</v>
      </c>
      <c r="AV107" s="1924">
        <f>20812.7-150</f>
        <v>20662.7</v>
      </c>
      <c r="AW107" s="1924">
        <f>1132.3+227.9+2248.6</f>
        <v>3608.8</v>
      </c>
      <c r="AX107" s="1924">
        <f>130508.2+3167.3</f>
        <v>133675.5</v>
      </c>
      <c r="AY107" s="2050">
        <f t="shared" si="53"/>
        <v>160432.79999999999</v>
      </c>
      <c r="AZ107" s="1267">
        <v>3.46</v>
      </c>
      <c r="BA107" s="1267">
        <v>18.75</v>
      </c>
      <c r="BB107" s="1267">
        <v>4.41</v>
      </c>
      <c r="BC107" s="1267">
        <v>4.46</v>
      </c>
      <c r="BD107" s="1267">
        <v>6.47</v>
      </c>
      <c r="BE107" s="1267" t="s">
        <v>288</v>
      </c>
      <c r="BF107" s="2051">
        <v>8560</v>
      </c>
      <c r="BG107" s="2051">
        <v>3513</v>
      </c>
      <c r="BH107" s="354"/>
      <c r="BI107" s="354"/>
      <c r="BJ107" s="354"/>
      <c r="BK107" s="1267">
        <f t="shared" si="42"/>
        <v>100.97365827515827</v>
      </c>
      <c r="BL107" s="1267">
        <f t="shared" si="43"/>
        <v>71.062324766355147</v>
      </c>
      <c r="BM107" s="1267">
        <f t="shared" si="44"/>
        <v>71.754228971962618</v>
      </c>
      <c r="BN107" s="1267">
        <f t="shared" si="45"/>
        <v>7.9502575648104079</v>
      </c>
      <c r="BO107" s="1267">
        <v>5</v>
      </c>
      <c r="BP107" s="1267">
        <v>8.4499999999999993</v>
      </c>
      <c r="BQ107" s="1267">
        <v>13.42</v>
      </c>
      <c r="BR107" s="1267">
        <f t="shared" si="54"/>
        <v>4.9700000000000006</v>
      </c>
      <c r="BS107" s="332" t="s">
        <v>288</v>
      </c>
      <c r="BT107" s="332" t="s">
        <v>288</v>
      </c>
      <c r="BU107" s="332" t="s">
        <v>288</v>
      </c>
    </row>
    <row r="108" spans="1:73" s="154" customFormat="1" ht="9.9499999999999993" customHeight="1" x14ac:dyDescent="0.2">
      <c r="A108" s="160" t="s">
        <v>978</v>
      </c>
      <c r="B108" s="236" t="s">
        <v>548</v>
      </c>
      <c r="C108" s="1922">
        <v>81903.199999999997</v>
      </c>
      <c r="D108" s="1922">
        <v>767.7</v>
      </c>
      <c r="E108" s="1922">
        <f t="shared" si="49"/>
        <v>82670.899999999994</v>
      </c>
      <c r="F108" s="1922">
        <v>9787.2000000000007</v>
      </c>
      <c r="G108" s="1922">
        <f t="shared" si="50"/>
        <v>72883.7</v>
      </c>
      <c r="H108" s="2056">
        <v>14747.8</v>
      </c>
      <c r="I108" s="1922">
        <v>39414.300000000003</v>
      </c>
      <c r="J108" s="1922">
        <v>55365</v>
      </c>
      <c r="K108" s="2056">
        <v>525331.6</v>
      </c>
      <c r="L108" s="1037">
        <f t="shared" si="62"/>
        <v>580696.6</v>
      </c>
      <c r="M108" s="1037">
        <f t="shared" si="63"/>
        <v>620110.9</v>
      </c>
      <c r="N108" s="2056">
        <v>386.3</v>
      </c>
      <c r="O108" s="1037">
        <f t="shared" si="55"/>
        <v>128635</v>
      </c>
      <c r="P108" s="1037">
        <f t="shared" si="56"/>
        <v>653966.6</v>
      </c>
      <c r="Q108" s="2056" t="s">
        <v>288</v>
      </c>
      <c r="R108" s="2056" t="s">
        <v>288</v>
      </c>
      <c r="S108" s="1037">
        <v>0</v>
      </c>
      <c r="T108" s="2056">
        <v>12968.8</v>
      </c>
      <c r="U108" s="1922">
        <v>443829.6</v>
      </c>
      <c r="V108" s="1037">
        <f t="shared" si="58"/>
        <v>456798.39999999997</v>
      </c>
      <c r="W108" s="1037">
        <v>0</v>
      </c>
      <c r="X108" s="2056">
        <v>1126.2</v>
      </c>
      <c r="Y108" s="1922">
        <v>18226.400000000001</v>
      </c>
      <c r="Z108" s="1037">
        <f t="shared" si="59"/>
        <v>19352.600000000002</v>
      </c>
      <c r="AA108" s="2064">
        <v>7648.3</v>
      </c>
      <c r="AB108" s="2069">
        <v>136172.70000000001</v>
      </c>
      <c r="AC108" s="2069">
        <v>12417.5</v>
      </c>
      <c r="AD108" s="2065">
        <f t="shared" si="60"/>
        <v>148590.20000000001</v>
      </c>
      <c r="AE108" s="1037">
        <f t="shared" si="57"/>
        <v>7648.3</v>
      </c>
      <c r="AF108" s="1037">
        <f t="shared" si="51"/>
        <v>150267.70000000001</v>
      </c>
      <c r="AG108" s="1037">
        <f t="shared" si="51"/>
        <v>474473.5</v>
      </c>
      <c r="AH108" s="1037">
        <f t="shared" si="51"/>
        <v>624741.19999999995</v>
      </c>
      <c r="AI108" s="2056">
        <v>6356.8</v>
      </c>
      <c r="AJ108" s="2056">
        <v>6650.1</v>
      </c>
      <c r="AK108" s="2056">
        <v>7445.7</v>
      </c>
      <c r="AL108" s="1922">
        <f>4.5+1</f>
        <v>5.5</v>
      </c>
      <c r="AM108" s="2056">
        <f>620140.3-7.7</f>
        <v>620132.60000000009</v>
      </c>
      <c r="AN108" s="1922">
        <v>7205.1</v>
      </c>
      <c r="AO108" s="1037">
        <f t="shared" si="61"/>
        <v>627337.70000000007</v>
      </c>
      <c r="AP108" s="1037">
        <f t="shared" si="52"/>
        <v>37640.262000000002</v>
      </c>
      <c r="AQ108" s="2046">
        <f t="shared" si="64"/>
        <v>524.23799999999756</v>
      </c>
      <c r="AR108" s="2056">
        <v>38164.5</v>
      </c>
      <c r="AS108" s="1922">
        <v>1494796.1</v>
      </c>
      <c r="AT108" s="2046">
        <f t="shared" si="40"/>
        <v>120835.4</v>
      </c>
      <c r="AU108" s="1922">
        <f>3220+151.9</f>
        <v>3371.9</v>
      </c>
      <c r="AV108" s="1922">
        <f>20537.6</f>
        <v>20537.599999999999</v>
      </c>
      <c r="AW108" s="1922">
        <f>1044+354+2202.9</f>
        <v>3600.9</v>
      </c>
      <c r="AX108" s="1922">
        <f>133433.7+2235.2</f>
        <v>135668.90000000002</v>
      </c>
      <c r="AY108" s="1037">
        <f t="shared" si="53"/>
        <v>163179.30000000002</v>
      </c>
      <c r="AZ108" s="1289">
        <v>4.29</v>
      </c>
      <c r="BA108" s="1289">
        <v>30.69</v>
      </c>
      <c r="BB108" s="1289">
        <v>5.88</v>
      </c>
      <c r="BC108" s="1289">
        <v>5.99</v>
      </c>
      <c r="BD108" s="1289">
        <v>8.36</v>
      </c>
      <c r="BE108" s="1289" t="s">
        <v>288</v>
      </c>
      <c r="BF108" s="2047">
        <v>8685</v>
      </c>
      <c r="BG108" s="2047">
        <v>3520</v>
      </c>
      <c r="BH108" s="354"/>
      <c r="BI108" s="354"/>
      <c r="BJ108" s="354"/>
      <c r="BK108" s="1289">
        <f t="shared" si="42"/>
        <v>100.74316363951836</v>
      </c>
      <c r="BL108" s="1289">
        <f t="shared" si="43"/>
        <v>71.402717328727704</v>
      </c>
      <c r="BM108" s="1289">
        <f t="shared" si="44"/>
        <v>71.933356361542891</v>
      </c>
      <c r="BN108" s="1289">
        <f t="shared" si="45"/>
        <v>7.7324914058702916</v>
      </c>
      <c r="BO108" s="1289">
        <v>5</v>
      </c>
      <c r="BP108" s="1289">
        <v>8.39</v>
      </c>
      <c r="BQ108" s="1289">
        <v>13.45</v>
      </c>
      <c r="BR108" s="1289">
        <f t="shared" si="54"/>
        <v>5.0599999999999987</v>
      </c>
      <c r="BS108" s="354">
        <v>13.43</v>
      </c>
      <c r="BT108" s="354">
        <v>17.37</v>
      </c>
      <c r="BU108" s="354">
        <v>3.94</v>
      </c>
    </row>
    <row r="109" spans="1:73" s="154" customFormat="1" ht="9.9499999999999993" customHeight="1" x14ac:dyDescent="0.2">
      <c r="A109" s="160" t="s">
        <v>978</v>
      </c>
      <c r="B109" s="275" t="s">
        <v>556</v>
      </c>
      <c r="C109" s="1924">
        <v>80215.899999999994</v>
      </c>
      <c r="D109" s="1924">
        <v>767.9</v>
      </c>
      <c r="E109" s="1924">
        <f t="shared" si="49"/>
        <v>80983.799999999988</v>
      </c>
      <c r="F109" s="1924">
        <v>7216.4</v>
      </c>
      <c r="G109" s="1924">
        <f t="shared" si="50"/>
        <v>73767.399999999994</v>
      </c>
      <c r="H109" s="2057">
        <v>14032.1</v>
      </c>
      <c r="I109" s="1924">
        <v>37935.300000000003</v>
      </c>
      <c r="J109" s="2057">
        <v>55681.8</v>
      </c>
      <c r="K109" s="2057">
        <v>523959.9</v>
      </c>
      <c r="L109" s="2050">
        <f t="shared" si="62"/>
        <v>579641.70000000007</v>
      </c>
      <c r="M109" s="2050">
        <f t="shared" si="63"/>
        <v>617577.00000000012</v>
      </c>
      <c r="N109" s="2057">
        <v>356.4</v>
      </c>
      <c r="O109" s="2050">
        <f t="shared" si="55"/>
        <v>129805.59999999999</v>
      </c>
      <c r="P109" s="2050">
        <f t="shared" si="56"/>
        <v>653765.5</v>
      </c>
      <c r="Q109" s="2057" t="s">
        <v>288</v>
      </c>
      <c r="R109" s="2057" t="s">
        <v>288</v>
      </c>
      <c r="S109" s="2050">
        <v>0</v>
      </c>
      <c r="T109" s="2057">
        <v>12938.2</v>
      </c>
      <c r="U109" s="1924">
        <v>443522.5</v>
      </c>
      <c r="V109" s="2050">
        <f t="shared" si="58"/>
        <v>456460.7</v>
      </c>
      <c r="W109" s="2050">
        <v>0</v>
      </c>
      <c r="X109" s="2057">
        <v>1132.4000000000001</v>
      </c>
      <c r="Y109" s="1924">
        <v>17833.099999999999</v>
      </c>
      <c r="Z109" s="2050">
        <f t="shared" si="59"/>
        <v>18965.5</v>
      </c>
      <c r="AA109" s="2066">
        <v>5798</v>
      </c>
      <c r="AB109" s="2067">
        <v>138376.20000000001</v>
      </c>
      <c r="AC109" s="2067">
        <v>12537.7</v>
      </c>
      <c r="AD109" s="2068">
        <f t="shared" si="60"/>
        <v>150913.90000000002</v>
      </c>
      <c r="AE109" s="2050">
        <f t="shared" si="57"/>
        <v>5798</v>
      </c>
      <c r="AF109" s="2050">
        <f t="shared" si="51"/>
        <v>152446.80000000002</v>
      </c>
      <c r="AG109" s="2050">
        <f t="shared" si="51"/>
        <v>473893.3</v>
      </c>
      <c r="AH109" s="2050">
        <f t="shared" si="51"/>
        <v>626340.10000000009</v>
      </c>
      <c r="AI109" s="1924">
        <v>6294</v>
      </c>
      <c r="AJ109" s="2057">
        <v>5988.2</v>
      </c>
      <c r="AK109" s="2057">
        <v>8296.4</v>
      </c>
      <c r="AL109" s="1924">
        <f>83.3+10+1</f>
        <v>94.3</v>
      </c>
      <c r="AM109" s="2057">
        <f>617606.1-7.4</f>
        <v>617598.69999999995</v>
      </c>
      <c r="AN109" s="1924">
        <v>7983</v>
      </c>
      <c r="AO109" s="2050">
        <f t="shared" si="61"/>
        <v>625581.69999999995</v>
      </c>
      <c r="AP109" s="2050">
        <f t="shared" si="52"/>
        <v>37534.901999999995</v>
      </c>
      <c r="AQ109" s="2040">
        <f t="shared" si="64"/>
        <v>2702.7980000000025</v>
      </c>
      <c r="AR109" s="2057">
        <v>40237.699999999997</v>
      </c>
      <c r="AS109" s="1924">
        <v>1511638.2</v>
      </c>
      <c r="AT109" s="2040">
        <f t="shared" si="40"/>
        <v>121221.49999999999</v>
      </c>
      <c r="AU109" s="1924">
        <f>339.7+87.9</f>
        <v>427.6</v>
      </c>
      <c r="AV109" s="1924">
        <f>20126.4</f>
        <v>20126.400000000001</v>
      </c>
      <c r="AW109" s="1924">
        <f>1076.1+318.1+2045.3</f>
        <v>3439.5</v>
      </c>
      <c r="AX109" s="1924">
        <f>135749+2156</f>
        <v>137905</v>
      </c>
      <c r="AY109" s="2050">
        <f t="shared" si="53"/>
        <v>161898.5</v>
      </c>
      <c r="AZ109" s="1267">
        <v>4.37</v>
      </c>
      <c r="BA109" s="1267">
        <v>31.1</v>
      </c>
      <c r="BB109" s="1267">
        <v>5.74</v>
      </c>
      <c r="BC109" s="1267">
        <v>5.9</v>
      </c>
      <c r="BD109" s="1267">
        <v>8.08</v>
      </c>
      <c r="BE109" s="1267" t="s">
        <v>288</v>
      </c>
      <c r="BF109" s="2051">
        <v>8693</v>
      </c>
      <c r="BG109" s="2051">
        <v>3523</v>
      </c>
      <c r="BH109" s="354"/>
      <c r="BI109" s="354"/>
      <c r="BJ109" s="354"/>
      <c r="BK109" s="1267">
        <f t="shared" si="42"/>
        <v>101.415385103628</v>
      </c>
      <c r="BL109" s="1267">
        <f t="shared" si="43"/>
        <v>71.045519383411929</v>
      </c>
      <c r="BM109" s="1267">
        <f t="shared" si="44"/>
        <v>72.051087081559885</v>
      </c>
      <c r="BN109" s="1267">
        <f t="shared" si="45"/>
        <v>7.6836463548255534</v>
      </c>
      <c r="BO109" s="1267">
        <v>5</v>
      </c>
      <c r="BP109" s="1267">
        <v>8.4</v>
      </c>
      <c r="BQ109" s="1267">
        <v>13.39</v>
      </c>
      <c r="BR109" s="1267">
        <f t="shared" si="54"/>
        <v>4.99</v>
      </c>
      <c r="BS109" s="332" t="s">
        <v>288</v>
      </c>
      <c r="BT109" s="332" t="s">
        <v>288</v>
      </c>
      <c r="BU109" s="332" t="s">
        <v>288</v>
      </c>
    </row>
    <row r="110" spans="1:73" s="154" customFormat="1" ht="9.9499999999999993" customHeight="1" x14ac:dyDescent="0.2">
      <c r="A110" s="160" t="s">
        <v>978</v>
      </c>
      <c r="B110" s="236" t="s">
        <v>557</v>
      </c>
      <c r="C110" s="1922">
        <v>79716.7</v>
      </c>
      <c r="D110" s="1922">
        <v>768</v>
      </c>
      <c r="E110" s="1922">
        <f t="shared" si="49"/>
        <v>80484.7</v>
      </c>
      <c r="F110" s="1922">
        <v>7106.5</v>
      </c>
      <c r="G110" s="1922">
        <f t="shared" si="50"/>
        <v>73378.2</v>
      </c>
      <c r="H110" s="2056">
        <v>12961.9</v>
      </c>
      <c r="I110" s="1922">
        <v>37663.4</v>
      </c>
      <c r="J110" s="2056">
        <v>58551.7</v>
      </c>
      <c r="K110" s="2056">
        <v>530033.4</v>
      </c>
      <c r="L110" s="1037">
        <f t="shared" si="62"/>
        <v>588585.1</v>
      </c>
      <c r="M110" s="1037">
        <f t="shared" si="63"/>
        <v>626248.5</v>
      </c>
      <c r="N110" s="2056">
        <v>348.2</v>
      </c>
      <c r="O110" s="1037">
        <f t="shared" si="55"/>
        <v>132278.1</v>
      </c>
      <c r="P110" s="1037">
        <f t="shared" si="56"/>
        <v>662311.5</v>
      </c>
      <c r="Q110" s="2056" t="s">
        <v>288</v>
      </c>
      <c r="R110" s="2056" t="s">
        <v>288</v>
      </c>
      <c r="S110" s="1037">
        <v>0</v>
      </c>
      <c r="T110" s="2056">
        <v>12940.7</v>
      </c>
      <c r="U110" s="1922">
        <v>446599.7</v>
      </c>
      <c r="V110" s="1037">
        <f t="shared" si="58"/>
        <v>459540.4</v>
      </c>
      <c r="W110" s="1037">
        <v>0</v>
      </c>
      <c r="X110" s="2056">
        <v>1135.5</v>
      </c>
      <c r="Y110" s="1922">
        <v>17234.3</v>
      </c>
      <c r="Z110" s="1037">
        <f t="shared" si="59"/>
        <v>18369.8</v>
      </c>
      <c r="AA110" s="2064">
        <v>5924.3</v>
      </c>
      <c r="AB110" s="2069">
        <v>140702.29999999999</v>
      </c>
      <c r="AC110" s="2069">
        <v>12130.2</v>
      </c>
      <c r="AD110" s="2065">
        <f t="shared" si="60"/>
        <v>152832.5</v>
      </c>
      <c r="AE110" s="1037">
        <f t="shared" si="57"/>
        <v>5924.3</v>
      </c>
      <c r="AF110" s="1037">
        <f t="shared" si="51"/>
        <v>154778.5</v>
      </c>
      <c r="AG110" s="1037">
        <f t="shared" si="51"/>
        <v>475964.2</v>
      </c>
      <c r="AH110" s="1037">
        <f t="shared" si="51"/>
        <v>630742.69999999995</v>
      </c>
      <c r="AI110" s="1922">
        <v>6537.1</v>
      </c>
      <c r="AJ110" s="2056">
        <v>5678.3</v>
      </c>
      <c r="AK110" s="2056">
        <v>7570.4</v>
      </c>
      <c r="AL110" s="1922">
        <f>10+4.5+1</f>
        <v>15.5</v>
      </c>
      <c r="AM110" s="2056">
        <f>626281.7-7.6</f>
        <v>626274.1</v>
      </c>
      <c r="AN110" s="1922">
        <v>7641.6</v>
      </c>
      <c r="AO110" s="1037">
        <f t="shared" si="61"/>
        <v>633915.69999999995</v>
      </c>
      <c r="AP110" s="1037">
        <f t="shared" si="52"/>
        <v>38034.941999999995</v>
      </c>
      <c r="AQ110" s="2046">
        <f t="shared" si="64"/>
        <v>2570.7580000000016</v>
      </c>
      <c r="AR110" s="2056">
        <v>40605.699999999997</v>
      </c>
      <c r="AS110" s="1922">
        <v>1538399.5</v>
      </c>
      <c r="AT110" s="2046">
        <f t="shared" si="40"/>
        <v>121090.4</v>
      </c>
      <c r="AU110" s="1922">
        <f>377.8+99</f>
        <v>476.8</v>
      </c>
      <c r="AV110" s="1922">
        <f>19652</f>
        <v>19652</v>
      </c>
      <c r="AW110" s="1922">
        <f>1080.2+363+1771.5</f>
        <v>3214.7</v>
      </c>
      <c r="AX110" s="1922">
        <f>138048.1+2199.5</f>
        <v>140247.6</v>
      </c>
      <c r="AY110" s="1037">
        <f t="shared" si="53"/>
        <v>163591.1</v>
      </c>
      <c r="AZ110" s="1289">
        <v>5.35</v>
      </c>
      <c r="BA110" s="1289">
        <v>33.39</v>
      </c>
      <c r="BB110" s="1289">
        <v>6.2</v>
      </c>
      <c r="BC110" s="1289">
        <v>6.48</v>
      </c>
      <c r="BD110" s="1289">
        <v>9.74</v>
      </c>
      <c r="BE110" s="1289" t="s">
        <v>288</v>
      </c>
      <c r="BF110" s="2047">
        <v>8703</v>
      </c>
      <c r="BG110" s="2047">
        <v>3525</v>
      </c>
      <c r="BH110" s="354"/>
      <c r="BI110" s="354"/>
      <c r="BJ110" s="354"/>
      <c r="BK110" s="1289">
        <f t="shared" si="42"/>
        <v>100.71352144372567</v>
      </c>
      <c r="BL110" s="1289">
        <f t="shared" si="43"/>
        <v>71.960714696081808</v>
      </c>
      <c r="BM110" s="1289">
        <f t="shared" si="44"/>
        <v>72.474169826496606</v>
      </c>
      <c r="BN110" s="1289">
        <f t="shared" si="45"/>
        <v>7.6184213908893881</v>
      </c>
      <c r="BO110" s="1289">
        <v>5</v>
      </c>
      <c r="BP110" s="1289">
        <v>8.34</v>
      </c>
      <c r="BQ110" s="1289">
        <v>13.4</v>
      </c>
      <c r="BR110" s="1289">
        <f t="shared" si="54"/>
        <v>5.0600000000000005</v>
      </c>
      <c r="BS110" s="354" t="s">
        <v>288</v>
      </c>
      <c r="BT110" s="354" t="s">
        <v>288</v>
      </c>
      <c r="BU110" s="354" t="s">
        <v>288</v>
      </c>
    </row>
    <row r="111" spans="1:73" s="154" customFormat="1" ht="9.9499999999999993" customHeight="1" x14ac:dyDescent="0.2">
      <c r="A111" s="160" t="s">
        <v>978</v>
      </c>
      <c r="B111" s="275" t="s">
        <v>549</v>
      </c>
      <c r="C111" s="1924">
        <v>80068</v>
      </c>
      <c r="D111" s="1924">
        <v>768.1</v>
      </c>
      <c r="E111" s="1924">
        <f t="shared" si="49"/>
        <v>80836.100000000006</v>
      </c>
      <c r="F111" s="1924">
        <v>7939.6</v>
      </c>
      <c r="G111" s="1924">
        <f t="shared" si="50"/>
        <v>72896.5</v>
      </c>
      <c r="H111" s="2057">
        <v>12774.9</v>
      </c>
      <c r="I111" s="1924">
        <v>38619</v>
      </c>
      <c r="J111" s="2057">
        <v>60219.199999999997</v>
      </c>
      <c r="K111" s="2057">
        <v>534194.5</v>
      </c>
      <c r="L111" s="2050">
        <f t="shared" si="62"/>
        <v>594413.69999999995</v>
      </c>
      <c r="M111" s="2050">
        <f t="shared" si="63"/>
        <v>633032.69999999995</v>
      </c>
      <c r="N111" s="2057">
        <v>399.4</v>
      </c>
      <c r="O111" s="2050">
        <f t="shared" si="55"/>
        <v>133515.1</v>
      </c>
      <c r="P111" s="2050">
        <f t="shared" si="56"/>
        <v>667709.6</v>
      </c>
      <c r="Q111" s="2057" t="s">
        <v>288</v>
      </c>
      <c r="R111" s="2057" t="s">
        <v>288</v>
      </c>
      <c r="S111" s="2050">
        <v>0</v>
      </c>
      <c r="T111" s="2057">
        <v>13881.2</v>
      </c>
      <c r="U111" s="1924">
        <v>452499.3</v>
      </c>
      <c r="V111" s="2050">
        <f t="shared" si="58"/>
        <v>466380.5</v>
      </c>
      <c r="W111" s="2050">
        <v>0</v>
      </c>
      <c r="X111" s="2057">
        <v>1194.5</v>
      </c>
      <c r="Y111" s="1924">
        <v>17373.900000000001</v>
      </c>
      <c r="Z111" s="2050">
        <f t="shared" si="59"/>
        <v>18568.400000000001</v>
      </c>
      <c r="AA111" s="2066">
        <f>3884.1+1557.6</f>
        <v>5441.7</v>
      </c>
      <c r="AB111" s="2067">
        <v>145950.70000000001</v>
      </c>
      <c r="AC111" s="2067">
        <v>12294.1</v>
      </c>
      <c r="AD111" s="2068">
        <f t="shared" si="60"/>
        <v>158244.80000000002</v>
      </c>
      <c r="AE111" s="2050">
        <f t="shared" si="57"/>
        <v>5441.7</v>
      </c>
      <c r="AF111" s="2050">
        <f t="shared" si="51"/>
        <v>161026.40000000002</v>
      </c>
      <c r="AG111" s="2050">
        <f t="shared" si="51"/>
        <v>482167.3</v>
      </c>
      <c r="AH111" s="2050">
        <f t="shared" si="51"/>
        <v>643193.70000000007</v>
      </c>
      <c r="AI111" s="1924">
        <v>6073.7</v>
      </c>
      <c r="AJ111" s="2057">
        <v>6587.6</v>
      </c>
      <c r="AK111" s="2057">
        <v>6526.8</v>
      </c>
      <c r="AL111" s="1924">
        <f>10+3.3+1</f>
        <v>14.3</v>
      </c>
      <c r="AM111" s="2057">
        <f>633065.9-7.5</f>
        <v>633058.4</v>
      </c>
      <c r="AN111" s="1924">
        <v>7925.5</v>
      </c>
      <c r="AO111" s="2050">
        <f t="shared" si="61"/>
        <v>640983.9</v>
      </c>
      <c r="AP111" s="2050">
        <f t="shared" si="52"/>
        <v>38459.034</v>
      </c>
      <c r="AQ111" s="2040">
        <f t="shared" si="64"/>
        <v>2017.8660000000018</v>
      </c>
      <c r="AR111" s="2057">
        <v>40476.9</v>
      </c>
      <c r="AS111" s="1924">
        <v>1577848.8</v>
      </c>
      <c r="AT111" s="2040">
        <f t="shared" si="40"/>
        <v>121313</v>
      </c>
      <c r="AU111" s="1924">
        <f>0+93.2</f>
        <v>93.2</v>
      </c>
      <c r="AV111" s="1924">
        <f>19126.1</f>
        <v>19126.099999999999</v>
      </c>
      <c r="AW111" s="1924">
        <f>1108.8+326.6+2074.1</f>
        <v>3509.5</v>
      </c>
      <c r="AX111" s="1924">
        <f>142942.4+2531.5</f>
        <v>145473.9</v>
      </c>
      <c r="AY111" s="2050">
        <f t="shared" si="53"/>
        <v>168202.69999999998</v>
      </c>
      <c r="AZ111" s="1267">
        <v>3.56</v>
      </c>
      <c r="BA111" s="1267">
        <v>40.58</v>
      </c>
      <c r="BB111" s="1267">
        <v>7.57</v>
      </c>
      <c r="BC111" s="1267">
        <v>7.34</v>
      </c>
      <c r="BD111" s="1267">
        <v>10.64</v>
      </c>
      <c r="BE111" s="1267" t="s">
        <v>288</v>
      </c>
      <c r="BF111" s="2051">
        <v>8728</v>
      </c>
      <c r="BG111" s="2051">
        <v>3532</v>
      </c>
      <c r="BH111" s="354"/>
      <c r="BI111" s="354"/>
      <c r="BJ111" s="354"/>
      <c r="BK111" s="1267">
        <f t="shared" si="42"/>
        <v>101.60100553124325</v>
      </c>
      <c r="BL111" s="1267">
        <f t="shared" si="43"/>
        <v>72.531897341888182</v>
      </c>
      <c r="BM111" s="1267">
        <f t="shared" si="44"/>
        <v>73.693137030247485</v>
      </c>
      <c r="BN111" s="1267">
        <f t="shared" si="45"/>
        <v>7.6480305766419026</v>
      </c>
      <c r="BO111" s="1267">
        <v>5</v>
      </c>
      <c r="BP111" s="1267">
        <v>8.2100000000000009</v>
      </c>
      <c r="BQ111" s="1267">
        <v>13.36</v>
      </c>
      <c r="BR111" s="1267">
        <f t="shared" si="54"/>
        <v>5.1499999999999986</v>
      </c>
      <c r="BS111" s="1267">
        <v>13</v>
      </c>
      <c r="BT111" s="332">
        <v>17.170000000000002</v>
      </c>
      <c r="BU111" s="332">
        <v>4.17</v>
      </c>
    </row>
    <row r="112" spans="1:73" s="154" customFormat="1" ht="9.9499999999999993" customHeight="1" x14ac:dyDescent="0.2">
      <c r="A112" s="160" t="s">
        <v>978</v>
      </c>
      <c r="B112" s="236" t="s">
        <v>558</v>
      </c>
      <c r="C112" s="1922">
        <v>79756</v>
      </c>
      <c r="D112" s="1922">
        <v>768.2</v>
      </c>
      <c r="E112" s="1922">
        <f t="shared" si="49"/>
        <v>80524.2</v>
      </c>
      <c r="F112" s="1922">
        <v>6606</v>
      </c>
      <c r="G112" s="1922">
        <f t="shared" si="50"/>
        <v>73918.2</v>
      </c>
      <c r="H112" s="2056">
        <v>12625.9</v>
      </c>
      <c r="I112" s="1922">
        <v>38378.699999999997</v>
      </c>
      <c r="J112" s="2056">
        <v>57652.4</v>
      </c>
      <c r="K112" s="2056">
        <v>541615.80000000005</v>
      </c>
      <c r="L112" s="1037">
        <f t="shared" si="62"/>
        <v>599268.20000000007</v>
      </c>
      <c r="M112" s="1037">
        <f t="shared" si="63"/>
        <v>637646.9</v>
      </c>
      <c r="N112" s="1922">
        <v>386</v>
      </c>
      <c r="O112" s="1037">
        <f t="shared" si="55"/>
        <v>131956.6</v>
      </c>
      <c r="P112" s="1037">
        <f t="shared" si="56"/>
        <v>673572.4</v>
      </c>
      <c r="Q112" s="2056" t="s">
        <v>288</v>
      </c>
      <c r="R112" s="2056" t="s">
        <v>288</v>
      </c>
      <c r="S112" s="1037">
        <v>0</v>
      </c>
      <c r="T112" s="1922">
        <v>13071</v>
      </c>
      <c r="U112" s="1922">
        <v>457822.4</v>
      </c>
      <c r="V112" s="1037">
        <f t="shared" si="58"/>
        <v>470893.4</v>
      </c>
      <c r="W112" s="1037">
        <v>0</v>
      </c>
      <c r="X112" s="2056">
        <v>1111.5</v>
      </c>
      <c r="Y112" s="1922">
        <v>17527.599999999999</v>
      </c>
      <c r="Z112" s="1037">
        <f t="shared" si="59"/>
        <v>18639.099999999999</v>
      </c>
      <c r="AA112" s="2064">
        <v>5700.2</v>
      </c>
      <c r="AB112" s="2069">
        <v>149016.20000000001</v>
      </c>
      <c r="AC112" s="2069">
        <v>12807.5</v>
      </c>
      <c r="AD112" s="2065">
        <f t="shared" si="60"/>
        <v>161823.70000000001</v>
      </c>
      <c r="AE112" s="1037">
        <f t="shared" si="57"/>
        <v>5700.2</v>
      </c>
      <c r="AF112" s="1037">
        <f t="shared" si="51"/>
        <v>163198.70000000001</v>
      </c>
      <c r="AG112" s="1037">
        <f t="shared" si="51"/>
        <v>488157.5</v>
      </c>
      <c r="AH112" s="1037">
        <f t="shared" si="51"/>
        <v>651356.19999999995</v>
      </c>
      <c r="AI112" s="1922">
        <v>6345.6</v>
      </c>
      <c r="AJ112" s="2056">
        <v>5839.9</v>
      </c>
      <c r="AK112" s="2056">
        <v>6681.8</v>
      </c>
      <c r="AL112" s="1922">
        <f>40+3.3+0.9</f>
        <v>44.199999999999996</v>
      </c>
      <c r="AM112" s="1922">
        <f>637679.5-7.74</f>
        <v>637671.76</v>
      </c>
      <c r="AN112" s="1922">
        <v>8566.2999999999993</v>
      </c>
      <c r="AO112" s="1037">
        <f t="shared" si="61"/>
        <v>646238.06000000006</v>
      </c>
      <c r="AP112" s="1037">
        <f t="shared" si="52"/>
        <v>38774.283600000002</v>
      </c>
      <c r="AQ112" s="2046">
        <f t="shared" si="64"/>
        <v>2678.8163999999961</v>
      </c>
      <c r="AR112" s="2056">
        <v>41453.1</v>
      </c>
      <c r="AS112" s="1922">
        <v>1610515.3</v>
      </c>
      <c r="AT112" s="2046">
        <f t="shared" si="40"/>
        <v>121977.29999999999</v>
      </c>
      <c r="AU112" s="1922">
        <f>0+88.2</f>
        <v>88.2</v>
      </c>
      <c r="AV112" s="1922">
        <f>18826.9</f>
        <v>18826.900000000001</v>
      </c>
      <c r="AW112" s="1922">
        <f>1046.1+389.4+1296.5</f>
        <v>2732</v>
      </c>
      <c r="AX112" s="1922">
        <f>145551.1+2980.9</f>
        <v>148532</v>
      </c>
      <c r="AY112" s="1037">
        <f t="shared" si="53"/>
        <v>170179.1</v>
      </c>
      <c r="AZ112" s="1289">
        <v>2.75</v>
      </c>
      <c r="BA112" s="1289">
        <v>39.44</v>
      </c>
      <c r="BB112" s="1289">
        <v>8.9</v>
      </c>
      <c r="BC112" s="1289">
        <v>8.2200000000000006</v>
      </c>
      <c r="BD112" s="1289">
        <v>11.61</v>
      </c>
      <c r="BE112" s="1289" t="s">
        <v>288</v>
      </c>
      <c r="BF112" s="2047">
        <v>8750</v>
      </c>
      <c r="BG112" s="2047">
        <v>3533</v>
      </c>
      <c r="BH112" s="354"/>
      <c r="BI112" s="354"/>
      <c r="BJ112" s="354"/>
      <c r="BK112" s="1289">
        <f t="shared" si="42"/>
        <v>102.14600063204931</v>
      </c>
      <c r="BL112" s="1289">
        <f t="shared" si="43"/>
        <v>72.876772571428575</v>
      </c>
      <c r="BM112" s="1289">
        <f t="shared" si="44"/>
        <v>74.440708571428573</v>
      </c>
      <c r="BN112" s="1289">
        <f t="shared" si="45"/>
        <v>7.5366517720653015</v>
      </c>
      <c r="BO112" s="1289">
        <v>5</v>
      </c>
      <c r="BP112" s="1289">
        <v>8.11</v>
      </c>
      <c r="BQ112" s="1289">
        <v>13.25</v>
      </c>
      <c r="BR112" s="1289">
        <f t="shared" si="54"/>
        <v>5.1400000000000006</v>
      </c>
      <c r="BS112" s="1289" t="s">
        <v>288</v>
      </c>
      <c r="BT112" s="354" t="s">
        <v>288</v>
      </c>
      <c r="BU112" s="354" t="s">
        <v>288</v>
      </c>
    </row>
    <row r="113" spans="1:73" s="154" customFormat="1" ht="9.9499999999999993" customHeight="1" x14ac:dyDescent="0.2">
      <c r="A113" s="160" t="s">
        <v>978</v>
      </c>
      <c r="B113" s="275" t="s">
        <v>559</v>
      </c>
      <c r="C113" s="1924">
        <v>82597.899999999994</v>
      </c>
      <c r="D113" s="1924">
        <v>768.9</v>
      </c>
      <c r="E113" s="1924">
        <f t="shared" si="49"/>
        <v>83366.799999999988</v>
      </c>
      <c r="F113" s="1924">
        <v>7060.4</v>
      </c>
      <c r="G113" s="1924">
        <f t="shared" si="50"/>
        <v>76306.399999999994</v>
      </c>
      <c r="H113" s="2057">
        <v>13189.8</v>
      </c>
      <c r="I113" s="1924">
        <v>39493.800000000003</v>
      </c>
      <c r="J113" s="1924">
        <v>57132</v>
      </c>
      <c r="K113" s="2057">
        <v>548336.4</v>
      </c>
      <c r="L113" s="2050">
        <f t="shared" si="62"/>
        <v>605468.4</v>
      </c>
      <c r="M113" s="2050">
        <f t="shared" si="63"/>
        <v>644962.20000000007</v>
      </c>
      <c r="N113" s="1924">
        <v>386</v>
      </c>
      <c r="O113" s="2050">
        <f t="shared" si="55"/>
        <v>133824.4</v>
      </c>
      <c r="P113" s="2050">
        <f t="shared" si="56"/>
        <v>682160.8</v>
      </c>
      <c r="Q113" s="2057" t="s">
        <v>288</v>
      </c>
      <c r="R113" s="2057" t="s">
        <v>288</v>
      </c>
      <c r="S113" s="2050">
        <v>0</v>
      </c>
      <c r="T113" s="1924">
        <v>13883.7</v>
      </c>
      <c r="U113" s="1924">
        <v>460857.1</v>
      </c>
      <c r="V113" s="2050">
        <f t="shared" si="58"/>
        <v>474740.8</v>
      </c>
      <c r="W113" s="2050">
        <v>0</v>
      </c>
      <c r="X113" s="2057">
        <v>1201.2</v>
      </c>
      <c r="Y113" s="1924">
        <v>17886.8</v>
      </c>
      <c r="Z113" s="2050">
        <f t="shared" si="59"/>
        <v>19088</v>
      </c>
      <c r="AA113" s="2066">
        <v>5380.7</v>
      </c>
      <c r="AB113" s="2067">
        <v>150622.1</v>
      </c>
      <c r="AC113" s="2067">
        <v>11750.4</v>
      </c>
      <c r="AD113" s="2068">
        <f t="shared" si="60"/>
        <v>162372.5</v>
      </c>
      <c r="AE113" s="2050">
        <f t="shared" si="57"/>
        <v>5380.7</v>
      </c>
      <c r="AF113" s="2050">
        <f t="shared" si="51"/>
        <v>165707</v>
      </c>
      <c r="AG113" s="2050">
        <f t="shared" si="51"/>
        <v>490494.3</v>
      </c>
      <c r="AH113" s="2050">
        <f t="shared" si="51"/>
        <v>656201.30000000005</v>
      </c>
      <c r="AI113" s="1924">
        <v>5850.2</v>
      </c>
      <c r="AJ113" s="2057">
        <v>5557.7</v>
      </c>
      <c r="AK113" s="2057">
        <v>7000.4</v>
      </c>
      <c r="AL113" s="1924">
        <f>10+5.3+0.9</f>
        <v>16.2</v>
      </c>
      <c r="AM113" s="1924">
        <f>644994.5-8.1</f>
        <v>644986.4</v>
      </c>
      <c r="AN113" s="1924">
        <v>6636</v>
      </c>
      <c r="AO113" s="2050">
        <f t="shared" si="61"/>
        <v>651622.40000000002</v>
      </c>
      <c r="AP113" s="2050">
        <f t="shared" si="52"/>
        <v>39097.343999999997</v>
      </c>
      <c r="AQ113" s="2040">
        <f t="shared" si="64"/>
        <v>1002.4560000000056</v>
      </c>
      <c r="AR113" s="2057">
        <v>40099.800000000003</v>
      </c>
      <c r="AS113" s="1924">
        <v>1644807.7</v>
      </c>
      <c r="AT113" s="2040">
        <f t="shared" si="40"/>
        <v>123466.59999999999</v>
      </c>
      <c r="AU113" s="1924">
        <v>91.8</v>
      </c>
      <c r="AV113" s="1924">
        <v>19085.3</v>
      </c>
      <c r="AW113" s="1924">
        <f>1123.7+521.8+1285.5</f>
        <v>2931</v>
      </c>
      <c r="AX113" s="1924">
        <f>147103.1+3017.2</f>
        <v>150120.30000000002</v>
      </c>
      <c r="AY113" s="2050">
        <f t="shared" si="53"/>
        <v>172228.40000000002</v>
      </c>
      <c r="AZ113" s="1267">
        <v>1.66</v>
      </c>
      <c r="BA113" s="1267">
        <v>47.08</v>
      </c>
      <c r="BB113" s="1267">
        <v>9.41</v>
      </c>
      <c r="BC113" s="1267">
        <v>8.5399999999999991</v>
      </c>
      <c r="BD113" s="1267">
        <v>13.03</v>
      </c>
      <c r="BE113" s="1267" t="s">
        <v>288</v>
      </c>
      <c r="BF113" s="2051">
        <v>8765</v>
      </c>
      <c r="BG113" s="2051">
        <v>3534</v>
      </c>
      <c r="BH113" s="354"/>
      <c r="BI113" s="354"/>
      <c r="BJ113" s="354"/>
      <c r="BK113" s="1267">
        <f t="shared" si="42"/>
        <v>101.73878084871247</v>
      </c>
      <c r="BL113" s="1267">
        <f t="shared" si="43"/>
        <v>73.586583000570457</v>
      </c>
      <c r="BM113" s="1267">
        <f t="shared" si="44"/>
        <v>74.866092413006285</v>
      </c>
      <c r="BN113" s="1267">
        <f t="shared" si="45"/>
        <v>7.3118130862914326</v>
      </c>
      <c r="BO113" s="1267">
        <v>5</v>
      </c>
      <c r="BP113" s="1267">
        <v>8.01</v>
      </c>
      <c r="BQ113" s="1267">
        <v>13.23</v>
      </c>
      <c r="BR113" s="1267">
        <f t="shared" si="54"/>
        <v>5.2200000000000006</v>
      </c>
      <c r="BS113" s="1267" t="s">
        <v>288</v>
      </c>
      <c r="BT113" s="332" t="s">
        <v>288</v>
      </c>
      <c r="BU113" s="332" t="s">
        <v>288</v>
      </c>
    </row>
    <row r="114" spans="1:73" s="154" customFormat="1" ht="9.9499999999999993" customHeight="1" x14ac:dyDescent="0.2">
      <c r="A114" s="160" t="s">
        <v>978</v>
      </c>
      <c r="B114" s="236" t="s">
        <v>550</v>
      </c>
      <c r="C114" s="1922">
        <v>84714.1</v>
      </c>
      <c r="D114" s="1922">
        <v>771.1</v>
      </c>
      <c r="E114" s="1922">
        <f t="shared" si="49"/>
        <v>85485.200000000012</v>
      </c>
      <c r="F114" s="1922">
        <v>8576.7999999999993</v>
      </c>
      <c r="G114" s="1922">
        <f t="shared" si="50"/>
        <v>76908.400000000009</v>
      </c>
      <c r="H114" s="2056">
        <v>14653.7</v>
      </c>
      <c r="I114" s="1922">
        <v>39217.699999999997</v>
      </c>
      <c r="J114" s="1922">
        <v>64344.3</v>
      </c>
      <c r="K114" s="2056">
        <v>558978.4</v>
      </c>
      <c r="L114" s="1037">
        <f t="shared" si="62"/>
        <v>623322.70000000007</v>
      </c>
      <c r="M114" s="1037">
        <f t="shared" si="63"/>
        <v>662540.4</v>
      </c>
      <c r="N114" s="1922">
        <v>392.4</v>
      </c>
      <c r="O114" s="1037">
        <f t="shared" si="55"/>
        <v>141645.1</v>
      </c>
      <c r="P114" s="1037">
        <f t="shared" si="56"/>
        <v>700623.5</v>
      </c>
      <c r="Q114" s="2056" t="s">
        <v>288</v>
      </c>
      <c r="R114" s="2056" t="s">
        <v>288</v>
      </c>
      <c r="S114" s="1037">
        <v>0</v>
      </c>
      <c r="T114" s="1922">
        <v>12682.9</v>
      </c>
      <c r="U114" s="1922">
        <v>472716.79999999999</v>
      </c>
      <c r="V114" s="1037">
        <f t="shared" si="58"/>
        <v>485399.7</v>
      </c>
      <c r="W114" s="1037">
        <v>0</v>
      </c>
      <c r="X114" s="2056">
        <v>1119.4000000000001</v>
      </c>
      <c r="Y114" s="1922">
        <v>18229.8</v>
      </c>
      <c r="Z114" s="1037">
        <f t="shared" si="59"/>
        <v>19349.2</v>
      </c>
      <c r="AA114" s="2064">
        <v>7694</v>
      </c>
      <c r="AB114" s="2069">
        <v>152996.79999999999</v>
      </c>
      <c r="AC114" s="2069">
        <v>12420.6</v>
      </c>
      <c r="AD114" s="2065">
        <f t="shared" si="60"/>
        <v>165417.4</v>
      </c>
      <c r="AE114" s="1037">
        <f t="shared" si="57"/>
        <v>7694</v>
      </c>
      <c r="AF114" s="1037">
        <f t="shared" si="51"/>
        <v>166799.09999999998</v>
      </c>
      <c r="AG114" s="1037">
        <f t="shared" si="51"/>
        <v>503367.19999999995</v>
      </c>
      <c r="AH114" s="1037">
        <f t="shared" si="51"/>
        <v>670166.30000000005</v>
      </c>
      <c r="AI114" s="1922">
        <v>5706.9</v>
      </c>
      <c r="AJ114" s="2056">
        <v>5526.6</v>
      </c>
      <c r="AK114" s="2056">
        <v>9945.7000000000007</v>
      </c>
      <c r="AL114" s="1922">
        <f>20+5.3+0.9</f>
        <v>26.2</v>
      </c>
      <c r="AM114" s="1922">
        <f>662568.3-9</f>
        <v>662559.30000000005</v>
      </c>
      <c r="AN114" s="1922">
        <v>6612.1</v>
      </c>
      <c r="AO114" s="1037">
        <f t="shared" si="61"/>
        <v>669171.4</v>
      </c>
      <c r="AP114" s="1037">
        <f>AO114*0.065</f>
        <v>43496.141000000003</v>
      </c>
      <c r="AQ114" s="2046">
        <f t="shared" si="64"/>
        <v>501.55899999999383</v>
      </c>
      <c r="AR114" s="2056">
        <v>43997.7</v>
      </c>
      <c r="AS114" s="1922">
        <v>1689948.5</v>
      </c>
      <c r="AT114" s="2046">
        <f t="shared" si="40"/>
        <v>129482.90000000001</v>
      </c>
      <c r="AU114" s="1922">
        <v>78.099999999999994</v>
      </c>
      <c r="AV114" s="1922">
        <v>16886.2</v>
      </c>
      <c r="AW114" s="1922">
        <f>1058+617+1094.5</f>
        <v>2769.5</v>
      </c>
      <c r="AX114" s="1922">
        <f>149325.2+3170.2</f>
        <v>152495.40000000002</v>
      </c>
      <c r="AY114" s="1037">
        <f t="shared" si="53"/>
        <v>172229.2</v>
      </c>
      <c r="AZ114" s="1289">
        <v>6.72</v>
      </c>
      <c r="BA114" s="1289">
        <v>34.71</v>
      </c>
      <c r="BB114" s="1289">
        <v>12.27</v>
      </c>
      <c r="BC114" s="1289">
        <v>11.57</v>
      </c>
      <c r="BD114" s="1289">
        <v>15.46</v>
      </c>
      <c r="BE114" s="1289" t="s">
        <v>288</v>
      </c>
      <c r="BF114" s="2047">
        <v>8794</v>
      </c>
      <c r="BG114" s="2047">
        <v>3536</v>
      </c>
      <c r="BH114" s="354"/>
      <c r="BI114" s="354"/>
      <c r="BJ114" s="354"/>
      <c r="BK114" s="1289">
        <f t="shared" si="42"/>
        <v>101.14812364719657</v>
      </c>
      <c r="BL114" s="1289">
        <f t="shared" si="43"/>
        <v>75.342199226745507</v>
      </c>
      <c r="BM114" s="1289">
        <f t="shared" si="44"/>
        <v>76.20722083238573</v>
      </c>
      <c r="BN114" s="1289">
        <f t="shared" si="45"/>
        <v>7.9350633218792641</v>
      </c>
      <c r="BO114" s="1289">
        <v>5</v>
      </c>
      <c r="BP114" s="1289">
        <v>7.79</v>
      </c>
      <c r="BQ114" s="1289">
        <v>13.1</v>
      </c>
      <c r="BR114" s="1289">
        <f t="shared" si="54"/>
        <v>5.31</v>
      </c>
      <c r="BS114" s="1289">
        <v>12.52</v>
      </c>
      <c r="BT114" s="1289">
        <v>16.899999999999999</v>
      </c>
      <c r="BU114" s="354">
        <v>4.38</v>
      </c>
    </row>
    <row r="115" spans="1:73" s="154" customFormat="1" ht="9.9499999999999993" customHeight="1" x14ac:dyDescent="0.2">
      <c r="A115" s="160" t="s">
        <v>1029</v>
      </c>
      <c r="B115" s="275" t="s">
        <v>552</v>
      </c>
      <c r="C115" s="1922">
        <v>98858.9</v>
      </c>
      <c r="D115" s="1922">
        <v>790.3</v>
      </c>
      <c r="E115" s="1922">
        <f t="shared" si="49"/>
        <v>99649.2</v>
      </c>
      <c r="F115" s="1922">
        <v>9761.5</v>
      </c>
      <c r="G115" s="1922">
        <f t="shared" si="50"/>
        <v>89887.7</v>
      </c>
      <c r="H115" s="2056">
        <v>15001.9</v>
      </c>
      <c r="I115" s="1922">
        <v>38532.6</v>
      </c>
      <c r="J115" s="1922">
        <v>60846.1</v>
      </c>
      <c r="K115" s="2056">
        <v>563642.1</v>
      </c>
      <c r="L115" s="1037">
        <f t="shared" si="62"/>
        <v>624488.19999999995</v>
      </c>
      <c r="M115" s="1037">
        <f t="shared" si="63"/>
        <v>663020.79999999993</v>
      </c>
      <c r="N115" s="1922">
        <v>408.8</v>
      </c>
      <c r="O115" s="1037">
        <f t="shared" si="55"/>
        <v>151142.59999999998</v>
      </c>
      <c r="P115" s="1037">
        <f t="shared" si="56"/>
        <v>714784.7</v>
      </c>
      <c r="Q115" s="2056" t="s">
        <v>288</v>
      </c>
      <c r="R115" s="2056" t="s">
        <v>288</v>
      </c>
      <c r="S115" s="1037">
        <v>0</v>
      </c>
      <c r="T115" s="1922">
        <v>13166.1</v>
      </c>
      <c r="U115" s="1922">
        <v>473301.3</v>
      </c>
      <c r="V115" s="1037">
        <f t="shared" si="58"/>
        <v>486467.39999999997</v>
      </c>
      <c r="W115" s="1037">
        <v>0</v>
      </c>
      <c r="X115" s="2056">
        <v>1254.7</v>
      </c>
      <c r="Y115" s="1922">
        <v>17900.400000000001</v>
      </c>
      <c r="Z115" s="1037">
        <f t="shared" si="59"/>
        <v>19155.100000000002</v>
      </c>
      <c r="AA115" s="2064">
        <v>5957.3</v>
      </c>
      <c r="AB115" s="2064">
        <v>154187</v>
      </c>
      <c r="AC115" s="2069">
        <v>12211.4</v>
      </c>
      <c r="AD115" s="2065">
        <f t="shared" si="60"/>
        <v>166398.39999999999</v>
      </c>
      <c r="AE115" s="1037">
        <f t="shared" si="57"/>
        <v>5957.3</v>
      </c>
      <c r="AF115" s="1037">
        <f t="shared" si="57"/>
        <v>168607.8</v>
      </c>
      <c r="AG115" s="1037">
        <f t="shared" si="57"/>
        <v>503413.10000000003</v>
      </c>
      <c r="AH115" s="1037">
        <f t="shared" si="57"/>
        <v>672020.89999999991</v>
      </c>
      <c r="AI115" s="1922">
        <v>6203.7</v>
      </c>
      <c r="AJ115" s="2056">
        <v>8389.2999999999993</v>
      </c>
      <c r="AK115" s="2056">
        <v>7876.7</v>
      </c>
      <c r="AL115" s="1922">
        <f>20+5.3+0.9</f>
        <v>26.2</v>
      </c>
      <c r="AM115" s="1922">
        <f>663048.4-9.3</f>
        <v>663039.1</v>
      </c>
      <c r="AN115" s="1922">
        <v>8014</v>
      </c>
      <c r="AO115" s="1037">
        <f t="shared" si="61"/>
        <v>671053.1</v>
      </c>
      <c r="AP115" s="1037">
        <f t="shared" ref="AP115:AP126" si="65">AO115*0.065</f>
        <v>43618.451500000003</v>
      </c>
      <c r="AQ115" s="2046">
        <f t="shared" si="64"/>
        <v>1842.9484999999986</v>
      </c>
      <c r="AR115" s="2056">
        <v>45461.4</v>
      </c>
      <c r="AS115" s="1922">
        <v>1739256.5</v>
      </c>
      <c r="AT115" s="2046">
        <f t="shared" si="40"/>
        <v>145110.6</v>
      </c>
      <c r="AU115" s="1922">
        <f>2359.7+52.3</f>
        <v>2412</v>
      </c>
      <c r="AV115" s="1922">
        <v>16992.5</v>
      </c>
      <c r="AW115" s="1922">
        <f>1190.2+921+724.5</f>
        <v>2835.7</v>
      </c>
      <c r="AX115" s="1922">
        <f>150378.1+3317.2</f>
        <v>153695.30000000002</v>
      </c>
      <c r="AY115" s="1037">
        <f t="shared" si="53"/>
        <v>175935.50000000003</v>
      </c>
      <c r="AZ115" s="1289">
        <v>6.12</v>
      </c>
      <c r="BA115" s="1289">
        <v>4.1399999999999997</v>
      </c>
      <c r="BB115" s="1289">
        <v>0.04</v>
      </c>
      <c r="BC115" s="1289">
        <v>1.24</v>
      </c>
      <c r="BD115" s="1289">
        <v>2.02</v>
      </c>
      <c r="BE115" s="1289" t="s">
        <v>288</v>
      </c>
      <c r="BF115" s="2047">
        <v>8805</v>
      </c>
      <c r="BG115" s="2047">
        <v>3539</v>
      </c>
      <c r="BH115" s="354"/>
      <c r="BI115" s="354"/>
      <c r="BJ115" s="354"/>
      <c r="BK115" s="1289">
        <f t="shared" si="42"/>
        <v>101.35464107622008</v>
      </c>
      <c r="BL115" s="1289">
        <f t="shared" si="43"/>
        <v>75.302566723452586</v>
      </c>
      <c r="BM115" s="1289">
        <f t="shared" si="44"/>
        <v>76.322646223736498</v>
      </c>
      <c r="BN115" s="1289">
        <f t="shared" si="45"/>
        <v>8.3287546692193573</v>
      </c>
      <c r="BO115" s="1289">
        <v>5</v>
      </c>
      <c r="BP115" s="1289">
        <v>7.71</v>
      </c>
      <c r="BQ115" s="1289">
        <v>12.84</v>
      </c>
      <c r="BR115" s="1289">
        <v>5.13</v>
      </c>
      <c r="BS115" s="1289" t="s">
        <v>288</v>
      </c>
      <c r="BT115" s="1289" t="s">
        <v>288</v>
      </c>
      <c r="BU115" s="354" t="s">
        <v>288</v>
      </c>
    </row>
    <row r="116" spans="1:73" s="154" customFormat="1" ht="9.9499999999999993" customHeight="1" x14ac:dyDescent="0.2">
      <c r="A116" s="160" t="s">
        <v>1029</v>
      </c>
      <c r="B116" s="236" t="s">
        <v>553</v>
      </c>
      <c r="C116" s="1924">
        <v>87721.7</v>
      </c>
      <c r="D116" s="1924">
        <v>790.9</v>
      </c>
      <c r="E116" s="1924">
        <f t="shared" si="49"/>
        <v>88512.599999999991</v>
      </c>
      <c r="F116" s="1924">
        <v>8868.7999999999993</v>
      </c>
      <c r="G116" s="1924">
        <f t="shared" si="50"/>
        <v>79643.799999999988</v>
      </c>
      <c r="H116" s="2057">
        <v>14770.9</v>
      </c>
      <c r="I116" s="1924">
        <v>38667.300000000003</v>
      </c>
      <c r="J116" s="1924">
        <v>60505.4</v>
      </c>
      <c r="K116" s="2057">
        <v>572527.69999999995</v>
      </c>
      <c r="L116" s="2050">
        <f t="shared" si="62"/>
        <v>633033.1</v>
      </c>
      <c r="M116" s="2050">
        <f t="shared" si="63"/>
        <v>671700.4</v>
      </c>
      <c r="N116" s="1924">
        <v>408.8</v>
      </c>
      <c r="O116" s="2050">
        <f t="shared" si="55"/>
        <v>140557.99999999997</v>
      </c>
      <c r="P116" s="2050">
        <f t="shared" si="56"/>
        <v>713085.7</v>
      </c>
      <c r="Q116" s="2057" t="s">
        <v>288</v>
      </c>
      <c r="R116" s="2057" t="s">
        <v>288</v>
      </c>
      <c r="S116" s="2050">
        <v>0</v>
      </c>
      <c r="T116" s="1924">
        <v>14135</v>
      </c>
      <c r="U116" s="1924">
        <v>479405.1</v>
      </c>
      <c r="V116" s="2050">
        <f t="shared" si="58"/>
        <v>493540.1</v>
      </c>
      <c r="W116" s="2050">
        <v>0</v>
      </c>
      <c r="X116" s="2057">
        <v>1245.4000000000001</v>
      </c>
      <c r="Y116" s="1924">
        <v>16893.900000000001</v>
      </c>
      <c r="Z116" s="2050">
        <f t="shared" si="59"/>
        <v>18139.300000000003</v>
      </c>
      <c r="AA116" s="2066">
        <v>6117.4</v>
      </c>
      <c r="AB116" s="2066">
        <v>157944.5</v>
      </c>
      <c r="AC116" s="2067">
        <v>12351.6</v>
      </c>
      <c r="AD116" s="2068">
        <f t="shared" si="60"/>
        <v>170296.1</v>
      </c>
      <c r="AE116" s="2050">
        <f t="shared" si="57"/>
        <v>6117.4</v>
      </c>
      <c r="AF116" s="2050">
        <f t="shared" si="57"/>
        <v>173324.9</v>
      </c>
      <c r="AG116" s="2050">
        <f t="shared" si="57"/>
        <v>508650.6</v>
      </c>
      <c r="AH116" s="2050">
        <f t="shared" si="57"/>
        <v>681975.5</v>
      </c>
      <c r="AI116" s="1924">
        <v>5461.9</v>
      </c>
      <c r="AJ116" s="1924">
        <v>5991</v>
      </c>
      <c r="AK116" s="2057">
        <v>7643.9</v>
      </c>
      <c r="AL116" s="1924">
        <f>20+5.3+1.4</f>
        <v>26.7</v>
      </c>
      <c r="AM116" s="1924">
        <f>671727.5-8.9</f>
        <v>671718.6</v>
      </c>
      <c r="AN116" s="1924">
        <v>6364.5</v>
      </c>
      <c r="AO116" s="2050">
        <f t="shared" si="61"/>
        <v>678083.1</v>
      </c>
      <c r="AP116" s="2050">
        <f t="shared" si="65"/>
        <v>44075.4015</v>
      </c>
      <c r="AQ116" s="2040">
        <f t="shared" si="64"/>
        <v>3839.7984999999971</v>
      </c>
      <c r="AR116" s="2057">
        <v>47915.199999999997</v>
      </c>
      <c r="AS116" s="1924">
        <v>1765175.5</v>
      </c>
      <c r="AT116" s="2040">
        <f t="shared" si="40"/>
        <v>136427.79999999999</v>
      </c>
      <c r="AU116" s="1924">
        <v>53.2</v>
      </c>
      <c r="AV116" s="1924">
        <v>15727.5</v>
      </c>
      <c r="AW116" s="1924">
        <f>1169.6+555.7+639.4</f>
        <v>2364.6999999999998</v>
      </c>
      <c r="AX116" s="1924">
        <f>153829.8+3620.5</f>
        <v>157450.29999999999</v>
      </c>
      <c r="AY116" s="2050">
        <f t="shared" si="53"/>
        <v>175595.69999999998</v>
      </c>
      <c r="AZ116" s="1267">
        <v>1.67</v>
      </c>
      <c r="BA116" s="1267">
        <v>15.02</v>
      </c>
      <c r="BB116" s="1267">
        <v>1.07</v>
      </c>
      <c r="BC116" s="1267">
        <v>1.46</v>
      </c>
      <c r="BD116" s="1267">
        <v>1.78</v>
      </c>
      <c r="BE116" s="1267" t="s">
        <v>288</v>
      </c>
      <c r="BF116" s="2051">
        <v>8821</v>
      </c>
      <c r="BG116" s="2051">
        <v>3539</v>
      </c>
      <c r="BH116" s="354"/>
      <c r="BI116" s="354"/>
      <c r="BJ116" s="354"/>
      <c r="BK116" s="1267">
        <f t="shared" si="42"/>
        <v>101.52696382086191</v>
      </c>
      <c r="BL116" s="1267">
        <f t="shared" si="43"/>
        <v>76.149937648792658</v>
      </c>
      <c r="BM116" s="1267">
        <f t="shared" si="44"/>
        <v>77.312719646298603</v>
      </c>
      <c r="BN116" s="1267">
        <f t="shared" si="45"/>
        <v>8.4535399198414343</v>
      </c>
      <c r="BO116" s="1267">
        <v>5</v>
      </c>
      <c r="BP116" s="1267">
        <v>7.63</v>
      </c>
      <c r="BQ116" s="1267">
        <v>12.75</v>
      </c>
      <c r="BR116" s="1267">
        <v>5.12</v>
      </c>
      <c r="BS116" s="1267" t="s">
        <v>288</v>
      </c>
      <c r="BT116" s="1267" t="s">
        <v>288</v>
      </c>
      <c r="BU116" s="332" t="s">
        <v>288</v>
      </c>
    </row>
    <row r="117" spans="1:73" s="154" customFormat="1" ht="9.9499999999999993" customHeight="1" x14ac:dyDescent="0.2">
      <c r="A117" s="160" t="s">
        <v>1029</v>
      </c>
      <c r="B117" s="275" t="s">
        <v>547</v>
      </c>
      <c r="C117" s="1922">
        <v>96280.6</v>
      </c>
      <c r="D117" s="1922">
        <v>793.6</v>
      </c>
      <c r="E117" s="1922">
        <f t="shared" si="49"/>
        <v>97074.200000000012</v>
      </c>
      <c r="F117" s="1922">
        <v>9775.4</v>
      </c>
      <c r="G117" s="1922">
        <f t="shared" si="50"/>
        <v>87298.800000000017</v>
      </c>
      <c r="H117" s="2056">
        <v>15119.6</v>
      </c>
      <c r="I117" s="1922">
        <v>38725.800000000003</v>
      </c>
      <c r="J117" s="1922">
        <v>62024.9</v>
      </c>
      <c r="K117" s="2056">
        <v>575239.5</v>
      </c>
      <c r="L117" s="1037">
        <f t="shared" si="62"/>
        <v>637264.4</v>
      </c>
      <c r="M117" s="1037">
        <f t="shared" si="63"/>
        <v>675990.20000000007</v>
      </c>
      <c r="N117" s="1922">
        <v>440.2</v>
      </c>
      <c r="O117" s="1037">
        <f t="shared" si="55"/>
        <v>149763.90000000002</v>
      </c>
      <c r="P117" s="1037">
        <f t="shared" si="56"/>
        <v>725003.4</v>
      </c>
      <c r="Q117" s="2056" t="s">
        <v>288</v>
      </c>
      <c r="R117" s="2056" t="s">
        <v>288</v>
      </c>
      <c r="S117" s="1037">
        <v>0</v>
      </c>
      <c r="T117" s="1922">
        <v>14149.6</v>
      </c>
      <c r="U117" s="1922">
        <v>488031.7</v>
      </c>
      <c r="V117" s="1037">
        <f t="shared" si="58"/>
        <v>502181.3</v>
      </c>
      <c r="W117" s="1037">
        <v>0</v>
      </c>
      <c r="X117" s="1922">
        <v>1316</v>
      </c>
      <c r="Y117" s="1922">
        <v>17211.2</v>
      </c>
      <c r="Z117" s="1037">
        <f t="shared" si="59"/>
        <v>18527.2</v>
      </c>
      <c r="AA117" s="2064">
        <v>6239.9</v>
      </c>
      <c r="AB117" s="2064">
        <v>163059.6</v>
      </c>
      <c r="AC117" s="2069">
        <v>12642.9</v>
      </c>
      <c r="AD117" s="2065">
        <f t="shared" si="60"/>
        <v>175702.5</v>
      </c>
      <c r="AE117" s="1037">
        <f t="shared" si="57"/>
        <v>6239.9</v>
      </c>
      <c r="AF117" s="1037">
        <f t="shared" si="57"/>
        <v>178525.2</v>
      </c>
      <c r="AG117" s="1037">
        <f t="shared" si="57"/>
        <v>517885.80000000005</v>
      </c>
      <c r="AH117" s="1037">
        <f t="shared" si="57"/>
        <v>696411</v>
      </c>
      <c r="AI117" s="1922">
        <v>5489.4</v>
      </c>
      <c r="AJ117" s="1922">
        <v>12093.2</v>
      </c>
      <c r="AK117" s="2056">
        <v>8870.6</v>
      </c>
      <c r="AL117" s="1922">
        <f>20+129.3+1.4</f>
        <v>150.70000000000002</v>
      </c>
      <c r="AM117" s="1922">
        <f>676017-8.95</f>
        <v>676008.05</v>
      </c>
      <c r="AN117" s="1922">
        <v>6034.1</v>
      </c>
      <c r="AO117" s="1037">
        <f t="shared" si="61"/>
        <v>682042.15</v>
      </c>
      <c r="AP117" s="1037">
        <f t="shared" si="65"/>
        <v>44332.739750000001</v>
      </c>
      <c r="AQ117" s="2046">
        <f t="shared" si="64"/>
        <v>1785.3602499999979</v>
      </c>
      <c r="AR117" s="2056">
        <v>46118.1</v>
      </c>
      <c r="AS117" s="1922">
        <v>1804784.2</v>
      </c>
      <c r="AT117" s="2046">
        <f t="shared" si="40"/>
        <v>143192.30000000002</v>
      </c>
      <c r="AU117" s="1922">
        <f>86.8+10.4</f>
        <v>97.2</v>
      </c>
      <c r="AV117" s="1922">
        <v>9110.7999999999993</v>
      </c>
      <c r="AW117" s="1922">
        <f>1237.9+461.8+772.3</f>
        <v>2472</v>
      </c>
      <c r="AX117" s="1922">
        <f>158756.2+3812.8</f>
        <v>162569</v>
      </c>
      <c r="AY117" s="1037">
        <f t="shared" si="53"/>
        <v>174249</v>
      </c>
      <c r="AZ117" s="1289">
        <v>3.16</v>
      </c>
      <c r="BA117" s="1289">
        <v>14.45</v>
      </c>
      <c r="BB117" s="1289">
        <v>2.91</v>
      </c>
      <c r="BC117" s="1289">
        <v>3.18</v>
      </c>
      <c r="BD117" s="1289">
        <v>3.48</v>
      </c>
      <c r="BE117" s="1289" t="s">
        <v>288</v>
      </c>
      <c r="BF117" s="2047">
        <v>8849</v>
      </c>
      <c r="BG117" s="2047">
        <v>3541</v>
      </c>
      <c r="BH117" s="354"/>
      <c r="BI117" s="354"/>
      <c r="BJ117" s="354"/>
      <c r="BK117" s="1289">
        <f t="shared" si="42"/>
        <v>103.01815192881207</v>
      </c>
      <c r="BL117" s="1289">
        <f t="shared" si="43"/>
        <v>76.393722454514645</v>
      </c>
      <c r="BM117" s="1289">
        <f t="shared" si="44"/>
        <v>78.699401062266929</v>
      </c>
      <c r="BN117" s="1289">
        <f t="shared" si="45"/>
        <v>8.2681707710433336</v>
      </c>
      <c r="BO117" s="1289">
        <v>5</v>
      </c>
      <c r="BP117" s="1289">
        <v>7.48</v>
      </c>
      <c r="BQ117" s="1289">
        <v>12.58</v>
      </c>
      <c r="BR117" s="1289">
        <v>5.0999999999999996</v>
      </c>
      <c r="BS117" s="1289">
        <v>11.73</v>
      </c>
      <c r="BT117" s="1289">
        <v>16.13</v>
      </c>
      <c r="BU117" s="1289">
        <v>4.4000000000000004</v>
      </c>
    </row>
    <row r="118" spans="1:73" s="154" customFormat="1" ht="9.9499999999999993" customHeight="1" x14ac:dyDescent="0.2">
      <c r="A118" s="160" t="s">
        <v>1029</v>
      </c>
      <c r="B118" s="236" t="s">
        <v>554</v>
      </c>
      <c r="C118" s="1924">
        <v>90992.1</v>
      </c>
      <c r="D118" s="1924">
        <v>796.1</v>
      </c>
      <c r="E118" s="1924">
        <f t="shared" si="49"/>
        <v>91788.200000000012</v>
      </c>
      <c r="F118" s="1924">
        <v>8679.5</v>
      </c>
      <c r="G118" s="1924">
        <f t="shared" si="50"/>
        <v>83108.700000000012</v>
      </c>
      <c r="H118" s="2057">
        <v>156343</v>
      </c>
      <c r="I118" s="1924">
        <v>40339.300000000003</v>
      </c>
      <c r="J118" s="1924">
        <v>58720.3</v>
      </c>
      <c r="K118" s="1924">
        <v>578709</v>
      </c>
      <c r="L118" s="2050">
        <f t="shared" si="62"/>
        <v>637429.30000000005</v>
      </c>
      <c r="M118" s="2050">
        <f t="shared" si="63"/>
        <v>677768.60000000009</v>
      </c>
      <c r="N118" s="1924">
        <v>426.9</v>
      </c>
      <c r="O118" s="2050">
        <f t="shared" si="55"/>
        <v>142255.9</v>
      </c>
      <c r="P118" s="2050">
        <f t="shared" si="56"/>
        <v>720964.9</v>
      </c>
      <c r="Q118" s="2057" t="s">
        <v>288</v>
      </c>
      <c r="R118" s="2057" t="s">
        <v>288</v>
      </c>
      <c r="S118" s="2050">
        <v>0</v>
      </c>
      <c r="T118" s="1924">
        <v>14571</v>
      </c>
      <c r="U118" s="1924">
        <v>491584.5</v>
      </c>
      <c r="V118" s="2050">
        <f t="shared" si="58"/>
        <v>506155.5</v>
      </c>
      <c r="W118" s="2050">
        <v>0</v>
      </c>
      <c r="X118" s="1924">
        <v>1324.4</v>
      </c>
      <c r="Y118" s="1924">
        <v>16268.3</v>
      </c>
      <c r="Z118" s="2050">
        <f t="shared" si="59"/>
        <v>17592.7</v>
      </c>
      <c r="AA118" s="2066">
        <v>7790.8</v>
      </c>
      <c r="AB118" s="2066">
        <v>164536.29999999999</v>
      </c>
      <c r="AC118" s="2067">
        <v>12895.5</v>
      </c>
      <c r="AD118" s="2068">
        <f t="shared" si="60"/>
        <v>177431.8</v>
      </c>
      <c r="AE118" s="2050">
        <f t="shared" si="57"/>
        <v>7790.8</v>
      </c>
      <c r="AF118" s="2050">
        <f t="shared" si="57"/>
        <v>180431.69999999998</v>
      </c>
      <c r="AG118" s="2050">
        <f t="shared" si="57"/>
        <v>520748.3</v>
      </c>
      <c r="AH118" s="2050">
        <f t="shared" si="57"/>
        <v>701180</v>
      </c>
      <c r="AI118" s="1924">
        <v>5558.6</v>
      </c>
      <c r="AJ118" s="1924">
        <v>9792.2000000000007</v>
      </c>
      <c r="AK118" s="2057">
        <v>9436.7000000000007</v>
      </c>
      <c r="AL118" s="1924">
        <f>125+5.3+1.4</f>
        <v>131.70000000000002</v>
      </c>
      <c r="AM118" s="1924">
        <f>677796.6-8.86</f>
        <v>677787.74</v>
      </c>
      <c r="AN118" s="1924">
        <v>6423.5</v>
      </c>
      <c r="AO118" s="2050">
        <f t="shared" si="61"/>
        <v>684211.24</v>
      </c>
      <c r="AP118" s="2050">
        <f t="shared" si="65"/>
        <v>44473.730600000003</v>
      </c>
      <c r="AQ118" s="2040">
        <f>AR118-AP118</f>
        <v>3374.9693999999945</v>
      </c>
      <c r="AR118" s="2057">
        <v>47848.7</v>
      </c>
      <c r="AS118" s="1924">
        <v>1823708.1</v>
      </c>
      <c r="AT118" s="2040">
        <f t="shared" si="40"/>
        <v>139636.90000000002</v>
      </c>
      <c r="AU118" s="1924">
        <v>0.2</v>
      </c>
      <c r="AV118" s="1924">
        <v>8696.6</v>
      </c>
      <c r="AW118" s="1924">
        <f>1250.8+342+1411</f>
        <v>3003.8</v>
      </c>
      <c r="AX118" s="1924">
        <f>159966.3+4077.8</f>
        <v>164044.09999999998</v>
      </c>
      <c r="AY118" s="2050">
        <f t="shared" si="53"/>
        <v>175744.69999999998</v>
      </c>
      <c r="AZ118" s="1267">
        <v>0.09</v>
      </c>
      <c r="BA118" s="1267">
        <v>13.6</v>
      </c>
      <c r="BB118" s="1267">
        <v>3.47</v>
      </c>
      <c r="BC118" s="1267">
        <v>3.05</v>
      </c>
      <c r="BD118" s="1267">
        <v>2.9</v>
      </c>
      <c r="BE118" s="1267" t="s">
        <v>288</v>
      </c>
      <c r="BF118" s="2051">
        <v>8894</v>
      </c>
      <c r="BG118" s="2051">
        <v>3543</v>
      </c>
      <c r="BH118" s="354"/>
      <c r="BI118" s="354"/>
      <c r="BJ118" s="354"/>
      <c r="BK118" s="1267">
        <f t="shared" si="42"/>
        <v>103.45126632122322</v>
      </c>
      <c r="BL118" s="1267">
        <f t="shared" si="43"/>
        <v>76.207301551607827</v>
      </c>
      <c r="BM118" s="1267">
        <f t="shared" si="44"/>
        <v>78.837418484371483</v>
      </c>
      <c r="BN118" s="1267">
        <f t="shared" si="45"/>
        <v>8.3401036436569367</v>
      </c>
      <c r="BO118" s="1267">
        <v>5</v>
      </c>
      <c r="BP118" s="1267">
        <v>7.4</v>
      </c>
      <c r="BQ118" s="1267">
        <v>12.49</v>
      </c>
      <c r="BR118" s="1267">
        <v>5.09</v>
      </c>
      <c r="BS118" s="1267">
        <v>11.54</v>
      </c>
      <c r="BT118" s="1267">
        <v>16.04</v>
      </c>
      <c r="BU118" s="1267">
        <v>4.5</v>
      </c>
    </row>
    <row r="119" spans="1:73" s="154" customFormat="1" ht="9.9499999999999993" customHeight="1" x14ac:dyDescent="0.2">
      <c r="A119" s="160" t="s">
        <v>1029</v>
      </c>
      <c r="B119" s="275" t="s">
        <v>555</v>
      </c>
      <c r="C119" s="1922">
        <v>88988.9</v>
      </c>
      <c r="D119" s="1922">
        <v>795.8</v>
      </c>
      <c r="E119" s="1922">
        <f t="shared" si="49"/>
        <v>89784.7</v>
      </c>
      <c r="F119" s="1922">
        <v>8875.7999999999993</v>
      </c>
      <c r="G119" s="1922">
        <f t="shared" si="50"/>
        <v>80908.899999999994</v>
      </c>
      <c r="H119" s="2056">
        <v>15463.7</v>
      </c>
      <c r="I119" s="1922">
        <v>44658.2</v>
      </c>
      <c r="J119" s="1922">
        <v>61079.199999999997</v>
      </c>
      <c r="K119" s="2056">
        <v>582636.6</v>
      </c>
      <c r="L119" s="1037">
        <f t="shared" si="62"/>
        <v>643715.79999999993</v>
      </c>
      <c r="M119" s="1037">
        <f t="shared" si="63"/>
        <v>688373.99999999988</v>
      </c>
      <c r="N119" s="1922">
        <v>440.5</v>
      </c>
      <c r="O119" s="1037">
        <f t="shared" si="55"/>
        <v>142428.59999999998</v>
      </c>
      <c r="P119" s="1037">
        <f t="shared" si="56"/>
        <v>725065.2</v>
      </c>
      <c r="Q119" s="2056" t="s">
        <v>288</v>
      </c>
      <c r="R119" s="2056" t="s">
        <v>288</v>
      </c>
      <c r="S119" s="1037">
        <v>0</v>
      </c>
      <c r="T119" s="1922">
        <v>15350.1</v>
      </c>
      <c r="U119" s="1922">
        <v>497328.4</v>
      </c>
      <c r="V119" s="1037">
        <f t="shared" si="58"/>
        <v>512678.5</v>
      </c>
      <c r="W119" s="1037">
        <v>0</v>
      </c>
      <c r="X119" s="1922">
        <v>1420.9</v>
      </c>
      <c r="Y119" s="1922">
        <v>16567.5</v>
      </c>
      <c r="Z119" s="1037">
        <f t="shared" si="59"/>
        <v>17988.400000000001</v>
      </c>
      <c r="AA119" s="2064">
        <f>4434.7+6576.3</f>
        <v>11011</v>
      </c>
      <c r="AB119" s="2064">
        <v>164112.9</v>
      </c>
      <c r="AC119" s="2069">
        <v>12651.7</v>
      </c>
      <c r="AD119" s="2065">
        <f t="shared" si="60"/>
        <v>176764.6</v>
      </c>
      <c r="AE119" s="1037">
        <f t="shared" si="57"/>
        <v>11011</v>
      </c>
      <c r="AF119" s="1037">
        <f t="shared" si="57"/>
        <v>180883.9</v>
      </c>
      <c r="AG119" s="1037">
        <f t="shared" si="57"/>
        <v>526547.6</v>
      </c>
      <c r="AH119" s="1037">
        <f t="shared" si="57"/>
        <v>707431.5</v>
      </c>
      <c r="AI119" s="1922">
        <v>5335.3</v>
      </c>
      <c r="AJ119" s="1922">
        <v>5966</v>
      </c>
      <c r="AK119" s="2056">
        <v>11485.6</v>
      </c>
      <c r="AL119" s="1922">
        <f>70+14.3+1.4+10.8</f>
        <v>96.5</v>
      </c>
      <c r="AM119" s="1922">
        <f>688401.4-9.84</f>
        <v>688391.56</v>
      </c>
      <c r="AN119" s="1922">
        <v>6833.8</v>
      </c>
      <c r="AO119" s="1037">
        <f t="shared" si="61"/>
        <v>695225.3600000001</v>
      </c>
      <c r="AP119" s="1037">
        <f t="shared" si="65"/>
        <v>45189.648400000005</v>
      </c>
      <c r="AQ119" s="2046">
        <f t="shared" si="64"/>
        <v>2403.5515999999916</v>
      </c>
      <c r="AR119" s="2056">
        <v>47593.2</v>
      </c>
      <c r="AS119" s="1922">
        <v>1859258.7</v>
      </c>
      <c r="AT119" s="2046">
        <f t="shared" si="40"/>
        <v>137377.9</v>
      </c>
      <c r="AU119" s="1922">
        <v>0.2</v>
      </c>
      <c r="AV119" s="1922">
        <v>9789.4</v>
      </c>
      <c r="AW119" s="1922">
        <f>1347.8+199.7+1567.9</f>
        <v>3115.4</v>
      </c>
      <c r="AX119" s="1922">
        <f>159474.1+4148.8</f>
        <v>163622.9</v>
      </c>
      <c r="AY119" s="1037">
        <f t="shared" si="53"/>
        <v>176527.9</v>
      </c>
      <c r="AZ119" s="1289">
        <v>-2.42</v>
      </c>
      <c r="BA119" s="1289">
        <v>27.96</v>
      </c>
      <c r="BB119" s="1289">
        <v>4.6100000000000003</v>
      </c>
      <c r="BC119" s="1289">
        <v>3.78</v>
      </c>
      <c r="BD119" s="1289">
        <v>6.12</v>
      </c>
      <c r="BE119" s="1289" t="s">
        <v>288</v>
      </c>
      <c r="BF119" s="2047">
        <v>8945</v>
      </c>
      <c r="BG119" s="2047">
        <v>3543</v>
      </c>
      <c r="BH119" s="354"/>
      <c r="BI119" s="354"/>
      <c r="BJ119" s="354"/>
      <c r="BK119" s="1289">
        <f t="shared" si="42"/>
        <v>102.76585901198439</v>
      </c>
      <c r="BL119" s="1289">
        <f t="shared" si="43"/>
        <v>76.958251537171606</v>
      </c>
      <c r="BM119" s="1289">
        <f t="shared" si="44"/>
        <v>79.086808272778086</v>
      </c>
      <c r="BN119" s="1289">
        <f t="shared" si="45"/>
        <v>8.2030349122816073</v>
      </c>
      <c r="BO119" s="1289">
        <v>5</v>
      </c>
      <c r="BP119" s="1289">
        <v>7.32</v>
      </c>
      <c r="BQ119" s="1289">
        <v>12.49</v>
      </c>
      <c r="BR119" s="1289">
        <v>5.17</v>
      </c>
      <c r="BS119" s="1289">
        <v>11.36</v>
      </c>
      <c r="BT119" s="1289">
        <v>15.94</v>
      </c>
      <c r="BU119" s="1289">
        <v>4.58</v>
      </c>
    </row>
    <row r="120" spans="1:73" s="154" customFormat="1" ht="9.9499999999999993" customHeight="1" x14ac:dyDescent="0.2">
      <c r="A120" s="160" t="s">
        <v>1029</v>
      </c>
      <c r="B120" s="236" t="s">
        <v>548</v>
      </c>
      <c r="C120" s="1924">
        <v>89742.6</v>
      </c>
      <c r="D120" s="1924">
        <v>795.7</v>
      </c>
      <c r="E120" s="1924">
        <f t="shared" si="49"/>
        <v>90538.3</v>
      </c>
      <c r="F120" s="1924">
        <v>8588.1</v>
      </c>
      <c r="G120" s="1924">
        <f t="shared" si="50"/>
        <v>81950.2</v>
      </c>
      <c r="H120" s="2057">
        <v>182764</v>
      </c>
      <c r="I120" s="1924">
        <v>45696.9</v>
      </c>
      <c r="J120" s="1924">
        <v>65636</v>
      </c>
      <c r="K120" s="2057">
        <v>593215.6</v>
      </c>
      <c r="L120" s="2050">
        <f t="shared" si="62"/>
        <v>658851.6</v>
      </c>
      <c r="M120" s="2050">
        <f t="shared" si="63"/>
        <v>704548.5</v>
      </c>
      <c r="N120" s="1924">
        <v>446.5</v>
      </c>
      <c r="O120" s="2050">
        <f t="shared" si="55"/>
        <v>148032.70000000001</v>
      </c>
      <c r="P120" s="2050">
        <f t="shared" si="56"/>
        <v>741248.3</v>
      </c>
      <c r="Q120" s="2057" t="s">
        <v>288</v>
      </c>
      <c r="R120" s="2057" t="s">
        <v>288</v>
      </c>
      <c r="S120" s="2050">
        <v>0</v>
      </c>
      <c r="T120" s="1924">
        <v>17778</v>
      </c>
      <c r="U120" s="1924">
        <v>509685.7</v>
      </c>
      <c r="V120" s="2050">
        <f t="shared" si="58"/>
        <v>527463.69999999995</v>
      </c>
      <c r="W120" s="2050">
        <v>0</v>
      </c>
      <c r="X120" s="1924">
        <v>1218.5999999999999</v>
      </c>
      <c r="Y120" s="1924">
        <v>16467.2</v>
      </c>
      <c r="Z120" s="2050">
        <f t="shared" si="59"/>
        <v>17685.8</v>
      </c>
      <c r="AA120" s="2066">
        <v>9297.1</v>
      </c>
      <c r="AB120" s="2066">
        <v>164916.29999999999</v>
      </c>
      <c r="AC120" s="2067">
        <v>12688.8</v>
      </c>
      <c r="AD120" s="2068">
        <f t="shared" si="60"/>
        <v>177605.09999999998</v>
      </c>
      <c r="AE120" s="2050">
        <f t="shared" ref="AE120:AH126" si="66">S120+W120+AA120</f>
        <v>9297.1</v>
      </c>
      <c r="AF120" s="2050">
        <f t="shared" si="66"/>
        <v>183912.9</v>
      </c>
      <c r="AG120" s="2050">
        <f t="shared" si="66"/>
        <v>538841.70000000007</v>
      </c>
      <c r="AH120" s="2050">
        <f t="shared" si="66"/>
        <v>722754.6</v>
      </c>
      <c r="AI120" s="1924">
        <v>5755.8</v>
      </c>
      <c r="AJ120" s="1924">
        <v>8567.6</v>
      </c>
      <c r="AK120" s="2057">
        <v>9932.7000000000007</v>
      </c>
      <c r="AL120" s="1924">
        <f>30+8.3+1.4+46.3</f>
        <v>86</v>
      </c>
      <c r="AM120" s="1924">
        <f>704574.6-11.46</f>
        <v>704563.14</v>
      </c>
      <c r="AN120" s="1924">
        <v>6480.5</v>
      </c>
      <c r="AO120" s="2050">
        <f t="shared" si="61"/>
        <v>711043.64</v>
      </c>
      <c r="AP120" s="2050">
        <f t="shared" si="65"/>
        <v>46217.836600000002</v>
      </c>
      <c r="AQ120" s="2040">
        <f t="shared" si="64"/>
        <v>1941.7633999999962</v>
      </c>
      <c r="AR120" s="2057">
        <v>48159.6</v>
      </c>
      <c r="AS120" s="1924">
        <v>1786955</v>
      </c>
      <c r="AT120" s="2040">
        <f t="shared" si="40"/>
        <v>138697.9</v>
      </c>
      <c r="AU120" s="1924">
        <v>13.6</v>
      </c>
      <c r="AV120" s="1924">
        <v>9888.1</v>
      </c>
      <c r="AW120" s="1924">
        <f>1143.4+431.9+1921.3</f>
        <v>3496.6000000000004</v>
      </c>
      <c r="AX120" s="1924">
        <f>161575.1+2712</f>
        <v>164287.1</v>
      </c>
      <c r="AY120" s="2050">
        <f t="shared" si="53"/>
        <v>177685.4</v>
      </c>
      <c r="AZ120" s="1267">
        <v>-4.63</v>
      </c>
      <c r="BA120" s="1267">
        <v>43.18</v>
      </c>
      <c r="BB120" s="1267">
        <v>7.05</v>
      </c>
      <c r="BC120" s="1267">
        <v>5.62</v>
      </c>
      <c r="BD120" s="1267">
        <v>7.14</v>
      </c>
      <c r="BE120" s="1267" t="s">
        <v>288</v>
      </c>
      <c r="BF120" s="2051">
        <v>9040</v>
      </c>
      <c r="BG120" s="2051">
        <v>3553</v>
      </c>
      <c r="BH120" s="354"/>
      <c r="BI120" s="354"/>
      <c r="BJ120" s="354"/>
      <c r="BK120" s="1267">
        <f t="shared" si="42"/>
        <v>102.58194886550551</v>
      </c>
      <c r="BL120" s="1267">
        <f t="shared" si="43"/>
        <v>77.938400442477871</v>
      </c>
      <c r="BM120" s="1267">
        <f t="shared" si="44"/>
        <v>79.950730088495575</v>
      </c>
      <c r="BN120" s="1267">
        <f t="shared" si="45"/>
        <v>8.0543100792925379</v>
      </c>
      <c r="BO120" s="1267">
        <v>5</v>
      </c>
      <c r="BP120" s="1267">
        <v>7.25</v>
      </c>
      <c r="BQ120" s="1267">
        <v>12.46</v>
      </c>
      <c r="BR120" s="1267">
        <v>5.21</v>
      </c>
      <c r="BS120" s="1267">
        <v>11.2</v>
      </c>
      <c r="BT120" s="1267">
        <v>15.83</v>
      </c>
      <c r="BU120" s="1267">
        <v>4.63</v>
      </c>
    </row>
    <row r="121" spans="1:73" s="154" customFormat="1" ht="9.9499999999999993" customHeight="1" x14ac:dyDescent="0.2">
      <c r="A121" s="160" t="s">
        <v>1029</v>
      </c>
      <c r="B121" s="275" t="s">
        <v>556</v>
      </c>
      <c r="C121" s="1922">
        <v>90987.3</v>
      </c>
      <c r="D121" s="1922">
        <v>795.4</v>
      </c>
      <c r="E121" s="1922">
        <f t="shared" si="49"/>
        <v>91782.7</v>
      </c>
      <c r="F121" s="1922">
        <v>9058.9</v>
      </c>
      <c r="G121" s="1922">
        <f t="shared" si="50"/>
        <v>82723.8</v>
      </c>
      <c r="H121" s="2056">
        <v>15711.8</v>
      </c>
      <c r="I121" s="1922">
        <v>44363.3</v>
      </c>
      <c r="J121" s="1922">
        <v>61436.9</v>
      </c>
      <c r="K121" s="2056">
        <v>593906.80000000005</v>
      </c>
      <c r="L121" s="1037">
        <f t="shared" si="62"/>
        <v>655343.70000000007</v>
      </c>
      <c r="M121" s="1037">
        <f t="shared" si="63"/>
        <v>699707.00000000012</v>
      </c>
      <c r="N121" s="1922">
        <v>459</v>
      </c>
      <c r="O121" s="1037">
        <f t="shared" si="55"/>
        <v>144619.70000000001</v>
      </c>
      <c r="P121" s="1037">
        <f t="shared" si="56"/>
        <v>738526.5</v>
      </c>
      <c r="Q121" s="2056" t="s">
        <v>288</v>
      </c>
      <c r="R121" s="2056" t="s">
        <v>288</v>
      </c>
      <c r="S121" s="1037">
        <v>0</v>
      </c>
      <c r="T121" s="1922">
        <v>16953.2</v>
      </c>
      <c r="U121" s="1922">
        <v>507731.1</v>
      </c>
      <c r="V121" s="1037">
        <f t="shared" si="58"/>
        <v>524684.29999999993</v>
      </c>
      <c r="W121" s="1037">
        <v>0</v>
      </c>
      <c r="X121" s="1922">
        <v>1273</v>
      </c>
      <c r="Y121" s="1922">
        <v>16768.5</v>
      </c>
      <c r="Z121" s="1037">
        <f t="shared" si="59"/>
        <v>18041.5</v>
      </c>
      <c r="AA121" s="2064">
        <v>9144.6</v>
      </c>
      <c r="AB121" s="2064">
        <v>162593.20000000001</v>
      </c>
      <c r="AC121" s="2069">
        <v>12750.5</v>
      </c>
      <c r="AD121" s="2065">
        <f t="shared" si="60"/>
        <v>175343.7</v>
      </c>
      <c r="AE121" s="1037">
        <f t="shared" si="66"/>
        <v>9144.6</v>
      </c>
      <c r="AF121" s="1037">
        <f t="shared" si="66"/>
        <v>180819.40000000002</v>
      </c>
      <c r="AG121" s="1037">
        <f t="shared" si="66"/>
        <v>537250.1</v>
      </c>
      <c r="AH121" s="1037">
        <f t="shared" si="66"/>
        <v>718069.5</v>
      </c>
      <c r="AI121" s="1922">
        <v>5414.8</v>
      </c>
      <c r="AJ121" s="1922">
        <v>7508.1</v>
      </c>
      <c r="AK121" s="2056">
        <v>9231.7999999999993</v>
      </c>
      <c r="AL121" s="1922">
        <f>156+12.9+1.4+63.7</f>
        <v>234</v>
      </c>
      <c r="AM121" s="1922">
        <f>699734.3-10</f>
        <v>699724.3</v>
      </c>
      <c r="AN121" s="1922">
        <v>6557.4</v>
      </c>
      <c r="AO121" s="1037">
        <f t="shared" si="61"/>
        <v>706281.70000000007</v>
      </c>
      <c r="AP121" s="1037">
        <f t="shared" si="65"/>
        <v>45908.310500000007</v>
      </c>
      <c r="AQ121" s="2046">
        <f t="shared" si="64"/>
        <v>1482.7894999999917</v>
      </c>
      <c r="AR121" s="2056">
        <v>47391.1</v>
      </c>
      <c r="AS121" s="1922">
        <v>1774497</v>
      </c>
      <c r="AT121" s="2046">
        <f t="shared" si="40"/>
        <v>139173.79999999999</v>
      </c>
      <c r="AU121" s="1922">
        <v>8.3000000000000007</v>
      </c>
      <c r="AV121" s="1922">
        <v>9482.9</v>
      </c>
      <c r="AW121" s="1922">
        <f>1190.4+328.8+1516.1</f>
        <v>3035.3</v>
      </c>
      <c r="AX121" s="1922">
        <f>158783.2+3178.2</f>
        <v>161961.40000000002</v>
      </c>
      <c r="AY121" s="1037">
        <f t="shared" si="53"/>
        <v>174487.90000000002</v>
      </c>
      <c r="AZ121" s="1289">
        <v>-5.37</v>
      </c>
      <c r="BA121" s="1289">
        <v>40.5</v>
      </c>
      <c r="BB121" s="1289">
        <v>6.75</v>
      </c>
      <c r="BC121" s="1289">
        <v>5.19</v>
      </c>
      <c r="BD121" s="1289">
        <v>5.41</v>
      </c>
      <c r="BE121" s="1289" t="s">
        <v>288</v>
      </c>
      <c r="BF121" s="2047">
        <v>9051</v>
      </c>
      <c r="BG121" s="2047">
        <v>3618</v>
      </c>
      <c r="BH121" s="354"/>
      <c r="BI121" s="354"/>
      <c r="BJ121" s="354"/>
      <c r="BK121" s="1289">
        <f t="shared" si="42"/>
        <v>102.62177546213557</v>
      </c>
      <c r="BL121" s="1289">
        <f t="shared" si="43"/>
        <v>77.309059772400843</v>
      </c>
      <c r="BM121" s="1289">
        <f t="shared" si="44"/>
        <v>79.335929731521375</v>
      </c>
      <c r="BN121" s="1289">
        <f t="shared" si="45"/>
        <v>8.0674631422690339</v>
      </c>
      <c r="BO121" s="1289">
        <v>5</v>
      </c>
      <c r="BP121" s="1289">
        <v>7.26</v>
      </c>
      <c r="BQ121" s="1289">
        <v>12.32</v>
      </c>
      <c r="BR121" s="1289">
        <v>5.0599999999999996</v>
      </c>
      <c r="BS121" s="1289">
        <v>11.12</v>
      </c>
      <c r="BT121" s="1289">
        <v>15.68</v>
      </c>
      <c r="BU121" s="1289">
        <v>4.57</v>
      </c>
    </row>
    <row r="122" spans="1:73" s="154" customFormat="1" ht="9.9499999999999993" customHeight="1" x14ac:dyDescent="0.2">
      <c r="A122" s="160" t="s">
        <v>1029</v>
      </c>
      <c r="B122" s="236" t="s">
        <v>557</v>
      </c>
      <c r="C122" s="1924">
        <v>91668.4</v>
      </c>
      <c r="D122" s="1924">
        <v>794.6</v>
      </c>
      <c r="E122" s="1924">
        <f t="shared" si="49"/>
        <v>92463</v>
      </c>
      <c r="F122" s="1924">
        <v>9395.2999999999993</v>
      </c>
      <c r="G122" s="1924">
        <f t="shared" si="50"/>
        <v>83067.7</v>
      </c>
      <c r="H122" s="1924">
        <v>14972</v>
      </c>
      <c r="I122" s="1924">
        <v>44696.2</v>
      </c>
      <c r="J122" s="1924">
        <v>61984.5</v>
      </c>
      <c r="K122" s="2057">
        <v>601576.80000000005</v>
      </c>
      <c r="L122" s="2050">
        <f t="shared" si="62"/>
        <v>663561.30000000005</v>
      </c>
      <c r="M122" s="2050">
        <f t="shared" si="63"/>
        <v>708257.5</v>
      </c>
      <c r="N122" s="1924">
        <v>457.5</v>
      </c>
      <c r="O122" s="2050">
        <f t="shared" si="55"/>
        <v>145509.70000000001</v>
      </c>
      <c r="P122" s="2050">
        <f t="shared" si="56"/>
        <v>747086.5</v>
      </c>
      <c r="Q122" s="2057" t="s">
        <v>288</v>
      </c>
      <c r="R122" s="2057" t="s">
        <v>288</v>
      </c>
      <c r="S122" s="2050">
        <v>0</v>
      </c>
      <c r="T122" s="1924">
        <v>16380</v>
      </c>
      <c r="U122" s="1924">
        <v>512223.8</v>
      </c>
      <c r="V122" s="2050">
        <f t="shared" si="58"/>
        <v>528603.80000000005</v>
      </c>
      <c r="W122" s="2050">
        <v>0</v>
      </c>
      <c r="X122" s="1924">
        <v>1266.2</v>
      </c>
      <c r="Y122" s="1924">
        <v>15753.5</v>
      </c>
      <c r="Z122" s="2050">
        <f t="shared" si="59"/>
        <v>17019.7</v>
      </c>
      <c r="AA122" s="2066">
        <v>11384.3</v>
      </c>
      <c r="AB122" s="2066">
        <v>161721.70000000001</v>
      </c>
      <c r="AC122" s="2067">
        <v>12978.2</v>
      </c>
      <c r="AD122" s="2068">
        <f t="shared" si="60"/>
        <v>174699.90000000002</v>
      </c>
      <c r="AE122" s="2050">
        <f t="shared" si="66"/>
        <v>11384.3</v>
      </c>
      <c r="AF122" s="2050">
        <f t="shared" si="66"/>
        <v>179367.90000000002</v>
      </c>
      <c r="AG122" s="2050">
        <f t="shared" si="66"/>
        <v>540955.5</v>
      </c>
      <c r="AH122" s="2050">
        <f t="shared" si="66"/>
        <v>720323.4</v>
      </c>
      <c r="AI122" s="1924">
        <v>4982.5</v>
      </c>
      <c r="AJ122" s="1924">
        <v>6774</v>
      </c>
      <c r="AK122" s="2057">
        <v>12860.9</v>
      </c>
      <c r="AL122" s="1924">
        <v>133.9</v>
      </c>
      <c r="AM122" s="1924">
        <f>708284.7-9.8</f>
        <v>708274.89999999991</v>
      </c>
      <c r="AN122" s="1924">
        <v>6957.9</v>
      </c>
      <c r="AO122" s="2050">
        <f t="shared" si="61"/>
        <v>715232.79999999993</v>
      </c>
      <c r="AP122" s="2050">
        <f t="shared" si="65"/>
        <v>46490.131999999998</v>
      </c>
      <c r="AQ122" s="2040">
        <f t="shared" si="64"/>
        <v>601.5679999999993</v>
      </c>
      <c r="AR122" s="2057">
        <v>47091.7</v>
      </c>
      <c r="AS122" s="1924">
        <v>1825031.3</v>
      </c>
      <c r="AT122" s="2040">
        <f t="shared" si="40"/>
        <v>139554.70000000001</v>
      </c>
      <c r="AU122" s="1924">
        <v>4.0999999999999996</v>
      </c>
      <c r="AV122" s="1924">
        <f>8935.9</f>
        <v>8935.9</v>
      </c>
      <c r="AW122" s="1924">
        <f>1178.9+250.1+1567.4</f>
        <v>2996.4</v>
      </c>
      <c r="AX122" s="1924">
        <f>158291.7+2810.1</f>
        <v>161101.80000000002</v>
      </c>
      <c r="AY122" s="2050">
        <f t="shared" si="53"/>
        <v>173038.2</v>
      </c>
      <c r="AZ122" s="1267">
        <v>-5.81</v>
      </c>
      <c r="BA122" s="1267">
        <v>36.14</v>
      </c>
      <c r="BB122" s="1267">
        <v>7.46</v>
      </c>
      <c r="BC122" s="1267">
        <v>5.59</v>
      </c>
      <c r="BD122" s="1267">
        <v>6.63</v>
      </c>
      <c r="BE122" s="1267" t="s">
        <v>288</v>
      </c>
      <c r="BF122" s="2051">
        <v>9060</v>
      </c>
      <c r="BG122" s="2051">
        <v>3623</v>
      </c>
      <c r="BH122" s="354"/>
      <c r="BI122" s="354"/>
      <c r="BJ122" s="354"/>
      <c r="BK122" s="1267">
        <f t="shared" si="42"/>
        <v>101.70110503704142</v>
      </c>
      <c r="BL122" s="1267">
        <f t="shared" si="43"/>
        <v>78.176037527593806</v>
      </c>
      <c r="BM122" s="1267">
        <f t="shared" si="44"/>
        <v>79.505894039735097</v>
      </c>
      <c r="BN122" s="1267">
        <f t="shared" si="45"/>
        <v>7.9752932088938921</v>
      </c>
      <c r="BO122" s="1267">
        <v>5</v>
      </c>
      <c r="BP122" s="1267">
        <v>7.19</v>
      </c>
      <c r="BQ122" s="1267">
        <v>12.23</v>
      </c>
      <c r="BR122" s="1267">
        <v>5.04</v>
      </c>
      <c r="BS122" s="1267">
        <v>11.04</v>
      </c>
      <c r="BT122" s="1267">
        <v>15.6</v>
      </c>
      <c r="BU122" s="1267">
        <v>4.5599999999999996</v>
      </c>
    </row>
    <row r="123" spans="1:73" s="154" customFormat="1" ht="9.9499999999999993" customHeight="1" x14ac:dyDescent="0.2">
      <c r="A123" s="160" t="s">
        <v>1029</v>
      </c>
      <c r="B123" s="275" t="s">
        <v>549</v>
      </c>
      <c r="C123" s="1922">
        <v>91101.2</v>
      </c>
      <c r="D123" s="1922">
        <v>793.6</v>
      </c>
      <c r="E123" s="1922">
        <f t="shared" si="49"/>
        <v>91894.8</v>
      </c>
      <c r="F123" s="1922">
        <v>9769.5</v>
      </c>
      <c r="G123" s="1922">
        <f t="shared" si="50"/>
        <v>82125.3</v>
      </c>
      <c r="H123" s="1922">
        <v>14550.3</v>
      </c>
      <c r="I123" s="1922">
        <v>44685</v>
      </c>
      <c r="J123" s="1922">
        <v>64202.1</v>
      </c>
      <c r="K123" s="2056">
        <v>604564.9</v>
      </c>
      <c r="L123" s="1037">
        <f t="shared" si="62"/>
        <v>668767</v>
      </c>
      <c r="M123" s="1037">
        <f t="shared" si="63"/>
        <v>713452</v>
      </c>
      <c r="N123" s="1922">
        <v>494.2</v>
      </c>
      <c r="O123" s="1037">
        <f t="shared" si="55"/>
        <v>146821.6</v>
      </c>
      <c r="P123" s="1037">
        <f t="shared" si="56"/>
        <v>751386.5</v>
      </c>
      <c r="Q123" s="2056" t="s">
        <v>288</v>
      </c>
      <c r="R123" s="2056" t="s">
        <v>288</v>
      </c>
      <c r="S123" s="1037">
        <v>0</v>
      </c>
      <c r="T123" s="1922">
        <v>16408.099999999999</v>
      </c>
      <c r="U123" s="1922">
        <v>517205.1</v>
      </c>
      <c r="V123" s="1037">
        <f t="shared" si="58"/>
        <v>533613.19999999995</v>
      </c>
      <c r="W123" s="1037">
        <v>0</v>
      </c>
      <c r="X123" s="1922">
        <v>1241.5</v>
      </c>
      <c r="Y123" s="1922">
        <v>17837.8</v>
      </c>
      <c r="Z123" s="1037">
        <f t="shared" si="59"/>
        <v>19079.3</v>
      </c>
      <c r="AA123" s="2064">
        <v>10894.3</v>
      </c>
      <c r="AB123" s="2064">
        <v>163059.9</v>
      </c>
      <c r="AC123" s="2069">
        <v>13026.5</v>
      </c>
      <c r="AD123" s="2065">
        <f t="shared" si="60"/>
        <v>176086.39999999999</v>
      </c>
      <c r="AE123" s="1037">
        <f t="shared" si="66"/>
        <v>10894.3</v>
      </c>
      <c r="AF123" s="1037">
        <f t="shared" si="66"/>
        <v>180709.5</v>
      </c>
      <c r="AG123" s="1037">
        <f t="shared" si="66"/>
        <v>548069.4</v>
      </c>
      <c r="AH123" s="1037">
        <f t="shared" si="66"/>
        <v>728778.9</v>
      </c>
      <c r="AI123" s="1922">
        <v>4425.1000000000004</v>
      </c>
      <c r="AJ123" s="1922">
        <v>9469.4</v>
      </c>
      <c r="AK123" s="2056">
        <v>11504.3</v>
      </c>
      <c r="AL123" s="1922">
        <f>20+43.7+1.4+9.1</f>
        <v>74.2</v>
      </c>
      <c r="AM123" s="1922">
        <f>713479.2-9.47</f>
        <v>713469.73</v>
      </c>
      <c r="AN123" s="1922">
        <v>6238.8</v>
      </c>
      <c r="AO123" s="1037">
        <f t="shared" si="61"/>
        <v>719708.53</v>
      </c>
      <c r="AP123" s="1037">
        <f t="shared" si="65"/>
        <v>46781.054450000003</v>
      </c>
      <c r="AQ123" s="2046">
        <f t="shared" si="64"/>
        <v>681.74554999999964</v>
      </c>
      <c r="AR123" s="2056">
        <v>47462.8</v>
      </c>
      <c r="AS123" s="1922">
        <v>1855839.2</v>
      </c>
      <c r="AT123" s="2046">
        <f t="shared" ref="AT123:AT154" si="67">E123+AR123</f>
        <v>139357.6</v>
      </c>
      <c r="AU123" s="1922">
        <v>0.1</v>
      </c>
      <c r="AV123" s="1922">
        <v>8991.5</v>
      </c>
      <c r="AW123" s="1922">
        <f>180.4+1153.2+1727.6</f>
        <v>3061.2</v>
      </c>
      <c r="AX123" s="1922">
        <f>158879.7+2923.5</f>
        <v>161803.20000000001</v>
      </c>
      <c r="AY123" s="1037">
        <f t="shared" si="53"/>
        <v>173856</v>
      </c>
      <c r="AZ123" s="1289">
        <v>-10.11</v>
      </c>
      <c r="BA123" s="1289">
        <v>40.68</v>
      </c>
      <c r="BB123" s="1289">
        <v>8.8699999999999992</v>
      </c>
      <c r="BC123" s="1289">
        <v>6.01</v>
      </c>
      <c r="BD123" s="1289">
        <v>7.25</v>
      </c>
      <c r="BE123" s="1289" t="s">
        <v>288</v>
      </c>
      <c r="BF123" s="2047">
        <v>9075</v>
      </c>
      <c r="BG123" s="2047">
        <v>3627</v>
      </c>
      <c r="BH123" s="354"/>
      <c r="BI123" s="354"/>
      <c r="BJ123" s="354"/>
      <c r="BK123" s="1289">
        <f t="shared" ref="BK123:BK154" si="68">AH123/AM123*100</f>
        <v>102.14573504050411</v>
      </c>
      <c r="BL123" s="1289">
        <f t="shared" ref="BL123:BL154" si="69">AM123/BF123</f>
        <v>78.61925399449035</v>
      </c>
      <c r="BM123" s="1289">
        <f t="shared" ref="BM123:BM154" si="70">AH123/BF123</f>
        <v>80.306214876033067</v>
      </c>
      <c r="BN123" s="1289">
        <f t="shared" ref="BN123:BN154" si="71">(F123+AR123)/AM123*100</f>
        <v>8.0216857973778382</v>
      </c>
      <c r="BO123" s="1289">
        <v>5</v>
      </c>
      <c r="BP123" s="1289">
        <v>7.06</v>
      </c>
      <c r="BQ123" s="1289">
        <v>11.93</v>
      </c>
      <c r="BR123" s="1289">
        <v>4.87</v>
      </c>
      <c r="BS123" s="1289">
        <v>11.01</v>
      </c>
      <c r="BT123" s="1289">
        <v>15.47</v>
      </c>
      <c r="BU123" s="1289">
        <v>4.46</v>
      </c>
    </row>
    <row r="124" spans="1:73" s="154" customFormat="1" ht="9.9499999999999993" customHeight="1" x14ac:dyDescent="0.2">
      <c r="A124" s="160" t="s">
        <v>1029</v>
      </c>
      <c r="B124" s="236" t="s">
        <v>558</v>
      </c>
      <c r="C124" s="1924">
        <v>90260.7</v>
      </c>
      <c r="D124" s="1924">
        <v>792.7</v>
      </c>
      <c r="E124" s="1924">
        <f t="shared" si="49"/>
        <v>91053.4</v>
      </c>
      <c r="F124" s="1924">
        <v>8173.6</v>
      </c>
      <c r="G124" s="1924">
        <f t="shared" si="50"/>
        <v>82879.799999999988</v>
      </c>
      <c r="H124" s="1924">
        <v>13217.6</v>
      </c>
      <c r="I124" s="1924">
        <v>44956.9</v>
      </c>
      <c r="J124" s="1924">
        <v>63913.5</v>
      </c>
      <c r="K124" s="2057">
        <v>607957.30000000005</v>
      </c>
      <c r="L124" s="2050">
        <f t="shared" si="62"/>
        <v>671870.8</v>
      </c>
      <c r="M124" s="2050">
        <f t="shared" si="63"/>
        <v>716827.70000000007</v>
      </c>
      <c r="N124" s="1924">
        <v>441.8</v>
      </c>
      <c r="O124" s="2050">
        <f t="shared" si="55"/>
        <v>147235.09999999998</v>
      </c>
      <c r="P124" s="2050">
        <f t="shared" si="56"/>
        <v>755192.4</v>
      </c>
      <c r="Q124" s="2057" t="s">
        <v>288</v>
      </c>
      <c r="R124" s="2057" t="s">
        <v>288</v>
      </c>
      <c r="S124" s="2050">
        <v>0</v>
      </c>
      <c r="T124" s="1924">
        <v>15490.2</v>
      </c>
      <c r="U124" s="1924">
        <v>522169.9</v>
      </c>
      <c r="V124" s="2050">
        <f t="shared" si="58"/>
        <v>537660.1</v>
      </c>
      <c r="W124" s="2050">
        <v>0</v>
      </c>
      <c r="X124" s="1924">
        <v>1270</v>
      </c>
      <c r="Y124" s="1924">
        <v>17793.900000000001</v>
      </c>
      <c r="Z124" s="2050">
        <f t="shared" si="59"/>
        <v>19063.900000000001</v>
      </c>
      <c r="AA124" s="2066">
        <v>8748.7000000000007</v>
      </c>
      <c r="AB124" s="2066">
        <v>164078</v>
      </c>
      <c r="AC124" s="2067">
        <v>13184.3</v>
      </c>
      <c r="AD124" s="2068">
        <f t="shared" si="60"/>
        <v>177262.3</v>
      </c>
      <c r="AE124" s="2050">
        <f t="shared" si="66"/>
        <v>8748.7000000000007</v>
      </c>
      <c r="AF124" s="2050">
        <f t="shared" si="66"/>
        <v>180838.2</v>
      </c>
      <c r="AG124" s="2050">
        <f t="shared" si="66"/>
        <v>553148.10000000009</v>
      </c>
      <c r="AH124" s="2050">
        <f t="shared" si="66"/>
        <v>733986.3</v>
      </c>
      <c r="AI124" s="1924">
        <v>5020.3999999999996</v>
      </c>
      <c r="AJ124" s="1924">
        <v>4920.8999999999996</v>
      </c>
      <c r="AK124" s="2057">
        <v>10214.299999999999</v>
      </c>
      <c r="AL124" s="1924">
        <v>150.30000000000001</v>
      </c>
      <c r="AM124" s="1924">
        <f>716866.6-8.1</f>
        <v>716858.5</v>
      </c>
      <c r="AN124" s="1924">
        <v>6768</v>
      </c>
      <c r="AO124" s="2050">
        <f t="shared" si="61"/>
        <v>723626.5</v>
      </c>
      <c r="AP124" s="2050">
        <f t="shared" si="65"/>
        <v>47035.722500000003</v>
      </c>
      <c r="AQ124" s="2040">
        <f t="shared" si="64"/>
        <v>521.87749999999505</v>
      </c>
      <c r="AR124" s="2057">
        <v>47557.599999999999</v>
      </c>
      <c r="AS124" s="1924">
        <v>1877336.7</v>
      </c>
      <c r="AT124" s="2040">
        <f t="shared" si="67"/>
        <v>138611</v>
      </c>
      <c r="AU124" s="1924">
        <v>1.4</v>
      </c>
      <c r="AV124" s="1924">
        <v>8991.5</v>
      </c>
      <c r="AW124" s="1924">
        <f>1190.1+273+1508.7</f>
        <v>2971.8</v>
      </c>
      <c r="AX124" s="1924">
        <f>3119.4+159705</f>
        <v>162824.4</v>
      </c>
      <c r="AY124" s="2050">
        <f t="shared" si="53"/>
        <v>174789.1</v>
      </c>
      <c r="AZ124" s="1267">
        <v>-11.27</v>
      </c>
      <c r="BA124" s="1267">
        <v>34.35</v>
      </c>
      <c r="BB124" s="1267">
        <v>9.8800000000000008</v>
      </c>
      <c r="BC124" s="1267">
        <v>6.47</v>
      </c>
      <c r="BD124" s="1267">
        <v>7.79</v>
      </c>
      <c r="BE124" s="1267" t="s">
        <v>288</v>
      </c>
      <c r="BF124" s="2051">
        <v>9085</v>
      </c>
      <c r="BG124" s="2051">
        <v>3630</v>
      </c>
      <c r="BH124" s="354"/>
      <c r="BI124" s="354"/>
      <c r="BJ124" s="354"/>
      <c r="BK124" s="1267">
        <f t="shared" si="68"/>
        <v>102.38928603064623</v>
      </c>
      <c r="BL124" s="1267">
        <f t="shared" si="69"/>
        <v>78.905723720418266</v>
      </c>
      <c r="BM124" s="1267">
        <f t="shared" si="70"/>
        <v>80.791007154650529</v>
      </c>
      <c r="BN124" s="1267">
        <f t="shared" si="71"/>
        <v>7.7743655128592328</v>
      </c>
      <c r="BO124" s="1267">
        <v>5</v>
      </c>
      <c r="BP124" s="1267">
        <v>7.04</v>
      </c>
      <c r="BQ124" s="1267">
        <v>11.88</v>
      </c>
      <c r="BR124" s="1267">
        <v>4.84</v>
      </c>
      <c r="BS124" s="1267">
        <v>10.85</v>
      </c>
      <c r="BT124" s="1267">
        <v>15.37</v>
      </c>
      <c r="BU124" s="1267">
        <v>4.5199999999999996</v>
      </c>
    </row>
    <row r="125" spans="1:73" s="154" customFormat="1" ht="9.9499999999999993" customHeight="1" x14ac:dyDescent="0.2">
      <c r="A125" s="160" t="s">
        <v>1029</v>
      </c>
      <c r="B125" s="275" t="s">
        <v>559</v>
      </c>
      <c r="C125" s="1922">
        <v>92585.3</v>
      </c>
      <c r="D125" s="1922">
        <v>792.2</v>
      </c>
      <c r="E125" s="1922">
        <f t="shared" si="49"/>
        <v>93377.5</v>
      </c>
      <c r="F125" s="1922">
        <v>9601.7000000000007</v>
      </c>
      <c r="G125" s="1922">
        <f t="shared" si="50"/>
        <v>83775.8</v>
      </c>
      <c r="H125" s="1922">
        <v>12756.1</v>
      </c>
      <c r="I125" s="1922">
        <v>45227.1</v>
      </c>
      <c r="J125" s="1922">
        <v>66405</v>
      </c>
      <c r="K125" s="2056">
        <v>617711.6</v>
      </c>
      <c r="L125" s="1037">
        <f t="shared" si="62"/>
        <v>684116.6</v>
      </c>
      <c r="M125" s="1037">
        <f t="shared" si="63"/>
        <v>729343.7</v>
      </c>
      <c r="N125" s="1922">
        <v>457.4</v>
      </c>
      <c r="O125" s="1037">
        <f t="shared" si="55"/>
        <v>150638.19999999998</v>
      </c>
      <c r="P125" s="1037">
        <f t="shared" si="56"/>
        <v>768349.79999999993</v>
      </c>
      <c r="Q125" s="2056" t="s">
        <v>288</v>
      </c>
      <c r="R125" s="2056" t="s">
        <v>288</v>
      </c>
      <c r="S125" s="1037">
        <v>0</v>
      </c>
      <c r="T125" s="1922">
        <v>14988.4</v>
      </c>
      <c r="U125" s="1922">
        <v>526237.19999999995</v>
      </c>
      <c r="V125" s="1037">
        <f t="shared" si="58"/>
        <v>541225.6</v>
      </c>
      <c r="W125" s="1037">
        <v>0</v>
      </c>
      <c r="X125" s="1922">
        <v>1296.5</v>
      </c>
      <c r="Y125" s="1922">
        <v>17722.8</v>
      </c>
      <c r="Z125" s="1037">
        <f t="shared" si="59"/>
        <v>19019.3</v>
      </c>
      <c r="AA125" s="2064">
        <v>7459.3</v>
      </c>
      <c r="AB125" s="2064">
        <v>158396.5</v>
      </c>
      <c r="AC125" s="2069">
        <v>13335.6</v>
      </c>
      <c r="AD125" s="2065">
        <f t="shared" si="60"/>
        <v>171732.1</v>
      </c>
      <c r="AE125" s="1037">
        <f t="shared" si="66"/>
        <v>7459.3</v>
      </c>
      <c r="AF125" s="1037">
        <f t="shared" si="66"/>
        <v>174681.4</v>
      </c>
      <c r="AG125" s="1037">
        <f t="shared" si="66"/>
        <v>557295.6</v>
      </c>
      <c r="AH125" s="1037">
        <f t="shared" si="66"/>
        <v>731977</v>
      </c>
      <c r="AI125" s="1922">
        <v>5001.6000000000004</v>
      </c>
      <c r="AJ125" s="1922">
        <v>4929.7</v>
      </c>
      <c r="AK125" s="2056">
        <v>8759.2000000000007</v>
      </c>
      <c r="AL125" s="1922">
        <v>31.1</v>
      </c>
      <c r="AM125" s="1922">
        <f>729382.7-9.3</f>
        <v>729373.39999999991</v>
      </c>
      <c r="AN125" s="1922">
        <v>6375.4</v>
      </c>
      <c r="AO125" s="1037">
        <f t="shared" si="61"/>
        <v>735748.79999999993</v>
      </c>
      <c r="AP125" s="1037">
        <f t="shared" si="65"/>
        <v>47823.671999999999</v>
      </c>
      <c r="AQ125" s="2046">
        <f t="shared" si="64"/>
        <v>1325.4279999999999</v>
      </c>
      <c r="AR125" s="2056">
        <v>49149.1</v>
      </c>
      <c r="AS125" s="1922">
        <v>1912636.7</v>
      </c>
      <c r="AT125" s="2046">
        <f t="shared" si="67"/>
        <v>142526.6</v>
      </c>
      <c r="AU125" s="1922">
        <v>3.3</v>
      </c>
      <c r="AV125" s="1922">
        <v>8991.5</v>
      </c>
      <c r="AW125" s="1922">
        <f>1217.6+529.4+1383.9</f>
        <v>3130.9</v>
      </c>
      <c r="AX125" s="1922">
        <f>153764.8+3378.9</f>
        <v>157143.69999999998</v>
      </c>
      <c r="AY125" s="1037">
        <f t="shared" si="53"/>
        <v>169269.4</v>
      </c>
      <c r="AZ125" s="1289">
        <v>-9.81</v>
      </c>
      <c r="BA125" s="1289">
        <v>30.11</v>
      </c>
      <c r="BB125" s="1289">
        <v>10.68</v>
      </c>
      <c r="BC125" s="1289">
        <v>7.29</v>
      </c>
      <c r="BD125" s="1289">
        <v>9.67</v>
      </c>
      <c r="BE125" s="1289" t="s">
        <v>288</v>
      </c>
      <c r="BF125" s="2047">
        <v>9098</v>
      </c>
      <c r="BG125" s="2047">
        <v>3667</v>
      </c>
      <c r="BH125" s="354"/>
      <c r="BI125" s="354"/>
      <c r="BJ125" s="354"/>
      <c r="BK125" s="1289">
        <f t="shared" si="68"/>
        <v>100.35696393644189</v>
      </c>
      <c r="BL125" s="1289">
        <f t="shared" si="69"/>
        <v>80.168542536821263</v>
      </c>
      <c r="BM125" s="1289">
        <f t="shared" si="70"/>
        <v>80.454715322048798</v>
      </c>
      <c r="BN125" s="1289">
        <f t="shared" si="71"/>
        <v>8.0549688266668369</v>
      </c>
      <c r="BO125" s="1289">
        <v>5</v>
      </c>
      <c r="BP125" s="1289">
        <v>6.99</v>
      </c>
      <c r="BQ125" s="1289">
        <v>11.82</v>
      </c>
      <c r="BR125" s="1289">
        <v>4.83</v>
      </c>
      <c r="BS125" s="1289">
        <v>10.73</v>
      </c>
      <c r="BT125" s="1289">
        <v>15.21</v>
      </c>
      <c r="BU125" s="1289">
        <v>4.4800000000000004</v>
      </c>
    </row>
    <row r="126" spans="1:73" s="154" customFormat="1" ht="9.9499999999999993" customHeight="1" x14ac:dyDescent="0.2">
      <c r="A126" s="160" t="s">
        <v>1029</v>
      </c>
      <c r="B126" s="236" t="s">
        <v>550</v>
      </c>
      <c r="C126" s="1924">
        <v>97361.5</v>
      </c>
      <c r="D126" s="1924">
        <v>792.4</v>
      </c>
      <c r="E126" s="1924">
        <f t="shared" si="49"/>
        <v>98153.9</v>
      </c>
      <c r="F126" s="1924">
        <v>10213.1</v>
      </c>
      <c r="G126" s="1924">
        <f t="shared" si="50"/>
        <v>87940.799999999988</v>
      </c>
      <c r="H126" s="1924">
        <v>13317.8</v>
      </c>
      <c r="I126" s="1924">
        <v>47116.6</v>
      </c>
      <c r="J126" s="1924">
        <v>72383.7</v>
      </c>
      <c r="K126" s="2057">
        <v>626799.9</v>
      </c>
      <c r="L126" s="2050">
        <f t="shared" si="62"/>
        <v>699183.6</v>
      </c>
      <c r="M126" s="2050">
        <f t="shared" si="63"/>
        <v>746300.2</v>
      </c>
      <c r="N126" s="1924">
        <v>489.7</v>
      </c>
      <c r="O126" s="2050">
        <f t="shared" si="55"/>
        <v>160814.20000000001</v>
      </c>
      <c r="P126" s="2050">
        <f t="shared" si="56"/>
        <v>787614.10000000009</v>
      </c>
      <c r="Q126" s="2057" t="s">
        <v>288</v>
      </c>
      <c r="R126" s="2057" t="s">
        <v>288</v>
      </c>
      <c r="S126" s="2050">
        <v>0</v>
      </c>
      <c r="T126" s="1924">
        <v>15343.1</v>
      </c>
      <c r="U126" s="1924">
        <v>537605.1</v>
      </c>
      <c r="V126" s="2050">
        <f t="shared" si="58"/>
        <v>552948.19999999995</v>
      </c>
      <c r="W126" s="2050">
        <v>0</v>
      </c>
      <c r="X126" s="1924">
        <v>1250.4000000000001</v>
      </c>
      <c r="Y126" s="1924">
        <v>18779.3</v>
      </c>
      <c r="Z126" s="2050">
        <f t="shared" si="59"/>
        <v>20029.7</v>
      </c>
      <c r="AA126" s="2066">
        <v>7130.6</v>
      </c>
      <c r="AB126" s="2066">
        <v>157018.4</v>
      </c>
      <c r="AC126" s="2067">
        <v>13569.3</v>
      </c>
      <c r="AD126" s="2068">
        <f t="shared" si="60"/>
        <v>170587.69999999998</v>
      </c>
      <c r="AE126" s="2050">
        <f t="shared" si="66"/>
        <v>7130.6</v>
      </c>
      <c r="AF126" s="2050">
        <f t="shared" si="66"/>
        <v>173611.9</v>
      </c>
      <c r="AG126" s="2050">
        <f t="shared" si="66"/>
        <v>569953.70000000007</v>
      </c>
      <c r="AH126" s="2050">
        <f t="shared" si="66"/>
        <v>743565.59999999986</v>
      </c>
      <c r="AI126" s="1924">
        <v>5604.1</v>
      </c>
      <c r="AJ126" s="1924">
        <v>4823.6000000000004</v>
      </c>
      <c r="AK126" s="2057">
        <v>7890.2</v>
      </c>
      <c r="AL126" s="1924">
        <v>217.9</v>
      </c>
      <c r="AM126" s="1924">
        <f>746338.6-8.7</f>
        <v>746329.9</v>
      </c>
      <c r="AN126" s="1924">
        <v>6653.4</v>
      </c>
      <c r="AO126" s="2050">
        <f t="shared" si="61"/>
        <v>752983.3</v>
      </c>
      <c r="AP126" s="2050">
        <f t="shared" si="65"/>
        <v>48943.914500000006</v>
      </c>
      <c r="AQ126" s="2040">
        <f t="shared" si="64"/>
        <v>894.98549999999523</v>
      </c>
      <c r="AR126" s="2057">
        <v>49838.9</v>
      </c>
      <c r="AS126" s="1924">
        <v>1962638.4</v>
      </c>
      <c r="AT126" s="2040">
        <f t="shared" si="67"/>
        <v>147992.79999999999</v>
      </c>
      <c r="AU126" s="1924">
        <v>2435.4</v>
      </c>
      <c r="AV126" s="1924">
        <v>8796.4</v>
      </c>
      <c r="AW126" s="1924">
        <f>595.1+1565.6+1173.5</f>
        <v>3334.2</v>
      </c>
      <c r="AX126" s="1924">
        <f>152424.7+3344</f>
        <v>155768.70000000001</v>
      </c>
      <c r="AY126" s="2050">
        <f t="shared" si="53"/>
        <v>170334.7</v>
      </c>
      <c r="AZ126" s="1267">
        <v>-6.19</v>
      </c>
      <c r="BA126" s="1267">
        <v>34.71</v>
      </c>
      <c r="BB126" s="1267">
        <v>12.27</v>
      </c>
      <c r="BC126" s="1267">
        <v>11.57</v>
      </c>
      <c r="BD126" s="1267">
        <v>16.09</v>
      </c>
      <c r="BE126" s="1267" t="s">
        <v>288</v>
      </c>
      <c r="BF126" s="2051">
        <v>9131</v>
      </c>
      <c r="BG126" s="2051">
        <v>3669</v>
      </c>
      <c r="BH126" s="354"/>
      <c r="BI126" s="354"/>
      <c r="BJ126" s="354"/>
      <c r="BK126" s="1267">
        <f t="shared" si="68"/>
        <v>99.629614196081363</v>
      </c>
      <c r="BL126" s="1267">
        <f t="shared" si="69"/>
        <v>81.735833972182675</v>
      </c>
      <c r="BM126" s="1267">
        <f t="shared" si="70"/>
        <v>81.43309604643521</v>
      </c>
      <c r="BN126" s="1267">
        <f t="shared" si="71"/>
        <v>8.0463076717146134</v>
      </c>
      <c r="BO126" s="1267">
        <v>5</v>
      </c>
      <c r="BP126" s="1267">
        <v>6.8</v>
      </c>
      <c r="BQ126" s="1267">
        <v>11.67</v>
      </c>
      <c r="BR126" s="1267">
        <v>4.87</v>
      </c>
      <c r="BS126" s="1267">
        <v>10.61</v>
      </c>
      <c r="BT126" s="1267">
        <v>15.12</v>
      </c>
      <c r="BU126" s="1267">
        <v>4.51</v>
      </c>
    </row>
    <row r="127" spans="1:73" s="154" customFormat="1" ht="9.9499999999999993" customHeight="1" x14ac:dyDescent="0.2">
      <c r="A127" s="160" t="s">
        <v>1150</v>
      </c>
      <c r="B127" s="275" t="s">
        <v>552</v>
      </c>
      <c r="C127" s="1924">
        <v>102507.2</v>
      </c>
      <c r="D127" s="1924">
        <v>802.9</v>
      </c>
      <c r="E127" s="1924">
        <f t="shared" ref="E127:E137" si="72">C127+D127</f>
        <v>103310.09999999999</v>
      </c>
      <c r="F127" s="1924">
        <v>9408.7000000000007</v>
      </c>
      <c r="G127" s="1924">
        <f t="shared" ref="G127:G137" si="73">E127-F127</f>
        <v>93901.4</v>
      </c>
      <c r="H127" s="1924">
        <v>12303.5</v>
      </c>
      <c r="I127" s="1924">
        <v>44761.8</v>
      </c>
      <c r="J127" s="1924">
        <v>70229</v>
      </c>
      <c r="K127" s="2057">
        <v>640066.6</v>
      </c>
      <c r="L127" s="2050">
        <f t="shared" ref="L127:L137" si="74">J127+K127</f>
        <v>710295.6</v>
      </c>
      <c r="M127" s="2050">
        <f t="shared" ref="M127:M137" si="75">I127+L127</f>
        <v>755057.4</v>
      </c>
      <c r="N127" s="1924">
        <v>484.6</v>
      </c>
      <c r="O127" s="2050">
        <f t="shared" ref="O127:O137" si="76">G127+J127+N127</f>
        <v>164615</v>
      </c>
      <c r="P127" s="2050">
        <f t="shared" ref="P127:P137" si="77">K127+O127</f>
        <v>804681.6</v>
      </c>
      <c r="Q127" s="2057" t="s">
        <v>288</v>
      </c>
      <c r="R127" s="2057" t="s">
        <v>288</v>
      </c>
      <c r="S127" s="2050">
        <v>0</v>
      </c>
      <c r="T127" s="1924">
        <v>14006.4</v>
      </c>
      <c r="U127" s="1924">
        <v>535433.5</v>
      </c>
      <c r="V127" s="2050">
        <f t="shared" ref="V127:V137" si="78">T127+U127</f>
        <v>549439.9</v>
      </c>
      <c r="W127" s="2050">
        <v>0</v>
      </c>
      <c r="X127" s="1924">
        <v>1372.7</v>
      </c>
      <c r="Y127" s="1924">
        <v>19482.8</v>
      </c>
      <c r="Z127" s="2050">
        <f t="shared" ref="Z127:Z137" si="79">X127+Y127</f>
        <v>20855.5</v>
      </c>
      <c r="AA127" s="2066">
        <v>7285.3</v>
      </c>
      <c r="AB127" s="2066">
        <v>164516.9</v>
      </c>
      <c r="AC127" s="2067">
        <v>14144.8</v>
      </c>
      <c r="AD127" s="2068">
        <f t="shared" ref="AD127:AD137" si="80">AB127+AC127</f>
        <v>178661.69999999998</v>
      </c>
      <c r="AE127" s="2050">
        <f t="shared" ref="AE127:AH137" si="81">S127+W127+AA127</f>
        <v>7285.3</v>
      </c>
      <c r="AF127" s="2050">
        <f t="shared" si="81"/>
        <v>179896</v>
      </c>
      <c r="AG127" s="2050">
        <f t="shared" si="81"/>
        <v>569061.10000000009</v>
      </c>
      <c r="AH127" s="2050">
        <f t="shared" si="81"/>
        <v>748957.1</v>
      </c>
      <c r="AI127" s="1924">
        <v>6144.9</v>
      </c>
      <c r="AJ127" s="1924">
        <v>5261.2</v>
      </c>
      <c r="AK127" s="2057">
        <v>8215.7000000000007</v>
      </c>
      <c r="AL127" s="1924">
        <v>48.6</v>
      </c>
      <c r="AM127" s="1924">
        <f>755097.8-8.7</f>
        <v>755089.10000000009</v>
      </c>
      <c r="AN127" s="1924">
        <v>6890.9</v>
      </c>
      <c r="AO127" s="2050">
        <f t="shared" ref="AO127:AO137" si="82">AM127+AN127</f>
        <v>761980.00000000012</v>
      </c>
      <c r="AP127" s="2050">
        <f t="shared" ref="AP127:AP136" si="83">0.065*AO127</f>
        <v>49528.700000000012</v>
      </c>
      <c r="AQ127" s="2040">
        <f t="shared" ref="AQ127:AQ136" si="84">AR127-AP127</f>
        <v>2310.5999999999913</v>
      </c>
      <c r="AR127" s="2057">
        <v>51839.3</v>
      </c>
      <c r="AS127" s="1924">
        <v>1991775.2</v>
      </c>
      <c r="AT127" s="2040">
        <f t="shared" si="67"/>
        <v>155149.4</v>
      </c>
      <c r="AU127" s="1924">
        <v>4000</v>
      </c>
      <c r="AV127" s="1924">
        <v>11095.7</v>
      </c>
      <c r="AW127" s="1924">
        <f>1295+1033+1039.1</f>
        <v>3367.1</v>
      </c>
      <c r="AX127" s="1924">
        <f>159403.1+3824.7</f>
        <v>163227.80000000002</v>
      </c>
      <c r="AY127" s="2050">
        <f t="shared" ref="AY127:AY137" si="85">AX127+AW127+AV127+AU127</f>
        <v>181690.60000000003</v>
      </c>
      <c r="AZ127" s="1267">
        <v>10.41</v>
      </c>
      <c r="BA127" s="1267">
        <v>-6.78</v>
      </c>
      <c r="BB127" s="1267">
        <v>-0.16</v>
      </c>
      <c r="BC127" s="1267">
        <v>1.34</v>
      </c>
      <c r="BD127" s="1267">
        <v>2.17</v>
      </c>
      <c r="BE127" s="1267" t="s">
        <v>288</v>
      </c>
      <c r="BF127" s="2051">
        <v>9155</v>
      </c>
      <c r="BG127" s="2051">
        <v>3670</v>
      </c>
      <c r="BH127" s="354"/>
      <c r="BI127" s="354"/>
      <c r="BJ127" s="354"/>
      <c r="BK127" s="1267">
        <f t="shared" si="68"/>
        <v>99.18791040686456</v>
      </c>
      <c r="BL127" s="1267">
        <f t="shared" si="69"/>
        <v>82.478328782086308</v>
      </c>
      <c r="BM127" s="1267">
        <f t="shared" si="70"/>
        <v>81.80853085745494</v>
      </c>
      <c r="BN127" s="1267">
        <f t="shared" si="71"/>
        <v>8.1113606328047894</v>
      </c>
      <c r="BO127" s="1267">
        <v>5</v>
      </c>
      <c r="BP127" s="1267">
        <v>6.78</v>
      </c>
      <c r="BQ127" s="1267">
        <v>11.57</v>
      </c>
      <c r="BR127" s="1267">
        <f>BQ127-BP127</f>
        <v>4.79</v>
      </c>
      <c r="BS127" s="1267">
        <v>10.54</v>
      </c>
      <c r="BT127" s="1267">
        <v>14.7</v>
      </c>
      <c r="BU127" s="1267">
        <f>BT127-BS127</f>
        <v>4.16</v>
      </c>
    </row>
    <row r="128" spans="1:73" s="154" customFormat="1" ht="9.9499999999999993" customHeight="1" x14ac:dyDescent="0.2">
      <c r="A128" s="160" t="s">
        <v>1150</v>
      </c>
      <c r="B128" s="236" t="s">
        <v>553</v>
      </c>
      <c r="C128" s="1922">
        <v>97803.7</v>
      </c>
      <c r="D128" s="1922">
        <v>802</v>
      </c>
      <c r="E128" s="1922">
        <f t="shared" si="72"/>
        <v>98605.7</v>
      </c>
      <c r="F128" s="1922">
        <v>9355.4</v>
      </c>
      <c r="G128" s="1922">
        <f t="shared" si="73"/>
        <v>89250.3</v>
      </c>
      <c r="H128" s="1922">
        <v>11241.7</v>
      </c>
      <c r="I128" s="1922">
        <v>47070.1</v>
      </c>
      <c r="J128" s="1922">
        <v>69174.399999999994</v>
      </c>
      <c r="K128" s="2056">
        <v>646455.5</v>
      </c>
      <c r="L128" s="1037">
        <f t="shared" si="74"/>
        <v>715629.9</v>
      </c>
      <c r="M128" s="1037">
        <f t="shared" si="75"/>
        <v>762700</v>
      </c>
      <c r="N128" s="1922">
        <v>497.8</v>
      </c>
      <c r="O128" s="1037">
        <f t="shared" si="76"/>
        <v>158922.5</v>
      </c>
      <c r="P128" s="1037">
        <f t="shared" si="77"/>
        <v>805378</v>
      </c>
      <c r="Q128" s="2056" t="s">
        <v>288</v>
      </c>
      <c r="R128" s="2056" t="s">
        <v>288</v>
      </c>
      <c r="S128" s="1037">
        <v>0</v>
      </c>
      <c r="T128" s="1922">
        <v>13920.9</v>
      </c>
      <c r="U128" s="1922">
        <v>540137.6</v>
      </c>
      <c r="V128" s="1037">
        <f t="shared" si="78"/>
        <v>554058.5</v>
      </c>
      <c r="W128" s="1037">
        <v>0</v>
      </c>
      <c r="X128" s="1922">
        <v>1319.5</v>
      </c>
      <c r="Y128" s="1922">
        <v>19193</v>
      </c>
      <c r="Z128" s="1037">
        <f t="shared" si="79"/>
        <v>20512.5</v>
      </c>
      <c r="AA128" s="2064">
        <v>6912.7</v>
      </c>
      <c r="AB128" s="2064">
        <v>169831.7</v>
      </c>
      <c r="AC128" s="2069">
        <v>14250.6</v>
      </c>
      <c r="AD128" s="2065">
        <f t="shared" si="80"/>
        <v>184082.30000000002</v>
      </c>
      <c r="AE128" s="1037">
        <f t="shared" si="81"/>
        <v>6912.7</v>
      </c>
      <c r="AF128" s="1037">
        <f t="shared" si="81"/>
        <v>185072.1</v>
      </c>
      <c r="AG128" s="1037">
        <f t="shared" si="81"/>
        <v>573581.19999999995</v>
      </c>
      <c r="AH128" s="1037">
        <f t="shared" si="81"/>
        <v>758653.3</v>
      </c>
      <c r="AI128" s="1922">
        <v>5212.8</v>
      </c>
      <c r="AJ128" s="1922">
        <v>4992.7</v>
      </c>
      <c r="AK128" s="2056">
        <v>7750.5</v>
      </c>
      <c r="AL128" s="1922">
        <v>37.6</v>
      </c>
      <c r="AM128" s="1922">
        <f>762740.6-9.6</f>
        <v>762731</v>
      </c>
      <c r="AN128" s="1922">
        <v>6532.6</v>
      </c>
      <c r="AO128" s="1037">
        <f t="shared" si="82"/>
        <v>769263.6</v>
      </c>
      <c r="AP128" s="1037">
        <f t="shared" si="83"/>
        <v>50002.133999999998</v>
      </c>
      <c r="AQ128" s="2046">
        <f t="shared" si="84"/>
        <v>2728.4660000000003</v>
      </c>
      <c r="AR128" s="2056">
        <v>52730.6</v>
      </c>
      <c r="AS128" s="1922">
        <v>2020941.4</v>
      </c>
      <c r="AT128" s="2046">
        <f t="shared" si="67"/>
        <v>151336.29999999999</v>
      </c>
      <c r="AU128" s="1922">
        <v>0</v>
      </c>
      <c r="AV128" s="1922">
        <v>8798</v>
      </c>
      <c r="AW128" s="1922">
        <v>3017.5</v>
      </c>
      <c r="AX128" s="1922">
        <v>168541.5</v>
      </c>
      <c r="AY128" s="1037">
        <f t="shared" si="85"/>
        <v>180357</v>
      </c>
      <c r="AZ128" s="1289">
        <v>4.92</v>
      </c>
      <c r="BA128" s="1289">
        <v>-5.89</v>
      </c>
      <c r="BB128" s="1289">
        <v>0.62</v>
      </c>
      <c r="BC128" s="1289">
        <v>1.1399999999999999</v>
      </c>
      <c r="BD128" s="1289">
        <v>2.2599999999999998</v>
      </c>
      <c r="BE128" s="1289" t="s">
        <v>288</v>
      </c>
      <c r="BF128" s="2047">
        <v>9177</v>
      </c>
      <c r="BG128" s="2047">
        <v>3671</v>
      </c>
      <c r="BH128" s="354"/>
      <c r="BI128" s="354"/>
      <c r="BJ128" s="354"/>
      <c r="BK128" s="1289">
        <f t="shared" si="68"/>
        <v>99.465381635202974</v>
      </c>
      <c r="BL128" s="1289">
        <f t="shared" si="69"/>
        <v>83.113326795248994</v>
      </c>
      <c r="BM128" s="1289">
        <f t="shared" si="70"/>
        <v>82.668987686607835</v>
      </c>
      <c r="BN128" s="1289">
        <f t="shared" si="71"/>
        <v>8.1399602218868772</v>
      </c>
      <c r="BO128" s="1289">
        <v>5</v>
      </c>
      <c r="BP128" s="1289">
        <v>6.74</v>
      </c>
      <c r="BQ128" s="1289">
        <v>11.51</v>
      </c>
      <c r="BR128" s="1289">
        <f t="shared" ref="BR128:BR138" si="86">BQ128-BP128</f>
        <v>4.7699999999999996</v>
      </c>
      <c r="BS128" s="1289">
        <v>10.41</v>
      </c>
      <c r="BT128" s="1289">
        <v>14.52</v>
      </c>
      <c r="BU128" s="1289">
        <f t="shared" ref="BU128:BU138" si="87">BT128-BS128</f>
        <v>4.1099999999999994</v>
      </c>
    </row>
    <row r="129" spans="1:73" s="154" customFormat="1" ht="9.9499999999999993" customHeight="1" x14ac:dyDescent="0.2">
      <c r="A129" s="160" t="s">
        <v>1150</v>
      </c>
      <c r="B129" s="275" t="s">
        <v>547</v>
      </c>
      <c r="C129" s="1924">
        <v>111598.9</v>
      </c>
      <c r="D129" s="1924">
        <v>804.6</v>
      </c>
      <c r="E129" s="1924">
        <f t="shared" si="72"/>
        <v>112403.5</v>
      </c>
      <c r="F129" s="1924">
        <v>10148.299999999999</v>
      </c>
      <c r="G129" s="1924">
        <f t="shared" si="73"/>
        <v>102255.2</v>
      </c>
      <c r="H129" s="1924">
        <v>11154.6</v>
      </c>
      <c r="I129" s="1924">
        <v>46330.1</v>
      </c>
      <c r="J129" s="1924">
        <v>69915.7</v>
      </c>
      <c r="K129" s="2057">
        <v>648804.19999999995</v>
      </c>
      <c r="L129" s="2050">
        <f t="shared" si="74"/>
        <v>718719.89999999991</v>
      </c>
      <c r="M129" s="2050">
        <f t="shared" si="75"/>
        <v>765049.99999999988</v>
      </c>
      <c r="N129" s="1924">
        <v>498</v>
      </c>
      <c r="O129" s="2050">
        <f t="shared" si="76"/>
        <v>172668.9</v>
      </c>
      <c r="P129" s="2050">
        <f t="shared" si="77"/>
        <v>821473.1</v>
      </c>
      <c r="Q129" s="2057" t="s">
        <v>288</v>
      </c>
      <c r="R129" s="2057" t="s">
        <v>288</v>
      </c>
      <c r="S129" s="2050">
        <v>0</v>
      </c>
      <c r="T129" s="1924">
        <v>14422</v>
      </c>
      <c r="U129" s="1924">
        <v>549757.19999999995</v>
      </c>
      <c r="V129" s="2050">
        <f t="shared" si="78"/>
        <v>564179.19999999995</v>
      </c>
      <c r="W129" s="2050">
        <v>0</v>
      </c>
      <c r="X129" s="1924">
        <v>1434.4</v>
      </c>
      <c r="Y129" s="1924">
        <v>20177.900000000001</v>
      </c>
      <c r="Z129" s="2050">
        <f t="shared" si="79"/>
        <v>21612.300000000003</v>
      </c>
      <c r="AA129" s="2066">
        <v>8981.5</v>
      </c>
      <c r="AB129" s="2066">
        <v>169308.7</v>
      </c>
      <c r="AC129" s="2067">
        <v>15048.9</v>
      </c>
      <c r="AD129" s="2068">
        <f t="shared" si="80"/>
        <v>184357.6</v>
      </c>
      <c r="AE129" s="2050">
        <f t="shared" si="81"/>
        <v>8981.5</v>
      </c>
      <c r="AF129" s="2050">
        <f t="shared" si="81"/>
        <v>185165.1</v>
      </c>
      <c r="AG129" s="2050">
        <f t="shared" si="81"/>
        <v>584984</v>
      </c>
      <c r="AH129" s="2050">
        <f t="shared" si="81"/>
        <v>770149.1</v>
      </c>
      <c r="AI129" s="1924">
        <v>5376.1</v>
      </c>
      <c r="AJ129" s="1924">
        <v>5202.2</v>
      </c>
      <c r="AK129" s="2057">
        <v>10062.1</v>
      </c>
      <c r="AL129" s="1924">
        <v>87.6</v>
      </c>
      <c r="AM129" s="1924">
        <f>765101-8.9</f>
        <v>765092.1</v>
      </c>
      <c r="AN129" s="1924">
        <v>6989.6</v>
      </c>
      <c r="AO129" s="2050">
        <f t="shared" si="82"/>
        <v>772081.7</v>
      </c>
      <c r="AP129" s="2050">
        <f t="shared" si="83"/>
        <v>50185.3105</v>
      </c>
      <c r="AQ129" s="2040">
        <f t="shared" si="84"/>
        <v>-431.1105000000025</v>
      </c>
      <c r="AR129" s="2057">
        <v>49754.2</v>
      </c>
      <c r="AS129" s="1924">
        <v>2053819.9</v>
      </c>
      <c r="AT129" s="2040">
        <f t="shared" si="67"/>
        <v>162157.70000000001</v>
      </c>
      <c r="AU129" s="1924">
        <v>0</v>
      </c>
      <c r="AV129" s="1924">
        <v>8794.2999999999993</v>
      </c>
      <c r="AW129" s="1924">
        <v>3494.4</v>
      </c>
      <c r="AX129" s="1924">
        <v>168014.5</v>
      </c>
      <c r="AY129" s="2050">
        <f t="shared" si="85"/>
        <v>180303.19999999998</v>
      </c>
      <c r="AZ129" s="1267">
        <v>7.18</v>
      </c>
      <c r="BA129" s="1267">
        <v>-5.31</v>
      </c>
      <c r="BB129" s="1267">
        <v>2.63</v>
      </c>
      <c r="BC129" s="1267">
        <v>3.15</v>
      </c>
      <c r="BD129" s="1267">
        <v>4.3</v>
      </c>
      <c r="BE129" s="1267" t="s">
        <v>288</v>
      </c>
      <c r="BF129" s="2051">
        <v>9197</v>
      </c>
      <c r="BG129" s="2051">
        <v>3673</v>
      </c>
      <c r="BH129" s="354"/>
      <c r="BI129" s="354"/>
      <c r="BJ129" s="354"/>
      <c r="BK129" s="1267">
        <f t="shared" si="68"/>
        <v>100.66096617649039</v>
      </c>
      <c r="BL129" s="1267">
        <f t="shared" si="69"/>
        <v>83.189311732086551</v>
      </c>
      <c r="BM129" s="1267">
        <f t="shared" si="70"/>
        <v>83.739164945090792</v>
      </c>
      <c r="BN129" s="1267">
        <f t="shared" si="71"/>
        <v>7.8294495525440668</v>
      </c>
      <c r="BO129" s="1267">
        <v>5</v>
      </c>
      <c r="BP129" s="1267">
        <v>6.66</v>
      </c>
      <c r="BQ129" s="1267">
        <v>11.48</v>
      </c>
      <c r="BR129" s="1267">
        <f t="shared" si="86"/>
        <v>4.82</v>
      </c>
      <c r="BS129" s="1267">
        <v>10.34</v>
      </c>
      <c r="BT129" s="1267">
        <v>14.45</v>
      </c>
      <c r="BU129" s="1267">
        <f t="shared" si="87"/>
        <v>4.1099999999999994</v>
      </c>
    </row>
    <row r="130" spans="1:73" s="154" customFormat="1" ht="9.9499999999999993" customHeight="1" x14ac:dyDescent="0.2">
      <c r="A130" s="160" t="s">
        <v>1150</v>
      </c>
      <c r="B130" s="236" t="s">
        <v>554</v>
      </c>
      <c r="C130" s="1922">
        <v>101663.7</v>
      </c>
      <c r="D130" s="1922">
        <v>802.8</v>
      </c>
      <c r="E130" s="1922">
        <f t="shared" si="72"/>
        <v>102466.5</v>
      </c>
      <c r="F130" s="1922">
        <v>8578</v>
      </c>
      <c r="G130" s="1922">
        <f t="shared" si="73"/>
        <v>93888.5</v>
      </c>
      <c r="H130" s="1922">
        <v>10048.6</v>
      </c>
      <c r="I130" s="1922">
        <v>49194.2</v>
      </c>
      <c r="J130" s="1922">
        <v>69997</v>
      </c>
      <c r="K130" s="2056">
        <v>655862.5</v>
      </c>
      <c r="L130" s="1037">
        <f t="shared" si="74"/>
        <v>725859.5</v>
      </c>
      <c r="M130" s="1037">
        <f t="shared" si="75"/>
        <v>775053.7</v>
      </c>
      <c r="N130" s="1922">
        <v>509.1</v>
      </c>
      <c r="O130" s="1037">
        <f t="shared" si="76"/>
        <v>164394.6</v>
      </c>
      <c r="P130" s="1037">
        <f t="shared" si="77"/>
        <v>820257.1</v>
      </c>
      <c r="Q130" s="2056" t="s">
        <v>288</v>
      </c>
      <c r="R130" s="2056" t="s">
        <v>288</v>
      </c>
      <c r="S130" s="1037">
        <v>0</v>
      </c>
      <c r="T130" s="1922">
        <v>14861.3</v>
      </c>
      <c r="U130" s="1922">
        <v>555758.30000000005</v>
      </c>
      <c r="V130" s="1037">
        <f t="shared" si="78"/>
        <v>570619.60000000009</v>
      </c>
      <c r="W130" s="1037">
        <v>0</v>
      </c>
      <c r="X130" s="1922">
        <v>1376.7</v>
      </c>
      <c r="Y130" s="1922">
        <v>19584.7</v>
      </c>
      <c r="Z130" s="1037">
        <f t="shared" si="79"/>
        <v>20961.400000000001</v>
      </c>
      <c r="AA130" s="2064">
        <v>7983.3</v>
      </c>
      <c r="AB130" s="2064">
        <v>167033.4</v>
      </c>
      <c r="AC130" s="2069">
        <v>14558.2</v>
      </c>
      <c r="AD130" s="2065">
        <f t="shared" si="80"/>
        <v>181591.6</v>
      </c>
      <c r="AE130" s="1037">
        <f t="shared" si="81"/>
        <v>7983.3</v>
      </c>
      <c r="AF130" s="1037">
        <f t="shared" si="81"/>
        <v>183271.4</v>
      </c>
      <c r="AG130" s="1037">
        <f t="shared" si="81"/>
        <v>589901.19999999995</v>
      </c>
      <c r="AH130" s="1037">
        <f t="shared" si="81"/>
        <v>773172.60000000009</v>
      </c>
      <c r="AI130" s="1922">
        <v>5305.9</v>
      </c>
      <c r="AJ130" s="1922">
        <v>5199.6000000000004</v>
      </c>
      <c r="AK130" s="2056">
        <v>7721.8</v>
      </c>
      <c r="AL130" s="1922">
        <v>37.6</v>
      </c>
      <c r="AM130" s="1922">
        <f>775104.7-10.2</f>
        <v>775094.5</v>
      </c>
      <c r="AN130" s="1922">
        <v>6523.8</v>
      </c>
      <c r="AO130" s="1037">
        <f t="shared" si="82"/>
        <v>781618.3</v>
      </c>
      <c r="AP130" s="1037">
        <f t="shared" si="83"/>
        <v>50805.189500000008</v>
      </c>
      <c r="AQ130" s="2046">
        <f t="shared" si="84"/>
        <v>10218.910499999991</v>
      </c>
      <c r="AR130" s="2056">
        <v>61024.1</v>
      </c>
      <c r="AS130" s="1922">
        <v>2092935.8</v>
      </c>
      <c r="AT130" s="2046">
        <f t="shared" si="67"/>
        <v>163490.6</v>
      </c>
      <c r="AU130" s="1922">
        <v>0</v>
      </c>
      <c r="AV130" s="1922">
        <v>8795.1</v>
      </c>
      <c r="AW130" s="1922">
        <v>3509.7</v>
      </c>
      <c r="AX130" s="1922">
        <v>165739.1</v>
      </c>
      <c r="AY130" s="1037">
        <f t="shared" si="85"/>
        <v>178043.90000000002</v>
      </c>
      <c r="AZ130" s="1289">
        <v>2.15</v>
      </c>
      <c r="BA130" s="1289">
        <v>-3.14</v>
      </c>
      <c r="BB130" s="1289">
        <v>3.49</v>
      </c>
      <c r="BC130" s="1289">
        <v>3.13</v>
      </c>
      <c r="BD130" s="1289">
        <v>4.1399999999999997</v>
      </c>
      <c r="BE130" s="1289" t="s">
        <v>288</v>
      </c>
      <c r="BF130" s="2047">
        <v>9219</v>
      </c>
      <c r="BG130" s="2047">
        <v>3673</v>
      </c>
      <c r="BH130" s="354"/>
      <c r="BI130" s="354"/>
      <c r="BJ130" s="354"/>
      <c r="BK130" s="1289">
        <f t="shared" si="68"/>
        <v>99.752043137965771</v>
      </c>
      <c r="BL130" s="1289">
        <f t="shared" si="69"/>
        <v>84.075767436815269</v>
      </c>
      <c r="BM130" s="1289">
        <f t="shared" si="70"/>
        <v>83.867295802147751</v>
      </c>
      <c r="BN130" s="1289">
        <f t="shared" si="71"/>
        <v>8.9798211701927961</v>
      </c>
      <c r="BO130" s="1289">
        <v>5</v>
      </c>
      <c r="BP130" s="1289">
        <v>6.58</v>
      </c>
      <c r="BQ130" s="1289">
        <v>11.35</v>
      </c>
      <c r="BR130" s="1289">
        <f t="shared" si="86"/>
        <v>4.7699999999999996</v>
      </c>
      <c r="BS130" s="1289">
        <v>10.16</v>
      </c>
      <c r="BT130" s="1289">
        <v>14.32</v>
      </c>
      <c r="BU130" s="1289">
        <f t="shared" si="87"/>
        <v>4.16</v>
      </c>
    </row>
    <row r="131" spans="1:73" s="154" customFormat="1" ht="9.9499999999999993" customHeight="1" x14ac:dyDescent="0.2">
      <c r="A131" s="160" t="s">
        <v>1150</v>
      </c>
      <c r="B131" s="275" t="s">
        <v>555</v>
      </c>
      <c r="C131" s="1924">
        <v>99915.5</v>
      </c>
      <c r="D131" s="1924">
        <v>800.8</v>
      </c>
      <c r="E131" s="1924">
        <f t="shared" si="72"/>
        <v>100716.3</v>
      </c>
      <c r="F131" s="1924">
        <v>9161.6</v>
      </c>
      <c r="G131" s="1924">
        <f t="shared" si="73"/>
        <v>91554.7</v>
      </c>
      <c r="H131" s="1924">
        <v>9574.2999999999993</v>
      </c>
      <c r="I131" s="1924">
        <v>49998.7</v>
      </c>
      <c r="J131" s="1924">
        <v>71131.399999999994</v>
      </c>
      <c r="K131" s="1924">
        <v>661983</v>
      </c>
      <c r="L131" s="2050">
        <f t="shared" si="74"/>
        <v>733114.4</v>
      </c>
      <c r="M131" s="2050">
        <f t="shared" si="75"/>
        <v>783113.1</v>
      </c>
      <c r="N131" s="1924">
        <v>512.9</v>
      </c>
      <c r="O131" s="2050">
        <f t="shared" si="76"/>
        <v>163198.99999999997</v>
      </c>
      <c r="P131" s="2050">
        <f t="shared" si="77"/>
        <v>825182</v>
      </c>
      <c r="Q131" s="2057" t="s">
        <v>288</v>
      </c>
      <c r="R131" s="2057" t="s">
        <v>288</v>
      </c>
      <c r="S131" s="2050">
        <v>0</v>
      </c>
      <c r="T131" s="1924">
        <v>14774.1</v>
      </c>
      <c r="U131" s="1924">
        <v>565375.1</v>
      </c>
      <c r="V131" s="2050">
        <f t="shared" si="78"/>
        <v>580149.19999999995</v>
      </c>
      <c r="W131" s="2050">
        <v>0</v>
      </c>
      <c r="X131" s="1924">
        <v>1356.7</v>
      </c>
      <c r="Y131" s="1924">
        <v>19077.8</v>
      </c>
      <c r="Z131" s="2050">
        <f t="shared" si="79"/>
        <v>20434.5</v>
      </c>
      <c r="AA131" s="2066">
        <v>10124.200000000001</v>
      </c>
      <c r="AB131" s="2066">
        <v>164531</v>
      </c>
      <c r="AC131" s="2067">
        <v>14652.4</v>
      </c>
      <c r="AD131" s="2068">
        <f t="shared" si="80"/>
        <v>179183.4</v>
      </c>
      <c r="AE131" s="2050">
        <f t="shared" si="81"/>
        <v>10124.200000000001</v>
      </c>
      <c r="AF131" s="2050">
        <f t="shared" si="81"/>
        <v>180661.8</v>
      </c>
      <c r="AG131" s="2050">
        <f t="shared" si="81"/>
        <v>599105.30000000005</v>
      </c>
      <c r="AH131" s="2050">
        <f t="shared" si="81"/>
        <v>779767.1</v>
      </c>
      <c r="AI131" s="1924">
        <v>4836.3999999999996</v>
      </c>
      <c r="AJ131" s="1924">
        <v>5166.8999999999996</v>
      </c>
      <c r="AK131" s="2057">
        <v>11382.8</v>
      </c>
      <c r="AL131" s="1924">
        <v>37.6</v>
      </c>
      <c r="AM131" s="1924">
        <f>783163.9-12.3</f>
        <v>783151.6</v>
      </c>
      <c r="AN131" s="1924">
        <v>6446.9</v>
      </c>
      <c r="AO131" s="2050">
        <f t="shared" si="82"/>
        <v>789598.5</v>
      </c>
      <c r="AP131" s="2050">
        <f t="shared" si="83"/>
        <v>51323.902500000004</v>
      </c>
      <c r="AQ131" s="2040">
        <f t="shared" si="84"/>
        <v>5097.3974999999991</v>
      </c>
      <c r="AR131" s="2057">
        <v>56421.3</v>
      </c>
      <c r="AS131" s="1924">
        <v>2175033.6</v>
      </c>
      <c r="AT131" s="2040">
        <f t="shared" si="67"/>
        <v>157137.60000000001</v>
      </c>
      <c r="AU131" s="1924">
        <v>0</v>
      </c>
      <c r="AV131" s="1924">
        <v>8795.7000000000007</v>
      </c>
      <c r="AW131" s="1924">
        <v>3297.2</v>
      </c>
      <c r="AX131" s="1924">
        <v>163237.70000000001</v>
      </c>
      <c r="AY131" s="2050">
        <f t="shared" si="85"/>
        <v>175330.60000000003</v>
      </c>
      <c r="AZ131" s="1267">
        <v>-0.13</v>
      </c>
      <c r="BA131" s="1267">
        <v>-2.56</v>
      </c>
      <c r="BB131" s="1267">
        <v>5.0999999999999996</v>
      </c>
      <c r="BC131" s="1267">
        <v>4.0999999999999996</v>
      </c>
      <c r="BD131" s="1267">
        <v>4.7699999999999996</v>
      </c>
      <c r="BE131" s="1267" t="s">
        <v>288</v>
      </c>
      <c r="BF131" s="2051">
        <v>9271</v>
      </c>
      <c r="BG131" s="2051">
        <v>3679</v>
      </c>
      <c r="BH131" s="354"/>
      <c r="BI131" s="354"/>
      <c r="BJ131" s="354"/>
      <c r="BK131" s="1267">
        <f t="shared" si="68"/>
        <v>99.567835908143451</v>
      </c>
      <c r="BL131" s="1267">
        <f t="shared" si="69"/>
        <v>84.473260705425517</v>
      </c>
      <c r="BM131" s="1267">
        <f t="shared" si="70"/>
        <v>84.108197605436303</v>
      </c>
      <c r="BN131" s="1267">
        <f t="shared" si="71"/>
        <v>8.3742279272621047</v>
      </c>
      <c r="BO131" s="1267">
        <v>5</v>
      </c>
      <c r="BP131" s="1267">
        <v>6.46</v>
      </c>
      <c r="BQ131" s="1267">
        <v>11.27</v>
      </c>
      <c r="BR131" s="1267">
        <f t="shared" si="86"/>
        <v>4.8099999999999996</v>
      </c>
      <c r="BS131" s="1267">
        <v>10.02</v>
      </c>
      <c r="BT131" s="1267">
        <v>14.16</v>
      </c>
      <c r="BU131" s="1267">
        <f t="shared" si="87"/>
        <v>4.1400000000000006</v>
      </c>
    </row>
    <row r="132" spans="1:73" s="154" customFormat="1" ht="9.9499999999999993" customHeight="1" x14ac:dyDescent="0.2">
      <c r="A132" s="160" t="s">
        <v>1150</v>
      </c>
      <c r="B132" s="236" t="s">
        <v>548</v>
      </c>
      <c r="C132" s="1922">
        <v>100513.1</v>
      </c>
      <c r="D132" s="1922">
        <v>797.6</v>
      </c>
      <c r="E132" s="1922">
        <f t="shared" si="72"/>
        <v>101310.70000000001</v>
      </c>
      <c r="F132" s="1922">
        <v>8765.4</v>
      </c>
      <c r="G132" s="1922">
        <f t="shared" si="73"/>
        <v>92545.300000000017</v>
      </c>
      <c r="H132" s="1922">
        <v>14008.9</v>
      </c>
      <c r="I132" s="1922">
        <v>51916.4</v>
      </c>
      <c r="J132" s="1922">
        <v>75228.2</v>
      </c>
      <c r="K132" s="2056">
        <v>669794.9</v>
      </c>
      <c r="L132" s="1037">
        <f t="shared" si="74"/>
        <v>745023.1</v>
      </c>
      <c r="M132" s="1037">
        <f t="shared" si="75"/>
        <v>796939.5</v>
      </c>
      <c r="N132" s="1922">
        <v>545.79999999999995</v>
      </c>
      <c r="O132" s="1037">
        <f t="shared" si="76"/>
        <v>168319.3</v>
      </c>
      <c r="P132" s="1037">
        <f t="shared" si="77"/>
        <v>838114.2</v>
      </c>
      <c r="Q132" s="2056" t="s">
        <v>288</v>
      </c>
      <c r="R132" s="2056" t="s">
        <v>288</v>
      </c>
      <c r="S132" s="1037">
        <v>0</v>
      </c>
      <c r="T132" s="1922">
        <v>14876.6</v>
      </c>
      <c r="U132" s="1922">
        <v>582754</v>
      </c>
      <c r="V132" s="1037">
        <f t="shared" si="78"/>
        <v>597630.6</v>
      </c>
      <c r="W132" s="1037">
        <v>0</v>
      </c>
      <c r="X132" s="1922">
        <v>1221.7</v>
      </c>
      <c r="Y132" s="1922">
        <v>18621.2</v>
      </c>
      <c r="Z132" s="1037">
        <f t="shared" si="79"/>
        <v>19842.900000000001</v>
      </c>
      <c r="AA132" s="2064">
        <v>10017.6</v>
      </c>
      <c r="AB132" s="2064">
        <v>159876.79999999999</v>
      </c>
      <c r="AC132" s="2069">
        <v>14241.2</v>
      </c>
      <c r="AD132" s="2065">
        <f t="shared" si="80"/>
        <v>174118</v>
      </c>
      <c r="AE132" s="1037">
        <f t="shared" si="81"/>
        <v>10017.6</v>
      </c>
      <c r="AF132" s="1037">
        <f t="shared" si="81"/>
        <v>175975.09999999998</v>
      </c>
      <c r="AG132" s="1037">
        <f t="shared" si="81"/>
        <v>615616.39999999991</v>
      </c>
      <c r="AH132" s="1037">
        <f t="shared" si="81"/>
        <v>791591.5</v>
      </c>
      <c r="AI132" s="1922">
        <v>5308.6</v>
      </c>
      <c r="AJ132" s="1922">
        <v>5109</v>
      </c>
      <c r="AK132" s="2056">
        <v>10654.3</v>
      </c>
      <c r="AL132" s="1922">
        <v>37.6</v>
      </c>
      <c r="AM132" s="1922">
        <f>796990.5-13.6</f>
        <v>796976.9</v>
      </c>
      <c r="AN132" s="1922">
        <v>6546.6</v>
      </c>
      <c r="AO132" s="1037">
        <f t="shared" si="82"/>
        <v>803523.5</v>
      </c>
      <c r="AP132" s="1037">
        <f t="shared" si="83"/>
        <v>52229.027500000004</v>
      </c>
      <c r="AQ132" s="2046">
        <f t="shared" si="84"/>
        <v>6129.2724999999991</v>
      </c>
      <c r="AR132" s="2056">
        <v>58358.3</v>
      </c>
      <c r="AS132" s="1922">
        <v>2134852.1</v>
      </c>
      <c r="AT132" s="2046">
        <f t="shared" si="67"/>
        <v>159669</v>
      </c>
      <c r="AU132" s="1922">
        <v>0</v>
      </c>
      <c r="AV132" s="1922">
        <v>9626.1</v>
      </c>
      <c r="AW132" s="1922">
        <v>2925.5</v>
      </c>
      <c r="AX132" s="1922">
        <v>158510.70000000001</v>
      </c>
      <c r="AY132" s="1037">
        <f t="shared" si="85"/>
        <v>171062.30000000002</v>
      </c>
      <c r="AZ132" s="1289">
        <v>-6.14</v>
      </c>
      <c r="BA132" s="1289">
        <v>-0.13</v>
      </c>
      <c r="BB132" s="1289">
        <v>7.99</v>
      </c>
      <c r="BC132" s="1289">
        <v>5.58</v>
      </c>
      <c r="BD132" s="1289">
        <v>6.41</v>
      </c>
      <c r="BE132" s="1289" t="s">
        <v>288</v>
      </c>
      <c r="BF132" s="2047">
        <v>9397</v>
      </c>
      <c r="BG132" s="2047">
        <v>3690</v>
      </c>
      <c r="BH132" s="354"/>
      <c r="BI132" s="354"/>
      <c r="BJ132" s="354"/>
      <c r="BK132" s="1289">
        <f t="shared" si="68"/>
        <v>99.324271506489083</v>
      </c>
      <c r="BL132" s="1289">
        <f t="shared" si="69"/>
        <v>84.811844205597538</v>
      </c>
      <c r="BM132" s="1289">
        <f t="shared" si="70"/>
        <v>84.238746408428227</v>
      </c>
      <c r="BN132" s="1289">
        <f t="shared" si="71"/>
        <v>8.4222892783969012</v>
      </c>
      <c r="BO132" s="1289">
        <v>5</v>
      </c>
      <c r="BP132" s="1289">
        <v>6.34</v>
      </c>
      <c r="BQ132" s="1289">
        <v>11.18</v>
      </c>
      <c r="BR132" s="1289">
        <f t="shared" si="86"/>
        <v>4.84</v>
      </c>
      <c r="BS132" s="1289">
        <v>9.8699999999999992</v>
      </c>
      <c r="BT132" s="1289">
        <v>14.03</v>
      </c>
      <c r="BU132" s="1289">
        <f t="shared" si="87"/>
        <v>4.16</v>
      </c>
    </row>
    <row r="133" spans="1:73" s="154" customFormat="1" ht="9.9499999999999993" customHeight="1" x14ac:dyDescent="0.2">
      <c r="A133" s="160" t="s">
        <v>1150</v>
      </c>
      <c r="B133" s="275" t="s">
        <v>556</v>
      </c>
      <c r="C133" s="1924">
        <v>101705</v>
      </c>
      <c r="D133" s="1924">
        <v>794.4</v>
      </c>
      <c r="E133" s="1924">
        <f t="shared" si="72"/>
        <v>102499.4</v>
      </c>
      <c r="F133" s="1924">
        <v>9829.7000000000007</v>
      </c>
      <c r="G133" s="1924">
        <f t="shared" si="73"/>
        <v>92669.7</v>
      </c>
      <c r="H133" s="1924">
        <v>12739.9</v>
      </c>
      <c r="I133" s="1924">
        <v>50370.9</v>
      </c>
      <c r="J133" s="1924">
        <v>73565.899999999994</v>
      </c>
      <c r="K133" s="2057">
        <v>667740.30000000005</v>
      </c>
      <c r="L133" s="2050">
        <f t="shared" si="74"/>
        <v>741306.20000000007</v>
      </c>
      <c r="M133" s="2050">
        <f t="shared" si="75"/>
        <v>791677.10000000009</v>
      </c>
      <c r="N133" s="1924">
        <v>525.20000000000005</v>
      </c>
      <c r="O133" s="2050">
        <f t="shared" si="76"/>
        <v>166760.79999999999</v>
      </c>
      <c r="P133" s="2050">
        <f t="shared" si="77"/>
        <v>834501.10000000009</v>
      </c>
      <c r="Q133" s="2057" t="s">
        <v>288</v>
      </c>
      <c r="R133" s="2057" t="s">
        <v>288</v>
      </c>
      <c r="S133" s="2050">
        <v>0</v>
      </c>
      <c r="T133" s="1924">
        <v>16427.8</v>
      </c>
      <c r="U133" s="1924">
        <v>585259.4</v>
      </c>
      <c r="V133" s="2050">
        <f t="shared" si="78"/>
        <v>601687.20000000007</v>
      </c>
      <c r="W133" s="2050">
        <v>0</v>
      </c>
      <c r="X133" s="1924">
        <v>1374.5</v>
      </c>
      <c r="Y133" s="1924">
        <v>17926</v>
      </c>
      <c r="Z133" s="2050">
        <f t="shared" si="79"/>
        <v>19300.5</v>
      </c>
      <c r="AA133" s="2066">
        <v>9055.2000000000007</v>
      </c>
      <c r="AB133" s="2066">
        <v>156276.6</v>
      </c>
      <c r="AC133" s="2067">
        <v>14163.9</v>
      </c>
      <c r="AD133" s="2068">
        <f t="shared" si="80"/>
        <v>170440.5</v>
      </c>
      <c r="AE133" s="2050">
        <f t="shared" si="81"/>
        <v>9055.2000000000007</v>
      </c>
      <c r="AF133" s="2050">
        <f t="shared" si="81"/>
        <v>174078.9</v>
      </c>
      <c r="AG133" s="2050">
        <f t="shared" si="81"/>
        <v>617349.30000000005</v>
      </c>
      <c r="AH133" s="2050">
        <f t="shared" si="81"/>
        <v>791428.20000000007</v>
      </c>
      <c r="AI133" s="1924">
        <v>4724.3999999999996</v>
      </c>
      <c r="AJ133" s="1924">
        <v>15077.8</v>
      </c>
      <c r="AK133" s="2057">
        <v>11355.8</v>
      </c>
      <c r="AL133" s="1924">
        <v>37.799999999999997</v>
      </c>
      <c r="AM133" s="1924">
        <f>791726.7-12.7</f>
        <v>791714</v>
      </c>
      <c r="AN133" s="1924">
        <v>6716.1</v>
      </c>
      <c r="AO133" s="2050">
        <f t="shared" si="82"/>
        <v>798430.1</v>
      </c>
      <c r="AP133" s="2050">
        <f t="shared" si="83"/>
        <v>51897.9565</v>
      </c>
      <c r="AQ133" s="2040">
        <f t="shared" si="84"/>
        <v>6845.8435000000027</v>
      </c>
      <c r="AR133" s="2057">
        <v>58743.8</v>
      </c>
      <c r="AS133" s="1924">
        <v>2149911.7999999998</v>
      </c>
      <c r="AT133" s="2040">
        <f t="shared" si="67"/>
        <v>161243.20000000001</v>
      </c>
      <c r="AU133" s="1924">
        <v>0</v>
      </c>
      <c r="AV133" s="1924">
        <v>10715.5</v>
      </c>
      <c r="AW133" s="1924">
        <v>3472.5</v>
      </c>
      <c r="AX133" s="1924">
        <v>154904</v>
      </c>
      <c r="AY133" s="2050">
        <f t="shared" si="85"/>
        <v>169092</v>
      </c>
      <c r="AZ133" s="1267">
        <v>-9.2200000000000006</v>
      </c>
      <c r="BA133" s="1267">
        <v>6.8</v>
      </c>
      <c r="BB133" s="1267">
        <v>8.2799999999999994</v>
      </c>
      <c r="BC133" s="1267">
        <v>5.5</v>
      </c>
      <c r="BD133" s="1267">
        <v>5.95</v>
      </c>
      <c r="BE133" s="1267" t="s">
        <v>288</v>
      </c>
      <c r="BF133" s="2051">
        <v>9398</v>
      </c>
      <c r="BG133" s="2051">
        <v>3690</v>
      </c>
      <c r="BH133" s="354"/>
      <c r="BI133" s="354"/>
      <c r="BJ133" s="354"/>
      <c r="BK133" s="1267">
        <f t="shared" si="68"/>
        <v>99.96390110570232</v>
      </c>
      <c r="BL133" s="1267">
        <f t="shared" si="69"/>
        <v>84.242817620770381</v>
      </c>
      <c r="BM133" s="1267">
        <f t="shared" si="70"/>
        <v>84.212406895084072</v>
      </c>
      <c r="BN133" s="1267">
        <f t="shared" si="71"/>
        <v>8.6613979290501373</v>
      </c>
      <c r="BO133" s="1267">
        <v>5</v>
      </c>
      <c r="BP133" s="1267">
        <v>6.21</v>
      </c>
      <c r="BQ133" s="1267">
        <v>11.05</v>
      </c>
      <c r="BR133" s="1267">
        <f t="shared" si="86"/>
        <v>4.8400000000000007</v>
      </c>
      <c r="BS133" s="1267">
        <v>9.7200000000000006</v>
      </c>
      <c r="BT133" s="1267">
        <v>13.9</v>
      </c>
      <c r="BU133" s="1267">
        <f t="shared" si="87"/>
        <v>4.18</v>
      </c>
    </row>
    <row r="134" spans="1:73" s="154" customFormat="1" ht="9.9499999999999993" customHeight="1" x14ac:dyDescent="0.2">
      <c r="A134" s="160" t="s">
        <v>1150</v>
      </c>
      <c r="B134" s="236" t="s">
        <v>557</v>
      </c>
      <c r="C134" s="1922">
        <v>102973.1</v>
      </c>
      <c r="D134" s="1922">
        <v>791.7</v>
      </c>
      <c r="E134" s="1922">
        <f t="shared" si="72"/>
        <v>103764.8</v>
      </c>
      <c r="F134" s="1922">
        <v>9627.4</v>
      </c>
      <c r="G134" s="1922">
        <f t="shared" si="73"/>
        <v>94137.400000000009</v>
      </c>
      <c r="H134" s="1922">
        <v>12986.7</v>
      </c>
      <c r="I134" s="1922">
        <v>49137.599999999999</v>
      </c>
      <c r="J134" s="1922">
        <v>74296.5</v>
      </c>
      <c r="K134" s="2056">
        <v>676038.7</v>
      </c>
      <c r="L134" s="1037">
        <f t="shared" si="74"/>
        <v>750335.2</v>
      </c>
      <c r="M134" s="1037">
        <f t="shared" si="75"/>
        <v>799472.79999999993</v>
      </c>
      <c r="N134" s="1922">
        <v>563.29999999999995</v>
      </c>
      <c r="O134" s="1037">
        <f t="shared" si="76"/>
        <v>168997.2</v>
      </c>
      <c r="P134" s="1037">
        <f t="shared" si="77"/>
        <v>845035.89999999991</v>
      </c>
      <c r="Q134" s="2056" t="s">
        <v>288</v>
      </c>
      <c r="R134" s="2056" t="s">
        <v>288</v>
      </c>
      <c r="S134" s="1037">
        <v>0</v>
      </c>
      <c r="T134" s="1922">
        <v>15573.9</v>
      </c>
      <c r="U134" s="1922">
        <v>589432.19999999995</v>
      </c>
      <c r="V134" s="1037">
        <f t="shared" si="78"/>
        <v>605006.1</v>
      </c>
      <c r="W134" s="1037">
        <v>0</v>
      </c>
      <c r="X134" s="1922">
        <v>1405.3</v>
      </c>
      <c r="Y134" s="1922">
        <v>19455.099999999999</v>
      </c>
      <c r="Z134" s="1037">
        <f t="shared" si="79"/>
        <v>20860.399999999998</v>
      </c>
      <c r="AA134" s="2064">
        <v>9597.9</v>
      </c>
      <c r="AB134" s="2064">
        <v>151757.70000000001</v>
      </c>
      <c r="AC134" s="2069">
        <v>14249.8</v>
      </c>
      <c r="AD134" s="2065">
        <f t="shared" si="80"/>
        <v>166007.5</v>
      </c>
      <c r="AE134" s="1037">
        <f t="shared" si="81"/>
        <v>9597.9</v>
      </c>
      <c r="AF134" s="1037">
        <f t="shared" si="81"/>
        <v>168736.90000000002</v>
      </c>
      <c r="AG134" s="1037">
        <f t="shared" si="81"/>
        <v>623137.1</v>
      </c>
      <c r="AH134" s="1037">
        <f t="shared" si="81"/>
        <v>791874</v>
      </c>
      <c r="AI134" s="1922">
        <v>4727.8</v>
      </c>
      <c r="AJ134" s="1922">
        <v>15991.8</v>
      </c>
      <c r="AK134" s="2056">
        <v>11426.1</v>
      </c>
      <c r="AL134" s="1922">
        <v>56.5</v>
      </c>
      <c r="AM134" s="1922">
        <f>799522.2-14.5</f>
        <v>799507.7</v>
      </c>
      <c r="AN134" s="1922">
        <v>6615.7</v>
      </c>
      <c r="AO134" s="1037">
        <f t="shared" si="82"/>
        <v>806123.39999999991</v>
      </c>
      <c r="AP134" s="1037">
        <f t="shared" si="83"/>
        <v>52398.020999999993</v>
      </c>
      <c r="AQ134" s="2046">
        <f t="shared" si="84"/>
        <v>4996.8790000000081</v>
      </c>
      <c r="AR134" s="2056">
        <v>57394.9</v>
      </c>
      <c r="AS134" s="1922">
        <v>2179153</v>
      </c>
      <c r="AT134" s="2046">
        <f t="shared" si="67"/>
        <v>161159.70000000001</v>
      </c>
      <c r="AU134" s="1922">
        <v>0</v>
      </c>
      <c r="AV134" s="1922">
        <v>10716.9</v>
      </c>
      <c r="AW134" s="1922">
        <v>3413.4</v>
      </c>
      <c r="AX134" s="1922">
        <v>150385</v>
      </c>
      <c r="AY134" s="1037">
        <f t="shared" si="85"/>
        <v>164515.29999999999</v>
      </c>
      <c r="AZ134" s="1289">
        <v>-6.86</v>
      </c>
      <c r="BA134" s="1289">
        <v>2.1</v>
      </c>
      <c r="BB134" s="1289">
        <v>9.2899999999999991</v>
      </c>
      <c r="BC134" s="1289">
        <v>6.58</v>
      </c>
      <c r="BD134" s="1289">
        <v>7.29</v>
      </c>
      <c r="BE134" s="1289" t="s">
        <v>288</v>
      </c>
      <c r="BF134" s="2047">
        <v>9402</v>
      </c>
      <c r="BG134" s="2047">
        <v>3690</v>
      </c>
      <c r="BH134" s="354"/>
      <c r="BI134" s="354"/>
      <c r="BJ134" s="354"/>
      <c r="BK134" s="1289">
        <f t="shared" si="68"/>
        <v>99.045199939913033</v>
      </c>
      <c r="BL134" s="1289">
        <f t="shared" si="69"/>
        <v>85.035917889810676</v>
      </c>
      <c r="BM134" s="1289">
        <f t="shared" si="70"/>
        <v>84.223994894703253</v>
      </c>
      <c r="BN134" s="1289">
        <f t="shared" si="71"/>
        <v>8.3829461554904352</v>
      </c>
      <c r="BO134" s="1289">
        <v>5</v>
      </c>
      <c r="BP134" s="1289">
        <v>6.1</v>
      </c>
      <c r="BQ134" s="1289">
        <v>10.91</v>
      </c>
      <c r="BR134" s="1289">
        <f t="shared" si="86"/>
        <v>4.8100000000000005</v>
      </c>
      <c r="BS134" s="1289">
        <v>9.5500000000000007</v>
      </c>
      <c r="BT134" s="1289">
        <v>13.72</v>
      </c>
      <c r="BU134" s="1289">
        <f t="shared" si="87"/>
        <v>4.17</v>
      </c>
    </row>
    <row r="135" spans="1:73" s="154" customFormat="1" ht="9.9499999999999993" customHeight="1" x14ac:dyDescent="0.2">
      <c r="A135" s="160" t="s">
        <v>1150</v>
      </c>
      <c r="B135" s="275" t="s">
        <v>549</v>
      </c>
      <c r="C135" s="1924">
        <v>104247.9</v>
      </c>
      <c r="D135" s="1924">
        <v>788.8</v>
      </c>
      <c r="E135" s="1924">
        <f t="shared" si="72"/>
        <v>105036.7</v>
      </c>
      <c r="F135" s="1924">
        <v>8440.5</v>
      </c>
      <c r="G135" s="1924">
        <f t="shared" si="73"/>
        <v>96596.2</v>
      </c>
      <c r="H135" s="1924">
        <v>11686.5</v>
      </c>
      <c r="I135" s="1924">
        <v>52193.5</v>
      </c>
      <c r="J135" s="1924">
        <v>74303.8</v>
      </c>
      <c r="K135" s="2057">
        <v>681687.6</v>
      </c>
      <c r="L135" s="2050">
        <f t="shared" si="74"/>
        <v>755991.4</v>
      </c>
      <c r="M135" s="2050">
        <f t="shared" si="75"/>
        <v>808184.9</v>
      </c>
      <c r="N135" s="1924">
        <v>597.20000000000005</v>
      </c>
      <c r="O135" s="2050">
        <f t="shared" si="76"/>
        <v>171497.2</v>
      </c>
      <c r="P135" s="2050">
        <f t="shared" si="77"/>
        <v>853184.8</v>
      </c>
      <c r="Q135" s="2057" t="s">
        <v>288</v>
      </c>
      <c r="R135" s="2057" t="s">
        <v>288</v>
      </c>
      <c r="S135" s="2050">
        <v>0</v>
      </c>
      <c r="T135" s="1924">
        <v>15828.5</v>
      </c>
      <c r="U135" s="1924">
        <v>597031.19999999995</v>
      </c>
      <c r="V135" s="2050">
        <f t="shared" si="78"/>
        <v>612859.69999999995</v>
      </c>
      <c r="W135" s="2050">
        <v>0</v>
      </c>
      <c r="X135" s="1924">
        <v>1401.8</v>
      </c>
      <c r="Y135" s="1924">
        <v>20101.599999999999</v>
      </c>
      <c r="Z135" s="2050">
        <f t="shared" si="79"/>
        <v>21503.399999999998</v>
      </c>
      <c r="AA135" s="2066">
        <v>10192.5</v>
      </c>
      <c r="AB135" s="2066">
        <v>148941.29999999999</v>
      </c>
      <c r="AC135" s="2067">
        <v>14495.8</v>
      </c>
      <c r="AD135" s="2068">
        <f t="shared" si="80"/>
        <v>163437.09999999998</v>
      </c>
      <c r="AE135" s="2050">
        <f t="shared" si="81"/>
        <v>10192.5</v>
      </c>
      <c r="AF135" s="2050">
        <f t="shared" si="81"/>
        <v>166171.59999999998</v>
      </c>
      <c r="AG135" s="2050">
        <f t="shared" si="81"/>
        <v>631628.6</v>
      </c>
      <c r="AH135" s="2050">
        <f t="shared" si="81"/>
        <v>797800.2</v>
      </c>
      <c r="AI135" s="1924">
        <v>5269.2</v>
      </c>
      <c r="AJ135" s="1924">
        <v>16992.7</v>
      </c>
      <c r="AK135" s="2057">
        <v>13739.2</v>
      </c>
      <c r="AL135" s="1924">
        <v>52.3</v>
      </c>
      <c r="AM135" s="1924">
        <f>808233.9-14.1</f>
        <v>808219.8</v>
      </c>
      <c r="AN135" s="1924">
        <v>7096.7</v>
      </c>
      <c r="AO135" s="2050">
        <f t="shared" si="82"/>
        <v>815316.5</v>
      </c>
      <c r="AP135" s="2050">
        <f t="shared" si="83"/>
        <v>52995.572500000002</v>
      </c>
      <c r="AQ135" s="2040">
        <f t="shared" si="84"/>
        <v>3252.2275000000009</v>
      </c>
      <c r="AR135" s="2057">
        <v>56247.8</v>
      </c>
      <c r="AS135" s="1924">
        <v>2221508.1</v>
      </c>
      <c r="AT135" s="2040">
        <f t="shared" si="67"/>
        <v>161284.5</v>
      </c>
      <c r="AU135" s="1924">
        <v>1604.3</v>
      </c>
      <c r="AV135" s="1924">
        <v>10710.9</v>
      </c>
      <c r="AW135" s="1924">
        <v>3363.9</v>
      </c>
      <c r="AX135" s="1924">
        <v>147568.70000000001</v>
      </c>
      <c r="AY135" s="2050">
        <f t="shared" si="85"/>
        <v>163247.79999999999</v>
      </c>
      <c r="AZ135" s="1267">
        <v>-9.5</v>
      </c>
      <c r="BA135" s="1267">
        <v>3.6</v>
      </c>
      <c r="BB135" s="1267">
        <v>10.76</v>
      </c>
      <c r="BC135" s="1267">
        <v>7.41</v>
      </c>
      <c r="BD135" s="1267">
        <v>8.33</v>
      </c>
      <c r="BE135" s="1267" t="s">
        <v>288</v>
      </c>
      <c r="BF135" s="2051">
        <v>9410</v>
      </c>
      <c r="BG135" s="2051">
        <v>3694</v>
      </c>
      <c r="BH135" s="354"/>
      <c r="BI135" s="354"/>
      <c r="BJ135" s="354"/>
      <c r="BK135" s="1267">
        <f t="shared" si="68"/>
        <v>98.710796246268643</v>
      </c>
      <c r="BL135" s="1267">
        <f t="shared" si="69"/>
        <v>85.88945802337939</v>
      </c>
      <c r="BM135" s="1267">
        <f t="shared" si="70"/>
        <v>84.782167906482456</v>
      </c>
      <c r="BN135" s="1267">
        <f t="shared" si="71"/>
        <v>8.0038004513128733</v>
      </c>
      <c r="BO135" s="1267">
        <v>5</v>
      </c>
      <c r="BP135" s="1267">
        <v>5.92</v>
      </c>
      <c r="BQ135" s="1267">
        <v>10.78</v>
      </c>
      <c r="BR135" s="1267">
        <f t="shared" si="86"/>
        <v>4.8599999999999994</v>
      </c>
      <c r="BS135" s="1267">
        <v>9.34</v>
      </c>
      <c r="BT135" s="1267">
        <v>13.51</v>
      </c>
      <c r="BU135" s="1267">
        <f t="shared" si="87"/>
        <v>4.17</v>
      </c>
    </row>
    <row r="136" spans="1:73" s="154" customFormat="1" ht="9.9499999999999993" customHeight="1" x14ac:dyDescent="0.2">
      <c r="A136" s="160" t="s">
        <v>1150</v>
      </c>
      <c r="B136" s="236" t="s">
        <v>558</v>
      </c>
      <c r="C136" s="1922">
        <v>106272.6</v>
      </c>
      <c r="D136" s="1922">
        <v>786.2</v>
      </c>
      <c r="E136" s="1922">
        <f t="shared" si="72"/>
        <v>107058.8</v>
      </c>
      <c r="F136" s="1922">
        <v>8313.2000000000007</v>
      </c>
      <c r="G136" s="1922">
        <f t="shared" si="73"/>
        <v>98745.600000000006</v>
      </c>
      <c r="H136" s="1922">
        <v>12036.2</v>
      </c>
      <c r="I136" s="1922">
        <v>52994</v>
      </c>
      <c r="J136" s="1922">
        <v>74736.800000000003</v>
      </c>
      <c r="K136" s="2056">
        <v>687373.3</v>
      </c>
      <c r="L136" s="1037">
        <f t="shared" si="74"/>
        <v>762110.10000000009</v>
      </c>
      <c r="M136" s="1037">
        <f t="shared" si="75"/>
        <v>815104.10000000009</v>
      </c>
      <c r="N136" s="1922">
        <v>559</v>
      </c>
      <c r="O136" s="1037">
        <f t="shared" si="76"/>
        <v>174041.40000000002</v>
      </c>
      <c r="P136" s="1037">
        <f t="shared" si="77"/>
        <v>861414.70000000007</v>
      </c>
      <c r="Q136" s="2056" t="s">
        <v>288</v>
      </c>
      <c r="R136" s="2056" t="s">
        <v>288</v>
      </c>
      <c r="S136" s="1037">
        <v>0</v>
      </c>
      <c r="T136" s="1922">
        <v>15615.8</v>
      </c>
      <c r="U136" s="1922">
        <v>604683.19999999995</v>
      </c>
      <c r="V136" s="1037">
        <f t="shared" si="78"/>
        <v>620299</v>
      </c>
      <c r="W136" s="1037">
        <v>0</v>
      </c>
      <c r="X136" s="1922">
        <v>1518.5</v>
      </c>
      <c r="Y136" s="1922">
        <v>20396.900000000001</v>
      </c>
      <c r="Z136" s="1037">
        <f t="shared" si="79"/>
        <v>21915.4</v>
      </c>
      <c r="AA136" s="2064">
        <v>9116.4</v>
      </c>
      <c r="AB136" s="2064">
        <v>151825.70000000001</v>
      </c>
      <c r="AC136" s="2069">
        <v>14806.2</v>
      </c>
      <c r="AD136" s="2065">
        <f t="shared" si="80"/>
        <v>166631.90000000002</v>
      </c>
      <c r="AE136" s="1037">
        <f t="shared" si="81"/>
        <v>9116.4</v>
      </c>
      <c r="AF136" s="1037">
        <f t="shared" si="81"/>
        <v>168960</v>
      </c>
      <c r="AG136" s="1037">
        <f t="shared" si="81"/>
        <v>639886.29999999993</v>
      </c>
      <c r="AH136" s="1037">
        <f t="shared" si="81"/>
        <v>808846.3</v>
      </c>
      <c r="AI136" s="1922">
        <v>5755.3</v>
      </c>
      <c r="AJ136" s="1922">
        <v>15831.8</v>
      </c>
      <c r="AK136" s="2056">
        <v>13017.7</v>
      </c>
      <c r="AL136" s="1922">
        <v>67.099999999999994</v>
      </c>
      <c r="AM136" s="1922">
        <f>815152.8-13.4</f>
        <v>815139.4</v>
      </c>
      <c r="AN136" s="1922">
        <v>6520.6</v>
      </c>
      <c r="AO136" s="1037">
        <f t="shared" si="82"/>
        <v>821660</v>
      </c>
      <c r="AP136" s="1037">
        <f t="shared" si="83"/>
        <v>53407.9</v>
      </c>
      <c r="AQ136" s="2046">
        <f t="shared" si="84"/>
        <v>4197.7999999999956</v>
      </c>
      <c r="AR136" s="2056">
        <v>57605.7</v>
      </c>
      <c r="AS136" s="1922">
        <v>2258123.7999999998</v>
      </c>
      <c r="AT136" s="2046">
        <f t="shared" si="67"/>
        <v>164664.5</v>
      </c>
      <c r="AU136" s="1922">
        <v>0</v>
      </c>
      <c r="AV136" s="1922">
        <v>10721.1</v>
      </c>
      <c r="AW136" s="1922">
        <v>3403.7</v>
      </c>
      <c r="AX136" s="1922">
        <v>150452.20000000001</v>
      </c>
      <c r="AY136" s="1037">
        <f t="shared" si="85"/>
        <v>164577.00000000003</v>
      </c>
      <c r="AZ136" s="1289">
        <v>-11.53</v>
      </c>
      <c r="BA136" s="1289">
        <v>2.82</v>
      </c>
      <c r="BB136" s="1289">
        <v>12.21</v>
      </c>
      <c r="BC136" s="1289">
        <v>8.25</v>
      </c>
      <c r="BD136" s="1289">
        <v>9.3699999999999992</v>
      </c>
      <c r="BE136" s="1289" t="s">
        <v>288</v>
      </c>
      <c r="BF136" s="2047">
        <v>9418</v>
      </c>
      <c r="BG136" s="2047">
        <v>3696</v>
      </c>
      <c r="BH136" s="354"/>
      <c r="BI136" s="354"/>
      <c r="BJ136" s="354"/>
      <c r="BK136" s="1289">
        <f t="shared" si="68"/>
        <v>99.227972540647642</v>
      </c>
      <c r="BL136" s="1289">
        <f t="shared" si="69"/>
        <v>86.551221066043752</v>
      </c>
      <c r="BM136" s="1289">
        <f t="shared" si="70"/>
        <v>85.883021873009142</v>
      </c>
      <c r="BN136" s="1289">
        <f t="shared" si="71"/>
        <v>8.0868253945276098</v>
      </c>
      <c r="BO136" s="1289">
        <v>5</v>
      </c>
      <c r="BP136" s="1289">
        <v>5.77</v>
      </c>
      <c r="BQ136" s="1289">
        <v>10.64</v>
      </c>
      <c r="BR136" s="1289">
        <f t="shared" si="86"/>
        <v>4.870000000000001</v>
      </c>
      <c r="BS136" s="1289">
        <v>9.16</v>
      </c>
      <c r="BT136" s="1289">
        <v>13.27</v>
      </c>
      <c r="BU136" s="1289">
        <f t="shared" si="87"/>
        <v>4.1099999999999994</v>
      </c>
    </row>
    <row r="137" spans="1:73" s="154" customFormat="1" ht="9.9499999999999993" customHeight="1" x14ac:dyDescent="0.2">
      <c r="A137" s="160" t="s">
        <v>1150</v>
      </c>
      <c r="B137" s="275" t="s">
        <v>559</v>
      </c>
      <c r="C137" s="1924">
        <v>110659.2</v>
      </c>
      <c r="D137" s="1924">
        <v>783.9</v>
      </c>
      <c r="E137" s="1924">
        <f t="shared" si="72"/>
        <v>111443.09999999999</v>
      </c>
      <c r="F137" s="1924">
        <v>9881.1</v>
      </c>
      <c r="G137" s="1924">
        <f t="shared" si="73"/>
        <v>101561.99999999999</v>
      </c>
      <c r="H137" s="1924">
        <v>13517.5</v>
      </c>
      <c r="I137" s="1924">
        <v>53173.2</v>
      </c>
      <c r="J137" s="1924">
        <v>79201.8</v>
      </c>
      <c r="K137" s="1924">
        <v>694771</v>
      </c>
      <c r="L137" s="2050">
        <f t="shared" si="74"/>
        <v>773972.8</v>
      </c>
      <c r="M137" s="2050">
        <f t="shared" si="75"/>
        <v>827146</v>
      </c>
      <c r="N137" s="1924">
        <v>558.79999999999995</v>
      </c>
      <c r="O137" s="2050">
        <f t="shared" si="76"/>
        <v>181322.59999999998</v>
      </c>
      <c r="P137" s="2050">
        <f t="shared" si="77"/>
        <v>876093.6</v>
      </c>
      <c r="Q137" s="2057" t="s">
        <v>288</v>
      </c>
      <c r="R137" s="2057" t="s">
        <v>288</v>
      </c>
      <c r="S137" s="2050">
        <v>0</v>
      </c>
      <c r="T137" s="1924">
        <v>16107.4</v>
      </c>
      <c r="U137" s="1924">
        <v>612797.4</v>
      </c>
      <c r="V137" s="2050">
        <f t="shared" si="78"/>
        <v>628904.80000000005</v>
      </c>
      <c r="W137" s="2050">
        <v>0</v>
      </c>
      <c r="X137" s="1924">
        <v>1467.8</v>
      </c>
      <c r="Y137" s="1924">
        <v>20602</v>
      </c>
      <c r="Z137" s="2050">
        <f t="shared" si="79"/>
        <v>22069.8</v>
      </c>
      <c r="AA137" s="2066">
        <v>9406</v>
      </c>
      <c r="AB137" s="2066">
        <v>153755.5</v>
      </c>
      <c r="AC137" s="2067">
        <v>15757.6</v>
      </c>
      <c r="AD137" s="2068">
        <f t="shared" si="80"/>
        <v>169513.1</v>
      </c>
      <c r="AE137" s="2050">
        <f t="shared" si="81"/>
        <v>9406</v>
      </c>
      <c r="AF137" s="2050">
        <f t="shared" si="81"/>
        <v>171330.7</v>
      </c>
      <c r="AG137" s="2050">
        <f t="shared" si="81"/>
        <v>649157</v>
      </c>
      <c r="AH137" s="2050">
        <f t="shared" si="81"/>
        <v>820487.70000000007</v>
      </c>
      <c r="AI137" s="1924">
        <v>5376.9</v>
      </c>
      <c r="AJ137" s="1924">
        <v>15526.4</v>
      </c>
      <c r="AK137" s="2057">
        <v>13331.2</v>
      </c>
      <c r="AL137" s="1924">
        <v>36.9</v>
      </c>
      <c r="AM137" s="1924">
        <f>827195.5-12.7</f>
        <v>827182.8</v>
      </c>
      <c r="AN137" s="1924">
        <v>6765.4</v>
      </c>
      <c r="AO137" s="2050">
        <f t="shared" si="82"/>
        <v>833948.20000000007</v>
      </c>
      <c r="AP137" s="2050">
        <f>0.065*AO137</f>
        <v>54206.633000000009</v>
      </c>
      <c r="AQ137" s="2040">
        <f>AR137-AP137</f>
        <v>6694.3669999999911</v>
      </c>
      <c r="AR137" s="1924">
        <v>60901</v>
      </c>
      <c r="AS137" s="1924">
        <v>2304464.7000000002</v>
      </c>
      <c r="AT137" s="2040">
        <f t="shared" si="67"/>
        <v>172344.09999999998</v>
      </c>
      <c r="AU137" s="1924">
        <v>0</v>
      </c>
      <c r="AV137" s="1924">
        <v>11656.9</v>
      </c>
      <c r="AW137" s="1924">
        <v>3876.9</v>
      </c>
      <c r="AX137" s="1924">
        <v>152385.5</v>
      </c>
      <c r="AY137" s="2050">
        <f t="shared" si="85"/>
        <v>167919.3</v>
      </c>
      <c r="AZ137" s="1267">
        <v>-7.39</v>
      </c>
      <c r="BA137" s="1267">
        <v>2.48</v>
      </c>
      <c r="BB137" s="1267">
        <v>13.82</v>
      </c>
      <c r="BC137" s="1267">
        <v>10.220000000000001</v>
      </c>
      <c r="BD137" s="1267">
        <v>11.23</v>
      </c>
      <c r="BE137" s="1267" t="s">
        <v>288</v>
      </c>
      <c r="BF137" s="2051">
        <v>9433</v>
      </c>
      <c r="BG137" s="2051">
        <v>3697</v>
      </c>
      <c r="BH137" s="354"/>
      <c r="BI137" s="354"/>
      <c r="BJ137" s="354"/>
      <c r="BK137" s="1267">
        <f t="shared" si="68"/>
        <v>99.190614214899057</v>
      </c>
      <c r="BL137" s="1267">
        <f t="shared" si="69"/>
        <v>87.690321212763706</v>
      </c>
      <c r="BM137" s="1267">
        <f t="shared" si="70"/>
        <v>86.980568217958236</v>
      </c>
      <c r="BN137" s="1267">
        <f t="shared" si="71"/>
        <v>8.5570081969789502</v>
      </c>
      <c r="BO137" s="1267">
        <v>5</v>
      </c>
      <c r="BP137" s="1267">
        <v>5.67</v>
      </c>
      <c r="BQ137" s="1267">
        <v>10.57</v>
      </c>
      <c r="BR137" s="1267">
        <f t="shared" si="86"/>
        <v>4.9000000000000004</v>
      </c>
      <c r="BS137" s="1267">
        <v>9.01</v>
      </c>
      <c r="BT137" s="1267">
        <v>13.16</v>
      </c>
      <c r="BU137" s="1267">
        <f t="shared" si="87"/>
        <v>4.1500000000000004</v>
      </c>
    </row>
    <row r="138" spans="1:73" s="154" customFormat="1" ht="9.9499999999999993" customHeight="1" x14ac:dyDescent="0.2">
      <c r="A138" s="160" t="s">
        <v>1150</v>
      </c>
      <c r="B138" s="236" t="s">
        <v>550</v>
      </c>
      <c r="C138" s="1922">
        <v>130728.7</v>
      </c>
      <c r="D138" s="1922">
        <v>1576.5</v>
      </c>
      <c r="E138" s="1922">
        <f>C138+D138</f>
        <v>132305.20000000001</v>
      </c>
      <c r="F138" s="1922">
        <v>10230.700000000001</v>
      </c>
      <c r="G138" s="1922">
        <f>E138-F138</f>
        <v>122074.50000000001</v>
      </c>
      <c r="H138" s="1922">
        <v>17126.2</v>
      </c>
      <c r="I138" s="1922">
        <v>55874.7</v>
      </c>
      <c r="J138" s="1922">
        <v>89759.1</v>
      </c>
      <c r="K138" s="2056">
        <v>703947.2</v>
      </c>
      <c r="L138" s="1037">
        <f>J138+K138</f>
        <v>793706.29999999993</v>
      </c>
      <c r="M138" s="1037">
        <f>I138+L138</f>
        <v>849580.99999999988</v>
      </c>
      <c r="N138" s="1922">
        <v>597.1</v>
      </c>
      <c r="O138" s="1037">
        <f>G138+J138+N138</f>
        <v>212430.70000000004</v>
      </c>
      <c r="P138" s="1037">
        <f>K138+O138</f>
        <v>916377.9</v>
      </c>
      <c r="Q138" s="2056" t="s">
        <v>288</v>
      </c>
      <c r="R138" s="2056" t="s">
        <v>288</v>
      </c>
      <c r="S138" s="1037">
        <v>0</v>
      </c>
      <c r="T138" s="1922">
        <v>14977.5</v>
      </c>
      <c r="U138" s="1922">
        <v>627918.19999999995</v>
      </c>
      <c r="V138" s="1037">
        <f>T138+U138</f>
        <v>642895.69999999995</v>
      </c>
      <c r="W138" s="1037">
        <v>0</v>
      </c>
      <c r="X138" s="1922">
        <v>1589</v>
      </c>
      <c r="Y138" s="1922">
        <v>22461</v>
      </c>
      <c r="Z138" s="1037">
        <f>X138+Y138</f>
        <v>24050</v>
      </c>
      <c r="AA138" s="2064">
        <v>8613</v>
      </c>
      <c r="AB138" s="2064">
        <v>157964.29999999999</v>
      </c>
      <c r="AC138" s="2069">
        <v>15663.2</v>
      </c>
      <c r="AD138" s="2065">
        <f>AB138+AC138</f>
        <v>173627.5</v>
      </c>
      <c r="AE138" s="1037">
        <f>S138+W138+AA138</f>
        <v>8613</v>
      </c>
      <c r="AF138" s="1037">
        <f>T138+X138+AB138</f>
        <v>174530.8</v>
      </c>
      <c r="AG138" s="1037">
        <f>U138+Y138+AC138</f>
        <v>666042.39999999991</v>
      </c>
      <c r="AH138" s="1037">
        <f>V138+Z138+AD138</f>
        <v>840573.2</v>
      </c>
      <c r="AI138" s="1922">
        <v>5436.7</v>
      </c>
      <c r="AJ138" s="1922">
        <v>18388.400000000001</v>
      </c>
      <c r="AK138" s="2056">
        <v>12975.5</v>
      </c>
      <c r="AL138" s="1922">
        <v>50.7</v>
      </c>
      <c r="AM138" s="1922">
        <f>849630.4-13.2</f>
        <v>849617.20000000007</v>
      </c>
      <c r="AN138" s="1922">
        <v>6908.3</v>
      </c>
      <c r="AO138" s="1037">
        <f>AM138+AN138</f>
        <v>856525.50000000012</v>
      </c>
      <c r="AP138" s="1037">
        <f>0.065*AO138</f>
        <v>55674.157500000008</v>
      </c>
      <c r="AQ138" s="2046">
        <f>AR138-AP138</f>
        <v>4624.8424999999916</v>
      </c>
      <c r="AR138" s="1922">
        <v>60299</v>
      </c>
      <c r="AS138" s="1922">
        <v>2370730.1</v>
      </c>
      <c r="AT138" s="2046">
        <f t="shared" si="67"/>
        <v>192604.2</v>
      </c>
      <c r="AU138" s="1922">
        <v>4000</v>
      </c>
      <c r="AV138" s="1922">
        <v>15984.8</v>
      </c>
      <c r="AW138" s="1922">
        <v>3911.6</v>
      </c>
      <c r="AX138" s="1922">
        <v>156583.5</v>
      </c>
      <c r="AY138" s="1037">
        <f>AX138+AW138+AV138+AU138</f>
        <v>180479.9</v>
      </c>
      <c r="AZ138" s="1289">
        <v>3.59</v>
      </c>
      <c r="BA138" s="1289">
        <v>-3.71</v>
      </c>
      <c r="BB138" s="1289">
        <v>16.78</v>
      </c>
      <c r="BC138" s="1289">
        <v>14.22</v>
      </c>
      <c r="BD138" s="1289">
        <v>16.350000000000001</v>
      </c>
      <c r="BE138" s="1289" t="s">
        <v>288</v>
      </c>
      <c r="BF138" s="2047">
        <v>9453</v>
      </c>
      <c r="BG138" s="2047">
        <v>3700</v>
      </c>
      <c r="BH138" s="354"/>
      <c r="BI138" s="354"/>
      <c r="BJ138" s="354"/>
      <c r="BK138" s="1289">
        <f t="shared" si="68"/>
        <v>98.935520608575231</v>
      </c>
      <c r="BL138" s="1289">
        <f t="shared" si="69"/>
        <v>89.878049296519634</v>
      </c>
      <c r="BM138" s="1289">
        <f t="shared" si="70"/>
        <v>88.921315984343593</v>
      </c>
      <c r="BN138" s="1289">
        <f t="shared" si="71"/>
        <v>8.3013503022302277</v>
      </c>
      <c r="BO138" s="1289">
        <v>5</v>
      </c>
      <c r="BP138" s="1289">
        <v>5.54</v>
      </c>
      <c r="BQ138" s="1289">
        <v>10.39</v>
      </c>
      <c r="BR138" s="1289">
        <f t="shared" si="86"/>
        <v>4.8500000000000005</v>
      </c>
      <c r="BS138" s="1289">
        <v>8.9499999999999993</v>
      </c>
      <c r="BT138" s="1289">
        <v>13.07</v>
      </c>
      <c r="BU138" s="1289">
        <f t="shared" si="87"/>
        <v>4.120000000000001</v>
      </c>
    </row>
    <row r="139" spans="1:73" s="154" customFormat="1" ht="9.9499999999999993" customHeight="1" x14ac:dyDescent="0.2">
      <c r="A139" s="160" t="s">
        <v>1174</v>
      </c>
      <c r="B139" s="275" t="s">
        <v>552</v>
      </c>
      <c r="C139" s="1922">
        <v>118091.1</v>
      </c>
      <c r="D139" s="1922">
        <v>1572.3</v>
      </c>
      <c r="E139" s="1922">
        <f t="shared" ref="E139:E150" si="88">C139+D139</f>
        <v>119663.40000000001</v>
      </c>
      <c r="F139" s="1922">
        <v>10638.4</v>
      </c>
      <c r="G139" s="1922">
        <f t="shared" ref="G139:G150" si="89">E139-F139</f>
        <v>109025.00000000001</v>
      </c>
      <c r="H139" s="1922">
        <v>12227.5</v>
      </c>
      <c r="I139" s="1922">
        <v>50841</v>
      </c>
      <c r="J139" s="1922">
        <v>87334.8</v>
      </c>
      <c r="K139" s="2056">
        <v>716365.2</v>
      </c>
      <c r="L139" s="1037">
        <f t="shared" ref="L139:L150" si="90">J139+K139</f>
        <v>803700</v>
      </c>
      <c r="M139" s="1037">
        <f t="shared" ref="M139:M150" si="91">I139+L139</f>
        <v>854541</v>
      </c>
      <c r="N139" s="1922">
        <v>579.79999999999995</v>
      </c>
      <c r="O139" s="1037">
        <f t="shared" ref="O139:O150" si="92">G139+J139+N139</f>
        <v>196939.6</v>
      </c>
      <c r="P139" s="1037">
        <f t="shared" ref="P139:P150" si="93">K139+O139</f>
        <v>913304.79999999993</v>
      </c>
      <c r="Q139" s="2056" t="s">
        <v>288</v>
      </c>
      <c r="R139" s="2056" t="s">
        <v>288</v>
      </c>
      <c r="S139" s="1037">
        <v>0</v>
      </c>
      <c r="T139" s="1922">
        <v>15146.9</v>
      </c>
      <c r="U139" s="1922">
        <v>621769.9</v>
      </c>
      <c r="V139" s="1037">
        <f t="shared" ref="V139:V150" si="94">T139+U139</f>
        <v>636916.80000000005</v>
      </c>
      <c r="W139" s="1037">
        <v>0</v>
      </c>
      <c r="X139" s="1922">
        <v>1558.7</v>
      </c>
      <c r="Y139" s="1922">
        <v>22009.8</v>
      </c>
      <c r="Z139" s="1037">
        <f t="shared" ref="Z139:Z150" si="95">X139+Y139</f>
        <v>23568.5</v>
      </c>
      <c r="AA139" s="2064">
        <v>8033.4</v>
      </c>
      <c r="AB139" s="2064">
        <v>167339.5</v>
      </c>
      <c r="AC139" s="2064">
        <v>16609</v>
      </c>
      <c r="AD139" s="2065">
        <f t="shared" ref="AD139:AD150" si="96">AB139+AC139</f>
        <v>183948.5</v>
      </c>
      <c r="AE139" s="1037">
        <f t="shared" ref="AE139:AH150" si="97">S139+W139+AA139</f>
        <v>8033.4</v>
      </c>
      <c r="AF139" s="1037">
        <f t="shared" si="97"/>
        <v>184045.1</v>
      </c>
      <c r="AG139" s="1037">
        <f t="shared" si="97"/>
        <v>660388.70000000007</v>
      </c>
      <c r="AH139" s="1037">
        <f t="shared" si="97"/>
        <v>844433.8</v>
      </c>
      <c r="AI139" s="1922">
        <v>4063.9</v>
      </c>
      <c r="AJ139" s="1922">
        <v>16849.900000000001</v>
      </c>
      <c r="AK139" s="1922">
        <v>9507</v>
      </c>
      <c r="AL139" s="1922">
        <v>70.599999999999994</v>
      </c>
      <c r="AM139" s="1922">
        <f>854592.3-13.2</f>
        <v>854579.10000000009</v>
      </c>
      <c r="AN139" s="1922">
        <v>6858.8</v>
      </c>
      <c r="AO139" s="1037">
        <f t="shared" ref="AO139:AO150" si="98">AM139+AN139</f>
        <v>861437.90000000014</v>
      </c>
      <c r="AP139" s="1037">
        <f t="shared" ref="AP139:AP150" si="99">0.065*AO139</f>
        <v>55993.463500000013</v>
      </c>
      <c r="AQ139" s="2046">
        <f t="shared" ref="AQ139:AQ150" si="100">AR139-AP139</f>
        <v>5621.5364999999874</v>
      </c>
      <c r="AR139" s="1922">
        <v>61615</v>
      </c>
      <c r="AS139" s="1922">
        <v>2397613</v>
      </c>
      <c r="AT139" s="2046">
        <f t="shared" si="67"/>
        <v>181278.40000000002</v>
      </c>
      <c r="AU139" s="1922">
        <v>0</v>
      </c>
      <c r="AV139" s="1922">
        <v>13234</v>
      </c>
      <c r="AW139" s="1922">
        <v>4099.1000000000004</v>
      </c>
      <c r="AX139" s="1922">
        <v>165954.20000000001</v>
      </c>
      <c r="AY139" s="1037">
        <f t="shared" ref="AY139:AY150" si="101">AX139+AW139+AV139+AU139</f>
        <v>183287.30000000002</v>
      </c>
      <c r="AZ139" s="1289">
        <v>2.13</v>
      </c>
      <c r="BA139" s="1289">
        <v>-0.33</v>
      </c>
      <c r="BB139" s="1289">
        <v>-0.85</v>
      </c>
      <c r="BC139" s="1289">
        <v>-0.41</v>
      </c>
      <c r="BD139" s="1289">
        <v>-0.34</v>
      </c>
      <c r="BE139" s="1289" t="s">
        <v>288</v>
      </c>
      <c r="BF139" s="2047">
        <v>9480</v>
      </c>
      <c r="BG139" s="2047">
        <v>3704</v>
      </c>
      <c r="BH139" s="354"/>
      <c r="BI139" s="354"/>
      <c r="BJ139" s="354"/>
      <c r="BK139" s="1289">
        <f t="shared" si="68"/>
        <v>98.812830784183689</v>
      </c>
      <c r="BL139" s="1289">
        <f t="shared" si="69"/>
        <v>90.145474683544307</v>
      </c>
      <c r="BM139" s="1289">
        <f t="shared" si="70"/>
        <v>89.075295358649797</v>
      </c>
      <c r="BN139" s="1289">
        <f t="shared" si="71"/>
        <v>8.4548522190631612</v>
      </c>
      <c r="BO139" s="1289">
        <v>5</v>
      </c>
      <c r="BP139" s="1289">
        <v>5.48</v>
      </c>
      <c r="BQ139" s="1289">
        <v>10.32</v>
      </c>
      <c r="BR139" s="1289">
        <f>BQ139-BP139</f>
        <v>4.84</v>
      </c>
      <c r="BS139" s="1289">
        <v>8.9</v>
      </c>
      <c r="BT139" s="1289">
        <v>12.89</v>
      </c>
      <c r="BU139" s="1289">
        <f>BT139-BS139</f>
        <v>3.99</v>
      </c>
    </row>
    <row r="140" spans="1:73" s="154" customFormat="1" ht="9.9499999999999993" customHeight="1" x14ac:dyDescent="0.2">
      <c r="A140" s="160" t="s">
        <v>1174</v>
      </c>
      <c r="B140" s="236" t="s">
        <v>553</v>
      </c>
      <c r="C140" s="1924">
        <v>120558.2</v>
      </c>
      <c r="D140" s="1924">
        <v>1565.6</v>
      </c>
      <c r="E140" s="1924">
        <f t="shared" si="88"/>
        <v>122123.8</v>
      </c>
      <c r="F140" s="1924">
        <v>10010</v>
      </c>
      <c r="G140" s="1924">
        <f t="shared" si="89"/>
        <v>112113.8</v>
      </c>
      <c r="H140" s="1924">
        <v>11558.1</v>
      </c>
      <c r="I140" s="1924">
        <v>53439.8</v>
      </c>
      <c r="J140" s="1924">
        <v>85653.9</v>
      </c>
      <c r="K140" s="2057">
        <v>724519.6</v>
      </c>
      <c r="L140" s="2050">
        <f t="shared" si="90"/>
        <v>810173.5</v>
      </c>
      <c r="M140" s="2050">
        <f t="shared" si="91"/>
        <v>863613.3</v>
      </c>
      <c r="N140" s="1924">
        <v>595.79999999999995</v>
      </c>
      <c r="O140" s="2050">
        <f t="shared" si="92"/>
        <v>198363.5</v>
      </c>
      <c r="P140" s="2050">
        <f t="shared" si="93"/>
        <v>922883.1</v>
      </c>
      <c r="Q140" s="2057" t="s">
        <v>288</v>
      </c>
      <c r="R140" s="2057" t="s">
        <v>288</v>
      </c>
      <c r="S140" s="2050">
        <v>0</v>
      </c>
      <c r="T140" s="1924">
        <v>15296.3</v>
      </c>
      <c r="U140" s="1924">
        <v>629272.9</v>
      </c>
      <c r="V140" s="2050">
        <f t="shared" si="94"/>
        <v>644569.20000000007</v>
      </c>
      <c r="W140" s="2050">
        <v>0</v>
      </c>
      <c r="X140" s="1924">
        <v>1600.1</v>
      </c>
      <c r="Y140" s="1924">
        <v>21455.4</v>
      </c>
      <c r="Z140" s="2050">
        <f t="shared" si="95"/>
        <v>23055.5</v>
      </c>
      <c r="AA140" s="2066">
        <v>7729.7</v>
      </c>
      <c r="AB140" s="2066">
        <v>167391.4</v>
      </c>
      <c r="AC140" s="2066">
        <v>16375.6</v>
      </c>
      <c r="AD140" s="2068">
        <f t="shared" si="96"/>
        <v>183767</v>
      </c>
      <c r="AE140" s="2050">
        <f t="shared" si="97"/>
        <v>7729.7</v>
      </c>
      <c r="AF140" s="2050">
        <f t="shared" si="97"/>
        <v>184287.8</v>
      </c>
      <c r="AG140" s="2050">
        <f t="shared" si="97"/>
        <v>667103.9</v>
      </c>
      <c r="AH140" s="2050">
        <f t="shared" si="97"/>
        <v>851391.70000000007</v>
      </c>
      <c r="AI140" s="1924">
        <v>3663.4</v>
      </c>
      <c r="AJ140" s="1924">
        <v>17593</v>
      </c>
      <c r="AK140" s="1924">
        <v>9476.2000000000007</v>
      </c>
      <c r="AL140" s="1924">
        <v>60.4</v>
      </c>
      <c r="AM140" s="1924">
        <f>863661.8-14.2</f>
        <v>863647.60000000009</v>
      </c>
      <c r="AN140" s="1924">
        <v>6832</v>
      </c>
      <c r="AO140" s="2050">
        <f t="shared" si="98"/>
        <v>870479.60000000009</v>
      </c>
      <c r="AP140" s="2050">
        <f t="shared" si="99"/>
        <v>56581.174000000006</v>
      </c>
      <c r="AQ140" s="2040">
        <f t="shared" si="100"/>
        <v>3417.8259999999937</v>
      </c>
      <c r="AR140" s="1924">
        <v>59999</v>
      </c>
      <c r="AS140" s="1924">
        <v>2437927.2999999998</v>
      </c>
      <c r="AT140" s="2040">
        <f t="shared" si="67"/>
        <v>182122.8</v>
      </c>
      <c r="AU140" s="1924">
        <v>0</v>
      </c>
      <c r="AV140" s="1924">
        <v>13256.8</v>
      </c>
      <c r="AW140" s="1924">
        <v>4186.1000000000004</v>
      </c>
      <c r="AX140" s="1924">
        <v>166001.5</v>
      </c>
      <c r="AY140" s="2050">
        <f t="shared" si="101"/>
        <v>183444.4</v>
      </c>
      <c r="AZ140" s="1267">
        <v>-0.78</v>
      </c>
      <c r="BA140" s="1267">
        <v>0.37</v>
      </c>
      <c r="BB140" s="1267">
        <v>0.14000000000000001</v>
      </c>
      <c r="BC140" s="1267">
        <v>0.01</v>
      </c>
      <c r="BD140" s="1267">
        <v>0.71</v>
      </c>
      <c r="BE140" s="1267" t="s">
        <v>288</v>
      </c>
      <c r="BF140" s="2051">
        <v>9498</v>
      </c>
      <c r="BG140" s="2051">
        <v>3704</v>
      </c>
      <c r="BH140" s="354"/>
      <c r="BI140" s="354"/>
      <c r="BJ140" s="354"/>
      <c r="BK140" s="1267">
        <f t="shared" si="68"/>
        <v>98.580914252526142</v>
      </c>
      <c r="BL140" s="1267">
        <f t="shared" si="69"/>
        <v>90.929416719309344</v>
      </c>
      <c r="BM140" s="1267">
        <f t="shared" si="70"/>
        <v>89.639050326384506</v>
      </c>
      <c r="BN140" s="1267">
        <f t="shared" si="71"/>
        <v>8.1061997972321116</v>
      </c>
      <c r="BO140" s="1267">
        <v>5</v>
      </c>
      <c r="BP140" s="1267">
        <v>5.44</v>
      </c>
      <c r="BQ140" s="1267">
        <v>10.24</v>
      </c>
      <c r="BR140" s="1267">
        <f t="shared" ref="BR140:BR150" si="102">BQ140-BP140</f>
        <v>4.8</v>
      </c>
      <c r="BS140" s="1267">
        <v>8.84</v>
      </c>
      <c r="BT140" s="1267">
        <v>12.8</v>
      </c>
      <c r="BU140" s="1267">
        <f t="shared" ref="BU140:BU150" si="103">BT140-BS140</f>
        <v>3.9600000000000009</v>
      </c>
    </row>
    <row r="141" spans="1:73" s="154" customFormat="1" ht="9.9499999999999993" customHeight="1" x14ac:dyDescent="0.2">
      <c r="A141" s="160" t="s">
        <v>1174</v>
      </c>
      <c r="B141" s="275" t="s">
        <v>547</v>
      </c>
      <c r="C141" s="1922">
        <v>126687.4</v>
      </c>
      <c r="D141" s="1922">
        <v>1562.2</v>
      </c>
      <c r="E141" s="1922">
        <f t="shared" si="88"/>
        <v>128249.59999999999</v>
      </c>
      <c r="F141" s="1922">
        <v>10120.299999999999</v>
      </c>
      <c r="G141" s="1922">
        <f t="shared" si="89"/>
        <v>118129.29999999999</v>
      </c>
      <c r="H141" s="1922">
        <v>11698.4</v>
      </c>
      <c r="I141" s="1922">
        <v>52756.4</v>
      </c>
      <c r="J141" s="1922">
        <v>82620.3</v>
      </c>
      <c r="K141" s="2056">
        <v>730134.7</v>
      </c>
      <c r="L141" s="1037">
        <f t="shared" si="90"/>
        <v>812755</v>
      </c>
      <c r="M141" s="1037">
        <f t="shared" si="91"/>
        <v>865511.4</v>
      </c>
      <c r="N141" s="1922">
        <v>638.79999999999995</v>
      </c>
      <c r="O141" s="1037">
        <f t="shared" si="92"/>
        <v>201388.39999999997</v>
      </c>
      <c r="P141" s="1037">
        <f t="shared" si="93"/>
        <v>931523.09999999986</v>
      </c>
      <c r="Q141" s="2056" t="s">
        <v>288</v>
      </c>
      <c r="R141" s="2056" t="s">
        <v>288</v>
      </c>
      <c r="S141" s="1037">
        <v>0</v>
      </c>
      <c r="T141" s="1922">
        <v>14914.6</v>
      </c>
      <c r="U141" s="1922">
        <v>636572.80000000005</v>
      </c>
      <c r="V141" s="1037">
        <f t="shared" si="94"/>
        <v>651487.4</v>
      </c>
      <c r="W141" s="1037">
        <v>0</v>
      </c>
      <c r="X141" s="1922">
        <v>1736.1</v>
      </c>
      <c r="Y141" s="1922">
        <v>21916.1</v>
      </c>
      <c r="Z141" s="1037">
        <f t="shared" si="95"/>
        <v>23652.199999999997</v>
      </c>
      <c r="AA141" s="2064">
        <v>8474.5</v>
      </c>
      <c r="AB141" s="2064">
        <v>165355.29999999999</v>
      </c>
      <c r="AC141" s="2064">
        <v>16817.3</v>
      </c>
      <c r="AD141" s="2065">
        <f t="shared" si="96"/>
        <v>182172.59999999998</v>
      </c>
      <c r="AE141" s="1037">
        <f t="shared" si="97"/>
        <v>8474.5</v>
      </c>
      <c r="AF141" s="1037">
        <f t="shared" si="97"/>
        <v>182006</v>
      </c>
      <c r="AG141" s="1037">
        <f t="shared" si="97"/>
        <v>675306.20000000007</v>
      </c>
      <c r="AH141" s="1037">
        <f t="shared" si="97"/>
        <v>857312.2</v>
      </c>
      <c r="AI141" s="1922">
        <v>4420.7</v>
      </c>
      <c r="AJ141" s="1922">
        <v>17923.400000000001</v>
      </c>
      <c r="AK141" s="1922">
        <v>10963.6</v>
      </c>
      <c r="AL141" s="1922">
        <v>120.4</v>
      </c>
      <c r="AM141" s="1922">
        <f>865563.6-13.7</f>
        <v>865549.9</v>
      </c>
      <c r="AN141" s="1922">
        <v>6938.1</v>
      </c>
      <c r="AO141" s="1037">
        <f t="shared" si="98"/>
        <v>872488</v>
      </c>
      <c r="AP141" s="1037">
        <f t="shared" si="99"/>
        <v>56711.72</v>
      </c>
      <c r="AQ141" s="2046">
        <f t="shared" si="100"/>
        <v>4207.9799999999959</v>
      </c>
      <c r="AR141" s="1922">
        <v>60919.7</v>
      </c>
      <c r="AS141" s="1922">
        <v>2468283.2999999998</v>
      </c>
      <c r="AT141" s="2046">
        <f t="shared" si="67"/>
        <v>189169.3</v>
      </c>
      <c r="AU141" s="1922">
        <v>0</v>
      </c>
      <c r="AV141" s="1922">
        <v>12689.2</v>
      </c>
      <c r="AW141" s="1922">
        <v>4120.6000000000004</v>
      </c>
      <c r="AX141" s="1922">
        <v>163959.29999999999</v>
      </c>
      <c r="AY141" s="1037">
        <f t="shared" si="101"/>
        <v>180769.1</v>
      </c>
      <c r="AZ141" s="1289">
        <v>-0.49</v>
      </c>
      <c r="BA141" s="1289">
        <v>-0.86</v>
      </c>
      <c r="BB141" s="1289">
        <v>1.36</v>
      </c>
      <c r="BC141" s="1289">
        <v>1.05</v>
      </c>
      <c r="BD141" s="1289">
        <v>1.65</v>
      </c>
      <c r="BE141" s="1289" t="s">
        <v>288</v>
      </c>
      <c r="BF141" s="2047">
        <v>9515</v>
      </c>
      <c r="BG141" s="2047">
        <v>3706</v>
      </c>
      <c r="BH141" s="354"/>
      <c r="BI141" s="354"/>
      <c r="BJ141" s="354"/>
      <c r="BK141" s="1289">
        <f t="shared" si="68"/>
        <v>99.048269776242819</v>
      </c>
      <c r="BL141" s="1289">
        <f t="shared" si="69"/>
        <v>90.966883867577508</v>
      </c>
      <c r="BM141" s="1289">
        <f t="shared" si="70"/>
        <v>90.101124540199677</v>
      </c>
      <c r="BN141" s="1289">
        <f t="shared" si="71"/>
        <v>8.207499070821914</v>
      </c>
      <c r="BO141" s="1289">
        <v>5</v>
      </c>
      <c r="BP141" s="1289">
        <v>5.39</v>
      </c>
      <c r="BQ141" s="1289">
        <v>10.11</v>
      </c>
      <c r="BR141" s="1289">
        <f t="shared" si="102"/>
        <v>4.72</v>
      </c>
      <c r="BS141" s="1289">
        <v>8.7100000000000009</v>
      </c>
      <c r="BT141" s="1289">
        <v>12.68</v>
      </c>
      <c r="BU141" s="1289">
        <f t="shared" si="103"/>
        <v>3.9699999999999989</v>
      </c>
    </row>
    <row r="142" spans="1:73" s="154" customFormat="1" ht="9.9499999999999993" customHeight="1" x14ac:dyDescent="0.2">
      <c r="A142" s="160" t="s">
        <v>1174</v>
      </c>
      <c r="B142" s="236" t="s">
        <v>554</v>
      </c>
      <c r="C142" s="1924">
        <v>121857.60000000001</v>
      </c>
      <c r="D142" s="1924">
        <v>1556.6</v>
      </c>
      <c r="E142" s="1924">
        <f t="shared" si="88"/>
        <v>123414.20000000001</v>
      </c>
      <c r="F142" s="1924">
        <v>10709.7</v>
      </c>
      <c r="G142" s="1924">
        <f t="shared" si="89"/>
        <v>112704.50000000001</v>
      </c>
      <c r="H142" s="1924">
        <v>11232.2</v>
      </c>
      <c r="I142" s="1924">
        <v>54965.3</v>
      </c>
      <c r="J142" s="1924">
        <v>84391.1</v>
      </c>
      <c r="K142" s="2057">
        <v>735498.4</v>
      </c>
      <c r="L142" s="2050">
        <f t="shared" si="90"/>
        <v>819889.5</v>
      </c>
      <c r="M142" s="2050">
        <f t="shared" si="91"/>
        <v>874854.8</v>
      </c>
      <c r="N142" s="1924">
        <v>632.6</v>
      </c>
      <c r="O142" s="2050">
        <f t="shared" si="92"/>
        <v>197728.20000000004</v>
      </c>
      <c r="P142" s="2050">
        <f t="shared" si="93"/>
        <v>933226.60000000009</v>
      </c>
      <c r="Q142" s="2057" t="s">
        <v>288</v>
      </c>
      <c r="R142" s="2057" t="s">
        <v>288</v>
      </c>
      <c r="S142" s="2050">
        <v>0</v>
      </c>
      <c r="T142" s="1924">
        <v>14580.6</v>
      </c>
      <c r="U142" s="1924">
        <v>642011.1</v>
      </c>
      <c r="V142" s="2050">
        <f t="shared" si="94"/>
        <v>656591.69999999995</v>
      </c>
      <c r="W142" s="2050">
        <v>0</v>
      </c>
      <c r="X142" s="1924">
        <v>1664.2</v>
      </c>
      <c r="Y142" s="1924">
        <v>21770.400000000001</v>
      </c>
      <c r="Z142" s="2050">
        <f t="shared" si="95"/>
        <v>23434.600000000002</v>
      </c>
      <c r="AA142" s="2066">
        <v>8750.2000000000007</v>
      </c>
      <c r="AB142" s="2066">
        <v>163960.4</v>
      </c>
      <c r="AC142" s="2066">
        <v>16438.7</v>
      </c>
      <c r="AD142" s="2068">
        <f t="shared" si="96"/>
        <v>180399.1</v>
      </c>
      <c r="AE142" s="2050">
        <f t="shared" si="97"/>
        <v>8750.2000000000007</v>
      </c>
      <c r="AF142" s="2050">
        <f t="shared" si="97"/>
        <v>180205.19999999998</v>
      </c>
      <c r="AG142" s="2050">
        <f t="shared" si="97"/>
        <v>680220.2</v>
      </c>
      <c r="AH142" s="2050">
        <f t="shared" si="97"/>
        <v>860425.39999999991</v>
      </c>
      <c r="AI142" s="1924">
        <v>4892.7</v>
      </c>
      <c r="AJ142" s="1924">
        <v>19741.2</v>
      </c>
      <c r="AK142" s="1924">
        <v>10007</v>
      </c>
      <c r="AL142" s="1924">
        <v>98.3</v>
      </c>
      <c r="AM142" s="1924">
        <f>874906-13.5</f>
        <v>874892.5</v>
      </c>
      <c r="AN142" s="1924">
        <v>6395.8</v>
      </c>
      <c r="AO142" s="2050">
        <f t="shared" si="98"/>
        <v>881288.3</v>
      </c>
      <c r="AP142" s="2050">
        <f t="shared" si="99"/>
        <v>57283.739500000003</v>
      </c>
      <c r="AQ142" s="2040">
        <f t="shared" si="100"/>
        <v>5317.9604999999938</v>
      </c>
      <c r="AR142" s="1924">
        <v>62601.7</v>
      </c>
      <c r="AS142" s="1924">
        <v>2510307.1</v>
      </c>
      <c r="AT142" s="2040">
        <f t="shared" si="67"/>
        <v>186015.90000000002</v>
      </c>
      <c r="AU142" s="1924">
        <v>0</v>
      </c>
      <c r="AV142" s="1924">
        <v>12292.8</v>
      </c>
      <c r="AW142" s="1924">
        <v>4111.6000000000004</v>
      </c>
      <c r="AX142" s="1924">
        <v>162665</v>
      </c>
      <c r="AY142" s="2050">
        <f t="shared" si="101"/>
        <v>179069.4</v>
      </c>
      <c r="AZ142" s="1267">
        <v>-3.68</v>
      </c>
      <c r="BA142" s="1267">
        <v>-3.95</v>
      </c>
      <c r="BB142" s="1267">
        <v>2.1</v>
      </c>
      <c r="BC142" s="1267">
        <v>1.1499999999999999</v>
      </c>
      <c r="BD142" s="1267">
        <v>1.84</v>
      </c>
      <c r="BE142" s="1267" t="s">
        <v>288</v>
      </c>
      <c r="BF142" s="2051">
        <v>9538</v>
      </c>
      <c r="BG142" s="2051">
        <v>3706</v>
      </c>
      <c r="BH142" s="354"/>
      <c r="BI142" s="354"/>
      <c r="BJ142" s="354"/>
      <c r="BK142" s="1267">
        <f t="shared" si="68"/>
        <v>98.34641398800423</v>
      </c>
      <c r="BL142" s="1267">
        <f t="shared" si="69"/>
        <v>91.727039211574748</v>
      </c>
      <c r="BM142" s="1267">
        <f t="shared" si="70"/>
        <v>90.210253721954274</v>
      </c>
      <c r="BN142" s="1267">
        <f t="shared" si="71"/>
        <v>8.3794751926665274</v>
      </c>
      <c r="BO142" s="1267">
        <v>5</v>
      </c>
      <c r="BP142" s="1267">
        <v>5.33</v>
      </c>
      <c r="BQ142" s="1267">
        <v>10.029999999999999</v>
      </c>
      <c r="BR142" s="1267">
        <f t="shared" si="102"/>
        <v>4.6999999999999993</v>
      </c>
      <c r="BS142" s="1267">
        <v>8.61</v>
      </c>
      <c r="BT142" s="1267">
        <v>12.73</v>
      </c>
      <c r="BU142" s="1267">
        <f t="shared" si="103"/>
        <v>4.120000000000001</v>
      </c>
    </row>
    <row r="143" spans="1:73" s="154" customFormat="1" ht="9.9499999999999993" customHeight="1" x14ac:dyDescent="0.2">
      <c r="A143" s="160" t="s">
        <v>1174</v>
      </c>
      <c r="B143" s="275" t="s">
        <v>555</v>
      </c>
      <c r="C143" s="1922">
        <v>119912.2</v>
      </c>
      <c r="D143" s="1922">
        <v>1546.3</v>
      </c>
      <c r="E143" s="1922">
        <f t="shared" si="88"/>
        <v>121458.5</v>
      </c>
      <c r="F143" s="1922">
        <v>10216.5</v>
      </c>
      <c r="G143" s="1922">
        <f t="shared" si="89"/>
        <v>111242</v>
      </c>
      <c r="H143" s="1922">
        <v>10005.6</v>
      </c>
      <c r="I143" s="1922">
        <v>55685.3</v>
      </c>
      <c r="J143" s="1922">
        <v>85570.1</v>
      </c>
      <c r="K143" s="1922">
        <v>741270</v>
      </c>
      <c r="L143" s="1037">
        <f t="shared" si="90"/>
        <v>826840.1</v>
      </c>
      <c r="M143" s="1037">
        <f t="shared" si="91"/>
        <v>882525.4</v>
      </c>
      <c r="N143" s="1922">
        <v>639.29999999999995</v>
      </c>
      <c r="O143" s="1037">
        <f t="shared" si="92"/>
        <v>197451.4</v>
      </c>
      <c r="P143" s="1037">
        <f t="shared" si="93"/>
        <v>938721.4</v>
      </c>
      <c r="Q143" s="2056" t="s">
        <v>288</v>
      </c>
      <c r="R143" s="2056" t="s">
        <v>288</v>
      </c>
      <c r="S143" s="1037">
        <v>0</v>
      </c>
      <c r="T143" s="1922">
        <v>14961.7</v>
      </c>
      <c r="U143" s="1922">
        <v>652611.1</v>
      </c>
      <c r="V143" s="1037">
        <f t="shared" si="94"/>
        <v>667572.79999999993</v>
      </c>
      <c r="W143" s="1037">
        <v>0</v>
      </c>
      <c r="X143" s="1922">
        <v>1596.2</v>
      </c>
      <c r="Y143" s="1922">
        <v>21940.7</v>
      </c>
      <c r="Z143" s="1037">
        <f t="shared" si="95"/>
        <v>23536.9</v>
      </c>
      <c r="AA143" s="2064">
        <v>9891.4</v>
      </c>
      <c r="AB143" s="2064">
        <v>161707.29999999999</v>
      </c>
      <c r="AC143" s="2064">
        <v>15129.2</v>
      </c>
      <c r="AD143" s="2065">
        <f t="shared" si="96"/>
        <v>176836.5</v>
      </c>
      <c r="AE143" s="1037">
        <f t="shared" si="97"/>
        <v>9891.4</v>
      </c>
      <c r="AF143" s="1037">
        <f t="shared" si="97"/>
        <v>178265.19999999998</v>
      </c>
      <c r="AG143" s="1037">
        <f t="shared" si="97"/>
        <v>689680.99999999988</v>
      </c>
      <c r="AH143" s="1037">
        <f t="shared" si="97"/>
        <v>867946.2</v>
      </c>
      <c r="AI143" s="1922">
        <v>5135.3999999999996</v>
      </c>
      <c r="AJ143" s="1922">
        <v>20784</v>
      </c>
      <c r="AK143" s="1922">
        <v>10439</v>
      </c>
      <c r="AL143" s="1922">
        <v>71.400000000000006</v>
      </c>
      <c r="AM143" s="1922">
        <f>882582.2-12.66</f>
        <v>882569.53999999992</v>
      </c>
      <c r="AN143" s="1922">
        <v>6272.3</v>
      </c>
      <c r="AO143" s="1037">
        <f t="shared" si="98"/>
        <v>888841.84</v>
      </c>
      <c r="AP143" s="1037">
        <f t="shared" si="99"/>
        <v>57774.719599999997</v>
      </c>
      <c r="AQ143" s="1037">
        <f t="shared" si="100"/>
        <v>7051.2804000000033</v>
      </c>
      <c r="AR143" s="1922">
        <v>64826</v>
      </c>
      <c r="AS143" s="1922">
        <v>2560472.7999999998</v>
      </c>
      <c r="AT143" s="2046">
        <f t="shared" si="67"/>
        <v>186284.5</v>
      </c>
      <c r="AU143" s="1922">
        <v>0</v>
      </c>
      <c r="AV143" s="1922">
        <v>12302.1</v>
      </c>
      <c r="AW143" s="1922">
        <v>4097.7</v>
      </c>
      <c r="AX143" s="1922">
        <v>160416</v>
      </c>
      <c r="AY143" s="1037">
        <f t="shared" si="101"/>
        <v>176815.80000000002</v>
      </c>
      <c r="AZ143" s="1289">
        <v>-4.88</v>
      </c>
      <c r="BA143" s="1289">
        <v>-1.9</v>
      </c>
      <c r="BB143" s="1289">
        <v>3.51</v>
      </c>
      <c r="BC143" s="1289">
        <v>2.2000000000000002</v>
      </c>
      <c r="BD143" s="1289">
        <v>2.44</v>
      </c>
      <c r="BE143" s="1289" t="s">
        <v>288</v>
      </c>
      <c r="BF143" s="2047">
        <v>9576</v>
      </c>
      <c r="BG143" s="2047">
        <v>3707</v>
      </c>
      <c r="BH143" s="354"/>
      <c r="BI143" s="354"/>
      <c r="BJ143" s="354"/>
      <c r="BK143" s="1289">
        <f t="shared" si="68"/>
        <v>98.343094868195891</v>
      </c>
      <c r="BL143" s="1289">
        <f t="shared" si="69"/>
        <v>92.164738930659979</v>
      </c>
      <c r="BM143" s="1289">
        <f t="shared" si="70"/>
        <v>90.637656641604011</v>
      </c>
      <c r="BN143" s="1289">
        <f t="shared" si="71"/>
        <v>8.5027294279836596</v>
      </c>
      <c r="BO143" s="1289">
        <v>5</v>
      </c>
      <c r="BP143" s="1289">
        <v>5.29</v>
      </c>
      <c r="BQ143" s="1289">
        <v>9.94</v>
      </c>
      <c r="BR143" s="1289">
        <f t="shared" si="102"/>
        <v>4.6499999999999995</v>
      </c>
      <c r="BS143" s="1289">
        <v>8.5299999999999994</v>
      </c>
      <c r="BT143" s="1289">
        <v>12.35</v>
      </c>
      <c r="BU143" s="1289">
        <f t="shared" si="103"/>
        <v>3.8200000000000003</v>
      </c>
    </row>
    <row r="144" spans="1:73" s="154" customFormat="1" ht="9.9499999999999993" customHeight="1" x14ac:dyDescent="0.2">
      <c r="A144" s="160" t="s">
        <v>1174</v>
      </c>
      <c r="B144" s="236" t="s">
        <v>548</v>
      </c>
      <c r="C144" s="1924">
        <v>121819.4</v>
      </c>
      <c r="D144" s="1924">
        <v>1537.1</v>
      </c>
      <c r="E144" s="1924">
        <f t="shared" si="88"/>
        <v>123356.5</v>
      </c>
      <c r="F144" s="1924">
        <v>10203.1</v>
      </c>
      <c r="G144" s="1924">
        <f t="shared" si="89"/>
        <v>113153.4</v>
      </c>
      <c r="H144" s="1924">
        <v>16042.7</v>
      </c>
      <c r="I144" s="1924">
        <v>59153.3</v>
      </c>
      <c r="J144" s="1924">
        <v>90660.7</v>
      </c>
      <c r="K144" s="2057">
        <v>749607.5</v>
      </c>
      <c r="L144" s="2050">
        <f t="shared" si="90"/>
        <v>840268.2</v>
      </c>
      <c r="M144" s="1924">
        <f t="shared" si="91"/>
        <v>899421.5</v>
      </c>
      <c r="N144" s="1924">
        <v>632.20000000000005</v>
      </c>
      <c r="O144" s="2050">
        <f t="shared" si="92"/>
        <v>204446.3</v>
      </c>
      <c r="P144" s="2050">
        <f t="shared" si="93"/>
        <v>954053.8</v>
      </c>
      <c r="Q144" s="2057" t="s">
        <v>288</v>
      </c>
      <c r="R144" s="2057" t="s">
        <v>288</v>
      </c>
      <c r="S144" s="2050">
        <v>0</v>
      </c>
      <c r="T144" s="1924">
        <v>15103.6</v>
      </c>
      <c r="U144" s="1924">
        <v>673766.5</v>
      </c>
      <c r="V144" s="2050">
        <f t="shared" si="94"/>
        <v>688870.1</v>
      </c>
      <c r="W144" s="2050">
        <v>0</v>
      </c>
      <c r="X144" s="1924">
        <v>1456.2</v>
      </c>
      <c r="Y144" s="1924">
        <v>22786.7</v>
      </c>
      <c r="Z144" s="2050">
        <f t="shared" si="95"/>
        <v>24242.9</v>
      </c>
      <c r="AA144" s="2066">
        <v>10449</v>
      </c>
      <c r="AB144" s="2066">
        <v>154758.1</v>
      </c>
      <c r="AC144" s="2066">
        <v>15544.9</v>
      </c>
      <c r="AD144" s="2068">
        <f t="shared" si="96"/>
        <v>170303</v>
      </c>
      <c r="AE144" s="2050">
        <f t="shared" si="97"/>
        <v>10449</v>
      </c>
      <c r="AF144" s="2050">
        <f t="shared" si="97"/>
        <v>171317.9</v>
      </c>
      <c r="AG144" s="2050">
        <f t="shared" si="97"/>
        <v>712098.1</v>
      </c>
      <c r="AH144" s="2050">
        <f t="shared" si="97"/>
        <v>883416</v>
      </c>
      <c r="AI144" s="1924">
        <v>5751.9</v>
      </c>
      <c r="AJ144" s="1924">
        <v>22994.6</v>
      </c>
      <c r="AK144" s="1924">
        <v>10276.5</v>
      </c>
      <c r="AL144" s="1924">
        <v>101.6</v>
      </c>
      <c r="AM144" s="1924">
        <f>899473.3-13.7</f>
        <v>899459.60000000009</v>
      </c>
      <c r="AN144" s="1924">
        <v>6050.4</v>
      </c>
      <c r="AO144" s="2050">
        <f t="shared" si="98"/>
        <v>905510.00000000012</v>
      </c>
      <c r="AP144" s="2050">
        <f t="shared" si="99"/>
        <v>58858.150000000009</v>
      </c>
      <c r="AQ144" s="2050">
        <f t="shared" si="100"/>
        <v>8651.3499999999913</v>
      </c>
      <c r="AR144" s="1924">
        <v>67509.5</v>
      </c>
      <c r="AS144" s="1924">
        <v>2461740.5</v>
      </c>
      <c r="AT144" s="2040">
        <f t="shared" si="67"/>
        <v>190866</v>
      </c>
      <c r="AU144" s="1924">
        <v>0</v>
      </c>
      <c r="AV144" s="1924">
        <v>12245.2</v>
      </c>
      <c r="AW144" s="1924">
        <v>3398.5</v>
      </c>
      <c r="AX144" s="1924">
        <v>153465.79999999999</v>
      </c>
      <c r="AY144" s="2050">
        <f t="shared" si="101"/>
        <v>169109.5</v>
      </c>
      <c r="AZ144" s="1267">
        <v>-13.64</v>
      </c>
      <c r="BA144" s="1267">
        <v>2.0499999999999998</v>
      </c>
      <c r="BB144" s="1267">
        <v>6.86</v>
      </c>
      <c r="BC144" s="1267">
        <v>3.84</v>
      </c>
      <c r="BD144" s="1267">
        <v>4.1100000000000003</v>
      </c>
      <c r="BE144" s="1267" t="s">
        <v>288</v>
      </c>
      <c r="BF144" s="2051">
        <v>9654</v>
      </c>
      <c r="BG144" s="2051">
        <v>3710</v>
      </c>
      <c r="BH144" s="354"/>
      <c r="BI144" s="354"/>
      <c r="BJ144" s="354"/>
      <c r="BK144" s="1267">
        <f t="shared" si="68"/>
        <v>98.216306769086671</v>
      </c>
      <c r="BL144" s="1267">
        <f t="shared" si="69"/>
        <v>93.169629169256282</v>
      </c>
      <c r="BM144" s="1267">
        <f t="shared" si="70"/>
        <v>91.507768800497203</v>
      </c>
      <c r="BN144" s="1267">
        <f t="shared" si="71"/>
        <v>8.6399211259738617</v>
      </c>
      <c r="BO144" s="1267">
        <v>5</v>
      </c>
      <c r="BP144" s="1267">
        <v>5.22</v>
      </c>
      <c r="BQ144" s="1267">
        <v>9.93</v>
      </c>
      <c r="BR144" s="1267">
        <f t="shared" si="102"/>
        <v>4.71</v>
      </c>
      <c r="BS144" s="1267">
        <v>8.4700000000000006</v>
      </c>
      <c r="BT144" s="1267">
        <v>12.32</v>
      </c>
      <c r="BU144" s="1267">
        <f t="shared" si="103"/>
        <v>3.8499999999999996</v>
      </c>
    </row>
    <row r="145" spans="1:73" s="154" customFormat="1" ht="9.9499999999999993" customHeight="1" x14ac:dyDescent="0.2">
      <c r="A145" s="160" t="s">
        <v>1174</v>
      </c>
      <c r="B145" s="275" t="s">
        <v>556</v>
      </c>
      <c r="C145" s="1922">
        <v>121448.2</v>
      </c>
      <c r="D145" s="1922">
        <v>1530.9</v>
      </c>
      <c r="E145" s="1922">
        <f t="shared" si="88"/>
        <v>122979.09999999999</v>
      </c>
      <c r="F145" s="1922">
        <v>10411.5</v>
      </c>
      <c r="G145" s="1922">
        <f t="shared" si="89"/>
        <v>112567.59999999999</v>
      </c>
      <c r="H145" s="1922">
        <v>13996.6</v>
      </c>
      <c r="I145" s="1922">
        <v>56584.7</v>
      </c>
      <c r="J145" s="1922">
        <v>85567.2</v>
      </c>
      <c r="K145" s="2056">
        <v>752788.2</v>
      </c>
      <c r="L145" s="1037">
        <f t="shared" si="90"/>
        <v>838355.39999999991</v>
      </c>
      <c r="M145" s="1037">
        <f t="shared" si="91"/>
        <v>894940.09999999986</v>
      </c>
      <c r="N145" s="1922">
        <v>659.9</v>
      </c>
      <c r="O145" s="1037">
        <f t="shared" si="92"/>
        <v>198794.69999999998</v>
      </c>
      <c r="P145" s="1037">
        <f t="shared" si="93"/>
        <v>951582.89999999991</v>
      </c>
      <c r="Q145" s="2056" t="s">
        <v>288</v>
      </c>
      <c r="R145" s="2056" t="s">
        <v>288</v>
      </c>
      <c r="S145" s="1037">
        <v>0</v>
      </c>
      <c r="T145" s="1922">
        <v>15074.9</v>
      </c>
      <c r="U145" s="1922">
        <v>676993.6</v>
      </c>
      <c r="V145" s="1037">
        <f t="shared" si="94"/>
        <v>692068.5</v>
      </c>
      <c r="W145" s="1037">
        <v>0</v>
      </c>
      <c r="X145" s="1922">
        <v>1503.8</v>
      </c>
      <c r="Y145" s="1922">
        <v>22208.1</v>
      </c>
      <c r="Z145" s="1037">
        <f t="shared" si="95"/>
        <v>23711.899999999998</v>
      </c>
      <c r="AA145" s="2064">
        <v>10186.700000000001</v>
      </c>
      <c r="AB145" s="2064">
        <v>153571.1</v>
      </c>
      <c r="AC145" s="2064">
        <v>15285.6</v>
      </c>
      <c r="AD145" s="2065">
        <f t="shared" si="96"/>
        <v>168856.7</v>
      </c>
      <c r="AE145" s="1037">
        <f t="shared" si="97"/>
        <v>10186.700000000001</v>
      </c>
      <c r="AF145" s="1037">
        <f t="shared" si="97"/>
        <v>170149.80000000002</v>
      </c>
      <c r="AG145" s="1037">
        <f t="shared" si="97"/>
        <v>714487.29999999993</v>
      </c>
      <c r="AH145" s="1037">
        <f t="shared" si="97"/>
        <v>884637.10000000009</v>
      </c>
      <c r="AI145" s="1922">
        <v>5672.9</v>
      </c>
      <c r="AJ145" s="1922">
        <v>23582.7</v>
      </c>
      <c r="AK145" s="1922">
        <v>11833.9</v>
      </c>
      <c r="AL145" s="1922">
        <v>91.4</v>
      </c>
      <c r="AM145" s="1922">
        <f>894989.4-18.3</f>
        <v>894971.1</v>
      </c>
      <c r="AN145" s="1922">
        <v>5691.9</v>
      </c>
      <c r="AO145" s="1037">
        <f t="shared" si="98"/>
        <v>900663</v>
      </c>
      <c r="AP145" s="1037">
        <f t="shared" si="99"/>
        <v>58543.095000000001</v>
      </c>
      <c r="AQ145" s="1037">
        <f t="shared" si="100"/>
        <v>6380.1049999999959</v>
      </c>
      <c r="AR145" s="1922">
        <v>64923.199999999997</v>
      </c>
      <c r="AS145" s="1922">
        <v>2488204.2000000002</v>
      </c>
      <c r="AT145" s="2046">
        <f t="shared" si="67"/>
        <v>187902.3</v>
      </c>
      <c r="AU145" s="1922">
        <v>0</v>
      </c>
      <c r="AV145" s="1922">
        <v>10096.6</v>
      </c>
      <c r="AW145" s="1922">
        <v>3503</v>
      </c>
      <c r="AX145" s="1922">
        <v>152278.1</v>
      </c>
      <c r="AY145" s="1037">
        <f t="shared" si="101"/>
        <v>165877.70000000001</v>
      </c>
      <c r="AZ145" s="1289">
        <v>-15.64</v>
      </c>
      <c r="BA145" s="1289">
        <v>1.1599999999999999</v>
      </c>
      <c r="BB145" s="1289">
        <v>7.2</v>
      </c>
      <c r="BC145" s="1289">
        <v>3.83</v>
      </c>
      <c r="BD145" s="1289">
        <v>3.84</v>
      </c>
      <c r="BE145" s="1289" t="s">
        <v>288</v>
      </c>
      <c r="BF145" s="2047">
        <v>9663</v>
      </c>
      <c r="BG145" s="2047">
        <v>3710</v>
      </c>
      <c r="BH145" s="354"/>
      <c r="BI145" s="354"/>
      <c r="BJ145" s="354"/>
      <c r="BK145" s="1289">
        <f t="shared" si="68"/>
        <v>98.845325843482556</v>
      </c>
      <c r="BL145" s="1289">
        <f t="shared" si="69"/>
        <v>92.618348339025147</v>
      </c>
      <c r="BM145" s="1289">
        <f t="shared" si="70"/>
        <v>91.548908206561123</v>
      </c>
      <c r="BN145" s="1289">
        <f t="shared" si="71"/>
        <v>8.4175567233400059</v>
      </c>
      <c r="BO145" s="1289">
        <v>5</v>
      </c>
      <c r="BP145" s="1289">
        <v>5.13</v>
      </c>
      <c r="BQ145" s="1289">
        <v>9.85</v>
      </c>
      <c r="BR145" s="1289">
        <f t="shared" si="102"/>
        <v>4.72</v>
      </c>
      <c r="BS145" s="1289">
        <v>8.42</v>
      </c>
      <c r="BT145" s="1289">
        <v>12.26</v>
      </c>
      <c r="BU145" s="1289">
        <f t="shared" si="103"/>
        <v>3.84</v>
      </c>
    </row>
    <row r="146" spans="1:73" s="154" customFormat="1" ht="9.9499999999999993" customHeight="1" x14ac:dyDescent="0.2">
      <c r="A146" s="160" t="s">
        <v>1174</v>
      </c>
      <c r="B146" s="236" t="s">
        <v>557</v>
      </c>
      <c r="C146" s="1924">
        <v>121980.9</v>
      </c>
      <c r="D146" s="1924">
        <v>1526.9</v>
      </c>
      <c r="E146" s="1924">
        <f t="shared" si="88"/>
        <v>123507.79999999999</v>
      </c>
      <c r="F146" s="1924">
        <v>11008.1</v>
      </c>
      <c r="G146" s="1924">
        <f t="shared" si="89"/>
        <v>112499.69999999998</v>
      </c>
      <c r="H146" s="1924">
        <v>13553.8</v>
      </c>
      <c r="I146" s="1924">
        <v>56185.7</v>
      </c>
      <c r="J146" s="1924">
        <v>87571.7</v>
      </c>
      <c r="K146" s="2057">
        <v>757175.2</v>
      </c>
      <c r="L146" s="2057">
        <f t="shared" si="90"/>
        <v>844746.89999999991</v>
      </c>
      <c r="M146" s="2057">
        <f t="shared" si="91"/>
        <v>900932.59999999986</v>
      </c>
      <c r="N146" s="1924">
        <v>639.9</v>
      </c>
      <c r="O146" s="2050">
        <f t="shared" si="92"/>
        <v>200711.29999999996</v>
      </c>
      <c r="P146" s="2050">
        <f t="shared" si="93"/>
        <v>957886.49999999988</v>
      </c>
      <c r="Q146" s="2057" t="s">
        <v>288</v>
      </c>
      <c r="R146" s="2057" t="s">
        <v>288</v>
      </c>
      <c r="S146" s="2050">
        <v>0</v>
      </c>
      <c r="T146" s="1924">
        <v>14269.2</v>
      </c>
      <c r="U146" s="1924">
        <v>682365.3</v>
      </c>
      <c r="V146" s="2050">
        <f t="shared" si="94"/>
        <v>696634.5</v>
      </c>
      <c r="W146" s="2050">
        <v>0</v>
      </c>
      <c r="X146" s="1924">
        <v>1512.7</v>
      </c>
      <c r="Y146" s="1924">
        <v>25338.400000000001</v>
      </c>
      <c r="Z146" s="2050">
        <f t="shared" si="95"/>
        <v>26851.100000000002</v>
      </c>
      <c r="AA146" s="2066">
        <v>11546.2</v>
      </c>
      <c r="AB146" s="2066">
        <v>152293.5</v>
      </c>
      <c r="AC146" s="2066">
        <v>15157.7</v>
      </c>
      <c r="AD146" s="2068">
        <f t="shared" si="96"/>
        <v>167451.20000000001</v>
      </c>
      <c r="AE146" s="2050">
        <f t="shared" si="97"/>
        <v>11546.2</v>
      </c>
      <c r="AF146" s="2050">
        <f t="shared" si="97"/>
        <v>168075.4</v>
      </c>
      <c r="AG146" s="2050">
        <f t="shared" si="97"/>
        <v>722861.4</v>
      </c>
      <c r="AH146" s="2050">
        <f t="shared" si="97"/>
        <v>890936.8</v>
      </c>
      <c r="AI146" s="1924">
        <v>6046.6</v>
      </c>
      <c r="AJ146" s="1924">
        <v>23421.4</v>
      </c>
      <c r="AK146" s="1924">
        <v>14419.1</v>
      </c>
      <c r="AL146" s="1924">
        <v>148.9</v>
      </c>
      <c r="AM146" s="1924">
        <f>900982.2-18.3</f>
        <v>900963.89999999991</v>
      </c>
      <c r="AN146" s="1924">
        <v>5639.1</v>
      </c>
      <c r="AO146" s="2050">
        <f t="shared" si="98"/>
        <v>906602.99999999988</v>
      </c>
      <c r="AP146" s="2050">
        <f t="shared" si="99"/>
        <v>58929.194999999992</v>
      </c>
      <c r="AQ146" s="2050">
        <f t="shared" si="100"/>
        <v>8176.0050000000047</v>
      </c>
      <c r="AR146" s="1924">
        <v>67105.2</v>
      </c>
      <c r="AS146" s="1924">
        <v>2254175.5</v>
      </c>
      <c r="AT146" s="2040">
        <f t="shared" si="67"/>
        <v>190613</v>
      </c>
      <c r="AU146" s="1924">
        <v>0</v>
      </c>
      <c r="AV146" s="1924">
        <v>10111</v>
      </c>
      <c r="AW146" s="1924">
        <v>3287.3</v>
      </c>
      <c r="AX146" s="1924">
        <v>151005.79999999999</v>
      </c>
      <c r="AY146" s="2050">
        <f t="shared" si="101"/>
        <v>164404.09999999998</v>
      </c>
      <c r="AZ146" s="1267">
        <v>-18.12</v>
      </c>
      <c r="BA146" s="1267">
        <v>-2.48</v>
      </c>
      <c r="BB146" s="1267">
        <v>8.4499999999999993</v>
      </c>
      <c r="BC146" s="1267">
        <v>4.4400000000000004</v>
      </c>
      <c r="BD146" s="1267">
        <v>4.53</v>
      </c>
      <c r="BE146" s="1267" t="s">
        <v>288</v>
      </c>
      <c r="BF146" s="2051">
        <v>9667</v>
      </c>
      <c r="BG146" s="2051">
        <v>3710</v>
      </c>
      <c r="BH146" s="354"/>
      <c r="BI146" s="354"/>
      <c r="BJ146" s="354"/>
      <c r="BK146" s="1267">
        <f t="shared" si="68"/>
        <v>98.887069726101146</v>
      </c>
      <c r="BL146" s="1267">
        <f t="shared" si="69"/>
        <v>93.199948277645589</v>
      </c>
      <c r="BM146" s="1267">
        <f t="shared" si="70"/>
        <v>92.162697838005585</v>
      </c>
      <c r="BN146" s="1267">
        <f t="shared" si="71"/>
        <v>8.6699700176666354</v>
      </c>
      <c r="BO146" s="1267">
        <v>5</v>
      </c>
      <c r="BP146" s="1267">
        <v>5.08</v>
      </c>
      <c r="BQ146" s="1267">
        <v>9.77</v>
      </c>
      <c r="BR146" s="1267">
        <f t="shared" si="102"/>
        <v>4.6899999999999995</v>
      </c>
      <c r="BS146" s="1267">
        <v>8.3800000000000008</v>
      </c>
      <c r="BT146" s="1267">
        <v>12.19</v>
      </c>
      <c r="BU146" s="1267">
        <f t="shared" si="103"/>
        <v>3.8099999999999987</v>
      </c>
    </row>
    <row r="147" spans="1:73" s="154" customFormat="1" ht="9.9499999999999993" customHeight="1" x14ac:dyDescent="0.2">
      <c r="A147" s="160" t="s">
        <v>1174</v>
      </c>
      <c r="B147" s="275" t="s">
        <v>549</v>
      </c>
      <c r="C147" s="1922">
        <v>122950.3</v>
      </c>
      <c r="D147" s="1922">
        <v>1524.5</v>
      </c>
      <c r="E147" s="1922">
        <f t="shared" si="88"/>
        <v>124474.8</v>
      </c>
      <c r="F147" s="1922">
        <v>10364.9</v>
      </c>
      <c r="G147" s="1922">
        <f t="shared" si="89"/>
        <v>114109.90000000001</v>
      </c>
      <c r="H147" s="1922">
        <v>14867.7</v>
      </c>
      <c r="I147" s="1922">
        <v>55992.2</v>
      </c>
      <c r="J147" s="1922">
        <v>87858.8</v>
      </c>
      <c r="K147" s="2056">
        <v>762214.40000000002</v>
      </c>
      <c r="L147" s="2056">
        <f t="shared" si="90"/>
        <v>850073.20000000007</v>
      </c>
      <c r="M147" s="2056">
        <f t="shared" si="91"/>
        <v>906065.4</v>
      </c>
      <c r="N147" s="1922">
        <v>640</v>
      </c>
      <c r="O147" s="1037">
        <f t="shared" si="92"/>
        <v>202608.7</v>
      </c>
      <c r="P147" s="1037">
        <f t="shared" si="93"/>
        <v>964823.10000000009</v>
      </c>
      <c r="Q147" s="2056" t="s">
        <v>288</v>
      </c>
      <c r="R147" s="2056" t="s">
        <v>288</v>
      </c>
      <c r="S147" s="1037">
        <v>0</v>
      </c>
      <c r="T147" s="1922">
        <v>14859.8</v>
      </c>
      <c r="U147" s="1922">
        <v>692987</v>
      </c>
      <c r="V147" s="1037">
        <f t="shared" si="94"/>
        <v>707846.8</v>
      </c>
      <c r="W147" s="1037">
        <v>0</v>
      </c>
      <c r="X147" s="1922">
        <v>1491</v>
      </c>
      <c r="Y147" s="1922">
        <v>25630.9</v>
      </c>
      <c r="Z147" s="1037">
        <f t="shared" si="95"/>
        <v>27121.9</v>
      </c>
      <c r="AA147" s="2064">
        <v>12271.2</v>
      </c>
      <c r="AB147" s="2064">
        <v>149580.9</v>
      </c>
      <c r="AC147" s="2064">
        <v>15156.1</v>
      </c>
      <c r="AD147" s="2065">
        <f t="shared" si="96"/>
        <v>164737</v>
      </c>
      <c r="AE147" s="1037">
        <f t="shared" si="97"/>
        <v>12271.2</v>
      </c>
      <c r="AF147" s="1037">
        <f t="shared" si="97"/>
        <v>165931.69999999998</v>
      </c>
      <c r="AG147" s="1037">
        <f t="shared" si="97"/>
        <v>733774</v>
      </c>
      <c r="AH147" s="1037">
        <f t="shared" si="97"/>
        <v>899705.70000000007</v>
      </c>
      <c r="AI147" s="1922">
        <v>6911.3</v>
      </c>
      <c r="AJ147" s="1922">
        <v>23591.8</v>
      </c>
      <c r="AK147" s="1922">
        <v>15950</v>
      </c>
      <c r="AL147" s="1922">
        <v>117.2</v>
      </c>
      <c r="AM147" s="1922">
        <f>906113.9-18</f>
        <v>906095.9</v>
      </c>
      <c r="AN147" s="1922">
        <v>5632.4</v>
      </c>
      <c r="AO147" s="1037">
        <f t="shared" si="98"/>
        <v>911728.3</v>
      </c>
      <c r="AP147" s="1037">
        <f t="shared" si="99"/>
        <v>59262.339500000002</v>
      </c>
      <c r="AQ147" s="1037">
        <f t="shared" si="100"/>
        <v>8236.0604999999923</v>
      </c>
      <c r="AR147" s="1922">
        <v>67498.399999999994</v>
      </c>
      <c r="AS147" s="1922">
        <v>2107250</v>
      </c>
      <c r="AT147" s="2046">
        <f t="shared" si="67"/>
        <v>191973.2</v>
      </c>
      <c r="AU147" s="1922">
        <v>0</v>
      </c>
      <c r="AV147" s="1922">
        <v>10017.5</v>
      </c>
      <c r="AW147" s="1922">
        <v>3182.7</v>
      </c>
      <c r="AX147" s="1922">
        <v>148310</v>
      </c>
      <c r="AY147" s="1037">
        <f t="shared" si="101"/>
        <v>161510.20000000001</v>
      </c>
      <c r="AZ147" s="1289">
        <v>-20.93</v>
      </c>
      <c r="BA147" s="1289">
        <v>1.48</v>
      </c>
      <c r="BB147" s="1289">
        <v>10.08</v>
      </c>
      <c r="BC147" s="1289">
        <v>5.49</v>
      </c>
      <c r="BD147" s="1289">
        <v>5.29</v>
      </c>
      <c r="BE147" s="1289" t="s">
        <v>288</v>
      </c>
      <c r="BF147" s="2047">
        <v>9680</v>
      </c>
      <c r="BG147" s="2047">
        <v>3712</v>
      </c>
      <c r="BH147" s="354"/>
      <c r="BI147" s="354"/>
      <c r="BJ147" s="354"/>
      <c r="BK147" s="1289">
        <f t="shared" si="68"/>
        <v>99.294754561851576</v>
      </c>
      <c r="BL147" s="1289">
        <f t="shared" si="69"/>
        <v>93.604948347107438</v>
      </c>
      <c r="BM147" s="1289">
        <f t="shared" si="70"/>
        <v>92.944803719008277</v>
      </c>
      <c r="BN147" s="1289">
        <f t="shared" si="71"/>
        <v>8.5932736258932394</v>
      </c>
      <c r="BO147" s="1289">
        <v>5</v>
      </c>
      <c r="BP147" s="1289">
        <v>5.01</v>
      </c>
      <c r="BQ147" s="1289">
        <v>9.6999999999999993</v>
      </c>
      <c r="BR147" s="1289">
        <f t="shared" si="102"/>
        <v>4.6899999999999995</v>
      </c>
      <c r="BS147" s="1289">
        <v>8.34</v>
      </c>
      <c r="BT147" s="1289">
        <v>12.07</v>
      </c>
      <c r="BU147" s="1289">
        <f t="shared" si="103"/>
        <v>3.7300000000000004</v>
      </c>
    </row>
    <row r="148" spans="1:73" s="154" customFormat="1" ht="9.9499999999999993" customHeight="1" x14ac:dyDescent="0.2">
      <c r="A148" s="160" t="s">
        <v>1174</v>
      </c>
      <c r="B148" s="236" t="s">
        <v>558</v>
      </c>
      <c r="C148" s="1924">
        <v>123343.2</v>
      </c>
      <c r="D148" s="1924">
        <v>1519.5</v>
      </c>
      <c r="E148" s="1924">
        <f t="shared" si="88"/>
        <v>124862.7</v>
      </c>
      <c r="F148" s="1924">
        <v>11105.2</v>
      </c>
      <c r="G148" s="1924">
        <f t="shared" si="89"/>
        <v>113757.5</v>
      </c>
      <c r="H148" s="1924">
        <v>16205.6</v>
      </c>
      <c r="I148" s="1924">
        <v>60389.9</v>
      </c>
      <c r="J148" s="1924">
        <v>89877.1</v>
      </c>
      <c r="K148" s="2057">
        <v>766967.7</v>
      </c>
      <c r="L148" s="2057">
        <f t="shared" si="90"/>
        <v>856844.79999999993</v>
      </c>
      <c r="M148" s="2057">
        <f t="shared" si="91"/>
        <v>917234.7</v>
      </c>
      <c r="N148" s="1924">
        <v>661.4</v>
      </c>
      <c r="O148" s="2050">
        <f t="shared" si="92"/>
        <v>204296</v>
      </c>
      <c r="P148" s="2050">
        <f t="shared" si="93"/>
        <v>971263.7</v>
      </c>
      <c r="Q148" s="2057" t="s">
        <v>288</v>
      </c>
      <c r="R148" s="2057" t="s">
        <v>288</v>
      </c>
      <c r="S148" s="2050">
        <v>0</v>
      </c>
      <c r="T148" s="1924">
        <v>15362.5</v>
      </c>
      <c r="U148" s="1924">
        <v>702753.8</v>
      </c>
      <c r="V148" s="2050">
        <f t="shared" si="94"/>
        <v>718116.3</v>
      </c>
      <c r="W148" s="2050">
        <v>0</v>
      </c>
      <c r="X148" s="1924">
        <v>1534.1</v>
      </c>
      <c r="Y148" s="1924">
        <v>25793.200000000001</v>
      </c>
      <c r="Z148" s="2050">
        <f t="shared" si="95"/>
        <v>27327.3</v>
      </c>
      <c r="AA148" s="2066">
        <v>11555.4</v>
      </c>
      <c r="AB148" s="2066">
        <v>144420.9</v>
      </c>
      <c r="AC148" s="2066">
        <v>15827.9</v>
      </c>
      <c r="AD148" s="2068">
        <f t="shared" si="96"/>
        <v>160248.79999999999</v>
      </c>
      <c r="AE148" s="2050">
        <f t="shared" si="97"/>
        <v>11555.4</v>
      </c>
      <c r="AF148" s="2050">
        <f t="shared" si="97"/>
        <v>161317.5</v>
      </c>
      <c r="AG148" s="2050">
        <f t="shared" si="97"/>
        <v>744374.9</v>
      </c>
      <c r="AH148" s="2050">
        <f t="shared" si="97"/>
        <v>905692.40000000014</v>
      </c>
      <c r="AI148" s="1924">
        <v>6672.1</v>
      </c>
      <c r="AJ148" s="1924">
        <v>23479.7</v>
      </c>
      <c r="AK148" s="1924">
        <v>16417.5</v>
      </c>
      <c r="AL148" s="1924">
        <v>40.1</v>
      </c>
      <c r="AM148" s="1924">
        <f>917283.4-17.9</f>
        <v>917265.5</v>
      </c>
      <c r="AN148" s="1924">
        <v>5665.6</v>
      </c>
      <c r="AO148" s="2050">
        <f t="shared" si="98"/>
        <v>922931.1</v>
      </c>
      <c r="AP148" s="2050">
        <f t="shared" si="99"/>
        <v>59990.521500000003</v>
      </c>
      <c r="AQ148" s="2050">
        <f t="shared" si="100"/>
        <v>5989.6784999999945</v>
      </c>
      <c r="AR148" s="1924">
        <v>65980.2</v>
      </c>
      <c r="AS148" s="1924">
        <v>2121313.7000000002</v>
      </c>
      <c r="AT148" s="2040">
        <f t="shared" si="67"/>
        <v>190842.9</v>
      </c>
      <c r="AU148" s="1924">
        <v>0</v>
      </c>
      <c r="AV148" s="1924">
        <v>10016.200000000001</v>
      </c>
      <c r="AW148" s="1924">
        <v>3131.6</v>
      </c>
      <c r="AX148" s="1924">
        <v>143183.6</v>
      </c>
      <c r="AY148" s="2050">
        <f t="shared" si="101"/>
        <v>156331.40000000002</v>
      </c>
      <c r="AZ148" s="1267">
        <v>-26.31</v>
      </c>
      <c r="BA148" s="1267">
        <v>5</v>
      </c>
      <c r="BB148" s="1267">
        <v>11.66</v>
      </c>
      <c r="BC148" s="1267">
        <v>6.11</v>
      </c>
      <c r="BD148" s="1267">
        <v>5.99</v>
      </c>
      <c r="BE148" s="1267" t="s">
        <v>288</v>
      </c>
      <c r="BF148" s="2051">
        <v>9691</v>
      </c>
      <c r="BG148" s="2051">
        <v>3713</v>
      </c>
      <c r="BH148" s="354"/>
      <c r="BI148" s="354"/>
      <c r="BJ148" s="354"/>
      <c r="BK148" s="1267">
        <f t="shared" si="68"/>
        <v>98.738304231435734</v>
      </c>
      <c r="BL148" s="1267">
        <f t="shared" si="69"/>
        <v>94.651274378289131</v>
      </c>
      <c r="BM148" s="1267">
        <f t="shared" si="70"/>
        <v>93.457063254566108</v>
      </c>
      <c r="BN148" s="1267">
        <f t="shared" si="71"/>
        <v>8.4038263730621061</v>
      </c>
      <c r="BO148" s="1267">
        <v>5</v>
      </c>
      <c r="BP148" s="1267">
        <v>4.97</v>
      </c>
      <c r="BQ148" s="1267">
        <v>9.6199999999999992</v>
      </c>
      <c r="BR148" s="1267">
        <f t="shared" si="102"/>
        <v>4.6499999999999995</v>
      </c>
      <c r="BS148" s="1267">
        <v>8.35</v>
      </c>
      <c r="BT148" s="1267">
        <v>11.98</v>
      </c>
      <c r="BU148" s="1267">
        <f t="shared" si="103"/>
        <v>3.6300000000000008</v>
      </c>
    </row>
    <row r="149" spans="1:73" s="154" customFormat="1" ht="9.9499999999999993" customHeight="1" x14ac:dyDescent="0.2">
      <c r="A149" s="160" t="s">
        <v>1174</v>
      </c>
      <c r="B149" s="275" t="s">
        <v>559</v>
      </c>
      <c r="C149" s="1922">
        <v>127364.5</v>
      </c>
      <c r="D149" s="1922">
        <v>1516.8</v>
      </c>
      <c r="E149" s="1922">
        <f t="shared" si="88"/>
        <v>128881.3</v>
      </c>
      <c r="F149" s="1922">
        <v>11744.8</v>
      </c>
      <c r="G149" s="1922">
        <f t="shared" si="89"/>
        <v>117136.5</v>
      </c>
      <c r="H149" s="1922">
        <v>17453.900000000001</v>
      </c>
      <c r="I149" s="1922">
        <v>63710.6</v>
      </c>
      <c r="J149" s="1922">
        <v>91234.7</v>
      </c>
      <c r="K149" s="2056">
        <v>769468.3</v>
      </c>
      <c r="L149" s="1922">
        <f t="shared" si="90"/>
        <v>860703</v>
      </c>
      <c r="M149" s="1922">
        <f t="shared" si="91"/>
        <v>924413.6</v>
      </c>
      <c r="N149" s="1922">
        <v>640.6</v>
      </c>
      <c r="O149" s="1037">
        <f t="shared" si="92"/>
        <v>209011.80000000002</v>
      </c>
      <c r="P149" s="1037">
        <f t="shared" si="93"/>
        <v>978480.10000000009</v>
      </c>
      <c r="Q149" s="2056" t="s">
        <v>288</v>
      </c>
      <c r="R149" s="2056" t="s">
        <v>288</v>
      </c>
      <c r="S149" s="1037">
        <v>0</v>
      </c>
      <c r="T149" s="1922">
        <v>15656.6</v>
      </c>
      <c r="U149" s="1922">
        <v>712156.9</v>
      </c>
      <c r="V149" s="1037">
        <f t="shared" si="94"/>
        <v>727813.5</v>
      </c>
      <c r="W149" s="1037">
        <v>0</v>
      </c>
      <c r="X149" s="1922">
        <v>1647</v>
      </c>
      <c r="Y149" s="1922">
        <v>26112.9</v>
      </c>
      <c r="Z149" s="1037">
        <f t="shared" si="95"/>
        <v>27759.9</v>
      </c>
      <c r="AA149" s="2064">
        <v>11632.9</v>
      </c>
      <c r="AB149" s="2064">
        <v>140677.6</v>
      </c>
      <c r="AC149" s="2064">
        <v>15597</v>
      </c>
      <c r="AD149" s="2065">
        <f t="shared" si="96"/>
        <v>156274.6</v>
      </c>
      <c r="AE149" s="1037">
        <f t="shared" si="97"/>
        <v>11632.9</v>
      </c>
      <c r="AF149" s="1037">
        <f t="shared" si="97"/>
        <v>157981.20000000001</v>
      </c>
      <c r="AG149" s="1037">
        <f t="shared" si="97"/>
        <v>753866.8</v>
      </c>
      <c r="AH149" s="1037">
        <f t="shared" si="97"/>
        <v>911848</v>
      </c>
      <c r="AI149" s="1922">
        <v>6870</v>
      </c>
      <c r="AJ149" s="1922">
        <v>22930.2</v>
      </c>
      <c r="AK149" s="1922">
        <v>17212.099999999999</v>
      </c>
      <c r="AL149" s="1922">
        <v>29.9</v>
      </c>
      <c r="AM149" s="1922">
        <f>924462.3-22.29</f>
        <v>924440.01</v>
      </c>
      <c r="AN149" s="1922">
        <v>6034.8</v>
      </c>
      <c r="AO149" s="1037">
        <f t="shared" si="98"/>
        <v>930474.81</v>
      </c>
      <c r="AP149" s="1037">
        <f t="shared" si="99"/>
        <v>60480.862650000003</v>
      </c>
      <c r="AQ149" s="1037">
        <f t="shared" si="100"/>
        <v>5965.8373499999943</v>
      </c>
      <c r="AR149" s="1922">
        <v>66446.7</v>
      </c>
      <c r="AS149" s="1922">
        <v>2165057.9</v>
      </c>
      <c r="AT149" s="2046">
        <f t="shared" si="67"/>
        <v>195328</v>
      </c>
      <c r="AU149" s="1922">
        <v>435.9</v>
      </c>
      <c r="AV149" s="1922">
        <v>10023.200000000001</v>
      </c>
      <c r="AW149" s="1922">
        <v>3301.7</v>
      </c>
      <c r="AX149" s="1922">
        <v>139446.1</v>
      </c>
      <c r="AY149" s="1037">
        <f t="shared" si="101"/>
        <v>153206.90000000002</v>
      </c>
      <c r="AZ149" s="1289">
        <v>-27.69</v>
      </c>
      <c r="BA149" s="1289">
        <v>8.33</v>
      </c>
      <c r="BB149" s="1289">
        <v>13.09</v>
      </c>
      <c r="BC149" s="1289">
        <v>7.18</v>
      </c>
      <c r="BD149" s="1289">
        <v>6.78</v>
      </c>
      <c r="BE149" s="1289" t="s">
        <v>288</v>
      </c>
      <c r="BF149" s="2047">
        <v>9703</v>
      </c>
      <c r="BG149" s="2047">
        <v>3713</v>
      </c>
      <c r="BH149" s="354"/>
      <c r="BI149" s="354"/>
      <c r="BJ149" s="354"/>
      <c r="BK149" s="1289">
        <f t="shared" si="68"/>
        <v>98.637876999720078</v>
      </c>
      <c r="BL149" s="1289">
        <f t="shared" si="69"/>
        <v>95.273627743996698</v>
      </c>
      <c r="BM149" s="1289">
        <f t="shared" si="70"/>
        <v>93.975883747294645</v>
      </c>
      <c r="BN149" s="1289">
        <f t="shared" si="71"/>
        <v>8.4582557174261641</v>
      </c>
      <c r="BO149" s="1289">
        <v>5</v>
      </c>
      <c r="BP149" s="1289">
        <v>4.93</v>
      </c>
      <c r="BQ149" s="1289">
        <v>9.66</v>
      </c>
      <c r="BR149" s="1289">
        <f t="shared" si="102"/>
        <v>4.7300000000000004</v>
      </c>
      <c r="BS149" s="1289">
        <v>8.3699999999999992</v>
      </c>
      <c r="BT149" s="1289">
        <v>11.79</v>
      </c>
      <c r="BU149" s="1289">
        <f t="shared" si="103"/>
        <v>3.42</v>
      </c>
    </row>
    <row r="150" spans="1:73" s="154" customFormat="1" ht="9.9499999999999993" customHeight="1" x14ac:dyDescent="0.2">
      <c r="A150" s="160" t="s">
        <v>1174</v>
      </c>
      <c r="B150" s="236" t="s">
        <v>550</v>
      </c>
      <c r="C150" s="1924">
        <v>149724.70000000001</v>
      </c>
      <c r="D150" s="1924">
        <v>1540.5</v>
      </c>
      <c r="E150" s="1924">
        <f t="shared" si="88"/>
        <v>151265.20000000001</v>
      </c>
      <c r="F150" s="1924">
        <v>13733.4</v>
      </c>
      <c r="G150" s="1924">
        <f t="shared" si="89"/>
        <v>137531.80000000002</v>
      </c>
      <c r="H150" s="1924">
        <v>22096.9</v>
      </c>
      <c r="I150" s="1924">
        <v>64651.3</v>
      </c>
      <c r="J150" s="1924">
        <v>101885.2</v>
      </c>
      <c r="K150" s="2057">
        <v>775997.6</v>
      </c>
      <c r="L150" s="2057">
        <f t="shared" si="90"/>
        <v>877882.79999999993</v>
      </c>
      <c r="M150" s="1924">
        <f t="shared" si="91"/>
        <v>942534.1</v>
      </c>
      <c r="N150" s="1924">
        <v>661.5</v>
      </c>
      <c r="O150" s="2050">
        <f t="shared" si="92"/>
        <v>240078.5</v>
      </c>
      <c r="P150" s="2050">
        <f t="shared" si="93"/>
        <v>1016076.1</v>
      </c>
      <c r="Q150" s="2057" t="s">
        <v>288</v>
      </c>
      <c r="R150" s="2057" t="s">
        <v>288</v>
      </c>
      <c r="S150" s="2050">
        <v>0</v>
      </c>
      <c r="T150" s="1924">
        <v>15533.2</v>
      </c>
      <c r="U150" s="1924">
        <v>728117</v>
      </c>
      <c r="V150" s="2050">
        <f t="shared" si="94"/>
        <v>743650.2</v>
      </c>
      <c r="W150" s="2050">
        <v>0</v>
      </c>
      <c r="X150" s="1924">
        <v>1726.2</v>
      </c>
      <c r="Y150" s="1924">
        <v>27218.5</v>
      </c>
      <c r="Z150" s="2050">
        <f t="shared" si="95"/>
        <v>28944.7</v>
      </c>
      <c r="AA150" s="2066">
        <v>14073.4</v>
      </c>
      <c r="AB150" s="2066">
        <v>152329.70000000001</v>
      </c>
      <c r="AC150" s="2066">
        <v>15744.2</v>
      </c>
      <c r="AD150" s="2068">
        <f t="shared" si="96"/>
        <v>168073.90000000002</v>
      </c>
      <c r="AE150" s="2050">
        <f t="shared" si="97"/>
        <v>14073.4</v>
      </c>
      <c r="AF150" s="2050">
        <f t="shared" si="97"/>
        <v>169589.1</v>
      </c>
      <c r="AG150" s="2050">
        <f t="shared" si="97"/>
        <v>771079.7</v>
      </c>
      <c r="AH150" s="2050">
        <f t="shared" si="97"/>
        <v>940668.79999999993</v>
      </c>
      <c r="AI150" s="1924">
        <v>7470.4</v>
      </c>
      <c r="AJ150" s="1924">
        <v>24394.1</v>
      </c>
      <c r="AK150" s="1924">
        <v>20759.3</v>
      </c>
      <c r="AL150" s="1924">
        <v>62.9</v>
      </c>
      <c r="AM150" s="1924">
        <f>942582.9-24.39</f>
        <v>942558.51</v>
      </c>
      <c r="AN150" s="1924">
        <v>5784.1</v>
      </c>
      <c r="AO150" s="2050">
        <f t="shared" si="98"/>
        <v>948342.61</v>
      </c>
      <c r="AP150" s="2050">
        <f t="shared" si="99"/>
        <v>61642.269650000002</v>
      </c>
      <c r="AQ150" s="2050">
        <f t="shared" si="100"/>
        <v>11090.430349999995</v>
      </c>
      <c r="AR150" s="1924">
        <v>72732.7</v>
      </c>
      <c r="AS150" s="1924">
        <v>2223734.2999999998</v>
      </c>
      <c r="AT150" s="2040">
        <f t="shared" si="67"/>
        <v>223997.90000000002</v>
      </c>
      <c r="AU150" s="1924">
        <v>3015.6</v>
      </c>
      <c r="AV150" s="1924">
        <v>10964.5</v>
      </c>
      <c r="AW150" s="1924">
        <v>3364.4</v>
      </c>
      <c r="AX150" s="1924">
        <v>151102.29999999999</v>
      </c>
      <c r="AY150" s="2050">
        <f t="shared" si="101"/>
        <v>168446.8</v>
      </c>
      <c r="AZ150" s="1267">
        <v>-14.78</v>
      </c>
      <c r="BA150" s="1267">
        <v>7.66</v>
      </c>
      <c r="BB150" s="1267">
        <v>15.66</v>
      </c>
      <c r="BC150" s="1267">
        <v>11.16</v>
      </c>
      <c r="BD150" s="1267">
        <v>10.88</v>
      </c>
      <c r="BE150" s="1267" t="s">
        <v>288</v>
      </c>
      <c r="BF150" s="2051">
        <v>9720</v>
      </c>
      <c r="BG150" s="2051">
        <v>3713</v>
      </c>
      <c r="BH150" s="354"/>
      <c r="BI150" s="354"/>
      <c r="BJ150" s="354"/>
      <c r="BK150" s="1267">
        <f t="shared" si="68"/>
        <v>99.799512711417776</v>
      </c>
      <c r="BL150" s="1267">
        <f t="shared" si="69"/>
        <v>96.971040123456788</v>
      </c>
      <c r="BM150" s="1267">
        <f t="shared" si="70"/>
        <v>96.776625514403278</v>
      </c>
      <c r="BN150" s="1267">
        <f t="shared" si="71"/>
        <v>9.1735525256676098</v>
      </c>
      <c r="BO150" s="1267">
        <v>5</v>
      </c>
      <c r="BP150" s="1267">
        <v>4.84</v>
      </c>
      <c r="BQ150" s="1267">
        <v>9.56</v>
      </c>
      <c r="BR150" s="1267">
        <f t="shared" si="102"/>
        <v>4.7200000000000006</v>
      </c>
      <c r="BS150" s="1267">
        <v>8.3699999999999992</v>
      </c>
      <c r="BT150" s="1267">
        <v>11.69</v>
      </c>
      <c r="BU150" s="1267">
        <f t="shared" si="103"/>
        <v>3.3200000000000003</v>
      </c>
    </row>
    <row r="151" spans="1:73" s="154" customFormat="1" ht="9.9499999999999993" customHeight="1" x14ac:dyDescent="0.2">
      <c r="A151" s="160" t="s">
        <v>1296</v>
      </c>
      <c r="B151" s="275" t="s">
        <v>552</v>
      </c>
      <c r="C151" s="1924">
        <v>136956.29999999999</v>
      </c>
      <c r="D151" s="1924">
        <v>1540.2</v>
      </c>
      <c r="E151" s="1924">
        <f t="shared" ref="E151:E162" si="104">C151+D151</f>
        <v>138496.5</v>
      </c>
      <c r="F151" s="1924">
        <v>12238.1</v>
      </c>
      <c r="G151" s="1924">
        <f t="shared" ref="G151:G162" si="105">E151-F151</f>
        <v>126258.4</v>
      </c>
      <c r="H151" s="1924">
        <v>18811</v>
      </c>
      <c r="I151" s="1924">
        <v>60959.199999999997</v>
      </c>
      <c r="J151" s="1924">
        <v>98980.800000000003</v>
      </c>
      <c r="K151" s="2057">
        <v>783688.3</v>
      </c>
      <c r="L151" s="2057">
        <f t="shared" ref="L151:L161" si="106">J151+K151</f>
        <v>882669.10000000009</v>
      </c>
      <c r="M151" s="1924">
        <f t="shared" ref="M151:M159" si="107">I151+L151</f>
        <v>943628.3</v>
      </c>
      <c r="N151" s="1924">
        <v>664.2</v>
      </c>
      <c r="O151" s="2050">
        <f t="shared" ref="O151:O162" si="108">G151+J151+N151</f>
        <v>225903.40000000002</v>
      </c>
      <c r="P151" s="2050">
        <f t="shared" ref="P151:P162" si="109">K151+O151</f>
        <v>1009591.7000000001</v>
      </c>
      <c r="Q151" s="2057" t="s">
        <v>288</v>
      </c>
      <c r="R151" s="2057" t="s">
        <v>288</v>
      </c>
      <c r="S151" s="2050">
        <v>0</v>
      </c>
      <c r="T151" s="1924">
        <v>15772.1</v>
      </c>
      <c r="U151" s="1924">
        <v>729968</v>
      </c>
      <c r="V151" s="2050">
        <f t="shared" ref="V151:V162" si="110">T151+U151</f>
        <v>745740.1</v>
      </c>
      <c r="W151" s="2050">
        <v>0</v>
      </c>
      <c r="X151" s="1924">
        <v>1717.7</v>
      </c>
      <c r="Y151" s="1924">
        <v>27379.7</v>
      </c>
      <c r="Z151" s="2050">
        <f t="shared" ref="Z151:Z162" si="111">X151+Y151</f>
        <v>29097.4</v>
      </c>
      <c r="AA151" s="2066">
        <v>13287.6</v>
      </c>
      <c r="AB151" s="2066">
        <v>153991.70000000001</v>
      </c>
      <c r="AC151" s="2066">
        <v>15747.8</v>
      </c>
      <c r="AD151" s="2068">
        <f t="shared" ref="AD151:AD162" si="112">AB151+AC151</f>
        <v>169739.5</v>
      </c>
      <c r="AE151" s="2050">
        <f t="shared" ref="AE151:AH162" si="113">S151+W151+AA151</f>
        <v>13287.6</v>
      </c>
      <c r="AF151" s="2050">
        <f t="shared" si="113"/>
        <v>171481.5</v>
      </c>
      <c r="AG151" s="2050">
        <f t="shared" si="113"/>
        <v>773095.5</v>
      </c>
      <c r="AH151" s="2050">
        <f t="shared" si="113"/>
        <v>944577</v>
      </c>
      <c r="AI151" s="1924">
        <v>5912.2</v>
      </c>
      <c r="AJ151" s="1924">
        <v>24569.7</v>
      </c>
      <c r="AK151" s="1924">
        <v>19157.2</v>
      </c>
      <c r="AL151" s="1924">
        <v>63.3</v>
      </c>
      <c r="AM151" s="1924">
        <f>943677.1-24.03</f>
        <v>943653.07</v>
      </c>
      <c r="AN151" s="1924">
        <v>6202.7</v>
      </c>
      <c r="AO151" s="2050">
        <f t="shared" ref="AO151:AO159" si="114">AM151+AN151</f>
        <v>949855.7699999999</v>
      </c>
      <c r="AP151" s="2050">
        <f t="shared" ref="AP151:AP152" si="115">0.065*AO151</f>
        <v>61740.625049999995</v>
      </c>
      <c r="AQ151" s="2050">
        <f t="shared" ref="AQ151:AQ162" si="116">AR151-AP151</f>
        <v>9386.4749500000107</v>
      </c>
      <c r="AR151" s="1924">
        <v>71127.100000000006</v>
      </c>
      <c r="AS151" s="1924">
        <v>2240565.5</v>
      </c>
      <c r="AT151" s="2040">
        <f t="shared" si="67"/>
        <v>209623.6</v>
      </c>
      <c r="AU151" s="1924">
        <v>0</v>
      </c>
      <c r="AV151" s="1924">
        <v>10818</v>
      </c>
      <c r="AW151" s="1924">
        <v>3297.4</v>
      </c>
      <c r="AX151" s="1924">
        <v>152766.79999999999</v>
      </c>
      <c r="AY151" s="2050">
        <f t="shared" ref="AY151:AY162" si="117">AX151+AW151+AV151+AU151</f>
        <v>166882.19999999998</v>
      </c>
      <c r="AZ151" s="1267">
        <v>-2.64</v>
      </c>
      <c r="BA151" s="1267">
        <v>1.66</v>
      </c>
      <c r="BB151" s="1267">
        <v>0.25</v>
      </c>
      <c r="BC151" s="1267">
        <v>-0.04</v>
      </c>
      <c r="BD151" s="1267">
        <v>-0.64</v>
      </c>
      <c r="BE151" s="1267" t="s">
        <v>288</v>
      </c>
      <c r="BF151" s="2051">
        <v>9740</v>
      </c>
      <c r="BG151" s="2051">
        <v>3713</v>
      </c>
      <c r="BH151" s="354"/>
      <c r="BI151" s="354"/>
      <c r="BJ151" s="354"/>
      <c r="BK151" s="1267">
        <f t="shared" si="68"/>
        <v>100.09790992361206</v>
      </c>
      <c r="BL151" s="1267">
        <f t="shared" si="69"/>
        <v>96.884298767967138</v>
      </c>
      <c r="BM151" s="1267">
        <f t="shared" si="70"/>
        <v>96.979158110882963</v>
      </c>
      <c r="BN151" s="1267">
        <f t="shared" si="71"/>
        <v>8.8343060230811332</v>
      </c>
      <c r="BO151" s="1267">
        <v>5</v>
      </c>
      <c r="BP151" s="1267">
        <v>4.8899999999999997</v>
      </c>
      <c r="BQ151" s="1267">
        <v>9.51</v>
      </c>
      <c r="BR151" s="1267">
        <f t="shared" ref="BR151:BR162" si="118">BQ151-BP151</f>
        <v>4.62</v>
      </c>
      <c r="BS151" s="1267">
        <v>8.34</v>
      </c>
      <c r="BT151" s="1267">
        <v>11.61</v>
      </c>
      <c r="BU151" s="1267">
        <f t="shared" ref="BU151:BU162" si="119">BT151-BS151</f>
        <v>3.2699999999999996</v>
      </c>
    </row>
    <row r="152" spans="1:73" s="154" customFormat="1" ht="9.9499999999999993" customHeight="1" x14ac:dyDescent="0.2">
      <c r="A152" s="160" t="s">
        <v>1296</v>
      </c>
      <c r="B152" s="236" t="s">
        <v>553</v>
      </c>
      <c r="C152" s="1922">
        <v>157654.70000000001</v>
      </c>
      <c r="D152" s="1922">
        <v>1544.6</v>
      </c>
      <c r="E152" s="1922">
        <f t="shared" si="104"/>
        <v>159199.30000000002</v>
      </c>
      <c r="F152" s="1922">
        <v>11375.9</v>
      </c>
      <c r="G152" s="1922">
        <f t="shared" si="105"/>
        <v>147823.40000000002</v>
      </c>
      <c r="H152" s="1922">
        <v>20104.900000000001</v>
      </c>
      <c r="I152" s="1922">
        <v>63109.4</v>
      </c>
      <c r="J152" s="1922">
        <v>94907</v>
      </c>
      <c r="K152" s="2056">
        <v>787748.4</v>
      </c>
      <c r="L152" s="2056">
        <f t="shared" si="106"/>
        <v>882655.4</v>
      </c>
      <c r="M152" s="2056">
        <f t="shared" si="107"/>
        <v>945764.8</v>
      </c>
      <c r="N152" s="1922">
        <v>672.9</v>
      </c>
      <c r="O152" s="1037">
        <f t="shared" si="108"/>
        <v>243403.30000000002</v>
      </c>
      <c r="P152" s="1037">
        <f t="shared" si="109"/>
        <v>1031151.7000000001</v>
      </c>
      <c r="Q152" s="2056" t="s">
        <v>288</v>
      </c>
      <c r="R152" s="2056" t="s">
        <v>288</v>
      </c>
      <c r="S152" s="1037">
        <v>0</v>
      </c>
      <c r="T152" s="1922">
        <v>15760</v>
      </c>
      <c r="U152" s="1922">
        <v>742507.7</v>
      </c>
      <c r="V152" s="1037">
        <f t="shared" si="110"/>
        <v>758267.7</v>
      </c>
      <c r="W152" s="1037">
        <v>0</v>
      </c>
      <c r="X152" s="1922">
        <v>1941.9</v>
      </c>
      <c r="Y152" s="1922">
        <v>28040.3</v>
      </c>
      <c r="Z152" s="1037">
        <f t="shared" si="111"/>
        <v>29982.2</v>
      </c>
      <c r="AA152" s="2064">
        <v>13156.9</v>
      </c>
      <c r="AB152" s="2064">
        <v>152296.1</v>
      </c>
      <c r="AC152" s="2064">
        <v>16425.3</v>
      </c>
      <c r="AD152" s="2065">
        <f t="shared" si="112"/>
        <v>168721.4</v>
      </c>
      <c r="AE152" s="1037">
        <f t="shared" si="113"/>
        <v>13156.9</v>
      </c>
      <c r="AF152" s="1037">
        <f t="shared" si="113"/>
        <v>169998</v>
      </c>
      <c r="AG152" s="1037">
        <f t="shared" si="113"/>
        <v>786973.3</v>
      </c>
      <c r="AH152" s="1037">
        <f t="shared" si="113"/>
        <v>956971.29999999993</v>
      </c>
      <c r="AI152" s="1922">
        <v>6760.9</v>
      </c>
      <c r="AJ152" s="1922">
        <v>23427.7</v>
      </c>
      <c r="AK152" s="1922">
        <v>22323.4</v>
      </c>
      <c r="AL152" s="1922">
        <v>68.400000000000006</v>
      </c>
      <c r="AM152" s="1922">
        <f>945813.5-23.72</f>
        <v>945789.78</v>
      </c>
      <c r="AN152" s="1922">
        <v>6586.7</v>
      </c>
      <c r="AO152" s="1037">
        <f t="shared" si="114"/>
        <v>952376.48</v>
      </c>
      <c r="AP152" s="1037">
        <f t="shared" si="115"/>
        <v>61904.4712</v>
      </c>
      <c r="AQ152" s="1037">
        <f t="shared" si="116"/>
        <v>8418.9287999999942</v>
      </c>
      <c r="AR152" s="1922">
        <v>70323.399999999994</v>
      </c>
      <c r="AS152" s="1922">
        <v>2258622.1</v>
      </c>
      <c r="AT152" s="2046">
        <f t="shared" si="67"/>
        <v>229522.7</v>
      </c>
      <c r="AU152" s="1922">
        <v>4000</v>
      </c>
      <c r="AV152" s="1922">
        <v>12718.1</v>
      </c>
      <c r="AW152" s="1922">
        <v>3443</v>
      </c>
      <c r="AX152" s="1922">
        <v>151013.5</v>
      </c>
      <c r="AY152" s="1037">
        <f t="shared" si="117"/>
        <v>171174.6</v>
      </c>
      <c r="AZ152" s="1289">
        <v>4.0599999999999996</v>
      </c>
      <c r="BA152" s="1289">
        <v>2.38</v>
      </c>
      <c r="BB152" s="1289">
        <v>2.0299999999999998</v>
      </c>
      <c r="BC152" s="1289">
        <v>2.2599999999999998</v>
      </c>
      <c r="BD152" s="1289">
        <v>1.48</v>
      </c>
      <c r="BE152" s="1289" t="s">
        <v>288</v>
      </c>
      <c r="BF152" s="2047">
        <v>9752</v>
      </c>
      <c r="BG152" s="2047">
        <v>3713</v>
      </c>
      <c r="BH152" s="354"/>
      <c r="BI152" s="354"/>
      <c r="BJ152" s="354"/>
      <c r="BK152" s="1289">
        <f t="shared" si="68"/>
        <v>101.18224157592397</v>
      </c>
      <c r="BL152" s="1289">
        <f t="shared" si="69"/>
        <v>96.984185808039385</v>
      </c>
      <c r="BM152" s="1289">
        <f t="shared" si="70"/>
        <v>98.130773174733378</v>
      </c>
      <c r="BN152" s="1289">
        <f t="shared" si="71"/>
        <v>8.6382092223495999</v>
      </c>
      <c r="BO152" s="1289">
        <v>5</v>
      </c>
      <c r="BP152" s="1289">
        <v>4.93</v>
      </c>
      <c r="BQ152" s="1289">
        <v>9.4600000000000009</v>
      </c>
      <c r="BR152" s="1289">
        <f t="shared" si="118"/>
        <v>4.5300000000000011</v>
      </c>
      <c r="BS152" s="1289">
        <v>8.33</v>
      </c>
      <c r="BT152" s="1289">
        <v>11.59</v>
      </c>
      <c r="BU152" s="1289">
        <f t="shared" si="119"/>
        <v>3.26</v>
      </c>
    </row>
    <row r="153" spans="1:73" s="154" customFormat="1" ht="9.9499999999999993" customHeight="1" x14ac:dyDescent="0.2">
      <c r="A153" s="160" t="s">
        <v>1296</v>
      </c>
      <c r="B153" s="275" t="s">
        <v>547</v>
      </c>
      <c r="C153" s="1924">
        <v>142587.20000000001</v>
      </c>
      <c r="D153" s="1924">
        <v>1543.9</v>
      </c>
      <c r="E153" s="1924">
        <f t="shared" si="104"/>
        <v>144131.1</v>
      </c>
      <c r="F153" s="1924">
        <v>11307.9</v>
      </c>
      <c r="G153" s="1924">
        <f t="shared" si="105"/>
        <v>132823.20000000001</v>
      </c>
      <c r="H153" s="1924">
        <v>22254</v>
      </c>
      <c r="I153" s="1924">
        <v>63544.1</v>
      </c>
      <c r="J153" s="1924">
        <v>97812.800000000003</v>
      </c>
      <c r="K153" s="2057">
        <v>797377.4</v>
      </c>
      <c r="L153" s="2057">
        <f t="shared" si="106"/>
        <v>895190.20000000007</v>
      </c>
      <c r="M153" s="2057">
        <f t="shared" si="107"/>
        <v>958734.3</v>
      </c>
      <c r="N153" s="1924">
        <v>687.4</v>
      </c>
      <c r="O153" s="2050">
        <f t="shared" si="108"/>
        <v>231323.4</v>
      </c>
      <c r="P153" s="2050">
        <f t="shared" si="109"/>
        <v>1028700.8</v>
      </c>
      <c r="Q153" s="2057" t="s">
        <v>288</v>
      </c>
      <c r="R153" s="2057" t="s">
        <v>288</v>
      </c>
      <c r="S153" s="2050">
        <v>0</v>
      </c>
      <c r="T153" s="1924">
        <v>15603.8</v>
      </c>
      <c r="U153" s="1924">
        <v>753085.6</v>
      </c>
      <c r="V153" s="2050">
        <f t="shared" si="110"/>
        <v>768689.4</v>
      </c>
      <c r="W153" s="2050">
        <v>0</v>
      </c>
      <c r="X153" s="1924">
        <v>1908.3</v>
      </c>
      <c r="Y153" s="1924">
        <v>27191.7</v>
      </c>
      <c r="Z153" s="2050">
        <f t="shared" si="111"/>
        <v>29100</v>
      </c>
      <c r="AA153" s="2066">
        <v>13914.6</v>
      </c>
      <c r="AB153" s="2066">
        <v>153759.6</v>
      </c>
      <c r="AC153" s="2066">
        <v>16103.9</v>
      </c>
      <c r="AD153" s="2068">
        <f t="shared" si="112"/>
        <v>169863.5</v>
      </c>
      <c r="AE153" s="2050">
        <f t="shared" si="113"/>
        <v>13914.6</v>
      </c>
      <c r="AF153" s="2050">
        <f t="shared" si="113"/>
        <v>171271.7</v>
      </c>
      <c r="AG153" s="2050">
        <f t="shared" si="113"/>
        <v>796381.2</v>
      </c>
      <c r="AH153" s="2050">
        <f t="shared" si="113"/>
        <v>967652.9</v>
      </c>
      <c r="AI153" s="1924">
        <v>6395.4</v>
      </c>
      <c r="AJ153" s="1924">
        <v>23246.6</v>
      </c>
      <c r="AK153" s="1924">
        <v>22200.9</v>
      </c>
      <c r="AL153" s="1924">
        <v>49.6</v>
      </c>
      <c r="AM153" s="1924">
        <f>958783.1-27.8</f>
        <v>958755.29999999993</v>
      </c>
      <c r="AN153" s="1924">
        <v>6274.7</v>
      </c>
      <c r="AO153" s="2050">
        <f t="shared" si="114"/>
        <v>965029.99999999988</v>
      </c>
      <c r="AP153" s="2050">
        <f t="shared" ref="AP153:AP157" si="120">0.065*AO151</f>
        <v>61740.625049999995</v>
      </c>
      <c r="AQ153" s="2050">
        <f t="shared" si="116"/>
        <v>8701.074950000002</v>
      </c>
      <c r="AR153" s="1924">
        <v>70441.7</v>
      </c>
      <c r="AS153" s="1924">
        <v>2301412.7000000002</v>
      </c>
      <c r="AT153" s="2040">
        <f t="shared" si="67"/>
        <v>214572.79999999999</v>
      </c>
      <c r="AU153" s="1924">
        <v>0</v>
      </c>
      <c r="AV153" s="1924">
        <v>10848.6</v>
      </c>
      <c r="AW153" s="1924">
        <v>3279.9</v>
      </c>
      <c r="AX153" s="1924">
        <v>152467.1</v>
      </c>
      <c r="AY153" s="2050">
        <f t="shared" si="117"/>
        <v>166595.6</v>
      </c>
      <c r="AZ153" s="1267">
        <v>-2.97</v>
      </c>
      <c r="BA153" s="1267">
        <v>2.2999999999999998</v>
      </c>
      <c r="BB153" s="1267">
        <v>3.24</v>
      </c>
      <c r="BC153" s="1267">
        <v>2.5499999999999998</v>
      </c>
      <c r="BD153" s="1267">
        <v>1.24</v>
      </c>
      <c r="BE153" s="1267" t="s">
        <v>288</v>
      </c>
      <c r="BF153" s="2051">
        <v>9774</v>
      </c>
      <c r="BG153" s="2051">
        <v>3714</v>
      </c>
      <c r="BH153" s="354"/>
      <c r="BI153" s="354"/>
      <c r="BJ153" s="354"/>
      <c r="BK153" s="1267">
        <f t="shared" si="68"/>
        <v>100.92803659077556</v>
      </c>
      <c r="BL153" s="1267">
        <f t="shared" si="69"/>
        <v>98.092418661755673</v>
      </c>
      <c r="BM153" s="1267">
        <f t="shared" si="70"/>
        <v>99.002752199713527</v>
      </c>
      <c r="BN153" s="1267">
        <f t="shared" si="71"/>
        <v>8.5266386532622036</v>
      </c>
      <c r="BO153" s="1267">
        <v>5</v>
      </c>
      <c r="BP153" s="1267">
        <v>4.9000000000000004</v>
      </c>
      <c r="BQ153" s="1267">
        <v>9.4499999999999993</v>
      </c>
      <c r="BR153" s="1267">
        <f t="shared" si="118"/>
        <v>4.5499999999999989</v>
      </c>
      <c r="BS153" s="1267">
        <v>8.31</v>
      </c>
      <c r="BT153" s="1267">
        <v>11.49</v>
      </c>
      <c r="BU153" s="1267">
        <f t="shared" si="119"/>
        <v>3.1799999999999997</v>
      </c>
    </row>
    <row r="154" spans="1:73" s="154" customFormat="1" ht="9.9499999999999993" customHeight="1" x14ac:dyDescent="0.2">
      <c r="A154" s="160" t="s">
        <v>1296</v>
      </c>
      <c r="B154" s="236" t="s">
        <v>554</v>
      </c>
      <c r="C154" s="1922">
        <v>137533.29999999999</v>
      </c>
      <c r="D154" s="1922">
        <v>1542</v>
      </c>
      <c r="E154" s="1922">
        <f t="shared" si="104"/>
        <v>139075.29999999999</v>
      </c>
      <c r="F154" s="1922">
        <v>12310.7</v>
      </c>
      <c r="G154" s="1922">
        <f t="shared" si="105"/>
        <v>126764.59999999999</v>
      </c>
      <c r="H154" s="1922">
        <v>23083.8</v>
      </c>
      <c r="I154" s="1922">
        <v>65252.800000000003</v>
      </c>
      <c r="J154" s="1922">
        <v>99301.3</v>
      </c>
      <c r="K154" s="2056">
        <v>806477.3</v>
      </c>
      <c r="L154" s="2056">
        <f t="shared" si="106"/>
        <v>905778.60000000009</v>
      </c>
      <c r="M154" s="2056">
        <f t="shared" si="107"/>
        <v>971031.40000000014</v>
      </c>
      <c r="N154" s="1922">
        <v>678.6</v>
      </c>
      <c r="O154" s="1037">
        <f t="shared" si="108"/>
        <v>226744.5</v>
      </c>
      <c r="P154" s="1037">
        <f t="shared" si="109"/>
        <v>1033221.8</v>
      </c>
      <c r="Q154" s="2056" t="s">
        <v>288</v>
      </c>
      <c r="R154" s="2056" t="s">
        <v>288</v>
      </c>
      <c r="S154" s="1037">
        <v>0</v>
      </c>
      <c r="T154" s="1922">
        <v>16260.5</v>
      </c>
      <c r="U154" s="1922">
        <v>763828.5</v>
      </c>
      <c r="V154" s="1037">
        <f t="shared" si="110"/>
        <v>780089</v>
      </c>
      <c r="W154" s="1037">
        <v>0</v>
      </c>
      <c r="X154" s="1922">
        <v>1781.6</v>
      </c>
      <c r="Y154" s="1922">
        <v>28083.7</v>
      </c>
      <c r="Z154" s="1037">
        <f t="shared" si="111"/>
        <v>29865.3</v>
      </c>
      <c r="AA154" s="2064">
        <v>13494</v>
      </c>
      <c r="AB154" s="2064">
        <v>151132.9</v>
      </c>
      <c r="AC154" s="2064">
        <v>15918.7</v>
      </c>
      <c r="AD154" s="2065">
        <f t="shared" si="112"/>
        <v>167051.6</v>
      </c>
      <c r="AE154" s="1037">
        <f t="shared" si="113"/>
        <v>13494</v>
      </c>
      <c r="AF154" s="1037">
        <f t="shared" si="113"/>
        <v>169175</v>
      </c>
      <c r="AG154" s="1037">
        <f t="shared" si="113"/>
        <v>807830.89999999991</v>
      </c>
      <c r="AH154" s="1037">
        <f t="shared" si="113"/>
        <v>977005.9</v>
      </c>
      <c r="AI154" s="1922">
        <v>6336.9</v>
      </c>
      <c r="AJ154" s="1922">
        <v>25941.3</v>
      </c>
      <c r="AK154" s="1922">
        <v>20672.3</v>
      </c>
      <c r="AL154" s="1922">
        <v>21.3</v>
      </c>
      <c r="AM154" s="1922">
        <f>971080.3-27.3</f>
        <v>971053</v>
      </c>
      <c r="AN154" s="1922">
        <v>5839.5</v>
      </c>
      <c r="AO154" s="1037">
        <f t="shared" si="114"/>
        <v>976892.5</v>
      </c>
      <c r="AP154" s="1037">
        <f t="shared" si="120"/>
        <v>61904.4712</v>
      </c>
      <c r="AQ154" s="1037">
        <f t="shared" si="116"/>
        <v>8618.6288000000059</v>
      </c>
      <c r="AR154" s="1922">
        <v>70523.100000000006</v>
      </c>
      <c r="AS154" s="1922">
        <v>2398339.9</v>
      </c>
      <c r="AT154" s="2046">
        <f t="shared" si="67"/>
        <v>209598.4</v>
      </c>
      <c r="AU154" s="1922">
        <v>0</v>
      </c>
      <c r="AV154" s="1922">
        <v>10719.8</v>
      </c>
      <c r="AW154" s="1922">
        <v>3456.7</v>
      </c>
      <c r="AX154" s="1922">
        <v>149841.70000000001</v>
      </c>
      <c r="AY154" s="1037">
        <f t="shared" si="117"/>
        <v>164018.20000000001</v>
      </c>
      <c r="AZ154" s="1289">
        <v>-5.29</v>
      </c>
      <c r="BA154" s="1289">
        <v>4.3499999999999996</v>
      </c>
      <c r="BB154" s="1289">
        <v>4.72</v>
      </c>
      <c r="BC154" s="1289">
        <v>3.62</v>
      </c>
      <c r="BD154" s="1289">
        <v>1.69</v>
      </c>
      <c r="BE154" s="1289" t="s">
        <v>288</v>
      </c>
      <c r="BF154" s="2047">
        <v>9793</v>
      </c>
      <c r="BG154" s="2047">
        <v>3718</v>
      </c>
      <c r="BH154" s="354"/>
      <c r="BI154" s="354"/>
      <c r="BJ154" s="354"/>
      <c r="BK154" s="1289">
        <f t="shared" si="68"/>
        <v>100.61303553976973</v>
      </c>
      <c r="BL154" s="1289">
        <f t="shared" si="69"/>
        <v>99.157867864801389</v>
      </c>
      <c r="BM154" s="1289">
        <f t="shared" si="70"/>
        <v>99.765740835290515</v>
      </c>
      <c r="BN154" s="1289">
        <f t="shared" si="71"/>
        <v>8.5303067906695098</v>
      </c>
      <c r="BO154" s="1289">
        <v>5</v>
      </c>
      <c r="BP154" s="1289">
        <v>4.8899999999999997</v>
      </c>
      <c r="BQ154" s="1289">
        <v>9.39</v>
      </c>
      <c r="BR154" s="1289">
        <f t="shared" si="118"/>
        <v>4.5000000000000009</v>
      </c>
      <c r="BS154" s="1289">
        <v>8.33</v>
      </c>
      <c r="BT154" s="1289">
        <v>11.35</v>
      </c>
      <c r="BU154" s="1289">
        <f t="shared" si="119"/>
        <v>3.0199999999999996</v>
      </c>
    </row>
    <row r="155" spans="1:73" s="154" customFormat="1" ht="9.9499999999999993" customHeight="1" x14ac:dyDescent="0.2">
      <c r="A155" s="160" t="s">
        <v>1296</v>
      </c>
      <c r="B155" s="275" t="s">
        <v>555</v>
      </c>
      <c r="C155" s="1924">
        <v>136701.5</v>
      </c>
      <c r="D155" s="1924">
        <v>1539.2</v>
      </c>
      <c r="E155" s="1924">
        <f t="shared" si="104"/>
        <v>138240.70000000001</v>
      </c>
      <c r="F155" s="1924">
        <v>11357.5</v>
      </c>
      <c r="G155" s="1924">
        <f t="shared" si="105"/>
        <v>126883.20000000001</v>
      </c>
      <c r="H155" s="1924">
        <v>24155.7</v>
      </c>
      <c r="I155" s="1924">
        <v>65117.7</v>
      </c>
      <c r="J155" s="1924">
        <v>99526.6</v>
      </c>
      <c r="K155" s="2057">
        <v>813273.3</v>
      </c>
      <c r="L155" s="2057">
        <f t="shared" si="106"/>
        <v>912799.9</v>
      </c>
      <c r="M155" s="2057">
        <f t="shared" si="107"/>
        <v>977917.6</v>
      </c>
      <c r="N155" s="1924">
        <v>682.1</v>
      </c>
      <c r="O155" s="2050">
        <f t="shared" si="108"/>
        <v>227091.90000000002</v>
      </c>
      <c r="P155" s="2050">
        <f t="shared" si="109"/>
        <v>1040365.2000000001</v>
      </c>
      <c r="Q155" s="2057" t="s">
        <v>288</v>
      </c>
      <c r="R155" s="2057" t="s">
        <v>288</v>
      </c>
      <c r="S155" s="2050">
        <v>0</v>
      </c>
      <c r="T155" s="1924">
        <v>16620.7</v>
      </c>
      <c r="U155" s="1924">
        <v>777632.2</v>
      </c>
      <c r="V155" s="2050">
        <f t="shared" si="110"/>
        <v>794252.89999999991</v>
      </c>
      <c r="W155" s="2050">
        <v>0</v>
      </c>
      <c r="X155" s="1924">
        <v>1696.9</v>
      </c>
      <c r="Y155" s="1924">
        <v>28742.6</v>
      </c>
      <c r="Z155" s="2050">
        <f t="shared" si="111"/>
        <v>30439.5</v>
      </c>
      <c r="AA155" s="2066">
        <v>12814.8</v>
      </c>
      <c r="AB155" s="2066">
        <v>151117.6</v>
      </c>
      <c r="AC155" s="2066">
        <v>15683.2</v>
      </c>
      <c r="AD155" s="2068">
        <f t="shared" si="112"/>
        <v>166800.80000000002</v>
      </c>
      <c r="AE155" s="2050">
        <f t="shared" si="113"/>
        <v>12814.8</v>
      </c>
      <c r="AF155" s="2050">
        <f t="shared" si="113"/>
        <v>169435.2</v>
      </c>
      <c r="AG155" s="2050">
        <f t="shared" si="113"/>
        <v>822057.99999999988</v>
      </c>
      <c r="AH155" s="2050">
        <f t="shared" si="113"/>
        <v>991493.2</v>
      </c>
      <c r="AI155" s="1924">
        <v>6722.8</v>
      </c>
      <c r="AJ155" s="1924">
        <v>26851.7</v>
      </c>
      <c r="AK155" s="1924">
        <v>18797.599999999999</v>
      </c>
      <c r="AL155" s="1924">
        <v>75.400000000000006</v>
      </c>
      <c r="AM155" s="1924">
        <f>977966.3-31.97</f>
        <v>977934.33000000007</v>
      </c>
      <c r="AN155" s="1924">
        <v>6738.9</v>
      </c>
      <c r="AO155" s="2050">
        <f t="shared" si="114"/>
        <v>984673.2300000001</v>
      </c>
      <c r="AP155" s="2050">
        <f t="shared" si="120"/>
        <v>62726.95</v>
      </c>
      <c r="AQ155" s="2050">
        <f t="shared" si="116"/>
        <v>7369.5500000000029</v>
      </c>
      <c r="AR155" s="1924">
        <v>70096.5</v>
      </c>
      <c r="AS155" s="1924">
        <v>2529328</v>
      </c>
      <c r="AT155" s="2040">
        <f t="shared" ref="AT155:AT186" si="121">E155+AR155</f>
        <v>208337.2</v>
      </c>
      <c r="AU155" s="1924">
        <v>734.4</v>
      </c>
      <c r="AV155" s="1924">
        <v>10726</v>
      </c>
      <c r="AW155" s="1924">
        <v>3629.4</v>
      </c>
      <c r="AX155" s="1924">
        <v>149821.70000000001</v>
      </c>
      <c r="AY155" s="2050">
        <f t="shared" si="117"/>
        <v>164911.5</v>
      </c>
      <c r="AZ155" s="1267">
        <v>-4.8600000000000003</v>
      </c>
      <c r="BA155" s="1267">
        <v>4.9800000000000004</v>
      </c>
      <c r="BB155" s="1267">
        <v>6.56</v>
      </c>
      <c r="BC155" s="1267">
        <v>5.28</v>
      </c>
      <c r="BD155" s="1267">
        <v>2.39</v>
      </c>
      <c r="BE155" s="1267" t="s">
        <v>288</v>
      </c>
      <c r="BF155" s="2051">
        <v>9843</v>
      </c>
      <c r="BG155" s="2051">
        <v>3718</v>
      </c>
      <c r="BH155" s="354"/>
      <c r="BI155" s="354"/>
      <c r="BJ155" s="354"/>
      <c r="BK155" s="1267">
        <f t="shared" ref="BK155:BK186" si="122">AH155/AM155*100</f>
        <v>101.38648062390854</v>
      </c>
      <c r="BL155" s="1267">
        <f t="shared" ref="BL155:BL174" si="123">AM155/BF155</f>
        <v>99.35327948796099</v>
      </c>
      <c r="BM155" s="1267">
        <f t="shared" ref="BM155:BM174" si="124">AH155/BF155</f>
        <v>100.73079345727928</v>
      </c>
      <c r="BN155" s="1267">
        <f t="shared" ref="BN155:BN186" si="125">(F155+AR155)/AM155*100</f>
        <v>8.329189138906699</v>
      </c>
      <c r="BO155" s="1267">
        <v>5</v>
      </c>
      <c r="BP155" s="1267">
        <v>4.9000000000000004</v>
      </c>
      <c r="BQ155" s="1267">
        <v>9.3000000000000007</v>
      </c>
      <c r="BR155" s="1267">
        <f t="shared" si="118"/>
        <v>4.4000000000000004</v>
      </c>
      <c r="BS155" s="1267">
        <v>8.39</v>
      </c>
      <c r="BT155" s="1267">
        <v>11.34</v>
      </c>
      <c r="BU155" s="1267">
        <f t="shared" si="119"/>
        <v>2.9499999999999993</v>
      </c>
    </row>
    <row r="156" spans="1:73" s="154" customFormat="1" ht="9.9499999999999993" customHeight="1" x14ac:dyDescent="0.2">
      <c r="A156" s="160" t="s">
        <v>1296</v>
      </c>
      <c r="B156" s="236" t="s">
        <v>548</v>
      </c>
      <c r="C156" s="1922">
        <v>139150.9</v>
      </c>
      <c r="D156" s="1922">
        <v>1535.6</v>
      </c>
      <c r="E156" s="1922">
        <f t="shared" si="104"/>
        <v>140686.5</v>
      </c>
      <c r="F156" s="1922">
        <v>11537.3</v>
      </c>
      <c r="G156" s="1922">
        <f t="shared" si="105"/>
        <v>129149.2</v>
      </c>
      <c r="H156" s="1922">
        <v>26128.6</v>
      </c>
      <c r="I156" s="1922">
        <v>65966.7</v>
      </c>
      <c r="J156" s="1922">
        <v>103970.1</v>
      </c>
      <c r="K156" s="2056">
        <v>822209.2</v>
      </c>
      <c r="L156" s="2056">
        <f t="shared" si="106"/>
        <v>926179.29999999993</v>
      </c>
      <c r="M156" s="1922">
        <f t="shared" si="107"/>
        <v>992145.99999999988</v>
      </c>
      <c r="N156" s="1922">
        <v>670.4</v>
      </c>
      <c r="O156" s="1037">
        <f t="shared" si="108"/>
        <v>233789.69999999998</v>
      </c>
      <c r="P156" s="1037">
        <f t="shared" si="109"/>
        <v>1055998.8999999999</v>
      </c>
      <c r="Q156" s="2056" t="s">
        <v>288</v>
      </c>
      <c r="R156" s="2056" t="s">
        <v>288</v>
      </c>
      <c r="S156" s="1037">
        <v>0</v>
      </c>
      <c r="T156" s="1922">
        <v>17760.8</v>
      </c>
      <c r="U156" s="1922">
        <v>794854.7</v>
      </c>
      <c r="V156" s="1037">
        <f t="shared" si="110"/>
        <v>812615.5</v>
      </c>
      <c r="W156" s="1037">
        <v>0</v>
      </c>
      <c r="X156" s="1922">
        <v>1520.4</v>
      </c>
      <c r="Y156" s="1922">
        <v>30299.7</v>
      </c>
      <c r="Z156" s="1037">
        <f t="shared" si="111"/>
        <v>31820.100000000002</v>
      </c>
      <c r="AA156" s="2064">
        <v>15313.6</v>
      </c>
      <c r="AB156" s="2064">
        <v>147858.5</v>
      </c>
      <c r="AC156" s="2064">
        <v>15946.6</v>
      </c>
      <c r="AD156" s="2065">
        <f t="shared" si="112"/>
        <v>163805.1</v>
      </c>
      <c r="AE156" s="1037">
        <f t="shared" si="113"/>
        <v>15313.6</v>
      </c>
      <c r="AF156" s="1037">
        <f t="shared" si="113"/>
        <v>167139.70000000001</v>
      </c>
      <c r="AG156" s="1037">
        <f t="shared" si="113"/>
        <v>841100.99999999988</v>
      </c>
      <c r="AH156" s="1037">
        <f t="shared" si="113"/>
        <v>1008240.7</v>
      </c>
      <c r="AI156" s="1922">
        <v>8716.2000000000007</v>
      </c>
      <c r="AJ156" s="1922">
        <v>27608.6</v>
      </c>
      <c r="AK156" s="1922">
        <v>22145.9</v>
      </c>
      <c r="AL156" s="1922">
        <v>60.9</v>
      </c>
      <c r="AM156" s="1922">
        <f>992193.8-34.82</f>
        <v>992158.9800000001</v>
      </c>
      <c r="AN156" s="1922">
        <v>6981.5</v>
      </c>
      <c r="AO156" s="1037">
        <f t="shared" si="114"/>
        <v>999140.4800000001</v>
      </c>
      <c r="AP156" s="1037">
        <f>0.065*AO154</f>
        <v>63498.012500000004</v>
      </c>
      <c r="AQ156" s="1037">
        <f t="shared" si="116"/>
        <v>12128.88749999999</v>
      </c>
      <c r="AR156" s="1922">
        <v>75626.899999999994</v>
      </c>
      <c r="AS156" s="1922">
        <v>2426236.2999999998</v>
      </c>
      <c r="AT156" s="2046">
        <f t="shared" si="121"/>
        <v>216313.4</v>
      </c>
      <c r="AU156" s="1922">
        <v>0</v>
      </c>
      <c r="AV156" s="1922">
        <v>11325.9</v>
      </c>
      <c r="AW156" s="1922">
        <v>4096.7</v>
      </c>
      <c r="AX156" s="1922">
        <v>146577.5</v>
      </c>
      <c r="AY156" s="1037">
        <f t="shared" si="117"/>
        <v>162000.1</v>
      </c>
      <c r="AZ156" s="1289">
        <v>-10.33</v>
      </c>
      <c r="BA156" s="1289">
        <v>7.79</v>
      </c>
      <c r="BB156" s="1289">
        <v>9.02</v>
      </c>
      <c r="BC156" s="1289">
        <v>6.88</v>
      </c>
      <c r="BD156" s="1289">
        <v>3.93</v>
      </c>
      <c r="BE156" s="1289" t="s">
        <v>288</v>
      </c>
      <c r="BF156" s="2047">
        <v>9955</v>
      </c>
      <c r="BG156" s="2047">
        <v>3721</v>
      </c>
      <c r="BH156" s="354"/>
      <c r="BI156" s="354"/>
      <c r="BJ156" s="354"/>
      <c r="BK156" s="1289">
        <f t="shared" si="122"/>
        <v>101.62088136318637</v>
      </c>
      <c r="BL156" s="1289">
        <f t="shared" si="123"/>
        <v>99.664387744851837</v>
      </c>
      <c r="BM156" s="1289">
        <f t="shared" si="124"/>
        <v>101.27982923154194</v>
      </c>
      <c r="BN156" s="1289">
        <f t="shared" si="125"/>
        <v>8.7853057581558129</v>
      </c>
      <c r="BO156" s="1289">
        <v>5</v>
      </c>
      <c r="BP156" s="1289">
        <v>4.91</v>
      </c>
      <c r="BQ156" s="1289">
        <v>9.35</v>
      </c>
      <c r="BR156" s="1289">
        <f t="shared" si="118"/>
        <v>4.4399999999999995</v>
      </c>
      <c r="BS156" s="1289">
        <v>8.48</v>
      </c>
      <c r="BT156" s="1289">
        <v>11.41</v>
      </c>
      <c r="BU156" s="1289">
        <f t="shared" si="119"/>
        <v>2.9299999999999997</v>
      </c>
    </row>
    <row r="157" spans="1:73" s="154" customFormat="1" ht="9.9499999999999993" customHeight="1" x14ac:dyDescent="0.2">
      <c r="A157" s="160" t="s">
        <v>1296</v>
      </c>
      <c r="B157" s="275" t="s">
        <v>556</v>
      </c>
      <c r="C157" s="1924">
        <v>138759.29999999999</v>
      </c>
      <c r="D157" s="1924">
        <v>1532.1</v>
      </c>
      <c r="E157" s="1924">
        <f t="shared" si="104"/>
        <v>140291.4</v>
      </c>
      <c r="F157" s="1924">
        <v>12043.1</v>
      </c>
      <c r="G157" s="1924">
        <f t="shared" si="105"/>
        <v>128248.29999999999</v>
      </c>
      <c r="H157" s="1924">
        <v>23567.4</v>
      </c>
      <c r="I157" s="1924">
        <v>67912.899999999994</v>
      </c>
      <c r="J157" s="1924">
        <v>97526.3</v>
      </c>
      <c r="K157" s="2057">
        <v>821620.1</v>
      </c>
      <c r="L157" s="2057">
        <f t="shared" si="106"/>
        <v>919146.4</v>
      </c>
      <c r="M157" s="2057">
        <f t="shared" si="107"/>
        <v>987059.3</v>
      </c>
      <c r="N157" s="1924">
        <v>667.5</v>
      </c>
      <c r="O157" s="2050">
        <f t="shared" si="108"/>
        <v>226442.09999999998</v>
      </c>
      <c r="P157" s="2050">
        <f t="shared" si="109"/>
        <v>1048062.2</v>
      </c>
      <c r="Q157" s="2057" t="s">
        <v>288</v>
      </c>
      <c r="R157" s="2057" t="s">
        <v>288</v>
      </c>
      <c r="S157" s="2050">
        <v>0</v>
      </c>
      <c r="T157" s="1924">
        <v>17924.2</v>
      </c>
      <c r="U157" s="1924">
        <v>802763.2</v>
      </c>
      <c r="V157" s="2050">
        <f t="shared" si="110"/>
        <v>820687.39999999991</v>
      </c>
      <c r="W157" s="2050">
        <v>0</v>
      </c>
      <c r="X157" s="1924">
        <v>1525.6</v>
      </c>
      <c r="Y157" s="1924">
        <v>27429.200000000001</v>
      </c>
      <c r="Z157" s="2050">
        <f t="shared" si="111"/>
        <v>28954.799999999999</v>
      </c>
      <c r="AA157" s="2066">
        <v>15452.5</v>
      </c>
      <c r="AB157" s="2066">
        <v>145287</v>
      </c>
      <c r="AC157" s="2066">
        <v>16229.3</v>
      </c>
      <c r="AD157" s="2068">
        <f t="shared" si="112"/>
        <v>161516.29999999999</v>
      </c>
      <c r="AE157" s="2050">
        <f t="shared" si="113"/>
        <v>15452.5</v>
      </c>
      <c r="AF157" s="2050">
        <f t="shared" si="113"/>
        <v>164736.79999999999</v>
      </c>
      <c r="AG157" s="2050">
        <f t="shared" si="113"/>
        <v>846421.7</v>
      </c>
      <c r="AH157" s="2050">
        <f t="shared" si="113"/>
        <v>1011158.5</v>
      </c>
      <c r="AI157" s="1924">
        <v>8903.6</v>
      </c>
      <c r="AJ157" s="1924">
        <v>28764.3</v>
      </c>
      <c r="AK157" s="1924">
        <v>21985.200000000001</v>
      </c>
      <c r="AL157" s="1924">
        <v>96.6</v>
      </c>
      <c r="AM157" s="1924">
        <f>987106.7-34.56</f>
        <v>987072.1399999999</v>
      </c>
      <c r="AN157" s="1924">
        <v>7736</v>
      </c>
      <c r="AO157" s="2050">
        <f t="shared" si="114"/>
        <v>994808.1399999999</v>
      </c>
      <c r="AP157" s="2050">
        <f t="shared" si="120"/>
        <v>64003.759950000007</v>
      </c>
      <c r="AQ157" s="2050">
        <f t="shared" si="116"/>
        <v>5357.9400499999902</v>
      </c>
      <c r="AR157" s="1924">
        <v>69361.7</v>
      </c>
      <c r="AS157" s="1924">
        <v>2447027.7000000002</v>
      </c>
      <c r="AT157" s="2040">
        <f t="shared" si="121"/>
        <v>209653.09999999998</v>
      </c>
      <c r="AU157" s="1924">
        <v>0</v>
      </c>
      <c r="AV157" s="1924">
        <v>11144.5</v>
      </c>
      <c r="AW157" s="1924">
        <v>4551.3999999999996</v>
      </c>
      <c r="AX157" s="1924">
        <v>143998.6</v>
      </c>
      <c r="AY157" s="2050">
        <f t="shared" si="117"/>
        <v>159694.5</v>
      </c>
      <c r="AZ157" s="1267">
        <v>-16.75</v>
      </c>
      <c r="BA157" s="1267">
        <v>6.45</v>
      </c>
      <c r="BB157" s="1267">
        <v>9.7100000000000009</v>
      </c>
      <c r="BC157" s="1267">
        <v>6.76</v>
      </c>
      <c r="BD157" s="1267">
        <v>3.15</v>
      </c>
      <c r="BE157" s="1267" t="s">
        <v>288</v>
      </c>
      <c r="BF157" s="2051">
        <v>9957</v>
      </c>
      <c r="BG157" s="2051">
        <v>3721</v>
      </c>
      <c r="BH157" s="354"/>
      <c r="BI157" s="354"/>
      <c r="BJ157" s="354"/>
      <c r="BK157" s="1267">
        <f t="shared" si="122"/>
        <v>102.44018233560924</v>
      </c>
      <c r="BL157" s="1267">
        <f t="shared" si="123"/>
        <v>99.133487998393079</v>
      </c>
      <c r="BM157" s="1267">
        <f t="shared" si="124"/>
        <v>101.55252586120318</v>
      </c>
      <c r="BN157" s="1267">
        <f t="shared" si="125"/>
        <v>8.2470973195535642</v>
      </c>
      <c r="BO157" s="1267">
        <v>5</v>
      </c>
      <c r="BP157" s="1267">
        <v>5.01</v>
      </c>
      <c r="BQ157" s="1267">
        <v>9.42</v>
      </c>
      <c r="BR157" s="1267">
        <f t="shared" si="118"/>
        <v>4.41</v>
      </c>
      <c r="BS157" s="1267">
        <v>8.6300000000000008</v>
      </c>
      <c r="BT157" s="1267">
        <v>11.42</v>
      </c>
      <c r="BU157" s="1267">
        <f t="shared" si="119"/>
        <v>2.7899999999999991</v>
      </c>
    </row>
    <row r="158" spans="1:73" s="154" customFormat="1" ht="9.9499999999999993" customHeight="1" x14ac:dyDescent="0.2">
      <c r="A158" s="160" t="s">
        <v>1296</v>
      </c>
      <c r="B158" s="236" t="s">
        <v>557</v>
      </c>
      <c r="C158" s="1922">
        <v>139592.29999999999</v>
      </c>
      <c r="D158" s="1922">
        <v>1529.1</v>
      </c>
      <c r="E158" s="1922">
        <f t="shared" si="104"/>
        <v>141121.4</v>
      </c>
      <c r="F158" s="1922">
        <v>12783.3</v>
      </c>
      <c r="G158" s="1922">
        <f t="shared" si="105"/>
        <v>128338.09999999999</v>
      </c>
      <c r="H158" s="1922">
        <v>24393</v>
      </c>
      <c r="I158" s="1922">
        <v>70810.899999999994</v>
      </c>
      <c r="J158" s="1922">
        <v>97459.3</v>
      </c>
      <c r="K158" s="1922">
        <v>825001</v>
      </c>
      <c r="L158" s="2056">
        <f t="shared" si="106"/>
        <v>922460.3</v>
      </c>
      <c r="M158" s="2056">
        <f t="shared" si="107"/>
        <v>993271.20000000007</v>
      </c>
      <c r="N158" s="1922">
        <v>748.4</v>
      </c>
      <c r="O158" s="1037">
        <f t="shared" si="108"/>
        <v>226545.8</v>
      </c>
      <c r="P158" s="1037">
        <f t="shared" si="109"/>
        <v>1051546.8</v>
      </c>
      <c r="Q158" s="2056" t="s">
        <v>288</v>
      </c>
      <c r="R158" s="2056" t="s">
        <v>288</v>
      </c>
      <c r="S158" s="1037">
        <v>0</v>
      </c>
      <c r="T158" s="1922">
        <v>17822.099999999999</v>
      </c>
      <c r="U158" s="1922">
        <v>813773</v>
      </c>
      <c r="V158" s="1037">
        <f t="shared" si="110"/>
        <v>831595.1</v>
      </c>
      <c r="W158" s="1037">
        <v>0</v>
      </c>
      <c r="X158" s="1922">
        <v>1567.5</v>
      </c>
      <c r="Y158" s="1922">
        <v>27405.8</v>
      </c>
      <c r="Z158" s="1037">
        <f t="shared" si="111"/>
        <v>28973.3</v>
      </c>
      <c r="AA158" s="2064">
        <v>16481.400000000001</v>
      </c>
      <c r="AB158" s="2064">
        <v>143930.9</v>
      </c>
      <c r="AC158" s="2064">
        <v>16125.3</v>
      </c>
      <c r="AD158" s="2065">
        <f t="shared" si="112"/>
        <v>160056.19999999998</v>
      </c>
      <c r="AE158" s="1037">
        <f t="shared" si="113"/>
        <v>16481.400000000001</v>
      </c>
      <c r="AF158" s="1037">
        <f t="shared" si="113"/>
        <v>163320.5</v>
      </c>
      <c r="AG158" s="1037">
        <f t="shared" si="113"/>
        <v>857304.10000000009</v>
      </c>
      <c r="AH158" s="1037">
        <f t="shared" si="113"/>
        <v>1020624.6</v>
      </c>
      <c r="AI158" s="1922">
        <v>10103.299999999999</v>
      </c>
      <c r="AJ158" s="1922">
        <v>30304.799999999999</v>
      </c>
      <c r="AK158" s="1922">
        <v>24901.1</v>
      </c>
      <c r="AL158" s="1922">
        <v>360.7</v>
      </c>
      <c r="AM158" s="1922">
        <f>993318.6-32.65</f>
        <v>993285.95</v>
      </c>
      <c r="AN158" s="1922">
        <v>7907.9</v>
      </c>
      <c r="AO158" s="1037">
        <f t="shared" si="114"/>
        <v>1001193.85</v>
      </c>
      <c r="AP158" s="1037">
        <f>0.065*AO156</f>
        <v>64944.131200000011</v>
      </c>
      <c r="AQ158" s="1037">
        <f t="shared" si="116"/>
        <v>3735.4687999999951</v>
      </c>
      <c r="AR158" s="1922">
        <v>68679.600000000006</v>
      </c>
      <c r="AS158" s="1922">
        <v>2489061.7000000002</v>
      </c>
      <c r="AT158" s="2046">
        <f t="shared" si="121"/>
        <v>209801</v>
      </c>
      <c r="AU158" s="1922">
        <v>0</v>
      </c>
      <c r="AV158" s="1922">
        <v>9663</v>
      </c>
      <c r="AW158" s="1922">
        <v>4478.3999999999996</v>
      </c>
      <c r="AX158" s="1922">
        <v>142494.39999999999</v>
      </c>
      <c r="AY158" s="1037">
        <f t="shared" si="117"/>
        <v>156635.79999999999</v>
      </c>
      <c r="AZ158" s="1289">
        <v>-22.87</v>
      </c>
      <c r="BA158" s="1289">
        <v>7.4</v>
      </c>
      <c r="BB158" s="1289">
        <v>11.1</v>
      </c>
      <c r="BC158" s="1289">
        <v>7.32</v>
      </c>
      <c r="BD158" s="1289">
        <v>3.49</v>
      </c>
      <c r="BE158" s="1289" t="s">
        <v>288</v>
      </c>
      <c r="BF158" s="2047">
        <v>9957</v>
      </c>
      <c r="BG158" s="2047">
        <v>3721</v>
      </c>
      <c r="BH158" s="354"/>
      <c r="BI158" s="354"/>
      <c r="BJ158" s="354"/>
      <c r="BK158" s="1289">
        <f t="shared" si="122"/>
        <v>102.75234437776956</v>
      </c>
      <c r="BL158" s="1289">
        <f t="shared" si="123"/>
        <v>99.757552475645269</v>
      </c>
      <c r="BM158" s="1289">
        <f t="shared" si="124"/>
        <v>102.50322386260922</v>
      </c>
      <c r="BN158" s="1289">
        <f t="shared" si="125"/>
        <v>8.2013543028570979</v>
      </c>
      <c r="BO158" s="1289">
        <v>5</v>
      </c>
      <c r="BP158" s="1289">
        <v>5.18</v>
      </c>
      <c r="BQ158" s="1289">
        <v>9.5500000000000007</v>
      </c>
      <c r="BR158" s="1289">
        <f t="shared" si="118"/>
        <v>4.370000000000001</v>
      </c>
      <c r="BS158" s="1289">
        <v>8.9600000000000009</v>
      </c>
      <c r="BT158" s="1289">
        <v>11.71</v>
      </c>
      <c r="BU158" s="1289">
        <f t="shared" si="119"/>
        <v>2.75</v>
      </c>
    </row>
    <row r="159" spans="1:73" s="154" customFormat="1" ht="9.9499999999999993" customHeight="1" x14ac:dyDescent="0.2">
      <c r="A159" s="160" t="s">
        <v>1296</v>
      </c>
      <c r="B159" s="275" t="s">
        <v>549</v>
      </c>
      <c r="C159" s="1924">
        <v>138648.5</v>
      </c>
      <c r="D159" s="1924">
        <v>1527.4</v>
      </c>
      <c r="E159" s="1924">
        <f t="shared" si="104"/>
        <v>140175.9</v>
      </c>
      <c r="F159" s="1924">
        <v>12042.8</v>
      </c>
      <c r="G159" s="1924">
        <f t="shared" si="105"/>
        <v>128133.09999999999</v>
      </c>
      <c r="H159" s="1924">
        <v>27221.200000000001</v>
      </c>
      <c r="I159" s="1924">
        <v>71009.8</v>
      </c>
      <c r="J159" s="1924">
        <v>96438.6</v>
      </c>
      <c r="K159" s="1924">
        <v>828841.1</v>
      </c>
      <c r="L159" s="1924">
        <f t="shared" si="106"/>
        <v>925279.7</v>
      </c>
      <c r="M159" s="1924">
        <f t="shared" si="107"/>
        <v>996289.5</v>
      </c>
      <c r="N159" s="1924">
        <v>700.4</v>
      </c>
      <c r="O159" s="2050">
        <f t="shared" si="108"/>
        <v>225272.1</v>
      </c>
      <c r="P159" s="2050">
        <f t="shared" si="109"/>
        <v>1054113.2</v>
      </c>
      <c r="Q159" s="2057" t="s">
        <v>288</v>
      </c>
      <c r="R159" s="2057" t="s">
        <v>288</v>
      </c>
      <c r="S159" s="2050">
        <v>0</v>
      </c>
      <c r="T159" s="1924">
        <v>17667.099999999999</v>
      </c>
      <c r="U159" s="1924">
        <v>822873.5</v>
      </c>
      <c r="V159" s="2050">
        <f t="shared" si="110"/>
        <v>840540.6</v>
      </c>
      <c r="W159" s="2050">
        <v>0</v>
      </c>
      <c r="X159" s="1924">
        <v>1578.7</v>
      </c>
      <c r="Y159" s="1924">
        <v>27443</v>
      </c>
      <c r="Z159" s="2050">
        <f t="shared" si="111"/>
        <v>29021.7</v>
      </c>
      <c r="AA159" s="2066">
        <v>16159.1</v>
      </c>
      <c r="AB159" s="2066">
        <v>140726.5</v>
      </c>
      <c r="AC159" s="2066">
        <v>16156.1</v>
      </c>
      <c r="AD159" s="2068">
        <f t="shared" si="112"/>
        <v>156882.6</v>
      </c>
      <c r="AE159" s="2050">
        <f t="shared" si="113"/>
        <v>16159.1</v>
      </c>
      <c r="AF159" s="2050">
        <f t="shared" si="113"/>
        <v>159972.29999999999</v>
      </c>
      <c r="AG159" s="2050">
        <f t="shared" si="113"/>
        <v>866472.6</v>
      </c>
      <c r="AH159" s="2050">
        <f t="shared" si="113"/>
        <v>1026444.8999999999</v>
      </c>
      <c r="AI159" s="1924">
        <v>10412.1</v>
      </c>
      <c r="AJ159" s="1924">
        <v>30791.5</v>
      </c>
      <c r="AK159" s="1924">
        <v>24820.6</v>
      </c>
      <c r="AL159" s="1924">
        <v>316</v>
      </c>
      <c r="AM159" s="1924">
        <f>996337-30.44</f>
        <v>996306.56</v>
      </c>
      <c r="AN159" s="1924">
        <v>7147.4</v>
      </c>
      <c r="AO159" s="2050">
        <f t="shared" si="114"/>
        <v>1003453.9600000001</v>
      </c>
      <c r="AP159" s="2050">
        <f t="shared" ref="AP159" si="126">0.065*AO157</f>
        <v>64662.529099999992</v>
      </c>
      <c r="AQ159" s="2050">
        <f t="shared" si="116"/>
        <v>6711.5709000000134</v>
      </c>
      <c r="AR159" s="1924">
        <v>71374.100000000006</v>
      </c>
      <c r="AS159" s="1924">
        <v>2529314</v>
      </c>
      <c r="AT159" s="2040">
        <f t="shared" si="121"/>
        <v>211550</v>
      </c>
      <c r="AU159" s="1924">
        <v>0</v>
      </c>
      <c r="AV159" s="1924">
        <v>9825.9</v>
      </c>
      <c r="AW159" s="1924">
        <v>4694</v>
      </c>
      <c r="AX159" s="1924">
        <v>139293.79999999999</v>
      </c>
      <c r="AY159" s="2050">
        <f t="shared" si="117"/>
        <v>153813.69999999998</v>
      </c>
      <c r="AZ159" s="1267">
        <v>-23.38</v>
      </c>
      <c r="BA159" s="1267">
        <v>5.31</v>
      </c>
      <c r="BB159" s="1267">
        <v>12.29</v>
      </c>
      <c r="BC159" s="1267">
        <v>8.26</v>
      </c>
      <c r="BD159" s="1267">
        <v>3.74</v>
      </c>
      <c r="BE159" s="1267" t="s">
        <v>288</v>
      </c>
      <c r="BF159" s="2051">
        <v>9973</v>
      </c>
      <c r="BG159" s="2051">
        <v>3721</v>
      </c>
      <c r="BH159" s="354"/>
      <c r="BI159" s="354"/>
      <c r="BJ159" s="354"/>
      <c r="BK159" s="1267">
        <f t="shared" si="122"/>
        <v>103.02500668067465</v>
      </c>
      <c r="BL159" s="1267">
        <f t="shared" si="123"/>
        <v>99.90038704502156</v>
      </c>
      <c r="BM159" s="1267">
        <f t="shared" si="124"/>
        <v>102.9223804271533</v>
      </c>
      <c r="BN159" s="1267">
        <f t="shared" si="125"/>
        <v>8.3726137465159312</v>
      </c>
      <c r="BO159" s="1267">
        <v>5</v>
      </c>
      <c r="BP159" s="1267">
        <v>5.3</v>
      </c>
      <c r="BQ159" s="1267">
        <v>9.6999999999999993</v>
      </c>
      <c r="BR159" s="1267">
        <f t="shared" si="118"/>
        <v>4.3999999999999995</v>
      </c>
      <c r="BS159" s="1267">
        <v>9.35</v>
      </c>
      <c r="BT159" s="1267">
        <v>11.98</v>
      </c>
      <c r="BU159" s="1267">
        <f t="shared" si="119"/>
        <v>2.6300000000000008</v>
      </c>
    </row>
    <row r="160" spans="1:73" s="154" customFormat="1" ht="9.9499999999999993" customHeight="1" x14ac:dyDescent="0.2">
      <c r="A160" s="160" t="s">
        <v>1296</v>
      </c>
      <c r="B160" s="236" t="s">
        <v>558</v>
      </c>
      <c r="C160" s="1922">
        <v>139370.29999999999</v>
      </c>
      <c r="D160" s="1922">
        <v>1526.7</v>
      </c>
      <c r="E160" s="1922">
        <f t="shared" si="104"/>
        <v>140897</v>
      </c>
      <c r="F160" s="1922">
        <v>12550.3</v>
      </c>
      <c r="G160" s="1922">
        <f t="shared" si="105"/>
        <v>128346.7</v>
      </c>
      <c r="H160" s="1922">
        <v>29297.1</v>
      </c>
      <c r="I160" s="1922">
        <v>74073.8</v>
      </c>
      <c r="J160" s="1922">
        <v>97967.9</v>
      </c>
      <c r="K160" s="1922">
        <v>832313.3</v>
      </c>
      <c r="L160" s="1922">
        <f t="shared" si="106"/>
        <v>930281.20000000007</v>
      </c>
      <c r="M160" s="1922">
        <f>I160+L160</f>
        <v>1004355.0000000001</v>
      </c>
      <c r="N160" s="1922">
        <v>840.3</v>
      </c>
      <c r="O160" s="1037">
        <f t="shared" si="108"/>
        <v>227154.89999999997</v>
      </c>
      <c r="P160" s="1037">
        <f t="shared" si="109"/>
        <v>1059468.2</v>
      </c>
      <c r="Q160" s="2056" t="s">
        <v>288</v>
      </c>
      <c r="R160" s="2056" t="s">
        <v>288</v>
      </c>
      <c r="S160" s="1037">
        <v>0</v>
      </c>
      <c r="T160" s="1922">
        <v>17793</v>
      </c>
      <c r="U160" s="1922">
        <v>832872.4</v>
      </c>
      <c r="V160" s="1037">
        <f t="shared" si="110"/>
        <v>850665.4</v>
      </c>
      <c r="W160" s="1037">
        <v>0</v>
      </c>
      <c r="X160" s="1922">
        <v>1642.8</v>
      </c>
      <c r="Y160" s="1922">
        <v>27439.599999999999</v>
      </c>
      <c r="Z160" s="1037">
        <f t="shared" si="111"/>
        <v>29082.399999999998</v>
      </c>
      <c r="AA160" s="2064">
        <v>15317.6</v>
      </c>
      <c r="AB160" s="2064">
        <v>140309.4</v>
      </c>
      <c r="AC160" s="2064">
        <v>16161.2</v>
      </c>
      <c r="AD160" s="2065">
        <f t="shared" si="112"/>
        <v>156470.6</v>
      </c>
      <c r="AE160" s="1037">
        <f t="shared" si="113"/>
        <v>15317.6</v>
      </c>
      <c r="AF160" s="1037">
        <f t="shared" si="113"/>
        <v>159745.19999999998</v>
      </c>
      <c r="AG160" s="1037">
        <f t="shared" si="113"/>
        <v>876473.2</v>
      </c>
      <c r="AH160" s="1037">
        <f t="shared" si="113"/>
        <v>1036218.4</v>
      </c>
      <c r="AI160" s="1922">
        <v>9351.4</v>
      </c>
      <c r="AJ160" s="1922">
        <v>30918.400000000001</v>
      </c>
      <c r="AK160" s="1922">
        <v>21324.400000000001</v>
      </c>
      <c r="AL160" s="1922">
        <v>49</v>
      </c>
      <c r="AM160" s="1922">
        <f>1004402.5-28.03</f>
        <v>1004374.47</v>
      </c>
      <c r="AN160" s="1922">
        <v>8735.5</v>
      </c>
      <c r="AO160" s="1037">
        <f>AM160+AN160</f>
        <v>1013109.97</v>
      </c>
      <c r="AP160" s="1037">
        <f>0.055*AO158</f>
        <v>55065.661749999999</v>
      </c>
      <c r="AQ160" s="1037">
        <f t="shared" si="116"/>
        <v>15578.038249999998</v>
      </c>
      <c r="AR160" s="1922">
        <v>70643.7</v>
      </c>
      <c r="AS160" s="1922">
        <v>2562406.7000000002</v>
      </c>
      <c r="AT160" s="2046">
        <f t="shared" si="121"/>
        <v>211540.7</v>
      </c>
      <c r="AU160" s="1922">
        <v>808.7</v>
      </c>
      <c r="AV160" s="1922">
        <v>9828.4</v>
      </c>
      <c r="AW160" s="1922">
        <v>3875</v>
      </c>
      <c r="AX160" s="1922">
        <v>138877.79999999999</v>
      </c>
      <c r="AY160" s="1037">
        <f t="shared" si="117"/>
        <v>153389.9</v>
      </c>
      <c r="AZ160" s="1289">
        <v>-26.41</v>
      </c>
      <c r="BA160" s="1289">
        <v>11.89</v>
      </c>
      <c r="BB160" s="1289">
        <v>13.59</v>
      </c>
      <c r="BC160" s="1289">
        <v>9.18</v>
      </c>
      <c r="BD160" s="1289">
        <v>4.2699999999999996</v>
      </c>
      <c r="BE160" s="1289" t="s">
        <v>288</v>
      </c>
      <c r="BF160" s="2047">
        <v>9975</v>
      </c>
      <c r="BG160" s="2047">
        <v>3721</v>
      </c>
      <c r="BH160" s="354"/>
      <c r="BI160" s="354"/>
      <c r="BJ160" s="354"/>
      <c r="BK160" s="1289">
        <f t="shared" si="122"/>
        <v>103.17052363945491</v>
      </c>
      <c r="BL160" s="1289">
        <f t="shared" si="123"/>
        <v>100.68916992481202</v>
      </c>
      <c r="BM160" s="1289">
        <f t="shared" si="124"/>
        <v>103.88154385964913</v>
      </c>
      <c r="BN160" s="1289">
        <f t="shared" si="125"/>
        <v>8.2831655408365759</v>
      </c>
      <c r="BO160" s="1289">
        <v>5</v>
      </c>
      <c r="BP160" s="1289">
        <v>5.43</v>
      </c>
      <c r="BQ160" s="1289">
        <v>9.89</v>
      </c>
      <c r="BR160" s="1289">
        <f t="shared" si="118"/>
        <v>4.4600000000000009</v>
      </c>
      <c r="BS160" s="1289">
        <v>9.7200000000000006</v>
      </c>
      <c r="BT160" s="1289">
        <v>12.12</v>
      </c>
      <c r="BU160" s="1289">
        <f t="shared" si="119"/>
        <v>2.3999999999999986</v>
      </c>
    </row>
    <row r="161" spans="1:73" s="154" customFormat="1" ht="9.9499999999999993" customHeight="1" x14ac:dyDescent="0.2">
      <c r="A161" s="160" t="s">
        <v>1296</v>
      </c>
      <c r="B161" s="275" t="s">
        <v>559</v>
      </c>
      <c r="C161" s="1924">
        <v>145099.20000000001</v>
      </c>
      <c r="D161" s="1924">
        <v>1528.4</v>
      </c>
      <c r="E161" s="1924">
        <f t="shared" si="104"/>
        <v>146627.6</v>
      </c>
      <c r="F161" s="1924">
        <v>13183.7</v>
      </c>
      <c r="G161" s="1924">
        <f t="shared" si="105"/>
        <v>133443.9</v>
      </c>
      <c r="H161" s="1924">
        <v>29795.8</v>
      </c>
      <c r="I161" s="1924">
        <v>73451.5</v>
      </c>
      <c r="J161" s="1924">
        <v>99762.9</v>
      </c>
      <c r="K161" s="1924">
        <v>844438.9</v>
      </c>
      <c r="L161" s="1924">
        <f t="shared" si="106"/>
        <v>944201.8</v>
      </c>
      <c r="M161" s="1924">
        <f>I161+L161</f>
        <v>1017653.3</v>
      </c>
      <c r="N161" s="1924">
        <v>652.4</v>
      </c>
      <c r="O161" s="2050">
        <f t="shared" si="108"/>
        <v>233859.19999999998</v>
      </c>
      <c r="P161" s="2050">
        <f t="shared" si="109"/>
        <v>1078298.1000000001</v>
      </c>
      <c r="Q161" s="2057" t="s">
        <v>288</v>
      </c>
      <c r="R161" s="2057" t="s">
        <v>288</v>
      </c>
      <c r="S161" s="2050">
        <v>0</v>
      </c>
      <c r="T161" s="1924">
        <v>18898.599999999999</v>
      </c>
      <c r="U161" s="1924">
        <v>843077.4</v>
      </c>
      <c r="V161" s="2050">
        <f t="shared" si="110"/>
        <v>861976</v>
      </c>
      <c r="W161" s="2050">
        <v>0</v>
      </c>
      <c r="X161" s="1924">
        <v>1600.4</v>
      </c>
      <c r="Y161" s="1924">
        <v>27664</v>
      </c>
      <c r="Z161" s="2050">
        <f t="shared" si="111"/>
        <v>29264.400000000001</v>
      </c>
      <c r="AA161" s="2066">
        <v>16592.8</v>
      </c>
      <c r="AB161" s="2066">
        <v>144808.29999999999</v>
      </c>
      <c r="AC161" s="2066">
        <v>16590.8</v>
      </c>
      <c r="AD161" s="2068">
        <f t="shared" si="112"/>
        <v>161399.09999999998</v>
      </c>
      <c r="AE161" s="2050">
        <f t="shared" si="113"/>
        <v>16592.8</v>
      </c>
      <c r="AF161" s="2050">
        <f t="shared" si="113"/>
        <v>165307.29999999999</v>
      </c>
      <c r="AG161" s="2050">
        <f t="shared" si="113"/>
        <v>887332.20000000007</v>
      </c>
      <c r="AH161" s="2050">
        <f t="shared" si="113"/>
        <v>1052639.5</v>
      </c>
      <c r="AI161" s="1924">
        <v>10337.5</v>
      </c>
      <c r="AJ161" s="1924">
        <v>31698.6</v>
      </c>
      <c r="AK161" s="1924">
        <v>23354.6</v>
      </c>
      <c r="AL161" s="1924">
        <v>140.69999999999999</v>
      </c>
      <c r="AM161" s="1924">
        <f>1017700.8-27.7</f>
        <v>1017673.1000000001</v>
      </c>
      <c r="AN161" s="1924">
        <v>8388.9</v>
      </c>
      <c r="AO161" s="2050">
        <f>AM161+AN161</f>
        <v>1026062.0000000001</v>
      </c>
      <c r="AP161" s="2050">
        <f>0.055*AO159</f>
        <v>55189.967800000006</v>
      </c>
      <c r="AQ161" s="2050">
        <f t="shared" si="116"/>
        <v>8571.6321999999927</v>
      </c>
      <c r="AR161" s="1924">
        <v>63761.599999999999</v>
      </c>
      <c r="AS161" s="1924">
        <v>2607208.9</v>
      </c>
      <c r="AT161" s="2040">
        <f t="shared" si="121"/>
        <v>210389.2</v>
      </c>
      <c r="AU161" s="1924">
        <v>377.4</v>
      </c>
      <c r="AV161" s="1924">
        <v>9488.7000000000007</v>
      </c>
      <c r="AW161" s="1924">
        <v>4508.6000000000004</v>
      </c>
      <c r="AX161" s="1924">
        <v>143376.79999999999</v>
      </c>
      <c r="AY161" s="2050">
        <f t="shared" si="117"/>
        <v>157751.5</v>
      </c>
      <c r="AZ161" s="1267">
        <v>-21.2</v>
      </c>
      <c r="BA161" s="1267">
        <v>14.62</v>
      </c>
      <c r="BB161" s="1267">
        <v>14.99</v>
      </c>
      <c r="BC161" s="1267">
        <v>11.03</v>
      </c>
      <c r="BD161" s="1267">
        <v>6.12</v>
      </c>
      <c r="BE161" s="1267" t="s">
        <v>288</v>
      </c>
      <c r="BF161" s="2051">
        <v>9981</v>
      </c>
      <c r="BG161" s="2051">
        <v>3721</v>
      </c>
      <c r="BH161" s="354"/>
      <c r="BI161" s="354"/>
      <c r="BJ161" s="354"/>
      <c r="BK161" s="1267">
        <f t="shared" si="122"/>
        <v>103.43591670055933</v>
      </c>
      <c r="BL161" s="1267">
        <f t="shared" si="123"/>
        <v>101.96103596833986</v>
      </c>
      <c r="BM161" s="1267">
        <f t="shared" si="124"/>
        <v>105.46433223123935</v>
      </c>
      <c r="BN161" s="1267">
        <f t="shared" si="125"/>
        <v>7.5609053634217123</v>
      </c>
      <c r="BO161" s="1267">
        <v>5</v>
      </c>
      <c r="BP161" s="1267">
        <v>5.51</v>
      </c>
      <c r="BQ161" s="1267">
        <v>9.9600000000000009</v>
      </c>
      <c r="BR161" s="1267">
        <f t="shared" si="118"/>
        <v>4.4500000000000011</v>
      </c>
      <c r="BS161" s="1267">
        <v>9.99</v>
      </c>
      <c r="BT161" s="1267">
        <v>12.53</v>
      </c>
      <c r="BU161" s="1267">
        <f t="shared" si="119"/>
        <v>2.5399999999999991</v>
      </c>
    </row>
    <row r="162" spans="1:73" s="154" customFormat="1" ht="9.9499999999999993" customHeight="1" x14ac:dyDescent="0.2">
      <c r="A162" s="160" t="s">
        <v>1296</v>
      </c>
      <c r="B162" s="236" t="s">
        <v>550</v>
      </c>
      <c r="C162" s="1922">
        <v>153411.20000000001</v>
      </c>
      <c r="D162" s="1922">
        <v>1529.3</v>
      </c>
      <c r="E162" s="1922">
        <f t="shared" si="104"/>
        <v>154940.5</v>
      </c>
      <c r="F162" s="1922">
        <v>14023</v>
      </c>
      <c r="G162" s="1922">
        <f t="shared" si="105"/>
        <v>140917.5</v>
      </c>
      <c r="H162" s="1922">
        <v>33411</v>
      </c>
      <c r="I162" s="1922">
        <v>75790.3</v>
      </c>
      <c r="J162" s="1922">
        <v>113217.1</v>
      </c>
      <c r="K162" s="1922">
        <v>855087.3</v>
      </c>
      <c r="L162" s="1922">
        <f>J162+K162</f>
        <v>968304.4</v>
      </c>
      <c r="M162" s="1922">
        <f>I162+L162</f>
        <v>1044094.7000000001</v>
      </c>
      <c r="N162" s="1922">
        <v>759.1</v>
      </c>
      <c r="O162" s="1037">
        <f t="shared" si="108"/>
        <v>254893.7</v>
      </c>
      <c r="P162" s="1037">
        <f t="shared" si="109"/>
        <v>1109981</v>
      </c>
      <c r="Q162" s="2056" t="s">
        <v>288</v>
      </c>
      <c r="R162" s="2056" t="s">
        <v>288</v>
      </c>
      <c r="S162" s="1037">
        <v>0</v>
      </c>
      <c r="T162" s="1922">
        <v>18543.400000000001</v>
      </c>
      <c r="U162" s="1922">
        <v>859131.1</v>
      </c>
      <c r="V162" s="1037">
        <f t="shared" si="110"/>
        <v>877674.5</v>
      </c>
      <c r="W162" s="1037">
        <v>0</v>
      </c>
      <c r="X162" s="1922">
        <v>1666.1</v>
      </c>
      <c r="Y162" s="1922">
        <v>26533.1</v>
      </c>
      <c r="Z162" s="1037">
        <f t="shared" si="111"/>
        <v>28199.199999999997</v>
      </c>
      <c r="AA162" s="2064">
        <v>17367.400000000001</v>
      </c>
      <c r="AB162" s="2064">
        <v>152836.79999999999</v>
      </c>
      <c r="AC162" s="2064">
        <v>16721.3</v>
      </c>
      <c r="AD162" s="2065">
        <f t="shared" si="112"/>
        <v>169558.09999999998</v>
      </c>
      <c r="AE162" s="1037">
        <f t="shared" si="113"/>
        <v>17367.400000000001</v>
      </c>
      <c r="AF162" s="1037">
        <f t="shared" si="113"/>
        <v>173046.3</v>
      </c>
      <c r="AG162" s="1037">
        <f t="shared" si="113"/>
        <v>902385.5</v>
      </c>
      <c r="AH162" s="1037">
        <f t="shared" si="113"/>
        <v>1075431.7999999998</v>
      </c>
      <c r="AI162" s="1922">
        <v>9988.7999999999993</v>
      </c>
      <c r="AJ162" s="1922">
        <v>32329.9</v>
      </c>
      <c r="AK162" s="1922">
        <v>25777.8</v>
      </c>
      <c r="AL162" s="1922">
        <v>59.2</v>
      </c>
      <c r="AM162" s="1922">
        <f>1044142.5-29.04</f>
        <v>1044113.46</v>
      </c>
      <c r="AN162" s="1922">
        <v>7577.6</v>
      </c>
      <c r="AO162" s="1037">
        <f>AM162+AN162</f>
        <v>1051691.06</v>
      </c>
      <c r="AP162" s="1037">
        <f>0.055*AO160</f>
        <v>55721.048349999997</v>
      </c>
      <c r="AQ162" s="1037">
        <f t="shared" si="116"/>
        <v>22322.351649999997</v>
      </c>
      <c r="AR162" s="1922">
        <v>78043.399999999994</v>
      </c>
      <c r="AS162" s="1922">
        <v>2680520.5</v>
      </c>
      <c r="AT162" s="2046">
        <f t="shared" si="121"/>
        <v>232983.9</v>
      </c>
      <c r="AU162" s="1922">
        <v>4000</v>
      </c>
      <c r="AV162" s="1922">
        <v>17878.900000000001</v>
      </c>
      <c r="AW162" s="1922">
        <v>4818</v>
      </c>
      <c r="AX162" s="1922">
        <v>151396</v>
      </c>
      <c r="AY162" s="1037">
        <f t="shared" si="117"/>
        <v>178092.9</v>
      </c>
      <c r="AZ162" s="1289">
        <v>-2.5099999999999998</v>
      </c>
      <c r="BA162" s="1289">
        <v>11.11</v>
      </c>
      <c r="BB162" s="1289">
        <v>16.940000000000001</v>
      </c>
      <c r="BC162" s="1289">
        <v>14.71</v>
      </c>
      <c r="BD162" s="1289">
        <v>9.24</v>
      </c>
      <c r="BE162" s="1289" t="s">
        <v>288</v>
      </c>
      <c r="BF162" s="2047">
        <v>10114</v>
      </c>
      <c r="BG162" s="2047">
        <v>3741</v>
      </c>
      <c r="BH162" s="354"/>
      <c r="BI162" s="354"/>
      <c r="BJ162" s="354"/>
      <c r="BK162" s="1289">
        <f t="shared" si="122"/>
        <v>102.99951501439315</v>
      </c>
      <c r="BL162" s="1289">
        <f t="shared" si="123"/>
        <v>103.23447300771208</v>
      </c>
      <c r="BM162" s="1289">
        <f t="shared" si="124"/>
        <v>106.33100652560805</v>
      </c>
      <c r="BN162" s="1289">
        <f t="shared" si="125"/>
        <v>8.8176624023216785</v>
      </c>
      <c r="BO162" s="1289">
        <v>5</v>
      </c>
      <c r="BP162" s="1289">
        <v>5.5</v>
      </c>
      <c r="BQ162" s="1289">
        <v>9.9499999999999993</v>
      </c>
      <c r="BR162" s="1289">
        <f t="shared" si="118"/>
        <v>4.4499999999999993</v>
      </c>
      <c r="BS162" s="1289">
        <v>10.14</v>
      </c>
      <c r="BT162" s="1289">
        <v>12.67</v>
      </c>
      <c r="BU162" s="1289">
        <f t="shared" si="119"/>
        <v>2.5299999999999994</v>
      </c>
    </row>
    <row r="163" spans="1:73" s="154" customFormat="1" ht="9.9499999999999993" customHeight="1" x14ac:dyDescent="0.2">
      <c r="A163" s="160" t="s">
        <v>1404</v>
      </c>
      <c r="B163" s="275" t="s">
        <v>552</v>
      </c>
      <c r="C163" s="1922">
        <v>149492.79999999999</v>
      </c>
      <c r="D163" s="1922">
        <v>1527</v>
      </c>
      <c r="E163" s="1922">
        <f t="shared" ref="E163:E174" si="127">C163+D163</f>
        <v>151019.79999999999</v>
      </c>
      <c r="F163" s="1922">
        <v>13317.5</v>
      </c>
      <c r="G163" s="1922">
        <f t="shared" ref="G163:G174" si="128">E163-F163</f>
        <v>137702.29999999999</v>
      </c>
      <c r="H163" s="1922">
        <v>30503.1</v>
      </c>
      <c r="I163" s="1922">
        <v>70875.7</v>
      </c>
      <c r="J163" s="1922">
        <v>106870.3</v>
      </c>
      <c r="K163" s="1922">
        <v>860756.6</v>
      </c>
      <c r="L163" s="1922">
        <f t="shared" ref="L163:L174" si="129">J163+K163</f>
        <v>967626.9</v>
      </c>
      <c r="M163" s="1922">
        <f t="shared" ref="M163:M174" si="130">I163+L163</f>
        <v>1038502.6</v>
      </c>
      <c r="N163" s="1922">
        <v>831.5</v>
      </c>
      <c r="O163" s="1922">
        <v>221267.9</v>
      </c>
      <c r="P163" s="1922">
        <f t="shared" ref="P163:P174" si="131">G163+J163+N163</f>
        <v>245404.09999999998</v>
      </c>
      <c r="Q163" s="1922">
        <f t="shared" ref="Q163:Q174" si="132">K163+P163</f>
        <v>1106160.7</v>
      </c>
      <c r="R163" s="2056">
        <v>1374690.5</v>
      </c>
      <c r="S163" s="1037">
        <v>0</v>
      </c>
      <c r="T163" s="1922">
        <v>19059.3</v>
      </c>
      <c r="U163" s="1922">
        <v>854121.1</v>
      </c>
      <c r="V163" s="1922">
        <f t="shared" ref="V163:V174" si="133">T163+U163</f>
        <v>873180.4</v>
      </c>
      <c r="W163" s="1037">
        <v>0</v>
      </c>
      <c r="X163" s="1922">
        <v>1765.2</v>
      </c>
      <c r="Y163" s="1922">
        <v>25493.3</v>
      </c>
      <c r="Z163" s="1922">
        <f t="shared" ref="Z163:Z174" si="134">X163+Y163</f>
        <v>27258.5</v>
      </c>
      <c r="AA163" s="2064">
        <v>16928.099999999999</v>
      </c>
      <c r="AB163" s="2064">
        <v>159910.70000000001</v>
      </c>
      <c r="AC163" s="2064">
        <v>16754.3</v>
      </c>
      <c r="AD163" s="2064">
        <f t="shared" ref="AD163:AD174" si="135">AB163+AC163</f>
        <v>176665</v>
      </c>
      <c r="AE163" s="2064">
        <f t="shared" ref="AE163:AH174" si="136">S163+W163+AA163</f>
        <v>16928.099999999999</v>
      </c>
      <c r="AF163" s="2064">
        <f t="shared" si="136"/>
        <v>180735.2</v>
      </c>
      <c r="AG163" s="2064">
        <f t="shared" si="136"/>
        <v>896368.70000000007</v>
      </c>
      <c r="AH163" s="2064">
        <f t="shared" si="136"/>
        <v>1077103.8999999999</v>
      </c>
      <c r="AI163" s="1922">
        <v>9546.6</v>
      </c>
      <c r="AJ163" s="1922">
        <v>32179.5</v>
      </c>
      <c r="AK163" s="1922">
        <v>24307.9</v>
      </c>
      <c r="AL163" s="1922">
        <v>57.3</v>
      </c>
      <c r="AM163" s="1922">
        <f>1038550.5-28.02</f>
        <v>1038522.48</v>
      </c>
      <c r="AN163" s="1922">
        <v>7473.5</v>
      </c>
      <c r="AO163" s="1922">
        <f t="shared" ref="AO163:AO174" si="137">AM163+AN163</f>
        <v>1045995.98</v>
      </c>
      <c r="AP163" s="1922" t="e">
        <f>0.055*#REF!</f>
        <v>#REF!</v>
      </c>
      <c r="AQ163" s="1922" t="e">
        <f t="shared" ref="AQ163:AQ174" si="138">AR163-AP163</f>
        <v>#REF!</v>
      </c>
      <c r="AR163" s="1922">
        <f>69416.6-0.99</f>
        <v>69415.61</v>
      </c>
      <c r="AS163" s="1922">
        <v>2714235.3</v>
      </c>
      <c r="AT163" s="1922">
        <f t="shared" si="121"/>
        <v>220435.40999999997</v>
      </c>
      <c r="AU163" s="1922">
        <v>0</v>
      </c>
      <c r="AV163" s="1922">
        <v>14845.9</v>
      </c>
      <c r="AW163" s="1922">
        <v>5138</v>
      </c>
      <c r="AX163" s="1922">
        <v>158469.4</v>
      </c>
      <c r="AY163" s="1922">
        <f t="shared" ref="AY163:AY174" si="139">AX163+AW163+AV163+AU163</f>
        <v>178453.3</v>
      </c>
      <c r="AZ163" s="1289">
        <v>2.41</v>
      </c>
      <c r="BA163" s="1289">
        <v>1.48</v>
      </c>
      <c r="BB163" s="1289">
        <v>-0.67</v>
      </c>
      <c r="BC163" s="1289">
        <v>-0.34</v>
      </c>
      <c r="BD163" s="1289">
        <v>-0.34</v>
      </c>
      <c r="BE163" s="1289" t="s">
        <v>288</v>
      </c>
      <c r="BF163" s="2047">
        <v>10131</v>
      </c>
      <c r="BG163" s="2047">
        <v>3741</v>
      </c>
      <c r="BH163" s="2070"/>
      <c r="BI163" s="2070"/>
      <c r="BJ163" s="2070"/>
      <c r="BK163" s="1289">
        <f t="shared" si="122"/>
        <v>103.71502983738974</v>
      </c>
      <c r="BL163" s="1289">
        <f t="shared" si="123"/>
        <v>102.50937518507551</v>
      </c>
      <c r="BM163" s="1289">
        <f t="shared" si="124"/>
        <v>106.31762905932285</v>
      </c>
      <c r="BN163" s="1289">
        <f t="shared" si="125"/>
        <v>7.9664245688740403</v>
      </c>
      <c r="BO163" s="1289">
        <v>5</v>
      </c>
      <c r="BP163" s="1289">
        <v>5.4</v>
      </c>
      <c r="BQ163" s="1289">
        <v>9.7100000000000009</v>
      </c>
      <c r="BR163" s="1289">
        <f t="shared" ref="BR163:BR174" si="140">BQ163-BP163</f>
        <v>4.3100000000000005</v>
      </c>
      <c r="BS163" s="1289">
        <v>10.0946338</v>
      </c>
      <c r="BT163" s="1289">
        <v>12.848167699999999</v>
      </c>
      <c r="BU163" s="1289">
        <f t="shared" ref="BU163:BU174" si="141">BT163-BS163</f>
        <v>2.753533899999999</v>
      </c>
    </row>
    <row r="164" spans="1:73" s="154" customFormat="1" ht="9.9499999999999993" customHeight="1" x14ac:dyDescent="0.2">
      <c r="A164" s="160" t="s">
        <v>1404</v>
      </c>
      <c r="B164" s="236" t="s">
        <v>553</v>
      </c>
      <c r="C164" s="1924">
        <v>166059.1</v>
      </c>
      <c r="D164" s="1924">
        <v>1527.6</v>
      </c>
      <c r="E164" s="1924">
        <f t="shared" si="127"/>
        <v>167586.70000000001</v>
      </c>
      <c r="F164" s="1924">
        <v>14192.1</v>
      </c>
      <c r="G164" s="1924">
        <f t="shared" si="128"/>
        <v>153394.6</v>
      </c>
      <c r="H164" s="1924">
        <v>31471.8</v>
      </c>
      <c r="I164" s="1924">
        <v>71608</v>
      </c>
      <c r="J164" s="1924">
        <v>103018.3</v>
      </c>
      <c r="K164" s="1924">
        <v>866797.8</v>
      </c>
      <c r="L164" s="1924">
        <f t="shared" si="129"/>
        <v>969816.10000000009</v>
      </c>
      <c r="M164" s="1924">
        <f t="shared" si="130"/>
        <v>1041424.1000000001</v>
      </c>
      <c r="N164" s="1924">
        <v>743.6</v>
      </c>
      <c r="O164" s="1924">
        <v>234370.80000000002</v>
      </c>
      <c r="P164" s="1924">
        <f t="shared" si="131"/>
        <v>257156.50000000003</v>
      </c>
      <c r="Q164" s="1924">
        <f t="shared" si="132"/>
        <v>1123954.3</v>
      </c>
      <c r="R164" s="1924">
        <v>1396923.4000000001</v>
      </c>
      <c r="S164" s="2050">
        <v>0</v>
      </c>
      <c r="T164" s="1924">
        <v>18699.599999999999</v>
      </c>
      <c r="U164" s="1924">
        <v>862163.9</v>
      </c>
      <c r="V164" s="1924">
        <f t="shared" si="133"/>
        <v>880863.5</v>
      </c>
      <c r="W164" s="2050">
        <v>0</v>
      </c>
      <c r="X164" s="1924">
        <v>1983.3</v>
      </c>
      <c r="Y164" s="1924">
        <v>26084.799999999999</v>
      </c>
      <c r="Z164" s="1924">
        <f t="shared" si="134"/>
        <v>28068.1</v>
      </c>
      <c r="AA164" s="2066">
        <v>18768.099999999999</v>
      </c>
      <c r="AB164" s="2066">
        <v>158847.9</v>
      </c>
      <c r="AC164" s="2066">
        <v>16866.5</v>
      </c>
      <c r="AD164" s="2066">
        <f t="shared" si="135"/>
        <v>175714.4</v>
      </c>
      <c r="AE164" s="2066">
        <f t="shared" si="136"/>
        <v>18768.099999999999</v>
      </c>
      <c r="AF164" s="2066">
        <f t="shared" si="136"/>
        <v>179530.8</v>
      </c>
      <c r="AG164" s="2066">
        <f t="shared" si="136"/>
        <v>905115.20000000007</v>
      </c>
      <c r="AH164" s="2066">
        <f t="shared" si="136"/>
        <v>1084646</v>
      </c>
      <c r="AI164" s="1924">
        <v>8148.7</v>
      </c>
      <c r="AJ164" s="1924">
        <v>31895.5</v>
      </c>
      <c r="AK164" s="1924">
        <v>31233.599999999999</v>
      </c>
      <c r="AL164" s="1924">
        <v>46.3</v>
      </c>
      <c r="AM164" s="1924">
        <f>1041472-27.72</f>
        <v>1041444.28</v>
      </c>
      <c r="AN164" s="1924">
        <v>9970.2999999999993</v>
      </c>
      <c r="AO164" s="1924">
        <f t="shared" si="137"/>
        <v>1051414.58</v>
      </c>
      <c r="AP164" s="1924" t="e">
        <f>0.055*#REF!</f>
        <v>#REF!</v>
      </c>
      <c r="AQ164" s="1924" t="e">
        <f t="shared" si="138"/>
        <v>#REF!</v>
      </c>
      <c r="AR164" s="1924">
        <f>66040.5-0.66</f>
        <v>66039.839999999997</v>
      </c>
      <c r="AS164" s="1924">
        <v>2758949.3</v>
      </c>
      <c r="AT164" s="1924">
        <f t="shared" si="121"/>
        <v>233626.54</v>
      </c>
      <c r="AU164" s="1924">
        <v>3988.8</v>
      </c>
      <c r="AV164" s="1924">
        <v>14888.3</v>
      </c>
      <c r="AW164" s="1924">
        <v>5056.2</v>
      </c>
      <c r="AX164" s="1924">
        <v>157407.70000000001</v>
      </c>
      <c r="AY164" s="1924">
        <f t="shared" si="139"/>
        <v>181341</v>
      </c>
      <c r="AZ164" s="1267">
        <v>7.16</v>
      </c>
      <c r="BA164" s="1267">
        <v>1.18</v>
      </c>
      <c r="BB164" s="1267">
        <v>0.28999999999999998</v>
      </c>
      <c r="BC164" s="1267">
        <v>0.95</v>
      </c>
      <c r="BD164" s="1267">
        <v>1.26</v>
      </c>
      <c r="BE164" s="1267" t="s">
        <v>288</v>
      </c>
      <c r="BF164" s="2051">
        <v>10143</v>
      </c>
      <c r="BG164" s="2051">
        <v>3741</v>
      </c>
      <c r="BH164" s="2070"/>
      <c r="BI164" s="2070"/>
      <c r="BJ164" s="2070"/>
      <c r="BK164" s="1267">
        <f t="shared" si="122"/>
        <v>104.14825073502732</v>
      </c>
      <c r="BL164" s="1267">
        <f t="shared" si="123"/>
        <v>102.67615892733906</v>
      </c>
      <c r="BM164" s="1267">
        <f t="shared" si="124"/>
        <v>106.93542344474021</v>
      </c>
      <c r="BN164" s="1267">
        <f t="shared" si="125"/>
        <v>7.7039109571949442</v>
      </c>
      <c r="BO164" s="1267">
        <v>5</v>
      </c>
      <c r="BP164" s="1267">
        <v>5.36</v>
      </c>
      <c r="BQ164" s="1267">
        <v>9.6300000000000008</v>
      </c>
      <c r="BR164" s="1267">
        <f t="shared" si="140"/>
        <v>4.2700000000000005</v>
      </c>
      <c r="BS164" s="1267">
        <v>9.98</v>
      </c>
      <c r="BT164" s="1267">
        <v>12.86</v>
      </c>
      <c r="BU164" s="1267">
        <f t="shared" si="141"/>
        <v>2.879999999999999</v>
      </c>
    </row>
    <row r="165" spans="1:73" s="154" customFormat="1" ht="9.9499999999999993" customHeight="1" x14ac:dyDescent="0.2">
      <c r="A165" s="160" t="s">
        <v>1404</v>
      </c>
      <c r="B165" s="275" t="s">
        <v>547</v>
      </c>
      <c r="C165" s="1922">
        <v>153996</v>
      </c>
      <c r="D165" s="1922">
        <v>1525.4</v>
      </c>
      <c r="E165" s="1922">
        <f t="shared" si="127"/>
        <v>155521.4</v>
      </c>
      <c r="F165" s="1922">
        <v>14502.5</v>
      </c>
      <c r="G165" s="1922">
        <f t="shared" si="128"/>
        <v>141018.9</v>
      </c>
      <c r="H165" s="1922">
        <v>30922.9</v>
      </c>
      <c r="I165" s="1922">
        <v>71586.899999999994</v>
      </c>
      <c r="J165" s="1922">
        <v>103162.1</v>
      </c>
      <c r="K165" s="1922">
        <v>873958.6</v>
      </c>
      <c r="L165" s="1922">
        <f t="shared" si="129"/>
        <v>977120.7</v>
      </c>
      <c r="M165" s="1922">
        <f t="shared" si="130"/>
        <v>1048707.5999999999</v>
      </c>
      <c r="N165" s="1922">
        <v>755</v>
      </c>
      <c r="O165" s="1922">
        <v>228487.2</v>
      </c>
      <c r="P165" s="1922">
        <f t="shared" si="131"/>
        <v>244936</v>
      </c>
      <c r="Q165" s="1922">
        <f t="shared" si="132"/>
        <v>1118894.6000000001</v>
      </c>
      <c r="R165" s="1922">
        <v>1396812.1</v>
      </c>
      <c r="S165" s="1037">
        <v>0</v>
      </c>
      <c r="T165" s="1922">
        <v>18624.400000000001</v>
      </c>
      <c r="U165" s="1922">
        <v>872385</v>
      </c>
      <c r="V165" s="1922">
        <f t="shared" si="133"/>
        <v>891009.4</v>
      </c>
      <c r="W165" s="1037">
        <v>0</v>
      </c>
      <c r="X165" s="1922">
        <v>1875.1</v>
      </c>
      <c r="Y165" s="1922">
        <v>24361.4</v>
      </c>
      <c r="Z165" s="1922">
        <f t="shared" si="134"/>
        <v>26236.5</v>
      </c>
      <c r="AA165" s="2064">
        <v>18777.5</v>
      </c>
      <c r="AB165" s="2064">
        <v>160233.70000000001</v>
      </c>
      <c r="AC165" s="2064">
        <v>16995.900000000001</v>
      </c>
      <c r="AD165" s="2064">
        <f t="shared" si="135"/>
        <v>177229.6</v>
      </c>
      <c r="AE165" s="2064">
        <f t="shared" si="136"/>
        <v>18777.5</v>
      </c>
      <c r="AF165" s="2064">
        <f t="shared" si="136"/>
        <v>180733.2</v>
      </c>
      <c r="AG165" s="2064">
        <f t="shared" si="136"/>
        <v>913742.3</v>
      </c>
      <c r="AH165" s="2064">
        <f t="shared" si="136"/>
        <v>1094475.5</v>
      </c>
      <c r="AI165" s="1922">
        <v>8587.4</v>
      </c>
      <c r="AJ165" s="1922">
        <v>31971</v>
      </c>
      <c r="AK165" s="1922">
        <v>28484.9</v>
      </c>
      <c r="AL165" s="1922">
        <v>52.9</v>
      </c>
      <c r="AM165" s="1922">
        <f>1048755.5-14.3</f>
        <v>1048741.2</v>
      </c>
      <c r="AN165" s="1922">
        <v>8118.6</v>
      </c>
      <c r="AO165" s="1922">
        <f t="shared" si="137"/>
        <v>1056859.8</v>
      </c>
      <c r="AP165" s="1922">
        <f>0.055*AO163</f>
        <v>57529.778899999998</v>
      </c>
      <c r="AQ165" s="1922">
        <f t="shared" si="138"/>
        <v>14680.361100000002</v>
      </c>
      <c r="AR165" s="1922">
        <f>72210.8-0.66</f>
        <v>72210.14</v>
      </c>
      <c r="AS165" s="1922">
        <v>2779139.5</v>
      </c>
      <c r="AT165" s="1922">
        <f t="shared" si="121"/>
        <v>227731.53999999998</v>
      </c>
      <c r="AU165" s="1922">
        <v>0</v>
      </c>
      <c r="AV165" s="1922">
        <v>14375</v>
      </c>
      <c r="AW165" s="1922">
        <v>4661.7</v>
      </c>
      <c r="AX165" s="1922">
        <v>158802.4</v>
      </c>
      <c r="AY165" s="1922">
        <f t="shared" si="139"/>
        <v>177839.1</v>
      </c>
      <c r="AZ165" s="1289">
        <v>0.84</v>
      </c>
      <c r="BA165" s="1289">
        <v>2.25</v>
      </c>
      <c r="BB165" s="1289">
        <v>1.24</v>
      </c>
      <c r="BC165" s="1289">
        <v>1.22</v>
      </c>
      <c r="BD165" s="1289">
        <v>0.8</v>
      </c>
      <c r="BE165" s="1289" t="s">
        <v>288</v>
      </c>
      <c r="BF165" s="2047">
        <v>10159</v>
      </c>
      <c r="BG165" s="2047">
        <v>3743</v>
      </c>
      <c r="BH165" s="2070"/>
      <c r="BI165" s="2070"/>
      <c r="BJ165" s="2070"/>
      <c r="BK165" s="1289">
        <f t="shared" si="122"/>
        <v>104.36087568601292</v>
      </c>
      <c r="BL165" s="1289">
        <f t="shared" si="123"/>
        <v>103.23271975588148</v>
      </c>
      <c r="BM165" s="1289">
        <f t="shared" si="124"/>
        <v>107.73457033172556</v>
      </c>
      <c r="BN165" s="1289">
        <f t="shared" si="125"/>
        <v>8.2682591281814801</v>
      </c>
      <c r="BO165" s="1289">
        <v>5</v>
      </c>
      <c r="BP165" s="1289">
        <v>5.27</v>
      </c>
      <c r="BQ165" s="1289">
        <v>9.5399999999999991</v>
      </c>
      <c r="BR165" s="1289">
        <f t="shared" si="140"/>
        <v>4.2699999999999996</v>
      </c>
      <c r="BS165" s="1289">
        <v>9.8800000000000008</v>
      </c>
      <c r="BT165" s="1289">
        <v>12.79</v>
      </c>
      <c r="BU165" s="1289">
        <f t="shared" si="141"/>
        <v>2.9099999999999984</v>
      </c>
    </row>
    <row r="166" spans="1:73" s="154" customFormat="1" ht="9.9499999999999993" customHeight="1" x14ac:dyDescent="0.2">
      <c r="A166" s="160" t="s">
        <v>1404</v>
      </c>
      <c r="B166" s="236" t="s">
        <v>554</v>
      </c>
      <c r="C166" s="1924">
        <v>150900.6</v>
      </c>
      <c r="D166" s="1924">
        <v>1523.6</v>
      </c>
      <c r="E166" s="1924">
        <f t="shared" si="127"/>
        <v>152424.20000000001</v>
      </c>
      <c r="F166" s="1924">
        <v>13346.1</v>
      </c>
      <c r="G166" s="1924">
        <f t="shared" si="128"/>
        <v>139078.1</v>
      </c>
      <c r="H166" s="1924">
        <v>32478.1</v>
      </c>
      <c r="I166" s="1924">
        <v>75151.100000000006</v>
      </c>
      <c r="J166" s="1924">
        <v>104949.5</v>
      </c>
      <c r="K166" s="1924">
        <v>881083.1</v>
      </c>
      <c r="L166" s="1924">
        <f t="shared" si="129"/>
        <v>986032.6</v>
      </c>
      <c r="M166" s="1924">
        <f t="shared" si="130"/>
        <v>1061183.7</v>
      </c>
      <c r="N166" s="1924">
        <v>714.3</v>
      </c>
      <c r="O166" s="1924">
        <v>228118.2</v>
      </c>
      <c r="P166" s="1924">
        <f t="shared" si="131"/>
        <v>244741.9</v>
      </c>
      <c r="Q166" s="1924">
        <f t="shared" si="132"/>
        <v>1125825</v>
      </c>
      <c r="R166" s="1924">
        <v>1407894.9</v>
      </c>
      <c r="S166" s="2050">
        <v>0</v>
      </c>
      <c r="T166" s="1924">
        <v>18982.5</v>
      </c>
      <c r="U166" s="1924">
        <v>885427.1</v>
      </c>
      <c r="V166" s="1924">
        <f t="shared" si="133"/>
        <v>904409.59999999998</v>
      </c>
      <c r="W166" s="2050">
        <v>0</v>
      </c>
      <c r="X166" s="1924">
        <v>1820.8</v>
      </c>
      <c r="Y166" s="1924">
        <v>24924</v>
      </c>
      <c r="Z166" s="1924">
        <f t="shared" si="134"/>
        <v>26744.799999999999</v>
      </c>
      <c r="AA166" s="2066">
        <v>19271.900000000001</v>
      </c>
      <c r="AB166" s="2066">
        <v>159600.1</v>
      </c>
      <c r="AC166" s="2066">
        <v>17024.900000000001</v>
      </c>
      <c r="AD166" s="2066">
        <f t="shared" si="135"/>
        <v>176625</v>
      </c>
      <c r="AE166" s="2066">
        <f t="shared" si="136"/>
        <v>19271.900000000001</v>
      </c>
      <c r="AF166" s="2066">
        <f t="shared" si="136"/>
        <v>180403.4</v>
      </c>
      <c r="AG166" s="2066">
        <f t="shared" si="136"/>
        <v>927376</v>
      </c>
      <c r="AH166" s="2066">
        <f t="shared" si="136"/>
        <v>1107779.3999999999</v>
      </c>
      <c r="AI166" s="1924">
        <v>8179.4</v>
      </c>
      <c r="AJ166" s="1924">
        <v>32023.8</v>
      </c>
      <c r="AK166" s="1924">
        <v>26793.8</v>
      </c>
      <c r="AL166" s="1924">
        <v>52.1</v>
      </c>
      <c r="AM166" s="1924">
        <f>1061231.7-27.52</f>
        <v>1061204.18</v>
      </c>
      <c r="AN166" s="1924">
        <v>8491.5</v>
      </c>
      <c r="AO166" s="1924">
        <f t="shared" si="137"/>
        <v>1069695.68</v>
      </c>
      <c r="AP166" s="1924">
        <f t="shared" ref="AP166:AP173" si="142">0.055*AO164</f>
        <v>57827.801900000006</v>
      </c>
      <c r="AQ166" s="1924">
        <f t="shared" si="138"/>
        <v>17148.748099999997</v>
      </c>
      <c r="AR166" s="1924">
        <f>74979.7-3.15</f>
        <v>74976.55</v>
      </c>
      <c r="AS166" s="1924">
        <v>2824513.3</v>
      </c>
      <c r="AT166" s="1924">
        <f t="shared" si="121"/>
        <v>227400.75</v>
      </c>
      <c r="AU166" s="1924">
        <v>1763.7</v>
      </c>
      <c r="AV166" s="1924">
        <v>14378.3</v>
      </c>
      <c r="AW166" s="1924">
        <v>4371.8999999999996</v>
      </c>
      <c r="AX166" s="1924">
        <v>158169.79999999999</v>
      </c>
      <c r="AY166" s="1924">
        <f t="shared" si="139"/>
        <v>178683.69999999998</v>
      </c>
      <c r="AZ166" s="1267">
        <v>0.82</v>
      </c>
      <c r="BA166" s="1267">
        <v>5.36</v>
      </c>
      <c r="BB166" s="1267">
        <v>2.73</v>
      </c>
      <c r="BC166" s="1267">
        <v>2.61</v>
      </c>
      <c r="BD166" s="1267">
        <v>1.43</v>
      </c>
      <c r="BE166" s="1267" t="s">
        <v>288</v>
      </c>
      <c r="BF166" s="2051">
        <v>10178</v>
      </c>
      <c r="BG166" s="2051">
        <v>3743</v>
      </c>
      <c r="BH166" s="2070"/>
      <c r="BI166" s="2070"/>
      <c r="BJ166" s="2070"/>
      <c r="BK166" s="1267">
        <f t="shared" si="122"/>
        <v>104.38890280285176</v>
      </c>
      <c r="BL166" s="1267">
        <f t="shared" si="123"/>
        <v>104.26450972686185</v>
      </c>
      <c r="BM166" s="1267">
        <f t="shared" si="124"/>
        <v>108.84057771664374</v>
      </c>
      <c r="BN166" s="1267">
        <f t="shared" si="125"/>
        <v>8.3228705337364968</v>
      </c>
      <c r="BO166" s="1267">
        <v>5</v>
      </c>
      <c r="BP166" s="1267">
        <v>5.25</v>
      </c>
      <c r="BQ166" s="1267">
        <v>9.4700000000000006</v>
      </c>
      <c r="BR166" s="1267">
        <f t="shared" si="140"/>
        <v>4.2200000000000006</v>
      </c>
      <c r="BS166" s="1267">
        <v>9.89</v>
      </c>
      <c r="BT166" s="1267">
        <v>12.68</v>
      </c>
      <c r="BU166" s="1267">
        <f t="shared" si="141"/>
        <v>2.7899999999999991</v>
      </c>
    </row>
    <row r="167" spans="1:73" s="154" customFormat="1" ht="9.9499999999999993" customHeight="1" x14ac:dyDescent="0.2">
      <c r="A167" s="160" t="s">
        <v>1404</v>
      </c>
      <c r="B167" s="275" t="s">
        <v>555</v>
      </c>
      <c r="C167" s="1922">
        <v>150750.70000000001</v>
      </c>
      <c r="D167" s="1922">
        <v>1521.3</v>
      </c>
      <c r="E167" s="1922">
        <f t="shared" si="127"/>
        <v>152272</v>
      </c>
      <c r="F167" s="1922">
        <v>13162.8</v>
      </c>
      <c r="G167" s="1922">
        <f t="shared" si="128"/>
        <v>139109.20000000001</v>
      </c>
      <c r="H167" s="1922">
        <v>31948.6</v>
      </c>
      <c r="I167" s="1922">
        <v>76461.399999999994</v>
      </c>
      <c r="J167" s="1922">
        <v>104361.1</v>
      </c>
      <c r="K167" s="1922">
        <v>887329.3</v>
      </c>
      <c r="L167" s="1922">
        <f t="shared" si="129"/>
        <v>991690.4</v>
      </c>
      <c r="M167" s="1922">
        <f t="shared" si="130"/>
        <v>1068151.8</v>
      </c>
      <c r="N167" s="1922">
        <v>703.6</v>
      </c>
      <c r="O167" s="1922">
        <v>225327.6</v>
      </c>
      <c r="P167" s="1922">
        <f t="shared" si="131"/>
        <v>244173.90000000002</v>
      </c>
      <c r="Q167" s="1922">
        <f t="shared" si="132"/>
        <v>1131503.2000000002</v>
      </c>
      <c r="R167" s="1922">
        <v>1417579.5999999999</v>
      </c>
      <c r="S167" s="1037">
        <v>0</v>
      </c>
      <c r="T167" s="1922">
        <v>19591.900000000001</v>
      </c>
      <c r="U167" s="1922">
        <v>895052.80000000005</v>
      </c>
      <c r="V167" s="1922">
        <f t="shared" si="133"/>
        <v>914644.70000000007</v>
      </c>
      <c r="W167" s="1037">
        <v>0</v>
      </c>
      <c r="X167" s="1922">
        <v>1768.3</v>
      </c>
      <c r="Y167" s="1922">
        <v>25837.599999999999</v>
      </c>
      <c r="Z167" s="1922">
        <f t="shared" si="134"/>
        <v>27605.899999999998</v>
      </c>
      <c r="AA167" s="2064">
        <v>19294.2</v>
      </c>
      <c r="AB167" s="2064">
        <v>162555.6</v>
      </c>
      <c r="AC167" s="2064">
        <v>16958.099999999999</v>
      </c>
      <c r="AD167" s="2064">
        <f t="shared" si="135"/>
        <v>179513.7</v>
      </c>
      <c r="AE167" s="2064">
        <f t="shared" si="136"/>
        <v>19294.2</v>
      </c>
      <c r="AF167" s="2064">
        <f t="shared" si="136"/>
        <v>183915.80000000002</v>
      </c>
      <c r="AG167" s="2064">
        <f t="shared" si="136"/>
        <v>937848.5</v>
      </c>
      <c r="AH167" s="2064">
        <f t="shared" si="136"/>
        <v>1121764.3</v>
      </c>
      <c r="AI167" s="1922">
        <v>7981.7</v>
      </c>
      <c r="AJ167" s="1922">
        <v>32127.1</v>
      </c>
      <c r="AK167" s="1922">
        <v>28066.799999999999</v>
      </c>
      <c r="AL167" s="1922">
        <v>51.8</v>
      </c>
      <c r="AM167" s="1922">
        <f>1068199.8-27.1</f>
        <v>1068172.7</v>
      </c>
      <c r="AN167" s="1922">
        <v>7422.4</v>
      </c>
      <c r="AO167" s="1922">
        <f t="shared" si="137"/>
        <v>1075595.0999999999</v>
      </c>
      <c r="AP167" s="1922">
        <f t="shared" si="142"/>
        <v>58127.289000000004</v>
      </c>
      <c r="AQ167" s="1922">
        <f t="shared" si="138"/>
        <v>14219.591</v>
      </c>
      <c r="AR167" s="1922">
        <f>72352-5.12</f>
        <v>72346.880000000005</v>
      </c>
      <c r="AS167" s="1922">
        <v>2872372.7</v>
      </c>
      <c r="AT167" s="1922">
        <f t="shared" si="121"/>
        <v>224618.88</v>
      </c>
      <c r="AU167" s="1922">
        <v>3491.5</v>
      </c>
      <c r="AV167" s="1922">
        <v>14435.8</v>
      </c>
      <c r="AW167" s="1922">
        <v>4265.5</v>
      </c>
      <c r="AX167" s="1922">
        <v>160425.70000000001</v>
      </c>
      <c r="AY167" s="1922">
        <f t="shared" si="139"/>
        <v>182618.5</v>
      </c>
      <c r="AZ167" s="1289">
        <v>3.05</v>
      </c>
      <c r="BA167" s="1289">
        <v>12.47</v>
      </c>
      <c r="BB167" s="1289">
        <v>3.89</v>
      </c>
      <c r="BC167" s="1289">
        <v>3.97</v>
      </c>
      <c r="BD167" s="1289">
        <v>1.94</v>
      </c>
      <c r="BE167" s="1289" t="s">
        <v>288</v>
      </c>
      <c r="BF167" s="2047">
        <v>10208</v>
      </c>
      <c r="BG167" s="2047">
        <v>3744</v>
      </c>
      <c r="BH167" s="2071"/>
      <c r="BI167" s="2071"/>
      <c r="BJ167" s="2071"/>
      <c r="BK167" s="1289">
        <f t="shared" si="122"/>
        <v>105.01712878451211</v>
      </c>
      <c r="BL167" s="1289">
        <f t="shared" si="123"/>
        <v>104.64074255485893</v>
      </c>
      <c r="BM167" s="1289">
        <f t="shared" si="124"/>
        <v>109.89070336990596</v>
      </c>
      <c r="BN167" s="1289">
        <f t="shared" si="125"/>
        <v>8.0052298659196222</v>
      </c>
      <c r="BO167" s="1289">
        <v>5</v>
      </c>
      <c r="BP167" s="1289">
        <v>5.3</v>
      </c>
      <c r="BQ167" s="1289">
        <v>9.5</v>
      </c>
      <c r="BR167" s="1289">
        <f t="shared" si="140"/>
        <v>4.2</v>
      </c>
      <c r="BS167" s="1289">
        <v>9.9</v>
      </c>
      <c r="BT167" s="1289">
        <v>12.68</v>
      </c>
      <c r="BU167" s="1289">
        <f t="shared" si="141"/>
        <v>2.7799999999999994</v>
      </c>
    </row>
    <row r="168" spans="1:73" s="154" customFormat="1" ht="9.9499999999999993" customHeight="1" x14ac:dyDescent="0.2">
      <c r="A168" s="160" t="s">
        <v>1404</v>
      </c>
      <c r="B168" s="236" t="s">
        <v>548</v>
      </c>
      <c r="C168" s="1924">
        <v>156833</v>
      </c>
      <c r="D168" s="1924">
        <v>1528</v>
      </c>
      <c r="E168" s="1924">
        <f t="shared" si="127"/>
        <v>158361</v>
      </c>
      <c r="F168" s="1924">
        <v>13681.9</v>
      </c>
      <c r="G168" s="1924">
        <f t="shared" si="128"/>
        <v>144679.1</v>
      </c>
      <c r="H168" s="1924">
        <v>37211.800000000003</v>
      </c>
      <c r="I168" s="1924">
        <v>77333</v>
      </c>
      <c r="J168" s="1924">
        <v>110076.3</v>
      </c>
      <c r="K168" s="1924">
        <v>899904.7</v>
      </c>
      <c r="L168" s="1924">
        <f t="shared" si="129"/>
        <v>1009981</v>
      </c>
      <c r="M168" s="1924">
        <f t="shared" si="130"/>
        <v>1087314</v>
      </c>
      <c r="N168" s="1924">
        <v>700.6</v>
      </c>
      <c r="O168" s="1924">
        <v>234657.9</v>
      </c>
      <c r="P168" s="1924">
        <f t="shared" si="131"/>
        <v>255456.00000000003</v>
      </c>
      <c r="Q168" s="1924">
        <f t="shared" si="132"/>
        <v>1155360.7</v>
      </c>
      <c r="R168" s="1924">
        <v>1445300.7999999998</v>
      </c>
      <c r="S168" s="2050">
        <v>0</v>
      </c>
      <c r="T168" s="1924">
        <v>21813.5</v>
      </c>
      <c r="U168" s="1924">
        <v>910864.8</v>
      </c>
      <c r="V168" s="1924">
        <f t="shared" si="133"/>
        <v>932678.3</v>
      </c>
      <c r="W168" s="2050">
        <v>0</v>
      </c>
      <c r="X168" s="1924">
        <v>1614.5</v>
      </c>
      <c r="Y168" s="1924">
        <v>26169.200000000001</v>
      </c>
      <c r="Z168" s="1924">
        <f t="shared" si="134"/>
        <v>27783.7</v>
      </c>
      <c r="AA168" s="2066">
        <v>24879.7</v>
      </c>
      <c r="AB168" s="2066">
        <v>158783.9</v>
      </c>
      <c r="AC168" s="2066">
        <v>16838.400000000001</v>
      </c>
      <c r="AD168" s="2066">
        <f t="shared" si="135"/>
        <v>175622.3</v>
      </c>
      <c r="AE168" s="2066">
        <f t="shared" si="136"/>
        <v>24879.7</v>
      </c>
      <c r="AF168" s="2066">
        <f t="shared" si="136"/>
        <v>182211.9</v>
      </c>
      <c r="AG168" s="2066">
        <f t="shared" si="136"/>
        <v>953872.4</v>
      </c>
      <c r="AH168" s="2066">
        <f t="shared" si="136"/>
        <v>1136084.3</v>
      </c>
      <c r="AI168" s="1924">
        <v>8743.2000000000007</v>
      </c>
      <c r="AJ168" s="1924">
        <v>32933.800000000003</v>
      </c>
      <c r="AK168" s="1924">
        <v>29040</v>
      </c>
      <c r="AL168" s="1924">
        <v>51.5</v>
      </c>
      <c r="AM168" s="1924">
        <f>1087362.3-27.11</f>
        <v>1087335.19</v>
      </c>
      <c r="AN168" s="1924">
        <v>7250.4</v>
      </c>
      <c r="AO168" s="1924">
        <f t="shared" si="137"/>
        <v>1094585.5899999999</v>
      </c>
      <c r="AP168" s="1924">
        <f t="shared" si="142"/>
        <v>58833.2624</v>
      </c>
      <c r="AQ168" s="1924">
        <f t="shared" si="138"/>
        <v>16760.047599999998</v>
      </c>
      <c r="AR168" s="1924">
        <f>75596.3-2.99</f>
        <v>75593.31</v>
      </c>
      <c r="AS168" s="1924">
        <v>2750449.8</v>
      </c>
      <c r="AT168" s="1924">
        <f t="shared" si="121"/>
        <v>233954.31</v>
      </c>
      <c r="AU168" s="1924">
        <v>2859.7</v>
      </c>
      <c r="AV168" s="1924">
        <v>19724.599999999999</v>
      </c>
      <c r="AW168" s="1924">
        <v>5145.1000000000004</v>
      </c>
      <c r="AX168" s="1924">
        <v>156093.6</v>
      </c>
      <c r="AY168" s="1924">
        <f t="shared" si="139"/>
        <v>183823.00000000003</v>
      </c>
      <c r="AZ168" s="1267">
        <v>3.43</v>
      </c>
      <c r="BA168" s="1267">
        <v>21.6</v>
      </c>
      <c r="BB168" s="1267">
        <v>5.65</v>
      </c>
      <c r="BC168" s="1267">
        <v>5.75</v>
      </c>
      <c r="BD168" s="1267">
        <v>4.09</v>
      </c>
      <c r="BE168" s="1267" t="s">
        <v>288</v>
      </c>
      <c r="BF168" s="2051">
        <v>10286</v>
      </c>
      <c r="BG168" s="2051">
        <v>3746</v>
      </c>
      <c r="BH168" s="2071"/>
      <c r="BI168" s="2071"/>
      <c r="BJ168" s="2071"/>
      <c r="BK168" s="1267">
        <f t="shared" si="122"/>
        <v>104.48335623166946</v>
      </c>
      <c r="BL168" s="1267">
        <f t="shared" si="123"/>
        <v>105.71020707758117</v>
      </c>
      <c r="BM168" s="1267">
        <f t="shared" si="124"/>
        <v>110.44957223410461</v>
      </c>
      <c r="BN168" s="1267">
        <f t="shared" si="125"/>
        <v>8.2104590029869264</v>
      </c>
      <c r="BO168" s="1267">
        <v>5</v>
      </c>
      <c r="BP168" s="1267">
        <v>5.26</v>
      </c>
      <c r="BQ168" s="1267">
        <v>9.49</v>
      </c>
      <c r="BR168" s="1267">
        <f t="shared" si="140"/>
        <v>4.2300000000000004</v>
      </c>
      <c r="BS168" s="1267">
        <v>9.9499999999999993</v>
      </c>
      <c r="BT168" s="1267">
        <v>12.65</v>
      </c>
      <c r="BU168" s="1267">
        <f t="shared" si="141"/>
        <v>2.7000000000000011</v>
      </c>
    </row>
    <row r="169" spans="1:73" s="154" customFormat="1" ht="9.9499999999999993" customHeight="1" x14ac:dyDescent="0.2">
      <c r="A169" s="160" t="s">
        <v>1404</v>
      </c>
      <c r="B169" s="275" t="s">
        <v>556</v>
      </c>
      <c r="C169" s="1922">
        <v>155827.29999999999</v>
      </c>
      <c r="D169" s="1922">
        <v>1528.5</v>
      </c>
      <c r="E169" s="1922">
        <f t="shared" si="127"/>
        <v>157355.79999999999</v>
      </c>
      <c r="F169" s="1922">
        <v>12674.1</v>
      </c>
      <c r="G169" s="1922">
        <f t="shared" si="128"/>
        <v>144681.69999999998</v>
      </c>
      <c r="H169" s="1922">
        <v>35831.9</v>
      </c>
      <c r="I169" s="1922">
        <v>74654.7</v>
      </c>
      <c r="J169" s="1922">
        <v>106191.8</v>
      </c>
      <c r="K169" s="1922">
        <v>902947.7</v>
      </c>
      <c r="L169" s="1922">
        <f t="shared" si="129"/>
        <v>1009139.5</v>
      </c>
      <c r="M169" s="1922">
        <f t="shared" si="130"/>
        <v>1083794.2</v>
      </c>
      <c r="N169" s="1922">
        <v>736.6</v>
      </c>
      <c r="O169" s="1922">
        <v>228027.6</v>
      </c>
      <c r="P169" s="1922">
        <f t="shared" si="131"/>
        <v>251610.1</v>
      </c>
      <c r="Q169" s="1922">
        <f t="shared" si="132"/>
        <v>1154557.8</v>
      </c>
      <c r="R169" s="1922">
        <v>1450483.1</v>
      </c>
      <c r="S169" s="1037">
        <v>0</v>
      </c>
      <c r="T169" s="1922">
        <v>22679.5</v>
      </c>
      <c r="U169" s="1922">
        <v>915603.1</v>
      </c>
      <c r="V169" s="1922">
        <f t="shared" si="133"/>
        <v>938282.6</v>
      </c>
      <c r="W169" s="1037">
        <v>0</v>
      </c>
      <c r="X169" s="1922">
        <v>1728.6</v>
      </c>
      <c r="Y169" s="1922">
        <v>26247.4</v>
      </c>
      <c r="Z169" s="1922">
        <f t="shared" si="134"/>
        <v>27976</v>
      </c>
      <c r="AA169" s="2064">
        <v>26325</v>
      </c>
      <c r="AB169" s="2064">
        <v>159878</v>
      </c>
      <c r="AC169" s="2064">
        <v>17046.599999999999</v>
      </c>
      <c r="AD169" s="2064">
        <f t="shared" si="135"/>
        <v>176924.6</v>
      </c>
      <c r="AE169" s="2064">
        <f t="shared" si="136"/>
        <v>26325</v>
      </c>
      <c r="AF169" s="2064">
        <f t="shared" si="136"/>
        <v>184286.1</v>
      </c>
      <c r="AG169" s="2064">
        <f t="shared" si="136"/>
        <v>958897.1</v>
      </c>
      <c r="AH169" s="2064">
        <f t="shared" si="136"/>
        <v>1143183.2</v>
      </c>
      <c r="AI169" s="1922">
        <v>8536.5</v>
      </c>
      <c r="AJ169" s="1922">
        <v>32286.7</v>
      </c>
      <c r="AK169" s="1922">
        <v>32518.9</v>
      </c>
      <c r="AL169" s="1922">
        <v>72.099999999999994</v>
      </c>
      <c r="AM169" s="1922">
        <f>1083842.7-25.82</f>
        <v>1083816.8799999999</v>
      </c>
      <c r="AN169" s="1922">
        <v>7430.9</v>
      </c>
      <c r="AO169" s="1922">
        <f t="shared" si="137"/>
        <v>1091247.7799999998</v>
      </c>
      <c r="AP169" s="1922">
        <f t="shared" si="142"/>
        <v>59157.730499999991</v>
      </c>
      <c r="AQ169" s="1922">
        <f t="shared" si="138"/>
        <v>10775.519500000009</v>
      </c>
      <c r="AR169" s="1922">
        <f>69935.2-1.95</f>
        <v>69933.25</v>
      </c>
      <c r="AS169" s="1922">
        <v>2774288.5</v>
      </c>
      <c r="AT169" s="1922">
        <f t="shared" si="121"/>
        <v>227289.05</v>
      </c>
      <c r="AU169" s="1922">
        <v>0</v>
      </c>
      <c r="AV169" s="1922">
        <v>20552.8</v>
      </c>
      <c r="AW169" s="1922">
        <v>5463</v>
      </c>
      <c r="AX169" s="1922">
        <v>157059.9</v>
      </c>
      <c r="AY169" s="1922">
        <f t="shared" si="139"/>
        <v>183075.69999999998</v>
      </c>
      <c r="AZ169" s="1289">
        <v>4.24</v>
      </c>
      <c r="BA169" s="1289">
        <v>25.58</v>
      </c>
      <c r="BB169" s="1289">
        <v>6.2</v>
      </c>
      <c r="BC169" s="1289">
        <v>6.38</v>
      </c>
      <c r="BD169" s="1289">
        <v>4.0199999999999996</v>
      </c>
      <c r="BE169" s="1289" t="s">
        <v>288</v>
      </c>
      <c r="BF169" s="2047">
        <v>10373</v>
      </c>
      <c r="BG169" s="2047">
        <v>3752</v>
      </c>
      <c r="BH169" s="2072"/>
      <c r="BI169" s="2072"/>
      <c r="BJ169" s="2072"/>
      <c r="BK169" s="1289">
        <f t="shared" si="122"/>
        <v>105.47752310334934</v>
      </c>
      <c r="BL169" s="1289">
        <f t="shared" si="123"/>
        <v>104.48441916514025</v>
      </c>
      <c r="BM169" s="1289">
        <f t="shared" si="124"/>
        <v>110.20757736431119</v>
      </c>
      <c r="BN169" s="1289">
        <f t="shared" si="125"/>
        <v>7.6218918088819585</v>
      </c>
      <c r="BO169" s="1289">
        <v>5</v>
      </c>
      <c r="BP169" s="1289">
        <v>5.34</v>
      </c>
      <c r="BQ169" s="1289">
        <v>9.49</v>
      </c>
      <c r="BR169" s="1289">
        <f t="shared" si="140"/>
        <v>4.1500000000000004</v>
      </c>
      <c r="BS169" s="1289">
        <v>10.06</v>
      </c>
      <c r="BT169" s="1289">
        <v>12.56</v>
      </c>
      <c r="BU169" s="1289">
        <f t="shared" si="141"/>
        <v>2.5</v>
      </c>
    </row>
    <row r="170" spans="1:73" s="154" customFormat="1" ht="9.9499999999999993" customHeight="1" x14ac:dyDescent="0.2">
      <c r="A170" s="160" t="s">
        <v>1404</v>
      </c>
      <c r="B170" s="236" t="s">
        <v>557</v>
      </c>
      <c r="C170" s="1924">
        <v>157407.29999999999</v>
      </c>
      <c r="D170" s="1924">
        <v>1528.3</v>
      </c>
      <c r="E170" s="1924">
        <f t="shared" si="127"/>
        <v>158935.59999999998</v>
      </c>
      <c r="F170" s="1924">
        <v>12972.6</v>
      </c>
      <c r="G170" s="1924">
        <f t="shared" si="128"/>
        <v>145962.99999999997</v>
      </c>
      <c r="H170" s="1924">
        <v>35913.699999999997</v>
      </c>
      <c r="I170" s="1924">
        <v>75656.100000000006</v>
      </c>
      <c r="J170" s="1924">
        <v>105737.9</v>
      </c>
      <c r="K170" s="1924">
        <v>908198.9</v>
      </c>
      <c r="L170" s="1924">
        <f t="shared" si="129"/>
        <v>1013936.8</v>
      </c>
      <c r="M170" s="1924">
        <f t="shared" si="130"/>
        <v>1089592.9000000001</v>
      </c>
      <c r="N170" s="1924">
        <v>673</v>
      </c>
      <c r="O170" s="1924">
        <v>226742.6</v>
      </c>
      <c r="P170" s="1924">
        <f t="shared" si="131"/>
        <v>252373.89999999997</v>
      </c>
      <c r="Q170" s="1924">
        <f t="shared" si="132"/>
        <v>1160572.8</v>
      </c>
      <c r="R170" s="1924">
        <v>1462197.5999999999</v>
      </c>
      <c r="S170" s="2050">
        <v>0</v>
      </c>
      <c r="T170" s="1924">
        <v>22023.5</v>
      </c>
      <c r="U170" s="1924">
        <v>922299.1</v>
      </c>
      <c r="V170" s="1924">
        <f t="shared" si="133"/>
        <v>944322.6</v>
      </c>
      <c r="W170" s="2050">
        <v>0</v>
      </c>
      <c r="X170" s="1924">
        <v>1767.6</v>
      </c>
      <c r="Y170" s="1924">
        <v>26253.1</v>
      </c>
      <c r="Z170" s="1924">
        <f t="shared" si="134"/>
        <v>28020.699999999997</v>
      </c>
      <c r="AA170" s="2066">
        <v>26437.3</v>
      </c>
      <c r="AB170" s="2066">
        <v>159727.20000000001</v>
      </c>
      <c r="AC170" s="2066">
        <v>17013.099999999999</v>
      </c>
      <c r="AD170" s="2066">
        <f t="shared" si="135"/>
        <v>176740.30000000002</v>
      </c>
      <c r="AE170" s="2066">
        <f t="shared" si="136"/>
        <v>26437.3</v>
      </c>
      <c r="AF170" s="2066">
        <f t="shared" si="136"/>
        <v>183518.30000000002</v>
      </c>
      <c r="AG170" s="2066">
        <f t="shared" si="136"/>
        <v>965565.29999999993</v>
      </c>
      <c r="AH170" s="2066">
        <f t="shared" si="136"/>
        <v>1149083.5999999999</v>
      </c>
      <c r="AI170" s="1924">
        <v>8727.9</v>
      </c>
      <c r="AJ170" s="1924">
        <v>33571.800000000003</v>
      </c>
      <c r="AK170" s="1924">
        <v>30644.799999999999</v>
      </c>
      <c r="AL170" s="1924">
        <v>43.8</v>
      </c>
      <c r="AM170" s="1924">
        <f>1089641.4-25.4</f>
        <v>1089616</v>
      </c>
      <c r="AN170" s="1924">
        <v>7472.2</v>
      </c>
      <c r="AO170" s="1924">
        <f t="shared" si="137"/>
        <v>1097088.2</v>
      </c>
      <c r="AP170" s="1924">
        <f>0.055*AO168</f>
        <v>60202.207449999994</v>
      </c>
      <c r="AQ170" s="1924">
        <f t="shared" si="138"/>
        <v>6929.9925500000027</v>
      </c>
      <c r="AR170" s="1924">
        <f>67134-1.8</f>
        <v>67132.2</v>
      </c>
      <c r="AS170" s="1924">
        <v>2804623.6</v>
      </c>
      <c r="AT170" s="1924">
        <f t="shared" si="121"/>
        <v>226067.8</v>
      </c>
      <c r="AU170" s="1924">
        <v>0</v>
      </c>
      <c r="AV170" s="1924">
        <v>20414.8</v>
      </c>
      <c r="AW170" s="1924">
        <v>5083.8</v>
      </c>
      <c r="AX170" s="1924">
        <v>156918.6</v>
      </c>
      <c r="AY170" s="1924">
        <f t="shared" si="139"/>
        <v>182417.19999999998</v>
      </c>
      <c r="AZ170" s="1267">
        <v>-2.0499999999999998</v>
      </c>
      <c r="BA170" s="1267">
        <v>24.31</v>
      </c>
      <c r="BB170" s="1267">
        <v>6.92</v>
      </c>
      <c r="BC170" s="1267">
        <v>6.41</v>
      </c>
      <c r="BD170" s="1267">
        <v>4.5599999999999996</v>
      </c>
      <c r="BE170" s="1267" t="s">
        <v>288</v>
      </c>
      <c r="BF170" s="2051">
        <v>10382</v>
      </c>
      <c r="BG170" s="2051">
        <v>3752</v>
      </c>
      <c r="BH170" s="2072"/>
      <c r="BI170" s="2072"/>
      <c r="BJ170" s="2072"/>
      <c r="BK170" s="1267">
        <f t="shared" si="122"/>
        <v>105.45766581988516</v>
      </c>
      <c r="BL170" s="1267">
        <f t="shared" si="123"/>
        <v>104.95241764592564</v>
      </c>
      <c r="BM170" s="1267">
        <f t="shared" si="124"/>
        <v>110.68036987093045</v>
      </c>
      <c r="BN170" s="1267">
        <f t="shared" si="125"/>
        <v>7.3516541607318544</v>
      </c>
      <c r="BO170" s="1267">
        <v>5</v>
      </c>
      <c r="BP170" s="1267">
        <v>5.34</v>
      </c>
      <c r="BQ170" s="1267">
        <v>9.49</v>
      </c>
      <c r="BR170" s="1267">
        <f t="shared" si="140"/>
        <v>4.1500000000000004</v>
      </c>
      <c r="BS170" s="1267">
        <v>10.14</v>
      </c>
      <c r="BT170" s="1267">
        <v>12.55</v>
      </c>
      <c r="BU170" s="1267">
        <f t="shared" si="141"/>
        <v>2.41</v>
      </c>
    </row>
    <row r="171" spans="1:73" s="154" customFormat="1" ht="9.9499999999999993" customHeight="1" x14ac:dyDescent="0.2">
      <c r="A171" s="160" t="s">
        <v>1404</v>
      </c>
      <c r="B171" s="275" t="s">
        <v>549</v>
      </c>
      <c r="C171" s="1922">
        <v>157971.79999999999</v>
      </c>
      <c r="D171" s="1922">
        <v>1528.5</v>
      </c>
      <c r="E171" s="1922">
        <f t="shared" si="127"/>
        <v>159500.29999999999</v>
      </c>
      <c r="F171" s="1922">
        <v>14853.8</v>
      </c>
      <c r="G171" s="1922">
        <f t="shared" si="128"/>
        <v>144646.5</v>
      </c>
      <c r="H171" s="1922">
        <v>35653.599999999999</v>
      </c>
      <c r="I171" s="1922">
        <v>73964.5</v>
      </c>
      <c r="J171" s="1922">
        <v>106339.7</v>
      </c>
      <c r="K171" s="1922">
        <v>916866.5</v>
      </c>
      <c r="L171" s="1922">
        <f t="shared" si="129"/>
        <v>1023206.2</v>
      </c>
      <c r="M171" s="1922">
        <f t="shared" si="130"/>
        <v>1097170.7</v>
      </c>
      <c r="N171" s="1922">
        <v>726.7</v>
      </c>
      <c r="O171" s="1922">
        <v>225090.3</v>
      </c>
      <c r="P171" s="1922">
        <f t="shared" si="131"/>
        <v>251712.90000000002</v>
      </c>
      <c r="Q171" s="1922">
        <f t="shared" si="132"/>
        <v>1168579.3999999999</v>
      </c>
      <c r="R171" s="1922">
        <v>1474424.6</v>
      </c>
      <c r="S171" s="1037">
        <v>0</v>
      </c>
      <c r="T171" s="1922">
        <v>22460.3</v>
      </c>
      <c r="U171" s="1922">
        <v>929835.4</v>
      </c>
      <c r="V171" s="1922">
        <f t="shared" si="133"/>
        <v>952295.70000000007</v>
      </c>
      <c r="W171" s="1037">
        <v>0</v>
      </c>
      <c r="X171" s="1922">
        <v>1787.7</v>
      </c>
      <c r="Y171" s="1922">
        <v>27896.799999999999</v>
      </c>
      <c r="Z171" s="1922">
        <f t="shared" si="134"/>
        <v>29684.5</v>
      </c>
      <c r="AA171" s="2064">
        <v>27610.799999999999</v>
      </c>
      <c r="AB171" s="2064">
        <v>159846.39999999999</v>
      </c>
      <c r="AC171" s="2064">
        <v>17138.900000000001</v>
      </c>
      <c r="AD171" s="2064">
        <f t="shared" si="135"/>
        <v>176985.3</v>
      </c>
      <c r="AE171" s="2064">
        <f t="shared" si="136"/>
        <v>27610.799999999999</v>
      </c>
      <c r="AF171" s="2064">
        <f t="shared" si="136"/>
        <v>184094.4</v>
      </c>
      <c r="AG171" s="2064">
        <f t="shared" si="136"/>
        <v>974871.10000000009</v>
      </c>
      <c r="AH171" s="2064">
        <f t="shared" si="136"/>
        <v>1158965.5</v>
      </c>
      <c r="AI171" s="1922">
        <v>9605.1</v>
      </c>
      <c r="AJ171" s="1922">
        <v>36136.1</v>
      </c>
      <c r="AK171" s="1922">
        <v>32415.4</v>
      </c>
      <c r="AL171" s="1922">
        <v>50.1</v>
      </c>
      <c r="AM171" s="1922">
        <f>1097219.2-25</f>
        <v>1097194.2</v>
      </c>
      <c r="AN171" s="1922">
        <v>7032.7</v>
      </c>
      <c r="AO171" s="1922">
        <f t="shared" si="137"/>
        <v>1104226.8999999999</v>
      </c>
      <c r="AP171" s="1922">
        <f t="shared" si="142"/>
        <v>60018.627899999992</v>
      </c>
      <c r="AQ171" s="1922">
        <f t="shared" si="138"/>
        <v>4768.9246000000057</v>
      </c>
      <c r="AR171" s="1922">
        <f>64863.3-1.8775-73.87</f>
        <v>64787.552499999998</v>
      </c>
      <c r="AS171" s="1922">
        <v>2872599.7</v>
      </c>
      <c r="AT171" s="1922">
        <f t="shared" si="121"/>
        <v>224287.85249999998</v>
      </c>
      <c r="AU171" s="1922">
        <v>0</v>
      </c>
      <c r="AV171" s="1922">
        <v>18625</v>
      </c>
      <c r="AW171" s="1922">
        <v>5387.4</v>
      </c>
      <c r="AX171" s="1922">
        <v>156999.4</v>
      </c>
      <c r="AY171" s="1922">
        <f t="shared" si="139"/>
        <v>181011.8</v>
      </c>
      <c r="AZ171" s="1289">
        <v>-2.5099999999999998</v>
      </c>
      <c r="BA171" s="1289">
        <v>25.32</v>
      </c>
      <c r="BB171" s="1289">
        <v>7.95</v>
      </c>
      <c r="BC171" s="1289">
        <v>7.31</v>
      </c>
      <c r="BD171" s="1289">
        <v>5.28</v>
      </c>
      <c r="BE171" s="1289" t="s">
        <v>288</v>
      </c>
      <c r="BF171" s="2047">
        <v>10387</v>
      </c>
      <c r="BG171" s="2047">
        <v>3753</v>
      </c>
      <c r="BH171" s="2072"/>
      <c r="BI171" s="2072"/>
      <c r="BJ171" s="2072"/>
      <c r="BK171" s="1289">
        <f t="shared" si="122"/>
        <v>105.62993315130539</v>
      </c>
      <c r="BL171" s="1289">
        <f t="shared" si="123"/>
        <v>105.63148165976702</v>
      </c>
      <c r="BM171" s="1289">
        <f t="shared" si="124"/>
        <v>111.57846346394531</v>
      </c>
      <c r="BN171" s="1289">
        <f t="shared" si="125"/>
        <v>7.2586377598423315</v>
      </c>
      <c r="BO171" s="1289">
        <v>5</v>
      </c>
      <c r="BP171" s="1289">
        <v>5.35</v>
      </c>
      <c r="BQ171" s="1289">
        <v>9.5</v>
      </c>
      <c r="BR171" s="1289">
        <f t="shared" si="140"/>
        <v>4.1500000000000004</v>
      </c>
      <c r="BS171" s="1289">
        <v>10.24</v>
      </c>
      <c r="BT171" s="1289">
        <v>12.56</v>
      </c>
      <c r="BU171" s="1289">
        <f t="shared" si="141"/>
        <v>2.3200000000000003</v>
      </c>
    </row>
    <row r="172" spans="1:73" s="154" customFormat="1" ht="9.9499999999999993" customHeight="1" x14ac:dyDescent="0.2">
      <c r="A172" s="160" t="s">
        <v>1404</v>
      </c>
      <c r="B172" s="236" t="s">
        <v>558</v>
      </c>
      <c r="C172" s="1924">
        <v>157263.9</v>
      </c>
      <c r="D172" s="1924">
        <v>1527.1</v>
      </c>
      <c r="E172" s="1924">
        <f t="shared" si="127"/>
        <v>158791</v>
      </c>
      <c r="F172" s="1924">
        <v>14032</v>
      </c>
      <c r="G172" s="1924">
        <f t="shared" si="128"/>
        <v>144759</v>
      </c>
      <c r="H172" s="1924">
        <v>35335</v>
      </c>
      <c r="I172" s="1924">
        <v>75732.100000000006</v>
      </c>
      <c r="J172" s="1924">
        <v>107867.8</v>
      </c>
      <c r="K172" s="1924">
        <v>917613.1</v>
      </c>
      <c r="L172" s="1924">
        <f t="shared" si="129"/>
        <v>1025480.9</v>
      </c>
      <c r="M172" s="1924">
        <f t="shared" si="130"/>
        <v>1101213</v>
      </c>
      <c r="N172" s="1924">
        <v>703.7</v>
      </c>
      <c r="O172" s="1924">
        <v>226991.30000000002</v>
      </c>
      <c r="P172" s="1924">
        <f t="shared" si="131"/>
        <v>253330.5</v>
      </c>
      <c r="Q172" s="1924">
        <f t="shared" si="132"/>
        <v>1170943.6000000001</v>
      </c>
      <c r="R172" s="1924">
        <v>1480715.2999999998</v>
      </c>
      <c r="S172" s="2050">
        <v>0</v>
      </c>
      <c r="T172" s="1924">
        <v>21189.7</v>
      </c>
      <c r="U172" s="1924">
        <v>937496</v>
      </c>
      <c r="V172" s="1924">
        <f t="shared" si="133"/>
        <v>958685.7</v>
      </c>
      <c r="W172" s="2050">
        <v>0</v>
      </c>
      <c r="X172" s="1924">
        <v>1783</v>
      </c>
      <c r="Y172" s="1924">
        <v>28432.400000000001</v>
      </c>
      <c r="Z172" s="1924">
        <f t="shared" si="134"/>
        <v>30215.4</v>
      </c>
      <c r="AA172" s="2066">
        <v>26476.5</v>
      </c>
      <c r="AB172" s="2066">
        <v>159175.29999999999</v>
      </c>
      <c r="AC172" s="2066">
        <v>17224.400000000001</v>
      </c>
      <c r="AD172" s="2066">
        <f t="shared" si="135"/>
        <v>176399.69999999998</v>
      </c>
      <c r="AE172" s="2066">
        <f t="shared" si="136"/>
        <v>26476.5</v>
      </c>
      <c r="AF172" s="2066">
        <f t="shared" si="136"/>
        <v>182148</v>
      </c>
      <c r="AG172" s="2066">
        <f t="shared" si="136"/>
        <v>983152.8</v>
      </c>
      <c r="AH172" s="2066">
        <f t="shared" si="136"/>
        <v>1165300.8</v>
      </c>
      <c r="AI172" s="1924">
        <v>10385.9</v>
      </c>
      <c r="AJ172" s="1924">
        <v>35732.199999999997</v>
      </c>
      <c r="AK172" s="1924">
        <v>33335.5</v>
      </c>
      <c r="AL172" s="1924">
        <v>42.5</v>
      </c>
      <c r="AM172" s="1924">
        <f>1101261.7-24.71</f>
        <v>1101236.99</v>
      </c>
      <c r="AN172" s="1924">
        <v>7729.6</v>
      </c>
      <c r="AO172" s="1924">
        <f t="shared" si="137"/>
        <v>1108966.5900000001</v>
      </c>
      <c r="AP172" s="1924">
        <f t="shared" si="142"/>
        <v>60339.850999999995</v>
      </c>
      <c r="AQ172" s="1924">
        <f t="shared" si="138"/>
        <v>7020.4781000000221</v>
      </c>
      <c r="AR172" s="1924">
        <f>67496.6-2.4009-133.87</f>
        <v>67360.329100000017</v>
      </c>
      <c r="AS172" s="1924">
        <v>2874417.4</v>
      </c>
      <c r="AT172" s="1924">
        <f t="shared" si="121"/>
        <v>226151.32910000003</v>
      </c>
      <c r="AU172" s="1924">
        <v>0</v>
      </c>
      <c r="AV172" s="1924">
        <v>18857.5</v>
      </c>
      <c r="AW172" s="1924">
        <v>4878.3999999999996</v>
      </c>
      <c r="AX172" s="1924">
        <v>155896.29999999999</v>
      </c>
      <c r="AY172" s="1924">
        <f t="shared" si="139"/>
        <v>179632.19999999998</v>
      </c>
      <c r="AZ172" s="1267">
        <v>-1.72</v>
      </c>
      <c r="BA172" s="1267">
        <v>23.45</v>
      </c>
      <c r="BB172" s="1267">
        <v>8.86</v>
      </c>
      <c r="BC172" s="1267">
        <v>8.15</v>
      </c>
      <c r="BD172" s="1267">
        <v>5.49</v>
      </c>
      <c r="BE172" s="1267" t="s">
        <v>288</v>
      </c>
      <c r="BF172" s="2051">
        <v>10391</v>
      </c>
      <c r="BG172" s="2051">
        <v>3756</v>
      </c>
      <c r="BH172" s="2072"/>
      <c r="BI172" s="2072"/>
      <c r="BJ172" s="2072"/>
      <c r="BK172" s="1267">
        <f t="shared" si="122"/>
        <v>105.81744080354585</v>
      </c>
      <c r="BL172" s="1267">
        <f t="shared" si="123"/>
        <v>105.97988547781735</v>
      </c>
      <c r="BM172" s="1267">
        <f t="shared" si="124"/>
        <v>112.14520257915504</v>
      </c>
      <c r="BN172" s="1267">
        <f t="shared" si="125"/>
        <v>7.3909912070788701</v>
      </c>
      <c r="BO172" s="1267">
        <v>5</v>
      </c>
      <c r="BP172" s="1267">
        <v>5.42</v>
      </c>
      <c r="BQ172" s="1267">
        <v>9.4600000000000009</v>
      </c>
      <c r="BR172" s="1267">
        <f t="shared" si="140"/>
        <v>4.0400000000000009</v>
      </c>
      <c r="BS172" s="1267">
        <v>10.4</v>
      </c>
      <c r="BT172" s="1267">
        <v>12.71</v>
      </c>
      <c r="BU172" s="1267">
        <f t="shared" si="141"/>
        <v>2.3100000000000005</v>
      </c>
    </row>
    <row r="173" spans="1:73" s="154" customFormat="1" ht="9.9499999999999993" customHeight="1" x14ac:dyDescent="0.2">
      <c r="A173" s="160" t="s">
        <v>1404</v>
      </c>
      <c r="B173" s="275" t="s">
        <v>559</v>
      </c>
      <c r="C173" s="1922">
        <v>178237.9</v>
      </c>
      <c r="D173" s="1922">
        <v>1528.1</v>
      </c>
      <c r="E173" s="1922">
        <f t="shared" si="127"/>
        <v>179766</v>
      </c>
      <c r="F173" s="1922">
        <v>15161.7</v>
      </c>
      <c r="G173" s="1922">
        <f t="shared" si="128"/>
        <v>164604.29999999999</v>
      </c>
      <c r="H173" s="1922">
        <v>35985.9</v>
      </c>
      <c r="I173" s="1922">
        <v>76810.899999999994</v>
      </c>
      <c r="J173" s="1922">
        <v>108103.6</v>
      </c>
      <c r="K173" s="1922">
        <v>931733.5</v>
      </c>
      <c r="L173" s="1922">
        <f t="shared" si="129"/>
        <v>1039837.1</v>
      </c>
      <c r="M173" s="1922">
        <f t="shared" si="130"/>
        <v>1116648</v>
      </c>
      <c r="N173" s="1922">
        <v>716.2</v>
      </c>
      <c r="O173" s="1922">
        <v>245672.2</v>
      </c>
      <c r="P173" s="1922">
        <f t="shared" si="131"/>
        <v>273424.10000000003</v>
      </c>
      <c r="Q173" s="1922">
        <f t="shared" si="132"/>
        <v>1205157.6000000001</v>
      </c>
      <c r="R173" s="1922">
        <v>1517155.4999999998</v>
      </c>
      <c r="S173" s="1037">
        <v>0</v>
      </c>
      <c r="T173" s="1922">
        <v>21712.9</v>
      </c>
      <c r="U173" s="1922">
        <v>948971.5</v>
      </c>
      <c r="V173" s="1922">
        <f t="shared" si="133"/>
        <v>970684.4</v>
      </c>
      <c r="W173" s="1037">
        <v>0</v>
      </c>
      <c r="X173" s="1922">
        <v>2025.1</v>
      </c>
      <c r="Y173" s="1922">
        <v>29701.8</v>
      </c>
      <c r="Z173" s="1922">
        <f t="shared" si="134"/>
        <v>31726.899999999998</v>
      </c>
      <c r="AA173" s="2064">
        <v>28363.200000000001</v>
      </c>
      <c r="AB173" s="2064">
        <v>163729.1</v>
      </c>
      <c r="AC173" s="2064">
        <v>17468.2</v>
      </c>
      <c r="AD173" s="2064">
        <f t="shared" si="135"/>
        <v>181197.30000000002</v>
      </c>
      <c r="AE173" s="2064">
        <f t="shared" si="136"/>
        <v>28363.200000000001</v>
      </c>
      <c r="AF173" s="2064">
        <f t="shared" si="136"/>
        <v>187467.1</v>
      </c>
      <c r="AG173" s="2064">
        <f t="shared" si="136"/>
        <v>996141.5</v>
      </c>
      <c r="AH173" s="2064">
        <f t="shared" si="136"/>
        <v>1183608.6000000001</v>
      </c>
      <c r="AI173" s="1922">
        <v>11183</v>
      </c>
      <c r="AJ173" s="1922">
        <v>37497.800000000003</v>
      </c>
      <c r="AK173" s="1922">
        <v>36052.1</v>
      </c>
      <c r="AL173" s="1922">
        <v>41.7</v>
      </c>
      <c r="AM173" s="1922">
        <f>1116696.7-24.65</f>
        <v>1116672.05</v>
      </c>
      <c r="AN173" s="1922">
        <v>8078.1</v>
      </c>
      <c r="AO173" s="1922">
        <f t="shared" si="137"/>
        <v>1124750.1500000001</v>
      </c>
      <c r="AP173" s="1922">
        <f t="shared" si="142"/>
        <v>60732.479499999994</v>
      </c>
      <c r="AQ173" s="1922">
        <f t="shared" si="138"/>
        <v>4381.7664000000004</v>
      </c>
      <c r="AR173" s="1922">
        <f>65190-1.8841-73.87</f>
        <v>65114.245899999994</v>
      </c>
      <c r="AS173" s="1922">
        <v>2950169.7</v>
      </c>
      <c r="AT173" s="1922">
        <f t="shared" si="121"/>
        <v>244880.24589999998</v>
      </c>
      <c r="AU173" s="1922">
        <v>4000</v>
      </c>
      <c r="AV173" s="1922">
        <v>29222.3</v>
      </c>
      <c r="AW173" s="1922">
        <v>5360.7</v>
      </c>
      <c r="AX173" s="1922">
        <v>160083.1</v>
      </c>
      <c r="AY173" s="1922">
        <f t="shared" si="139"/>
        <v>198666.1</v>
      </c>
      <c r="AZ173" s="1289">
        <v>19.170000000000002</v>
      </c>
      <c r="BA173" s="1289">
        <v>27.11</v>
      </c>
      <c r="BB173" s="1289">
        <v>10.29</v>
      </c>
      <c r="BC173" s="1289">
        <v>11.43</v>
      </c>
      <c r="BD173" s="1289">
        <v>8.57</v>
      </c>
      <c r="BE173" s="1289" t="s">
        <v>288</v>
      </c>
      <c r="BF173" s="2047">
        <v>10391</v>
      </c>
      <c r="BG173" s="2047">
        <v>3757</v>
      </c>
      <c r="BH173" s="2072"/>
      <c r="BI173" s="2072"/>
      <c r="BJ173" s="2072"/>
      <c r="BK173" s="1289">
        <f t="shared" si="122"/>
        <v>105.9942890126067</v>
      </c>
      <c r="BL173" s="1289">
        <f t="shared" si="123"/>
        <v>107.46531132711</v>
      </c>
      <c r="BM173" s="1289">
        <f t="shared" si="124"/>
        <v>113.90709267635455</v>
      </c>
      <c r="BN173" s="1289">
        <f t="shared" si="125"/>
        <v>7.1888560208881378</v>
      </c>
      <c r="BO173" s="1289">
        <v>5</v>
      </c>
      <c r="BP173" s="1289">
        <v>5.46</v>
      </c>
      <c r="BQ173" s="1289">
        <v>9.51</v>
      </c>
      <c r="BR173" s="1289">
        <f t="shared" si="140"/>
        <v>4.05</v>
      </c>
      <c r="BS173" s="1289">
        <v>10.54</v>
      </c>
      <c r="BT173" s="1289">
        <v>12.81</v>
      </c>
      <c r="BU173" s="1289">
        <f t="shared" si="141"/>
        <v>2.2700000000000014</v>
      </c>
    </row>
    <row r="174" spans="1:73" s="154" customFormat="1" ht="9.9499999999999993" customHeight="1" x14ac:dyDescent="0.2">
      <c r="A174" s="160" t="s">
        <v>1404</v>
      </c>
      <c r="B174" s="236" t="s">
        <v>550</v>
      </c>
      <c r="C174" s="1924">
        <v>168858.3</v>
      </c>
      <c r="D174" s="1924">
        <v>1528.8</v>
      </c>
      <c r="E174" s="1924">
        <f t="shared" si="127"/>
        <v>170387.09999999998</v>
      </c>
      <c r="F174" s="1924">
        <v>16100.1</v>
      </c>
      <c r="G174" s="1924">
        <f t="shared" si="128"/>
        <v>154286.99999999997</v>
      </c>
      <c r="H174" s="1924">
        <v>39425.5</v>
      </c>
      <c r="I174" s="1924">
        <v>82779.3</v>
      </c>
      <c r="J174" s="1924">
        <v>118217.9</v>
      </c>
      <c r="K174" s="1924">
        <v>946318.1</v>
      </c>
      <c r="L174" s="1924">
        <f t="shared" si="129"/>
        <v>1064536</v>
      </c>
      <c r="M174" s="1924">
        <f t="shared" si="130"/>
        <v>1147315.3</v>
      </c>
      <c r="N174" s="1924">
        <v>788.5</v>
      </c>
      <c r="O174" s="1924">
        <v>246187.7</v>
      </c>
      <c r="P174" s="1924">
        <f t="shared" si="131"/>
        <v>273293.39999999997</v>
      </c>
      <c r="Q174" s="1924">
        <f t="shared" si="132"/>
        <v>1219611.5</v>
      </c>
      <c r="R174" s="1924">
        <v>1534026.9</v>
      </c>
      <c r="S174" s="2050">
        <v>0</v>
      </c>
      <c r="T174" s="1924">
        <v>20919.7</v>
      </c>
      <c r="U174" s="1924">
        <v>959297.9</v>
      </c>
      <c r="V174" s="1924">
        <f t="shared" si="133"/>
        <v>980217.6</v>
      </c>
      <c r="W174" s="2050">
        <v>0</v>
      </c>
      <c r="X174" s="1924">
        <v>1846.4</v>
      </c>
      <c r="Y174" s="1924">
        <v>28721.3</v>
      </c>
      <c r="Z174" s="1924">
        <f t="shared" si="134"/>
        <v>30567.7</v>
      </c>
      <c r="AA174" s="2066">
        <v>26155.9</v>
      </c>
      <c r="AB174" s="2066">
        <v>171543.8</v>
      </c>
      <c r="AC174" s="2066">
        <v>17447.099999999999</v>
      </c>
      <c r="AD174" s="2066">
        <f t="shared" si="135"/>
        <v>188990.9</v>
      </c>
      <c r="AE174" s="2066">
        <f t="shared" si="136"/>
        <v>26155.9</v>
      </c>
      <c r="AF174" s="2066">
        <f t="shared" si="136"/>
        <v>194309.9</v>
      </c>
      <c r="AG174" s="2066">
        <f t="shared" si="136"/>
        <v>1005466.3</v>
      </c>
      <c r="AH174" s="2066">
        <f t="shared" si="136"/>
        <v>1199776.2</v>
      </c>
      <c r="AI174" s="1924">
        <v>10348.200000000001</v>
      </c>
      <c r="AJ174" s="1924">
        <v>35369.800000000003</v>
      </c>
      <c r="AK174" s="1924">
        <v>35152.699999999997</v>
      </c>
      <c r="AL174" s="1924">
        <v>146.6</v>
      </c>
      <c r="AM174" s="1924">
        <f>1147364.2-25.52</f>
        <v>1147338.68</v>
      </c>
      <c r="AN174" s="1924">
        <v>7705.6</v>
      </c>
      <c r="AO174" s="1924">
        <f t="shared" si="137"/>
        <v>1155044.28</v>
      </c>
      <c r="AP174" s="1924">
        <f>0.055*AO172</f>
        <v>60993.162450000003</v>
      </c>
      <c r="AQ174" s="1924">
        <f t="shared" si="138"/>
        <v>13942.628850000008</v>
      </c>
      <c r="AR174" s="1924">
        <f>75012.1-2.6387-73.67</f>
        <v>74935.791300000012</v>
      </c>
      <c r="AS174" s="1924">
        <v>3029188.4</v>
      </c>
      <c r="AT174" s="1924">
        <f t="shared" si="121"/>
        <v>245322.89129999999</v>
      </c>
      <c r="AU174" s="1924">
        <v>1422.9</v>
      </c>
      <c r="AV174" s="1924">
        <v>30233</v>
      </c>
      <c r="AW174" s="1924">
        <v>4900.8</v>
      </c>
      <c r="AX174" s="1924">
        <v>168433.9</v>
      </c>
      <c r="AY174" s="1924">
        <f t="shared" si="139"/>
        <v>204990.59999999998</v>
      </c>
      <c r="AZ174" s="1267">
        <v>19.37</v>
      </c>
      <c r="BA174" s="1267">
        <v>21.64</v>
      </c>
      <c r="BB174" s="1267">
        <v>11.32</v>
      </c>
      <c r="BC174" s="1267">
        <v>12.26</v>
      </c>
      <c r="BD174" s="1267">
        <v>9.8800000000000008</v>
      </c>
      <c r="BE174" s="1267" t="s">
        <v>288</v>
      </c>
      <c r="BF174" s="2051">
        <v>10396</v>
      </c>
      <c r="BG174" s="2051">
        <v>3759</v>
      </c>
      <c r="BH174" s="2072"/>
      <c r="BI174" s="2072"/>
      <c r="BJ174" s="2072"/>
      <c r="BK174" s="1267">
        <f t="shared" si="122"/>
        <v>104.57036103759702</v>
      </c>
      <c r="BL174" s="1267">
        <f t="shared" si="123"/>
        <v>110.36347441323585</v>
      </c>
      <c r="BM174" s="1267">
        <f t="shared" si="124"/>
        <v>115.40748364755675</v>
      </c>
      <c r="BN174" s="1267">
        <f t="shared" si="125"/>
        <v>7.9345264730375886</v>
      </c>
      <c r="BO174" s="1267">
        <v>5</v>
      </c>
      <c r="BP174" s="1267">
        <v>5.43</v>
      </c>
      <c r="BQ174" s="1267">
        <v>9.58</v>
      </c>
      <c r="BR174" s="1267">
        <f t="shared" si="140"/>
        <v>4.1500000000000004</v>
      </c>
      <c r="BS174" s="1267">
        <v>10.56</v>
      </c>
      <c r="BT174" s="1267">
        <v>13</v>
      </c>
      <c r="BU174" s="1267">
        <f t="shared" si="141"/>
        <v>2.4399999999999995</v>
      </c>
    </row>
    <row r="175" spans="1:73" s="154" customFormat="1" ht="9.9499999999999993" customHeight="1" x14ac:dyDescent="0.2">
      <c r="A175" s="160" t="s">
        <v>1484</v>
      </c>
      <c r="B175" s="279" t="s">
        <v>552</v>
      </c>
      <c r="C175" s="1924">
        <v>170895.7</v>
      </c>
      <c r="D175" s="1924">
        <v>1532.5</v>
      </c>
      <c r="E175" s="1924">
        <f t="shared" ref="E175:E186" si="143">C175+D175</f>
        <v>172428.2</v>
      </c>
      <c r="F175" s="1924">
        <v>14597.1</v>
      </c>
      <c r="G175" s="1924">
        <f t="shared" ref="G175:G186" si="144">E175-F175</f>
        <v>157831.1</v>
      </c>
      <c r="H175" s="1924">
        <v>34568.199999999997</v>
      </c>
      <c r="I175" s="1924">
        <v>82205.399999999994</v>
      </c>
      <c r="J175" s="1924">
        <v>114430</v>
      </c>
      <c r="K175" s="1924">
        <v>956594.6</v>
      </c>
      <c r="L175" s="1924">
        <f t="shared" ref="L175:L186" si="145">J175+K175</f>
        <v>1071024.6000000001</v>
      </c>
      <c r="M175" s="1924">
        <f t="shared" ref="M175:M186" si="146">I175+L175</f>
        <v>1153230</v>
      </c>
      <c r="N175" s="1924">
        <v>716.7</v>
      </c>
      <c r="O175" s="1924">
        <v>243553.60000000003</v>
      </c>
      <c r="P175" s="1924">
        <f t="shared" ref="P175:P186" si="147">G175+J175+N175</f>
        <v>272977.8</v>
      </c>
      <c r="Q175" s="1924">
        <f t="shared" ref="Q175:Q186" si="148">K175+P175</f>
        <v>1229572.3999999999</v>
      </c>
      <c r="R175" s="1924">
        <v>1545936.0999999999</v>
      </c>
      <c r="S175" s="2050">
        <v>0</v>
      </c>
      <c r="T175" s="1924">
        <v>21704.9</v>
      </c>
      <c r="U175" s="1924">
        <v>952808.2</v>
      </c>
      <c r="V175" s="1924">
        <f t="shared" ref="V175:V186" si="149">T175+U175</f>
        <v>974513.1</v>
      </c>
      <c r="W175" s="2050">
        <v>0</v>
      </c>
      <c r="X175" s="1924">
        <v>1846.9</v>
      </c>
      <c r="Y175" s="1924">
        <v>27850.9</v>
      </c>
      <c r="Z175" s="1924">
        <f t="shared" ref="Z175:Z186" si="150">X175+Y175</f>
        <v>29697.800000000003</v>
      </c>
      <c r="AA175" s="2066">
        <v>26301.599999999999</v>
      </c>
      <c r="AB175" s="2066">
        <v>188653.7</v>
      </c>
      <c r="AC175" s="2066">
        <v>17501.7</v>
      </c>
      <c r="AD175" s="2066">
        <f t="shared" ref="AD175:AD186" si="151">AB175+AC175</f>
        <v>206155.40000000002</v>
      </c>
      <c r="AE175" s="2066">
        <f t="shared" ref="AE175:AH186" si="152">S175+W175+AA175</f>
        <v>26301.599999999999</v>
      </c>
      <c r="AF175" s="2066">
        <f t="shared" si="152"/>
        <v>212205.5</v>
      </c>
      <c r="AG175" s="2066">
        <f t="shared" si="152"/>
        <v>998160.79999999993</v>
      </c>
      <c r="AH175" s="2066">
        <f t="shared" si="152"/>
        <v>1210366.3</v>
      </c>
      <c r="AI175" s="1924">
        <v>9447.6</v>
      </c>
      <c r="AJ175" s="1924">
        <v>36924.699999999997</v>
      </c>
      <c r="AK175" s="1924">
        <v>34760.5</v>
      </c>
      <c r="AL175" s="1924">
        <v>46.8</v>
      </c>
      <c r="AM175" s="1924">
        <f>1153279.1-25.72</f>
        <v>1153253.3800000001</v>
      </c>
      <c r="AN175" s="1924">
        <v>7752.4</v>
      </c>
      <c r="AO175" s="1924">
        <f t="shared" ref="AO175:AO186" si="153">AM175+AN175</f>
        <v>1161005.78</v>
      </c>
      <c r="AP175" s="1924">
        <f>0.055*1124750.2</f>
        <v>61861.260999999999</v>
      </c>
      <c r="AQ175" s="1924">
        <f t="shared" ref="AQ175:AQ186" si="154">AR175-AP175</f>
        <v>8468.7027999999991</v>
      </c>
      <c r="AR175" s="2040">
        <f>70408.7-2.9662-75.77</f>
        <v>70329.963799999998</v>
      </c>
      <c r="AS175" s="1924">
        <v>3076386.8</v>
      </c>
      <c r="AT175" s="1924">
        <f t="shared" si="121"/>
        <v>242758.16380000001</v>
      </c>
      <c r="AU175" s="1924">
        <v>2388.6</v>
      </c>
      <c r="AV175" s="1924">
        <v>29206.2</v>
      </c>
      <c r="AW175" s="1924">
        <v>4762.2</v>
      </c>
      <c r="AX175" s="1924">
        <v>185491.3</v>
      </c>
      <c r="AY175" s="1924">
        <f t="shared" ref="AY175:AY186" si="155">AX175+AW175+AV175+AU175</f>
        <v>221848.30000000002</v>
      </c>
      <c r="AZ175" s="1267">
        <v>14.73</v>
      </c>
      <c r="BA175" s="1267">
        <v>4.57</v>
      </c>
      <c r="BB175" s="1267">
        <v>-0.72</v>
      </c>
      <c r="BC175" s="1267">
        <v>0.91</v>
      </c>
      <c r="BD175" s="1267">
        <v>0.82</v>
      </c>
      <c r="BE175" s="1267" t="s">
        <v>288</v>
      </c>
      <c r="BF175" s="2051">
        <v>3760</v>
      </c>
      <c r="BG175" s="2073">
        <v>1481</v>
      </c>
      <c r="BH175" s="2073">
        <v>5069</v>
      </c>
      <c r="BI175" s="2051">
        <v>65</v>
      </c>
      <c r="BJ175" s="2051">
        <f>SUM(BF175:BI175)</f>
        <v>10375</v>
      </c>
      <c r="BK175" s="1267">
        <f t="shared" si="122"/>
        <v>104.95233059711472</v>
      </c>
      <c r="BL175" s="1267">
        <f t="shared" ref="BL175:BL198" si="156">AM175/BJ175</f>
        <v>111.15695228915664</v>
      </c>
      <c r="BM175" s="1267">
        <f t="shared" ref="BM175:BM198" si="157">AH175/BJ175</f>
        <v>116.66181204819277</v>
      </c>
      <c r="BN175" s="1267">
        <f t="shared" si="125"/>
        <v>7.3641287572033827</v>
      </c>
      <c r="BO175" s="1267">
        <v>5</v>
      </c>
      <c r="BP175" s="1267">
        <v>5.56</v>
      </c>
      <c r="BQ175" s="1267">
        <v>9.59</v>
      </c>
      <c r="BR175" s="1267">
        <f t="shared" ref="BR175:BR186" si="158">BQ175-BP175</f>
        <v>4.03</v>
      </c>
      <c r="BS175" s="1267">
        <v>10.65</v>
      </c>
      <c r="BT175" s="1267">
        <v>12.99</v>
      </c>
      <c r="BU175" s="1267">
        <f t="shared" ref="BU175:BU186" si="159">BT175-BS175</f>
        <v>2.34</v>
      </c>
    </row>
    <row r="176" spans="1:73" s="154" customFormat="1" ht="9.9499999999999993" customHeight="1" x14ac:dyDescent="0.2">
      <c r="A176" s="160" t="s">
        <v>1484</v>
      </c>
      <c r="B176" s="24" t="s">
        <v>553</v>
      </c>
      <c r="C176" s="1922">
        <v>178627.1</v>
      </c>
      <c r="D176" s="1922">
        <v>1534.4</v>
      </c>
      <c r="E176" s="1922">
        <f t="shared" si="143"/>
        <v>180161.5</v>
      </c>
      <c r="F176" s="1922">
        <v>14990.9</v>
      </c>
      <c r="G176" s="1922">
        <f t="shared" si="144"/>
        <v>165170.6</v>
      </c>
      <c r="H176" s="1922">
        <v>33549.1</v>
      </c>
      <c r="I176" s="1922">
        <v>78804.399999999994</v>
      </c>
      <c r="J176" s="1922">
        <v>110436.4</v>
      </c>
      <c r="K176" s="1922">
        <v>969983.5</v>
      </c>
      <c r="L176" s="1922">
        <f t="shared" si="145"/>
        <v>1080419.8999999999</v>
      </c>
      <c r="M176" s="1922">
        <f t="shared" si="146"/>
        <v>1159224.2999999998</v>
      </c>
      <c r="N176" s="1922">
        <v>714.8</v>
      </c>
      <c r="O176" s="1922">
        <v>251388</v>
      </c>
      <c r="P176" s="1922">
        <f t="shared" si="147"/>
        <v>276321.8</v>
      </c>
      <c r="Q176" s="1922">
        <f t="shared" si="148"/>
        <v>1246305.3</v>
      </c>
      <c r="R176" s="1922">
        <v>1564894</v>
      </c>
      <c r="S176" s="1037">
        <v>0</v>
      </c>
      <c r="T176" s="1922">
        <v>21484.9</v>
      </c>
      <c r="U176" s="1922">
        <v>956876.6</v>
      </c>
      <c r="V176" s="1922">
        <f t="shared" si="149"/>
        <v>978361.5</v>
      </c>
      <c r="W176" s="1037">
        <v>0</v>
      </c>
      <c r="X176" s="1922">
        <v>2049.9</v>
      </c>
      <c r="Y176" s="1922">
        <v>27929.1</v>
      </c>
      <c r="Z176" s="1922">
        <f t="shared" si="150"/>
        <v>29979</v>
      </c>
      <c r="AA176" s="2064">
        <v>28508.3</v>
      </c>
      <c r="AB176" s="2064">
        <v>192166.6</v>
      </c>
      <c r="AC176" s="2064">
        <v>17791.099999999999</v>
      </c>
      <c r="AD176" s="2064">
        <f t="shared" si="151"/>
        <v>209957.7</v>
      </c>
      <c r="AE176" s="2064">
        <f t="shared" si="152"/>
        <v>28508.3</v>
      </c>
      <c r="AF176" s="2064">
        <f t="shared" si="152"/>
        <v>215701.40000000002</v>
      </c>
      <c r="AG176" s="2064">
        <f t="shared" si="152"/>
        <v>1002596.7999999999</v>
      </c>
      <c r="AH176" s="2064">
        <f t="shared" si="152"/>
        <v>1218298.2</v>
      </c>
      <c r="AI176" s="1922">
        <v>8392</v>
      </c>
      <c r="AJ176" s="1922">
        <v>39354.6</v>
      </c>
      <c r="AK176" s="1922">
        <v>33914.300000000003</v>
      </c>
      <c r="AL176" s="1922">
        <v>29.2</v>
      </c>
      <c r="AM176" s="1922">
        <f>1159273.3-25.32</f>
        <v>1159247.98</v>
      </c>
      <c r="AN176" s="1922">
        <v>9232.5</v>
      </c>
      <c r="AO176" s="1922">
        <f t="shared" si="153"/>
        <v>1168480.48</v>
      </c>
      <c r="AP176" s="1922">
        <f>0.055*1155044.3</f>
        <v>63527.436500000003</v>
      </c>
      <c r="AQ176" s="1922">
        <f t="shared" si="154"/>
        <v>6915.7619999999952</v>
      </c>
      <c r="AR176" s="2046">
        <f>70511.7-2.7315-65.77</f>
        <v>70443.198499999999</v>
      </c>
      <c r="AS176" s="1922">
        <v>3133103.4</v>
      </c>
      <c r="AT176" s="1922">
        <f t="shared" si="121"/>
        <v>250604.6985</v>
      </c>
      <c r="AU176" s="1922">
        <v>0</v>
      </c>
      <c r="AV176" s="1922">
        <v>36638.199999999997</v>
      </c>
      <c r="AW176" s="1922">
        <v>4768.2</v>
      </c>
      <c r="AX176" s="1922">
        <v>189005.8</v>
      </c>
      <c r="AY176" s="1922">
        <f t="shared" si="155"/>
        <v>230412.2</v>
      </c>
      <c r="AZ176" s="1289">
        <v>22.16</v>
      </c>
      <c r="BA176" s="1289">
        <v>4.4800000000000004</v>
      </c>
      <c r="BB176" s="1289">
        <v>-0.28000000000000003</v>
      </c>
      <c r="BC176" s="1289">
        <v>2.0299999999999998</v>
      </c>
      <c r="BD176" s="1289">
        <v>2.19</v>
      </c>
      <c r="BE176" s="1289" t="s">
        <v>288</v>
      </c>
      <c r="BF176" s="2047">
        <v>3760</v>
      </c>
      <c r="BG176" s="2072">
        <v>1481</v>
      </c>
      <c r="BH176" s="2072">
        <v>5082</v>
      </c>
      <c r="BI176" s="2047">
        <v>65</v>
      </c>
      <c r="BJ176" s="2047">
        <v>10388</v>
      </c>
      <c r="BK176" s="1289">
        <f t="shared" si="122"/>
        <v>105.0938385072709</v>
      </c>
      <c r="BL176" s="1289">
        <f t="shared" si="156"/>
        <v>111.59491528686947</v>
      </c>
      <c r="BM176" s="1289">
        <f t="shared" si="157"/>
        <v>117.27938005390835</v>
      </c>
      <c r="BN176" s="1289">
        <f t="shared" si="125"/>
        <v>7.3697862729939789</v>
      </c>
      <c r="BO176" s="1289">
        <v>5</v>
      </c>
      <c r="BP176" s="1289">
        <v>5.6</v>
      </c>
      <c r="BQ176" s="1289">
        <v>9.6</v>
      </c>
      <c r="BR176" s="1289">
        <f t="shared" si="158"/>
        <v>4</v>
      </c>
      <c r="BS176" s="1289">
        <v>10.62</v>
      </c>
      <c r="BT176" s="1289">
        <v>12.96</v>
      </c>
      <c r="BU176" s="1289">
        <f t="shared" si="159"/>
        <v>2.3400000000000016</v>
      </c>
    </row>
    <row r="177" spans="1:73" s="154" customFormat="1" ht="9.9499999999999993" customHeight="1" x14ac:dyDescent="0.2">
      <c r="A177" s="160" t="s">
        <v>1484</v>
      </c>
      <c r="B177" s="279" t="s">
        <v>547</v>
      </c>
      <c r="C177" s="1924">
        <v>172411.3</v>
      </c>
      <c r="D177" s="1924">
        <v>1535.5</v>
      </c>
      <c r="E177" s="1924">
        <f t="shared" si="143"/>
        <v>173946.8</v>
      </c>
      <c r="F177" s="1924">
        <v>16039.1</v>
      </c>
      <c r="G177" s="1924">
        <f t="shared" si="144"/>
        <v>157907.69999999998</v>
      </c>
      <c r="H177" s="1924">
        <v>31008.9</v>
      </c>
      <c r="I177" s="1924">
        <v>76928.800000000003</v>
      </c>
      <c r="J177" s="1924">
        <v>112179.2</v>
      </c>
      <c r="K177" s="1924">
        <v>981061.1</v>
      </c>
      <c r="L177" s="1924">
        <f t="shared" si="145"/>
        <v>1093240.3</v>
      </c>
      <c r="M177" s="1924">
        <f t="shared" si="146"/>
        <v>1170169.1000000001</v>
      </c>
      <c r="N177" s="1924">
        <v>732.9</v>
      </c>
      <c r="O177" s="1924">
        <v>247187.99999999997</v>
      </c>
      <c r="P177" s="1924">
        <f t="shared" si="147"/>
        <v>270819.8</v>
      </c>
      <c r="Q177" s="1924">
        <f t="shared" si="148"/>
        <v>1251880.8999999999</v>
      </c>
      <c r="R177" s="1924">
        <v>1571616.2</v>
      </c>
      <c r="S177" s="2050">
        <v>0</v>
      </c>
      <c r="T177" s="1924">
        <v>22208.799999999999</v>
      </c>
      <c r="U177" s="1924">
        <v>966257.3</v>
      </c>
      <c r="V177" s="1924">
        <f t="shared" si="149"/>
        <v>988466.10000000009</v>
      </c>
      <c r="W177" s="2050">
        <v>0</v>
      </c>
      <c r="X177" s="1924">
        <v>2019.2</v>
      </c>
      <c r="Y177" s="1924">
        <v>27340.6</v>
      </c>
      <c r="Z177" s="1924">
        <f t="shared" si="150"/>
        <v>29359.8</v>
      </c>
      <c r="AA177" s="2066">
        <v>23976.400000000001</v>
      </c>
      <c r="AB177" s="2066">
        <v>194291.4</v>
      </c>
      <c r="AC177" s="2066">
        <v>18281.400000000001</v>
      </c>
      <c r="AD177" s="2066">
        <f t="shared" si="151"/>
        <v>212572.79999999999</v>
      </c>
      <c r="AE177" s="2066">
        <f t="shared" si="152"/>
        <v>23976.400000000001</v>
      </c>
      <c r="AF177" s="2066">
        <f t="shared" si="152"/>
        <v>218519.4</v>
      </c>
      <c r="AG177" s="2066">
        <f t="shared" si="152"/>
        <v>1011879.3</v>
      </c>
      <c r="AH177" s="2066">
        <f t="shared" si="152"/>
        <v>1230398.7000000002</v>
      </c>
      <c r="AI177" s="1924">
        <v>8342.7999999999993</v>
      </c>
      <c r="AJ177" s="1924">
        <v>37687.699999999997</v>
      </c>
      <c r="AK177" s="1924">
        <v>32718.6</v>
      </c>
      <c r="AL177" s="1924">
        <v>133.69999999999999</v>
      </c>
      <c r="AM177" s="1924">
        <f>1170218.1-25.41</f>
        <v>1170192.6900000002</v>
      </c>
      <c r="AN177" s="1924">
        <v>8136.6</v>
      </c>
      <c r="AO177" s="1924">
        <f t="shared" si="153"/>
        <v>1178329.2900000003</v>
      </c>
      <c r="AP177" s="1924">
        <f>0.055*AO175</f>
        <v>63855.317900000002</v>
      </c>
      <c r="AQ177" s="1924">
        <f t="shared" si="154"/>
        <v>8585.5851999999941</v>
      </c>
      <c r="AR177" s="2040">
        <f>72508.3-1.6869-65.71</f>
        <v>72440.903099999996</v>
      </c>
      <c r="AS177" s="1924">
        <v>3159959.6</v>
      </c>
      <c r="AT177" s="1924">
        <f t="shared" si="121"/>
        <v>246387.70309999998</v>
      </c>
      <c r="AU177" s="1924">
        <v>0</v>
      </c>
      <c r="AV177" s="1924">
        <v>33948</v>
      </c>
      <c r="AW177" s="1924">
        <v>4372.3999999999996</v>
      </c>
      <c r="AX177" s="1924">
        <v>190880.8</v>
      </c>
      <c r="AY177" s="1924">
        <f t="shared" si="155"/>
        <v>229201.19999999998</v>
      </c>
      <c r="AZ177" s="1267">
        <v>24.28</v>
      </c>
      <c r="BA177" s="1267">
        <v>10.24</v>
      </c>
      <c r="BB177" s="1267">
        <v>0.64</v>
      </c>
      <c r="BC177" s="1267">
        <v>3.17</v>
      </c>
      <c r="BD177" s="1267">
        <v>2.65</v>
      </c>
      <c r="BE177" s="1267" t="s">
        <v>288</v>
      </c>
      <c r="BF177" s="2051">
        <v>3763</v>
      </c>
      <c r="BG177" s="2073">
        <v>1482</v>
      </c>
      <c r="BH177" s="2073">
        <v>5096</v>
      </c>
      <c r="BI177" s="2051">
        <v>65</v>
      </c>
      <c r="BJ177" s="2051">
        <v>10406</v>
      </c>
      <c r="BK177" s="1267">
        <f t="shared" si="122"/>
        <v>105.14496548427421</v>
      </c>
      <c r="BL177" s="1267">
        <f t="shared" si="156"/>
        <v>112.45365077839709</v>
      </c>
      <c r="BM177" s="1267">
        <f t="shared" si="157"/>
        <v>118.23935229675189</v>
      </c>
      <c r="BN177" s="1267">
        <f t="shared" si="125"/>
        <v>7.5611481644104268</v>
      </c>
      <c r="BO177" s="1267">
        <v>5</v>
      </c>
      <c r="BP177" s="1267">
        <v>5.65</v>
      </c>
      <c r="BQ177" s="1267">
        <v>9.56</v>
      </c>
      <c r="BR177" s="1267">
        <f t="shared" si="158"/>
        <v>3.91</v>
      </c>
      <c r="BS177" s="1267">
        <v>10.62</v>
      </c>
      <c r="BT177" s="1267">
        <v>12.91</v>
      </c>
      <c r="BU177" s="1267">
        <f t="shared" si="159"/>
        <v>2.2900000000000009</v>
      </c>
    </row>
    <row r="178" spans="1:73" s="154" customFormat="1" ht="9.9499999999999993" customHeight="1" x14ac:dyDescent="0.2">
      <c r="A178" s="160" t="s">
        <v>1484</v>
      </c>
      <c r="B178" s="24" t="s">
        <v>554</v>
      </c>
      <c r="C178" s="1922">
        <v>167210.1</v>
      </c>
      <c r="D178" s="1922">
        <v>1535</v>
      </c>
      <c r="E178" s="1922">
        <f t="shared" si="143"/>
        <v>168745.1</v>
      </c>
      <c r="F178" s="1922">
        <v>13917.4</v>
      </c>
      <c r="G178" s="1922">
        <f t="shared" si="144"/>
        <v>154827.70000000001</v>
      </c>
      <c r="H178" s="1922">
        <v>30746.7</v>
      </c>
      <c r="I178" s="1922">
        <v>80454.2</v>
      </c>
      <c r="J178" s="1922">
        <v>113252</v>
      </c>
      <c r="K178" s="1922">
        <v>993006.4</v>
      </c>
      <c r="L178" s="1922">
        <f t="shared" si="145"/>
        <v>1106258.3999999999</v>
      </c>
      <c r="M178" s="1922">
        <f t="shared" si="146"/>
        <v>1186712.5999999999</v>
      </c>
      <c r="N178" s="1922">
        <v>725.1</v>
      </c>
      <c r="O178" s="1922">
        <v>251037.9</v>
      </c>
      <c r="P178" s="1922">
        <f t="shared" si="147"/>
        <v>268804.8</v>
      </c>
      <c r="Q178" s="1922">
        <f t="shared" si="148"/>
        <v>1261811.2</v>
      </c>
      <c r="R178" s="1922">
        <v>1582129.1999999997</v>
      </c>
      <c r="S178" s="1037">
        <v>0</v>
      </c>
      <c r="T178" s="1922">
        <v>22417.4</v>
      </c>
      <c r="U178" s="1922">
        <v>975834.8</v>
      </c>
      <c r="V178" s="1922">
        <f t="shared" si="149"/>
        <v>998252.20000000007</v>
      </c>
      <c r="W178" s="1037">
        <v>0</v>
      </c>
      <c r="X178" s="1922">
        <v>1926.5</v>
      </c>
      <c r="Y178" s="1922">
        <v>26619.599999999999</v>
      </c>
      <c r="Z178" s="1922">
        <f t="shared" si="150"/>
        <v>28546.1</v>
      </c>
      <c r="AA178" s="2064">
        <v>23762.799999999999</v>
      </c>
      <c r="AB178" s="2064">
        <v>199205.7</v>
      </c>
      <c r="AC178" s="2064">
        <v>18688.8</v>
      </c>
      <c r="AD178" s="2064">
        <f t="shared" si="151"/>
        <v>217894.5</v>
      </c>
      <c r="AE178" s="2064">
        <f t="shared" si="152"/>
        <v>23762.799999999999</v>
      </c>
      <c r="AF178" s="2064">
        <f t="shared" si="152"/>
        <v>223549.6</v>
      </c>
      <c r="AG178" s="2064">
        <f t="shared" si="152"/>
        <v>1021143.2000000001</v>
      </c>
      <c r="AH178" s="2064">
        <f t="shared" si="152"/>
        <v>1244692.8</v>
      </c>
      <c r="AI178" s="1922">
        <v>7807.3</v>
      </c>
      <c r="AJ178" s="1922">
        <v>37657.800000000003</v>
      </c>
      <c r="AK178" s="1922">
        <v>29362.1</v>
      </c>
      <c r="AL178" s="1922">
        <v>47.9</v>
      </c>
      <c r="AM178" s="1922">
        <f>1186761.7-25</f>
        <v>1186736.7</v>
      </c>
      <c r="AN178" s="1922">
        <v>8818.7999999999993</v>
      </c>
      <c r="AO178" s="1922">
        <f t="shared" si="153"/>
        <v>1195555.5</v>
      </c>
      <c r="AP178" s="1922">
        <f>0.055*AO176</f>
        <v>64266.426399999997</v>
      </c>
      <c r="AQ178" s="1922">
        <f t="shared" si="154"/>
        <v>17234.619899999991</v>
      </c>
      <c r="AR178" s="2046">
        <f>81567.7-0.9437-65.71</f>
        <v>81501.046299999987</v>
      </c>
      <c r="AS178" s="1922">
        <v>3217841.2</v>
      </c>
      <c r="AT178" s="1922">
        <f t="shared" si="121"/>
        <v>250246.14629999999</v>
      </c>
      <c r="AU178" s="1922">
        <v>6000</v>
      </c>
      <c r="AV178" s="1922">
        <v>33826.9</v>
      </c>
      <c r="AW178" s="1922">
        <v>4589.6000000000004</v>
      </c>
      <c r="AX178" s="1922">
        <v>195595.2</v>
      </c>
      <c r="AY178" s="1922">
        <f t="shared" si="155"/>
        <v>240011.7</v>
      </c>
      <c r="AZ178" s="1289">
        <v>30.35</v>
      </c>
      <c r="BA178" s="1289">
        <v>10.67</v>
      </c>
      <c r="BB178" s="1289">
        <v>1.55</v>
      </c>
      <c r="BC178" s="1289">
        <v>4.58</v>
      </c>
      <c r="BD178" s="1289">
        <v>3.46</v>
      </c>
      <c r="BE178" s="1289" t="s">
        <v>288</v>
      </c>
      <c r="BF178" s="2047">
        <v>3764</v>
      </c>
      <c r="BG178" s="2072">
        <v>1482</v>
      </c>
      <c r="BH178" s="2072">
        <v>5115</v>
      </c>
      <c r="BI178" s="2047">
        <v>65</v>
      </c>
      <c r="BJ178" s="2047">
        <v>10426</v>
      </c>
      <c r="BK178" s="1289">
        <f t="shared" si="122"/>
        <v>104.88365279341241</v>
      </c>
      <c r="BL178" s="1289">
        <f t="shared" si="156"/>
        <v>113.82473623633224</v>
      </c>
      <c r="BM178" s="1289">
        <f t="shared" si="157"/>
        <v>119.38354114713218</v>
      </c>
      <c r="BN178" s="1289">
        <f t="shared" si="125"/>
        <v>8.0404057867259002</v>
      </c>
      <c r="BO178" s="1289">
        <v>5</v>
      </c>
      <c r="BP178" s="1289">
        <v>5.66</v>
      </c>
      <c r="BQ178" s="1289">
        <v>9.58</v>
      </c>
      <c r="BR178" s="1289">
        <f t="shared" si="158"/>
        <v>3.92</v>
      </c>
      <c r="BS178" s="1289">
        <v>10.6</v>
      </c>
      <c r="BT178" s="1289">
        <v>12.98</v>
      </c>
      <c r="BU178" s="1289">
        <f t="shared" si="159"/>
        <v>2.3800000000000008</v>
      </c>
    </row>
    <row r="179" spans="1:73" s="154" customFormat="1" ht="9.9499999999999993" customHeight="1" x14ac:dyDescent="0.2">
      <c r="A179" s="160" t="s">
        <v>1484</v>
      </c>
      <c r="B179" s="279" t="s">
        <v>555</v>
      </c>
      <c r="C179" s="1924">
        <v>167464.6</v>
      </c>
      <c r="D179" s="1924">
        <v>1535.7</v>
      </c>
      <c r="E179" s="1924">
        <f t="shared" si="143"/>
        <v>169000.30000000002</v>
      </c>
      <c r="F179" s="1924">
        <v>13746.7</v>
      </c>
      <c r="G179" s="1924">
        <f t="shared" si="144"/>
        <v>155253.6</v>
      </c>
      <c r="H179" s="1924">
        <v>29462.2</v>
      </c>
      <c r="I179" s="1924">
        <v>81391.100000000006</v>
      </c>
      <c r="J179" s="1924">
        <v>113932.7</v>
      </c>
      <c r="K179" s="1924">
        <v>1005555.2</v>
      </c>
      <c r="L179" s="1924">
        <f t="shared" si="145"/>
        <v>1119487.8999999999</v>
      </c>
      <c r="M179" s="1924">
        <f t="shared" si="146"/>
        <v>1200879</v>
      </c>
      <c r="N179" s="1924">
        <v>735.5</v>
      </c>
      <c r="O179" s="1924">
        <v>246186.90000000002</v>
      </c>
      <c r="P179" s="1924">
        <f t="shared" si="147"/>
        <v>269921.8</v>
      </c>
      <c r="Q179" s="1924">
        <f t="shared" si="148"/>
        <v>1275477</v>
      </c>
      <c r="R179" s="1924">
        <v>1597260.0999999999</v>
      </c>
      <c r="S179" s="2050">
        <v>0</v>
      </c>
      <c r="T179" s="1924">
        <v>23292.3</v>
      </c>
      <c r="U179" s="1924">
        <v>984935</v>
      </c>
      <c r="V179" s="1924">
        <f t="shared" si="149"/>
        <v>1008227.3</v>
      </c>
      <c r="W179" s="2050">
        <v>0</v>
      </c>
      <c r="X179" s="1924">
        <v>1882.7</v>
      </c>
      <c r="Y179" s="1924">
        <v>27297.1</v>
      </c>
      <c r="Z179" s="1924">
        <f t="shared" si="150"/>
        <v>29179.8</v>
      </c>
      <c r="AA179" s="2066">
        <v>24441.1</v>
      </c>
      <c r="AB179" s="2066">
        <v>208745.9</v>
      </c>
      <c r="AC179" s="2066">
        <v>18778.400000000001</v>
      </c>
      <c r="AD179" s="2066">
        <f t="shared" si="151"/>
        <v>227524.3</v>
      </c>
      <c r="AE179" s="2066">
        <f t="shared" si="152"/>
        <v>24441.1</v>
      </c>
      <c r="AF179" s="2066">
        <f t="shared" si="152"/>
        <v>233920.9</v>
      </c>
      <c r="AG179" s="2066">
        <f t="shared" si="152"/>
        <v>1031010.5</v>
      </c>
      <c r="AH179" s="2066">
        <f t="shared" si="152"/>
        <v>1264931.4000000001</v>
      </c>
      <c r="AI179" s="1924">
        <v>6810.6</v>
      </c>
      <c r="AJ179" s="1924">
        <v>37840.800000000003</v>
      </c>
      <c r="AK179" s="1924">
        <v>29979.9</v>
      </c>
      <c r="AL179" s="1924">
        <v>61.8</v>
      </c>
      <c r="AM179" s="1924">
        <f>1200928.2-25.38</f>
        <v>1200902.82</v>
      </c>
      <c r="AN179" s="1924">
        <v>9226.4</v>
      </c>
      <c r="AO179" s="1924">
        <f t="shared" si="153"/>
        <v>1210129.22</v>
      </c>
      <c r="AP179" s="1924">
        <f>0.055*AO177</f>
        <v>64808.110950000017</v>
      </c>
      <c r="AQ179" s="1924">
        <f t="shared" si="154"/>
        <v>11576.159549999982</v>
      </c>
      <c r="AR179" s="2040">
        <f>76451.1-1.1195-65.71</f>
        <v>76384.270499999999</v>
      </c>
      <c r="AS179" s="1924">
        <v>3261591.5</v>
      </c>
      <c r="AT179" s="1924">
        <f t="shared" si="121"/>
        <v>245384.57050000003</v>
      </c>
      <c r="AU179" s="1924">
        <v>5957.9</v>
      </c>
      <c r="AV179" s="1924">
        <v>31648.6</v>
      </c>
      <c r="AW179" s="1924">
        <v>4421.2</v>
      </c>
      <c r="AX179" s="1924">
        <v>205136.1</v>
      </c>
      <c r="AY179" s="1924">
        <f t="shared" si="155"/>
        <v>247163.80000000002</v>
      </c>
      <c r="AZ179" s="1267">
        <v>35.46</v>
      </c>
      <c r="BA179" s="1267">
        <v>15.39</v>
      </c>
      <c r="BB179" s="1267">
        <v>2.5299999999999998</v>
      </c>
      <c r="BC179" s="1267">
        <v>6.04</v>
      </c>
      <c r="BD179" s="1267">
        <v>4.58</v>
      </c>
      <c r="BE179" s="1267" t="s">
        <v>288</v>
      </c>
      <c r="BF179" s="2051">
        <v>3765</v>
      </c>
      <c r="BG179" s="2073">
        <v>1482</v>
      </c>
      <c r="BH179" s="2073">
        <v>5155</v>
      </c>
      <c r="BI179" s="2051">
        <v>65</v>
      </c>
      <c r="BJ179" s="2051">
        <v>10467</v>
      </c>
      <c r="BK179" s="1267">
        <f t="shared" si="122"/>
        <v>105.33170369272678</v>
      </c>
      <c r="BL179" s="1267">
        <f t="shared" si="156"/>
        <v>114.73228432215535</v>
      </c>
      <c r="BM179" s="1267">
        <f t="shared" si="157"/>
        <v>120.84946976210951</v>
      </c>
      <c r="BN179" s="1267">
        <f t="shared" si="125"/>
        <v>7.5052676202392465</v>
      </c>
      <c r="BO179" s="1267">
        <v>5</v>
      </c>
      <c r="BP179" s="1267">
        <v>5.71</v>
      </c>
      <c r="BQ179" s="1267">
        <v>9.6300000000000008</v>
      </c>
      <c r="BR179" s="1267">
        <f t="shared" si="158"/>
        <v>3.9200000000000008</v>
      </c>
      <c r="BS179" s="1267">
        <v>10.57</v>
      </c>
      <c r="BT179" s="1267">
        <v>12.97</v>
      </c>
      <c r="BU179" s="1267">
        <f t="shared" si="159"/>
        <v>2.4000000000000004</v>
      </c>
    </row>
    <row r="180" spans="1:73" s="154" customFormat="1" ht="9.9499999999999993" customHeight="1" x14ac:dyDescent="0.2">
      <c r="A180" s="160" t="s">
        <v>1484</v>
      </c>
      <c r="B180" s="24" t="s">
        <v>548</v>
      </c>
      <c r="C180" s="1922">
        <v>170395.7</v>
      </c>
      <c r="D180" s="1922">
        <v>1535.8</v>
      </c>
      <c r="E180" s="1922">
        <f t="shared" si="143"/>
        <v>171931.5</v>
      </c>
      <c r="F180" s="1922">
        <v>15348.5</v>
      </c>
      <c r="G180" s="1922">
        <f t="shared" si="144"/>
        <v>156583</v>
      </c>
      <c r="H180" s="1922">
        <v>32006.400000000001</v>
      </c>
      <c r="I180" s="1922">
        <v>84983.8</v>
      </c>
      <c r="J180" s="1922">
        <v>118482.9</v>
      </c>
      <c r="K180" s="1922">
        <v>1018496.7</v>
      </c>
      <c r="L180" s="1922">
        <f t="shared" si="145"/>
        <v>1136979.5999999999</v>
      </c>
      <c r="M180" s="1922">
        <f t="shared" si="146"/>
        <v>1221963.3999999999</v>
      </c>
      <c r="N180" s="1922">
        <v>872.5</v>
      </c>
      <c r="O180" s="1922">
        <v>250911.9</v>
      </c>
      <c r="P180" s="1922">
        <f t="shared" si="147"/>
        <v>275938.40000000002</v>
      </c>
      <c r="Q180" s="1922">
        <f t="shared" si="148"/>
        <v>1294435.1000000001</v>
      </c>
      <c r="R180" s="1922">
        <v>1617359.2</v>
      </c>
      <c r="S180" s="1037">
        <v>0</v>
      </c>
      <c r="T180" s="1922">
        <v>27304.799999999999</v>
      </c>
      <c r="U180" s="1922">
        <v>1002373.5</v>
      </c>
      <c r="V180" s="1922">
        <f t="shared" si="149"/>
        <v>1029678.3</v>
      </c>
      <c r="W180" s="1037">
        <v>0</v>
      </c>
      <c r="X180" s="1922">
        <v>1748.1</v>
      </c>
      <c r="Y180" s="1922">
        <v>27280.9</v>
      </c>
      <c r="Z180" s="1922">
        <f t="shared" si="150"/>
        <v>29029</v>
      </c>
      <c r="AA180" s="2064">
        <v>25938.9</v>
      </c>
      <c r="AB180" s="2064">
        <v>211094.5</v>
      </c>
      <c r="AC180" s="2064">
        <v>18628.900000000001</v>
      </c>
      <c r="AD180" s="2064">
        <f t="shared" si="151"/>
        <v>229723.4</v>
      </c>
      <c r="AE180" s="2064">
        <f t="shared" si="152"/>
        <v>25938.9</v>
      </c>
      <c r="AF180" s="2064">
        <f t="shared" si="152"/>
        <v>240147.4</v>
      </c>
      <c r="AG180" s="2064">
        <f t="shared" si="152"/>
        <v>1048283.3</v>
      </c>
      <c r="AH180" s="2064">
        <f t="shared" si="152"/>
        <v>1288430.7</v>
      </c>
      <c r="AI180" s="1922">
        <v>6638.1</v>
      </c>
      <c r="AJ180" s="1922">
        <v>40542.6</v>
      </c>
      <c r="AK180" s="1922">
        <v>29944.400000000001</v>
      </c>
      <c r="AL180" s="1922">
        <v>47</v>
      </c>
      <c r="AM180" s="1922">
        <f>1222012.7-26.62</f>
        <v>1221986.0799999998</v>
      </c>
      <c r="AN180" s="1922">
        <v>8738.6</v>
      </c>
      <c r="AO180" s="1922">
        <f t="shared" si="153"/>
        <v>1230724.68</v>
      </c>
      <c r="AP180" s="1922">
        <f>0.055*AO178</f>
        <v>65755.552500000005</v>
      </c>
      <c r="AQ180" s="1922">
        <f t="shared" si="154"/>
        <v>12284.926899999977</v>
      </c>
      <c r="AR180" s="2046">
        <f>78107.9-1.7106-65.71</f>
        <v>78040.479399999982</v>
      </c>
      <c r="AS180" s="1922">
        <v>3113917.5</v>
      </c>
      <c r="AT180" s="1922">
        <f t="shared" si="121"/>
        <v>249971.97939999998</v>
      </c>
      <c r="AU180" s="1922">
        <v>5113.8999999999996</v>
      </c>
      <c r="AV180" s="1922">
        <v>36958.1</v>
      </c>
      <c r="AW180" s="1922">
        <v>4597.6000000000004</v>
      </c>
      <c r="AX180" s="1922">
        <v>207557.1</v>
      </c>
      <c r="AY180" s="1922">
        <f t="shared" si="155"/>
        <v>254226.7</v>
      </c>
      <c r="AZ180" s="1289">
        <v>38.479999999999997</v>
      </c>
      <c r="BA180" s="1289">
        <v>30.96</v>
      </c>
      <c r="BB180" s="1289">
        <v>4.25</v>
      </c>
      <c r="BC180" s="1289">
        <v>8.17</v>
      </c>
      <c r="BD180" s="1289">
        <v>6.14</v>
      </c>
      <c r="BE180" s="1289" t="s">
        <v>288</v>
      </c>
      <c r="BF180" s="2047">
        <v>3773</v>
      </c>
      <c r="BG180" s="2072">
        <v>1483</v>
      </c>
      <c r="BH180" s="2072">
        <v>5257</v>
      </c>
      <c r="BI180" s="2047">
        <v>65</v>
      </c>
      <c r="BJ180" s="2047">
        <v>10578</v>
      </c>
      <c r="BK180" s="1289">
        <f t="shared" si="122"/>
        <v>105.43742855074095</v>
      </c>
      <c r="BL180" s="1289">
        <f t="shared" si="156"/>
        <v>115.52146719606729</v>
      </c>
      <c r="BM180" s="1289">
        <f t="shared" si="157"/>
        <v>121.80286443562109</v>
      </c>
      <c r="BN180" s="1289">
        <f t="shared" si="125"/>
        <v>7.6423930622843095</v>
      </c>
      <c r="BO180" s="1289">
        <v>5</v>
      </c>
      <c r="BP180" s="1289">
        <v>5.7</v>
      </c>
      <c r="BQ180" s="1289">
        <v>9.68</v>
      </c>
      <c r="BR180" s="1289">
        <f t="shared" si="158"/>
        <v>3.9799999999999995</v>
      </c>
      <c r="BS180" s="1289">
        <v>10.55</v>
      </c>
      <c r="BT180" s="1289">
        <v>13.01</v>
      </c>
      <c r="BU180" s="1289">
        <f t="shared" si="159"/>
        <v>2.4599999999999991</v>
      </c>
    </row>
    <row r="181" spans="1:73" s="154" customFormat="1" ht="9.9499999999999993" customHeight="1" x14ac:dyDescent="0.2">
      <c r="A181" s="160" t="s">
        <v>1484</v>
      </c>
      <c r="B181" s="279" t="s">
        <v>556</v>
      </c>
      <c r="C181" s="1924">
        <v>171815.6</v>
      </c>
      <c r="D181" s="1924">
        <v>1536.7</v>
      </c>
      <c r="E181" s="1924">
        <f t="shared" si="143"/>
        <v>173352.30000000002</v>
      </c>
      <c r="F181" s="1924">
        <v>14434.7</v>
      </c>
      <c r="G181" s="1924">
        <f t="shared" si="144"/>
        <v>158917.6</v>
      </c>
      <c r="H181" s="1924">
        <v>28058.799999999999</v>
      </c>
      <c r="I181" s="1924">
        <v>85749.3</v>
      </c>
      <c r="J181" s="1924">
        <v>113231.7</v>
      </c>
      <c r="K181" s="1924">
        <v>1024653.9</v>
      </c>
      <c r="L181" s="1924">
        <f t="shared" si="145"/>
        <v>1137885.6000000001</v>
      </c>
      <c r="M181" s="1924">
        <f t="shared" si="146"/>
        <v>1223634.9000000001</v>
      </c>
      <c r="N181" s="1924">
        <v>746.7</v>
      </c>
      <c r="O181" s="1924">
        <v>249201.60000000003</v>
      </c>
      <c r="P181" s="1924">
        <f t="shared" si="147"/>
        <v>272896</v>
      </c>
      <c r="Q181" s="1924">
        <f t="shared" si="148"/>
        <v>1297549.8999999999</v>
      </c>
      <c r="R181" s="1924">
        <v>1621808.5</v>
      </c>
      <c r="S181" s="2050">
        <v>0</v>
      </c>
      <c r="T181" s="1924">
        <v>27745.599999999999</v>
      </c>
      <c r="U181" s="1924">
        <v>1002124.1</v>
      </c>
      <c r="V181" s="1924">
        <f t="shared" si="149"/>
        <v>1029869.7</v>
      </c>
      <c r="W181" s="2050">
        <v>0</v>
      </c>
      <c r="X181" s="1924">
        <v>1805.5</v>
      </c>
      <c r="Y181" s="1924">
        <v>26869.7</v>
      </c>
      <c r="Z181" s="1924">
        <f t="shared" si="150"/>
        <v>28675.200000000001</v>
      </c>
      <c r="AA181" s="2066">
        <v>26023.599999999999</v>
      </c>
      <c r="AB181" s="2066">
        <v>218662</v>
      </c>
      <c r="AC181" s="2066">
        <v>18633.2</v>
      </c>
      <c r="AD181" s="2066">
        <f t="shared" si="151"/>
        <v>237295.2</v>
      </c>
      <c r="AE181" s="2066">
        <f t="shared" si="152"/>
        <v>26023.599999999999</v>
      </c>
      <c r="AF181" s="2066">
        <f t="shared" si="152"/>
        <v>248213.1</v>
      </c>
      <c r="AG181" s="2066">
        <f t="shared" si="152"/>
        <v>1047626.9999999999</v>
      </c>
      <c r="AH181" s="2066">
        <f t="shared" si="152"/>
        <v>1295840.0999999999</v>
      </c>
      <c r="AI181" s="1924">
        <v>6699.5</v>
      </c>
      <c r="AJ181" s="1924">
        <v>40822.699999999997</v>
      </c>
      <c r="AK181" s="1924">
        <v>32058.1</v>
      </c>
      <c r="AL181" s="1924">
        <v>239.5</v>
      </c>
      <c r="AM181" s="1924">
        <f>1223684.5-26.88</f>
        <v>1223657.6200000001</v>
      </c>
      <c r="AN181" s="1924">
        <v>9184.2999999999993</v>
      </c>
      <c r="AO181" s="1924">
        <f t="shared" si="153"/>
        <v>1232841.9200000002</v>
      </c>
      <c r="AP181" s="1924">
        <f>0.055*AO179</f>
        <v>66557.107099999994</v>
      </c>
      <c r="AQ181" s="1924">
        <f t="shared" si="154"/>
        <v>8543.7095000000118</v>
      </c>
      <c r="AR181" s="2040">
        <f>75102.6-1.7834</f>
        <v>75100.816600000006</v>
      </c>
      <c r="AS181" s="1924">
        <v>3140304.6</v>
      </c>
      <c r="AT181" s="1924">
        <f t="shared" si="121"/>
        <v>248453.11660000001</v>
      </c>
      <c r="AU181" s="1924">
        <v>6000</v>
      </c>
      <c r="AV181" s="1924">
        <v>35016.300000000003</v>
      </c>
      <c r="AW181" s="1924">
        <v>5916.5</v>
      </c>
      <c r="AX181" s="1924">
        <v>215122.5</v>
      </c>
      <c r="AY181" s="1924">
        <f t="shared" si="155"/>
        <v>262055.3</v>
      </c>
      <c r="AZ181" s="1267">
        <v>44.12</v>
      </c>
      <c r="BA181" s="1267">
        <v>27.35</v>
      </c>
      <c r="BB181" s="1267">
        <v>4.18</v>
      </c>
      <c r="BC181" s="1267">
        <v>8.6</v>
      </c>
      <c r="BD181" s="1267">
        <v>6.39</v>
      </c>
      <c r="BE181" s="1267" t="s">
        <v>288</v>
      </c>
      <c r="BF181" s="2051">
        <v>3773</v>
      </c>
      <c r="BG181" s="2073">
        <v>1483</v>
      </c>
      <c r="BH181" s="2073">
        <v>5259</v>
      </c>
      <c r="BI181" s="2051">
        <v>65</v>
      </c>
      <c r="BJ181" s="2051">
        <v>10580</v>
      </c>
      <c r="BK181" s="1267">
        <f t="shared" si="122"/>
        <v>105.89891149454043</v>
      </c>
      <c r="BL181" s="1267">
        <f t="shared" si="156"/>
        <v>115.65762003780719</v>
      </c>
      <c r="BM181" s="1267">
        <f t="shared" si="157"/>
        <v>122.48016068052928</v>
      </c>
      <c r="BN181" s="1267">
        <f t="shared" si="125"/>
        <v>7.317039924942403</v>
      </c>
      <c r="BO181" s="1267">
        <v>5</v>
      </c>
      <c r="BP181" s="1267">
        <v>5.69</v>
      </c>
      <c r="BQ181" s="1267">
        <v>9.66</v>
      </c>
      <c r="BR181" s="1267">
        <f t="shared" si="158"/>
        <v>3.9699999999999998</v>
      </c>
      <c r="BS181" s="1267">
        <v>10.5</v>
      </c>
      <c r="BT181" s="1267">
        <v>12.95</v>
      </c>
      <c r="BU181" s="1267">
        <f t="shared" si="159"/>
        <v>2.4499999999999993</v>
      </c>
    </row>
    <row r="182" spans="1:73" s="154" customFormat="1" ht="9.9499999999999993" customHeight="1" x14ac:dyDescent="0.2">
      <c r="A182" s="160" t="s">
        <v>1484</v>
      </c>
      <c r="B182" s="24" t="s">
        <v>557</v>
      </c>
      <c r="C182" s="1922">
        <v>173683.4</v>
      </c>
      <c r="D182" s="1922">
        <v>1539.2</v>
      </c>
      <c r="E182" s="1922">
        <f t="shared" si="143"/>
        <v>175222.6</v>
      </c>
      <c r="F182" s="1922">
        <v>13402.1</v>
      </c>
      <c r="G182" s="1922">
        <f t="shared" si="144"/>
        <v>161820.5</v>
      </c>
      <c r="H182" s="1922">
        <v>28443.7</v>
      </c>
      <c r="I182" s="1922">
        <v>84683.1</v>
      </c>
      <c r="J182" s="1922">
        <v>114733.7</v>
      </c>
      <c r="K182" s="1922">
        <v>1029163</v>
      </c>
      <c r="L182" s="1922">
        <f t="shared" si="145"/>
        <v>1143896.7</v>
      </c>
      <c r="M182" s="1922">
        <f t="shared" si="146"/>
        <v>1228579.8</v>
      </c>
      <c r="N182" s="1922">
        <v>779.5</v>
      </c>
      <c r="O182" s="1922">
        <v>250988.6</v>
      </c>
      <c r="P182" s="1922">
        <f t="shared" si="147"/>
        <v>277333.7</v>
      </c>
      <c r="Q182" s="1922">
        <f t="shared" si="148"/>
        <v>1306496.7</v>
      </c>
      <c r="R182" s="1922">
        <v>1633238.9</v>
      </c>
      <c r="S182" s="1037">
        <v>0</v>
      </c>
      <c r="T182" s="1922">
        <v>27501.5</v>
      </c>
      <c r="U182" s="1922">
        <v>1008690</v>
      </c>
      <c r="V182" s="1922">
        <f t="shared" si="149"/>
        <v>1036191.5</v>
      </c>
      <c r="W182" s="1037">
        <v>0</v>
      </c>
      <c r="X182" s="1922">
        <v>1850</v>
      </c>
      <c r="Y182" s="1922">
        <v>26493.200000000001</v>
      </c>
      <c r="Z182" s="1922">
        <f t="shared" si="150"/>
        <v>28343.200000000001</v>
      </c>
      <c r="AA182" s="2064">
        <v>25780.6</v>
      </c>
      <c r="AB182" s="2064">
        <v>223801.3</v>
      </c>
      <c r="AC182" s="2064">
        <v>18836.7</v>
      </c>
      <c r="AD182" s="2064">
        <f t="shared" si="151"/>
        <v>242638</v>
      </c>
      <c r="AE182" s="2064">
        <f t="shared" si="152"/>
        <v>25780.6</v>
      </c>
      <c r="AF182" s="2064">
        <f t="shared" si="152"/>
        <v>253152.8</v>
      </c>
      <c r="AG182" s="2064">
        <f t="shared" si="152"/>
        <v>1054019.8999999999</v>
      </c>
      <c r="AH182" s="2064">
        <f t="shared" si="152"/>
        <v>1307172.7</v>
      </c>
      <c r="AI182" s="1922">
        <v>6998</v>
      </c>
      <c r="AJ182" s="1922">
        <v>47017</v>
      </c>
      <c r="AK182" s="1922">
        <v>30518.1</v>
      </c>
      <c r="AL182" s="1922">
        <v>10.7</v>
      </c>
      <c r="AM182" s="1922">
        <f>1228629.4-27</f>
        <v>1228602.3999999999</v>
      </c>
      <c r="AN182" s="1922">
        <v>8812.7999999999993</v>
      </c>
      <c r="AO182" s="1922">
        <f t="shared" si="153"/>
        <v>1237415.2</v>
      </c>
      <c r="AP182" s="1922">
        <f t="shared" ref="AP182" si="160">0.055*AO180</f>
        <v>67689.857399999994</v>
      </c>
      <c r="AQ182" s="1922">
        <f t="shared" si="154"/>
        <v>7294.8205000000016</v>
      </c>
      <c r="AR182" s="2046">
        <f>74986.5-1.8221</f>
        <v>74984.677899999995</v>
      </c>
      <c r="AS182" s="1922">
        <v>3180075.6</v>
      </c>
      <c r="AT182" s="1922">
        <f t="shared" si="121"/>
        <v>250207.27789999999</v>
      </c>
      <c r="AU182" s="1922">
        <v>4505</v>
      </c>
      <c r="AV182" s="1922">
        <v>29919.200000000001</v>
      </c>
      <c r="AW182" s="1922">
        <v>5532.6</v>
      </c>
      <c r="AX182" s="1922">
        <v>220161.5</v>
      </c>
      <c r="AY182" s="1922">
        <f t="shared" si="155"/>
        <v>260118.30000000002</v>
      </c>
      <c r="AZ182" s="1289">
        <v>43.23</v>
      </c>
      <c r="BA182" s="1289">
        <v>28.59</v>
      </c>
      <c r="BB182" s="1289">
        <v>4.8099999999999996</v>
      </c>
      <c r="BC182" s="1289">
        <v>9.09</v>
      </c>
      <c r="BD182" s="1289">
        <v>7.12</v>
      </c>
      <c r="BE182" s="1289" t="s">
        <v>288</v>
      </c>
      <c r="BF182" s="2047">
        <v>3774</v>
      </c>
      <c r="BG182" s="2072">
        <v>1483</v>
      </c>
      <c r="BH182" s="2072">
        <v>5261</v>
      </c>
      <c r="BI182" s="2047">
        <v>65</v>
      </c>
      <c r="BJ182" s="2047">
        <v>10583</v>
      </c>
      <c r="BK182" s="1289">
        <f t="shared" si="122"/>
        <v>106.39509576084177</v>
      </c>
      <c r="BL182" s="1289">
        <f t="shared" si="156"/>
        <v>116.09207219125011</v>
      </c>
      <c r="BM182" s="1289">
        <f t="shared" si="157"/>
        <v>123.5162713786261</v>
      </c>
      <c r="BN182" s="1289">
        <f t="shared" si="125"/>
        <v>7.1940912617458679</v>
      </c>
      <c r="BO182" s="1289">
        <v>5</v>
      </c>
      <c r="BP182" s="1289">
        <v>5.53</v>
      </c>
      <c r="BQ182" s="1289">
        <v>9.6199999999999992</v>
      </c>
      <c r="BR182" s="1289">
        <f t="shared" si="158"/>
        <v>4.089999999999999</v>
      </c>
      <c r="BS182" s="1289">
        <v>10.42</v>
      </c>
      <c r="BT182" s="1289">
        <v>12.98</v>
      </c>
      <c r="BU182" s="1289">
        <f t="shared" si="159"/>
        <v>2.5600000000000005</v>
      </c>
    </row>
    <row r="183" spans="1:73" s="154" customFormat="1" ht="9.9499999999999993" customHeight="1" x14ac:dyDescent="0.2">
      <c r="A183" s="160" t="s">
        <v>1484</v>
      </c>
      <c r="B183" s="279" t="s">
        <v>549</v>
      </c>
      <c r="C183" s="1924">
        <v>190365.7</v>
      </c>
      <c r="D183" s="1924">
        <v>1541.1</v>
      </c>
      <c r="E183" s="1924">
        <f t="shared" si="143"/>
        <v>191906.80000000002</v>
      </c>
      <c r="F183" s="1924">
        <v>18559.2</v>
      </c>
      <c r="G183" s="1924">
        <f t="shared" si="144"/>
        <v>173347.6</v>
      </c>
      <c r="H183" s="1924">
        <v>27834.9</v>
      </c>
      <c r="I183" s="1924">
        <v>84642.7</v>
      </c>
      <c r="J183" s="1924">
        <v>116703.6</v>
      </c>
      <c r="K183" s="1924">
        <v>1019713.5</v>
      </c>
      <c r="L183" s="1924">
        <f t="shared" si="145"/>
        <v>1136417.1000000001</v>
      </c>
      <c r="M183" s="1924">
        <f t="shared" si="146"/>
        <v>1221059.8</v>
      </c>
      <c r="N183" s="1924">
        <v>903.8</v>
      </c>
      <c r="O183" s="1924">
        <v>272917.5</v>
      </c>
      <c r="P183" s="1924">
        <f t="shared" si="147"/>
        <v>290955</v>
      </c>
      <c r="Q183" s="1924">
        <f t="shared" si="148"/>
        <v>1310668.5</v>
      </c>
      <c r="R183" s="1924">
        <v>1639528.2000000002</v>
      </c>
      <c r="S183" s="2050">
        <v>0</v>
      </c>
      <c r="T183" s="1924">
        <v>27302.9</v>
      </c>
      <c r="U183" s="1924">
        <v>1019364</v>
      </c>
      <c r="V183" s="1924">
        <f t="shared" si="149"/>
        <v>1046666.9</v>
      </c>
      <c r="W183" s="2050">
        <v>0</v>
      </c>
      <c r="X183" s="1924">
        <v>1880.3</v>
      </c>
      <c r="Y183" s="1924">
        <v>23483</v>
      </c>
      <c r="Z183" s="1924">
        <f t="shared" si="150"/>
        <v>25363.3</v>
      </c>
      <c r="AA183" s="2066">
        <v>25871.7</v>
      </c>
      <c r="AB183" s="2066">
        <v>201036.1</v>
      </c>
      <c r="AC183" s="2066">
        <v>18739.5</v>
      </c>
      <c r="AD183" s="2066">
        <f t="shared" si="151"/>
        <v>219775.6</v>
      </c>
      <c r="AE183" s="2066">
        <f t="shared" si="152"/>
        <v>25871.7</v>
      </c>
      <c r="AF183" s="2066">
        <f t="shared" si="152"/>
        <v>230219.30000000002</v>
      </c>
      <c r="AG183" s="2066">
        <f t="shared" si="152"/>
        <v>1061586.5</v>
      </c>
      <c r="AH183" s="2066">
        <f t="shared" si="152"/>
        <v>1291805.8</v>
      </c>
      <c r="AI183" s="1924">
        <v>8339.6</v>
      </c>
      <c r="AJ183" s="1924">
        <v>42963</v>
      </c>
      <c r="AK183" s="1924">
        <v>29914.9</v>
      </c>
      <c r="AL183" s="1924">
        <v>49.5</v>
      </c>
      <c r="AM183" s="1924">
        <f>1221109.4-27.43</f>
        <v>1221081.97</v>
      </c>
      <c r="AN183" s="1924">
        <v>9785</v>
      </c>
      <c r="AO183" s="1924">
        <f t="shared" si="153"/>
        <v>1230866.97</v>
      </c>
      <c r="AP183" s="1924">
        <f>0.055*AO181</f>
        <v>67806.305600000007</v>
      </c>
      <c r="AQ183" s="1924">
        <f t="shared" si="154"/>
        <v>12297.558999999994</v>
      </c>
      <c r="AR183" s="2040">
        <f>80106.9-3.0354</f>
        <v>80103.864600000001</v>
      </c>
      <c r="AS183" s="1924">
        <v>3198820</v>
      </c>
      <c r="AT183" s="1924">
        <f t="shared" si="121"/>
        <v>272010.66460000002</v>
      </c>
      <c r="AU183" s="1924">
        <v>0</v>
      </c>
      <c r="AV183" s="1924">
        <v>29879.3</v>
      </c>
      <c r="AW183" s="1924">
        <v>5262.3</v>
      </c>
      <c r="AX183" s="1924">
        <v>197393.2</v>
      </c>
      <c r="AY183" s="1924">
        <f t="shared" si="155"/>
        <v>232534.8</v>
      </c>
      <c r="AZ183" s="1267">
        <v>18.09</v>
      </c>
      <c r="BA183" s="1267">
        <v>29.05</v>
      </c>
      <c r="BB183" s="1267">
        <v>5.58</v>
      </c>
      <c r="BC183" s="1267">
        <v>7.29</v>
      </c>
      <c r="BD183" s="1267">
        <v>7.47</v>
      </c>
      <c r="BE183" s="1267" t="s">
        <v>288</v>
      </c>
      <c r="BF183" s="2051">
        <v>3774</v>
      </c>
      <c r="BG183" s="2073">
        <v>1483</v>
      </c>
      <c r="BH183" s="2073">
        <v>5261</v>
      </c>
      <c r="BI183" s="2051">
        <v>65</v>
      </c>
      <c r="BJ183" s="2051">
        <v>10583</v>
      </c>
      <c r="BK183" s="1267">
        <f t="shared" si="122"/>
        <v>105.79189863887682</v>
      </c>
      <c r="BL183" s="1267">
        <f t="shared" si="156"/>
        <v>115.38145799867712</v>
      </c>
      <c r="BM183" s="1267">
        <f t="shared" si="157"/>
        <v>122.06423509401871</v>
      </c>
      <c r="BN183" s="1267">
        <f t="shared" si="125"/>
        <v>8.079970634567637</v>
      </c>
      <c r="BO183" s="1267">
        <v>5</v>
      </c>
      <c r="BP183" s="1267">
        <v>5.51</v>
      </c>
      <c r="BQ183" s="1267">
        <v>9.58</v>
      </c>
      <c r="BR183" s="1267">
        <f t="shared" si="158"/>
        <v>4.07</v>
      </c>
      <c r="BS183" s="1267">
        <v>10.24</v>
      </c>
      <c r="BT183" s="1267">
        <v>13.06</v>
      </c>
      <c r="BU183" s="1267">
        <f t="shared" si="159"/>
        <v>2.8200000000000003</v>
      </c>
    </row>
    <row r="184" spans="1:73" s="154" customFormat="1" ht="9.9499999999999993" customHeight="1" x14ac:dyDescent="0.2">
      <c r="A184" s="160" t="s">
        <v>1484</v>
      </c>
      <c r="B184" s="24" t="s">
        <v>558</v>
      </c>
      <c r="C184" s="1922">
        <v>192164.7</v>
      </c>
      <c r="D184" s="1922">
        <v>1541.8</v>
      </c>
      <c r="E184" s="1922">
        <f t="shared" si="143"/>
        <v>193706.5</v>
      </c>
      <c r="F184" s="1922">
        <v>16085</v>
      </c>
      <c r="G184" s="1922">
        <f t="shared" si="144"/>
        <v>177621.5</v>
      </c>
      <c r="H184" s="1922">
        <v>26349</v>
      </c>
      <c r="I184" s="1922">
        <v>84759.9</v>
      </c>
      <c r="J184" s="1922">
        <v>118501.6</v>
      </c>
      <c r="K184" s="1922">
        <v>1029044.7</v>
      </c>
      <c r="L184" s="1922">
        <f t="shared" si="145"/>
        <v>1147546.3</v>
      </c>
      <c r="M184" s="1922">
        <f t="shared" si="146"/>
        <v>1232306.2</v>
      </c>
      <c r="N184" s="1922">
        <v>897.7</v>
      </c>
      <c r="O184" s="1922">
        <v>256332</v>
      </c>
      <c r="P184" s="1922">
        <f t="shared" si="147"/>
        <v>297020.79999999999</v>
      </c>
      <c r="Q184" s="1922">
        <f t="shared" si="148"/>
        <v>1326065.5</v>
      </c>
      <c r="R184" s="1922">
        <v>1654085.7999999998</v>
      </c>
      <c r="S184" s="1037">
        <v>0</v>
      </c>
      <c r="T184" s="1922">
        <v>27150.5</v>
      </c>
      <c r="U184" s="1922">
        <v>1027307.2</v>
      </c>
      <c r="V184" s="1922">
        <f t="shared" si="149"/>
        <v>1054457.7</v>
      </c>
      <c r="W184" s="1037">
        <v>0</v>
      </c>
      <c r="X184" s="1922">
        <v>1913.4</v>
      </c>
      <c r="Y184" s="1922">
        <v>23997.5</v>
      </c>
      <c r="Z184" s="1922">
        <f t="shared" si="150"/>
        <v>25910.9</v>
      </c>
      <c r="AA184" s="2064">
        <v>25783.7</v>
      </c>
      <c r="AB184" s="2064">
        <v>223070.8</v>
      </c>
      <c r="AC184" s="2064">
        <v>18849.400000000001</v>
      </c>
      <c r="AD184" s="2064">
        <f t="shared" si="151"/>
        <v>241920.19999999998</v>
      </c>
      <c r="AE184" s="2064">
        <f t="shared" si="152"/>
        <v>25783.7</v>
      </c>
      <c r="AF184" s="2064">
        <f t="shared" si="152"/>
        <v>252134.69999999998</v>
      </c>
      <c r="AG184" s="2064">
        <f t="shared" si="152"/>
        <v>1070154.0999999999</v>
      </c>
      <c r="AH184" s="2064">
        <f t="shared" si="152"/>
        <v>1322288.7999999998</v>
      </c>
      <c r="AI184" s="1922">
        <v>8632.5</v>
      </c>
      <c r="AJ184" s="1922">
        <v>43053.8</v>
      </c>
      <c r="AK184" s="1922">
        <v>37213</v>
      </c>
      <c r="AL184" s="1922">
        <v>23.9</v>
      </c>
      <c r="AM184" s="1922">
        <f>1232355.8-27.35</f>
        <v>1232328.45</v>
      </c>
      <c r="AN184" s="1922">
        <v>10004.299999999999</v>
      </c>
      <c r="AO184" s="1922">
        <f t="shared" si="153"/>
        <v>1242332.75</v>
      </c>
      <c r="AP184" s="1922">
        <f>0.04*AO182</f>
        <v>49496.608</v>
      </c>
      <c r="AQ184" s="1922">
        <f t="shared" si="154"/>
        <v>12227.6682</v>
      </c>
      <c r="AR184" s="2046">
        <f>61727.8-3.5238</f>
        <v>61724.2762</v>
      </c>
      <c r="AS184" s="1922">
        <v>3230542.5</v>
      </c>
      <c r="AT184" s="1922">
        <f t="shared" si="121"/>
        <v>255430.77619999999</v>
      </c>
      <c r="AU184" s="1922">
        <v>6000</v>
      </c>
      <c r="AV184" s="1922">
        <v>34419.4</v>
      </c>
      <c r="AW184" s="1922">
        <v>5365.1</v>
      </c>
      <c r="AX184" s="1922">
        <v>219427.9</v>
      </c>
      <c r="AY184" s="1922">
        <f t="shared" si="155"/>
        <v>265212.40000000002</v>
      </c>
      <c r="AZ184" s="1289">
        <v>48.65</v>
      </c>
      <c r="BA184" s="1289">
        <v>28.1</v>
      </c>
      <c r="BB184" s="1289">
        <v>6.43</v>
      </c>
      <c r="BC184" s="1289">
        <v>11.04</v>
      </c>
      <c r="BD184" s="1289">
        <v>8.73</v>
      </c>
      <c r="BE184" s="1289" t="s">
        <v>288</v>
      </c>
      <c r="BF184" s="2047">
        <v>3774</v>
      </c>
      <c r="BG184" s="2072">
        <v>1483</v>
      </c>
      <c r="BH184" s="2072">
        <v>5261</v>
      </c>
      <c r="BI184" s="2047">
        <v>65</v>
      </c>
      <c r="BJ184" s="2047">
        <v>10583</v>
      </c>
      <c r="BK184" s="1289">
        <f t="shared" si="122"/>
        <v>107.30003028007671</v>
      </c>
      <c r="BL184" s="1289">
        <f t="shared" si="156"/>
        <v>116.44415099688179</v>
      </c>
      <c r="BM184" s="1289">
        <f t="shared" si="157"/>
        <v>124.94460927903239</v>
      </c>
      <c r="BN184" s="1289">
        <f t="shared" si="125"/>
        <v>6.3140046957448721</v>
      </c>
      <c r="BO184" s="1289">
        <v>5</v>
      </c>
      <c r="BP184" s="1289">
        <v>5.37</v>
      </c>
      <c r="BQ184" s="1289">
        <v>8.2899999999999991</v>
      </c>
      <c r="BR184" s="1289">
        <f t="shared" si="158"/>
        <v>2.919999999999999</v>
      </c>
      <c r="BS184" s="1289">
        <v>10.039999999999999</v>
      </c>
      <c r="BT184" s="1289">
        <v>13.02</v>
      </c>
      <c r="BU184" s="1289">
        <f t="shared" si="159"/>
        <v>2.9800000000000004</v>
      </c>
    </row>
    <row r="185" spans="1:73" s="154" customFormat="1" ht="9.9499999999999993" customHeight="1" x14ac:dyDescent="0.2">
      <c r="A185" s="160" t="s">
        <v>1484</v>
      </c>
      <c r="B185" s="279" t="s">
        <v>559</v>
      </c>
      <c r="C185" s="1924">
        <v>209565.8</v>
      </c>
      <c r="D185" s="1924">
        <v>1541.8</v>
      </c>
      <c r="E185" s="1924">
        <f t="shared" si="143"/>
        <v>211107.59999999998</v>
      </c>
      <c r="F185" s="1924">
        <v>17356.900000000001</v>
      </c>
      <c r="G185" s="1924">
        <f t="shared" si="144"/>
        <v>193750.69999999998</v>
      </c>
      <c r="H185" s="1924">
        <v>26361.7</v>
      </c>
      <c r="I185" s="1924">
        <v>86366.399999999994</v>
      </c>
      <c r="J185" s="1924">
        <v>122236.9</v>
      </c>
      <c r="K185" s="1924">
        <v>1034858.6</v>
      </c>
      <c r="L185" s="1924">
        <f t="shared" si="145"/>
        <v>1157095.5</v>
      </c>
      <c r="M185" s="1924">
        <f t="shared" si="146"/>
        <v>1243461.8999999999</v>
      </c>
      <c r="N185" s="1924">
        <v>784.8</v>
      </c>
      <c r="O185" s="1924">
        <v>270238.5</v>
      </c>
      <c r="P185" s="1924">
        <f t="shared" si="147"/>
        <v>316772.39999999997</v>
      </c>
      <c r="Q185" s="1924">
        <f t="shared" si="148"/>
        <v>1351631</v>
      </c>
      <c r="R185" s="1924">
        <v>1680062.3999999997</v>
      </c>
      <c r="S185" s="2050">
        <v>0</v>
      </c>
      <c r="T185" s="1924">
        <v>26798.7</v>
      </c>
      <c r="U185" s="1924">
        <v>1041583.8</v>
      </c>
      <c r="V185" s="1924">
        <f t="shared" si="149"/>
        <v>1068382.5</v>
      </c>
      <c r="W185" s="2050">
        <v>0</v>
      </c>
      <c r="X185" s="1924">
        <v>2044.6</v>
      </c>
      <c r="Y185" s="1924">
        <v>23897.200000000001</v>
      </c>
      <c r="Z185" s="1924">
        <f t="shared" si="150"/>
        <v>25941.8</v>
      </c>
      <c r="AA185" s="2066">
        <v>25561.599999999999</v>
      </c>
      <c r="AB185" s="2066">
        <v>221968</v>
      </c>
      <c r="AC185" s="2066">
        <v>18805</v>
      </c>
      <c r="AD185" s="2066">
        <f t="shared" si="151"/>
        <v>240773</v>
      </c>
      <c r="AE185" s="2066">
        <f t="shared" si="152"/>
        <v>25561.599999999999</v>
      </c>
      <c r="AF185" s="2066">
        <f t="shared" si="152"/>
        <v>250811.3</v>
      </c>
      <c r="AG185" s="2066">
        <f t="shared" si="152"/>
        <v>1084286</v>
      </c>
      <c r="AH185" s="2066">
        <f t="shared" si="152"/>
        <v>1335097.3</v>
      </c>
      <c r="AI185" s="1924">
        <v>11029.1</v>
      </c>
      <c r="AJ185" s="1924">
        <v>45448.1</v>
      </c>
      <c r="AK185" s="1924">
        <v>33869.599999999999</v>
      </c>
      <c r="AL185" s="1924">
        <v>57.6</v>
      </c>
      <c r="AM185" s="1924">
        <f>1243511.7-28.16</f>
        <v>1243483.54</v>
      </c>
      <c r="AN185" s="1924">
        <v>10604.8</v>
      </c>
      <c r="AO185" s="1924">
        <f t="shared" si="153"/>
        <v>1254088.3400000001</v>
      </c>
      <c r="AP185" s="1924">
        <f>0.04*AO183</f>
        <v>49234.678800000002</v>
      </c>
      <c r="AQ185" s="1924">
        <f t="shared" si="154"/>
        <v>9108.4599999999991</v>
      </c>
      <c r="AR185" s="2040">
        <f>58346.1-2.9612</f>
        <v>58343.138800000001</v>
      </c>
      <c r="AS185" s="1924">
        <v>3258358.1</v>
      </c>
      <c r="AT185" s="1924">
        <f t="shared" si="121"/>
        <v>269450.73879999999</v>
      </c>
      <c r="AU185" s="1924">
        <v>2525.1</v>
      </c>
      <c r="AV185" s="1924">
        <v>34308.5</v>
      </c>
      <c r="AW185" s="1924">
        <v>5200.3999999999996</v>
      </c>
      <c r="AX185" s="1924">
        <v>218325.5</v>
      </c>
      <c r="AY185" s="1924">
        <f t="shared" si="155"/>
        <v>260359.5</v>
      </c>
      <c r="AZ185" s="1267">
        <v>43.47</v>
      </c>
      <c r="BA185" s="1267">
        <v>27.81</v>
      </c>
      <c r="BB185" s="1267">
        <v>7.85</v>
      </c>
      <c r="BC185" s="1267">
        <v>11.77</v>
      </c>
      <c r="BD185" s="1267">
        <v>10.82</v>
      </c>
      <c r="BE185" s="1267" t="s">
        <v>288</v>
      </c>
      <c r="BF185" s="2051">
        <v>3774</v>
      </c>
      <c r="BG185" s="2073">
        <v>1483</v>
      </c>
      <c r="BH185" s="2073">
        <v>5261</v>
      </c>
      <c r="BI185" s="2051">
        <v>65</v>
      </c>
      <c r="BJ185" s="2051">
        <v>10583</v>
      </c>
      <c r="BK185" s="1267">
        <f t="shared" si="122"/>
        <v>107.36750886143615</v>
      </c>
      <c r="BL185" s="1267">
        <f t="shared" si="156"/>
        <v>117.49820844751017</v>
      </c>
      <c r="BM185" s="1267">
        <f t="shared" si="157"/>
        <v>126.15489936690919</v>
      </c>
      <c r="BN185" s="1267">
        <f t="shared" si="125"/>
        <v>6.0877395128205727</v>
      </c>
      <c r="BO185" s="1267">
        <v>5</v>
      </c>
      <c r="BP185" s="1267">
        <v>5.24</v>
      </c>
      <c r="BQ185" s="1267">
        <v>8.18</v>
      </c>
      <c r="BR185" s="1267">
        <f t="shared" si="158"/>
        <v>2.9399999999999995</v>
      </c>
      <c r="BS185" s="1267">
        <v>9.9</v>
      </c>
      <c r="BT185" s="1267">
        <v>13.04</v>
      </c>
      <c r="BU185" s="1267">
        <f t="shared" si="159"/>
        <v>3.1399999999999988</v>
      </c>
    </row>
    <row r="186" spans="1:73" s="154" customFormat="1" ht="9.9499999999999993" customHeight="1" x14ac:dyDescent="0.2">
      <c r="A186" s="160" t="s">
        <v>1484</v>
      </c>
      <c r="B186" s="24" t="s">
        <v>550</v>
      </c>
      <c r="C186" s="1922">
        <v>206552.2</v>
      </c>
      <c r="D186" s="1922">
        <v>1541.9</v>
      </c>
      <c r="E186" s="1922">
        <f t="shared" si="143"/>
        <v>208094.1</v>
      </c>
      <c r="F186" s="1922">
        <v>15979.6</v>
      </c>
      <c r="G186" s="1922">
        <f t="shared" si="144"/>
        <v>192114.5</v>
      </c>
      <c r="H186" s="1922">
        <v>30355.7</v>
      </c>
      <c r="I186" s="1922">
        <v>88099.4</v>
      </c>
      <c r="J186" s="1922">
        <v>135528.4</v>
      </c>
      <c r="K186" s="1922">
        <v>1045471.1</v>
      </c>
      <c r="L186" s="1922">
        <f t="shared" si="145"/>
        <v>1180999.5</v>
      </c>
      <c r="M186" s="1922">
        <f t="shared" si="146"/>
        <v>1269098.8999999999</v>
      </c>
      <c r="N186" s="1922">
        <v>621</v>
      </c>
      <c r="O186" s="1922">
        <v>284483.40000000002</v>
      </c>
      <c r="P186" s="1922">
        <f t="shared" si="147"/>
        <v>328263.90000000002</v>
      </c>
      <c r="Q186" s="1922">
        <f t="shared" si="148"/>
        <v>1373735</v>
      </c>
      <c r="R186" s="1922">
        <v>1703937.4</v>
      </c>
      <c r="S186" s="1037">
        <v>0</v>
      </c>
      <c r="T186" s="1922">
        <v>25708.3</v>
      </c>
      <c r="U186" s="1922">
        <v>1050976</v>
      </c>
      <c r="V186" s="1922">
        <f t="shared" si="149"/>
        <v>1076684.3</v>
      </c>
      <c r="W186" s="1037">
        <v>0</v>
      </c>
      <c r="X186" s="1922">
        <v>1921.3</v>
      </c>
      <c r="Y186" s="1922">
        <v>22033.3</v>
      </c>
      <c r="Z186" s="1922">
        <f t="shared" si="150"/>
        <v>23954.6</v>
      </c>
      <c r="AA186" s="2064">
        <v>25407.3</v>
      </c>
      <c r="AB186" s="2064">
        <v>232935.5</v>
      </c>
      <c r="AC186" s="2064">
        <v>18916</v>
      </c>
      <c r="AD186" s="2064">
        <f t="shared" si="151"/>
        <v>251851.5</v>
      </c>
      <c r="AE186" s="2064">
        <f t="shared" si="152"/>
        <v>25407.3</v>
      </c>
      <c r="AF186" s="2064">
        <f t="shared" si="152"/>
        <v>260565.1</v>
      </c>
      <c r="AG186" s="2064">
        <f t="shared" si="152"/>
        <v>1091925.3</v>
      </c>
      <c r="AH186" s="2064">
        <f t="shared" si="152"/>
        <v>1352490.4000000001</v>
      </c>
      <c r="AI186" s="1922">
        <v>13614.7</v>
      </c>
      <c r="AJ186" s="1922">
        <v>50299.7</v>
      </c>
      <c r="AK186" s="1922">
        <v>35190.199999999997</v>
      </c>
      <c r="AL186" s="1922">
        <v>58.5</v>
      </c>
      <c r="AM186" s="1922">
        <f>1269148.9-35.26</f>
        <v>1269113.6399999999</v>
      </c>
      <c r="AN186" s="1922">
        <v>10934.2</v>
      </c>
      <c r="AO186" s="1922">
        <f t="shared" si="153"/>
        <v>1280047.8399999999</v>
      </c>
      <c r="AP186" s="1922">
        <f>0.04*AO184</f>
        <v>49693.31</v>
      </c>
      <c r="AQ186" s="1922">
        <f t="shared" si="154"/>
        <v>26071.655700000003</v>
      </c>
      <c r="AR186" s="2046">
        <f>75768.3-3.3343</f>
        <v>75764.965700000001</v>
      </c>
      <c r="AS186" s="1922">
        <v>3332696.5</v>
      </c>
      <c r="AT186" s="1922">
        <f t="shared" si="121"/>
        <v>283859.06570000004</v>
      </c>
      <c r="AU186" s="1922">
        <v>10631</v>
      </c>
      <c r="AV186" s="1922">
        <v>36086.9</v>
      </c>
      <c r="AW186" s="1922">
        <v>4710.3</v>
      </c>
      <c r="AX186" s="1922">
        <v>229191.6</v>
      </c>
      <c r="AY186" s="1922">
        <f t="shared" si="155"/>
        <v>280619.8</v>
      </c>
      <c r="AZ186" s="1289">
        <v>55.51</v>
      </c>
      <c r="BA186" s="1289">
        <v>25.09</v>
      </c>
      <c r="BB186" s="1289">
        <v>8.61</v>
      </c>
      <c r="BC186" s="1289">
        <v>13.58</v>
      </c>
      <c r="BD186" s="1289">
        <v>12.64</v>
      </c>
      <c r="BE186" s="1289" t="s">
        <v>288</v>
      </c>
      <c r="BF186" s="2047">
        <v>3775</v>
      </c>
      <c r="BG186" s="2072">
        <v>1483</v>
      </c>
      <c r="BH186" s="2072">
        <v>5265</v>
      </c>
      <c r="BI186" s="2047">
        <v>65</v>
      </c>
      <c r="BJ186" s="2047">
        <v>10588</v>
      </c>
      <c r="BK186" s="1289">
        <f t="shared" si="122"/>
        <v>106.56968433496627</v>
      </c>
      <c r="BL186" s="1289">
        <f t="shared" si="156"/>
        <v>119.86339629769549</v>
      </c>
      <c r="BM186" s="1289">
        <f t="shared" si="157"/>
        <v>127.73804306762374</v>
      </c>
      <c r="BN186" s="1289">
        <f t="shared" si="125"/>
        <v>7.2290268427025977</v>
      </c>
      <c r="BO186" s="1289">
        <v>5</v>
      </c>
      <c r="BP186" s="1289">
        <v>5.0599999999999996</v>
      </c>
      <c r="BQ186" s="1289">
        <v>7.95</v>
      </c>
      <c r="BR186" s="1289">
        <f t="shared" si="158"/>
        <v>2.8900000000000006</v>
      </c>
      <c r="BS186" s="1289">
        <v>9.7200000000000006</v>
      </c>
      <c r="BT186" s="1289">
        <v>12.93</v>
      </c>
      <c r="BU186" s="1289">
        <f t="shared" si="159"/>
        <v>3.2099999999999991</v>
      </c>
    </row>
    <row r="187" spans="1:73" s="154" customFormat="1" ht="9.9499999999999993" customHeight="1" x14ac:dyDescent="0.2">
      <c r="A187" s="160" t="s">
        <v>1536</v>
      </c>
      <c r="B187" s="24" t="s">
        <v>552</v>
      </c>
      <c r="C187" s="1922">
        <v>223127.4</v>
      </c>
      <c r="D187" s="1922">
        <v>1541.7</v>
      </c>
      <c r="E187" s="1922">
        <f t="shared" ref="E187:E198" si="161">C187+D187</f>
        <v>224669.1</v>
      </c>
      <c r="F187" s="1922">
        <v>13685.3</v>
      </c>
      <c r="G187" s="1922">
        <f t="shared" ref="G187:G198" si="162">E187-F187</f>
        <v>210983.80000000002</v>
      </c>
      <c r="H187" s="1922">
        <v>26794</v>
      </c>
      <c r="I187" s="1922">
        <v>85424.8</v>
      </c>
      <c r="J187" s="1922">
        <v>128389</v>
      </c>
      <c r="K187" s="1922">
        <v>1065004.2</v>
      </c>
      <c r="L187" s="1922">
        <f t="shared" ref="L187:L198" si="163">J187+K187</f>
        <v>1193393.2</v>
      </c>
      <c r="M187" s="1922">
        <f t="shared" ref="M187:M198" si="164">I187+L187</f>
        <v>1278818</v>
      </c>
      <c r="N187" s="1922">
        <v>501.3</v>
      </c>
      <c r="O187" s="1922">
        <v>291913.3</v>
      </c>
      <c r="P187" s="1922">
        <f t="shared" ref="P187:P198" si="165">G187+J187+N187</f>
        <v>339874.10000000003</v>
      </c>
      <c r="Q187" s="1922">
        <f t="shared" ref="Q187:Q198" si="166">K187+P187</f>
        <v>1404878.3</v>
      </c>
      <c r="R187" s="1922">
        <v>1738811.8</v>
      </c>
      <c r="S187" s="1037">
        <v>0</v>
      </c>
      <c r="T187" s="1922">
        <v>26163.7</v>
      </c>
      <c r="U187" s="1922">
        <v>1048906.6000000001</v>
      </c>
      <c r="V187" s="1922">
        <f t="shared" ref="V187:V198" si="167">T187+U187</f>
        <v>1075070.3</v>
      </c>
      <c r="W187" s="1037">
        <v>0</v>
      </c>
      <c r="X187" s="1922">
        <v>2078.1999999999998</v>
      </c>
      <c r="Y187" s="1922">
        <v>21792</v>
      </c>
      <c r="Z187" s="1922">
        <f t="shared" ref="Z187:Z198" si="168">X187+Y187</f>
        <v>23870.2</v>
      </c>
      <c r="AA187" s="2064">
        <v>25291.599999999999</v>
      </c>
      <c r="AB187" s="2064">
        <v>248078.5</v>
      </c>
      <c r="AC187" s="2064">
        <v>19376.900000000001</v>
      </c>
      <c r="AD187" s="2064">
        <f t="shared" ref="AD187:AD198" si="169">AB187+AC187</f>
        <v>267455.40000000002</v>
      </c>
      <c r="AE187" s="2064">
        <f t="shared" ref="AE187:AH198" si="170">S187+W187+AA187</f>
        <v>25291.599999999999</v>
      </c>
      <c r="AF187" s="2064">
        <f t="shared" si="170"/>
        <v>276320.40000000002</v>
      </c>
      <c r="AG187" s="2064">
        <f t="shared" si="170"/>
        <v>1090075.5</v>
      </c>
      <c r="AH187" s="2064">
        <f t="shared" si="170"/>
        <v>1366395.9</v>
      </c>
      <c r="AI187" s="1922">
        <v>13576.2</v>
      </c>
      <c r="AJ187" s="1922">
        <v>52027.3</v>
      </c>
      <c r="AK187" s="1922">
        <v>34275.199999999997</v>
      </c>
      <c r="AL187" s="1922">
        <v>64.599999999999994</v>
      </c>
      <c r="AM187" s="1922">
        <f>1278868-28.8</f>
        <v>1278839.2</v>
      </c>
      <c r="AN187" s="1922">
        <v>11712.9</v>
      </c>
      <c r="AO187" s="1922">
        <f t="shared" ref="AO187:AO198" si="171">AM187+AN187</f>
        <v>1290552.0999999999</v>
      </c>
      <c r="AP187" s="1922">
        <f>0.04*AO184</f>
        <v>49693.31</v>
      </c>
      <c r="AQ187" s="1922">
        <f t="shared" ref="AQ187:AQ198" si="172">AR187-AP187</f>
        <v>17045.274799999999</v>
      </c>
      <c r="AR187" s="2046">
        <f>66742.9-4.3152</f>
        <v>66738.584799999997</v>
      </c>
      <c r="AS187" s="1922">
        <v>3388775.5</v>
      </c>
      <c r="AT187" s="1922">
        <f t="shared" ref="AT187:AT198" si="173">E187+AR187</f>
        <v>291407.68479999999</v>
      </c>
      <c r="AU187" s="1922">
        <v>9096.2000000000007</v>
      </c>
      <c r="AV187" s="1922">
        <v>35304.400000000001</v>
      </c>
      <c r="AW187" s="1922">
        <v>5435.5</v>
      </c>
      <c r="AX187" s="1922">
        <v>244329.3</v>
      </c>
      <c r="AY187" s="1922">
        <f t="shared" ref="AY187:AY198" si="174">AX187+AW187+AV187+AU187</f>
        <v>294165.40000000002</v>
      </c>
      <c r="AZ187" s="1289">
        <v>8.5299999999999994</v>
      </c>
      <c r="BA187" s="1289">
        <v>-0.54</v>
      </c>
      <c r="BB187" s="1289">
        <v>-0.19</v>
      </c>
      <c r="BC187" s="1289">
        <v>1.02</v>
      </c>
      <c r="BD187" s="1289">
        <v>2.27</v>
      </c>
      <c r="BE187" s="1289" t="s">
        <v>288</v>
      </c>
      <c r="BF187" s="2047">
        <v>3775</v>
      </c>
      <c r="BG187" s="2072">
        <v>1483</v>
      </c>
      <c r="BH187" s="2072">
        <v>5269</v>
      </c>
      <c r="BI187" s="2047">
        <v>65</v>
      </c>
      <c r="BJ187" s="2047">
        <v>10592</v>
      </c>
      <c r="BK187" s="1289">
        <f t="shared" ref="BK187:BK198" si="175">AH187/AM187*100</f>
        <v>106.84657617626985</v>
      </c>
      <c r="BL187" s="1289">
        <f t="shared" si="156"/>
        <v>120.73632930513595</v>
      </c>
      <c r="BM187" s="1289">
        <f t="shared" si="157"/>
        <v>129.00263406344411</v>
      </c>
      <c r="BN187" s="1289">
        <f t="shared" ref="BN187:BN198" si="176">(F187+AR187)/AM187*100</f>
        <v>6.2888191728874121</v>
      </c>
      <c r="BO187" s="1289">
        <v>4</v>
      </c>
      <c r="BP187" s="1289">
        <v>5.0199999999999996</v>
      </c>
      <c r="BQ187" s="1289">
        <v>7.79</v>
      </c>
      <c r="BR187" s="1289">
        <f t="shared" ref="BR187:BR198" si="177">BQ187-BP187</f>
        <v>2.7700000000000005</v>
      </c>
      <c r="BS187" s="1289">
        <v>9.5</v>
      </c>
      <c r="BT187" s="1289">
        <v>12.87</v>
      </c>
      <c r="BU187" s="1289">
        <f t="shared" ref="BU187:BU198" si="178">BT187-BS187</f>
        <v>3.3699999999999992</v>
      </c>
    </row>
    <row r="188" spans="1:73" s="154" customFormat="1" ht="9.9499999999999993" customHeight="1" x14ac:dyDescent="0.2">
      <c r="A188" s="160" t="s">
        <v>1536</v>
      </c>
      <c r="B188" s="279" t="s">
        <v>553</v>
      </c>
      <c r="C188" s="1924">
        <v>210318.5</v>
      </c>
      <c r="D188" s="1924">
        <v>1541.6</v>
      </c>
      <c r="E188" s="1924">
        <f t="shared" si="161"/>
        <v>211860.1</v>
      </c>
      <c r="F188" s="1924">
        <v>17870.5</v>
      </c>
      <c r="G188" s="1924">
        <f t="shared" si="162"/>
        <v>193989.6</v>
      </c>
      <c r="H188" s="1924">
        <v>27376</v>
      </c>
      <c r="I188" s="1924">
        <v>82499.399999999994</v>
      </c>
      <c r="J188" s="1924">
        <v>134527.4</v>
      </c>
      <c r="K188" s="1924">
        <v>1086384.7</v>
      </c>
      <c r="L188" s="1924">
        <f t="shared" si="163"/>
        <v>1220912.0999999999</v>
      </c>
      <c r="M188" s="1924">
        <f t="shared" si="164"/>
        <v>1303411.4999999998</v>
      </c>
      <c r="N188" s="1924">
        <v>510.6</v>
      </c>
      <c r="O188" s="1924">
        <v>282021.69999999995</v>
      </c>
      <c r="P188" s="1924">
        <f t="shared" si="165"/>
        <v>329027.59999999998</v>
      </c>
      <c r="Q188" s="1924">
        <f t="shared" si="166"/>
        <v>1415412.2999999998</v>
      </c>
      <c r="R188" s="1924">
        <v>1751526.5</v>
      </c>
      <c r="S188" s="2050">
        <v>0</v>
      </c>
      <c r="T188" s="1924">
        <v>25893.4</v>
      </c>
      <c r="U188" s="1924">
        <v>1055732.1000000001</v>
      </c>
      <c r="V188" s="1924">
        <f t="shared" si="167"/>
        <v>1081625.5</v>
      </c>
      <c r="W188" s="2050">
        <v>0</v>
      </c>
      <c r="X188" s="1924">
        <v>2072.6999999999998</v>
      </c>
      <c r="Y188" s="1924">
        <v>21378.5</v>
      </c>
      <c r="Z188" s="1924">
        <f t="shared" si="168"/>
        <v>23451.200000000001</v>
      </c>
      <c r="AA188" s="2066">
        <v>25555.9</v>
      </c>
      <c r="AB188" s="2066">
        <v>260479.3</v>
      </c>
      <c r="AC188" s="2066">
        <v>19522.2</v>
      </c>
      <c r="AD188" s="2066">
        <f t="shared" si="169"/>
        <v>280001.5</v>
      </c>
      <c r="AE188" s="2066">
        <f t="shared" si="170"/>
        <v>25555.9</v>
      </c>
      <c r="AF188" s="2066">
        <f t="shared" si="170"/>
        <v>288445.39999999997</v>
      </c>
      <c r="AG188" s="2066">
        <f t="shared" si="170"/>
        <v>1096632.8</v>
      </c>
      <c r="AH188" s="2066">
        <f t="shared" si="170"/>
        <v>1385078.2</v>
      </c>
      <c r="AI188" s="1924">
        <v>12905.3</v>
      </c>
      <c r="AJ188" s="1924">
        <v>51771.199999999997</v>
      </c>
      <c r="AK188" s="1924">
        <v>34900.699999999997</v>
      </c>
      <c r="AL188" s="1924">
        <v>117.9</v>
      </c>
      <c r="AM188" s="1924">
        <f>1303461.6-28.51</f>
        <v>1303433.0900000001</v>
      </c>
      <c r="AN188" s="1924">
        <v>11122</v>
      </c>
      <c r="AO188" s="1924">
        <f t="shared" si="171"/>
        <v>1314555.0900000001</v>
      </c>
      <c r="AP188" s="1924">
        <f>0.04*AO185</f>
        <v>50163.533600000002</v>
      </c>
      <c r="AQ188" s="1924">
        <f t="shared" si="172"/>
        <v>19483.467299999997</v>
      </c>
      <c r="AR188" s="2040">
        <f>69651-3.9991</f>
        <v>69647.000899999999</v>
      </c>
      <c r="AS188" s="1924">
        <v>3464093.4</v>
      </c>
      <c r="AT188" s="1924">
        <f t="shared" si="173"/>
        <v>281507.10090000002</v>
      </c>
      <c r="AU188" s="1924">
        <v>4126.8</v>
      </c>
      <c r="AV188" s="1924">
        <v>32053.3</v>
      </c>
      <c r="AW188" s="1924">
        <v>4762.3999999999996</v>
      </c>
      <c r="AX188" s="1924">
        <v>256728.7</v>
      </c>
      <c r="AY188" s="1924">
        <f t="shared" si="174"/>
        <v>297671.2</v>
      </c>
      <c r="AZ188" s="1267">
        <v>7.75</v>
      </c>
      <c r="BA188" s="1267">
        <v>1.1000000000000001</v>
      </c>
      <c r="BB188" s="1267">
        <v>0.4</v>
      </c>
      <c r="BC188" s="1267">
        <v>1.44</v>
      </c>
      <c r="BD188" s="1267">
        <v>3.03</v>
      </c>
      <c r="BE188" s="1267" t="s">
        <v>288</v>
      </c>
      <c r="BF188" s="2051">
        <v>3775</v>
      </c>
      <c r="BG188" s="2073">
        <v>1483</v>
      </c>
      <c r="BH188" s="2073">
        <v>5279</v>
      </c>
      <c r="BI188" s="2051">
        <v>65</v>
      </c>
      <c r="BJ188" s="2051">
        <v>10602</v>
      </c>
      <c r="BK188" s="1267">
        <f t="shared" si="175"/>
        <v>106.26385125760463</v>
      </c>
      <c r="BL188" s="1267">
        <f t="shared" si="156"/>
        <v>122.94218920958311</v>
      </c>
      <c r="BM188" s="1267">
        <f t="shared" si="157"/>
        <v>130.64310507451424</v>
      </c>
      <c r="BN188" s="1267">
        <f t="shared" si="176"/>
        <v>6.7143838507276188</v>
      </c>
      <c r="BO188" s="1267">
        <v>4</v>
      </c>
      <c r="BP188" s="1267">
        <v>4.95</v>
      </c>
      <c r="BQ188" s="1267">
        <v>7.82</v>
      </c>
      <c r="BR188" s="1267">
        <f t="shared" si="177"/>
        <v>2.87</v>
      </c>
      <c r="BS188" s="1267">
        <v>9.3699999999999992</v>
      </c>
      <c r="BT188" s="1267">
        <v>12.86</v>
      </c>
      <c r="BU188" s="1267">
        <f t="shared" si="178"/>
        <v>3.49</v>
      </c>
    </row>
    <row r="189" spans="1:73" s="154" customFormat="1" ht="9.9499999999999993" customHeight="1" x14ac:dyDescent="0.2">
      <c r="A189" s="160" t="s">
        <v>1536</v>
      </c>
      <c r="B189" s="24" t="s">
        <v>547</v>
      </c>
      <c r="C189" s="1922">
        <v>204033.4</v>
      </c>
      <c r="D189" s="1922">
        <v>1543</v>
      </c>
      <c r="E189" s="1922">
        <f t="shared" si="161"/>
        <v>205576.4</v>
      </c>
      <c r="F189" s="1922">
        <v>16378.4</v>
      </c>
      <c r="G189" s="1922">
        <f t="shared" si="162"/>
        <v>189198</v>
      </c>
      <c r="H189" s="1922">
        <v>29271.200000000001</v>
      </c>
      <c r="I189" s="1922">
        <v>86584.2</v>
      </c>
      <c r="J189" s="1922">
        <v>135788</v>
      </c>
      <c r="K189" s="1922">
        <v>1100659.5</v>
      </c>
      <c r="L189" s="1922">
        <f t="shared" si="163"/>
        <v>1236447.5</v>
      </c>
      <c r="M189" s="1922">
        <f t="shared" si="164"/>
        <v>1323031.7</v>
      </c>
      <c r="N189" s="1922">
        <v>559</v>
      </c>
      <c r="O189" s="1922">
        <v>280821.59999999998</v>
      </c>
      <c r="P189" s="1922">
        <f t="shared" si="165"/>
        <v>325545</v>
      </c>
      <c r="Q189" s="1922">
        <f t="shared" si="166"/>
        <v>1426204.5</v>
      </c>
      <c r="R189" s="1922">
        <v>1766761.2</v>
      </c>
      <c r="S189" s="1037">
        <v>0</v>
      </c>
      <c r="T189" s="1922">
        <v>25962.5</v>
      </c>
      <c r="U189" s="1922">
        <v>1066636.1000000001</v>
      </c>
      <c r="V189" s="1922">
        <f t="shared" si="167"/>
        <v>1092598.6000000001</v>
      </c>
      <c r="W189" s="1037">
        <v>0</v>
      </c>
      <c r="X189" s="1922">
        <v>2027.5</v>
      </c>
      <c r="Y189" s="1922">
        <v>21766.3</v>
      </c>
      <c r="Z189" s="1922">
        <f t="shared" si="168"/>
        <v>23793.8</v>
      </c>
      <c r="AA189" s="2064">
        <v>25583.1</v>
      </c>
      <c r="AB189" s="2064">
        <v>267947.90000000002</v>
      </c>
      <c r="AC189" s="2064">
        <v>19640.599999999999</v>
      </c>
      <c r="AD189" s="2064">
        <f t="shared" si="169"/>
        <v>287588.5</v>
      </c>
      <c r="AE189" s="2064">
        <f t="shared" si="170"/>
        <v>25583.1</v>
      </c>
      <c r="AF189" s="2064">
        <f t="shared" si="170"/>
        <v>295937.90000000002</v>
      </c>
      <c r="AG189" s="2064">
        <f t="shared" si="170"/>
        <v>1108043.0000000002</v>
      </c>
      <c r="AH189" s="2064">
        <f t="shared" si="170"/>
        <v>1403980.9000000001</v>
      </c>
      <c r="AI189" s="1922">
        <v>11229.6</v>
      </c>
      <c r="AJ189" s="1922">
        <v>54460.7</v>
      </c>
      <c r="AK189" s="1922">
        <v>30658.1</v>
      </c>
      <c r="AL189" s="1922">
        <v>79.8</v>
      </c>
      <c r="AM189" s="1922">
        <f>1323081.9-29.44</f>
        <v>1323052.46</v>
      </c>
      <c r="AN189" s="1922">
        <v>9230.2999999999993</v>
      </c>
      <c r="AO189" s="1922">
        <f t="shared" si="171"/>
        <v>1332282.76</v>
      </c>
      <c r="AP189" s="1922">
        <f>0.04*AO187</f>
        <v>51622.083999999995</v>
      </c>
      <c r="AQ189" s="1922">
        <f t="shared" si="172"/>
        <v>23060.964</v>
      </c>
      <c r="AR189" s="2046">
        <f>74686.2-3.152</f>
        <v>74683.047999999995</v>
      </c>
      <c r="AS189" s="1922">
        <v>3520630.9</v>
      </c>
      <c r="AT189" s="1922">
        <f t="shared" si="173"/>
        <v>280259.44799999997</v>
      </c>
      <c r="AU189" s="1922">
        <v>4126.8</v>
      </c>
      <c r="AV189" s="1922">
        <v>29407.4</v>
      </c>
      <c r="AW189" s="1922">
        <v>4947.7</v>
      </c>
      <c r="AX189" s="1922">
        <v>264196.8</v>
      </c>
      <c r="AY189" s="1922">
        <f t="shared" si="174"/>
        <v>302678.7</v>
      </c>
      <c r="AZ189" s="1289">
        <v>5.16</v>
      </c>
      <c r="BA189" s="1289">
        <v>0.56000000000000005</v>
      </c>
      <c r="BB189" s="1289">
        <v>1.44</v>
      </c>
      <c r="BC189" s="1289">
        <v>1.94</v>
      </c>
      <c r="BD189" s="1289">
        <v>3.82</v>
      </c>
      <c r="BE189" s="1289" t="s">
        <v>288</v>
      </c>
      <c r="BF189" s="2047">
        <v>3775</v>
      </c>
      <c r="BG189" s="2072">
        <v>1483</v>
      </c>
      <c r="BH189" s="2072">
        <v>5282</v>
      </c>
      <c r="BI189" s="2047">
        <v>67</v>
      </c>
      <c r="BJ189" s="2047">
        <v>10607</v>
      </c>
      <c r="BK189" s="1289">
        <f t="shared" si="175"/>
        <v>106.11679751534571</v>
      </c>
      <c r="BL189" s="1289">
        <f t="shared" si="156"/>
        <v>124.73389836900159</v>
      </c>
      <c r="BM189" s="1289">
        <f t="shared" si="157"/>
        <v>132.36361836523051</v>
      </c>
      <c r="BN189" s="1289">
        <f t="shared" si="176"/>
        <v>6.8826785598509064</v>
      </c>
      <c r="BO189" s="1289">
        <v>4</v>
      </c>
      <c r="BP189" s="1289">
        <v>4.79</v>
      </c>
      <c r="BQ189" s="1289">
        <v>7.79</v>
      </c>
      <c r="BR189" s="1289">
        <f t="shared" si="177"/>
        <v>3</v>
      </c>
      <c r="BS189" s="1289">
        <v>9.2200000000000006</v>
      </c>
      <c r="BT189" s="1289">
        <v>12.62</v>
      </c>
      <c r="BU189" s="1289">
        <f t="shared" si="178"/>
        <v>3.3999999999999986</v>
      </c>
    </row>
    <row r="190" spans="1:73" s="154" customFormat="1" ht="9.9499999999999993" customHeight="1" x14ac:dyDescent="0.2">
      <c r="A190" s="160" t="s">
        <v>1536</v>
      </c>
      <c r="B190" s="279" t="s">
        <v>554</v>
      </c>
      <c r="C190" s="1924">
        <v>202262.3</v>
      </c>
      <c r="D190" s="1924">
        <v>1544.6</v>
      </c>
      <c r="E190" s="1924">
        <f t="shared" si="161"/>
        <v>203806.9</v>
      </c>
      <c r="F190" s="1924">
        <v>15750.7</v>
      </c>
      <c r="G190" s="1924">
        <f t="shared" si="162"/>
        <v>188056.19999999998</v>
      </c>
      <c r="H190" s="1924">
        <v>29589</v>
      </c>
      <c r="I190" s="1924">
        <v>88260.3</v>
      </c>
      <c r="J190" s="1924">
        <v>134026.29999999999</v>
      </c>
      <c r="K190" s="1924">
        <v>1117093.8</v>
      </c>
      <c r="L190" s="1924">
        <f t="shared" si="163"/>
        <v>1251120.1000000001</v>
      </c>
      <c r="M190" s="1924">
        <f t="shared" si="164"/>
        <v>1339380.4000000001</v>
      </c>
      <c r="N190" s="1924">
        <v>551.70000000000005</v>
      </c>
      <c r="O190" s="1924">
        <v>289171.7</v>
      </c>
      <c r="P190" s="1924">
        <f t="shared" si="165"/>
        <v>322634.2</v>
      </c>
      <c r="Q190" s="1924">
        <f t="shared" si="166"/>
        <v>1439728</v>
      </c>
      <c r="R190" s="1924">
        <v>1784098.5</v>
      </c>
      <c r="S190" s="2050">
        <v>0</v>
      </c>
      <c r="T190" s="1924">
        <v>26049.9</v>
      </c>
      <c r="U190" s="1924">
        <v>1068268.2</v>
      </c>
      <c r="V190" s="1924">
        <f t="shared" si="167"/>
        <v>1094318.0999999999</v>
      </c>
      <c r="W190" s="2050">
        <v>0</v>
      </c>
      <c r="X190" s="1924">
        <v>1995.8</v>
      </c>
      <c r="Y190" s="1924">
        <v>21072.7</v>
      </c>
      <c r="Z190" s="1924">
        <f t="shared" si="168"/>
        <v>23068.5</v>
      </c>
      <c r="AA190" s="2066">
        <v>25949</v>
      </c>
      <c r="AB190" s="2066">
        <v>270927.3</v>
      </c>
      <c r="AC190" s="2066">
        <v>19896.400000000001</v>
      </c>
      <c r="AD190" s="2066">
        <f t="shared" si="169"/>
        <v>290823.7</v>
      </c>
      <c r="AE190" s="2066">
        <f t="shared" si="170"/>
        <v>25949</v>
      </c>
      <c r="AF190" s="2066">
        <f t="shared" si="170"/>
        <v>298973</v>
      </c>
      <c r="AG190" s="2066">
        <f t="shared" si="170"/>
        <v>1109237.2999999998</v>
      </c>
      <c r="AH190" s="2066">
        <f t="shared" si="170"/>
        <v>1408210.2999999998</v>
      </c>
      <c r="AI190" s="1924">
        <v>10282.799999999999</v>
      </c>
      <c r="AJ190" s="1924">
        <v>56386.9</v>
      </c>
      <c r="AK190" s="1924">
        <v>31731.8</v>
      </c>
      <c r="AL190" s="1924">
        <v>5.8</v>
      </c>
      <c r="AM190" s="1924">
        <f>1339430.5-30.36</f>
        <v>1339400.1399999999</v>
      </c>
      <c r="AN190" s="1924">
        <v>11251.2</v>
      </c>
      <c r="AO190" s="1924">
        <f t="shared" si="171"/>
        <v>1350651.3399999999</v>
      </c>
      <c r="AP190" s="1924">
        <f t="shared" ref="AP190:AP196" si="179">0.04*AO188</f>
        <v>52582.203600000008</v>
      </c>
      <c r="AQ190" s="1924">
        <f t="shared" si="172"/>
        <v>32228.857099999994</v>
      </c>
      <c r="AR190" s="2040">
        <f>84813.1-2.0393</f>
        <v>84811.060700000002</v>
      </c>
      <c r="AS190" s="1924">
        <v>3589034.8</v>
      </c>
      <c r="AT190" s="1924">
        <f t="shared" si="173"/>
        <v>288617.9607</v>
      </c>
      <c r="AU190" s="1924">
        <v>4126.8</v>
      </c>
      <c r="AV190" s="1924">
        <v>30357.8</v>
      </c>
      <c r="AW190" s="1924">
        <v>4665.6000000000004</v>
      </c>
      <c r="AX190" s="1924">
        <v>267163.7</v>
      </c>
      <c r="AY190" s="1924">
        <f t="shared" si="174"/>
        <v>306313.89999999997</v>
      </c>
      <c r="AZ190" s="1267">
        <v>5.77</v>
      </c>
      <c r="BA190" s="1267">
        <v>2.88</v>
      </c>
      <c r="BB190" s="1267">
        <v>1.55</v>
      </c>
      <c r="BC190" s="1267">
        <v>2.17</v>
      </c>
      <c r="BD190" s="1267">
        <v>4.8</v>
      </c>
      <c r="BE190" s="1267" t="s">
        <v>288</v>
      </c>
      <c r="BF190" s="2051">
        <v>3776</v>
      </c>
      <c r="BG190" s="2073">
        <v>1483</v>
      </c>
      <c r="BH190" s="2073">
        <v>5295</v>
      </c>
      <c r="BI190" s="2051">
        <v>67</v>
      </c>
      <c r="BJ190" s="2051">
        <v>10621</v>
      </c>
      <c r="BK190" s="1267">
        <f t="shared" si="175"/>
        <v>105.13738635266978</v>
      </c>
      <c r="BL190" s="1267">
        <f t="shared" si="156"/>
        <v>126.10866585067319</v>
      </c>
      <c r="BM190" s="1267">
        <f t="shared" si="157"/>
        <v>132.5873552396196</v>
      </c>
      <c r="BN190" s="1267">
        <f t="shared" si="176"/>
        <v>7.5079700006601469</v>
      </c>
      <c r="BO190" s="1267">
        <v>4</v>
      </c>
      <c r="BP190" s="1267">
        <v>4.7300000000000004</v>
      </c>
      <c r="BQ190" s="1267">
        <v>7.67</v>
      </c>
      <c r="BR190" s="1267">
        <f t="shared" si="177"/>
        <v>2.9399999999999995</v>
      </c>
      <c r="BS190" s="1267">
        <v>9.1199999999999992</v>
      </c>
      <c r="BT190" s="1267">
        <v>12.37</v>
      </c>
      <c r="BU190" s="1267">
        <f t="shared" si="178"/>
        <v>3.25</v>
      </c>
    </row>
    <row r="191" spans="1:73" s="154" customFormat="1" ht="9.9499999999999993" customHeight="1" x14ac:dyDescent="0.2">
      <c r="A191" s="160" t="s">
        <v>1536</v>
      </c>
      <c r="B191" s="24" t="s">
        <v>555</v>
      </c>
      <c r="C191" s="1922">
        <v>200463.5</v>
      </c>
      <c r="D191" s="1922">
        <v>1544.5</v>
      </c>
      <c r="E191" s="1922">
        <f t="shared" si="161"/>
        <v>202008</v>
      </c>
      <c r="F191" s="1922">
        <v>16571.099999999999</v>
      </c>
      <c r="G191" s="1922">
        <f t="shared" si="162"/>
        <v>185436.9</v>
      </c>
      <c r="H191" s="1922">
        <v>32044.7</v>
      </c>
      <c r="I191" s="1922">
        <v>89278.3</v>
      </c>
      <c r="J191" s="1922">
        <v>140119</v>
      </c>
      <c r="K191" s="1922">
        <v>1127882.5</v>
      </c>
      <c r="L191" s="1922">
        <f t="shared" si="163"/>
        <v>1268001.5</v>
      </c>
      <c r="M191" s="1922">
        <f t="shared" si="164"/>
        <v>1357279.8</v>
      </c>
      <c r="N191" s="1922">
        <v>521.70000000000005</v>
      </c>
      <c r="O191" s="1922">
        <v>297095.60000000003</v>
      </c>
      <c r="P191" s="1922">
        <f t="shared" si="165"/>
        <v>326077.60000000003</v>
      </c>
      <c r="Q191" s="1922">
        <f t="shared" si="166"/>
        <v>1453960.1</v>
      </c>
      <c r="R191" s="1922">
        <v>1800909.9000000001</v>
      </c>
      <c r="S191" s="1037">
        <v>0</v>
      </c>
      <c r="T191" s="1922">
        <v>26584.9</v>
      </c>
      <c r="U191" s="1922">
        <v>1074998.1000000001</v>
      </c>
      <c r="V191" s="1922">
        <f t="shared" si="167"/>
        <v>1101583</v>
      </c>
      <c r="W191" s="1037">
        <v>0</v>
      </c>
      <c r="X191" s="1922">
        <v>1978.4</v>
      </c>
      <c r="Y191" s="1922">
        <v>20826.7</v>
      </c>
      <c r="Z191" s="1922">
        <f t="shared" si="168"/>
        <v>22805.100000000002</v>
      </c>
      <c r="AA191" s="2064">
        <v>26148.400000000001</v>
      </c>
      <c r="AB191" s="2064">
        <v>274568.7</v>
      </c>
      <c r="AC191" s="2064">
        <v>20029.8</v>
      </c>
      <c r="AD191" s="2064">
        <f t="shared" si="169"/>
        <v>294598.5</v>
      </c>
      <c r="AE191" s="2064">
        <f t="shared" si="170"/>
        <v>26148.400000000001</v>
      </c>
      <c r="AF191" s="2064">
        <f t="shared" si="170"/>
        <v>303132</v>
      </c>
      <c r="AG191" s="2064">
        <f t="shared" si="170"/>
        <v>1115854.6000000001</v>
      </c>
      <c r="AH191" s="2064">
        <f t="shared" si="170"/>
        <v>1418986.6</v>
      </c>
      <c r="AI191" s="1922">
        <v>9550.1</v>
      </c>
      <c r="AJ191" s="1922">
        <v>58082</v>
      </c>
      <c r="AK191" s="1922">
        <v>32466.3</v>
      </c>
      <c r="AL191" s="1922">
        <v>9.5</v>
      </c>
      <c r="AM191" s="1922">
        <f>1357330.1-30.5</f>
        <v>1357299.6</v>
      </c>
      <c r="AN191" s="1922">
        <v>9556.1</v>
      </c>
      <c r="AO191" s="1922">
        <f t="shared" si="171"/>
        <v>1366855.7000000002</v>
      </c>
      <c r="AP191" s="1922">
        <f t="shared" si="179"/>
        <v>53291.310400000002</v>
      </c>
      <c r="AQ191" s="1922">
        <f t="shared" si="172"/>
        <v>41271.343599999993</v>
      </c>
      <c r="AR191" s="2046">
        <f>94565.9-3.246</f>
        <v>94562.653999999995</v>
      </c>
      <c r="AS191" s="1922">
        <v>3658686.4</v>
      </c>
      <c r="AT191" s="1922">
        <f t="shared" si="173"/>
        <v>296570.65399999998</v>
      </c>
      <c r="AU191" s="1922">
        <v>4126.8</v>
      </c>
      <c r="AV191" s="1922">
        <v>29047.599999999999</v>
      </c>
      <c r="AW191" s="1922">
        <v>4562.3</v>
      </c>
      <c r="AX191" s="1922">
        <v>270802.2</v>
      </c>
      <c r="AY191" s="1922">
        <f t="shared" si="174"/>
        <v>308538.89999999997</v>
      </c>
      <c r="AZ191" s="1289">
        <v>6.62</v>
      </c>
      <c r="BA191" s="1289">
        <v>4.88</v>
      </c>
      <c r="BB191" s="1289">
        <v>2.15</v>
      </c>
      <c r="BC191" s="1289">
        <v>2.83</v>
      </c>
      <c r="BD191" s="1289">
        <v>5.84</v>
      </c>
      <c r="BE191" s="1289" t="s">
        <v>288</v>
      </c>
      <c r="BF191" s="2047">
        <v>3777</v>
      </c>
      <c r="BG191" s="2072">
        <v>1483</v>
      </c>
      <c r="BH191" s="2072">
        <v>5301</v>
      </c>
      <c r="BI191" s="2047">
        <v>67</v>
      </c>
      <c r="BJ191" s="2047">
        <v>10628</v>
      </c>
      <c r="BK191" s="1289">
        <f t="shared" si="175"/>
        <v>104.54483299044661</v>
      </c>
      <c r="BL191" s="1289">
        <f t="shared" si="156"/>
        <v>127.70978547233723</v>
      </c>
      <c r="BM191" s="1289">
        <f t="shared" si="157"/>
        <v>133.51398193451263</v>
      </c>
      <c r="BN191" s="1289">
        <f t="shared" si="176"/>
        <v>8.1878572718948703</v>
      </c>
      <c r="BO191" s="1289">
        <v>4</v>
      </c>
      <c r="BP191" s="1289">
        <v>4.6399999999999997</v>
      </c>
      <c r="BQ191" s="1289">
        <v>7.62</v>
      </c>
      <c r="BR191" s="1289">
        <f t="shared" si="177"/>
        <v>2.9800000000000004</v>
      </c>
      <c r="BS191" s="1289">
        <v>8.91</v>
      </c>
      <c r="BT191" s="1289">
        <v>12.26</v>
      </c>
      <c r="BU191" s="1289">
        <f t="shared" si="178"/>
        <v>3.3499999999999996</v>
      </c>
    </row>
    <row r="192" spans="1:73" s="154" customFormat="1" ht="9.9499999999999993" customHeight="1" x14ac:dyDescent="0.2">
      <c r="A192" s="160" t="s">
        <v>1536</v>
      </c>
      <c r="B192" s="279" t="s">
        <v>548</v>
      </c>
      <c r="C192" s="1924">
        <v>201526</v>
      </c>
      <c r="D192" s="1924">
        <v>1544.1</v>
      </c>
      <c r="E192" s="1924">
        <f t="shared" si="161"/>
        <v>203070.1</v>
      </c>
      <c r="F192" s="1924">
        <v>15607.2</v>
      </c>
      <c r="G192" s="1924">
        <f t="shared" si="162"/>
        <v>187462.9</v>
      </c>
      <c r="H192" s="1924">
        <v>35460.699999999997</v>
      </c>
      <c r="I192" s="1924">
        <v>92145</v>
      </c>
      <c r="J192" s="1924">
        <v>148172.20000000001</v>
      </c>
      <c r="K192" s="1924">
        <v>1142300.2</v>
      </c>
      <c r="L192" s="1924">
        <f t="shared" si="163"/>
        <v>1290472.3999999999</v>
      </c>
      <c r="M192" s="1924">
        <f t="shared" si="164"/>
        <v>1382617.4</v>
      </c>
      <c r="N192" s="1924">
        <v>749.2</v>
      </c>
      <c r="O192" s="1924">
        <v>304054.3</v>
      </c>
      <c r="P192" s="1924">
        <f t="shared" si="165"/>
        <v>336384.3</v>
      </c>
      <c r="Q192" s="1924">
        <f t="shared" si="166"/>
        <v>1478684.5</v>
      </c>
      <c r="R192" s="1924">
        <v>1829393.9999999998</v>
      </c>
      <c r="S192" s="2050">
        <v>0</v>
      </c>
      <c r="T192" s="1924">
        <v>27168.799999999999</v>
      </c>
      <c r="U192" s="1924">
        <v>1095674.5</v>
      </c>
      <c r="V192" s="1924">
        <f t="shared" si="167"/>
        <v>1122843.3</v>
      </c>
      <c r="W192" s="2050">
        <v>0</v>
      </c>
      <c r="X192" s="1924">
        <v>1871.5</v>
      </c>
      <c r="Y192" s="1924">
        <v>20192.5</v>
      </c>
      <c r="Z192" s="1924">
        <f t="shared" si="168"/>
        <v>22064</v>
      </c>
      <c r="AA192" s="2066">
        <v>28568.400000000001</v>
      </c>
      <c r="AB192" s="2066">
        <v>283526.5</v>
      </c>
      <c r="AC192" s="2066">
        <v>20106.900000000001</v>
      </c>
      <c r="AD192" s="2066">
        <f t="shared" si="169"/>
        <v>303633.40000000002</v>
      </c>
      <c r="AE192" s="2066">
        <f t="shared" si="170"/>
        <v>28568.400000000001</v>
      </c>
      <c r="AF192" s="2066">
        <f t="shared" si="170"/>
        <v>312566.8</v>
      </c>
      <c r="AG192" s="2066">
        <f t="shared" si="170"/>
        <v>1135973.8999999999</v>
      </c>
      <c r="AH192" s="2066">
        <f t="shared" si="170"/>
        <v>1448540.7000000002</v>
      </c>
      <c r="AI192" s="1924">
        <v>9061.2999999999993</v>
      </c>
      <c r="AJ192" s="1924">
        <v>60007.1</v>
      </c>
      <c r="AK192" s="1924">
        <v>32131.9</v>
      </c>
      <c r="AL192" s="1924">
        <v>239.3</v>
      </c>
      <c r="AM192" s="1924">
        <f>1382667.8-31.66</f>
        <v>1382636.1400000001</v>
      </c>
      <c r="AN192" s="1924">
        <v>9568.2999999999993</v>
      </c>
      <c r="AO192" s="1924">
        <f t="shared" si="171"/>
        <v>1392204.4400000002</v>
      </c>
      <c r="AP192" s="1924">
        <f t="shared" si="179"/>
        <v>54026.053599999992</v>
      </c>
      <c r="AQ192" s="1924">
        <f t="shared" si="172"/>
        <v>46205.053700000011</v>
      </c>
      <c r="AR192" s="2040">
        <f>100235-3.8927</f>
        <v>100231.1073</v>
      </c>
      <c r="AS192" s="1924">
        <v>3494909</v>
      </c>
      <c r="AT192" s="1924">
        <f t="shared" si="173"/>
        <v>303301.20730000001</v>
      </c>
      <c r="AU192" s="1924">
        <v>4126.8</v>
      </c>
      <c r="AV192" s="1924">
        <v>27028.5</v>
      </c>
      <c r="AW192" s="1924">
        <v>4715.3</v>
      </c>
      <c r="AX192" s="1924">
        <v>279694.59999999998</v>
      </c>
      <c r="AY192" s="1924">
        <f t="shared" si="174"/>
        <v>315565.19999999995</v>
      </c>
      <c r="AZ192" s="1267">
        <v>5.59</v>
      </c>
      <c r="BA192" s="1267">
        <v>6.07</v>
      </c>
      <c r="BB192" s="1267">
        <v>4.01</v>
      </c>
      <c r="BC192" s="1267">
        <v>4.28</v>
      </c>
      <c r="BD192" s="1267">
        <v>7.64</v>
      </c>
      <c r="BE192" s="1267" t="s">
        <v>288</v>
      </c>
      <c r="BF192" s="2051">
        <v>3798</v>
      </c>
      <c r="BG192" s="2073">
        <v>1492</v>
      </c>
      <c r="BH192" s="2073">
        <v>5395</v>
      </c>
      <c r="BI192" s="2051">
        <v>67</v>
      </c>
      <c r="BJ192" s="2051">
        <v>10752</v>
      </c>
      <c r="BK192" s="1267">
        <f t="shared" si="175"/>
        <v>104.76658739731771</v>
      </c>
      <c r="BL192" s="1267">
        <f t="shared" si="156"/>
        <v>128.59339099702382</v>
      </c>
      <c r="BM192" s="1267">
        <f t="shared" si="157"/>
        <v>134.72290736607144</v>
      </c>
      <c r="BN192" s="1267">
        <f t="shared" si="176"/>
        <v>8.3780760497118205</v>
      </c>
      <c r="BO192" s="1267">
        <v>4</v>
      </c>
      <c r="BP192" s="1267">
        <v>4.54</v>
      </c>
      <c r="BQ192" s="1267">
        <v>7.61</v>
      </c>
      <c r="BR192" s="1267">
        <f t="shared" si="177"/>
        <v>3.0700000000000003</v>
      </c>
      <c r="BS192" s="1267">
        <v>8.69</v>
      </c>
      <c r="BT192" s="1267">
        <v>12.04</v>
      </c>
      <c r="BU192" s="1267">
        <f t="shared" si="178"/>
        <v>3.3499999999999996</v>
      </c>
    </row>
    <row r="193" spans="1:73" s="154" customFormat="1" ht="9.9499999999999993" customHeight="1" x14ac:dyDescent="0.2">
      <c r="A193" s="160" t="s">
        <v>1536</v>
      </c>
      <c r="B193" s="24" t="s">
        <v>556</v>
      </c>
      <c r="C193" s="1922">
        <v>201812.7</v>
      </c>
      <c r="D193" s="1922">
        <v>1546.5</v>
      </c>
      <c r="E193" s="1922">
        <f t="shared" si="161"/>
        <v>203359.2</v>
      </c>
      <c r="F193" s="1922">
        <v>17617.3</v>
      </c>
      <c r="G193" s="1922">
        <f t="shared" si="162"/>
        <v>185741.90000000002</v>
      </c>
      <c r="H193" s="1922">
        <v>33786</v>
      </c>
      <c r="I193" s="1922">
        <v>92533.6</v>
      </c>
      <c r="J193" s="1922">
        <v>142076.1</v>
      </c>
      <c r="K193" s="1922">
        <v>1144125.1000000001</v>
      </c>
      <c r="L193" s="1922">
        <f t="shared" si="163"/>
        <v>1286201.2000000002</v>
      </c>
      <c r="M193" s="1922">
        <f t="shared" si="164"/>
        <v>1378734.8000000003</v>
      </c>
      <c r="N193" s="1922">
        <v>527.79999999999995</v>
      </c>
      <c r="O193" s="1922">
        <v>301225.2</v>
      </c>
      <c r="P193" s="1922">
        <f t="shared" si="165"/>
        <v>328345.8</v>
      </c>
      <c r="Q193" s="1922">
        <f t="shared" si="166"/>
        <v>1472470.9000000001</v>
      </c>
      <c r="R193" s="1922">
        <v>1827481.8000000003</v>
      </c>
      <c r="S193" s="1037">
        <v>0</v>
      </c>
      <c r="T193" s="1922">
        <v>27189.5</v>
      </c>
      <c r="U193" s="1922">
        <v>1093932.8999999999</v>
      </c>
      <c r="V193" s="1922">
        <f t="shared" si="167"/>
        <v>1121122.3999999999</v>
      </c>
      <c r="W193" s="1037">
        <v>0</v>
      </c>
      <c r="X193" s="1922">
        <v>1819</v>
      </c>
      <c r="Y193" s="1922">
        <v>20363.2</v>
      </c>
      <c r="Z193" s="1922">
        <f t="shared" si="168"/>
        <v>22182.2</v>
      </c>
      <c r="AA193" s="2064">
        <v>28560.1</v>
      </c>
      <c r="AB193" s="2064">
        <v>284550.8</v>
      </c>
      <c r="AC193" s="2064">
        <v>20364.099999999999</v>
      </c>
      <c r="AD193" s="2064">
        <f t="shared" si="169"/>
        <v>304914.89999999997</v>
      </c>
      <c r="AE193" s="2064">
        <f t="shared" si="170"/>
        <v>28560.1</v>
      </c>
      <c r="AF193" s="2064">
        <f t="shared" si="170"/>
        <v>313559.3</v>
      </c>
      <c r="AG193" s="2064">
        <f t="shared" si="170"/>
        <v>1134660.2</v>
      </c>
      <c r="AH193" s="2064">
        <f t="shared" si="170"/>
        <v>1448219.4999999998</v>
      </c>
      <c r="AI193" s="1922">
        <v>8229.2999999999993</v>
      </c>
      <c r="AJ193" s="1922">
        <v>60862.2</v>
      </c>
      <c r="AK193" s="1922">
        <v>35315</v>
      </c>
      <c r="AL193" s="1922">
        <v>18.5</v>
      </c>
      <c r="AM193" s="1922">
        <f>1378785.1-30.06</f>
        <v>1378755.04</v>
      </c>
      <c r="AN193" s="1922">
        <v>10076.5</v>
      </c>
      <c r="AO193" s="1922">
        <f t="shared" si="171"/>
        <v>1388831.54</v>
      </c>
      <c r="AP193" s="1922">
        <f t="shared" si="179"/>
        <v>54674.22800000001</v>
      </c>
      <c r="AQ193" s="1922">
        <f t="shared" si="172"/>
        <v>42662.268899999988</v>
      </c>
      <c r="AR193" s="2046">
        <f>97338.2-1.7031</f>
        <v>97336.496899999998</v>
      </c>
      <c r="AS193" s="1922">
        <v>3537403.7</v>
      </c>
      <c r="AT193" s="1922">
        <f t="shared" si="173"/>
        <v>300695.69689999998</v>
      </c>
      <c r="AU193" s="1922">
        <v>4126.8</v>
      </c>
      <c r="AV193" s="1922">
        <v>32332.9</v>
      </c>
      <c r="AW193" s="1922">
        <v>4956.2</v>
      </c>
      <c r="AX193" s="1922">
        <v>280740.3</v>
      </c>
      <c r="AY193" s="1922">
        <f t="shared" si="174"/>
        <v>322156.2</v>
      </c>
      <c r="AZ193" s="1289">
        <v>5.64</v>
      </c>
      <c r="BA193" s="1289">
        <v>6.25</v>
      </c>
      <c r="BB193" s="1289">
        <v>3.9</v>
      </c>
      <c r="BC193" s="1289">
        <v>4.1900000000000004</v>
      </c>
      <c r="BD193" s="1289">
        <v>7.19</v>
      </c>
      <c r="BE193" s="1289" t="s">
        <v>288</v>
      </c>
      <c r="BF193" s="2047">
        <v>3798</v>
      </c>
      <c r="BG193" s="195">
        <v>1492</v>
      </c>
      <c r="BH193" s="195">
        <v>5395</v>
      </c>
      <c r="BI193" s="2047">
        <v>67</v>
      </c>
      <c r="BJ193" s="2047">
        <v>10752</v>
      </c>
      <c r="BK193" s="1289">
        <f t="shared" si="175"/>
        <v>105.03820170985556</v>
      </c>
      <c r="BL193" s="1289">
        <f t="shared" si="156"/>
        <v>128.23242559523811</v>
      </c>
      <c r="BM193" s="1289">
        <f t="shared" si="157"/>
        <v>134.69303385416666</v>
      </c>
      <c r="BN193" s="1289">
        <f t="shared" si="176"/>
        <v>8.3375069221868454</v>
      </c>
      <c r="BO193" s="1289">
        <v>4</v>
      </c>
      <c r="BP193" s="1289">
        <v>4.51</v>
      </c>
      <c r="BQ193" s="1289">
        <v>7.56</v>
      </c>
      <c r="BR193" s="1289">
        <f t="shared" si="177"/>
        <v>3.05</v>
      </c>
      <c r="BS193" s="1289">
        <v>8.48</v>
      </c>
      <c r="BT193" s="1289">
        <v>11.86</v>
      </c>
      <c r="BU193" s="1289">
        <f t="shared" si="178"/>
        <v>3.379999999999999</v>
      </c>
    </row>
    <row r="194" spans="1:73" s="154" customFormat="1" ht="9.9499999999999993" customHeight="1" x14ac:dyDescent="0.2">
      <c r="A194" s="160" t="s">
        <v>1536</v>
      </c>
      <c r="B194" s="279" t="s">
        <v>557</v>
      </c>
      <c r="C194" s="1924">
        <v>201832.9</v>
      </c>
      <c r="D194" s="1924">
        <v>1548.9</v>
      </c>
      <c r="E194" s="1924">
        <f t="shared" si="161"/>
        <v>203381.8</v>
      </c>
      <c r="F194" s="1924">
        <v>18049</v>
      </c>
      <c r="G194" s="1924">
        <f t="shared" si="162"/>
        <v>185332.8</v>
      </c>
      <c r="H194" s="1924">
        <v>35517</v>
      </c>
      <c r="I194" s="1924">
        <v>91772.1</v>
      </c>
      <c r="J194" s="1924">
        <v>144658.4</v>
      </c>
      <c r="K194" s="1924">
        <v>1150383.2</v>
      </c>
      <c r="L194" s="1924">
        <f t="shared" si="163"/>
        <v>1295041.5999999999</v>
      </c>
      <c r="M194" s="1924">
        <f t="shared" si="164"/>
        <v>1386813.7</v>
      </c>
      <c r="N194" s="1924">
        <v>558.70000000000005</v>
      </c>
      <c r="O194" s="1924">
        <v>300493.39999999997</v>
      </c>
      <c r="P194" s="1924">
        <f t="shared" si="165"/>
        <v>330549.89999999997</v>
      </c>
      <c r="Q194" s="1924">
        <f t="shared" si="166"/>
        <v>1480933.0999999999</v>
      </c>
      <c r="R194" s="1924">
        <v>1839453.9</v>
      </c>
      <c r="S194" s="2050">
        <v>0</v>
      </c>
      <c r="T194" s="1924">
        <v>27781.8</v>
      </c>
      <c r="U194" s="1924">
        <v>1105631.6000000001</v>
      </c>
      <c r="V194" s="1924">
        <f t="shared" si="167"/>
        <v>1133413.4000000001</v>
      </c>
      <c r="W194" s="2050">
        <v>0</v>
      </c>
      <c r="X194" s="1924">
        <v>1839.7</v>
      </c>
      <c r="Y194" s="1924">
        <v>21669.9</v>
      </c>
      <c r="Z194" s="1924">
        <f t="shared" si="168"/>
        <v>23509.600000000002</v>
      </c>
      <c r="AA194" s="2066">
        <v>28327.5</v>
      </c>
      <c r="AB194" s="2066">
        <v>282593.90000000002</v>
      </c>
      <c r="AC194" s="2066">
        <v>20833.8</v>
      </c>
      <c r="AD194" s="2066">
        <f t="shared" si="169"/>
        <v>303427.7</v>
      </c>
      <c r="AE194" s="2066">
        <f t="shared" si="170"/>
        <v>28327.5</v>
      </c>
      <c r="AF194" s="2066">
        <f t="shared" si="170"/>
        <v>312215.40000000002</v>
      </c>
      <c r="AG194" s="2066">
        <f t="shared" si="170"/>
        <v>1148135.3</v>
      </c>
      <c r="AH194" s="2066">
        <f t="shared" si="170"/>
        <v>1460350.7000000002</v>
      </c>
      <c r="AI194" s="1924">
        <v>7678.1</v>
      </c>
      <c r="AJ194" s="1924">
        <v>63584.4</v>
      </c>
      <c r="AK194" s="1924">
        <v>38197.1</v>
      </c>
      <c r="AL194" s="1924">
        <v>18.7</v>
      </c>
      <c r="AM194" s="1924">
        <f>1386864.1-30.25</f>
        <v>1386833.85</v>
      </c>
      <c r="AN194" s="1924">
        <v>9682</v>
      </c>
      <c r="AO194" s="1924">
        <f t="shared" si="171"/>
        <v>1396515.85</v>
      </c>
      <c r="AP194" s="1924">
        <f t="shared" si="179"/>
        <v>55688.17760000001</v>
      </c>
      <c r="AQ194" s="1924">
        <f t="shared" si="172"/>
        <v>40861.355499999991</v>
      </c>
      <c r="AR194" s="2066">
        <f>96552.9-3.3669</f>
        <v>96549.533100000001</v>
      </c>
      <c r="AS194" s="1924">
        <v>3567488.5</v>
      </c>
      <c r="AT194" s="1924">
        <f t="shared" si="173"/>
        <v>299931.33309999999</v>
      </c>
      <c r="AU194" s="2055">
        <v>4126.8</v>
      </c>
      <c r="AV194" s="1924">
        <v>26571.7</v>
      </c>
      <c r="AW194" s="1924">
        <v>5090.2</v>
      </c>
      <c r="AX194" s="1924">
        <v>278826.09999999998</v>
      </c>
      <c r="AY194" s="1924">
        <f t="shared" si="174"/>
        <v>314614.8</v>
      </c>
      <c r="AZ194" s="1267">
        <v>-0.9</v>
      </c>
      <c r="BA194" s="1267">
        <v>7.76</v>
      </c>
      <c r="BB194" s="1267">
        <v>5.13</v>
      </c>
      <c r="BC194" s="1267">
        <v>4.3499999999999996</v>
      </c>
      <c r="BD194" s="1267">
        <v>7.8</v>
      </c>
      <c r="BE194" s="1267" t="s">
        <v>288</v>
      </c>
      <c r="BF194" s="2051">
        <v>3799</v>
      </c>
      <c r="BG194" s="286">
        <v>1499</v>
      </c>
      <c r="BH194" s="286">
        <v>5397</v>
      </c>
      <c r="BI194" s="2051">
        <v>67</v>
      </c>
      <c r="BJ194" s="2051">
        <v>10762</v>
      </c>
      <c r="BK194" s="1267">
        <f t="shared" si="175"/>
        <v>105.30105679205913</v>
      </c>
      <c r="BL194" s="1267">
        <f t="shared" si="156"/>
        <v>128.8639518676826</v>
      </c>
      <c r="BM194" s="1267">
        <f t="shared" si="157"/>
        <v>135.69510314068017</v>
      </c>
      <c r="BN194" s="1267">
        <f t="shared" si="176"/>
        <v>8.2633210243606321</v>
      </c>
      <c r="BO194" s="1267">
        <v>4</v>
      </c>
      <c r="BP194" s="1267">
        <v>4.4400000000000004</v>
      </c>
      <c r="BQ194" s="1267">
        <v>7.48</v>
      </c>
      <c r="BR194" s="1267">
        <f t="shared" si="177"/>
        <v>3.04</v>
      </c>
      <c r="BS194" s="1267">
        <v>8.2899999999999991</v>
      </c>
      <c r="BT194" s="1267">
        <v>11.72</v>
      </c>
      <c r="BU194" s="1267">
        <f t="shared" si="178"/>
        <v>3.4300000000000015</v>
      </c>
    </row>
    <row r="195" spans="1:73" s="154" customFormat="1" ht="9.9499999999999993" customHeight="1" x14ac:dyDescent="0.2">
      <c r="A195" s="160" t="s">
        <v>1536</v>
      </c>
      <c r="B195" s="24" t="s">
        <v>549</v>
      </c>
      <c r="C195" s="1922">
        <v>200324.2</v>
      </c>
      <c r="D195" s="1922">
        <v>1555.6</v>
      </c>
      <c r="E195" s="1922">
        <f t="shared" si="161"/>
        <v>201879.80000000002</v>
      </c>
      <c r="F195" s="1922">
        <v>17663.5</v>
      </c>
      <c r="G195" s="1922">
        <f t="shared" si="162"/>
        <v>184216.30000000002</v>
      </c>
      <c r="H195" s="1922">
        <v>37163</v>
      </c>
      <c r="I195" s="1922">
        <v>91526.6</v>
      </c>
      <c r="J195" s="1922">
        <v>144956.29999999999</v>
      </c>
      <c r="K195" s="1922">
        <v>1154015.6000000001</v>
      </c>
      <c r="L195" s="1922">
        <f t="shared" si="163"/>
        <v>1298971.9000000001</v>
      </c>
      <c r="M195" s="1922">
        <f t="shared" si="164"/>
        <v>1390498.5000000002</v>
      </c>
      <c r="N195" s="1922">
        <v>605.6</v>
      </c>
      <c r="O195" s="1922">
        <v>303661.19999999995</v>
      </c>
      <c r="P195" s="1922">
        <f t="shared" si="165"/>
        <v>329778.19999999995</v>
      </c>
      <c r="Q195" s="1922">
        <f t="shared" si="166"/>
        <v>1483793.8</v>
      </c>
      <c r="R195" s="1922">
        <v>1846365.5</v>
      </c>
      <c r="S195" s="1037">
        <v>0</v>
      </c>
      <c r="T195" s="1922">
        <v>27305.4</v>
      </c>
      <c r="U195" s="1922">
        <v>1111969.8</v>
      </c>
      <c r="V195" s="1922">
        <f t="shared" si="167"/>
        <v>1139275.2</v>
      </c>
      <c r="W195" s="1037">
        <v>0</v>
      </c>
      <c r="X195" s="1922">
        <v>1863.6</v>
      </c>
      <c r="Y195" s="1922">
        <v>21887.3</v>
      </c>
      <c r="Z195" s="1922">
        <f t="shared" si="168"/>
        <v>23750.899999999998</v>
      </c>
      <c r="AA195" s="2064">
        <v>28464</v>
      </c>
      <c r="AB195" s="2064">
        <v>280509.3</v>
      </c>
      <c r="AC195" s="2064">
        <v>21067.200000000001</v>
      </c>
      <c r="AD195" s="2064">
        <f t="shared" si="169"/>
        <v>301576.5</v>
      </c>
      <c r="AE195" s="2064">
        <f t="shared" si="170"/>
        <v>28464</v>
      </c>
      <c r="AF195" s="2064">
        <f t="shared" si="170"/>
        <v>309678.3</v>
      </c>
      <c r="AG195" s="2064">
        <f t="shared" si="170"/>
        <v>1154924.3</v>
      </c>
      <c r="AH195" s="2064">
        <f t="shared" si="170"/>
        <v>1464602.5999999999</v>
      </c>
      <c r="AI195" s="1922">
        <v>7529.2</v>
      </c>
      <c r="AJ195" s="1922">
        <v>65577.7</v>
      </c>
      <c r="AK195" s="1922">
        <v>36130.199999999997</v>
      </c>
      <c r="AL195" s="1922">
        <v>191.2</v>
      </c>
      <c r="AM195" s="1922">
        <f>1390549-28.93</f>
        <v>1390520.07</v>
      </c>
      <c r="AN195" s="1922">
        <v>9714.4</v>
      </c>
      <c r="AO195" s="1922">
        <f t="shared" si="171"/>
        <v>1400234.47</v>
      </c>
      <c r="AP195" s="1922">
        <f t="shared" si="179"/>
        <v>55553.261600000005</v>
      </c>
      <c r="AQ195" s="1922">
        <f t="shared" si="172"/>
        <v>45620.557399999998</v>
      </c>
      <c r="AR195" s="2064">
        <f>101175.8-1.981</f>
        <v>101173.819</v>
      </c>
      <c r="AS195" s="1922">
        <v>3617124.8</v>
      </c>
      <c r="AT195" s="1922">
        <f t="shared" si="173"/>
        <v>303053.61900000001</v>
      </c>
      <c r="AU195" s="2063">
        <v>4126.8</v>
      </c>
      <c r="AV195" s="1922">
        <v>24941</v>
      </c>
      <c r="AW195" s="1922">
        <v>4861.7</v>
      </c>
      <c r="AX195" s="1922">
        <v>276641.59999999998</v>
      </c>
      <c r="AY195" s="1922">
        <f t="shared" si="174"/>
        <v>310571.09999999998</v>
      </c>
      <c r="AZ195" s="1289">
        <v>-1.24</v>
      </c>
      <c r="BA195" s="1289">
        <v>7.61</v>
      </c>
      <c r="BB195" s="1289">
        <v>5.75</v>
      </c>
      <c r="BC195" s="1289">
        <v>4.83</v>
      </c>
      <c r="BD195" s="1289">
        <v>8.01</v>
      </c>
      <c r="BE195" s="1289" t="s">
        <v>288</v>
      </c>
      <c r="BF195" s="2047">
        <v>3799</v>
      </c>
      <c r="BG195" s="195">
        <v>1501</v>
      </c>
      <c r="BH195" s="195">
        <v>5398</v>
      </c>
      <c r="BI195" s="2047">
        <v>67</v>
      </c>
      <c r="BJ195" s="2047">
        <v>10765</v>
      </c>
      <c r="BK195" s="1289">
        <f t="shared" si="175"/>
        <v>105.32768505815235</v>
      </c>
      <c r="BL195" s="1289">
        <f t="shared" si="156"/>
        <v>129.17046632605667</v>
      </c>
      <c r="BM195" s="1289">
        <f t="shared" si="157"/>
        <v>136.05226196005572</v>
      </c>
      <c r="BN195" s="1289">
        <f t="shared" si="176"/>
        <v>8.5462498214786642</v>
      </c>
      <c r="BO195" s="1289">
        <v>4</v>
      </c>
      <c r="BP195" s="1289">
        <v>4.4000000000000004</v>
      </c>
      <c r="BQ195" s="1289">
        <v>7.45</v>
      </c>
      <c r="BR195" s="1289">
        <f t="shared" si="177"/>
        <v>3.05</v>
      </c>
      <c r="BS195" s="1289">
        <v>8.16</v>
      </c>
      <c r="BT195" s="1289">
        <v>11.54</v>
      </c>
      <c r="BU195" s="1289">
        <f t="shared" si="178"/>
        <v>3.379999999999999</v>
      </c>
    </row>
    <row r="196" spans="1:73" s="154" customFormat="1" ht="9.9499999999999993" customHeight="1" x14ac:dyDescent="0.2">
      <c r="A196" s="160" t="s">
        <v>1536</v>
      </c>
      <c r="B196" s="279" t="s">
        <v>558</v>
      </c>
      <c r="C196" s="1924">
        <v>208632.6</v>
      </c>
      <c r="D196" s="1924">
        <v>1558.5</v>
      </c>
      <c r="E196" s="1924">
        <f t="shared" si="161"/>
        <v>210191.1</v>
      </c>
      <c r="F196" s="1924">
        <v>17780.2</v>
      </c>
      <c r="G196" s="1924">
        <f t="shared" si="162"/>
        <v>192410.9</v>
      </c>
      <c r="H196" s="1924">
        <v>34485.699999999997</v>
      </c>
      <c r="I196" s="1924">
        <v>93053.2</v>
      </c>
      <c r="J196" s="1924">
        <v>146855.9</v>
      </c>
      <c r="K196" s="1924">
        <v>1160606.8</v>
      </c>
      <c r="L196" s="1924">
        <f t="shared" si="163"/>
        <v>1307462.7</v>
      </c>
      <c r="M196" s="1924">
        <f t="shared" si="164"/>
        <v>1400515.9</v>
      </c>
      <c r="N196" s="1924">
        <v>567.9</v>
      </c>
      <c r="O196" s="1924">
        <v>316061.40000000002</v>
      </c>
      <c r="P196" s="1924">
        <f t="shared" si="165"/>
        <v>339834.7</v>
      </c>
      <c r="Q196" s="1924">
        <f t="shared" si="166"/>
        <v>1500441.5</v>
      </c>
      <c r="R196" s="1924">
        <v>1862739</v>
      </c>
      <c r="S196" s="2050">
        <v>0</v>
      </c>
      <c r="T196" s="1924">
        <v>26926.5</v>
      </c>
      <c r="U196" s="1924">
        <v>1116405.6000000001</v>
      </c>
      <c r="V196" s="1924">
        <f t="shared" si="167"/>
        <v>1143332.1000000001</v>
      </c>
      <c r="W196" s="2050">
        <v>0</v>
      </c>
      <c r="X196" s="1924">
        <v>1841.7</v>
      </c>
      <c r="Y196" s="1924">
        <v>21533.9</v>
      </c>
      <c r="Z196" s="1924">
        <f t="shared" si="168"/>
        <v>23375.600000000002</v>
      </c>
      <c r="AA196" s="2066">
        <v>28761.599999999999</v>
      </c>
      <c r="AB196" s="2066">
        <v>282214.2</v>
      </c>
      <c r="AC196" s="2066">
        <v>20873.900000000001</v>
      </c>
      <c r="AD196" s="2066">
        <f t="shared" si="169"/>
        <v>303088.10000000003</v>
      </c>
      <c r="AE196" s="2066">
        <f t="shared" si="170"/>
        <v>28761.599999999999</v>
      </c>
      <c r="AF196" s="2066">
        <f t="shared" si="170"/>
        <v>310982.40000000002</v>
      </c>
      <c r="AG196" s="2066">
        <f t="shared" si="170"/>
        <v>1158813.3999999999</v>
      </c>
      <c r="AH196" s="2066">
        <f t="shared" si="170"/>
        <v>1469795.8000000003</v>
      </c>
      <c r="AI196" s="1924">
        <v>7533.6</v>
      </c>
      <c r="AJ196" s="1924">
        <v>69453.899999999994</v>
      </c>
      <c r="AK196" s="1924">
        <v>37704.800000000003</v>
      </c>
      <c r="AL196" s="1924">
        <v>20.7</v>
      </c>
      <c r="AM196" s="1924">
        <f>1400566.4-29.14</f>
        <v>1400537.26</v>
      </c>
      <c r="AN196" s="1924">
        <v>10670.3</v>
      </c>
      <c r="AO196" s="1924">
        <f t="shared" si="171"/>
        <v>1411207.56</v>
      </c>
      <c r="AP196" s="1924">
        <f t="shared" si="179"/>
        <v>55860.634000000005</v>
      </c>
      <c r="AQ196" s="1924">
        <f t="shared" si="172"/>
        <v>49439.124199999991</v>
      </c>
      <c r="AR196" s="2066">
        <f>105302.4-2.6418</f>
        <v>105299.7582</v>
      </c>
      <c r="AS196" s="1924">
        <v>3681406.4</v>
      </c>
      <c r="AT196" s="1924">
        <f t="shared" si="173"/>
        <v>315490.85820000002</v>
      </c>
      <c r="AU196" s="2055">
        <v>4126.8</v>
      </c>
      <c r="AV196" s="1924">
        <v>25045.9</v>
      </c>
      <c r="AW196" s="1924">
        <v>5093.7</v>
      </c>
      <c r="AX196" s="1924">
        <v>278346.2</v>
      </c>
      <c r="AY196" s="1924">
        <f t="shared" si="174"/>
        <v>312612.60000000003</v>
      </c>
      <c r="AZ196" s="1267">
        <v>3.32</v>
      </c>
      <c r="BA196" s="1267">
        <v>5.19</v>
      </c>
      <c r="BB196" s="1267">
        <v>6.11</v>
      </c>
      <c r="BC196" s="1267">
        <v>5.7</v>
      </c>
      <c r="BD196" s="1267">
        <v>9.2200000000000006</v>
      </c>
      <c r="BE196" s="1267" t="s">
        <v>288</v>
      </c>
      <c r="BF196" s="2051">
        <v>3799</v>
      </c>
      <c r="BG196" s="286">
        <v>1503</v>
      </c>
      <c r="BH196" s="286">
        <v>5398</v>
      </c>
      <c r="BI196" s="2051">
        <v>67</v>
      </c>
      <c r="BJ196" s="2051">
        <v>10767</v>
      </c>
      <c r="BK196" s="1267">
        <f t="shared" si="175"/>
        <v>104.94514083830946</v>
      </c>
      <c r="BL196" s="1267">
        <f t="shared" si="156"/>
        <v>130.07683291538962</v>
      </c>
      <c r="BM196" s="1267">
        <f t="shared" si="157"/>
        <v>136.5093155010681</v>
      </c>
      <c r="BN196" s="1267">
        <f t="shared" si="176"/>
        <v>8.7880531075624511</v>
      </c>
      <c r="BO196" s="1267">
        <v>4</v>
      </c>
      <c r="BP196" s="1267">
        <v>4.3600000000000003</v>
      </c>
      <c r="BQ196" s="1267">
        <v>7.4</v>
      </c>
      <c r="BR196" s="1267">
        <f t="shared" si="177"/>
        <v>3.04</v>
      </c>
      <c r="BS196" s="1267">
        <v>8.06</v>
      </c>
      <c r="BT196" s="1267">
        <v>11.48</v>
      </c>
      <c r="BU196" s="1267">
        <f t="shared" si="178"/>
        <v>3.42</v>
      </c>
    </row>
    <row r="197" spans="1:73" s="154" customFormat="1" ht="9.9499999999999993" customHeight="1" x14ac:dyDescent="0.2">
      <c r="A197" s="160" t="s">
        <v>1536</v>
      </c>
      <c r="B197" s="24" t="s">
        <v>559</v>
      </c>
      <c r="C197" s="1922">
        <v>219292.79999999999</v>
      </c>
      <c r="D197" s="1922">
        <v>1562</v>
      </c>
      <c r="E197" s="1922">
        <f t="shared" si="161"/>
        <v>220854.8</v>
      </c>
      <c r="F197" s="1922">
        <v>19647.099999999999</v>
      </c>
      <c r="G197" s="1922">
        <f t="shared" si="162"/>
        <v>201207.69999999998</v>
      </c>
      <c r="H197" s="1922">
        <v>34630.6</v>
      </c>
      <c r="I197" s="1922">
        <v>95312.7</v>
      </c>
      <c r="J197" s="1922">
        <v>151795</v>
      </c>
      <c r="K197" s="1922">
        <v>1172766.2</v>
      </c>
      <c r="L197" s="1922">
        <f t="shared" si="163"/>
        <v>1324561.2</v>
      </c>
      <c r="M197" s="1922">
        <f t="shared" si="164"/>
        <v>1419873.9</v>
      </c>
      <c r="N197" s="1922">
        <v>506.5</v>
      </c>
      <c r="O197" s="1922">
        <v>327852.5</v>
      </c>
      <c r="P197" s="1922">
        <f t="shared" si="165"/>
        <v>353509.19999999995</v>
      </c>
      <c r="Q197" s="1922">
        <f t="shared" si="166"/>
        <v>1526275.4</v>
      </c>
      <c r="R197" s="1922">
        <v>1891599.0499999998</v>
      </c>
      <c r="S197" s="1037">
        <v>0</v>
      </c>
      <c r="T197" s="1922">
        <v>28597</v>
      </c>
      <c r="U197" s="1922">
        <v>1122874</v>
      </c>
      <c r="V197" s="1922">
        <f t="shared" si="167"/>
        <v>1151471</v>
      </c>
      <c r="W197" s="1037">
        <v>0</v>
      </c>
      <c r="X197" s="1922">
        <v>1799.4</v>
      </c>
      <c r="Y197" s="1922">
        <v>22418.799999999999</v>
      </c>
      <c r="Z197" s="1922">
        <f t="shared" si="168"/>
        <v>24218.2</v>
      </c>
      <c r="AA197" s="2064">
        <v>28561.1</v>
      </c>
      <c r="AB197" s="2064">
        <v>291711</v>
      </c>
      <c r="AC197" s="2064">
        <v>20999.8</v>
      </c>
      <c r="AD197" s="2064">
        <f t="shared" si="169"/>
        <v>312710.8</v>
      </c>
      <c r="AE197" s="2064">
        <f t="shared" si="170"/>
        <v>28561.1</v>
      </c>
      <c r="AF197" s="2064">
        <f t="shared" si="170"/>
        <v>322107.40000000002</v>
      </c>
      <c r="AG197" s="2064">
        <f t="shared" si="170"/>
        <v>1166292.6000000001</v>
      </c>
      <c r="AH197" s="2064">
        <f t="shared" si="170"/>
        <v>1488400</v>
      </c>
      <c r="AI197" s="1922">
        <v>7523.1</v>
      </c>
      <c r="AJ197" s="1922">
        <v>71210.399999999994</v>
      </c>
      <c r="AK197" s="1922">
        <v>37132</v>
      </c>
      <c r="AL197" s="1922">
        <v>38</v>
      </c>
      <c r="AM197" s="1922">
        <f>1419924.4-29.55</f>
        <v>1419894.8499999999</v>
      </c>
      <c r="AN197" s="1922">
        <v>10175.5</v>
      </c>
      <c r="AO197" s="1922">
        <f t="shared" si="171"/>
        <v>1430070.3499999999</v>
      </c>
      <c r="AP197" s="1922">
        <f>0.04*AO195</f>
        <v>56009.378799999999</v>
      </c>
      <c r="AQ197" s="1922">
        <f t="shared" si="172"/>
        <v>50478.262599999995</v>
      </c>
      <c r="AR197" s="2064">
        <f>106491.2-3.5586</f>
        <v>106487.64139999999</v>
      </c>
      <c r="AS197" s="1922">
        <v>3752633.9</v>
      </c>
      <c r="AT197" s="1922">
        <f t="shared" si="173"/>
        <v>327342.44140000001</v>
      </c>
      <c r="AU197" s="2063">
        <v>4126.8</v>
      </c>
      <c r="AV197" s="1922">
        <v>25117.200000000001</v>
      </c>
      <c r="AW197" s="1922">
        <v>6701.2</v>
      </c>
      <c r="AX197" s="1922">
        <v>287838.40000000002</v>
      </c>
      <c r="AY197" s="1922">
        <f t="shared" si="174"/>
        <v>323783.60000000003</v>
      </c>
      <c r="AZ197" s="1289">
        <v>9.01</v>
      </c>
      <c r="BA197" s="1289">
        <v>5.36</v>
      </c>
      <c r="BB197" s="1289">
        <v>6.79</v>
      </c>
      <c r="BC197" s="1289">
        <v>7.07</v>
      </c>
      <c r="BD197" s="1289">
        <v>11.1</v>
      </c>
      <c r="BE197" s="1289" t="s">
        <v>288</v>
      </c>
      <c r="BF197" s="2047">
        <v>3799</v>
      </c>
      <c r="BG197" s="195">
        <v>1503</v>
      </c>
      <c r="BH197" s="195">
        <v>5399</v>
      </c>
      <c r="BI197" s="2047">
        <v>67</v>
      </c>
      <c r="BJ197" s="2047">
        <v>10768</v>
      </c>
      <c r="BK197" s="1289">
        <f t="shared" si="175"/>
        <v>104.82466360097018</v>
      </c>
      <c r="BL197" s="1289">
        <f t="shared" si="156"/>
        <v>131.86244892273402</v>
      </c>
      <c r="BM197" s="1289">
        <f t="shared" si="157"/>
        <v>138.22436849925705</v>
      </c>
      <c r="BN197" s="1289">
        <f t="shared" si="176"/>
        <v>8.883386076088664</v>
      </c>
      <c r="BO197" s="1289">
        <v>4</v>
      </c>
      <c r="BP197" s="1289">
        <v>4.1399999999999997</v>
      </c>
      <c r="BQ197" s="1289">
        <v>7.4</v>
      </c>
      <c r="BR197" s="1289">
        <f t="shared" si="177"/>
        <v>3.2600000000000007</v>
      </c>
      <c r="BS197" s="1289">
        <v>7.93</v>
      </c>
      <c r="BT197" s="1289">
        <v>11.28</v>
      </c>
      <c r="BU197" s="1289">
        <f t="shared" si="178"/>
        <v>3.3499999999999996</v>
      </c>
    </row>
    <row r="198" spans="1:73" s="154" customFormat="1" ht="9.9499999999999993" customHeight="1" x14ac:dyDescent="0.2">
      <c r="A198" s="160" t="s">
        <v>1536</v>
      </c>
      <c r="B198" s="279" t="s">
        <v>550</v>
      </c>
      <c r="C198" s="1924">
        <v>225322.2</v>
      </c>
      <c r="D198" s="1924">
        <v>1566.1</v>
      </c>
      <c r="E198" s="1924">
        <f t="shared" si="161"/>
        <v>226888.30000000002</v>
      </c>
      <c r="F198" s="1924">
        <v>17370.599999999999</v>
      </c>
      <c r="G198" s="1924">
        <f t="shared" si="162"/>
        <v>209517.7</v>
      </c>
      <c r="H198" s="1924">
        <v>40048.199999999997</v>
      </c>
      <c r="I198" s="1924">
        <v>96176.5</v>
      </c>
      <c r="J198" s="1924">
        <v>165724.5</v>
      </c>
      <c r="K198" s="1924">
        <v>1185066.6000000001</v>
      </c>
      <c r="L198" s="1924">
        <f t="shared" si="163"/>
        <v>1350791.1</v>
      </c>
      <c r="M198" s="1924">
        <f t="shared" si="164"/>
        <v>1446967.6</v>
      </c>
      <c r="N198" s="1924">
        <v>586.5</v>
      </c>
      <c r="O198" s="1924">
        <v>348071.80000000005</v>
      </c>
      <c r="P198" s="1924">
        <f t="shared" si="165"/>
        <v>375828.7</v>
      </c>
      <c r="Q198" s="1924">
        <f t="shared" si="166"/>
        <v>1560895.3</v>
      </c>
      <c r="R198" s="1924">
        <v>1929045.3</v>
      </c>
      <c r="S198" s="2050">
        <v>0</v>
      </c>
      <c r="T198" s="1924">
        <v>26917.4</v>
      </c>
      <c r="U198" s="1924">
        <v>1139574.1000000001</v>
      </c>
      <c r="V198" s="1924">
        <f t="shared" si="167"/>
        <v>1166491.5</v>
      </c>
      <c r="W198" s="2050">
        <v>0</v>
      </c>
      <c r="X198" s="1924">
        <v>1788.7</v>
      </c>
      <c r="Y198" s="1924">
        <v>22235.9</v>
      </c>
      <c r="Z198" s="1924">
        <f t="shared" si="168"/>
        <v>24024.600000000002</v>
      </c>
      <c r="AA198" s="2066">
        <v>29531.4</v>
      </c>
      <c r="AB198" s="2066">
        <v>299276.3</v>
      </c>
      <c r="AC198" s="2066">
        <v>21206.9</v>
      </c>
      <c r="AD198" s="2066">
        <f t="shared" si="169"/>
        <v>320483.20000000001</v>
      </c>
      <c r="AE198" s="2066">
        <f t="shared" si="170"/>
        <v>29531.4</v>
      </c>
      <c r="AF198" s="2066">
        <f t="shared" si="170"/>
        <v>327982.39999999997</v>
      </c>
      <c r="AG198" s="2066">
        <f t="shared" si="170"/>
        <v>1183016.8999999999</v>
      </c>
      <c r="AH198" s="2066">
        <f t="shared" si="170"/>
        <v>1510999.3</v>
      </c>
      <c r="AI198" s="1924">
        <v>7539</v>
      </c>
      <c r="AJ198" s="1924">
        <v>73626.100000000006</v>
      </c>
      <c r="AK198" s="1924">
        <v>37421.1</v>
      </c>
      <c r="AL198" s="1924">
        <v>75.3</v>
      </c>
      <c r="AM198" s="1924">
        <f>1447018.3-34.19</f>
        <v>1446984.11</v>
      </c>
      <c r="AN198" s="1924">
        <v>9967.1</v>
      </c>
      <c r="AO198" s="1924">
        <f t="shared" si="171"/>
        <v>1456951.2100000002</v>
      </c>
      <c r="AP198" s="1924">
        <f>0.04*AO196</f>
        <v>56448.3024</v>
      </c>
      <c r="AQ198" s="1924">
        <f t="shared" si="172"/>
        <v>64144.017200000002</v>
      </c>
      <c r="AR198" s="2066">
        <f>120597-4.6804</f>
        <v>120592.3196</v>
      </c>
      <c r="AS198" s="1924">
        <v>3842083.7</v>
      </c>
      <c r="AT198" s="1924">
        <f t="shared" si="173"/>
        <v>347480.61960000003</v>
      </c>
      <c r="AU198" s="2055">
        <v>4126.8</v>
      </c>
      <c r="AV198" s="1924">
        <v>29712.3</v>
      </c>
      <c r="AW198" s="1924">
        <v>5780.6</v>
      </c>
      <c r="AX198" s="1924">
        <v>295402.2</v>
      </c>
      <c r="AY198" s="1924">
        <f t="shared" si="174"/>
        <v>335021.89999999997</v>
      </c>
      <c r="AZ198" s="1267">
        <v>22.01</v>
      </c>
      <c r="BA198" s="1267">
        <v>2.75</v>
      </c>
      <c r="BB198" s="1267">
        <v>8.35</v>
      </c>
      <c r="BC198" s="1267">
        <v>10.11</v>
      </c>
      <c r="BD198" s="1267">
        <v>13.62</v>
      </c>
      <c r="BE198" s="1267" t="s">
        <v>288</v>
      </c>
      <c r="BF198" s="2051">
        <v>3801</v>
      </c>
      <c r="BG198" s="2051">
        <v>1504</v>
      </c>
      <c r="BH198" s="2051">
        <v>5421</v>
      </c>
      <c r="BI198" s="2051">
        <v>67</v>
      </c>
      <c r="BJ198" s="2051">
        <v>10793</v>
      </c>
      <c r="BK198" s="1267">
        <f t="shared" si="175"/>
        <v>104.42404236215144</v>
      </c>
      <c r="BL198" s="1267">
        <f t="shared" si="156"/>
        <v>134.06690540164922</v>
      </c>
      <c r="BM198" s="1267">
        <f t="shared" si="157"/>
        <v>139.99808209024368</v>
      </c>
      <c r="BN198" s="1267">
        <f t="shared" si="176"/>
        <v>9.5345151786082845</v>
      </c>
      <c r="BO198" s="1267">
        <v>4</v>
      </c>
      <c r="BP198" s="1267">
        <v>4.13</v>
      </c>
      <c r="BQ198" s="1267">
        <v>7.33</v>
      </c>
      <c r="BR198" s="1267">
        <f t="shared" si="177"/>
        <v>3.2</v>
      </c>
      <c r="BS198" s="1267">
        <v>7.82</v>
      </c>
      <c r="BT198" s="1267">
        <v>11.19</v>
      </c>
      <c r="BU198" s="1267">
        <f t="shared" si="178"/>
        <v>3.3699999999999992</v>
      </c>
    </row>
    <row r="199" spans="1:73" s="154" customFormat="1" ht="9.9499999999999993" customHeight="1" x14ac:dyDescent="0.2">
      <c r="A199" s="160" t="s">
        <v>1817</v>
      </c>
      <c r="B199" s="275" t="s">
        <v>552</v>
      </c>
      <c r="C199" s="1924">
        <v>244502.5</v>
      </c>
      <c r="D199" s="1924">
        <v>1569.3</v>
      </c>
      <c r="E199" s="1924">
        <v>246071.8</v>
      </c>
      <c r="F199" s="1924">
        <v>19028.900000000001</v>
      </c>
      <c r="G199" s="1924">
        <v>227042.9</v>
      </c>
      <c r="H199" s="1924">
        <v>39218.800000000003</v>
      </c>
      <c r="I199" s="1924">
        <v>95349</v>
      </c>
      <c r="J199" s="1924">
        <v>157384</v>
      </c>
      <c r="K199" s="1924">
        <v>1193049.8</v>
      </c>
      <c r="L199" s="1924">
        <v>1350433.8</v>
      </c>
      <c r="M199" s="1924">
        <v>1445782.8</v>
      </c>
      <c r="N199" s="1924">
        <v>569.29999999999995</v>
      </c>
      <c r="O199" s="1924">
        <v>349551.2</v>
      </c>
      <c r="P199" s="1924">
        <v>384996.2</v>
      </c>
      <c r="Q199" s="1924">
        <v>1578046</v>
      </c>
      <c r="R199" s="1924">
        <v>1948997.5</v>
      </c>
      <c r="S199" s="1924">
        <v>0</v>
      </c>
      <c r="T199" s="1924">
        <v>27159.9</v>
      </c>
      <c r="U199" s="1924">
        <v>1135185</v>
      </c>
      <c r="V199" s="1924">
        <v>1162344.8999999999</v>
      </c>
      <c r="W199" s="1924">
        <v>0</v>
      </c>
      <c r="X199" s="1924">
        <v>1759.7</v>
      </c>
      <c r="Y199" s="1924">
        <v>24416.1</v>
      </c>
      <c r="Z199" s="1924">
        <v>26175.8</v>
      </c>
      <c r="AA199" s="1924">
        <v>29438.1</v>
      </c>
      <c r="AB199" s="1924">
        <v>311156.59999999998</v>
      </c>
      <c r="AC199" s="1924">
        <v>21588.1</v>
      </c>
      <c r="AD199" s="1924">
        <v>332744.69999999995</v>
      </c>
      <c r="AE199" s="1924">
        <v>29438.1</v>
      </c>
      <c r="AF199" s="1924">
        <v>340076.19999999995</v>
      </c>
      <c r="AG199" s="1924">
        <v>1181189.2000000002</v>
      </c>
      <c r="AH199" s="1924">
        <v>1521265.4</v>
      </c>
      <c r="AI199" s="1924">
        <v>7236</v>
      </c>
      <c r="AJ199" s="1924">
        <v>75326.100000000006</v>
      </c>
      <c r="AK199" s="1924">
        <v>39241.199999999997</v>
      </c>
      <c r="AL199" s="1924">
        <v>77.599999999999994</v>
      </c>
      <c r="AM199" s="1924">
        <v>1445802.23</v>
      </c>
      <c r="AN199" s="1924">
        <v>12396.5</v>
      </c>
      <c r="AO199" s="1924">
        <v>1458198.73</v>
      </c>
      <c r="AP199" s="1924">
        <v>58327.949200000003</v>
      </c>
      <c r="AQ199" s="1924">
        <v>44579.510699999999</v>
      </c>
      <c r="AR199" s="1924">
        <v>102907.4599</v>
      </c>
      <c r="AS199" s="1924">
        <v>3877920.8</v>
      </c>
      <c r="AT199" s="1924">
        <v>348979.2599</v>
      </c>
      <c r="AU199" s="1924">
        <v>4126.8</v>
      </c>
      <c r="AV199" s="1924">
        <v>25725.3</v>
      </c>
      <c r="AW199" s="1924">
        <v>5826.9</v>
      </c>
      <c r="AX199" s="1924">
        <v>307282.5</v>
      </c>
      <c r="AY199" s="1924">
        <v>342961.5</v>
      </c>
      <c r="AZ199" s="2074">
        <v>3.67</v>
      </c>
      <c r="BA199" s="2074">
        <v>0.4</v>
      </c>
      <c r="BB199" s="2074">
        <v>-0.16</v>
      </c>
      <c r="BC199" s="2074">
        <v>0.44</v>
      </c>
      <c r="BD199" s="2074">
        <v>1.1000000000000001</v>
      </c>
      <c r="BE199" s="2074" t="s">
        <v>288</v>
      </c>
      <c r="BF199" s="2075">
        <v>3801</v>
      </c>
      <c r="BG199" s="2075">
        <v>1507</v>
      </c>
      <c r="BH199" s="2075">
        <v>5422</v>
      </c>
      <c r="BI199" s="2075">
        <v>67</v>
      </c>
      <c r="BJ199" s="2075">
        <v>10797</v>
      </c>
      <c r="BK199" s="2074">
        <v>105.2194669806257</v>
      </c>
      <c r="BL199" s="2074">
        <v>133.90777345558951</v>
      </c>
      <c r="BM199" s="2074">
        <v>140.89704547559506</v>
      </c>
      <c r="BN199" s="2074">
        <v>8.4338201567167328</v>
      </c>
      <c r="BO199" s="2074">
        <v>4</v>
      </c>
      <c r="BP199" s="2074">
        <v>4.1100000000000003</v>
      </c>
      <c r="BQ199" s="2074">
        <v>7.3</v>
      </c>
      <c r="BR199" s="2074">
        <v>3.1899999999999995</v>
      </c>
      <c r="BS199" s="2074">
        <v>7.7</v>
      </c>
      <c r="BT199" s="2074">
        <v>11.11</v>
      </c>
      <c r="BU199" s="2074">
        <v>3.4099999999999993</v>
      </c>
    </row>
    <row r="200" spans="1:73" s="154" customFormat="1" ht="9.9499999999999993" customHeight="1" x14ac:dyDescent="0.2">
      <c r="A200" s="160" t="s">
        <v>1536</v>
      </c>
      <c r="B200" s="236" t="s">
        <v>553</v>
      </c>
      <c r="C200" s="1924">
        <v>232100.9</v>
      </c>
      <c r="D200" s="1924">
        <v>1574.7</v>
      </c>
      <c r="E200" s="1924">
        <v>233675.6</v>
      </c>
      <c r="F200" s="1924">
        <v>20154.900000000001</v>
      </c>
      <c r="G200" s="1924">
        <v>213520.7</v>
      </c>
      <c r="H200" s="1924">
        <v>34545.599999999999</v>
      </c>
      <c r="I200" s="1924">
        <v>97383.2</v>
      </c>
      <c r="J200" s="1924">
        <v>160725.5</v>
      </c>
      <c r="K200" s="1924">
        <v>1204766.6000000001</v>
      </c>
      <c r="L200" s="1924">
        <v>1365492.1</v>
      </c>
      <c r="M200" s="1924">
        <v>1462875.3</v>
      </c>
      <c r="N200" s="1924">
        <v>530.1</v>
      </c>
      <c r="O200" s="1924">
        <v>325861</v>
      </c>
      <c r="P200" s="1924">
        <v>374776.3</v>
      </c>
      <c r="Q200" s="1924">
        <v>1579542.9000000001</v>
      </c>
      <c r="R200" s="1924">
        <v>1951470.9</v>
      </c>
      <c r="S200" s="1924">
        <v>0</v>
      </c>
      <c r="T200" s="1924">
        <v>27134.400000000001</v>
      </c>
      <c r="U200" s="1924">
        <v>1141144.6000000001</v>
      </c>
      <c r="V200" s="1924">
        <v>1168279</v>
      </c>
      <c r="W200" s="1924">
        <v>0</v>
      </c>
      <c r="X200" s="1924">
        <v>1727.9</v>
      </c>
      <c r="Y200" s="1924">
        <v>25935.7</v>
      </c>
      <c r="Z200" s="1924">
        <v>27663.600000000002</v>
      </c>
      <c r="AA200" s="1924">
        <v>29125.1</v>
      </c>
      <c r="AB200" s="1924">
        <v>314599.59999999998</v>
      </c>
      <c r="AC200" s="1924">
        <v>21431.9</v>
      </c>
      <c r="AD200" s="1924">
        <v>336031.5</v>
      </c>
      <c r="AE200" s="1924">
        <v>29125.1</v>
      </c>
      <c r="AF200" s="1924">
        <v>343461.89999999997</v>
      </c>
      <c r="AG200" s="1924">
        <v>1188512.2</v>
      </c>
      <c r="AH200" s="1924">
        <v>1531974.1</v>
      </c>
      <c r="AI200" s="1924">
        <v>7159.9</v>
      </c>
      <c r="AJ200" s="1924">
        <v>75291.100000000006</v>
      </c>
      <c r="AK200" s="1924">
        <v>39824</v>
      </c>
      <c r="AL200" s="1924">
        <v>101.9</v>
      </c>
      <c r="AM200" s="1924">
        <v>1462895.35</v>
      </c>
      <c r="AN200" s="1924">
        <v>10566.8</v>
      </c>
      <c r="AO200" s="1924">
        <v>1473462.1500000001</v>
      </c>
      <c r="AP200" s="1924">
        <v>58938.486000000004</v>
      </c>
      <c r="AQ200" s="1924">
        <v>32715.6302</v>
      </c>
      <c r="AR200" s="1924">
        <v>91654.116200000004</v>
      </c>
      <c r="AS200" s="1924">
        <v>3945983.1</v>
      </c>
      <c r="AT200" s="1924">
        <v>325329.71620000002</v>
      </c>
      <c r="AU200" s="1924">
        <v>4126.8</v>
      </c>
      <c r="AV200" s="1924">
        <v>24809.5</v>
      </c>
      <c r="AW200" s="1924">
        <v>5856.1</v>
      </c>
      <c r="AX200" s="1924">
        <v>310726.3</v>
      </c>
      <c r="AY200" s="1924">
        <v>345518.69999999995</v>
      </c>
      <c r="AZ200" s="2074">
        <v>1.58</v>
      </c>
      <c r="BA200" s="2074">
        <v>0.7</v>
      </c>
      <c r="BB200" s="2074">
        <v>0.47</v>
      </c>
      <c r="BC200" s="2074">
        <v>0.64</v>
      </c>
      <c r="BD200" s="2074">
        <v>1.19</v>
      </c>
      <c r="BE200" s="2074" t="s">
        <v>288</v>
      </c>
      <c r="BF200" s="2075">
        <v>3801</v>
      </c>
      <c r="BG200" s="2075">
        <v>1507</v>
      </c>
      <c r="BH200" s="2075">
        <v>5424</v>
      </c>
      <c r="BI200" s="2075">
        <v>67</v>
      </c>
      <c r="BJ200" s="2075">
        <v>10799</v>
      </c>
      <c r="BK200" s="2074">
        <v>104.72205684432588</v>
      </c>
      <c r="BL200" s="2074">
        <v>135.46581627928512</v>
      </c>
      <c r="BM200" s="2074">
        <v>141.86258912862303</v>
      </c>
      <c r="BN200" s="2074">
        <v>7.6429948458035639</v>
      </c>
      <c r="BO200" s="2074">
        <v>4</v>
      </c>
      <c r="BP200" s="2074">
        <v>4.05</v>
      </c>
      <c r="BQ200" s="2074">
        <v>7.24</v>
      </c>
      <c r="BR200" s="2074">
        <v>3.1900000000000004</v>
      </c>
      <c r="BS200" s="2074">
        <v>7.62</v>
      </c>
      <c r="BT200" s="2074">
        <v>10.98</v>
      </c>
      <c r="BU200" s="2074">
        <v>3.3600000000000003</v>
      </c>
    </row>
    <row r="201" spans="1:73" s="154" customFormat="1" ht="9.9499999999999993" customHeight="1" x14ac:dyDescent="0.2">
      <c r="A201" s="160" t="s">
        <v>1817</v>
      </c>
      <c r="B201" s="275" t="s">
        <v>547</v>
      </c>
      <c r="C201" s="1924">
        <v>226089.4</v>
      </c>
      <c r="D201" s="1924">
        <v>1582.3</v>
      </c>
      <c r="E201" s="1924">
        <v>227671.69999999998</v>
      </c>
      <c r="F201" s="1924">
        <v>18053.3</v>
      </c>
      <c r="G201" s="1924">
        <v>209618.4</v>
      </c>
      <c r="H201" s="1924">
        <v>32460.7</v>
      </c>
      <c r="I201" s="1924">
        <v>97093</v>
      </c>
      <c r="J201" s="1924">
        <v>156427.29999999999</v>
      </c>
      <c r="K201" s="1924">
        <v>1219250.1000000001</v>
      </c>
      <c r="L201" s="1924">
        <v>1375677.4000000001</v>
      </c>
      <c r="M201" s="1924">
        <v>1472770.4000000001</v>
      </c>
      <c r="N201" s="1924">
        <v>521.1</v>
      </c>
      <c r="O201" s="1924">
        <v>323334.29999999993</v>
      </c>
      <c r="P201" s="1924">
        <v>366566.79999999993</v>
      </c>
      <c r="Q201" s="1924">
        <v>1585816.9</v>
      </c>
      <c r="R201" s="1924">
        <v>1960362.7</v>
      </c>
      <c r="S201" s="1924">
        <v>0</v>
      </c>
      <c r="T201" s="1924">
        <v>27392</v>
      </c>
      <c r="U201" s="1924">
        <v>1156210.6000000001</v>
      </c>
      <c r="V201" s="1924">
        <v>1183602.6000000001</v>
      </c>
      <c r="W201" s="1924">
        <v>0</v>
      </c>
      <c r="X201" s="1924">
        <v>1662.3</v>
      </c>
      <c r="Y201" s="1924">
        <v>27485.9</v>
      </c>
      <c r="Z201" s="1924">
        <v>29148.2</v>
      </c>
      <c r="AA201" s="1924">
        <v>29644</v>
      </c>
      <c r="AB201" s="1924">
        <v>316659</v>
      </c>
      <c r="AC201" s="1924">
        <v>21196.3</v>
      </c>
      <c r="AD201" s="1924">
        <v>337855.3</v>
      </c>
      <c r="AE201" s="1924">
        <v>29644</v>
      </c>
      <c r="AF201" s="1924">
        <v>345713.3</v>
      </c>
      <c r="AG201" s="1924">
        <v>1204892.8</v>
      </c>
      <c r="AH201" s="1924">
        <v>1550606.1</v>
      </c>
      <c r="AI201" s="1924">
        <v>7042.2</v>
      </c>
      <c r="AJ201" s="1924">
        <v>75296.899999999994</v>
      </c>
      <c r="AK201" s="1924">
        <v>39026.1</v>
      </c>
      <c r="AL201" s="1924">
        <v>78.900000000000006</v>
      </c>
      <c r="AM201" s="1924">
        <v>1472815.7899999998</v>
      </c>
      <c r="AN201" s="1924">
        <v>11710.4</v>
      </c>
      <c r="AO201" s="1924">
        <v>1484526.1899999997</v>
      </c>
      <c r="AP201" s="1924">
        <v>59381.047599999991</v>
      </c>
      <c r="AQ201" s="1924">
        <v>35757.491600000008</v>
      </c>
      <c r="AR201" s="1924">
        <v>95138.539199999999</v>
      </c>
      <c r="AS201" s="1924">
        <v>4005371.6</v>
      </c>
      <c r="AT201" s="1924">
        <v>322810.23919999995</v>
      </c>
      <c r="AU201" s="1924">
        <v>4126.8</v>
      </c>
      <c r="AV201" s="1924">
        <v>27992.6</v>
      </c>
      <c r="AW201" s="1924">
        <v>5827</v>
      </c>
      <c r="AX201" s="1924">
        <v>312553.3</v>
      </c>
      <c r="AY201" s="1924">
        <v>350499.69999999995</v>
      </c>
      <c r="AZ201" s="2074">
        <v>2.95</v>
      </c>
      <c r="BA201" s="2074">
        <v>2.06</v>
      </c>
      <c r="BB201" s="2074">
        <v>1.84</v>
      </c>
      <c r="BC201" s="2074">
        <v>2.0099999999999998</v>
      </c>
      <c r="BD201" s="2074">
        <v>1.6</v>
      </c>
      <c r="BE201" s="2074" t="s">
        <v>288</v>
      </c>
      <c r="BF201" s="2075">
        <v>3801</v>
      </c>
      <c r="BG201" s="2075">
        <v>1507</v>
      </c>
      <c r="BH201" s="2075">
        <v>5428</v>
      </c>
      <c r="BI201" s="2075">
        <v>67</v>
      </c>
      <c r="BJ201" s="2075">
        <v>10803</v>
      </c>
      <c r="BK201" s="2074">
        <v>105.28174063098552</v>
      </c>
      <c r="BL201" s="2074">
        <v>136.33396186244559</v>
      </c>
      <c r="BM201" s="2074">
        <v>143.53476811996669</v>
      </c>
      <c r="BN201" s="2074">
        <v>7.6854036987205321</v>
      </c>
      <c r="BO201" s="2074">
        <v>4</v>
      </c>
      <c r="BP201" s="2074">
        <v>4.08</v>
      </c>
      <c r="BQ201" s="2074">
        <v>7.24</v>
      </c>
      <c r="BR201" s="2074">
        <v>3.16</v>
      </c>
      <c r="BS201" s="2074">
        <v>7.51</v>
      </c>
      <c r="BT201" s="2074">
        <v>10.83</v>
      </c>
      <c r="BU201" s="2074">
        <v>3.3200000000000003</v>
      </c>
    </row>
    <row r="202" spans="1:73" s="154" customFormat="1" ht="9.9499999999999993" customHeight="1" x14ac:dyDescent="0.2">
      <c r="A202" s="160" t="s">
        <v>1536</v>
      </c>
      <c r="B202" s="236" t="s">
        <v>554</v>
      </c>
      <c r="C202" s="1924">
        <v>224139.1</v>
      </c>
      <c r="D202" s="1924">
        <v>1588.6</v>
      </c>
      <c r="E202" s="1924">
        <v>225727.7</v>
      </c>
      <c r="F202" s="1924">
        <v>19832.5</v>
      </c>
      <c r="G202" s="1924">
        <v>205895.2</v>
      </c>
      <c r="H202" s="1924">
        <v>34215.599999999999</v>
      </c>
      <c r="I202" s="1924">
        <v>97606.2</v>
      </c>
      <c r="J202" s="1924">
        <v>158861.9</v>
      </c>
      <c r="K202" s="1924">
        <v>1229200.5</v>
      </c>
      <c r="L202" s="1924">
        <v>1388062.4</v>
      </c>
      <c r="M202" s="1924">
        <v>1485668.5999999999</v>
      </c>
      <c r="N202" s="1924">
        <v>502.8</v>
      </c>
      <c r="O202" s="1924">
        <v>319958.2</v>
      </c>
      <c r="P202" s="1924">
        <v>365259.89999999997</v>
      </c>
      <c r="Q202" s="1924">
        <v>1594460.4</v>
      </c>
      <c r="R202" s="1924">
        <v>1969268.9999999995</v>
      </c>
      <c r="S202" s="1924">
        <v>0</v>
      </c>
      <c r="T202" s="1924">
        <v>28402.400000000001</v>
      </c>
      <c r="U202" s="1924">
        <v>1164058.5</v>
      </c>
      <c r="V202" s="1924">
        <v>1192460.8999999999</v>
      </c>
      <c r="W202" s="1924">
        <v>0</v>
      </c>
      <c r="X202" s="1924">
        <v>1671.1</v>
      </c>
      <c r="Y202" s="1924">
        <v>28746.400000000001</v>
      </c>
      <c r="Z202" s="1924">
        <v>30417.5</v>
      </c>
      <c r="AA202" s="1924">
        <v>29563.200000000001</v>
      </c>
      <c r="AB202" s="1924">
        <v>319525.09999999998</v>
      </c>
      <c r="AC202" s="1924">
        <v>20969.8</v>
      </c>
      <c r="AD202" s="1924">
        <v>340494.89999999997</v>
      </c>
      <c r="AE202" s="1924">
        <v>29563.200000000001</v>
      </c>
      <c r="AF202" s="1924">
        <v>349598.6</v>
      </c>
      <c r="AG202" s="1924">
        <v>1213774.7</v>
      </c>
      <c r="AH202" s="1924">
        <v>1563373.2999999998</v>
      </c>
      <c r="AI202" s="1924">
        <v>7012.9</v>
      </c>
      <c r="AJ202" s="1924">
        <v>74952.2</v>
      </c>
      <c r="AK202" s="1924">
        <v>40027.1</v>
      </c>
      <c r="AL202" s="1924">
        <v>123.1</v>
      </c>
      <c r="AM202" s="1924">
        <v>1485719.51</v>
      </c>
      <c r="AN202" s="1924">
        <v>11572</v>
      </c>
      <c r="AO202" s="1924">
        <v>1497291.51</v>
      </c>
      <c r="AP202" s="1924">
        <v>59891.660400000001</v>
      </c>
      <c r="AQ202" s="1924">
        <v>33833.063399999992</v>
      </c>
      <c r="AR202" s="1924">
        <v>93724.723799999992</v>
      </c>
      <c r="AS202" s="1924">
        <v>4083549.8</v>
      </c>
      <c r="AT202" s="1924">
        <v>319452.42379999999</v>
      </c>
      <c r="AU202" s="1924">
        <v>4126.8</v>
      </c>
      <c r="AV202" s="1924">
        <v>28091.4</v>
      </c>
      <c r="AW202" s="1924">
        <v>6542.3</v>
      </c>
      <c r="AX202" s="1924">
        <v>314767.59999999998</v>
      </c>
      <c r="AY202" s="1924">
        <v>353528.1</v>
      </c>
      <c r="AZ202" s="2074">
        <v>4.5</v>
      </c>
      <c r="BA202" s="2074">
        <v>5.23</v>
      </c>
      <c r="BB202" s="2074">
        <v>2.58</v>
      </c>
      <c r="BC202" s="2074">
        <v>2.93</v>
      </c>
      <c r="BD202" s="2074">
        <v>2.15</v>
      </c>
      <c r="BE202" s="2074" t="s">
        <v>288</v>
      </c>
      <c r="BF202" s="2075">
        <v>3801</v>
      </c>
      <c r="BG202" s="2075">
        <v>1507</v>
      </c>
      <c r="BH202" s="2075">
        <v>5443</v>
      </c>
      <c r="BI202" s="2075">
        <v>67</v>
      </c>
      <c r="BJ202" s="2075">
        <v>10818</v>
      </c>
      <c r="BK202" s="2074">
        <v>105.22667902503345</v>
      </c>
      <c r="BL202" s="2074">
        <v>137.33772508781661</v>
      </c>
      <c r="BM202" s="2074">
        <v>144.51592715843961</v>
      </c>
      <c r="BN202" s="2074">
        <v>7.643247802541139</v>
      </c>
      <c r="BO202" s="2074">
        <v>4</v>
      </c>
      <c r="BP202" s="2074">
        <v>4.01</v>
      </c>
      <c r="BQ202" s="2074">
        <v>7.15</v>
      </c>
      <c r="BR202" s="2074">
        <v>3.1400000000000006</v>
      </c>
      <c r="BS202" s="2074">
        <v>7.55</v>
      </c>
      <c r="BT202" s="2074">
        <v>10.73</v>
      </c>
      <c r="BU202" s="2074">
        <v>3.1800000000000006</v>
      </c>
    </row>
    <row r="203" spans="1:73" s="154" customFormat="1" ht="9.9499999999999993" customHeight="1" x14ac:dyDescent="0.2">
      <c r="A203" s="160" t="s">
        <v>1817</v>
      </c>
      <c r="B203" s="275" t="s">
        <v>555</v>
      </c>
      <c r="C203" s="1924">
        <v>225421.6</v>
      </c>
      <c r="D203" s="1924">
        <v>1595.5</v>
      </c>
      <c r="E203" s="1924">
        <v>227017.1</v>
      </c>
      <c r="F203" s="1924">
        <v>18720.7</v>
      </c>
      <c r="G203" s="1924">
        <v>208296.4</v>
      </c>
      <c r="H203" s="1924">
        <v>34682.400000000001</v>
      </c>
      <c r="I203" s="1924">
        <v>98931.7</v>
      </c>
      <c r="J203" s="1924">
        <v>159607.4</v>
      </c>
      <c r="K203" s="1924">
        <v>1234131.1000000001</v>
      </c>
      <c r="L203" s="1924">
        <v>1393738.5</v>
      </c>
      <c r="M203" s="1924">
        <v>1492670.2</v>
      </c>
      <c r="N203" s="1924">
        <v>497.4</v>
      </c>
      <c r="O203" s="1924">
        <v>332488.80000000005</v>
      </c>
      <c r="P203" s="1924">
        <v>368401.2</v>
      </c>
      <c r="Q203" s="1924">
        <v>1602532.3</v>
      </c>
      <c r="R203" s="1924">
        <v>1978874.9</v>
      </c>
      <c r="S203" s="1924">
        <v>0</v>
      </c>
      <c r="T203" s="1924">
        <v>30374.799999999999</v>
      </c>
      <c r="U203" s="1924">
        <v>1175868.5</v>
      </c>
      <c r="V203" s="1924">
        <v>1206243.3</v>
      </c>
      <c r="W203" s="1924">
        <v>0</v>
      </c>
      <c r="X203" s="1924">
        <v>1767.9</v>
      </c>
      <c r="Y203" s="1924">
        <v>30478.3</v>
      </c>
      <c r="Z203" s="1924">
        <v>32246.2</v>
      </c>
      <c r="AA203" s="1924">
        <v>30365.5</v>
      </c>
      <c r="AB203" s="1924">
        <v>320763.40000000002</v>
      </c>
      <c r="AC203" s="1924">
        <v>22178.6</v>
      </c>
      <c r="AD203" s="1924">
        <v>342942</v>
      </c>
      <c r="AE203" s="1924">
        <v>30365.5</v>
      </c>
      <c r="AF203" s="1924">
        <v>352906.10000000003</v>
      </c>
      <c r="AG203" s="1924">
        <v>1228525.4000000001</v>
      </c>
      <c r="AH203" s="1924">
        <v>1581431.5</v>
      </c>
      <c r="AI203" s="1924">
        <v>7246.6</v>
      </c>
      <c r="AJ203" s="1924">
        <v>75363.100000000006</v>
      </c>
      <c r="AK203" s="1924">
        <v>37050.5</v>
      </c>
      <c r="AL203" s="1924">
        <v>123.2</v>
      </c>
      <c r="AM203" s="1924">
        <v>1492729.1500000001</v>
      </c>
      <c r="AN203" s="1924">
        <v>12256.2</v>
      </c>
      <c r="AO203" s="1924">
        <v>1504985.35</v>
      </c>
      <c r="AP203" s="1924">
        <v>60199.414000000004</v>
      </c>
      <c r="AQ203" s="1924">
        <v>44770.388299999991</v>
      </c>
      <c r="AR203" s="1924">
        <v>104969.8023</v>
      </c>
      <c r="AS203" s="1924">
        <v>4148172.6</v>
      </c>
      <c r="AT203" s="1924">
        <v>331986.90230000002</v>
      </c>
      <c r="AU203" s="1924">
        <v>4126.8</v>
      </c>
      <c r="AV203" s="1924">
        <v>27907.3</v>
      </c>
      <c r="AW203" s="1924">
        <v>6958.7</v>
      </c>
      <c r="AX203" s="1924">
        <v>316133</v>
      </c>
      <c r="AY203" s="1924">
        <v>355125.8</v>
      </c>
      <c r="AZ203" s="2074">
        <v>8.6199999999999992</v>
      </c>
      <c r="BA203" s="2074">
        <v>10.210000000000001</v>
      </c>
      <c r="BB203" s="2074">
        <v>3.82</v>
      </c>
      <c r="BC203" s="2074">
        <v>4.6900000000000004</v>
      </c>
      <c r="BD203" s="2074">
        <v>2.63</v>
      </c>
      <c r="BE203" s="2074" t="s">
        <v>288</v>
      </c>
      <c r="BF203" s="2075">
        <v>3801</v>
      </c>
      <c r="BG203" s="2075">
        <v>1507</v>
      </c>
      <c r="BH203" s="2075">
        <v>5467</v>
      </c>
      <c r="BI203" s="2075">
        <v>67</v>
      </c>
      <c r="BJ203" s="2075">
        <v>10842</v>
      </c>
      <c r="BK203" s="2074">
        <v>105.94229368402164</v>
      </c>
      <c r="BL203" s="2074">
        <v>137.68023888581445</v>
      </c>
      <c r="BM203" s="2074">
        <v>145.8616030252721</v>
      </c>
      <c r="BN203" s="2074">
        <v>8.286198624847648</v>
      </c>
      <c r="BO203" s="2074">
        <v>4</v>
      </c>
      <c r="BP203" s="2074">
        <v>3.99</v>
      </c>
      <c r="BQ203" s="2074">
        <v>7.15</v>
      </c>
      <c r="BR203" s="2074">
        <v>3.16</v>
      </c>
      <c r="BS203" s="2074">
        <v>7.52</v>
      </c>
      <c r="BT203" s="2074">
        <v>10.64</v>
      </c>
      <c r="BU203" s="2074">
        <v>3.120000000000001</v>
      </c>
    </row>
    <row r="204" spans="1:73" s="154" customFormat="1" ht="9.9499999999999993" customHeight="1" x14ac:dyDescent="0.2">
      <c r="A204" s="160" t="s">
        <v>1817</v>
      </c>
      <c r="B204" s="236" t="s">
        <v>548</v>
      </c>
      <c r="C204" s="1924">
        <v>227883.1</v>
      </c>
      <c r="D204" s="1924">
        <v>1605.1</v>
      </c>
      <c r="E204" s="1924">
        <v>229488.2</v>
      </c>
      <c r="F204" s="1924">
        <v>18765.099999999999</v>
      </c>
      <c r="G204" s="1924">
        <v>210723.1</v>
      </c>
      <c r="H204" s="1924">
        <v>40197.5</v>
      </c>
      <c r="I204" s="1924">
        <v>105697.2</v>
      </c>
      <c r="J204" s="1924">
        <v>168018.6</v>
      </c>
      <c r="K204" s="1924">
        <v>1241324</v>
      </c>
      <c r="L204" s="1924">
        <v>1409342.6</v>
      </c>
      <c r="M204" s="1924">
        <v>1515039.8</v>
      </c>
      <c r="N204" s="1924">
        <v>569.29999999999995</v>
      </c>
      <c r="O204" s="1924">
        <v>323666.3</v>
      </c>
      <c r="P204" s="1924">
        <v>379311</v>
      </c>
      <c r="Q204" s="1924">
        <v>1620635</v>
      </c>
      <c r="R204" s="1924">
        <v>1997049.6999999997</v>
      </c>
      <c r="S204" s="1924">
        <v>0</v>
      </c>
      <c r="T204" s="1924">
        <v>33387.9</v>
      </c>
      <c r="U204" s="1924">
        <v>1202693.8</v>
      </c>
      <c r="V204" s="1924">
        <v>1236081.7</v>
      </c>
      <c r="W204" s="1924">
        <v>0</v>
      </c>
      <c r="X204" s="1924">
        <v>1790.4</v>
      </c>
      <c r="Y204" s="1924">
        <v>29688.6</v>
      </c>
      <c r="Z204" s="1924">
        <v>31479</v>
      </c>
      <c r="AA204" s="1924">
        <v>31563.9</v>
      </c>
      <c r="AB204" s="1924">
        <v>333765.40000000002</v>
      </c>
      <c r="AC204" s="1924">
        <v>25167.8</v>
      </c>
      <c r="AD204" s="1924">
        <v>358933.2</v>
      </c>
      <c r="AE204" s="1924">
        <v>31563.9</v>
      </c>
      <c r="AF204" s="1924">
        <v>368943.7</v>
      </c>
      <c r="AG204" s="1924">
        <v>1257550.2000000002</v>
      </c>
      <c r="AH204" s="1924">
        <v>1626493.9</v>
      </c>
      <c r="AI204" s="1924">
        <v>8944.9</v>
      </c>
      <c r="AJ204" s="1924">
        <v>74935</v>
      </c>
      <c r="AK204" s="1924">
        <v>36825.1</v>
      </c>
      <c r="AL204" s="1924">
        <v>148.1</v>
      </c>
      <c r="AM204" s="1924">
        <v>1515092.79</v>
      </c>
      <c r="AN204" s="1924">
        <v>11745.1</v>
      </c>
      <c r="AO204" s="1924">
        <v>1526837.8900000001</v>
      </c>
      <c r="AP204" s="1924">
        <v>61073.515600000006</v>
      </c>
      <c r="AQ204" s="1924">
        <v>32530.287499999999</v>
      </c>
      <c r="AR204" s="1924">
        <v>93603.803100000005</v>
      </c>
      <c r="AS204" s="1924">
        <v>3978771.9</v>
      </c>
      <c r="AT204" s="1924">
        <v>323092.00310000003</v>
      </c>
      <c r="AU204" s="1924">
        <v>4126.8</v>
      </c>
      <c r="AV204" s="1924">
        <v>27697.5</v>
      </c>
      <c r="AW204" s="1924">
        <v>8513.2000000000007</v>
      </c>
      <c r="AX204" s="1924">
        <v>329180.40000000002</v>
      </c>
      <c r="AY204" s="1924">
        <v>369517.9</v>
      </c>
      <c r="AZ204" s="2074">
        <v>6.12</v>
      </c>
      <c r="BA204" s="2074">
        <v>14.59</v>
      </c>
      <c r="BB204" s="2074">
        <v>6.26</v>
      </c>
      <c r="BC204" s="2074">
        <v>6.41</v>
      </c>
      <c r="BD204" s="2074">
        <v>3.83</v>
      </c>
      <c r="BE204" s="2074" t="s">
        <v>288</v>
      </c>
      <c r="BF204" s="2075">
        <v>3810</v>
      </c>
      <c r="BG204" s="2075">
        <v>1512</v>
      </c>
      <c r="BH204" s="2075">
        <v>5550</v>
      </c>
      <c r="BI204" s="2075">
        <v>65</v>
      </c>
      <c r="BJ204" s="2075">
        <v>10937</v>
      </c>
      <c r="BK204" s="2074">
        <v>107.35275824261561</v>
      </c>
      <c r="BL204" s="2074">
        <v>138.52910213038311</v>
      </c>
      <c r="BM204" s="2074">
        <v>148.71481210569624</v>
      </c>
      <c r="BN204" s="2074">
        <v>7.4166350629917526</v>
      </c>
      <c r="BO204" s="2074">
        <v>4</v>
      </c>
      <c r="BP204" s="2074">
        <v>3.99</v>
      </c>
      <c r="BQ204" s="2074">
        <v>7.18</v>
      </c>
      <c r="BR204" s="2074">
        <v>3.1899999999999995</v>
      </c>
      <c r="BS204" s="2074">
        <v>7.62</v>
      </c>
      <c r="BT204" s="2074">
        <v>10.43</v>
      </c>
      <c r="BU204" s="2074">
        <v>2.8099999999999996</v>
      </c>
    </row>
    <row r="205" spans="1:73" s="154" customFormat="1" ht="9.9499999999999993" customHeight="1" x14ac:dyDescent="0.2">
      <c r="A205" s="160" t="s">
        <v>1817</v>
      </c>
      <c r="B205" s="275" t="s">
        <v>556</v>
      </c>
      <c r="C205" s="1924">
        <v>229783.9</v>
      </c>
      <c r="D205" s="1924">
        <v>1614.1</v>
      </c>
      <c r="E205" s="1924">
        <v>231398</v>
      </c>
      <c r="F205" s="1924">
        <v>19620.8</v>
      </c>
      <c r="G205" s="1924">
        <v>211777.2</v>
      </c>
      <c r="H205" s="1924">
        <v>36684.300000000003</v>
      </c>
      <c r="I205" s="1924">
        <v>108030.7</v>
      </c>
      <c r="J205" s="1924">
        <v>160870.29999999999</v>
      </c>
      <c r="K205" s="1924">
        <v>1240883.6000000001</v>
      </c>
      <c r="L205" s="1924">
        <v>1401753.9000000001</v>
      </c>
      <c r="M205" s="1924">
        <v>1509784.6</v>
      </c>
      <c r="N205" s="1924">
        <v>589.20000000000005</v>
      </c>
      <c r="O205" s="1924">
        <v>323298.90000000002</v>
      </c>
      <c r="P205" s="1924">
        <v>373236.7</v>
      </c>
      <c r="Q205" s="1924">
        <v>1614120.3</v>
      </c>
      <c r="R205" s="1924">
        <v>1993234.6</v>
      </c>
      <c r="S205" s="1924">
        <v>0</v>
      </c>
      <c r="T205" s="1924">
        <v>35504.300000000003</v>
      </c>
      <c r="U205" s="1924">
        <v>1202929.3999999999</v>
      </c>
      <c r="V205" s="1924">
        <v>1238433.7</v>
      </c>
      <c r="W205" s="1924">
        <v>0</v>
      </c>
      <c r="X205" s="1924">
        <v>1817.6</v>
      </c>
      <c r="Y205" s="1924">
        <v>32525.3</v>
      </c>
      <c r="Z205" s="1924">
        <v>34342.9</v>
      </c>
      <c r="AA205" s="1924">
        <v>31135.599999999999</v>
      </c>
      <c r="AB205" s="1924">
        <v>329563.3</v>
      </c>
      <c r="AC205" s="1924">
        <v>25069.200000000001</v>
      </c>
      <c r="AD205" s="1924">
        <v>354632.5</v>
      </c>
      <c r="AE205" s="1924">
        <v>31135.599999999999</v>
      </c>
      <c r="AF205" s="1924">
        <v>366885.2</v>
      </c>
      <c r="AG205" s="1924">
        <v>1260523.8999999999</v>
      </c>
      <c r="AH205" s="1924">
        <v>1627409.0999999999</v>
      </c>
      <c r="AI205" s="1924">
        <v>8757</v>
      </c>
      <c r="AJ205" s="1924">
        <v>78639.899999999994</v>
      </c>
      <c r="AK205" s="1924">
        <v>40736</v>
      </c>
      <c r="AL205" s="1924">
        <v>152.69999999999999</v>
      </c>
      <c r="AM205" s="1924">
        <v>1509849.27</v>
      </c>
      <c r="AN205" s="1924">
        <v>12698.7</v>
      </c>
      <c r="AO205" s="1924">
        <v>1522547.97</v>
      </c>
      <c r="AP205" s="1924">
        <v>60901.918799999999</v>
      </c>
      <c r="AQ205" s="1924">
        <v>30405.180099999998</v>
      </c>
      <c r="AR205" s="1924">
        <v>91307.098899999997</v>
      </c>
      <c r="AS205" s="1924">
        <v>3968534.8</v>
      </c>
      <c r="AT205" s="1924">
        <v>322705.09889999998</v>
      </c>
      <c r="AU205" s="1924">
        <v>4126.8</v>
      </c>
      <c r="AV205" s="1924">
        <v>27671.9</v>
      </c>
      <c r="AW205" s="1924">
        <v>9010.5</v>
      </c>
      <c r="AX205" s="1924">
        <v>324975.5</v>
      </c>
      <c r="AY205" s="1924">
        <v>365784.7</v>
      </c>
      <c r="AZ205" s="2074">
        <v>5</v>
      </c>
      <c r="BA205" s="2074">
        <v>21.19</v>
      </c>
      <c r="BB205" s="2074">
        <v>6.51</v>
      </c>
      <c r="BC205" s="2074">
        <v>6.58</v>
      </c>
      <c r="BD205" s="2074">
        <v>3.41</v>
      </c>
      <c r="BE205" s="2074" t="s">
        <v>288</v>
      </c>
      <c r="BF205" s="2075">
        <v>3810</v>
      </c>
      <c r="BG205" s="2075">
        <v>1512</v>
      </c>
      <c r="BH205" s="2075">
        <v>5550</v>
      </c>
      <c r="BI205" s="2075">
        <v>65</v>
      </c>
      <c r="BJ205" s="2075">
        <v>10937</v>
      </c>
      <c r="BK205" s="2074">
        <v>107.78619643270748</v>
      </c>
      <c r="BL205" s="2074">
        <v>138.04967267075065</v>
      </c>
      <c r="BM205" s="2074">
        <v>148.79849135960501</v>
      </c>
      <c r="BN205" s="2074">
        <v>7.3469518516904673</v>
      </c>
      <c r="BO205" s="2074">
        <v>4</v>
      </c>
      <c r="BP205" s="2074">
        <v>4.01</v>
      </c>
      <c r="BQ205" s="2074">
        <v>7.13</v>
      </c>
      <c r="BR205" s="2074">
        <v>3.12</v>
      </c>
      <c r="BS205" s="2074">
        <v>7.55</v>
      </c>
      <c r="BT205" s="2074">
        <v>10.59</v>
      </c>
      <c r="BU205" s="2074">
        <v>3.04</v>
      </c>
    </row>
    <row r="206" spans="1:73" s="154" customFormat="1" ht="9.9499999999999993" customHeight="1" x14ac:dyDescent="0.2">
      <c r="A206" s="160" t="s">
        <v>1817</v>
      </c>
      <c r="B206" s="236" t="s">
        <v>557</v>
      </c>
      <c r="C206" s="1924">
        <v>231253.1</v>
      </c>
      <c r="D206" s="1924">
        <v>1621.5</v>
      </c>
      <c r="E206" s="1924">
        <v>232874.6</v>
      </c>
      <c r="F206" s="1924">
        <v>20604.400000000001</v>
      </c>
      <c r="G206" s="1924">
        <v>212270.2</v>
      </c>
      <c r="H206" s="1924">
        <v>35772.699999999997</v>
      </c>
      <c r="I206" s="1924">
        <v>107170.6</v>
      </c>
      <c r="J206" s="1924">
        <v>159009.70000000001</v>
      </c>
      <c r="K206" s="1924">
        <v>1249163</v>
      </c>
      <c r="L206" s="1924">
        <v>1408172.7</v>
      </c>
      <c r="M206" s="1924">
        <v>1515343.3</v>
      </c>
      <c r="N206" s="1924">
        <v>493.8</v>
      </c>
      <c r="O206" s="1924">
        <v>322285.09999999998</v>
      </c>
      <c r="P206" s="1924">
        <v>371773.7</v>
      </c>
      <c r="Q206" s="1924">
        <v>1620936.7</v>
      </c>
      <c r="R206" s="1924">
        <v>2003903.4</v>
      </c>
      <c r="S206" s="1924">
        <v>0</v>
      </c>
      <c r="T206" s="1924">
        <v>34959.800000000003</v>
      </c>
      <c r="U206" s="1924">
        <v>1215791.3999999999</v>
      </c>
      <c r="V206" s="1924">
        <v>1250751.2</v>
      </c>
      <c r="W206" s="1924">
        <v>0</v>
      </c>
      <c r="X206" s="1924">
        <v>1895.5</v>
      </c>
      <c r="Y206" s="1924">
        <v>32039.9</v>
      </c>
      <c r="Z206" s="1924">
        <v>33935.4</v>
      </c>
      <c r="AA206" s="1924">
        <v>30964.7</v>
      </c>
      <c r="AB206" s="1924">
        <v>328946.7</v>
      </c>
      <c r="AC206" s="1924">
        <v>25258</v>
      </c>
      <c r="AD206" s="1924">
        <v>354204.7</v>
      </c>
      <c r="AE206" s="1924">
        <v>30964.7</v>
      </c>
      <c r="AF206" s="1924">
        <v>365802</v>
      </c>
      <c r="AG206" s="1924">
        <v>1273089.2999999998</v>
      </c>
      <c r="AH206" s="1924">
        <v>1638891.2999999998</v>
      </c>
      <c r="AI206" s="1924">
        <v>8036.3</v>
      </c>
      <c r="AJ206" s="1924">
        <v>79918.600000000006</v>
      </c>
      <c r="AK206" s="1924">
        <v>41661.800000000003</v>
      </c>
      <c r="AL206" s="1924">
        <v>474.8</v>
      </c>
      <c r="AM206" s="1924">
        <v>1515404.05</v>
      </c>
      <c r="AN206" s="1924">
        <v>13305.3</v>
      </c>
      <c r="AO206" s="1924">
        <v>1528709.35</v>
      </c>
      <c r="AP206" s="1924">
        <v>61148.374000000003</v>
      </c>
      <c r="AQ206" s="1924">
        <v>27763.788299999993</v>
      </c>
      <c r="AR206" s="1924">
        <v>88912.162299999996</v>
      </c>
      <c r="AS206" s="1924">
        <v>4063379.5</v>
      </c>
      <c r="AT206" s="1924">
        <v>321786.7623</v>
      </c>
      <c r="AU206" s="1924">
        <v>4126.8</v>
      </c>
      <c r="AV206" s="1924">
        <v>27787.1</v>
      </c>
      <c r="AW206" s="1924">
        <v>8954.9</v>
      </c>
      <c r="AX206" s="1924">
        <v>324415.5</v>
      </c>
      <c r="AY206" s="1924">
        <v>365284.3</v>
      </c>
      <c r="AZ206" s="2074">
        <v>4.72</v>
      </c>
      <c r="BA206" s="2074">
        <v>19.649999999999999</v>
      </c>
      <c r="BB206" s="2074">
        <v>7.57</v>
      </c>
      <c r="BC206" s="2074">
        <v>7.39</v>
      </c>
      <c r="BD206" s="2074">
        <v>3.85</v>
      </c>
      <c r="BE206" s="2074" t="s">
        <v>288</v>
      </c>
      <c r="BF206" s="2075">
        <v>3810</v>
      </c>
      <c r="BG206" s="2075">
        <v>1512</v>
      </c>
      <c r="BH206" s="2075">
        <v>5551</v>
      </c>
      <c r="BI206" s="2075">
        <v>65</v>
      </c>
      <c r="BJ206" s="2075">
        <v>10938</v>
      </c>
      <c r="BK206" s="2074">
        <v>108.14880031500509</v>
      </c>
      <c r="BL206" s="2074">
        <v>138.54489394770525</v>
      </c>
      <c r="BM206" s="2074">
        <v>149.83464070213932</v>
      </c>
      <c r="BN206" s="2074">
        <v>7.2268885845989379</v>
      </c>
      <c r="BO206" s="2074">
        <v>4</v>
      </c>
      <c r="BP206" s="2074">
        <v>4.0199999999999996</v>
      </c>
      <c r="BQ206" s="2074">
        <v>7.1</v>
      </c>
      <c r="BR206" s="2074">
        <v>3.08</v>
      </c>
      <c r="BS206" s="2074">
        <v>7.35</v>
      </c>
      <c r="BT206" s="2074">
        <v>10.37</v>
      </c>
      <c r="BU206" s="2074">
        <v>3.0199999999999996</v>
      </c>
    </row>
    <row r="207" spans="1:73" s="154" customFormat="1" ht="9.9499999999999993" customHeight="1" x14ac:dyDescent="0.2">
      <c r="A207" s="160" t="s">
        <v>1817</v>
      </c>
      <c r="B207" s="275" t="s">
        <v>549</v>
      </c>
      <c r="C207" s="1924">
        <v>230291.6</v>
      </c>
      <c r="D207" s="1924">
        <v>1632.2</v>
      </c>
      <c r="E207" s="1924">
        <v>231923.80000000002</v>
      </c>
      <c r="F207" s="1924">
        <v>19237.099999999999</v>
      </c>
      <c r="G207" s="1924">
        <v>212686.7</v>
      </c>
      <c r="H207" s="1924">
        <v>38486.800000000003</v>
      </c>
      <c r="I207" s="1924">
        <v>105652.7</v>
      </c>
      <c r="J207" s="1924">
        <v>162330.1</v>
      </c>
      <c r="K207" s="1924">
        <v>1254351.1000000001</v>
      </c>
      <c r="L207" s="1924">
        <v>1416681.2000000002</v>
      </c>
      <c r="M207" s="1924">
        <v>1522333.9000000001</v>
      </c>
      <c r="N207" s="1924">
        <v>538.4</v>
      </c>
      <c r="O207" s="1924">
        <v>321156.20000000007</v>
      </c>
      <c r="P207" s="1924">
        <v>375555.20000000007</v>
      </c>
      <c r="Q207" s="1924">
        <v>1629906.3000000003</v>
      </c>
      <c r="R207" s="1924">
        <v>2015073.2</v>
      </c>
      <c r="S207" s="1924">
        <v>0</v>
      </c>
      <c r="T207" s="1924">
        <v>35907.599999999999</v>
      </c>
      <c r="U207" s="1924">
        <v>1227114.7</v>
      </c>
      <c r="V207" s="1924">
        <v>1263022.3</v>
      </c>
      <c r="W207" s="1924">
        <v>0</v>
      </c>
      <c r="X207" s="1924">
        <v>1903.6</v>
      </c>
      <c r="Y207" s="1924">
        <v>33119.1</v>
      </c>
      <c r="Z207" s="1924">
        <v>35022.699999999997</v>
      </c>
      <c r="AA207" s="1924">
        <v>30946.2</v>
      </c>
      <c r="AB207" s="1924">
        <v>324861.8</v>
      </c>
      <c r="AC207" s="1924">
        <v>25420.5</v>
      </c>
      <c r="AD207" s="1924">
        <v>350282.3</v>
      </c>
      <c r="AE207" s="1924">
        <v>30946.2</v>
      </c>
      <c r="AF207" s="1924">
        <v>362673</v>
      </c>
      <c r="AG207" s="1924">
        <v>1285654.3</v>
      </c>
      <c r="AH207" s="1924">
        <v>1648327.3</v>
      </c>
      <c r="AI207" s="1924">
        <v>7181.5</v>
      </c>
      <c r="AJ207" s="1924">
        <v>84572.4</v>
      </c>
      <c r="AK207" s="1924">
        <v>40241.300000000003</v>
      </c>
      <c r="AL207" s="1924">
        <v>162.1</v>
      </c>
      <c r="AM207" s="1924">
        <v>1522391.51</v>
      </c>
      <c r="AN207" s="1924">
        <v>13324.2</v>
      </c>
      <c r="AO207" s="1924">
        <v>1535715.71</v>
      </c>
      <c r="AP207" s="1924">
        <v>61428.628400000001</v>
      </c>
      <c r="AQ207" s="1924">
        <v>27257.088699999993</v>
      </c>
      <c r="AR207" s="1924">
        <v>88685.717099999994</v>
      </c>
      <c r="AS207" s="1924">
        <v>4092218.6</v>
      </c>
      <c r="AT207" s="1924">
        <v>320609.5171</v>
      </c>
      <c r="AU207" s="1924">
        <v>4126.8</v>
      </c>
      <c r="AV207" s="1924">
        <v>27480.6</v>
      </c>
      <c r="AW207" s="1924">
        <v>10052.700000000001</v>
      </c>
      <c r="AX207" s="1924">
        <v>320330</v>
      </c>
      <c r="AY207" s="1924">
        <v>361990.1</v>
      </c>
      <c r="AZ207" s="2074">
        <v>6.55</v>
      </c>
      <c r="BA207" s="2074">
        <v>19.190000000000001</v>
      </c>
      <c r="BB207" s="2074">
        <v>8.6300000000000008</v>
      </c>
      <c r="BC207" s="2074">
        <v>8.5299999999999994</v>
      </c>
      <c r="BD207" s="2074">
        <v>4.42</v>
      </c>
      <c r="BE207" s="2074" t="s">
        <v>288</v>
      </c>
      <c r="BF207" s="2075">
        <v>3812</v>
      </c>
      <c r="BG207" s="2075">
        <v>1512</v>
      </c>
      <c r="BH207" s="2075">
        <v>5553</v>
      </c>
      <c r="BI207" s="2075">
        <v>65</v>
      </c>
      <c r="BJ207" s="2075">
        <v>10942</v>
      </c>
      <c r="BK207" s="2074">
        <v>108.27223412458468</v>
      </c>
      <c r="BL207" s="2074">
        <v>139.13283768963626</v>
      </c>
      <c r="BM207" s="2074">
        <v>150.64223176750139</v>
      </c>
      <c r="BN207" s="2074">
        <v>7.0890317235150633</v>
      </c>
      <c r="BO207" s="2074">
        <v>4</v>
      </c>
      <c r="BP207" s="2074">
        <v>4.01</v>
      </c>
      <c r="BQ207" s="2074">
        <v>7.11</v>
      </c>
      <c r="BR207" s="2074">
        <v>3.1000000000000005</v>
      </c>
      <c r="BS207" s="2074">
        <v>7.36</v>
      </c>
      <c r="BT207" s="2074">
        <v>10.220000000000001</v>
      </c>
      <c r="BU207" s="2074">
        <v>2.8600000000000003</v>
      </c>
    </row>
    <row r="208" spans="1:73" s="154" customFormat="1" ht="9.9499999999999993" customHeight="1" x14ac:dyDescent="0.2">
      <c r="A208" s="160" t="s">
        <v>1817</v>
      </c>
      <c r="B208" s="236" t="s">
        <v>558</v>
      </c>
      <c r="C208" s="1924">
        <v>254121.9</v>
      </c>
      <c r="D208" s="1924">
        <v>1643.4</v>
      </c>
      <c r="E208" s="1924">
        <v>255765.3</v>
      </c>
      <c r="F208" s="1924">
        <v>18973.400000000001</v>
      </c>
      <c r="G208" s="1924">
        <v>236791.9</v>
      </c>
      <c r="H208" s="1924">
        <v>34621.599999999999</v>
      </c>
      <c r="I208" s="1924">
        <v>104699.9</v>
      </c>
      <c r="J208" s="1924">
        <v>165949.1</v>
      </c>
      <c r="K208" s="1924">
        <v>1260435.1000000001</v>
      </c>
      <c r="L208" s="1924">
        <v>1426384.2000000002</v>
      </c>
      <c r="M208" s="1924">
        <v>1531084.1</v>
      </c>
      <c r="N208" s="1924">
        <v>528.5</v>
      </c>
      <c r="O208" s="1924">
        <v>339789.3</v>
      </c>
      <c r="P208" s="1924">
        <v>403269.5</v>
      </c>
      <c r="Q208" s="1924">
        <v>1663704.6</v>
      </c>
      <c r="R208" s="1924">
        <v>2051227</v>
      </c>
      <c r="S208" s="1924">
        <v>0</v>
      </c>
      <c r="T208" s="1924">
        <v>36425.4</v>
      </c>
      <c r="U208" s="1924">
        <v>1243034</v>
      </c>
      <c r="V208" s="1924">
        <v>1279459.3999999999</v>
      </c>
      <c r="W208" s="1924">
        <v>0</v>
      </c>
      <c r="X208" s="1924">
        <v>1920.9</v>
      </c>
      <c r="Y208" s="1924">
        <v>34703</v>
      </c>
      <c r="Z208" s="1924">
        <v>36623.9</v>
      </c>
      <c r="AA208" s="1924">
        <v>30835.1</v>
      </c>
      <c r="AB208" s="1924">
        <v>324832.90000000002</v>
      </c>
      <c r="AC208" s="1924">
        <v>25995.9</v>
      </c>
      <c r="AD208" s="1924">
        <v>350828.80000000005</v>
      </c>
      <c r="AE208" s="1924">
        <v>30835.1</v>
      </c>
      <c r="AF208" s="1924">
        <v>363179.2</v>
      </c>
      <c r="AG208" s="1924">
        <v>1303732.8999999999</v>
      </c>
      <c r="AH208" s="1924">
        <v>1666912.0999999999</v>
      </c>
      <c r="AI208" s="1924">
        <v>8845.9</v>
      </c>
      <c r="AJ208" s="1924">
        <v>90699.8</v>
      </c>
      <c r="AK208" s="1924">
        <v>39707.5</v>
      </c>
      <c r="AL208" s="1924">
        <v>351.4</v>
      </c>
      <c r="AM208" s="1924">
        <v>1531118.32</v>
      </c>
      <c r="AN208" s="1924">
        <v>13964.2</v>
      </c>
      <c r="AO208" s="1924">
        <v>1545082.52</v>
      </c>
      <c r="AP208" s="1924">
        <v>61803.300800000005</v>
      </c>
      <c r="AQ208" s="1924">
        <v>21684.203600000001</v>
      </c>
      <c r="AR208" s="1924">
        <v>83487.504400000005</v>
      </c>
      <c r="AS208" s="1924">
        <v>4152103.2</v>
      </c>
      <c r="AT208" s="1924">
        <v>339252.80440000002</v>
      </c>
      <c r="AU208" s="1924">
        <v>6016.5</v>
      </c>
      <c r="AV208" s="1924">
        <v>31711.8</v>
      </c>
      <c r="AW208" s="1924">
        <v>10466.700000000001</v>
      </c>
      <c r="AX208" s="1924">
        <v>320297.90000000002</v>
      </c>
      <c r="AY208" s="1924">
        <v>368492.9</v>
      </c>
      <c r="AZ208" s="2074">
        <v>15.16</v>
      </c>
      <c r="BA208" s="2074">
        <v>19.63</v>
      </c>
      <c r="BB208" s="2074">
        <v>10.16</v>
      </c>
      <c r="BC208" s="2074">
        <v>11.12</v>
      </c>
      <c r="BD208" s="2074">
        <v>6.59</v>
      </c>
      <c r="BE208" s="2074" t="s">
        <v>288</v>
      </c>
      <c r="BF208" s="2075">
        <v>3812</v>
      </c>
      <c r="BG208" s="2075">
        <v>1512</v>
      </c>
      <c r="BH208" s="2075">
        <v>5553</v>
      </c>
      <c r="BI208" s="2075">
        <v>65</v>
      </c>
      <c r="BJ208" s="2075">
        <v>10942</v>
      </c>
      <c r="BK208" s="2074">
        <v>108.8689279088503</v>
      </c>
      <c r="BL208" s="2074">
        <v>139.93038932553463</v>
      </c>
      <c r="BM208" s="2074">
        <v>152.34071467738985</v>
      </c>
      <c r="BN208" s="2074">
        <v>6.6918998395891442</v>
      </c>
      <c r="BO208" s="2074">
        <v>4</v>
      </c>
      <c r="BP208" s="2074">
        <v>4.0199999999999996</v>
      </c>
      <c r="BQ208" s="2074">
        <v>7.09</v>
      </c>
      <c r="BR208" s="2074">
        <v>3.0700000000000003</v>
      </c>
      <c r="BS208" s="2074">
        <v>7.41</v>
      </c>
      <c r="BT208" s="2074">
        <v>10.09</v>
      </c>
      <c r="BU208" s="2074">
        <v>2.6799999999999997</v>
      </c>
    </row>
    <row r="209" spans="1:73" s="154" customFormat="1" ht="9.9499999999999993" customHeight="1" x14ac:dyDescent="0.2">
      <c r="A209" s="160" t="s">
        <v>1817</v>
      </c>
      <c r="B209" s="275" t="s">
        <v>559</v>
      </c>
      <c r="C209" s="1924">
        <v>243684</v>
      </c>
      <c r="D209" s="1924">
        <v>1651.4</v>
      </c>
      <c r="E209" s="1924">
        <v>245335.4</v>
      </c>
      <c r="F209" s="1924">
        <v>20187.3</v>
      </c>
      <c r="G209" s="1924">
        <v>225148.1</v>
      </c>
      <c r="H209" s="1924">
        <v>35499.9</v>
      </c>
      <c r="I209" s="1924">
        <v>106025.4</v>
      </c>
      <c r="J209" s="1924">
        <v>169169</v>
      </c>
      <c r="K209" s="1924">
        <v>1267775.8</v>
      </c>
      <c r="L209" s="1924">
        <v>1436944.8</v>
      </c>
      <c r="M209" s="1924">
        <v>1542970.2</v>
      </c>
      <c r="N209" s="1924">
        <v>544.20000000000005</v>
      </c>
      <c r="O209" s="1924">
        <v>330829.40000000002</v>
      </c>
      <c r="P209" s="1924">
        <v>394861.3</v>
      </c>
      <c r="Q209" s="1924">
        <v>1662637.1</v>
      </c>
      <c r="R209" s="1924">
        <v>2051973.3</v>
      </c>
      <c r="S209" s="1924">
        <v>0</v>
      </c>
      <c r="T209" s="1924">
        <v>38938.6</v>
      </c>
      <c r="U209" s="1924">
        <v>1257049.8999999999</v>
      </c>
      <c r="V209" s="1924">
        <v>1295988.5</v>
      </c>
      <c r="W209" s="1924">
        <v>0</v>
      </c>
      <c r="X209" s="1924">
        <v>1950.6</v>
      </c>
      <c r="Y209" s="1924">
        <v>34271.300000000003</v>
      </c>
      <c r="Z209" s="1924">
        <v>36221.9</v>
      </c>
      <c r="AA209" s="1924">
        <v>30747.5</v>
      </c>
      <c r="AB209" s="1924">
        <v>325298.40000000002</v>
      </c>
      <c r="AC209" s="1924">
        <v>26321.200000000001</v>
      </c>
      <c r="AD209" s="1924">
        <v>351619.60000000003</v>
      </c>
      <c r="AE209" s="1924">
        <v>30747.5</v>
      </c>
      <c r="AF209" s="1924">
        <v>366187.60000000003</v>
      </c>
      <c r="AG209" s="1924">
        <v>1317642.3999999999</v>
      </c>
      <c r="AH209" s="1924">
        <v>1683830</v>
      </c>
      <c r="AI209" s="1924">
        <v>8492.6</v>
      </c>
      <c r="AJ209" s="1924">
        <v>92503.5</v>
      </c>
      <c r="AK209" s="1924">
        <v>40746.5</v>
      </c>
      <c r="AL209" s="1924">
        <v>266.60000000000002</v>
      </c>
      <c r="AM209" s="1924">
        <v>1542984.81</v>
      </c>
      <c r="AN209" s="1924">
        <v>14808.8</v>
      </c>
      <c r="AO209" s="1924">
        <v>1557793.61</v>
      </c>
      <c r="AP209" s="1924">
        <v>62311.744400000003</v>
      </c>
      <c r="AQ209" s="1924">
        <v>22630.219799999999</v>
      </c>
      <c r="AR209" s="1924">
        <v>84941.964200000002</v>
      </c>
      <c r="AS209" s="1924">
        <v>4197247.3</v>
      </c>
      <c r="AT209" s="1924">
        <v>330277.36420000001</v>
      </c>
      <c r="AU209" s="1924">
        <v>4126.8</v>
      </c>
      <c r="AV209" s="1924">
        <v>41614.699999999997</v>
      </c>
      <c r="AW209" s="1924">
        <v>11978.1</v>
      </c>
      <c r="AX209" s="1924">
        <v>320759</v>
      </c>
      <c r="AY209" s="1924">
        <v>378478.6</v>
      </c>
      <c r="AZ209" s="2074">
        <v>13.64</v>
      </c>
      <c r="BA209" s="2074">
        <v>22.86</v>
      </c>
      <c r="BB209" s="2074">
        <v>11.32</v>
      </c>
      <c r="BC209" s="2074">
        <v>11.92</v>
      </c>
      <c r="BD209" s="2074">
        <v>6.52</v>
      </c>
      <c r="BE209" s="2074" t="s">
        <v>288</v>
      </c>
      <c r="BF209" s="2075">
        <v>3812</v>
      </c>
      <c r="BG209" s="2075">
        <v>1513</v>
      </c>
      <c r="BH209" s="2075">
        <v>5560</v>
      </c>
      <c r="BI209" s="2075">
        <v>65</v>
      </c>
      <c r="BJ209" s="2075">
        <v>10950</v>
      </c>
      <c r="BK209" s="2074">
        <v>109.12809958252279</v>
      </c>
      <c r="BL209" s="2074">
        <v>140.91185479452056</v>
      </c>
      <c r="BM209" s="2074">
        <v>153.77442922374431</v>
      </c>
      <c r="BN209" s="2074">
        <v>6.8133700032989948</v>
      </c>
      <c r="BO209" s="2074">
        <v>4</v>
      </c>
      <c r="BP209" s="2074">
        <v>4.0199999999999996</v>
      </c>
      <c r="BQ209" s="2074">
        <v>7.08</v>
      </c>
      <c r="BR209" s="2074">
        <v>3.0600000000000005</v>
      </c>
      <c r="BS209" s="2074">
        <v>7.45</v>
      </c>
      <c r="BT209" s="2074">
        <v>10.050000000000001</v>
      </c>
      <c r="BU209" s="2074">
        <v>2.6000000000000005</v>
      </c>
    </row>
    <row r="210" spans="1:73" s="154" customFormat="1" ht="9.9499999999999993" customHeight="1" x14ac:dyDescent="0.2">
      <c r="A210" s="160" t="s">
        <v>1817</v>
      </c>
      <c r="B210" s="236" t="s">
        <v>550</v>
      </c>
      <c r="C210" s="1924">
        <v>254519.5</v>
      </c>
      <c r="D210" s="1924">
        <v>1663.3</v>
      </c>
      <c r="E210" s="1924">
        <v>256182.8</v>
      </c>
      <c r="F210" s="1924">
        <v>19733.8</v>
      </c>
      <c r="G210" s="1924">
        <v>236449</v>
      </c>
      <c r="H210" s="1924">
        <v>36254.9</v>
      </c>
      <c r="I210" s="1924">
        <v>108918.7</v>
      </c>
      <c r="J210" s="1924">
        <v>188859.4</v>
      </c>
      <c r="K210" s="1924">
        <v>1282217.5</v>
      </c>
      <c r="L210" s="1924">
        <v>1471076.9</v>
      </c>
      <c r="M210" s="1924">
        <v>1579995.5999999999</v>
      </c>
      <c r="N210" s="1924">
        <v>596.4</v>
      </c>
      <c r="O210" s="1924">
        <v>347162</v>
      </c>
      <c r="P210" s="1924">
        <v>425904.80000000005</v>
      </c>
      <c r="Q210" s="1924">
        <v>1708122.3</v>
      </c>
      <c r="R210" s="1924">
        <v>2097973.2999999998</v>
      </c>
      <c r="S210" s="1924">
        <v>0</v>
      </c>
      <c r="T210" s="1924">
        <v>38512.6</v>
      </c>
      <c r="U210" s="1924">
        <v>1286429.5</v>
      </c>
      <c r="V210" s="1924">
        <v>1324942.1000000001</v>
      </c>
      <c r="W210" s="1924">
        <v>0</v>
      </c>
      <c r="X210" s="1924">
        <v>1884.6</v>
      </c>
      <c r="Y210" s="1924">
        <v>32287.9</v>
      </c>
      <c r="Z210" s="1924">
        <v>34172.5</v>
      </c>
      <c r="AA210" s="1924">
        <v>30832</v>
      </c>
      <c r="AB210" s="1924">
        <v>334009.8</v>
      </c>
      <c r="AC210" s="1924">
        <v>26582.3</v>
      </c>
      <c r="AD210" s="1924">
        <v>360592.1</v>
      </c>
      <c r="AE210" s="1924">
        <v>30832</v>
      </c>
      <c r="AF210" s="1924">
        <v>374407</v>
      </c>
      <c r="AG210" s="1924">
        <v>1345299.7</v>
      </c>
      <c r="AH210" s="1924">
        <v>1719706.7000000002</v>
      </c>
      <c r="AI210" s="1924">
        <v>7702.1</v>
      </c>
      <c r="AJ210" s="1924">
        <v>91659.8</v>
      </c>
      <c r="AK210" s="1924">
        <v>42893.9</v>
      </c>
      <c r="AL210" s="1924">
        <v>634.4</v>
      </c>
      <c r="AM210" s="1924">
        <v>1580021.02</v>
      </c>
      <c r="AN210" s="1924">
        <v>14605</v>
      </c>
      <c r="AO210" s="1924">
        <v>1594626.02</v>
      </c>
      <c r="AP210" s="1924">
        <v>63785.040800000002</v>
      </c>
      <c r="AQ210" s="1924">
        <v>26589.661199999988</v>
      </c>
      <c r="AR210" s="1924">
        <v>90374.70199999999</v>
      </c>
      <c r="AS210" s="1924">
        <v>4276170.7</v>
      </c>
      <c r="AT210" s="1924">
        <v>346557.50199999998</v>
      </c>
      <c r="AU210" s="1924">
        <v>4853.7</v>
      </c>
      <c r="AV210" s="1924">
        <v>53503</v>
      </c>
      <c r="AW210" s="1924">
        <v>11175.3</v>
      </c>
      <c r="AX210" s="1924">
        <v>329468.59999999998</v>
      </c>
      <c r="AY210" s="1924">
        <v>399000.6</v>
      </c>
      <c r="AZ210" s="2074">
        <v>28.18</v>
      </c>
      <c r="BA210" s="2074">
        <v>23.92</v>
      </c>
      <c r="BB210" s="2074">
        <v>13.66</v>
      </c>
      <c r="BC210" s="2074">
        <v>16.100000000000001</v>
      </c>
      <c r="BD210" s="2074">
        <v>9.43</v>
      </c>
      <c r="BE210" s="2074" t="s">
        <v>288</v>
      </c>
      <c r="BF210" s="2075">
        <v>3812</v>
      </c>
      <c r="BG210" s="2075">
        <v>1519</v>
      </c>
      <c r="BH210" s="2075">
        <v>5567</v>
      </c>
      <c r="BI210" s="2075">
        <v>65</v>
      </c>
      <c r="BJ210" s="2075">
        <v>10963</v>
      </c>
      <c r="BK210" s="2074">
        <v>108.8407482072612</v>
      </c>
      <c r="BL210" s="2074">
        <v>144.1230520842835</v>
      </c>
      <c r="BM210" s="2074">
        <v>156.86460822767492</v>
      </c>
      <c r="BN210" s="2074">
        <v>6.9687998201441639</v>
      </c>
      <c r="BO210" s="2074">
        <v>4</v>
      </c>
      <c r="BP210" s="2074">
        <v>3.97</v>
      </c>
      <c r="BQ210" s="2074">
        <v>7.09</v>
      </c>
      <c r="BR210" s="2074">
        <v>3.1199999999999997</v>
      </c>
      <c r="BS210" s="2074">
        <v>7.49</v>
      </c>
      <c r="BT210" s="2074">
        <v>9.85</v>
      </c>
      <c r="BU210" s="2074">
        <v>2.3599999999999994</v>
      </c>
    </row>
    <row r="211" spans="1:73" s="154" customFormat="1" ht="9.9499999999999993" customHeight="1" x14ac:dyDescent="0.2">
      <c r="A211" s="160" t="s">
        <v>2066</v>
      </c>
      <c r="B211" s="275" t="s">
        <v>552</v>
      </c>
      <c r="C211" s="1924">
        <v>262931.09999999998</v>
      </c>
      <c r="D211" s="1924">
        <v>1672.4</v>
      </c>
      <c r="E211" s="1924">
        <v>264603.5</v>
      </c>
      <c r="F211" s="1924">
        <v>22577.3</v>
      </c>
      <c r="G211" s="1924">
        <v>242026.2</v>
      </c>
      <c r="H211" s="1924">
        <v>37554.300000000003</v>
      </c>
      <c r="I211" s="1924">
        <v>105683.4</v>
      </c>
      <c r="J211" s="1924">
        <v>179828.3</v>
      </c>
      <c r="K211" s="1924">
        <v>1285440.5</v>
      </c>
      <c r="L211" s="1924">
        <v>1465268.8</v>
      </c>
      <c r="M211" s="1924">
        <v>1570952.2</v>
      </c>
      <c r="N211" s="1924">
        <v>635.4</v>
      </c>
      <c r="O211" s="1924">
        <v>344931</v>
      </c>
      <c r="P211" s="1924">
        <v>422489.9</v>
      </c>
      <c r="Q211" s="1924">
        <v>1707930.4</v>
      </c>
      <c r="R211" s="1924">
        <v>2098983.5999999996</v>
      </c>
      <c r="S211" s="1924">
        <v>0</v>
      </c>
      <c r="T211" s="1924">
        <v>39456.800000000003</v>
      </c>
      <c r="U211" s="1924">
        <v>1286995.8</v>
      </c>
      <c r="V211" s="1924">
        <v>1326452.6000000001</v>
      </c>
      <c r="W211" s="1924">
        <v>0</v>
      </c>
      <c r="X211" s="1924">
        <v>1831.4</v>
      </c>
      <c r="Y211" s="1924">
        <v>33092</v>
      </c>
      <c r="Z211" s="1924">
        <v>34923.4</v>
      </c>
      <c r="AA211" s="1924">
        <v>31031</v>
      </c>
      <c r="AB211" s="1924">
        <v>330136.59999999998</v>
      </c>
      <c r="AC211" s="1924">
        <v>26541</v>
      </c>
      <c r="AD211" s="1924">
        <v>356677.6</v>
      </c>
      <c r="AE211" s="1924">
        <v>31031</v>
      </c>
      <c r="AF211" s="1924">
        <v>371424.8</v>
      </c>
      <c r="AG211" s="1924">
        <v>1346628.8</v>
      </c>
      <c r="AH211" s="1924">
        <v>1718053.6</v>
      </c>
      <c r="AI211" s="1924">
        <v>6122.8</v>
      </c>
      <c r="AJ211" s="1924">
        <v>99775.9</v>
      </c>
      <c r="AK211" s="1924">
        <v>39866.1</v>
      </c>
      <c r="AL211" s="1924">
        <v>584.29999999999995</v>
      </c>
      <c r="AM211" s="1924">
        <v>1570980.16</v>
      </c>
      <c r="AN211" s="1924">
        <v>15707.8</v>
      </c>
      <c r="AO211" s="1924">
        <v>1586687.96</v>
      </c>
      <c r="AP211" s="1924">
        <v>63467.518400000001</v>
      </c>
      <c r="AQ211" s="1924">
        <v>16218.959700000007</v>
      </c>
      <c r="AR211" s="1924">
        <v>79686.478100000008</v>
      </c>
      <c r="AS211" s="1924">
        <v>4308514.4000000004</v>
      </c>
      <c r="AT211" s="1924">
        <v>344289.97810000001</v>
      </c>
      <c r="AU211" s="1924">
        <v>4126.8</v>
      </c>
      <c r="AV211" s="1924">
        <v>62925.2</v>
      </c>
      <c r="AW211" s="1924">
        <v>11119.8</v>
      </c>
      <c r="AX211" s="1924">
        <v>325596.90000000002</v>
      </c>
      <c r="AY211" s="1924">
        <v>403768.7</v>
      </c>
      <c r="AZ211" s="2074">
        <v>-0.55000000000000004</v>
      </c>
      <c r="BA211" s="2074">
        <v>2.52</v>
      </c>
      <c r="BB211" s="2074">
        <v>0.1</v>
      </c>
      <c r="BC211" s="2074">
        <v>0.04</v>
      </c>
      <c r="BD211" s="2074">
        <v>-0.01</v>
      </c>
      <c r="BE211" s="2074" t="s">
        <v>288</v>
      </c>
      <c r="BF211" s="2075">
        <v>3812</v>
      </c>
      <c r="BG211" s="2075">
        <v>1519</v>
      </c>
      <c r="BH211" s="2075">
        <v>5569</v>
      </c>
      <c r="BI211" s="2075">
        <v>63</v>
      </c>
      <c r="BJ211" s="2075">
        <v>10963</v>
      </c>
      <c r="BK211" s="2074">
        <v>109.36189035003474</v>
      </c>
      <c r="BL211" s="2074">
        <v>143.29838182979111</v>
      </c>
      <c r="BM211" s="2074">
        <v>156.71381921007026</v>
      </c>
      <c r="BN211" s="2074">
        <v>6.5095524885559346</v>
      </c>
      <c r="BO211" s="2074">
        <v>4</v>
      </c>
      <c r="BP211" s="2074">
        <v>4.04</v>
      </c>
      <c r="BQ211" s="2074">
        <v>7.09</v>
      </c>
      <c r="BR211" s="2074">
        <v>3.05</v>
      </c>
      <c r="BS211" s="2074">
        <v>7.46</v>
      </c>
      <c r="BT211" s="2074">
        <v>9.2899999999999991</v>
      </c>
      <c r="BU211" s="2074">
        <v>1.8299999999999992</v>
      </c>
    </row>
    <row r="212" spans="1:73" s="154" customFormat="1" ht="9.9499999999999993" customHeight="1" x14ac:dyDescent="0.2">
      <c r="A212" s="160" t="s">
        <v>2066</v>
      </c>
      <c r="B212" s="236" t="s">
        <v>553</v>
      </c>
      <c r="C212" s="1924">
        <v>261231</v>
      </c>
      <c r="D212" s="1924">
        <v>1682</v>
      </c>
      <c r="E212" s="1924">
        <v>262913</v>
      </c>
      <c r="F212" s="1924">
        <v>21036.7</v>
      </c>
      <c r="G212" s="1924">
        <v>241876.3</v>
      </c>
      <c r="H212" s="1924">
        <v>35074.6</v>
      </c>
      <c r="I212" s="1924">
        <v>102612.6</v>
      </c>
      <c r="J212" s="1924">
        <v>175888.8</v>
      </c>
      <c r="K212" s="1924">
        <v>1292405.5</v>
      </c>
      <c r="L212" s="1924">
        <v>1468294.3</v>
      </c>
      <c r="M212" s="1924">
        <v>1570906.9000000001</v>
      </c>
      <c r="N212" s="1924">
        <v>643.5</v>
      </c>
      <c r="O212" s="1924">
        <v>341336.5</v>
      </c>
      <c r="P212" s="1924">
        <v>418408.6</v>
      </c>
      <c r="Q212" s="1924">
        <v>1710814.1</v>
      </c>
      <c r="R212" s="1924">
        <v>2102773</v>
      </c>
      <c r="S212" s="1924">
        <v>0</v>
      </c>
      <c r="T212" s="1924">
        <v>42550.3</v>
      </c>
      <c r="U212" s="1924">
        <v>1298346</v>
      </c>
      <c r="V212" s="1924">
        <v>1340896.3</v>
      </c>
      <c r="W212" s="1924">
        <v>0</v>
      </c>
      <c r="X212" s="1924">
        <v>1723.3</v>
      </c>
      <c r="Y212" s="1924">
        <v>31292</v>
      </c>
      <c r="Z212" s="1924">
        <v>33015.300000000003</v>
      </c>
      <c r="AA212" s="1924">
        <v>30666.1</v>
      </c>
      <c r="AB212" s="1924">
        <v>322740.5</v>
      </c>
      <c r="AC212" s="1924">
        <v>26850.9</v>
      </c>
      <c r="AD212" s="1924">
        <v>349591.4</v>
      </c>
      <c r="AE212" s="1924">
        <v>30666.1</v>
      </c>
      <c r="AF212" s="1924">
        <v>367014.1</v>
      </c>
      <c r="AG212" s="1924">
        <v>1356488.9</v>
      </c>
      <c r="AH212" s="1924">
        <v>1723503</v>
      </c>
      <c r="AI212" s="1924">
        <v>6507.5</v>
      </c>
      <c r="AJ212" s="1924">
        <v>100956.6</v>
      </c>
      <c r="AK212" s="1924">
        <v>40025.4</v>
      </c>
      <c r="AL212" s="1924">
        <v>729.2</v>
      </c>
      <c r="AM212" s="1924">
        <v>1570956.26</v>
      </c>
      <c r="AN212" s="1924">
        <v>15024.5</v>
      </c>
      <c r="AO212" s="1924">
        <v>1585980.76</v>
      </c>
      <c r="AP212" s="1924">
        <v>63439.2304</v>
      </c>
      <c r="AQ212" s="1924">
        <v>14330.464900000006</v>
      </c>
      <c r="AR212" s="1924">
        <v>77769.695300000007</v>
      </c>
      <c r="AS212" s="1924">
        <v>4347458.0999999996</v>
      </c>
      <c r="AT212" s="1924">
        <v>340682.69530000002</v>
      </c>
      <c r="AU212" s="1924">
        <v>4126.8</v>
      </c>
      <c r="AV212" s="1924">
        <v>65225.5</v>
      </c>
      <c r="AW212" s="1924">
        <v>13529.3</v>
      </c>
      <c r="AX212" s="1924">
        <v>318294.40000000002</v>
      </c>
      <c r="AY212" s="1924">
        <v>401176</v>
      </c>
      <c r="AZ212" s="2074">
        <v>1.8</v>
      </c>
      <c r="BA212" s="2074">
        <v>3.81</v>
      </c>
      <c r="BB212" s="2074">
        <v>0.83</v>
      </c>
      <c r="BC212" s="2074">
        <v>1.06</v>
      </c>
      <c r="BD212" s="2074">
        <v>0.16</v>
      </c>
      <c r="BE212" s="2074" t="s">
        <v>288</v>
      </c>
      <c r="BF212" s="2075">
        <v>3812</v>
      </c>
      <c r="BG212" s="2075">
        <v>1519</v>
      </c>
      <c r="BH212" s="2075">
        <v>5572</v>
      </c>
      <c r="BI212" s="2075">
        <v>63</v>
      </c>
      <c r="BJ212" s="2075">
        <v>10966</v>
      </c>
      <c r="BK212" s="2074">
        <v>109.71043840520423</v>
      </c>
      <c r="BL212" s="2074">
        <v>143.25699981761809</v>
      </c>
      <c r="BM212" s="2074">
        <v>157.16788254605143</v>
      </c>
      <c r="BN212" s="2074">
        <v>6.289570105535593</v>
      </c>
      <c r="BO212" s="2074">
        <v>4</v>
      </c>
      <c r="BP212" s="2074">
        <v>4.07</v>
      </c>
      <c r="BQ212" s="2074">
        <v>7.11</v>
      </c>
      <c r="BR212" s="2074">
        <v>3.04</v>
      </c>
      <c r="BS212" s="2074">
        <v>7.44</v>
      </c>
      <c r="BT212" s="2074">
        <v>9.1999999999999993</v>
      </c>
      <c r="BU212" s="2074">
        <v>1.7599999999999989</v>
      </c>
    </row>
    <row r="213" spans="1:73" s="154" customFormat="1" ht="9.9499999999999993" customHeight="1" x14ac:dyDescent="0.2">
      <c r="A213" s="160" t="s">
        <v>2066</v>
      </c>
      <c r="B213" s="275" t="s">
        <v>547</v>
      </c>
      <c r="C213" s="1924">
        <v>259946.1</v>
      </c>
      <c r="D213" s="1924">
        <v>1690.6</v>
      </c>
      <c r="E213" s="1924">
        <v>261636.7</v>
      </c>
      <c r="F213" s="1924">
        <v>21638.5</v>
      </c>
      <c r="G213" s="1924">
        <v>239998.2</v>
      </c>
      <c r="H213" s="1924">
        <v>34713.9</v>
      </c>
      <c r="I213" s="1924">
        <v>102039.5</v>
      </c>
      <c r="J213" s="1924">
        <v>177798.3</v>
      </c>
      <c r="K213" s="1924">
        <v>1304378.7</v>
      </c>
      <c r="L213" s="1924">
        <v>1482177</v>
      </c>
      <c r="M213" s="1924">
        <v>1584216.5</v>
      </c>
      <c r="N213" s="1924">
        <v>652.30000000000007</v>
      </c>
      <c r="O213" s="1924">
        <v>340080.39999999997</v>
      </c>
      <c r="P213" s="1924">
        <v>418448.8</v>
      </c>
      <c r="Q213" s="1924">
        <v>1722827.5</v>
      </c>
      <c r="R213" s="1924">
        <v>2114833.2000000002</v>
      </c>
      <c r="S213" s="1924">
        <v>0</v>
      </c>
      <c r="T213" s="1924">
        <v>40984.400000000001</v>
      </c>
      <c r="U213" s="1924">
        <v>1315814.3999999999</v>
      </c>
      <c r="V213" s="1924">
        <v>1356798.7999999998</v>
      </c>
      <c r="W213" s="1924">
        <v>0</v>
      </c>
      <c r="X213" s="1924">
        <v>1599</v>
      </c>
      <c r="Y213" s="1924">
        <v>30782</v>
      </c>
      <c r="Z213" s="1924">
        <v>32381</v>
      </c>
      <c r="AA213" s="1924">
        <v>31087.4</v>
      </c>
      <c r="AB213" s="1924">
        <v>318335.3</v>
      </c>
      <c r="AC213" s="1924">
        <v>26797.9</v>
      </c>
      <c r="AD213" s="1924">
        <v>345133.2</v>
      </c>
      <c r="AE213" s="1924">
        <v>31087.4</v>
      </c>
      <c r="AF213" s="1924">
        <v>360918.7</v>
      </c>
      <c r="AG213" s="1924">
        <v>1373394.2999999998</v>
      </c>
      <c r="AH213" s="1924">
        <v>1734312.9999999998</v>
      </c>
      <c r="AI213" s="1924">
        <v>7316.3</v>
      </c>
      <c r="AJ213" s="1924">
        <v>99274.6</v>
      </c>
      <c r="AK213" s="1924">
        <v>41852.5</v>
      </c>
      <c r="AL213" s="1924">
        <v>765.1</v>
      </c>
      <c r="AM213" s="1924">
        <v>1584262.33</v>
      </c>
      <c r="AN213" s="1924">
        <v>15315.6</v>
      </c>
      <c r="AO213" s="1924">
        <v>1599577.9300000002</v>
      </c>
      <c r="AP213" s="1924">
        <v>63983.117200000008</v>
      </c>
      <c r="AQ213" s="1924">
        <v>13802.04339999998</v>
      </c>
      <c r="AR213" s="1924">
        <v>77785.160599999988</v>
      </c>
      <c r="AS213" s="1924">
        <v>4399584.0999999996</v>
      </c>
      <c r="AT213" s="1924">
        <v>339421.86060000001</v>
      </c>
      <c r="AU213" s="1924">
        <v>4787.5</v>
      </c>
      <c r="AV213" s="1924">
        <v>70650.399999999994</v>
      </c>
      <c r="AW213" s="1924">
        <v>12590.9</v>
      </c>
      <c r="AX213" s="1924">
        <v>313793.09999999998</v>
      </c>
      <c r="AY213" s="1924">
        <v>401821.9</v>
      </c>
      <c r="AZ213" s="2074">
        <v>3.24</v>
      </c>
      <c r="BA213" s="2074">
        <v>2.6</v>
      </c>
      <c r="BB213" s="2074">
        <v>2.09</v>
      </c>
      <c r="BC213" s="2074">
        <v>2.29</v>
      </c>
      <c r="BD213" s="2074">
        <v>0.86</v>
      </c>
      <c r="BE213" s="2074" t="s">
        <v>288</v>
      </c>
      <c r="BF213" s="2075">
        <v>3812</v>
      </c>
      <c r="BG213" s="2075">
        <v>1519</v>
      </c>
      <c r="BH213" s="2075">
        <v>5580</v>
      </c>
      <c r="BI213" s="2075">
        <v>63</v>
      </c>
      <c r="BJ213" s="2075">
        <v>10974</v>
      </c>
      <c r="BK213" s="2074">
        <v>109.47132726434263</v>
      </c>
      <c r="BL213" s="2074">
        <v>144.36507472207035</v>
      </c>
      <c r="BM213" s="2074">
        <v>158.0383634044104</v>
      </c>
      <c r="BN213" s="2074">
        <v>6.2757069152808791</v>
      </c>
      <c r="BO213" s="2074">
        <v>4</v>
      </c>
      <c r="BP213" s="2074">
        <v>4.09</v>
      </c>
      <c r="BQ213" s="2074">
        <v>7.12</v>
      </c>
      <c r="BR213" s="2074">
        <v>3.0300000000000002</v>
      </c>
      <c r="BS213" s="2074">
        <v>7.48</v>
      </c>
      <c r="BT213" s="2074">
        <v>9.11</v>
      </c>
      <c r="BU213" s="2074">
        <v>1.629999999999999</v>
      </c>
    </row>
    <row r="214" spans="1:73" s="154" customFormat="1" ht="9.9499999999999993" customHeight="1" x14ac:dyDescent="0.2">
      <c r="A214" s="160" t="s">
        <v>2066</v>
      </c>
      <c r="B214" s="236" t="s">
        <v>554</v>
      </c>
      <c r="C214" s="1924">
        <v>256374.7</v>
      </c>
      <c r="D214" s="1924">
        <v>1698.5</v>
      </c>
      <c r="E214" s="1924">
        <v>258073.2</v>
      </c>
      <c r="F214" s="1924">
        <v>21959</v>
      </c>
      <c r="G214" s="1924">
        <v>236114.2</v>
      </c>
      <c r="H214" s="1924">
        <v>34367.4</v>
      </c>
      <c r="I214" s="1924">
        <v>101890.5</v>
      </c>
      <c r="J214" s="1924">
        <v>178312.1</v>
      </c>
      <c r="K214" s="1924">
        <v>1311731.2</v>
      </c>
      <c r="L214" s="1924">
        <v>1490043.3</v>
      </c>
      <c r="M214" s="1924">
        <v>1591933.8</v>
      </c>
      <c r="N214" s="1924">
        <v>611.70000000000005</v>
      </c>
      <c r="O214" s="1924">
        <v>335476.60000000003</v>
      </c>
      <c r="P214" s="1924">
        <v>415038.00000000006</v>
      </c>
      <c r="Q214" s="1924">
        <v>1726769.2</v>
      </c>
      <c r="R214" s="1924">
        <v>2114814.7000000002</v>
      </c>
      <c r="S214" s="1924">
        <v>0</v>
      </c>
      <c r="T214" s="1924">
        <v>42682.5</v>
      </c>
      <c r="U214" s="1924">
        <v>1324983.7</v>
      </c>
      <c r="V214" s="1924">
        <v>1367666.2</v>
      </c>
      <c r="W214" s="1924">
        <v>0</v>
      </c>
      <c r="X214" s="1924">
        <v>1514.1</v>
      </c>
      <c r="Y214" s="1924">
        <v>31165.1</v>
      </c>
      <c r="Z214" s="1924">
        <v>32679.199999999997</v>
      </c>
      <c r="AA214" s="1924">
        <v>30824.5</v>
      </c>
      <c r="AB214" s="1924">
        <v>318336.8</v>
      </c>
      <c r="AC214" s="1924">
        <v>26851.8</v>
      </c>
      <c r="AD214" s="1924">
        <v>345188.6</v>
      </c>
      <c r="AE214" s="1924">
        <v>30824.5</v>
      </c>
      <c r="AF214" s="1924">
        <v>362533.39999999997</v>
      </c>
      <c r="AG214" s="1924">
        <v>1383000.6</v>
      </c>
      <c r="AH214" s="1924">
        <v>1745534</v>
      </c>
      <c r="AI214" s="1924">
        <v>7453.9</v>
      </c>
      <c r="AJ214" s="1924">
        <v>99403</v>
      </c>
      <c r="AK214" s="1924">
        <v>41086.699999999997</v>
      </c>
      <c r="AL214" s="1924">
        <v>771.3</v>
      </c>
      <c r="AM214" s="1924">
        <v>1591979.9000000001</v>
      </c>
      <c r="AN214" s="1924">
        <v>15989.6</v>
      </c>
      <c r="AO214" s="1924">
        <v>1607969.5000000002</v>
      </c>
      <c r="AP214" s="1924">
        <v>64318.780000000013</v>
      </c>
      <c r="AQ214" s="1924">
        <v>12464.832899999979</v>
      </c>
      <c r="AR214" s="1924">
        <v>76783.612899999993</v>
      </c>
      <c r="AS214" s="1924">
        <v>4440076.2</v>
      </c>
      <c r="AT214" s="1924">
        <v>334856.81290000002</v>
      </c>
      <c r="AU214" s="1924">
        <v>10126.799999999999</v>
      </c>
      <c r="AV214" s="1924">
        <v>75928.399999999994</v>
      </c>
      <c r="AW214" s="1924">
        <v>13571.7</v>
      </c>
      <c r="AX214" s="1924">
        <v>313801.2</v>
      </c>
      <c r="AY214" s="1924">
        <v>413428.10000000003</v>
      </c>
      <c r="AZ214" s="2074">
        <v>7.71</v>
      </c>
      <c r="BA214" s="2074">
        <v>4.28</v>
      </c>
      <c r="BB214" s="2074">
        <v>2.81</v>
      </c>
      <c r="BC214" s="2074">
        <v>3.67</v>
      </c>
      <c r="BD214" s="2074">
        <v>1.0900000000000001</v>
      </c>
      <c r="BE214" s="2074" t="s">
        <v>288</v>
      </c>
      <c r="BF214" s="2075">
        <v>3812</v>
      </c>
      <c r="BG214" s="2075">
        <v>1519</v>
      </c>
      <c r="BH214" s="2075">
        <v>5603</v>
      </c>
      <c r="BI214" s="2075">
        <v>63</v>
      </c>
      <c r="BJ214" s="2075">
        <v>10997</v>
      </c>
      <c r="BK214" s="2074">
        <v>109.64547982044243</v>
      </c>
      <c r="BL214" s="2074">
        <v>144.76492679821772</v>
      </c>
      <c r="BM214" s="2074">
        <v>158.72819859961808</v>
      </c>
      <c r="BN214" s="2074">
        <v>6.2025037439228967</v>
      </c>
      <c r="BO214" s="2074">
        <v>4</v>
      </c>
      <c r="BP214" s="2074">
        <v>4.13</v>
      </c>
      <c r="BQ214" s="2074">
        <v>7.15</v>
      </c>
      <c r="BR214" s="2074">
        <v>3.0200000000000005</v>
      </c>
      <c r="BS214" s="2074">
        <v>7.49</v>
      </c>
      <c r="BT214" s="2074">
        <v>9.08</v>
      </c>
      <c r="BU214" s="2074">
        <v>1.5899999999999999</v>
      </c>
    </row>
    <row r="215" spans="1:73" s="154" customFormat="1" ht="9.9499999999999993" customHeight="1" x14ac:dyDescent="0.2">
      <c r="A215" s="160" t="s">
        <v>2066</v>
      </c>
      <c r="B215" s="275" t="s">
        <v>555</v>
      </c>
      <c r="C215" s="1924">
        <v>272891.59999999998</v>
      </c>
      <c r="D215" s="1924">
        <v>1707.9</v>
      </c>
      <c r="E215" s="1924">
        <v>274599.5</v>
      </c>
      <c r="F215" s="1924">
        <v>21617.5</v>
      </c>
      <c r="G215" s="1924">
        <v>252982</v>
      </c>
      <c r="H215" s="1924">
        <v>32525.1</v>
      </c>
      <c r="I215" s="1924">
        <v>103586</v>
      </c>
      <c r="J215" s="1924">
        <v>179578</v>
      </c>
      <c r="K215" s="1924">
        <v>1307310.1000000001</v>
      </c>
      <c r="L215" s="1924">
        <v>1486888.1</v>
      </c>
      <c r="M215" s="1924">
        <v>1590474.1</v>
      </c>
      <c r="N215" s="1924">
        <v>602.29999999999995</v>
      </c>
      <c r="O215" s="1924">
        <v>346365.80000000005</v>
      </c>
      <c r="P215" s="1924">
        <v>433162.3</v>
      </c>
      <c r="Q215" s="1924">
        <v>1740472.4000000001</v>
      </c>
      <c r="R215" s="1924">
        <v>2127916.1</v>
      </c>
      <c r="S215" s="1924">
        <v>0</v>
      </c>
      <c r="T215" s="1924">
        <v>43316.6</v>
      </c>
      <c r="U215" s="1924">
        <v>1342392.8</v>
      </c>
      <c r="V215" s="1924">
        <v>1385709.4000000001</v>
      </c>
      <c r="W215" s="1924">
        <v>0</v>
      </c>
      <c r="X215" s="1924">
        <v>1458.7</v>
      </c>
      <c r="Y215" s="1924">
        <v>31098.6</v>
      </c>
      <c r="Z215" s="1924">
        <v>32557.3</v>
      </c>
      <c r="AA215" s="1924">
        <v>31305.7</v>
      </c>
      <c r="AB215" s="1924">
        <v>309011.09999999998</v>
      </c>
      <c r="AC215" s="1924">
        <v>26945.9</v>
      </c>
      <c r="AD215" s="1924">
        <v>335957</v>
      </c>
      <c r="AE215" s="1924">
        <v>31305.7</v>
      </c>
      <c r="AF215" s="1924">
        <v>353786.39999999997</v>
      </c>
      <c r="AG215" s="1924">
        <v>1400437.3</v>
      </c>
      <c r="AH215" s="1924">
        <v>1754223.7000000002</v>
      </c>
      <c r="AI215" s="1924">
        <v>10373</v>
      </c>
      <c r="AJ215" s="1924">
        <v>100332</v>
      </c>
      <c r="AK215" s="1924">
        <v>39698.6</v>
      </c>
      <c r="AL215" s="1924">
        <v>961</v>
      </c>
      <c r="AM215" s="1924">
        <v>1590520.76</v>
      </c>
      <c r="AN215" s="1924">
        <v>15986.7</v>
      </c>
      <c r="AO215" s="1924">
        <v>1606507.46</v>
      </c>
      <c r="AP215" s="1924">
        <v>64260.2984</v>
      </c>
      <c r="AQ215" s="1924">
        <v>6899.2599000000046</v>
      </c>
      <c r="AR215" s="1924">
        <v>71159.558300000004</v>
      </c>
      <c r="AS215" s="1924">
        <v>4464599.5999999996</v>
      </c>
      <c r="AT215" s="1924">
        <v>345759.05830000003</v>
      </c>
      <c r="AU215" s="1924">
        <v>10126.799999999999</v>
      </c>
      <c r="AV215" s="1924">
        <v>80564.800000000003</v>
      </c>
      <c r="AW215" s="1924">
        <v>13510.5</v>
      </c>
      <c r="AX215" s="1924">
        <v>304487.8</v>
      </c>
      <c r="AY215" s="1924">
        <v>408689.89999999997</v>
      </c>
      <c r="AZ215" s="2074">
        <v>5.62</v>
      </c>
      <c r="BA215" s="2074">
        <v>5.99</v>
      </c>
      <c r="BB215" s="2074">
        <v>4.1100000000000003</v>
      </c>
      <c r="BC215" s="2074">
        <v>4.4000000000000004</v>
      </c>
      <c r="BD215" s="2074">
        <v>1.89</v>
      </c>
      <c r="BE215" s="2074" t="s">
        <v>288</v>
      </c>
      <c r="BF215" s="2075">
        <v>3812</v>
      </c>
      <c r="BG215" s="2075">
        <v>1519</v>
      </c>
      <c r="BH215" s="2075">
        <v>5631</v>
      </c>
      <c r="BI215" s="2075">
        <v>63</v>
      </c>
      <c r="BJ215" s="2075">
        <v>11025</v>
      </c>
      <c r="BK215" s="2074">
        <v>110.29241139864155</v>
      </c>
      <c r="BL215" s="2074">
        <v>144.26492154195012</v>
      </c>
      <c r="BM215" s="2074">
        <v>159.11326077097507</v>
      </c>
      <c r="BN215" s="2074">
        <v>5.8331246364869829</v>
      </c>
      <c r="BO215" s="2074">
        <v>4</v>
      </c>
      <c r="BP215" s="2074">
        <v>4.22</v>
      </c>
      <c r="BQ215" s="2074">
        <v>7.18</v>
      </c>
      <c r="BR215" s="2074">
        <v>2.96</v>
      </c>
      <c r="BS215" s="2074">
        <v>7.49</v>
      </c>
      <c r="BT215" s="2074">
        <v>9.11</v>
      </c>
      <c r="BU215" s="2074">
        <v>1.6199999999999992</v>
      </c>
    </row>
    <row r="216" spans="1:73" s="154" customFormat="1" ht="9.9499999999999993" customHeight="1" x14ac:dyDescent="0.2">
      <c r="A216" s="160" t="s">
        <v>2066</v>
      </c>
      <c r="B216" s="236" t="s">
        <v>548</v>
      </c>
      <c r="C216" s="1924">
        <v>290646.3</v>
      </c>
      <c r="D216" s="1924">
        <v>1717.2</v>
      </c>
      <c r="E216" s="1924">
        <v>292363.5</v>
      </c>
      <c r="F216" s="1924">
        <v>24182</v>
      </c>
      <c r="G216" s="1924">
        <v>268181.5</v>
      </c>
      <c r="H216" s="1924">
        <v>32675.3</v>
      </c>
      <c r="I216" s="1924">
        <v>104113.5</v>
      </c>
      <c r="J216" s="1924">
        <v>183741.4</v>
      </c>
      <c r="K216" s="1924">
        <v>1305427.7</v>
      </c>
      <c r="L216" s="1924">
        <v>1489169.0999999999</v>
      </c>
      <c r="M216" s="1924">
        <v>1593282.5999999999</v>
      </c>
      <c r="N216" s="1924">
        <v>618</v>
      </c>
      <c r="O216" s="1924">
        <v>380011.69999999995</v>
      </c>
      <c r="P216" s="1924">
        <v>452540.9</v>
      </c>
      <c r="Q216" s="1924">
        <v>1757968.6</v>
      </c>
      <c r="R216" s="1924">
        <v>2144175.1</v>
      </c>
      <c r="S216" s="1924">
        <v>0</v>
      </c>
      <c r="T216" s="1924">
        <v>46764</v>
      </c>
      <c r="U216" s="1924">
        <v>1364888</v>
      </c>
      <c r="V216" s="1924">
        <v>1411652</v>
      </c>
      <c r="W216" s="1924">
        <v>0</v>
      </c>
      <c r="X216" s="1924">
        <v>1390.9</v>
      </c>
      <c r="Y216" s="1924">
        <v>28153.599999999999</v>
      </c>
      <c r="Z216" s="1924">
        <v>29544.5</v>
      </c>
      <c r="AA216" s="1924">
        <v>31581.9</v>
      </c>
      <c r="AB216" s="1924">
        <v>290263.7</v>
      </c>
      <c r="AC216" s="1924">
        <v>26834.2</v>
      </c>
      <c r="AD216" s="1924">
        <v>317097.90000000002</v>
      </c>
      <c r="AE216" s="1924">
        <v>31581.9</v>
      </c>
      <c r="AF216" s="1924">
        <v>338418.60000000003</v>
      </c>
      <c r="AG216" s="1924">
        <v>1419875.8</v>
      </c>
      <c r="AH216" s="1924">
        <v>1758294.4</v>
      </c>
      <c r="AI216" s="1924">
        <v>10866.3</v>
      </c>
      <c r="AJ216" s="1924">
        <v>120447.6</v>
      </c>
      <c r="AK216" s="1924">
        <v>38939.699999999997</v>
      </c>
      <c r="AL216" s="1924">
        <v>1157.2</v>
      </c>
      <c r="AM216" s="1924">
        <v>1593327.8599999999</v>
      </c>
      <c r="AN216" s="1924">
        <v>16505.099999999999</v>
      </c>
      <c r="AO216" s="1924">
        <v>1609832.96</v>
      </c>
      <c r="AP216" s="1924">
        <v>64393.318399999996</v>
      </c>
      <c r="AQ216" s="1924">
        <v>22632.507000000005</v>
      </c>
      <c r="AR216" s="1924">
        <v>87025.825400000002</v>
      </c>
      <c r="AS216" s="1924">
        <v>4219408.8</v>
      </c>
      <c r="AT216" s="1924">
        <v>379389.32539999997</v>
      </c>
      <c r="AU216" s="1924">
        <v>9659.7000000000007</v>
      </c>
      <c r="AV216" s="1924">
        <v>94469.5</v>
      </c>
      <c r="AW216" s="1924">
        <v>14314.4</v>
      </c>
      <c r="AX216" s="1924">
        <v>285740.3</v>
      </c>
      <c r="AY216" s="1924">
        <v>404183.9</v>
      </c>
      <c r="AZ216" s="2074">
        <v>3.64</v>
      </c>
      <c r="BA216" s="2074">
        <v>12.93</v>
      </c>
      <c r="BB216" s="2074">
        <v>5.54</v>
      </c>
      <c r="BC216" s="2074">
        <v>5.38</v>
      </c>
      <c r="BD216" s="2074">
        <v>2.92</v>
      </c>
      <c r="BE216" s="2074" t="s">
        <v>288</v>
      </c>
      <c r="BF216" s="2075">
        <v>3823</v>
      </c>
      <c r="BG216" s="2075">
        <v>1523</v>
      </c>
      <c r="BH216" s="2075">
        <v>5744</v>
      </c>
      <c r="BI216" s="2075">
        <v>63</v>
      </c>
      <c r="BJ216" s="2075">
        <v>11153</v>
      </c>
      <c r="BK216" s="2074">
        <v>110.35358410164247</v>
      </c>
      <c r="BL216" s="2074">
        <v>142.86092172509638</v>
      </c>
      <c r="BM216" s="2074">
        <v>157.65214740428584</v>
      </c>
      <c r="BN216" s="2074">
        <v>6.9795946077287576</v>
      </c>
      <c r="BO216" s="2074">
        <v>4</v>
      </c>
      <c r="BP216" s="2074">
        <v>4.2300000000000004</v>
      </c>
      <c r="BQ216" s="2074">
        <v>7.22</v>
      </c>
      <c r="BR216" s="2074">
        <v>2.9899999999999993</v>
      </c>
      <c r="BS216" s="2074">
        <v>7.74</v>
      </c>
      <c r="BT216" s="2074">
        <v>8.89</v>
      </c>
      <c r="BU216" s="2074">
        <v>1.1500000000000004</v>
      </c>
    </row>
    <row r="217" spans="1:73" s="154" customFormat="1" ht="9.9499999999999993" customHeight="1" x14ac:dyDescent="0.2">
      <c r="A217" s="160" t="s">
        <v>2066</v>
      </c>
      <c r="B217" s="275" t="s">
        <v>556</v>
      </c>
      <c r="C217" s="1924">
        <v>285416.2</v>
      </c>
      <c r="D217" s="1924">
        <v>1727.1</v>
      </c>
      <c r="E217" s="1924">
        <v>287143.3</v>
      </c>
      <c r="F217" s="1924">
        <v>24150.5</v>
      </c>
      <c r="G217" s="1924">
        <v>262992.8</v>
      </c>
      <c r="H217" s="1924">
        <v>32026.6</v>
      </c>
      <c r="I217" s="1924">
        <v>102759.9</v>
      </c>
      <c r="J217" s="1924">
        <v>179483</v>
      </c>
      <c r="K217" s="1924">
        <v>1308288.3</v>
      </c>
      <c r="L217" s="1924">
        <v>1487771.3</v>
      </c>
      <c r="M217" s="1924">
        <v>1590531.2</v>
      </c>
      <c r="N217" s="1924">
        <v>676.5</v>
      </c>
      <c r="O217" s="1924">
        <v>352790.30000000005</v>
      </c>
      <c r="P217" s="1924">
        <v>443152.3</v>
      </c>
      <c r="Q217" s="1924">
        <v>1751440.6</v>
      </c>
      <c r="R217" s="1924">
        <v>2139035.6000000006</v>
      </c>
      <c r="S217" s="1924">
        <v>0</v>
      </c>
      <c r="T217" s="1924">
        <v>49214.6</v>
      </c>
      <c r="U217" s="1924">
        <v>1361291.3</v>
      </c>
      <c r="V217" s="1924">
        <v>1410505.9000000001</v>
      </c>
      <c r="W217" s="1924">
        <v>0</v>
      </c>
      <c r="X217" s="1924">
        <v>1359.9</v>
      </c>
      <c r="Y217" s="1924">
        <v>31186.6</v>
      </c>
      <c r="Z217" s="1924">
        <v>32546.5</v>
      </c>
      <c r="AA217" s="1924">
        <v>31426</v>
      </c>
      <c r="AB217" s="1924">
        <v>296699.90000000002</v>
      </c>
      <c r="AC217" s="1924">
        <v>26992.5</v>
      </c>
      <c r="AD217" s="1924">
        <v>323692.40000000002</v>
      </c>
      <c r="AE217" s="1924">
        <v>31426</v>
      </c>
      <c r="AF217" s="1924">
        <v>347274.4</v>
      </c>
      <c r="AG217" s="1924">
        <v>1419470.4000000001</v>
      </c>
      <c r="AH217" s="1924">
        <v>1766744.8000000003</v>
      </c>
      <c r="AI217" s="1924">
        <v>11294.1</v>
      </c>
      <c r="AJ217" s="1924">
        <v>108098.5</v>
      </c>
      <c r="AK217" s="1924">
        <v>39970.6</v>
      </c>
      <c r="AL217" s="1924">
        <v>523</v>
      </c>
      <c r="AM217" s="1924">
        <v>1590582.12</v>
      </c>
      <c r="AN217" s="1924">
        <v>16071.3</v>
      </c>
      <c r="AO217" s="1924">
        <v>1606653.4200000002</v>
      </c>
      <c r="AP217" s="1924">
        <v>64266.136800000007</v>
      </c>
      <c r="AQ217" s="1924">
        <v>701.69229999999516</v>
      </c>
      <c r="AR217" s="1924">
        <v>64967.829100000003</v>
      </c>
      <c r="AS217" s="1924">
        <v>4236590.4000000004</v>
      </c>
      <c r="AT217" s="1924">
        <v>352111.12910000002</v>
      </c>
      <c r="AU217" s="1924">
        <v>4126.8</v>
      </c>
      <c r="AV217" s="1924">
        <v>102814.6</v>
      </c>
      <c r="AW217" s="1924">
        <v>15131.7</v>
      </c>
      <c r="AX217" s="1924">
        <v>292193.59999999998</v>
      </c>
      <c r="AY217" s="1924">
        <v>414266.7</v>
      </c>
      <c r="AZ217" s="2074">
        <v>7.16</v>
      </c>
      <c r="BA217" s="2074">
        <v>17.11</v>
      </c>
      <c r="BB217" s="2074">
        <v>5.53</v>
      </c>
      <c r="BC217" s="2074">
        <v>6.07</v>
      </c>
      <c r="BD217" s="2074">
        <v>2.54</v>
      </c>
      <c r="BE217" s="2074" t="s">
        <v>288</v>
      </c>
      <c r="BF217" s="2075">
        <v>3823</v>
      </c>
      <c r="BG217" s="2075">
        <v>1523</v>
      </c>
      <c r="BH217" s="2075">
        <v>5748</v>
      </c>
      <c r="BI217" s="2075">
        <v>63</v>
      </c>
      <c r="BJ217" s="2075">
        <v>11157</v>
      </c>
      <c r="BK217" s="2074">
        <v>111.07535900126931</v>
      </c>
      <c r="BL217" s="2074">
        <v>142.56360311911806</v>
      </c>
      <c r="BM217" s="2074">
        <v>158.35303396970514</v>
      </c>
      <c r="BN217" s="2074">
        <v>5.6028750719264968</v>
      </c>
      <c r="BO217" s="2074">
        <v>4</v>
      </c>
      <c r="BP217" s="2074">
        <v>4.29</v>
      </c>
      <c r="BQ217" s="2074">
        <v>7.24</v>
      </c>
      <c r="BR217" s="2074">
        <v>2.95</v>
      </c>
      <c r="BS217" s="2074">
        <v>7.74</v>
      </c>
      <c r="BT217" s="2074">
        <v>8.8800000000000008</v>
      </c>
      <c r="BU217" s="2074">
        <v>1.1400000000000006</v>
      </c>
    </row>
    <row r="218" spans="1:73" s="154" customFormat="1" ht="9.9499999999999993" customHeight="1" x14ac:dyDescent="0.2">
      <c r="A218" s="160" t="s">
        <v>2066</v>
      </c>
      <c r="B218" s="236" t="s">
        <v>557</v>
      </c>
      <c r="C218" s="1924">
        <v>280759.2</v>
      </c>
      <c r="D218" s="1924">
        <v>1735.6</v>
      </c>
      <c r="E218" s="1924">
        <v>282494.8</v>
      </c>
      <c r="F218" s="1924">
        <v>24827.200000000001</v>
      </c>
      <c r="G218" s="1924">
        <v>257667.59999999998</v>
      </c>
      <c r="H218" s="1924">
        <v>31594.2</v>
      </c>
      <c r="I218" s="1924">
        <v>103435.1</v>
      </c>
      <c r="J218" s="1924">
        <v>179033.5</v>
      </c>
      <c r="K218" s="1924">
        <v>1325733.6000000001</v>
      </c>
      <c r="L218" s="1924">
        <v>1504767.1</v>
      </c>
      <c r="M218" s="1924">
        <v>1608202.2000000002</v>
      </c>
      <c r="N218" s="1924">
        <v>597.29999999999995</v>
      </c>
      <c r="O218" s="1924">
        <v>350346.89999999997</v>
      </c>
      <c r="P218" s="1924">
        <v>437298.39999999997</v>
      </c>
      <c r="Q218" s="1924">
        <v>1763032</v>
      </c>
      <c r="R218" s="1924">
        <v>2149278.1189999999</v>
      </c>
      <c r="S218" s="1924">
        <v>0</v>
      </c>
      <c r="T218" s="1924">
        <v>49210.5</v>
      </c>
      <c r="U218" s="1924">
        <v>1367393.3</v>
      </c>
      <c r="V218" s="1924">
        <v>1416603.8</v>
      </c>
      <c r="W218" s="1924">
        <v>0</v>
      </c>
      <c r="X218" s="1924">
        <v>1326.7</v>
      </c>
      <c r="Y218" s="1924">
        <v>32932.300000000003</v>
      </c>
      <c r="Z218" s="1924">
        <v>34259</v>
      </c>
      <c r="AA218" s="1924">
        <v>31313.200000000001</v>
      </c>
      <c r="AB218" s="1924">
        <v>302004.3</v>
      </c>
      <c r="AC218" s="1924">
        <v>26812.400000000001</v>
      </c>
      <c r="AD218" s="1924">
        <v>328816.7</v>
      </c>
      <c r="AE218" s="1924">
        <v>31313.200000000001</v>
      </c>
      <c r="AF218" s="1924">
        <v>352541.5</v>
      </c>
      <c r="AG218" s="1924">
        <v>1427138</v>
      </c>
      <c r="AH218" s="1924">
        <v>1779679.5</v>
      </c>
      <c r="AI218" s="1924">
        <v>10998.3</v>
      </c>
      <c r="AJ218" s="1924">
        <v>107577</v>
      </c>
      <c r="AK218" s="1924">
        <v>39987.699999999997</v>
      </c>
      <c r="AL218" s="1924">
        <v>343.3</v>
      </c>
      <c r="AM218" s="1924">
        <v>1608253.68</v>
      </c>
      <c r="AN218" s="1924">
        <v>16060.3</v>
      </c>
      <c r="AO218" s="1924">
        <v>1624313.98</v>
      </c>
      <c r="AP218" s="1924">
        <v>64972.559200000003</v>
      </c>
      <c r="AQ218" s="1924">
        <v>2278.9434000000037</v>
      </c>
      <c r="AR218" s="1924">
        <v>67251.502600000007</v>
      </c>
      <c r="AS218" s="1924">
        <v>4298076.5999999996</v>
      </c>
      <c r="AT218" s="1924">
        <v>349746.3026</v>
      </c>
      <c r="AU218" s="1924">
        <v>6516.1</v>
      </c>
      <c r="AV218" s="1924">
        <v>107581.1</v>
      </c>
      <c r="AW218" s="1924">
        <v>15567.1</v>
      </c>
      <c r="AX218" s="1924">
        <v>297345</v>
      </c>
      <c r="AY218" s="1924">
        <v>427009.29999999993</v>
      </c>
      <c r="AZ218" s="2074">
        <v>9.3699999999999992</v>
      </c>
      <c r="BA218" s="2074">
        <v>16.27</v>
      </c>
      <c r="BB218" s="2074">
        <v>6.13</v>
      </c>
      <c r="BC218" s="2074">
        <v>6.91</v>
      </c>
      <c r="BD218" s="2074">
        <v>3.21</v>
      </c>
      <c r="BE218" s="2074" t="s">
        <v>288</v>
      </c>
      <c r="BF218" s="2075">
        <v>3823</v>
      </c>
      <c r="BG218" s="2075">
        <v>1523</v>
      </c>
      <c r="BH218" s="2075">
        <v>5748</v>
      </c>
      <c r="BI218" s="2075">
        <v>63</v>
      </c>
      <c r="BJ218" s="2075">
        <v>11157</v>
      </c>
      <c r="BK218" s="2074">
        <v>110.65912810471544</v>
      </c>
      <c r="BL218" s="2074">
        <v>144.14750201667115</v>
      </c>
      <c r="BM218" s="2074">
        <v>159.51236891637538</v>
      </c>
      <c r="BN218" s="2074">
        <v>5.7253842316717103</v>
      </c>
      <c r="BO218" s="2074">
        <v>4</v>
      </c>
      <c r="BP218" s="2074">
        <v>4.3099999999999996</v>
      </c>
      <c r="BQ218" s="2074">
        <v>7.27</v>
      </c>
      <c r="BR218" s="2074">
        <v>2.96</v>
      </c>
      <c r="BS218" s="2074">
        <v>7.72</v>
      </c>
      <c r="BT218" s="2074">
        <v>8.8699999999999992</v>
      </c>
      <c r="BU218" s="2074">
        <v>1.1499999999999995</v>
      </c>
    </row>
    <row r="219" spans="1:73" s="154" customFormat="1" ht="9.9499999999999993" customHeight="1" x14ac:dyDescent="0.2">
      <c r="A219" s="160" t="s">
        <v>2066</v>
      </c>
      <c r="B219" s="275" t="s">
        <v>549</v>
      </c>
      <c r="C219" s="1924">
        <v>277214.3</v>
      </c>
      <c r="D219" s="1924">
        <v>1747</v>
      </c>
      <c r="E219" s="1924">
        <v>278961.3</v>
      </c>
      <c r="F219" s="1924">
        <v>24292.7</v>
      </c>
      <c r="G219" s="1924">
        <v>254668.59999999998</v>
      </c>
      <c r="H219" s="1924">
        <v>31392.3</v>
      </c>
      <c r="I219" s="1924">
        <v>99075.9</v>
      </c>
      <c r="J219" s="1924">
        <v>179888.6</v>
      </c>
      <c r="K219" s="1924">
        <v>1343407.5</v>
      </c>
      <c r="L219" s="1924">
        <v>1523296.1</v>
      </c>
      <c r="M219" s="1924">
        <v>1622372</v>
      </c>
      <c r="N219" s="1924">
        <v>695.1</v>
      </c>
      <c r="O219" s="1924">
        <v>345601.80000000005</v>
      </c>
      <c r="P219" s="1924">
        <v>435252.29999999993</v>
      </c>
      <c r="Q219" s="1924">
        <v>1778659.7999999998</v>
      </c>
      <c r="R219" s="1924">
        <v>2163524.2069999999</v>
      </c>
      <c r="S219" s="1924">
        <v>0</v>
      </c>
      <c r="T219" s="1924">
        <v>51076.7</v>
      </c>
      <c r="U219" s="1924">
        <v>1377660.4</v>
      </c>
      <c r="V219" s="1924">
        <v>1428737.0999999999</v>
      </c>
      <c r="W219" s="1924">
        <v>0</v>
      </c>
      <c r="X219" s="1924">
        <v>1246.7</v>
      </c>
      <c r="Y219" s="1924">
        <v>35028.800000000003</v>
      </c>
      <c r="Z219" s="1924">
        <v>36275.5</v>
      </c>
      <c r="AA219" s="1924">
        <v>31289.3</v>
      </c>
      <c r="AB219" s="1924">
        <v>307873.3</v>
      </c>
      <c r="AC219" s="1924">
        <v>26925.9</v>
      </c>
      <c r="AD219" s="1924">
        <v>334799.2</v>
      </c>
      <c r="AE219" s="1924">
        <v>31289.3</v>
      </c>
      <c r="AF219" s="1924">
        <v>360196.69999999995</v>
      </c>
      <c r="AG219" s="1924">
        <v>1439615.0999999999</v>
      </c>
      <c r="AH219" s="1924">
        <v>1799811.7999999998</v>
      </c>
      <c r="AI219" s="1924">
        <v>9834.2999999999993</v>
      </c>
      <c r="AJ219" s="1924">
        <v>112160</v>
      </c>
      <c r="AK219" s="1924">
        <v>42137.3</v>
      </c>
      <c r="AL219" s="1924">
        <v>287.89999999999998</v>
      </c>
      <c r="AM219" s="1924">
        <v>1622422.15</v>
      </c>
      <c r="AN219" s="1924">
        <v>16833.8</v>
      </c>
      <c r="AO219" s="1924">
        <v>1639255.95</v>
      </c>
      <c r="AP219" s="1924">
        <v>65570.237999999998</v>
      </c>
      <c r="AQ219" s="1924">
        <v>372.35659999999916</v>
      </c>
      <c r="AR219" s="1924">
        <v>65942.594599999997</v>
      </c>
      <c r="AS219" s="1924">
        <v>4364604.8</v>
      </c>
      <c r="AT219" s="1924">
        <v>344903.8946</v>
      </c>
      <c r="AU219" s="1924">
        <v>6516.1</v>
      </c>
      <c r="AV219" s="1924">
        <v>110361.8</v>
      </c>
      <c r="AW219" s="1924">
        <v>15918.4</v>
      </c>
      <c r="AX219" s="1924">
        <v>303316.8</v>
      </c>
      <c r="AY219" s="1924">
        <v>436113.1</v>
      </c>
      <c r="AZ219" s="2074">
        <v>14.56</v>
      </c>
      <c r="BA219" s="2074">
        <v>19.86</v>
      </c>
      <c r="BB219" s="2074">
        <v>7.07</v>
      </c>
      <c r="BC219" s="2074">
        <v>8.6300000000000008</v>
      </c>
      <c r="BD219" s="2074">
        <v>4.13</v>
      </c>
      <c r="BE219" s="2074" t="s">
        <v>288</v>
      </c>
      <c r="BF219" s="2075">
        <v>3825</v>
      </c>
      <c r="BG219" s="2075">
        <v>1523</v>
      </c>
      <c r="BH219" s="2075">
        <v>5754</v>
      </c>
      <c r="BI219" s="2075">
        <v>63</v>
      </c>
      <c r="BJ219" s="2075">
        <v>11165</v>
      </c>
      <c r="BK219" s="2074">
        <v>110.93363092953335</v>
      </c>
      <c r="BL219" s="2074">
        <v>145.31322436184504</v>
      </c>
      <c r="BM219" s="2074">
        <v>161.20123600537391</v>
      </c>
      <c r="BN219" s="2074">
        <v>5.5617642177777222</v>
      </c>
      <c r="BO219" s="2074">
        <v>4</v>
      </c>
      <c r="BP219" s="2074">
        <v>4.3499999999999996</v>
      </c>
      <c r="BQ219" s="2074">
        <v>7.31</v>
      </c>
      <c r="BR219" s="2074">
        <v>2.96</v>
      </c>
      <c r="BS219" s="2074">
        <v>7.78</v>
      </c>
      <c r="BT219" s="2074">
        <v>8.89</v>
      </c>
      <c r="BU219" s="2074">
        <v>1.1100000000000003</v>
      </c>
    </row>
    <row r="220" spans="1:73" s="154" customFormat="1" ht="9.9499999999999993" customHeight="1" x14ac:dyDescent="0.2">
      <c r="A220" s="160" t="s">
        <v>2066</v>
      </c>
      <c r="B220" s="236" t="s">
        <v>558</v>
      </c>
      <c r="C220" s="1924">
        <v>289874.7</v>
      </c>
      <c r="D220" s="1924">
        <v>1773.6</v>
      </c>
      <c r="E220" s="1924">
        <v>291648.3</v>
      </c>
      <c r="F220" s="1924">
        <v>28274.7</v>
      </c>
      <c r="G220" s="1924">
        <v>263373.59999999998</v>
      </c>
      <c r="H220" s="1924">
        <v>32640.6</v>
      </c>
      <c r="I220" s="1924">
        <v>96831.8</v>
      </c>
      <c r="J220" s="1924">
        <v>184287.8</v>
      </c>
      <c r="K220" s="1924">
        <v>1363910.6</v>
      </c>
      <c r="L220" s="1924">
        <v>1548198.4000000001</v>
      </c>
      <c r="M220" s="1924">
        <v>1645030.2000000002</v>
      </c>
      <c r="N220" s="1924">
        <v>619.1</v>
      </c>
      <c r="O220" s="1924">
        <v>357612.29999999993</v>
      </c>
      <c r="P220" s="1924">
        <v>448280.49999999994</v>
      </c>
      <c r="Q220" s="1924">
        <v>1812191.1</v>
      </c>
      <c r="R220" s="1924">
        <v>2196458.63</v>
      </c>
      <c r="S220" s="1924">
        <v>0</v>
      </c>
      <c r="T220" s="1924">
        <v>49765.8</v>
      </c>
      <c r="U220" s="1924">
        <v>1385547.3</v>
      </c>
      <c r="V220" s="1924">
        <v>1435313.1</v>
      </c>
      <c r="W220" s="1924">
        <v>0</v>
      </c>
      <c r="X220" s="1924">
        <v>1272.2</v>
      </c>
      <c r="Y220" s="1924">
        <v>37476.699999999997</v>
      </c>
      <c r="Z220" s="1924">
        <v>38748.899999999994</v>
      </c>
      <c r="AA220" s="1924">
        <v>31246.3</v>
      </c>
      <c r="AB220" s="1924">
        <v>311972</v>
      </c>
      <c r="AC220" s="1924">
        <v>27010</v>
      </c>
      <c r="AD220" s="1924">
        <v>338982</v>
      </c>
      <c r="AE220" s="1924">
        <v>31246.3</v>
      </c>
      <c r="AF220" s="1924">
        <v>363010</v>
      </c>
      <c r="AG220" s="1924">
        <v>1450034</v>
      </c>
      <c r="AH220" s="1924">
        <v>1813044</v>
      </c>
      <c r="AI220" s="1924">
        <v>9233.1</v>
      </c>
      <c r="AJ220" s="1924">
        <v>106235.5</v>
      </c>
      <c r="AK220" s="1924">
        <v>44019.4</v>
      </c>
      <c r="AL220" s="1924">
        <v>402.1</v>
      </c>
      <c r="AM220" s="1924">
        <v>1645080.38</v>
      </c>
      <c r="AN220" s="1924">
        <v>17112.2</v>
      </c>
      <c r="AO220" s="1924">
        <v>1662192.5799999998</v>
      </c>
      <c r="AP220" s="1924">
        <v>66487.703199999989</v>
      </c>
      <c r="AQ220" s="1924">
        <v>-1146.2509999999893</v>
      </c>
      <c r="AR220" s="1924">
        <v>65341.4522</v>
      </c>
      <c r="AS220" s="1924">
        <v>4425295.9000000004</v>
      </c>
      <c r="AT220" s="1924">
        <v>356989.75219999999</v>
      </c>
      <c r="AU220" s="1924">
        <v>13154.1</v>
      </c>
      <c r="AV220" s="1924">
        <v>121876.4</v>
      </c>
      <c r="AW220" s="1924">
        <v>15180.9</v>
      </c>
      <c r="AX220" s="1924">
        <v>307440.5</v>
      </c>
      <c r="AY220" s="1924">
        <v>457651.9</v>
      </c>
      <c r="AZ220" s="2074">
        <v>25.36</v>
      </c>
      <c r="BA220" s="2074">
        <v>19.010000000000002</v>
      </c>
      <c r="BB220" s="2074">
        <v>7.86</v>
      </c>
      <c r="BC220" s="2074">
        <v>11.07</v>
      </c>
      <c r="BD220" s="2074">
        <v>6.09</v>
      </c>
      <c r="BE220" s="2074" t="s">
        <v>288</v>
      </c>
      <c r="BF220" s="2075">
        <v>3823</v>
      </c>
      <c r="BG220" s="2075">
        <v>1523</v>
      </c>
      <c r="BH220" s="2075">
        <v>5758</v>
      </c>
      <c r="BI220" s="2075">
        <v>63</v>
      </c>
      <c r="BJ220" s="2075">
        <v>11167</v>
      </c>
      <c r="BK220" s="2074">
        <v>110.21005551108696</v>
      </c>
      <c r="BL220" s="2074">
        <v>147.31623354526729</v>
      </c>
      <c r="BM220" s="2074">
        <v>162.35730276708159</v>
      </c>
      <c r="BN220" s="2074">
        <v>5.6906734368809389</v>
      </c>
      <c r="BO220" s="2074">
        <v>4</v>
      </c>
      <c r="BP220" s="2074">
        <v>4.38</v>
      </c>
      <c r="BQ220" s="2074">
        <v>7.29</v>
      </c>
      <c r="BR220" s="2074">
        <v>2.91</v>
      </c>
      <c r="BS220" s="2074">
        <v>7.83</v>
      </c>
      <c r="BT220" s="2074">
        <v>8.27</v>
      </c>
      <c r="BU220" s="2074">
        <v>0.4399999999999995</v>
      </c>
    </row>
    <row r="221" spans="1:73" s="154" customFormat="1" ht="9.9499999999999993" customHeight="1" x14ac:dyDescent="0.2">
      <c r="A221" s="160" t="s">
        <v>2066</v>
      </c>
      <c r="B221" s="275" t="s">
        <v>559</v>
      </c>
      <c r="C221" s="1924">
        <v>278217.09999999998</v>
      </c>
      <c r="D221" s="1924">
        <v>1784.4</v>
      </c>
      <c r="E221" s="1924">
        <v>280001.5</v>
      </c>
      <c r="F221" s="1924">
        <v>24171.599999999999</v>
      </c>
      <c r="G221" s="1924">
        <v>255829.9</v>
      </c>
      <c r="H221" s="1924">
        <v>33917.9</v>
      </c>
      <c r="I221" s="1924">
        <v>99908.5</v>
      </c>
      <c r="J221" s="1924">
        <v>184347.5</v>
      </c>
      <c r="K221" s="1924">
        <v>1379152.2</v>
      </c>
      <c r="L221" s="1924">
        <v>1563499.7</v>
      </c>
      <c r="M221" s="1924">
        <v>1663408.2</v>
      </c>
      <c r="N221" s="1924">
        <v>580</v>
      </c>
      <c r="O221" s="1924">
        <v>348268.7</v>
      </c>
      <c r="P221" s="1924">
        <v>440757.4</v>
      </c>
      <c r="Q221" s="1924">
        <v>1819909.6</v>
      </c>
      <c r="R221" s="1924">
        <v>2203921.79</v>
      </c>
      <c r="S221" s="1924">
        <v>0</v>
      </c>
      <c r="T221" s="1924">
        <v>50430.400000000001</v>
      </c>
      <c r="U221" s="1924">
        <v>1397397.7</v>
      </c>
      <c r="V221" s="1924">
        <v>1447828.0999999999</v>
      </c>
      <c r="W221" s="1924">
        <v>0</v>
      </c>
      <c r="X221" s="1924">
        <v>1177.9000000000001</v>
      </c>
      <c r="Y221" s="1924">
        <v>38294.699999999997</v>
      </c>
      <c r="Z221" s="1924">
        <v>39472.6</v>
      </c>
      <c r="AA221" s="1924">
        <v>30710.400000000001</v>
      </c>
      <c r="AB221" s="1924">
        <v>324264.90000000002</v>
      </c>
      <c r="AC221" s="1924">
        <v>27100.6</v>
      </c>
      <c r="AD221" s="1924">
        <v>351365.5</v>
      </c>
      <c r="AE221" s="1924">
        <v>30710.400000000001</v>
      </c>
      <c r="AF221" s="1924">
        <v>375873.2</v>
      </c>
      <c r="AG221" s="1924">
        <v>1462793</v>
      </c>
      <c r="AH221" s="1924">
        <v>1838666.2</v>
      </c>
      <c r="AI221" s="1924">
        <v>9040.4</v>
      </c>
      <c r="AJ221" s="1924">
        <v>106679.8</v>
      </c>
      <c r="AK221" s="1924">
        <v>43161.7</v>
      </c>
      <c r="AL221" s="1924">
        <v>173.8</v>
      </c>
      <c r="AM221" s="1924">
        <v>1663452.8</v>
      </c>
      <c r="AN221" s="1924">
        <v>17287.8</v>
      </c>
      <c r="AO221" s="1924">
        <v>1680740.6</v>
      </c>
      <c r="AP221" s="1924">
        <v>67229.624000000011</v>
      </c>
      <c r="AQ221" s="1924">
        <v>452.29319999998552</v>
      </c>
      <c r="AR221" s="1924">
        <v>67681.917199999996</v>
      </c>
      <c r="AS221" s="1924">
        <v>4501093.3</v>
      </c>
      <c r="AT221" s="1924">
        <v>347683.41720000003</v>
      </c>
      <c r="AU221" s="1924">
        <v>6715.4</v>
      </c>
      <c r="AV221" s="1924">
        <v>125694.9</v>
      </c>
      <c r="AW221" s="1924">
        <v>15059.2</v>
      </c>
      <c r="AX221" s="1924">
        <v>319748.90000000002</v>
      </c>
      <c r="AY221" s="1924">
        <v>467218.4</v>
      </c>
      <c r="AZ221" s="2074">
        <v>27.49</v>
      </c>
      <c r="BA221" s="2074">
        <v>20.84</v>
      </c>
      <c r="BB221" s="2074">
        <v>8.81</v>
      </c>
      <c r="BC221" s="2074">
        <v>12.25</v>
      </c>
      <c r="BD221" s="2074">
        <v>6.54</v>
      </c>
      <c r="BE221" s="2074" t="s">
        <v>288</v>
      </c>
      <c r="BF221" s="2075">
        <v>3823</v>
      </c>
      <c r="BG221" s="2075">
        <v>1523</v>
      </c>
      <c r="BH221" s="2075">
        <v>5767</v>
      </c>
      <c r="BI221" s="2075">
        <v>63</v>
      </c>
      <c r="BJ221" s="2075">
        <v>11176</v>
      </c>
      <c r="BK221" s="2074">
        <v>110.53311521673473</v>
      </c>
      <c r="BL221" s="2074">
        <v>148.84151753758053</v>
      </c>
      <c r="BM221" s="2074">
        <v>164.51916607015031</v>
      </c>
      <c r="BN221" s="2074">
        <v>5.5218589430370368</v>
      </c>
      <c r="BO221" s="2074">
        <v>4</v>
      </c>
      <c r="BP221" s="2074">
        <v>4.41</v>
      </c>
      <c r="BQ221" s="2074">
        <v>7.32</v>
      </c>
      <c r="BR221" s="2074">
        <v>2.91</v>
      </c>
      <c r="BS221" s="2074">
        <v>7.88</v>
      </c>
      <c r="BT221" s="2074">
        <v>8.25</v>
      </c>
      <c r="BU221" s="2074">
        <v>0.37000000000000011</v>
      </c>
    </row>
    <row r="222" spans="1:73" s="154" customFormat="1" ht="9.9499999999999993" customHeight="1" x14ac:dyDescent="0.2">
      <c r="A222" s="160" t="s">
        <v>2066</v>
      </c>
      <c r="B222" s="236" t="s">
        <v>550</v>
      </c>
      <c r="C222" s="1924">
        <v>310153.40000000002</v>
      </c>
      <c r="D222" s="1924">
        <v>1794.4</v>
      </c>
      <c r="E222" s="1924">
        <v>311947.80000000005</v>
      </c>
      <c r="F222" s="1924">
        <v>20034.3</v>
      </c>
      <c r="G222" s="1924">
        <v>291913.50000000006</v>
      </c>
      <c r="H222" s="1924">
        <v>33759.4</v>
      </c>
      <c r="I222" s="1924">
        <v>103350.9</v>
      </c>
      <c r="J222" s="1924">
        <v>199304.3</v>
      </c>
      <c r="K222" s="1924">
        <v>1395280.2</v>
      </c>
      <c r="L222" s="1924">
        <v>1594584.5</v>
      </c>
      <c r="M222" s="1924">
        <v>1697935.4</v>
      </c>
      <c r="N222" s="1924">
        <v>670.1</v>
      </c>
      <c r="O222" s="1924">
        <v>383585.19999999995</v>
      </c>
      <c r="P222" s="1924">
        <v>491887.9</v>
      </c>
      <c r="Q222" s="1924">
        <v>1887168.1</v>
      </c>
      <c r="R222" s="1924">
        <v>2273892.4900000002</v>
      </c>
      <c r="S222" s="1924">
        <v>0</v>
      </c>
      <c r="T222" s="1924">
        <v>51470.2</v>
      </c>
      <c r="U222" s="1924">
        <v>1421339.2</v>
      </c>
      <c r="V222" s="1924">
        <v>1472809.4</v>
      </c>
      <c r="W222" s="1924">
        <v>0</v>
      </c>
      <c r="X222" s="1924">
        <v>807.9</v>
      </c>
      <c r="Y222" s="1924">
        <v>38453</v>
      </c>
      <c r="Z222" s="1924">
        <v>39260.9</v>
      </c>
      <c r="AA222" s="1924">
        <v>30458.2</v>
      </c>
      <c r="AB222" s="1924">
        <v>329477.8</v>
      </c>
      <c r="AC222" s="1924">
        <v>27112.7</v>
      </c>
      <c r="AD222" s="1924">
        <v>356590.5</v>
      </c>
      <c r="AE222" s="1924">
        <v>30458.2</v>
      </c>
      <c r="AF222" s="1924">
        <v>381755.89999999997</v>
      </c>
      <c r="AG222" s="1924">
        <v>1486904.9</v>
      </c>
      <c r="AH222" s="1924">
        <v>1868660.7999999998</v>
      </c>
      <c r="AI222" s="1924">
        <v>9730.7999999999993</v>
      </c>
      <c r="AJ222" s="1924">
        <v>105117.8</v>
      </c>
      <c r="AK222" s="1924">
        <v>44627.199999999997</v>
      </c>
      <c r="AL222" s="1924">
        <v>115.4</v>
      </c>
      <c r="AM222" s="1924">
        <v>1697975.9100000001</v>
      </c>
      <c r="AN222" s="1924">
        <v>17873.2</v>
      </c>
      <c r="AO222" s="1924">
        <v>1715849.11</v>
      </c>
      <c r="AP222" s="1924">
        <v>68633.964400000012</v>
      </c>
      <c r="AQ222" s="1924">
        <v>2330.6837999999843</v>
      </c>
      <c r="AR222" s="1924">
        <v>70964.648199999996</v>
      </c>
      <c r="AS222" s="1924">
        <v>4601082.2</v>
      </c>
      <c r="AT222" s="1924">
        <v>382912.44820000004</v>
      </c>
      <c r="AU222" s="1924">
        <v>24318</v>
      </c>
      <c r="AV222" s="1924">
        <v>132269.79999999999</v>
      </c>
      <c r="AW222" s="1924">
        <v>15486</v>
      </c>
      <c r="AX222" s="1924">
        <v>324998.7</v>
      </c>
      <c r="AY222" s="1924">
        <v>497072.5</v>
      </c>
      <c r="AZ222" s="2074">
        <v>36.65</v>
      </c>
      <c r="BA222" s="2074">
        <v>22.29</v>
      </c>
      <c r="BB222" s="2074">
        <v>10.57</v>
      </c>
      <c r="BC222" s="2074">
        <v>15.25</v>
      </c>
      <c r="BD222" s="2074">
        <v>10.48</v>
      </c>
      <c r="BE222" s="2074" t="s">
        <v>288</v>
      </c>
      <c r="BF222" s="2075">
        <v>3823</v>
      </c>
      <c r="BG222" s="2075">
        <v>1523</v>
      </c>
      <c r="BH222" s="2075">
        <v>5768</v>
      </c>
      <c r="BI222" s="2075">
        <v>63</v>
      </c>
      <c r="BJ222" s="2075">
        <v>11177</v>
      </c>
      <c r="BK222" s="2074">
        <v>110.05225627729899</v>
      </c>
      <c r="BL222" s="2074">
        <v>151.916964301691</v>
      </c>
      <c r="BM222" s="2074">
        <v>167.18804688198978</v>
      </c>
      <c r="BN222" s="2074">
        <v>5.3592602618255043</v>
      </c>
      <c r="BO222" s="2074">
        <v>4</v>
      </c>
      <c r="BP222" s="2074">
        <v>4.38</v>
      </c>
      <c r="BQ222" s="2074">
        <v>7.31</v>
      </c>
      <c r="BR222" s="2074">
        <v>2.9299999999999997</v>
      </c>
      <c r="BS222" s="2074">
        <v>7.93</v>
      </c>
      <c r="BT222" s="2074">
        <v>8.1999999999999993</v>
      </c>
      <c r="BU222" s="2074">
        <v>0.26999999999999957</v>
      </c>
    </row>
    <row r="223" spans="1:73" s="154" customFormat="1" ht="9.9499999999999993" customHeight="1" x14ac:dyDescent="0.2">
      <c r="A223" s="160" t="s">
        <v>2206</v>
      </c>
      <c r="B223" s="275" t="s">
        <v>552</v>
      </c>
      <c r="C223" s="1924">
        <v>290730.8</v>
      </c>
      <c r="D223" s="1924">
        <v>1803.2</v>
      </c>
      <c r="E223" s="1924">
        <f t="shared" ref="E223:E252" si="180">C223+D223</f>
        <v>292534</v>
      </c>
      <c r="F223" s="1924">
        <v>26179.4</v>
      </c>
      <c r="G223" s="1924">
        <f t="shared" ref="G223:G254" si="181">E223-F223</f>
        <v>266354.59999999998</v>
      </c>
      <c r="H223" s="1924">
        <v>32842.6</v>
      </c>
      <c r="I223" s="1924">
        <v>98981.5</v>
      </c>
      <c r="J223" s="1924">
        <v>191720.6</v>
      </c>
      <c r="K223" s="1924">
        <v>1415270</v>
      </c>
      <c r="L223" s="1924">
        <f t="shared" ref="L223:L234" si="182">J223+K223</f>
        <v>1606990.6</v>
      </c>
      <c r="M223" s="1924">
        <f t="shared" ref="M223:M234" si="183">I223+L223</f>
        <v>1705972.1</v>
      </c>
      <c r="N223" s="1924">
        <v>904.6</v>
      </c>
      <c r="O223" s="1924">
        <v>365659.6</v>
      </c>
      <c r="P223" s="1924">
        <f t="shared" ref="P223:P234" si="184">G223+J223+N223</f>
        <v>458979.79999999993</v>
      </c>
      <c r="Q223" s="1924">
        <f t="shared" ref="Q223:Q234" si="185">K223+P223</f>
        <v>1874249.7999999998</v>
      </c>
      <c r="R223" s="1924">
        <v>2261463.9699999997</v>
      </c>
      <c r="S223" s="2050">
        <v>0</v>
      </c>
      <c r="T223" s="1924">
        <v>53185.8</v>
      </c>
      <c r="U223" s="1924">
        <v>1413749.5</v>
      </c>
      <c r="V223" s="1924">
        <f t="shared" ref="V223:V252" si="186">T223+U223</f>
        <v>1466935.3</v>
      </c>
      <c r="W223" s="2050">
        <v>0</v>
      </c>
      <c r="X223" s="1924">
        <v>728.6</v>
      </c>
      <c r="Y223" s="1924">
        <v>37189.599999999999</v>
      </c>
      <c r="Z223" s="1924">
        <f t="shared" ref="Z223:Z246" si="187">X223+Y223</f>
        <v>37918.199999999997</v>
      </c>
      <c r="AA223" s="2066">
        <v>30135.9</v>
      </c>
      <c r="AB223" s="2066">
        <v>335712.1</v>
      </c>
      <c r="AC223" s="2066">
        <v>27197.599999999999</v>
      </c>
      <c r="AD223" s="2066">
        <f t="shared" ref="AD223:AD234" si="188">AB223+AC223</f>
        <v>362909.69999999995</v>
      </c>
      <c r="AE223" s="2066">
        <f t="shared" ref="AE223:AH234" si="189">S223+W223+AA223</f>
        <v>30135.9</v>
      </c>
      <c r="AF223" s="2066">
        <f t="shared" si="189"/>
        <v>389626.5</v>
      </c>
      <c r="AG223" s="2066">
        <f t="shared" si="189"/>
        <v>1478136.7000000002</v>
      </c>
      <c r="AH223" s="2066">
        <f>V223+Z223+AD223</f>
        <v>1867763.2</v>
      </c>
      <c r="AI223" s="1924">
        <v>9934.6</v>
      </c>
      <c r="AJ223" s="1924">
        <v>105839.4</v>
      </c>
      <c r="AK223" s="1924">
        <v>42144.6</v>
      </c>
      <c r="AL223" s="1924">
        <v>292.60000000000002</v>
      </c>
      <c r="AM223" s="1924">
        <f>1706013.4-10.59</f>
        <v>1706002.8099999998</v>
      </c>
      <c r="AN223" s="1924">
        <v>17061.400000000001</v>
      </c>
      <c r="AO223" s="1924">
        <f t="shared" ref="AO223:AO251" si="190">AM223+AN223</f>
        <v>1723064.2099999997</v>
      </c>
      <c r="AP223" s="1924">
        <f t="shared" ref="AP223:AP234" si="191">0.04*AO223</f>
        <v>68922.568399999989</v>
      </c>
      <c r="AQ223" s="1924">
        <f t="shared" ref="AQ223:AQ241" si="192">AR223-AP223</f>
        <v>3296.3079000000143</v>
      </c>
      <c r="AR223" s="1924">
        <f>72221-2.1237</f>
        <v>72218.876300000004</v>
      </c>
      <c r="AS223" s="1924">
        <v>4647252.9000000004</v>
      </c>
      <c r="AT223" s="1924">
        <f t="shared" ref="AT223:AT254" si="193">E223+AR223</f>
        <v>364752.8763</v>
      </c>
      <c r="AU223" s="2040">
        <v>11532.3</v>
      </c>
      <c r="AV223" s="1924">
        <v>135413.4</v>
      </c>
      <c r="AW223" s="1924">
        <v>17141.400000000001</v>
      </c>
      <c r="AX223" s="1924">
        <v>331234.2</v>
      </c>
      <c r="AY223" s="1924">
        <f t="shared" ref="AY223:AY250" si="194">AX223+AW223+AV223+AU223</f>
        <v>495321.3</v>
      </c>
      <c r="AZ223" s="2074">
        <v>38.299999999999997</v>
      </c>
      <c r="BA223" s="1267">
        <v>18.100000000000001</v>
      </c>
      <c r="BB223" s="1267">
        <v>9.82</v>
      </c>
      <c r="BC223" s="1267">
        <v>14.81</v>
      </c>
      <c r="BD223" s="1267">
        <v>9.74</v>
      </c>
      <c r="BE223" s="1267" t="s">
        <v>288</v>
      </c>
      <c r="BF223" s="2051">
        <v>3823</v>
      </c>
      <c r="BG223" s="2051">
        <v>1541</v>
      </c>
      <c r="BH223" s="2051">
        <v>5789</v>
      </c>
      <c r="BI223" s="2051">
        <v>63</v>
      </c>
      <c r="BJ223" s="2051">
        <f t="shared" ref="BJ223:BJ240" si="195">SUM(BF223:BI223)</f>
        <v>11216</v>
      </c>
      <c r="BK223" s="1267">
        <f t="shared" ref="BK223:BK254" si="196">AH223/AM223*100</f>
        <v>109.48183608208713</v>
      </c>
      <c r="BL223" s="1267">
        <f t="shared" ref="BL223:BL254" si="197">AM223/BJ223</f>
        <v>152.10438748216831</v>
      </c>
      <c r="BM223" s="1267">
        <f t="shared" ref="BM223:BM254" si="198">AH223/BJ223</f>
        <v>166.52667617689016</v>
      </c>
      <c r="BN223" s="1267">
        <f t="shared" ref="BN223:BN254" si="199">(F223+AR223)/AM223*100</f>
        <v>5.7677675396091521</v>
      </c>
      <c r="BO223" s="1267">
        <v>4</v>
      </c>
      <c r="BP223" s="1267">
        <v>4.46</v>
      </c>
      <c r="BQ223" s="1267">
        <v>7.75</v>
      </c>
      <c r="BR223" s="1267">
        <f t="shared" ref="BR223:BR237" si="200">BQ223-BP223</f>
        <v>3.29</v>
      </c>
      <c r="BS223" s="1267">
        <v>8.02</v>
      </c>
      <c r="BT223" s="1267">
        <v>8.18</v>
      </c>
      <c r="BU223" s="1267">
        <f t="shared" ref="BU223:BU233" si="201">BT223-BS223</f>
        <v>0.16000000000000014</v>
      </c>
    </row>
    <row r="224" spans="1:73" s="154" customFormat="1" ht="9.9499999999999993" customHeight="1" x14ac:dyDescent="0.2">
      <c r="A224" s="160" t="s">
        <v>2206</v>
      </c>
      <c r="B224" s="236" t="s">
        <v>553</v>
      </c>
      <c r="C224" s="1922">
        <v>280673.90000000002</v>
      </c>
      <c r="D224" s="1922">
        <v>1813.1</v>
      </c>
      <c r="E224" s="1922">
        <f t="shared" si="180"/>
        <v>282487</v>
      </c>
      <c r="F224" s="1922">
        <v>24130.7</v>
      </c>
      <c r="G224" s="1922">
        <f t="shared" si="181"/>
        <v>258356.3</v>
      </c>
      <c r="H224" s="1922">
        <v>32520.7</v>
      </c>
      <c r="I224" s="1922">
        <v>102396</v>
      </c>
      <c r="J224" s="1922">
        <v>185799.4</v>
      </c>
      <c r="K224" s="1922">
        <v>1431876.3</v>
      </c>
      <c r="L224" s="1922">
        <f t="shared" si="182"/>
        <v>1617675.7</v>
      </c>
      <c r="M224" s="1922">
        <f t="shared" si="183"/>
        <v>1720071.7</v>
      </c>
      <c r="N224" s="1922">
        <v>833.1</v>
      </c>
      <c r="O224" s="1922">
        <v>351208.6</v>
      </c>
      <c r="P224" s="1922">
        <f t="shared" si="184"/>
        <v>444988.79999999993</v>
      </c>
      <c r="Q224" s="1922">
        <f t="shared" si="185"/>
        <v>1876865.1</v>
      </c>
      <c r="R224" s="1922">
        <v>2264408.7388038971</v>
      </c>
      <c r="S224" s="1037">
        <v>0</v>
      </c>
      <c r="T224" s="1922">
        <v>54113.9</v>
      </c>
      <c r="U224" s="1922">
        <v>1425067.5</v>
      </c>
      <c r="V224" s="1922">
        <f t="shared" si="186"/>
        <v>1479181.4</v>
      </c>
      <c r="W224" s="1037">
        <v>0</v>
      </c>
      <c r="X224" s="1922">
        <v>654</v>
      </c>
      <c r="Y224" s="1922">
        <v>34733.5</v>
      </c>
      <c r="Z224" s="1922">
        <f t="shared" si="187"/>
        <v>35387.5</v>
      </c>
      <c r="AA224" s="2064">
        <v>29797.5</v>
      </c>
      <c r="AB224" s="2064">
        <v>343070.6</v>
      </c>
      <c r="AC224" s="2064">
        <v>27913.599999999999</v>
      </c>
      <c r="AD224" s="2064">
        <f t="shared" si="188"/>
        <v>370984.19999999995</v>
      </c>
      <c r="AE224" s="2064">
        <f t="shared" si="189"/>
        <v>29797.5</v>
      </c>
      <c r="AF224" s="2064">
        <f t="shared" si="189"/>
        <v>397838.5</v>
      </c>
      <c r="AG224" s="2064">
        <f t="shared" si="189"/>
        <v>1487714.6</v>
      </c>
      <c r="AH224" s="2064">
        <f t="shared" si="189"/>
        <v>1885553.0999999999</v>
      </c>
      <c r="AI224" s="1922">
        <v>10281.299999999999</v>
      </c>
      <c r="AJ224" s="1922">
        <v>101843.2</v>
      </c>
      <c r="AK224" s="1922">
        <v>39769.199999999997</v>
      </c>
      <c r="AL224" s="1922">
        <v>240.2</v>
      </c>
      <c r="AM224" s="1922">
        <f>1720107.6-10.23</f>
        <v>1720097.37</v>
      </c>
      <c r="AN224" s="1922">
        <v>17471.2</v>
      </c>
      <c r="AO224" s="1922">
        <f t="shared" si="190"/>
        <v>1737568.57</v>
      </c>
      <c r="AP224" s="1922">
        <f t="shared" si="191"/>
        <v>69502.742800000007</v>
      </c>
      <c r="AQ224" s="1922">
        <f t="shared" si="192"/>
        <v>-1617.3455000000104</v>
      </c>
      <c r="AR224" s="1922">
        <f>67888.5-3.1027</f>
        <v>67885.397299999997</v>
      </c>
      <c r="AS224" s="1922">
        <v>4701903.0999999996</v>
      </c>
      <c r="AT224" s="1922">
        <f t="shared" si="193"/>
        <v>350372.39730000001</v>
      </c>
      <c r="AU224" s="2046">
        <v>6516.1</v>
      </c>
      <c r="AV224" s="1922">
        <v>139144.1</v>
      </c>
      <c r="AW224" s="1922">
        <v>17537.5</v>
      </c>
      <c r="AX224" s="1922">
        <v>338549.7</v>
      </c>
      <c r="AY224" s="1922">
        <f t="shared" si="194"/>
        <v>501747.4</v>
      </c>
      <c r="AZ224" s="2076">
        <v>-1.41</v>
      </c>
      <c r="BA224" s="1289">
        <v>0.59</v>
      </c>
      <c r="BB224" s="1289">
        <v>7.0000000000000007E-2</v>
      </c>
      <c r="BC224" s="1289">
        <v>-0.22</v>
      </c>
      <c r="BD224" s="1289">
        <v>-0.55000000000000004</v>
      </c>
      <c r="BE224" s="1289" t="s">
        <v>288</v>
      </c>
      <c r="BF224" s="2047">
        <v>3824</v>
      </c>
      <c r="BG224" s="2047">
        <v>1541</v>
      </c>
      <c r="BH224" s="2047">
        <v>5790</v>
      </c>
      <c r="BI224" s="2047">
        <v>63</v>
      </c>
      <c r="BJ224" s="2047">
        <f t="shared" si="195"/>
        <v>11218</v>
      </c>
      <c r="BK224" s="1289">
        <f t="shared" si="196"/>
        <v>109.61897465141755</v>
      </c>
      <c r="BL224" s="1289">
        <f t="shared" si="197"/>
        <v>153.33369317168837</v>
      </c>
      <c r="BM224" s="1289">
        <f t="shared" si="198"/>
        <v>168.08282224995543</v>
      </c>
      <c r="BN224" s="1289">
        <f t="shared" si="199"/>
        <v>5.3494702628375039</v>
      </c>
      <c r="BO224" s="1289">
        <v>4</v>
      </c>
      <c r="BP224" s="1289">
        <v>4.5199999999999996</v>
      </c>
      <c r="BQ224" s="1289">
        <v>7.85</v>
      </c>
      <c r="BR224" s="1289">
        <f t="shared" si="200"/>
        <v>3.33</v>
      </c>
      <c r="BS224" s="1289">
        <v>8.08</v>
      </c>
      <c r="BT224" s="1289">
        <v>11.47</v>
      </c>
      <c r="BU224" s="1289">
        <f t="shared" si="201"/>
        <v>3.3900000000000006</v>
      </c>
    </row>
    <row r="225" spans="1:73" s="154" customFormat="1" ht="9.9499999999999993" customHeight="1" x14ac:dyDescent="0.2">
      <c r="A225" s="160" t="s">
        <v>2206</v>
      </c>
      <c r="B225" s="275" t="s">
        <v>547</v>
      </c>
      <c r="C225" s="1924">
        <v>275491.90000000002</v>
      </c>
      <c r="D225" s="1924">
        <v>1820.9</v>
      </c>
      <c r="E225" s="1924">
        <f t="shared" si="180"/>
        <v>277312.80000000005</v>
      </c>
      <c r="F225" s="1924">
        <v>23807.4</v>
      </c>
      <c r="G225" s="1924">
        <f t="shared" si="181"/>
        <v>253505.40000000005</v>
      </c>
      <c r="H225" s="1924">
        <v>32330.7</v>
      </c>
      <c r="I225" s="1924">
        <v>104326.39999999999</v>
      </c>
      <c r="J225" s="1924">
        <v>185910.7</v>
      </c>
      <c r="K225" s="1924">
        <v>1437228.5</v>
      </c>
      <c r="L225" s="1924">
        <f t="shared" si="182"/>
        <v>1623139.2</v>
      </c>
      <c r="M225" s="1924">
        <f t="shared" si="183"/>
        <v>1727465.5999999999</v>
      </c>
      <c r="N225" s="1924">
        <v>601.20000000000005</v>
      </c>
      <c r="O225" s="1924">
        <v>344233.89999999997</v>
      </c>
      <c r="P225" s="1924">
        <f t="shared" si="184"/>
        <v>440017.3000000001</v>
      </c>
      <c r="Q225" s="1924">
        <f t="shared" si="185"/>
        <v>1877245.8</v>
      </c>
      <c r="R225" s="1924">
        <v>2264332.7573247859</v>
      </c>
      <c r="S225" s="2050">
        <v>0</v>
      </c>
      <c r="T225" s="1924">
        <v>55014.5</v>
      </c>
      <c r="U225" s="1924">
        <v>1443572</v>
      </c>
      <c r="V225" s="1924">
        <f t="shared" si="186"/>
        <v>1498586.5</v>
      </c>
      <c r="W225" s="2050">
        <v>0</v>
      </c>
      <c r="X225" s="1924">
        <v>621.6</v>
      </c>
      <c r="Y225" s="1924">
        <v>33309.800000000003</v>
      </c>
      <c r="Z225" s="1924">
        <f t="shared" si="187"/>
        <v>33931.4</v>
      </c>
      <c r="AA225" s="2066">
        <v>29760.2</v>
      </c>
      <c r="AB225" s="2066">
        <v>340684.7</v>
      </c>
      <c r="AC225" s="2066">
        <v>28423.5</v>
      </c>
      <c r="AD225" s="2066">
        <f t="shared" si="188"/>
        <v>369108.2</v>
      </c>
      <c r="AE225" s="2066">
        <f t="shared" si="189"/>
        <v>29760.2</v>
      </c>
      <c r="AF225" s="2066">
        <f t="shared" si="189"/>
        <v>396320.8</v>
      </c>
      <c r="AG225" s="2066">
        <f t="shared" si="189"/>
        <v>1505305.3</v>
      </c>
      <c r="AH225" s="2066">
        <f t="shared" si="189"/>
        <v>1901626.0999999999</v>
      </c>
      <c r="AI225" s="1924">
        <v>9867.6</v>
      </c>
      <c r="AJ225" s="1924">
        <v>108285.8</v>
      </c>
      <c r="AK225" s="1924">
        <v>38084.5</v>
      </c>
      <c r="AL225" s="1924">
        <v>135.4</v>
      </c>
      <c r="AM225" s="1924">
        <f>1727507.3-10.32</f>
        <v>1727496.98</v>
      </c>
      <c r="AN225" s="1924">
        <v>17115.099999999999</v>
      </c>
      <c r="AO225" s="1924">
        <f t="shared" si="190"/>
        <v>1744612.08</v>
      </c>
      <c r="AP225" s="1924">
        <f t="shared" si="191"/>
        <v>69784.483200000002</v>
      </c>
      <c r="AQ225" s="1924">
        <f t="shared" si="192"/>
        <v>-3468.0583000000042</v>
      </c>
      <c r="AR225" s="1924">
        <f>66319.9-3.4751</f>
        <v>66316.424899999998</v>
      </c>
      <c r="AS225" s="1924">
        <v>4750466.0999999996</v>
      </c>
      <c r="AT225" s="1924">
        <f t="shared" si="193"/>
        <v>343629.22490000003</v>
      </c>
      <c r="AU225" s="2040">
        <v>5992.3</v>
      </c>
      <c r="AV225" s="1924">
        <v>131691.70000000001</v>
      </c>
      <c r="AW225" s="1924">
        <v>17478.7</v>
      </c>
      <c r="AX225" s="1924">
        <v>336174.6</v>
      </c>
      <c r="AY225" s="1924">
        <f t="shared" si="194"/>
        <v>491337.3</v>
      </c>
      <c r="AZ225" s="2074">
        <v>-4.24</v>
      </c>
      <c r="BA225" s="1267">
        <v>3.17</v>
      </c>
      <c r="BB225" s="1267">
        <v>1.26</v>
      </c>
      <c r="BC225" s="1267">
        <v>0.2</v>
      </c>
      <c r="BD225" s="1267">
        <v>-0.53</v>
      </c>
      <c r="BE225" s="1267" t="s">
        <v>288</v>
      </c>
      <c r="BF225" s="2051">
        <v>3824</v>
      </c>
      <c r="BG225" s="2051">
        <v>1541</v>
      </c>
      <c r="BH225" s="2051">
        <v>5791</v>
      </c>
      <c r="BI225" s="2051">
        <v>63</v>
      </c>
      <c r="BJ225" s="2051">
        <f t="shared" si="195"/>
        <v>11219</v>
      </c>
      <c r="BK225" s="1267">
        <f t="shared" si="196"/>
        <v>110.07985090659898</v>
      </c>
      <c r="BL225" s="1267">
        <f t="shared" si="197"/>
        <v>153.97958641590159</v>
      </c>
      <c r="BM225" s="1267">
        <f t="shared" si="198"/>
        <v>169.50049915322219</v>
      </c>
      <c r="BN225" s="1267">
        <f t="shared" si="199"/>
        <v>5.2170177976230105</v>
      </c>
      <c r="BO225" s="1267">
        <v>4</v>
      </c>
      <c r="BP225" s="1267">
        <v>4.5199999999999996</v>
      </c>
      <c r="BQ225" s="1267">
        <v>7.83</v>
      </c>
      <c r="BR225" s="1267">
        <f t="shared" si="200"/>
        <v>3.3100000000000005</v>
      </c>
      <c r="BS225" s="1267">
        <v>8.15</v>
      </c>
      <c r="BT225" s="1267">
        <v>11.58</v>
      </c>
      <c r="BU225" s="1267">
        <f t="shared" si="201"/>
        <v>3.4299999999999997</v>
      </c>
    </row>
    <row r="226" spans="1:73" s="154" customFormat="1" ht="9.9499999999999993" customHeight="1" x14ac:dyDescent="0.2">
      <c r="A226" s="160" t="s">
        <v>2206</v>
      </c>
      <c r="B226" s="236" t="s">
        <v>554</v>
      </c>
      <c r="C226" s="1922">
        <v>271207.09999999998</v>
      </c>
      <c r="D226" s="1922">
        <v>1830.1</v>
      </c>
      <c r="E226" s="1922">
        <f t="shared" si="180"/>
        <v>273037.19999999995</v>
      </c>
      <c r="F226" s="1922">
        <v>27093.3</v>
      </c>
      <c r="G226" s="1922">
        <f t="shared" si="181"/>
        <v>245943.89999999997</v>
      </c>
      <c r="H226" s="1922">
        <v>32399.3</v>
      </c>
      <c r="I226" s="1922">
        <v>105631.6</v>
      </c>
      <c r="J226" s="1922">
        <v>192478</v>
      </c>
      <c r="K226" s="1922">
        <v>1443595.2</v>
      </c>
      <c r="L226" s="1922">
        <f t="shared" si="182"/>
        <v>1636073.2</v>
      </c>
      <c r="M226" s="1922">
        <f t="shared" si="183"/>
        <v>1741704.8</v>
      </c>
      <c r="N226" s="1922">
        <v>519.4</v>
      </c>
      <c r="O226" s="1922">
        <v>339958.4</v>
      </c>
      <c r="P226" s="1922">
        <f t="shared" si="184"/>
        <v>438941.3</v>
      </c>
      <c r="Q226" s="1922">
        <f t="shared" si="185"/>
        <v>1882536.5</v>
      </c>
      <c r="R226" s="1922">
        <v>2268941.0356733794</v>
      </c>
      <c r="S226" s="1037">
        <v>0</v>
      </c>
      <c r="T226" s="1922">
        <v>55295</v>
      </c>
      <c r="U226" s="1922">
        <v>1464945.1</v>
      </c>
      <c r="V226" s="1922">
        <f t="shared" si="186"/>
        <v>1520240.1</v>
      </c>
      <c r="W226" s="1037">
        <v>0</v>
      </c>
      <c r="X226" s="1922">
        <v>598.79999999999995</v>
      </c>
      <c r="Y226" s="1922">
        <v>26218.9</v>
      </c>
      <c r="Z226" s="1922">
        <f t="shared" si="187"/>
        <v>26817.7</v>
      </c>
      <c r="AA226" s="2064">
        <v>29449.200000000001</v>
      </c>
      <c r="AB226" s="2064">
        <v>341367.3</v>
      </c>
      <c r="AC226" s="2064">
        <v>28952.6</v>
      </c>
      <c r="AD226" s="2064">
        <f t="shared" si="188"/>
        <v>370319.89999999997</v>
      </c>
      <c r="AE226" s="2064">
        <f t="shared" si="189"/>
        <v>29449.200000000001</v>
      </c>
      <c r="AF226" s="2064">
        <f t="shared" si="189"/>
        <v>397261.1</v>
      </c>
      <c r="AG226" s="2064">
        <f t="shared" si="189"/>
        <v>1520116.6</v>
      </c>
      <c r="AH226" s="2064">
        <f t="shared" si="189"/>
        <v>1917377.7</v>
      </c>
      <c r="AI226" s="1922">
        <v>10425.5</v>
      </c>
      <c r="AJ226" s="1922">
        <v>112420.3</v>
      </c>
      <c r="AK226" s="1922">
        <v>36511.199999999997</v>
      </c>
      <c r="AL226" s="1922">
        <v>209.2</v>
      </c>
      <c r="AM226" s="1922">
        <f>1741742.7-10.32</f>
        <v>1741732.38</v>
      </c>
      <c r="AN226" s="1922">
        <v>17248.099999999999</v>
      </c>
      <c r="AO226" s="1922">
        <f t="shared" si="190"/>
        <v>1758980.48</v>
      </c>
      <c r="AP226" s="1922">
        <f t="shared" si="191"/>
        <v>70359.219200000007</v>
      </c>
      <c r="AQ226" s="1922">
        <f t="shared" si="192"/>
        <v>-3959.096000000005</v>
      </c>
      <c r="AR226" s="1922">
        <f>66401.8-1.6768</f>
        <v>66400.123200000002</v>
      </c>
      <c r="AS226" s="1922">
        <v>4810087.5999999996</v>
      </c>
      <c r="AT226" s="1922">
        <f t="shared" si="193"/>
        <v>339437.32319999998</v>
      </c>
      <c r="AU226" s="2046">
        <v>8528.7000000000007</v>
      </c>
      <c r="AV226" s="1922">
        <v>118004.1</v>
      </c>
      <c r="AW226" s="1922">
        <v>17537.900000000001</v>
      </c>
      <c r="AX226" s="1922">
        <v>336860.2</v>
      </c>
      <c r="AY226" s="1922">
        <f t="shared" si="194"/>
        <v>480930.90000000008</v>
      </c>
      <c r="AZ226" s="2076">
        <v>-4.91</v>
      </c>
      <c r="BA226" s="1289">
        <v>3.61</v>
      </c>
      <c r="BB226" s="1289">
        <v>2.35</v>
      </c>
      <c r="BC226" s="1289">
        <v>0.92</v>
      </c>
      <c r="BD226" s="1289">
        <v>-0.25</v>
      </c>
      <c r="BE226" s="1289" t="s">
        <v>288</v>
      </c>
      <c r="BF226" s="2047">
        <v>3824</v>
      </c>
      <c r="BG226" s="2047">
        <v>1541</v>
      </c>
      <c r="BH226" s="2047">
        <v>5794</v>
      </c>
      <c r="BI226" s="2047">
        <v>63</v>
      </c>
      <c r="BJ226" s="2047">
        <f t="shared" si="195"/>
        <v>11222</v>
      </c>
      <c r="BK226" s="1289">
        <f t="shared" si="196"/>
        <v>110.08451826565917</v>
      </c>
      <c r="BL226" s="1289">
        <f t="shared" si="197"/>
        <v>155.20694885047229</v>
      </c>
      <c r="BM226" s="1289">
        <f t="shared" si="198"/>
        <v>170.85882195687043</v>
      </c>
      <c r="BN226" s="1289">
        <f t="shared" si="199"/>
        <v>5.3678409079126164</v>
      </c>
      <c r="BO226" s="1289">
        <v>4</v>
      </c>
      <c r="BP226" s="1289">
        <v>4.55</v>
      </c>
      <c r="BQ226" s="1289">
        <v>7.89</v>
      </c>
      <c r="BR226" s="1289">
        <f t="shared" si="200"/>
        <v>3.34</v>
      </c>
      <c r="BS226" s="1289">
        <v>8.2100000000000009</v>
      </c>
      <c r="BT226" s="1289">
        <v>11.6</v>
      </c>
      <c r="BU226" s="1289">
        <f t="shared" si="201"/>
        <v>3.3899999999999988</v>
      </c>
    </row>
    <row r="227" spans="1:73" s="154" customFormat="1" ht="9.9499999999999993" customHeight="1" x14ac:dyDescent="0.2">
      <c r="A227" s="160" t="s">
        <v>2206</v>
      </c>
      <c r="B227" s="275" t="s">
        <v>555</v>
      </c>
      <c r="C227" s="1924">
        <v>272673.3</v>
      </c>
      <c r="D227" s="1924">
        <v>1837.9</v>
      </c>
      <c r="E227" s="1924">
        <f t="shared" si="180"/>
        <v>274511.2</v>
      </c>
      <c r="F227" s="1924">
        <v>26069.5</v>
      </c>
      <c r="G227" s="1924">
        <f t="shared" si="181"/>
        <v>248441.7</v>
      </c>
      <c r="H227" s="1924">
        <v>31132.7</v>
      </c>
      <c r="I227" s="1924">
        <v>103304.3</v>
      </c>
      <c r="J227" s="1924">
        <v>189802.5</v>
      </c>
      <c r="K227" s="1924">
        <v>1450684</v>
      </c>
      <c r="L227" s="1924">
        <f t="shared" si="182"/>
        <v>1640486.5</v>
      </c>
      <c r="M227" s="1924">
        <f t="shared" si="183"/>
        <v>1743790.8</v>
      </c>
      <c r="N227" s="1924">
        <v>494.9</v>
      </c>
      <c r="O227" s="1924">
        <v>340370.2</v>
      </c>
      <c r="P227" s="1924">
        <f t="shared" si="184"/>
        <v>438739.10000000003</v>
      </c>
      <c r="Q227" s="1924">
        <f t="shared" si="185"/>
        <v>1889423.1</v>
      </c>
      <c r="R227" s="1924">
        <v>2275869.5707889721</v>
      </c>
      <c r="S227" s="2050">
        <v>0</v>
      </c>
      <c r="T227" s="1924">
        <v>56092.2</v>
      </c>
      <c r="U227" s="1924">
        <v>1480303.8</v>
      </c>
      <c r="V227" s="1924">
        <f t="shared" si="186"/>
        <v>1536396</v>
      </c>
      <c r="W227" s="2050">
        <v>0</v>
      </c>
      <c r="X227" s="1924">
        <v>584.79999999999995</v>
      </c>
      <c r="Y227" s="1924">
        <v>27640.400000000001</v>
      </c>
      <c r="Z227" s="1924">
        <f t="shared" si="187"/>
        <v>28225.200000000001</v>
      </c>
      <c r="AA227" s="2066">
        <v>29263.1</v>
      </c>
      <c r="AB227" s="2066">
        <v>330892.09999999998</v>
      </c>
      <c r="AC227" s="2066">
        <v>28793.9</v>
      </c>
      <c r="AD227" s="2066">
        <f t="shared" si="188"/>
        <v>359686</v>
      </c>
      <c r="AE227" s="2066">
        <f t="shared" si="189"/>
        <v>29263.1</v>
      </c>
      <c r="AF227" s="2066">
        <f t="shared" si="189"/>
        <v>387569.1</v>
      </c>
      <c r="AG227" s="2066">
        <f t="shared" si="189"/>
        <v>1536738.0999999999</v>
      </c>
      <c r="AH227" s="2066">
        <f t="shared" si="189"/>
        <v>1924307.2</v>
      </c>
      <c r="AI227" s="1924">
        <v>11321.8</v>
      </c>
      <c r="AJ227" s="1924">
        <v>109362.1</v>
      </c>
      <c r="AK227" s="1924">
        <v>37855.199999999997</v>
      </c>
      <c r="AL227" s="1924">
        <v>186.9</v>
      </c>
      <c r="AM227" s="1924">
        <f>1743825-10.2</f>
        <v>1743814.8</v>
      </c>
      <c r="AN227" s="1924">
        <v>19593.2</v>
      </c>
      <c r="AO227" s="1924">
        <f t="shared" si="190"/>
        <v>1763408</v>
      </c>
      <c r="AP227" s="1924">
        <f t="shared" si="191"/>
        <v>70536.320000000007</v>
      </c>
      <c r="AQ227" s="1924">
        <f t="shared" si="192"/>
        <v>-5173.8074000000051</v>
      </c>
      <c r="AR227" s="1924">
        <f>65364.1-1.5874</f>
        <v>65362.512600000002</v>
      </c>
      <c r="AS227" s="1924">
        <v>4865130.9000000004</v>
      </c>
      <c r="AT227" s="1924">
        <f t="shared" si="193"/>
        <v>339873.71260000003</v>
      </c>
      <c r="AU227" s="2040">
        <v>19376</v>
      </c>
      <c r="AV227" s="1924">
        <v>112034.5</v>
      </c>
      <c r="AW227" s="1924">
        <v>17414.099999999999</v>
      </c>
      <c r="AX227" s="1924">
        <v>326435.7</v>
      </c>
      <c r="AY227" s="1924">
        <f t="shared" si="194"/>
        <v>475260.3</v>
      </c>
      <c r="AZ227" s="2074">
        <v>-6.03</v>
      </c>
      <c r="BA227" s="1267">
        <v>5.53</v>
      </c>
      <c r="BB227" s="1267">
        <v>3.46</v>
      </c>
      <c r="BC227" s="1267">
        <v>1.6</v>
      </c>
      <c r="BD227" s="1267">
        <v>0.12</v>
      </c>
      <c r="BE227" s="1267" t="s">
        <v>288</v>
      </c>
      <c r="BF227" s="2051">
        <v>3824</v>
      </c>
      <c r="BG227" s="2051">
        <v>1541</v>
      </c>
      <c r="BH227" s="2051">
        <v>5796</v>
      </c>
      <c r="BI227" s="2051">
        <v>63</v>
      </c>
      <c r="BJ227" s="2051">
        <f t="shared" si="195"/>
        <v>11224</v>
      </c>
      <c r="BK227" s="1267">
        <f t="shared" si="196"/>
        <v>110.3504340025099</v>
      </c>
      <c r="BL227" s="1267">
        <f t="shared" si="197"/>
        <v>155.36482537419815</v>
      </c>
      <c r="BM227" s="1267">
        <f t="shared" si="198"/>
        <v>171.44575908766927</v>
      </c>
      <c r="BN227" s="1267">
        <f t="shared" si="199"/>
        <v>5.2432180642118649</v>
      </c>
      <c r="BO227" s="1267">
        <v>4</v>
      </c>
      <c r="BP227" s="1267">
        <v>4.6399999999999997</v>
      </c>
      <c r="BQ227" s="1267">
        <v>7.99</v>
      </c>
      <c r="BR227" s="1267">
        <f t="shared" si="200"/>
        <v>3.3500000000000005</v>
      </c>
      <c r="BS227" s="1267">
        <v>8.34</v>
      </c>
      <c r="BT227" s="1267">
        <v>11.65</v>
      </c>
      <c r="BU227" s="1267">
        <f t="shared" si="201"/>
        <v>3.3100000000000005</v>
      </c>
    </row>
    <row r="228" spans="1:73" s="154" customFormat="1" ht="9.9499999999999993" customHeight="1" x14ac:dyDescent="0.2">
      <c r="A228" s="160" t="s">
        <v>2206</v>
      </c>
      <c r="B228" s="236" t="s">
        <v>548</v>
      </c>
      <c r="C228" s="1922">
        <v>277805.09999999998</v>
      </c>
      <c r="D228" s="1922">
        <v>1845.2</v>
      </c>
      <c r="E228" s="1922">
        <f t="shared" si="180"/>
        <v>279650.3</v>
      </c>
      <c r="F228" s="1922">
        <v>24790.1</v>
      </c>
      <c r="G228" s="1922">
        <f t="shared" si="181"/>
        <v>254860.19999999998</v>
      </c>
      <c r="H228" s="1922">
        <v>33188.699999999997</v>
      </c>
      <c r="I228" s="1922">
        <v>106330.8</v>
      </c>
      <c r="J228" s="1922">
        <v>196325.1</v>
      </c>
      <c r="K228" s="1922">
        <v>1457419.6</v>
      </c>
      <c r="L228" s="1922">
        <f t="shared" si="182"/>
        <v>1653744.7000000002</v>
      </c>
      <c r="M228" s="1922">
        <f t="shared" si="183"/>
        <v>1760075.5000000002</v>
      </c>
      <c r="N228" s="1922">
        <v>542.9</v>
      </c>
      <c r="O228" s="1922">
        <v>372315.6</v>
      </c>
      <c r="P228" s="1922">
        <f t="shared" si="184"/>
        <v>451728.2</v>
      </c>
      <c r="Q228" s="1922">
        <f t="shared" si="185"/>
        <v>1909147.8</v>
      </c>
      <c r="R228" s="1922">
        <v>2294308.5875018351</v>
      </c>
      <c r="S228" s="1037">
        <v>0</v>
      </c>
      <c r="T228" s="1922">
        <v>58498.400000000001</v>
      </c>
      <c r="U228" s="1922">
        <v>1503198.2</v>
      </c>
      <c r="V228" s="1922">
        <f t="shared" si="186"/>
        <v>1561696.5999999999</v>
      </c>
      <c r="W228" s="1037">
        <v>0</v>
      </c>
      <c r="X228" s="1922">
        <v>566.79999999999995</v>
      </c>
      <c r="Y228" s="1922">
        <v>30292.3</v>
      </c>
      <c r="Z228" s="1922">
        <f t="shared" si="187"/>
        <v>30859.1</v>
      </c>
      <c r="AA228" s="2064">
        <v>28238.6</v>
      </c>
      <c r="AB228" s="2064">
        <v>327304.8</v>
      </c>
      <c r="AC228" s="2064">
        <v>28789.4</v>
      </c>
      <c r="AD228" s="2064">
        <f t="shared" si="188"/>
        <v>356094.2</v>
      </c>
      <c r="AE228" s="2064">
        <f t="shared" si="189"/>
        <v>28238.6</v>
      </c>
      <c r="AF228" s="2064">
        <f t="shared" si="189"/>
        <v>386370</v>
      </c>
      <c r="AG228" s="2064">
        <f t="shared" si="189"/>
        <v>1562279.9</v>
      </c>
      <c r="AH228" s="2064">
        <f t="shared" si="189"/>
        <v>1948649.9</v>
      </c>
      <c r="AI228" s="1922">
        <v>12904.3</v>
      </c>
      <c r="AJ228" s="1922">
        <v>129649.60000000001</v>
      </c>
      <c r="AK228" s="1922">
        <v>36771.800000000003</v>
      </c>
      <c r="AL228" s="1922">
        <v>167.2</v>
      </c>
      <c r="AM228" s="1922">
        <f>1760109.9-10.18</f>
        <v>1760099.72</v>
      </c>
      <c r="AN228" s="1922">
        <v>18604.3</v>
      </c>
      <c r="AO228" s="1922">
        <f t="shared" si="190"/>
        <v>1778704.02</v>
      </c>
      <c r="AP228" s="1922">
        <f t="shared" si="191"/>
        <v>71148.160799999998</v>
      </c>
      <c r="AQ228" s="1922">
        <f t="shared" si="192"/>
        <v>20973.362800000003</v>
      </c>
      <c r="AR228" s="1922">
        <f>92122.4-0.8764</f>
        <v>92121.5236</v>
      </c>
      <c r="AS228" s="1922">
        <v>4635167.9000000004</v>
      </c>
      <c r="AT228" s="1922">
        <f t="shared" si="193"/>
        <v>371771.8236</v>
      </c>
      <c r="AU228" s="2046">
        <v>20149.8</v>
      </c>
      <c r="AV228" s="1922">
        <v>105347.5</v>
      </c>
      <c r="AW228" s="1922">
        <v>18706.7</v>
      </c>
      <c r="AX228" s="1922">
        <v>322971.5</v>
      </c>
      <c r="AY228" s="1922">
        <f t="shared" si="194"/>
        <v>467175.5</v>
      </c>
      <c r="AZ228" s="2076">
        <v>-9.2100000000000009</v>
      </c>
      <c r="BA228" s="1289">
        <v>8.26</v>
      </c>
      <c r="BB228" s="1289">
        <v>5.1100000000000003</v>
      </c>
      <c r="BC228" s="1289">
        <v>2.31</v>
      </c>
      <c r="BD228" s="1289">
        <v>1.1599999999999999</v>
      </c>
      <c r="BE228" s="1289" t="s">
        <v>288</v>
      </c>
      <c r="BF228" s="2047">
        <v>3834</v>
      </c>
      <c r="BG228" s="2047">
        <v>1541</v>
      </c>
      <c r="BH228" s="2047">
        <v>5845</v>
      </c>
      <c r="BI228" s="2047">
        <v>63</v>
      </c>
      <c r="BJ228" s="2047">
        <f t="shared" si="195"/>
        <v>11283</v>
      </c>
      <c r="BK228" s="1289">
        <f t="shared" si="196"/>
        <v>110.71247145019716</v>
      </c>
      <c r="BL228" s="1289">
        <f t="shared" si="197"/>
        <v>155.99572099618896</v>
      </c>
      <c r="BM228" s="1289">
        <f t="shared" si="198"/>
        <v>172.70671807143489</v>
      </c>
      <c r="BN228" s="1289">
        <f t="shared" si="199"/>
        <v>6.6423295380104941</v>
      </c>
      <c r="BO228" s="1289">
        <v>4</v>
      </c>
      <c r="BP228" s="1289">
        <v>4.7</v>
      </c>
      <c r="BQ228" s="1289">
        <v>9.36</v>
      </c>
      <c r="BR228" s="1289">
        <f>BQ228-BP228</f>
        <v>4.6599999999999993</v>
      </c>
      <c r="BS228" s="1289">
        <v>8.4499999999999993</v>
      </c>
      <c r="BT228" s="1289">
        <v>11.68</v>
      </c>
      <c r="BU228" s="1289">
        <f t="shared" si="201"/>
        <v>3.2300000000000004</v>
      </c>
    </row>
    <row r="229" spans="1:73" s="154" customFormat="1" ht="9.9499999999999993" customHeight="1" x14ac:dyDescent="0.2">
      <c r="A229" s="160" t="s">
        <v>2206</v>
      </c>
      <c r="B229" s="275" t="s">
        <v>556</v>
      </c>
      <c r="C229" s="1924">
        <v>280636.5</v>
      </c>
      <c r="D229" s="1924">
        <v>1853.6</v>
      </c>
      <c r="E229" s="1924">
        <f t="shared" si="180"/>
        <v>282490.09999999998</v>
      </c>
      <c r="F229" s="1924">
        <v>25194.799999999999</v>
      </c>
      <c r="G229" s="1924">
        <f t="shared" si="181"/>
        <v>257295.3</v>
      </c>
      <c r="H229" s="1924">
        <v>30245.599999999999</v>
      </c>
      <c r="I229" s="1924">
        <v>103949.5</v>
      </c>
      <c r="J229" s="1924">
        <v>185736.1</v>
      </c>
      <c r="K229" s="1924">
        <v>1459311.4</v>
      </c>
      <c r="L229" s="1924">
        <f t="shared" si="182"/>
        <v>1645047.5</v>
      </c>
      <c r="M229" s="1924">
        <f t="shared" si="183"/>
        <v>1748997</v>
      </c>
      <c r="N229" s="1924">
        <v>537.5</v>
      </c>
      <c r="O229" s="1924">
        <v>347365.69999999995</v>
      </c>
      <c r="P229" s="1924">
        <f t="shared" si="184"/>
        <v>443568.9</v>
      </c>
      <c r="Q229" s="1924">
        <f t="shared" si="185"/>
        <v>1902880.2999999998</v>
      </c>
      <c r="R229" s="1924">
        <v>2287451.5803781524</v>
      </c>
      <c r="S229" s="2050">
        <v>0</v>
      </c>
      <c r="T229" s="1924">
        <v>55828.5</v>
      </c>
      <c r="U229" s="1924">
        <v>1500025.9</v>
      </c>
      <c r="V229" s="1924">
        <f t="shared" si="186"/>
        <v>1555854.4</v>
      </c>
      <c r="W229" s="2050">
        <v>0</v>
      </c>
      <c r="X229" s="1924">
        <v>558</v>
      </c>
      <c r="Y229" s="1924">
        <v>30946</v>
      </c>
      <c r="Z229" s="1924">
        <f t="shared" si="187"/>
        <v>31504</v>
      </c>
      <c r="AA229" s="2066">
        <v>27919.599999999999</v>
      </c>
      <c r="AB229" s="2066">
        <v>343558.2</v>
      </c>
      <c r="AC229" s="2066">
        <v>28663</v>
      </c>
      <c r="AD229" s="2066">
        <f t="shared" si="188"/>
        <v>372221.2</v>
      </c>
      <c r="AE229" s="2066">
        <f t="shared" si="189"/>
        <v>27919.599999999999</v>
      </c>
      <c r="AF229" s="2066">
        <f t="shared" si="189"/>
        <v>399944.7</v>
      </c>
      <c r="AG229" s="2066">
        <f t="shared" si="189"/>
        <v>1559634.9</v>
      </c>
      <c r="AH229" s="2066">
        <f t="shared" si="189"/>
        <v>1959579.5999999999</v>
      </c>
      <c r="AI229" s="1924">
        <v>13141.7</v>
      </c>
      <c r="AJ229" s="1924">
        <v>123514.6</v>
      </c>
      <c r="AK229" s="1924">
        <v>36968.5</v>
      </c>
      <c r="AL229" s="1924">
        <v>582</v>
      </c>
      <c r="AM229" s="1924">
        <f>1749031.8-12.08</f>
        <v>1749019.72</v>
      </c>
      <c r="AN229" s="1924">
        <v>16784.5</v>
      </c>
      <c r="AO229" s="1924">
        <f t="shared" si="190"/>
        <v>1765804.22</v>
      </c>
      <c r="AP229" s="1924">
        <f t="shared" si="191"/>
        <v>70632.168799999999</v>
      </c>
      <c r="AQ229" s="1924">
        <f t="shared" si="192"/>
        <v>-6296.6644000000015</v>
      </c>
      <c r="AR229" s="1924">
        <f>64338.1-2.5956</f>
        <v>64335.504399999998</v>
      </c>
      <c r="AS229" s="1924">
        <v>4646261.9000000004</v>
      </c>
      <c r="AT229" s="1924">
        <f t="shared" si="193"/>
        <v>346825.60439999995</v>
      </c>
      <c r="AU229" s="2040">
        <v>21184.3</v>
      </c>
      <c r="AV229" s="1924">
        <v>103203.8</v>
      </c>
      <c r="AW229" s="1924">
        <v>16928.2</v>
      </c>
      <c r="AX229" s="1924">
        <v>339448.5</v>
      </c>
      <c r="AY229" s="1924">
        <f t="shared" si="194"/>
        <v>480764.8</v>
      </c>
      <c r="AZ229" s="2074">
        <v>-5.0599999999999996</v>
      </c>
      <c r="BA229" s="1267">
        <v>5.71</v>
      </c>
      <c r="BB229" s="1267">
        <v>4.93</v>
      </c>
      <c r="BC229" s="1267">
        <v>2.94</v>
      </c>
      <c r="BD229" s="1267">
        <v>0.83</v>
      </c>
      <c r="BE229" s="1267" t="s">
        <v>288</v>
      </c>
      <c r="BF229" s="2051">
        <v>3835</v>
      </c>
      <c r="BG229" s="2051">
        <v>1541</v>
      </c>
      <c r="BH229" s="2051">
        <v>5845</v>
      </c>
      <c r="BI229" s="2051">
        <v>63</v>
      </c>
      <c r="BJ229" s="2051">
        <f t="shared" si="195"/>
        <v>11284</v>
      </c>
      <c r="BK229" s="1267">
        <f t="shared" si="196"/>
        <v>112.03873676164153</v>
      </c>
      <c r="BL229" s="1267">
        <f t="shared" si="197"/>
        <v>154.99997518610422</v>
      </c>
      <c r="BM229" s="1267">
        <f t="shared" si="198"/>
        <v>173.660014179369</v>
      </c>
      <c r="BN229" s="1267">
        <f t="shared" si="199"/>
        <v>5.1188847887890017</v>
      </c>
      <c r="BO229" s="1267">
        <v>4</v>
      </c>
      <c r="BP229" s="1267">
        <v>4.92</v>
      </c>
      <c r="BQ229" s="1267">
        <v>9.75</v>
      </c>
      <c r="BR229" s="1267">
        <f t="shared" si="200"/>
        <v>4.83</v>
      </c>
      <c r="BS229" s="1267">
        <v>8.65</v>
      </c>
      <c r="BT229" s="1267">
        <v>11.77</v>
      </c>
      <c r="BU229" s="1267">
        <f t="shared" si="201"/>
        <v>3.1199999999999992</v>
      </c>
    </row>
    <row r="230" spans="1:73" s="154" customFormat="1" ht="9.9499999999999993" customHeight="1" x14ac:dyDescent="0.2">
      <c r="A230" s="160" t="s">
        <v>2206</v>
      </c>
      <c r="B230" s="236" t="s">
        <v>557</v>
      </c>
      <c r="C230" s="1922">
        <v>282559.59999999998</v>
      </c>
      <c r="D230" s="1922">
        <v>1861.3</v>
      </c>
      <c r="E230" s="1922">
        <f t="shared" si="180"/>
        <v>284420.89999999997</v>
      </c>
      <c r="F230" s="1922">
        <v>26846.400000000001</v>
      </c>
      <c r="G230" s="1922">
        <f t="shared" si="181"/>
        <v>257574.49999999997</v>
      </c>
      <c r="H230" s="1922">
        <v>31185.599999999999</v>
      </c>
      <c r="I230" s="1922">
        <v>104320.5</v>
      </c>
      <c r="J230" s="1922">
        <v>190167.7</v>
      </c>
      <c r="K230" s="1922">
        <v>1471481.6</v>
      </c>
      <c r="L230" s="1922">
        <f t="shared" si="182"/>
        <v>1661649.3</v>
      </c>
      <c r="M230" s="1922">
        <f t="shared" si="183"/>
        <v>1765969.8</v>
      </c>
      <c r="N230" s="1922">
        <v>581.79999999999995</v>
      </c>
      <c r="O230" s="1922">
        <v>352858.3</v>
      </c>
      <c r="P230" s="1922">
        <f t="shared" si="184"/>
        <v>448323.99999999994</v>
      </c>
      <c r="Q230" s="1922">
        <f t="shared" si="185"/>
        <v>1919805.6</v>
      </c>
      <c r="R230" s="1922">
        <v>2303106.3518035202</v>
      </c>
      <c r="S230" s="1037">
        <v>0</v>
      </c>
      <c r="T230" s="1922">
        <v>55807.7</v>
      </c>
      <c r="U230" s="1922">
        <v>1507467.7</v>
      </c>
      <c r="V230" s="1922">
        <f t="shared" si="186"/>
        <v>1563275.4</v>
      </c>
      <c r="W230" s="1037">
        <v>0</v>
      </c>
      <c r="X230" s="1922">
        <v>535.29999999999995</v>
      </c>
      <c r="Y230" s="1922">
        <v>32203.7</v>
      </c>
      <c r="Z230" s="1922">
        <f t="shared" si="187"/>
        <v>32739</v>
      </c>
      <c r="AA230" s="2064">
        <v>27808.3</v>
      </c>
      <c r="AB230" s="2064">
        <v>358363.4</v>
      </c>
      <c r="AC230" s="2064">
        <v>28819.8</v>
      </c>
      <c r="AD230" s="2064">
        <f t="shared" si="188"/>
        <v>387183.2</v>
      </c>
      <c r="AE230" s="2064">
        <f t="shared" si="189"/>
        <v>27808.3</v>
      </c>
      <c r="AF230" s="2064">
        <f t="shared" si="189"/>
        <v>414706.4</v>
      </c>
      <c r="AG230" s="2064">
        <f t="shared" si="189"/>
        <v>1568491.2</v>
      </c>
      <c r="AH230" s="2064">
        <f t="shared" si="189"/>
        <v>1983197.5999999999</v>
      </c>
      <c r="AI230" s="1922">
        <v>13189.5</v>
      </c>
      <c r="AJ230" s="1922">
        <v>131770.70000000001</v>
      </c>
      <c r="AK230" s="1922">
        <v>36115.4</v>
      </c>
      <c r="AL230" s="1922">
        <v>888.3</v>
      </c>
      <c r="AM230" s="1922">
        <f>1766004.3-8.96</f>
        <v>1765995.34</v>
      </c>
      <c r="AN230" s="1922">
        <v>16674.900000000001</v>
      </c>
      <c r="AO230" s="1922">
        <f t="shared" si="190"/>
        <v>1782670.24</v>
      </c>
      <c r="AP230" s="1922">
        <f t="shared" si="191"/>
        <v>71306.809600000008</v>
      </c>
      <c r="AQ230" s="1922">
        <f t="shared" si="192"/>
        <v>-3452.4795000000013</v>
      </c>
      <c r="AR230" s="1922">
        <f>67855.6-1.2699</f>
        <v>67854.330100000006</v>
      </c>
      <c r="AS230" s="1922">
        <v>4726438.0999999996</v>
      </c>
      <c r="AT230" s="1922">
        <f t="shared" si="193"/>
        <v>352275.23009999999</v>
      </c>
      <c r="AU230" s="2046">
        <v>20425.599999999999</v>
      </c>
      <c r="AV230" s="1922">
        <v>101665</v>
      </c>
      <c r="AW230" s="1922">
        <v>16955.900000000001</v>
      </c>
      <c r="AX230" s="1922">
        <v>354263</v>
      </c>
      <c r="AY230" s="1922">
        <f t="shared" si="194"/>
        <v>493309.5</v>
      </c>
      <c r="AZ230" s="2076">
        <v>-2.0299999999999998</v>
      </c>
      <c r="BA230" s="1289">
        <v>5.55</v>
      </c>
      <c r="BB230" s="1289">
        <v>5.53</v>
      </c>
      <c r="BC230" s="1289">
        <v>4.01</v>
      </c>
      <c r="BD230" s="1289">
        <v>1.73</v>
      </c>
      <c r="BE230" s="1289" t="s">
        <v>288</v>
      </c>
      <c r="BF230" s="2047">
        <v>3835</v>
      </c>
      <c r="BG230" s="2047">
        <v>1541</v>
      </c>
      <c r="BH230" s="2047">
        <v>5849</v>
      </c>
      <c r="BI230" s="2047">
        <v>63</v>
      </c>
      <c r="BJ230" s="2047">
        <f t="shared" si="195"/>
        <v>11288</v>
      </c>
      <c r="BK230" s="1289">
        <f t="shared" si="196"/>
        <v>112.29914117440423</v>
      </c>
      <c r="BL230" s="1289">
        <f t="shared" si="197"/>
        <v>156.44891389085757</v>
      </c>
      <c r="BM230" s="1289">
        <f t="shared" si="198"/>
        <v>175.6907866761162</v>
      </c>
      <c r="BN230" s="1289">
        <f t="shared" si="199"/>
        <v>5.362456398101255</v>
      </c>
      <c r="BO230" s="1289">
        <v>4</v>
      </c>
      <c r="BP230" s="1289">
        <v>5.01</v>
      </c>
      <c r="BQ230" s="1289">
        <v>10.050000000000001</v>
      </c>
      <c r="BR230" s="1289">
        <f t="shared" si="200"/>
        <v>5.0400000000000009</v>
      </c>
      <c r="BS230" s="1289">
        <v>8.9600000000000009</v>
      </c>
      <c r="BT230" s="1289">
        <v>12.02</v>
      </c>
      <c r="BU230" s="1289">
        <f t="shared" si="201"/>
        <v>3.0599999999999987</v>
      </c>
    </row>
    <row r="231" spans="1:73" s="154" customFormat="1" ht="9.9499999999999993" customHeight="1" x14ac:dyDescent="0.2">
      <c r="A231" s="160" t="s">
        <v>2206</v>
      </c>
      <c r="B231" s="275" t="s">
        <v>549</v>
      </c>
      <c r="C231" s="1924">
        <v>289310.8</v>
      </c>
      <c r="D231" s="1924">
        <v>1878.5</v>
      </c>
      <c r="E231" s="1924">
        <f t="shared" si="180"/>
        <v>291189.3</v>
      </c>
      <c r="F231" s="1924">
        <v>29994</v>
      </c>
      <c r="G231" s="1924">
        <f t="shared" si="181"/>
        <v>261195.3</v>
      </c>
      <c r="H231" s="1924">
        <v>31367.5</v>
      </c>
      <c r="I231" s="1924">
        <v>104450.6</v>
      </c>
      <c r="J231" s="1924">
        <v>193626.1</v>
      </c>
      <c r="K231" s="1924">
        <v>1481866.8</v>
      </c>
      <c r="L231" s="1924">
        <f t="shared" si="182"/>
        <v>1675492.9000000001</v>
      </c>
      <c r="M231" s="1924">
        <f t="shared" si="183"/>
        <v>1779943.5000000002</v>
      </c>
      <c r="N231" s="1924">
        <v>553.70000000000005</v>
      </c>
      <c r="O231" s="1924">
        <v>356789.2</v>
      </c>
      <c r="P231" s="1924">
        <f t="shared" si="184"/>
        <v>455375.10000000003</v>
      </c>
      <c r="Q231" s="1924">
        <f t="shared" si="185"/>
        <v>1937241.9000000001</v>
      </c>
      <c r="R231" s="1924">
        <v>2319243.1104903002</v>
      </c>
      <c r="S231" s="2050">
        <v>0</v>
      </c>
      <c r="T231" s="1924">
        <v>56313.3</v>
      </c>
      <c r="U231" s="1924">
        <v>1527467.1</v>
      </c>
      <c r="V231" s="1924">
        <f t="shared" si="186"/>
        <v>1583780.4000000001</v>
      </c>
      <c r="W231" s="2050">
        <v>0</v>
      </c>
      <c r="X231" s="1924">
        <v>525.79999999999995</v>
      </c>
      <c r="Y231" s="1924">
        <v>33867.1</v>
      </c>
      <c r="Z231" s="1924">
        <f t="shared" si="187"/>
        <v>34392.9</v>
      </c>
      <c r="AA231" s="2066">
        <v>27816</v>
      </c>
      <c r="AB231" s="2066">
        <v>364214.6</v>
      </c>
      <c r="AC231" s="2066">
        <v>28665.8</v>
      </c>
      <c r="AD231" s="2066">
        <f t="shared" si="188"/>
        <v>392880.39999999997</v>
      </c>
      <c r="AE231" s="2066">
        <f t="shared" si="189"/>
        <v>27816</v>
      </c>
      <c r="AF231" s="2066">
        <f t="shared" si="189"/>
        <v>421053.69999999995</v>
      </c>
      <c r="AG231" s="2066">
        <f t="shared" si="189"/>
        <v>1590000.0000000002</v>
      </c>
      <c r="AH231" s="2066">
        <f t="shared" si="189"/>
        <v>2011053.7</v>
      </c>
      <c r="AI231" s="1924">
        <v>13251.9</v>
      </c>
      <c r="AJ231" s="1924">
        <v>135771.9</v>
      </c>
      <c r="AK231" s="1924">
        <v>35115</v>
      </c>
      <c r="AL231" s="1924">
        <v>227.2</v>
      </c>
      <c r="AM231" s="1924">
        <f>1779980.1-9.21</f>
        <v>1779970.8900000001</v>
      </c>
      <c r="AN231" s="1924">
        <v>16156.8</v>
      </c>
      <c r="AO231" s="1924">
        <f t="shared" si="190"/>
        <v>1796127.6900000002</v>
      </c>
      <c r="AP231" s="1924">
        <f t="shared" si="191"/>
        <v>71845.107600000003</v>
      </c>
      <c r="AQ231" s="1924">
        <f t="shared" si="192"/>
        <v>-6800.0108000000037</v>
      </c>
      <c r="AR231" s="1924">
        <f>65046.2-1.1032</f>
        <v>65045.096799999999</v>
      </c>
      <c r="AS231" s="1924">
        <v>4821467.8</v>
      </c>
      <c r="AT231" s="1924">
        <f t="shared" si="193"/>
        <v>356234.39679999999</v>
      </c>
      <c r="AU231" s="2040">
        <v>30535.599999999999</v>
      </c>
      <c r="AV231" s="1924">
        <v>95919.4</v>
      </c>
      <c r="AW231" s="1924">
        <v>17595.900000000001</v>
      </c>
      <c r="AX231" s="1924">
        <v>360126.8</v>
      </c>
      <c r="AY231" s="1924">
        <f t="shared" si="194"/>
        <v>504177.69999999995</v>
      </c>
      <c r="AZ231" s="2074">
        <v>0.79</v>
      </c>
      <c r="BA231" s="1267">
        <v>5.21</v>
      </c>
      <c r="BB231" s="1267">
        <v>6.98</v>
      </c>
      <c r="BC231" s="1267">
        <v>5.69</v>
      </c>
      <c r="BD231" s="1267">
        <v>2.65</v>
      </c>
      <c r="BE231" s="1267" t="s">
        <v>288</v>
      </c>
      <c r="BF231" s="2051">
        <v>3835</v>
      </c>
      <c r="BG231" s="2051">
        <v>1541</v>
      </c>
      <c r="BH231" s="2051">
        <v>5850</v>
      </c>
      <c r="BI231" s="2051">
        <v>63</v>
      </c>
      <c r="BJ231" s="2051">
        <f t="shared" si="195"/>
        <v>11289</v>
      </c>
      <c r="BK231" s="1267">
        <f t="shared" si="196"/>
        <v>112.98239265025283</v>
      </c>
      <c r="BL231" s="1267">
        <f t="shared" si="197"/>
        <v>157.67303481264949</v>
      </c>
      <c r="BM231" s="1267">
        <f t="shared" si="198"/>
        <v>178.14276729559748</v>
      </c>
      <c r="BN231" s="1267">
        <f t="shared" si="199"/>
        <v>5.3393624206966663</v>
      </c>
      <c r="BO231" s="1267">
        <v>4</v>
      </c>
      <c r="BP231" s="1267">
        <v>5.17</v>
      </c>
      <c r="BQ231" s="1267">
        <v>10.36</v>
      </c>
      <c r="BR231" s="1267">
        <f t="shared" si="200"/>
        <v>5.1899999999999995</v>
      </c>
      <c r="BS231" s="1267">
        <v>9.19</v>
      </c>
      <c r="BT231" s="1267">
        <v>12.16</v>
      </c>
      <c r="BU231" s="1267">
        <f t="shared" si="201"/>
        <v>2.9700000000000006</v>
      </c>
    </row>
    <row r="232" spans="1:73" s="154" customFormat="1" ht="9.9499999999999993" customHeight="1" x14ac:dyDescent="0.2">
      <c r="A232" s="160" t="s">
        <v>2206</v>
      </c>
      <c r="B232" s="236" t="s">
        <v>558</v>
      </c>
      <c r="C232" s="1922">
        <v>288919.09999999998</v>
      </c>
      <c r="D232" s="1922">
        <v>1890.3</v>
      </c>
      <c r="E232" s="1922">
        <f t="shared" si="180"/>
        <v>290809.39999999997</v>
      </c>
      <c r="F232" s="1922">
        <v>26460.1</v>
      </c>
      <c r="G232" s="1922">
        <f t="shared" si="181"/>
        <v>264349.3</v>
      </c>
      <c r="H232" s="1922">
        <v>32475.5</v>
      </c>
      <c r="I232" s="1922">
        <v>103962.5</v>
      </c>
      <c r="J232" s="1922">
        <v>190035.5</v>
      </c>
      <c r="K232" s="1922">
        <v>1491903.5</v>
      </c>
      <c r="L232" s="1922">
        <f t="shared" si="182"/>
        <v>1681939</v>
      </c>
      <c r="M232" s="1922">
        <f t="shared" si="183"/>
        <v>1785901.5</v>
      </c>
      <c r="N232" s="1922">
        <v>543.79999999999995</v>
      </c>
      <c r="O232" s="1922">
        <v>356710.2</v>
      </c>
      <c r="P232" s="1922">
        <f t="shared" si="184"/>
        <v>454928.6</v>
      </c>
      <c r="Q232" s="1922">
        <f t="shared" si="185"/>
        <v>1946832.1</v>
      </c>
      <c r="R232" s="1922">
        <v>2326770.6016235701</v>
      </c>
      <c r="S232" s="1037">
        <v>0</v>
      </c>
      <c r="T232" s="1922">
        <v>57001.1</v>
      </c>
      <c r="U232" s="1922">
        <v>1529439.7</v>
      </c>
      <c r="V232" s="1922">
        <f t="shared" si="186"/>
        <v>1586440.8</v>
      </c>
      <c r="W232" s="1037">
        <v>0</v>
      </c>
      <c r="X232" s="1922">
        <v>525</v>
      </c>
      <c r="Y232" s="1922">
        <v>34839.5</v>
      </c>
      <c r="Z232" s="1922">
        <f t="shared" si="187"/>
        <v>35364.5</v>
      </c>
      <c r="AA232" s="2064">
        <v>27724.7</v>
      </c>
      <c r="AB232" s="2064">
        <v>379061</v>
      </c>
      <c r="AC232" s="2064">
        <v>28915.4</v>
      </c>
      <c r="AD232" s="2064">
        <f t="shared" si="188"/>
        <v>407976.4</v>
      </c>
      <c r="AE232" s="2064">
        <f t="shared" si="189"/>
        <v>27724.7</v>
      </c>
      <c r="AF232" s="2064">
        <f t="shared" si="189"/>
        <v>436587.1</v>
      </c>
      <c r="AG232" s="2064">
        <f t="shared" si="189"/>
        <v>1593194.5999999999</v>
      </c>
      <c r="AH232" s="2064">
        <f t="shared" si="189"/>
        <v>2029781.7000000002</v>
      </c>
      <c r="AI232" s="1922">
        <v>13928.8</v>
      </c>
      <c r="AJ232" s="1922">
        <v>138960.6</v>
      </c>
      <c r="AK232" s="1922">
        <v>35317</v>
      </c>
      <c r="AL232" s="1922">
        <v>197.1</v>
      </c>
      <c r="AM232" s="1922">
        <f>1785939.1-9.2</f>
        <v>1785929.9000000001</v>
      </c>
      <c r="AN232" s="1922">
        <v>17264.400000000001</v>
      </c>
      <c r="AO232" s="1922">
        <f t="shared" si="190"/>
        <v>1803194.3</v>
      </c>
      <c r="AP232" s="1922">
        <f t="shared" si="191"/>
        <v>72127.771999999997</v>
      </c>
      <c r="AQ232" s="1922">
        <f t="shared" si="192"/>
        <v>-6771.9316999999937</v>
      </c>
      <c r="AR232" s="1922">
        <f>65357-1.1597</f>
        <v>65355.840300000003</v>
      </c>
      <c r="AS232" s="1922">
        <v>4906493.3</v>
      </c>
      <c r="AT232" s="1922">
        <f t="shared" si="193"/>
        <v>356165.24029999995</v>
      </c>
      <c r="AU232" s="2046">
        <v>42024.4</v>
      </c>
      <c r="AV232" s="1922">
        <v>93946</v>
      </c>
      <c r="AW232" s="1922">
        <v>17938.900000000001</v>
      </c>
      <c r="AX232" s="1922">
        <v>374999.8</v>
      </c>
      <c r="AY232" s="1922">
        <f t="shared" si="194"/>
        <v>528909.1</v>
      </c>
      <c r="AZ232" s="2076">
        <v>7.18</v>
      </c>
      <c r="BA232" s="1289">
        <v>5.93</v>
      </c>
      <c r="BB232" s="1289">
        <v>7.19</v>
      </c>
      <c r="BC232" s="1289">
        <v>7.16</v>
      </c>
      <c r="BD232" s="1289">
        <v>3.16</v>
      </c>
      <c r="BE232" s="1289" t="s">
        <v>288</v>
      </c>
      <c r="BF232" s="2047">
        <v>3835</v>
      </c>
      <c r="BG232" s="2047">
        <v>1541</v>
      </c>
      <c r="BH232" s="2047">
        <v>5851</v>
      </c>
      <c r="BI232" s="2047">
        <v>63</v>
      </c>
      <c r="BJ232" s="2047">
        <f t="shared" si="195"/>
        <v>11290</v>
      </c>
      <c r="BK232" s="1289">
        <f t="shared" si="196"/>
        <v>113.65405215512658</v>
      </c>
      <c r="BL232" s="1289">
        <f t="shared" si="197"/>
        <v>158.1868821966342</v>
      </c>
      <c r="BM232" s="1289">
        <f t="shared" si="198"/>
        <v>179.78580159433128</v>
      </c>
      <c r="BN232" s="1289">
        <f t="shared" si="199"/>
        <v>5.1410719032141179</v>
      </c>
      <c r="BO232" s="1289">
        <v>4</v>
      </c>
      <c r="BP232" s="1289">
        <v>5.3</v>
      </c>
      <c r="BQ232" s="1289">
        <v>10.53</v>
      </c>
      <c r="BR232" s="1289">
        <f t="shared" si="200"/>
        <v>5.2299999999999995</v>
      </c>
      <c r="BS232" s="1289">
        <v>9.43</v>
      </c>
      <c r="BT232" s="1289">
        <v>12.41</v>
      </c>
      <c r="BU232" s="1289">
        <f t="shared" si="201"/>
        <v>2.9800000000000004</v>
      </c>
    </row>
    <row r="233" spans="1:73" s="154" customFormat="1" ht="9.9499999999999993" customHeight="1" x14ac:dyDescent="0.2">
      <c r="A233" s="160" t="s">
        <v>2206</v>
      </c>
      <c r="B233" s="275" t="s">
        <v>559</v>
      </c>
      <c r="C233" s="1924">
        <v>292185.59999999998</v>
      </c>
      <c r="D233" s="1924">
        <v>1897.4</v>
      </c>
      <c r="E233" s="1924">
        <f t="shared" si="180"/>
        <v>294083</v>
      </c>
      <c r="F233" s="1924">
        <v>23424.1</v>
      </c>
      <c r="G233" s="1924">
        <f t="shared" si="181"/>
        <v>270658.90000000002</v>
      </c>
      <c r="H233" s="1924">
        <v>31960.6</v>
      </c>
      <c r="I233" s="1924">
        <v>104586.1</v>
      </c>
      <c r="J233" s="1924">
        <v>186847.5</v>
      </c>
      <c r="K233" s="1924">
        <v>1513760.9</v>
      </c>
      <c r="L233" s="1924">
        <f t="shared" si="182"/>
        <v>1700608.4</v>
      </c>
      <c r="M233" s="1924">
        <f t="shared" si="183"/>
        <v>1805194.5</v>
      </c>
      <c r="N233" s="1924">
        <v>537.20000000000005</v>
      </c>
      <c r="O233" s="1924">
        <v>360751.7</v>
      </c>
      <c r="P233" s="1924">
        <f t="shared" si="184"/>
        <v>458043.60000000003</v>
      </c>
      <c r="Q233" s="1924">
        <f t="shared" si="185"/>
        <v>1971804.5</v>
      </c>
      <c r="R233" s="1924">
        <v>2348184.175212421</v>
      </c>
      <c r="S233" s="2050">
        <v>0</v>
      </c>
      <c r="T233" s="1924">
        <v>58181.5</v>
      </c>
      <c r="U233" s="1924">
        <v>1547441.5</v>
      </c>
      <c r="V233" s="1924">
        <f t="shared" si="186"/>
        <v>1605623</v>
      </c>
      <c r="W233" s="2050">
        <v>0</v>
      </c>
      <c r="X233" s="1924">
        <v>522.70000000000005</v>
      </c>
      <c r="Y233" s="1924">
        <v>37459</v>
      </c>
      <c r="Z233" s="1924">
        <f t="shared" si="187"/>
        <v>37981.699999999997</v>
      </c>
      <c r="AA233" s="2066">
        <v>27815.1</v>
      </c>
      <c r="AB233" s="2066">
        <v>384371.4</v>
      </c>
      <c r="AC233" s="2066">
        <v>28804.400000000001</v>
      </c>
      <c r="AD233" s="2066">
        <f t="shared" si="188"/>
        <v>413175.80000000005</v>
      </c>
      <c r="AE233" s="2066">
        <f t="shared" si="189"/>
        <v>27815.1</v>
      </c>
      <c r="AF233" s="2066">
        <f t="shared" si="189"/>
        <v>443075.60000000003</v>
      </c>
      <c r="AG233" s="2066">
        <f t="shared" si="189"/>
        <v>1613704.9</v>
      </c>
      <c r="AH233" s="2066">
        <f t="shared" si="189"/>
        <v>2056780.5</v>
      </c>
      <c r="AI233" s="1924">
        <v>13847.9</v>
      </c>
      <c r="AJ233" s="1924">
        <v>143866</v>
      </c>
      <c r="AK233" s="1924">
        <v>34812.800000000003</v>
      </c>
      <c r="AL233" s="1924">
        <v>187.7</v>
      </c>
      <c r="AM233" s="1924">
        <f>1805231.5-9.3</f>
        <v>1805222.2</v>
      </c>
      <c r="AN233" s="1924">
        <v>16607.2</v>
      </c>
      <c r="AO233" s="1924">
        <f t="shared" si="190"/>
        <v>1821829.4</v>
      </c>
      <c r="AP233" s="1924">
        <f t="shared" si="191"/>
        <v>72873.175999999992</v>
      </c>
      <c r="AQ233" s="1924">
        <f t="shared" si="192"/>
        <v>-6742.8569999999891</v>
      </c>
      <c r="AR233" s="1924">
        <f>66131.5-1.181</f>
        <v>66130.319000000003</v>
      </c>
      <c r="AS233" s="1924">
        <v>4994583.8</v>
      </c>
      <c r="AT233" s="1924">
        <f t="shared" si="193"/>
        <v>360213.31900000002</v>
      </c>
      <c r="AU233" s="2040">
        <v>48670.6</v>
      </c>
      <c r="AV233" s="1924">
        <v>92642.2</v>
      </c>
      <c r="AW233" s="1924">
        <v>18686.400000000001</v>
      </c>
      <c r="AX233" s="1924">
        <v>380236</v>
      </c>
      <c r="AY233" s="1924">
        <f t="shared" si="194"/>
        <v>540235.20000000007</v>
      </c>
      <c r="AZ233" s="2074">
        <v>9.59</v>
      </c>
      <c r="BA233" s="1267">
        <v>7.06</v>
      </c>
      <c r="BB233" s="1267">
        <v>8.58</v>
      </c>
      <c r="BC233" s="1267">
        <v>8.75</v>
      </c>
      <c r="BD233" s="1267">
        <v>4.4800000000000004</v>
      </c>
      <c r="BE233" s="1267" t="s">
        <v>288</v>
      </c>
      <c r="BF233" s="2051">
        <v>3835</v>
      </c>
      <c r="BG233" s="2051">
        <v>1541</v>
      </c>
      <c r="BH233" s="2051">
        <v>5855</v>
      </c>
      <c r="BI233" s="2051">
        <v>63</v>
      </c>
      <c r="BJ233" s="2051">
        <f t="shared" si="195"/>
        <v>11294</v>
      </c>
      <c r="BK233" s="1267">
        <f t="shared" si="196"/>
        <v>113.93503248519767</v>
      </c>
      <c r="BL233" s="1267">
        <f t="shared" si="197"/>
        <v>159.83904728174252</v>
      </c>
      <c r="BM233" s="1267">
        <f t="shared" si="198"/>
        <v>182.1126704444838</v>
      </c>
      <c r="BN233" s="1267">
        <f t="shared" si="199"/>
        <v>4.9608529631421545</v>
      </c>
      <c r="BO233" s="1267">
        <v>4</v>
      </c>
      <c r="BP233" s="1267">
        <v>5.42</v>
      </c>
      <c r="BQ233" s="1267">
        <v>11.28</v>
      </c>
      <c r="BR233" s="1267">
        <f t="shared" si="200"/>
        <v>5.8599999999999994</v>
      </c>
      <c r="BS233" s="1267">
        <v>9.61</v>
      </c>
      <c r="BT233" s="1267">
        <v>12.53</v>
      </c>
      <c r="BU233" s="1267">
        <f t="shared" si="201"/>
        <v>2.92</v>
      </c>
    </row>
    <row r="234" spans="1:73" s="154" customFormat="1" ht="9.9499999999999993" customHeight="1" x14ac:dyDescent="0.2">
      <c r="A234" s="160" t="s">
        <v>2206</v>
      </c>
      <c r="B234" s="236" t="s">
        <v>550</v>
      </c>
      <c r="C234" s="1922">
        <v>318403</v>
      </c>
      <c r="D234" s="1922">
        <v>1905.9</v>
      </c>
      <c r="E234" s="1922">
        <f t="shared" si="180"/>
        <v>320308.90000000002</v>
      </c>
      <c r="F234" s="1922">
        <v>29872.400000000001</v>
      </c>
      <c r="G234" s="1922">
        <f t="shared" si="181"/>
        <v>290436.5</v>
      </c>
      <c r="H234" s="1922">
        <v>32754.9</v>
      </c>
      <c r="I234" s="1922">
        <v>120147.8</v>
      </c>
      <c r="J234" s="1922">
        <v>209917.3</v>
      </c>
      <c r="K234" s="1922">
        <v>1532307.2</v>
      </c>
      <c r="L234" s="1922">
        <f t="shared" si="182"/>
        <v>1742224.5</v>
      </c>
      <c r="M234" s="1922">
        <f t="shared" si="183"/>
        <v>1862372.3</v>
      </c>
      <c r="N234" s="1922">
        <v>573</v>
      </c>
      <c r="O234" s="1922">
        <v>413644.6</v>
      </c>
      <c r="P234" s="1922">
        <f t="shared" si="184"/>
        <v>500926.8</v>
      </c>
      <c r="Q234" s="1922">
        <f t="shared" si="185"/>
        <v>2033234</v>
      </c>
      <c r="R234" s="1922">
        <v>2407957.7440705281</v>
      </c>
      <c r="S234" s="1037">
        <v>0</v>
      </c>
      <c r="T234" s="1922">
        <v>56736.6</v>
      </c>
      <c r="U234" s="1922">
        <v>1564444.9</v>
      </c>
      <c r="V234" s="1922">
        <f t="shared" si="186"/>
        <v>1621181.5</v>
      </c>
      <c r="W234" s="1037">
        <v>0</v>
      </c>
      <c r="X234" s="1922">
        <v>518.70000000000005</v>
      </c>
      <c r="Y234" s="1922">
        <v>38612.699999999997</v>
      </c>
      <c r="Z234" s="1922">
        <f t="shared" si="187"/>
        <v>39131.399999999994</v>
      </c>
      <c r="AA234" s="2064">
        <v>27137.4</v>
      </c>
      <c r="AB234" s="2064">
        <v>399628.7</v>
      </c>
      <c r="AC234" s="2064">
        <v>29389.1</v>
      </c>
      <c r="AD234" s="2064">
        <f t="shared" si="188"/>
        <v>429017.8</v>
      </c>
      <c r="AE234" s="2064">
        <f t="shared" si="189"/>
        <v>27137.4</v>
      </c>
      <c r="AF234" s="2064">
        <f t="shared" si="189"/>
        <v>456884</v>
      </c>
      <c r="AG234" s="2064">
        <f t="shared" si="189"/>
        <v>1632446.7</v>
      </c>
      <c r="AH234" s="2064">
        <f t="shared" si="189"/>
        <v>2089330.7</v>
      </c>
      <c r="AI234" s="1922">
        <v>15168</v>
      </c>
      <c r="AJ234" s="1922">
        <v>172788.1</v>
      </c>
      <c r="AK234" s="1922">
        <v>32701.4</v>
      </c>
      <c r="AL234" s="1922">
        <v>93.6</v>
      </c>
      <c r="AM234" s="1922">
        <f>1862419-10.63</f>
        <v>1862408.37</v>
      </c>
      <c r="AN234" s="1922">
        <v>17820</v>
      </c>
      <c r="AO234" s="1922">
        <f t="shared" si="190"/>
        <v>1880228.37</v>
      </c>
      <c r="AP234" s="1922">
        <f t="shared" si="191"/>
        <v>75209.1348</v>
      </c>
      <c r="AQ234" s="1922">
        <f t="shared" si="192"/>
        <v>17554.383000000002</v>
      </c>
      <c r="AR234" s="1922">
        <f>92765.1-1.5822</f>
        <v>92763.517800000001</v>
      </c>
      <c r="AS234" s="1922">
        <v>5149667.5</v>
      </c>
      <c r="AT234" s="1922">
        <f t="shared" si="193"/>
        <v>413072.41780000005</v>
      </c>
      <c r="AU234" s="2046">
        <v>69247.100000000006</v>
      </c>
      <c r="AV234" s="1922">
        <v>75231.8</v>
      </c>
      <c r="AW234" s="1922">
        <v>16171.7</v>
      </c>
      <c r="AX234" s="1922">
        <v>395501.7</v>
      </c>
      <c r="AY234" s="1922">
        <f t="shared" si="194"/>
        <v>556152.30000000005</v>
      </c>
      <c r="AZ234" s="2076">
        <v>9.69</v>
      </c>
      <c r="BA234" s="1289">
        <v>9.42</v>
      </c>
      <c r="BB234" s="1289">
        <v>9.84</v>
      </c>
      <c r="BC234" s="1289">
        <v>9.8000000000000007</v>
      </c>
      <c r="BD234" s="1289">
        <v>7.74</v>
      </c>
      <c r="BE234" s="1289" t="s">
        <v>288</v>
      </c>
      <c r="BF234" s="2047">
        <v>3835</v>
      </c>
      <c r="BG234" s="2047">
        <v>1541</v>
      </c>
      <c r="BH234" s="2047">
        <v>5858</v>
      </c>
      <c r="BI234" s="2047">
        <v>63</v>
      </c>
      <c r="BJ234" s="2047">
        <f t="shared" si="195"/>
        <v>11297</v>
      </c>
      <c r="BK234" s="1289">
        <f t="shared" si="196"/>
        <v>112.18434869899127</v>
      </c>
      <c r="BL234" s="1289">
        <f t="shared" si="197"/>
        <v>164.8586677879083</v>
      </c>
      <c r="BM234" s="1289">
        <f t="shared" si="198"/>
        <v>184.94562273169868</v>
      </c>
      <c r="BN234" s="1289">
        <f t="shared" si="199"/>
        <v>6.5848027626722914</v>
      </c>
      <c r="BO234" s="1289">
        <v>4</v>
      </c>
      <c r="BP234" s="1289">
        <v>5.49</v>
      </c>
      <c r="BQ234" s="1289">
        <v>11.52</v>
      </c>
      <c r="BR234" s="1289">
        <f t="shared" si="200"/>
        <v>6.0299999999999994</v>
      </c>
      <c r="BS234" s="1289">
        <v>9.83</v>
      </c>
      <c r="BT234" s="1289">
        <v>12.79</v>
      </c>
      <c r="BU234" s="1289">
        <f>BT234-BS234</f>
        <v>2.9599999999999991</v>
      </c>
    </row>
    <row r="235" spans="1:73" s="154" customFormat="1" ht="9.9499999999999993" customHeight="1" x14ac:dyDescent="0.2">
      <c r="A235" s="160" t="s">
        <v>2479</v>
      </c>
      <c r="B235" s="236" t="s">
        <v>552</v>
      </c>
      <c r="C235" s="1922">
        <v>313988.3</v>
      </c>
      <c r="D235" s="1922">
        <v>1911.2</v>
      </c>
      <c r="E235" s="1922">
        <f t="shared" si="180"/>
        <v>315899.5</v>
      </c>
      <c r="F235" s="1922">
        <v>24269.1</v>
      </c>
      <c r="G235" s="1922">
        <f t="shared" si="181"/>
        <v>291630.40000000002</v>
      </c>
      <c r="H235" s="1922">
        <v>28935.5</v>
      </c>
      <c r="I235" s="1922">
        <v>108667.2</v>
      </c>
      <c r="J235" s="1922">
        <v>193208.7</v>
      </c>
      <c r="K235" s="1922">
        <v>1540818.2</v>
      </c>
      <c r="L235" s="1922">
        <f t="shared" ref="L235:L245" si="202">J235+K235</f>
        <v>1734026.9</v>
      </c>
      <c r="M235" s="1922">
        <f t="shared" ref="M235:M245" si="203">I235+L235</f>
        <v>1842694.0999999999</v>
      </c>
      <c r="N235" s="1922">
        <v>567.20000000000005</v>
      </c>
      <c r="O235" s="1922">
        <v>389317.1</v>
      </c>
      <c r="P235" s="1922">
        <f t="shared" ref="P235:P242" si="204">G235+J235+N235</f>
        <v>485406.30000000005</v>
      </c>
      <c r="Q235" s="1922">
        <f t="shared" ref="Q235:Q242" si="205">K235+P235</f>
        <v>2026224.5</v>
      </c>
      <c r="R235" s="1922">
        <v>2403227.217577802</v>
      </c>
      <c r="S235" s="1037">
        <v>0</v>
      </c>
      <c r="T235" s="1922">
        <v>58592.9</v>
      </c>
      <c r="U235" s="1922">
        <v>1559150</v>
      </c>
      <c r="V235" s="1922">
        <f t="shared" si="186"/>
        <v>1617742.9</v>
      </c>
      <c r="W235" s="1037">
        <v>0</v>
      </c>
      <c r="X235" s="1922">
        <v>503.5</v>
      </c>
      <c r="Y235" s="1922">
        <v>38425.300000000003</v>
      </c>
      <c r="Z235" s="1922">
        <f t="shared" si="187"/>
        <v>38928.800000000003</v>
      </c>
      <c r="AA235" s="2064">
        <v>27079.8</v>
      </c>
      <c r="AB235" s="2064">
        <v>399240.7</v>
      </c>
      <c r="AC235" s="2064">
        <v>29536.1</v>
      </c>
      <c r="AD235" s="2064">
        <f t="shared" ref="AD235:AD242" si="206">AB235+AC235</f>
        <v>428776.8</v>
      </c>
      <c r="AE235" s="2064">
        <f t="shared" ref="AE235:AH242" si="207">S235+W235+AA235</f>
        <v>27079.8</v>
      </c>
      <c r="AF235" s="2064">
        <f t="shared" si="207"/>
        <v>458337.10000000003</v>
      </c>
      <c r="AG235" s="2064">
        <f t="shared" si="207"/>
        <v>1627111.4000000001</v>
      </c>
      <c r="AH235" s="2064">
        <f t="shared" si="207"/>
        <v>2085448.5</v>
      </c>
      <c r="AI235" s="1922">
        <v>15682.6</v>
      </c>
      <c r="AJ235" s="1922">
        <v>145608</v>
      </c>
      <c r="AK235" s="1922">
        <v>35622.800000000003</v>
      </c>
      <c r="AL235" s="1922">
        <v>125.3</v>
      </c>
      <c r="AM235" s="1922">
        <f>1842738.2-10.5</f>
        <v>1842727.7</v>
      </c>
      <c r="AN235" s="1922">
        <v>16270.9</v>
      </c>
      <c r="AO235" s="1922">
        <f t="shared" si="190"/>
        <v>1858998.5999999999</v>
      </c>
      <c r="AP235" s="1922">
        <f t="shared" ref="AP235:AP246" si="208">0.04*AO235</f>
        <v>74359.944000000003</v>
      </c>
      <c r="AQ235" s="1922">
        <f t="shared" si="192"/>
        <v>-1510.7140000000072</v>
      </c>
      <c r="AR235" s="1922">
        <f>72850.4-1.17</f>
        <v>72849.23</v>
      </c>
      <c r="AS235" s="1922">
        <v>5144112.3</v>
      </c>
      <c r="AT235" s="1922">
        <f t="shared" si="193"/>
        <v>388748.73</v>
      </c>
      <c r="AU235" s="2046">
        <v>73393.399999999994</v>
      </c>
      <c r="AV235" s="1922">
        <v>72083.899999999994</v>
      </c>
      <c r="AW235" s="1922">
        <v>17493.3</v>
      </c>
      <c r="AX235" s="1922">
        <v>395113.5</v>
      </c>
      <c r="AY235" s="1922">
        <f t="shared" si="194"/>
        <v>558084.1</v>
      </c>
      <c r="AZ235" s="2076">
        <v>2.99</v>
      </c>
      <c r="BA235" s="1289">
        <v>1.05</v>
      </c>
      <c r="BB235" s="1289">
        <v>-0.32</v>
      </c>
      <c r="BC235" s="1289">
        <v>0.37</v>
      </c>
      <c r="BD235" s="1289">
        <v>-0.34</v>
      </c>
      <c r="BE235" s="1289" t="s">
        <v>288</v>
      </c>
      <c r="BF235" s="2047">
        <v>3835</v>
      </c>
      <c r="BG235" s="2047">
        <v>1543</v>
      </c>
      <c r="BH235" s="2047">
        <v>5858</v>
      </c>
      <c r="BI235" s="2047">
        <v>63</v>
      </c>
      <c r="BJ235" s="2047">
        <f t="shared" si="195"/>
        <v>11299</v>
      </c>
      <c r="BK235" s="1289">
        <f t="shared" si="196"/>
        <v>113.1718213168446</v>
      </c>
      <c r="BL235" s="1289">
        <f t="shared" si="197"/>
        <v>163.08768032569253</v>
      </c>
      <c r="BM235" s="1289">
        <f t="shared" si="198"/>
        <v>184.56929816797947</v>
      </c>
      <c r="BN235" s="1289">
        <f t="shared" si="199"/>
        <v>5.2703570907410784</v>
      </c>
      <c r="BO235" s="1289">
        <v>4</v>
      </c>
      <c r="BP235" s="1289">
        <v>5.68</v>
      </c>
      <c r="BQ235" s="1289">
        <v>11.57</v>
      </c>
      <c r="BR235" s="1289">
        <f t="shared" si="200"/>
        <v>5.8900000000000006</v>
      </c>
      <c r="BS235" s="1289">
        <v>9.98</v>
      </c>
      <c r="BT235" s="1289">
        <v>13.01</v>
      </c>
      <c r="BU235" s="1289">
        <f t="shared" ref="BU235:BU246" si="209">BT235-BS235</f>
        <v>3.0299999999999994</v>
      </c>
    </row>
    <row r="236" spans="1:73" s="154" customFormat="1" ht="9.9499999999999993" customHeight="1" x14ac:dyDescent="0.2">
      <c r="A236" s="160" t="s">
        <v>2479</v>
      </c>
      <c r="B236" s="275" t="s">
        <v>553</v>
      </c>
      <c r="C236" s="1924">
        <v>316798.7</v>
      </c>
      <c r="D236" s="1924">
        <v>1914.2</v>
      </c>
      <c r="E236" s="1924">
        <f t="shared" si="180"/>
        <v>318712.90000000002</v>
      </c>
      <c r="F236" s="1924">
        <v>26278.5</v>
      </c>
      <c r="G236" s="1924">
        <f t="shared" si="181"/>
        <v>292434.40000000002</v>
      </c>
      <c r="H236" s="1924">
        <v>27286.5</v>
      </c>
      <c r="I236" s="1924">
        <v>107931.1</v>
      </c>
      <c r="J236" s="1924">
        <v>193471.9</v>
      </c>
      <c r="K236" s="1924">
        <v>1537788.8</v>
      </c>
      <c r="L236" s="1924">
        <f t="shared" si="202"/>
        <v>1731260.7</v>
      </c>
      <c r="M236" s="1924">
        <f t="shared" si="203"/>
        <v>1839191.8</v>
      </c>
      <c r="N236" s="1924">
        <v>629.70000000000005</v>
      </c>
      <c r="O236" s="1924">
        <v>385796.6</v>
      </c>
      <c r="P236" s="1924">
        <f t="shared" si="204"/>
        <v>486536.00000000006</v>
      </c>
      <c r="Q236" s="1924">
        <f t="shared" si="205"/>
        <v>2024324.8</v>
      </c>
      <c r="R236" s="1924">
        <v>2404720.5774041633</v>
      </c>
      <c r="S236" s="2050">
        <v>0</v>
      </c>
      <c r="T236" s="1924">
        <v>58184.2</v>
      </c>
      <c r="U236" s="1924">
        <v>1578740</v>
      </c>
      <c r="V236" s="1924">
        <f t="shared" si="186"/>
        <v>1636924.2</v>
      </c>
      <c r="W236" s="2050">
        <v>0</v>
      </c>
      <c r="X236" s="1924">
        <v>492</v>
      </c>
      <c r="Y236" s="1924">
        <v>25847</v>
      </c>
      <c r="Z236" s="1924">
        <f t="shared" si="187"/>
        <v>26339</v>
      </c>
      <c r="AA236" s="2066">
        <v>26607</v>
      </c>
      <c r="AB236" s="2066">
        <v>406121.3</v>
      </c>
      <c r="AC236" s="2066">
        <v>29434.400000000001</v>
      </c>
      <c r="AD236" s="2066">
        <f t="shared" si="206"/>
        <v>435555.7</v>
      </c>
      <c r="AE236" s="2066">
        <f t="shared" si="207"/>
        <v>26607</v>
      </c>
      <c r="AF236" s="2066">
        <f t="shared" si="207"/>
        <v>464797.5</v>
      </c>
      <c r="AG236" s="2066">
        <f t="shared" si="207"/>
        <v>1634021.4</v>
      </c>
      <c r="AH236" s="2066">
        <f t="shared" si="207"/>
        <v>2098818.9</v>
      </c>
      <c r="AI236" s="1924">
        <v>15769.3</v>
      </c>
      <c r="AJ236" s="1924">
        <v>148495.4</v>
      </c>
      <c r="AK236" s="1924">
        <v>32679.599999999999</v>
      </c>
      <c r="AL236" s="1924">
        <v>341.6</v>
      </c>
      <c r="AM236" s="1924">
        <f>1839235.6-11.05</f>
        <v>1839224.55</v>
      </c>
      <c r="AN236" s="1924">
        <v>17519.900000000001</v>
      </c>
      <c r="AO236" s="1924">
        <f t="shared" si="190"/>
        <v>1856744.45</v>
      </c>
      <c r="AP236" s="1924">
        <f t="shared" si="208"/>
        <v>74269.778000000006</v>
      </c>
      <c r="AQ236" s="1924">
        <f t="shared" si="192"/>
        <v>-7817.2646999999997</v>
      </c>
      <c r="AR236" s="1924">
        <f>66454-1.4867</f>
        <v>66452.513300000006</v>
      </c>
      <c r="AS236" s="1924">
        <v>4669271.5999999996</v>
      </c>
      <c r="AT236" s="1924">
        <f t="shared" si="193"/>
        <v>385165.41330000001</v>
      </c>
      <c r="AU236" s="2040">
        <v>53854.8</v>
      </c>
      <c r="AV236" s="1924">
        <v>72434.7</v>
      </c>
      <c r="AW236" s="1924">
        <v>17718.900000000001</v>
      </c>
      <c r="AX236" s="1924">
        <v>402003.7</v>
      </c>
      <c r="AY236" s="1924">
        <f t="shared" si="194"/>
        <v>546012.10000000009</v>
      </c>
      <c r="AZ236" s="2074">
        <v>0.32</v>
      </c>
      <c r="BA236" s="1267">
        <v>-1.1000000000000001</v>
      </c>
      <c r="BB236" s="1267">
        <v>0.09</v>
      </c>
      <c r="BC236" s="1267">
        <v>0.11</v>
      </c>
      <c r="BD236" s="1267">
        <v>-0.44</v>
      </c>
      <c r="BE236" s="1267" t="s">
        <v>288</v>
      </c>
      <c r="BF236" s="2051">
        <v>3835</v>
      </c>
      <c r="BG236" s="2051">
        <v>1543</v>
      </c>
      <c r="BH236" s="2051">
        <v>5858</v>
      </c>
      <c r="BI236" s="2051">
        <v>63</v>
      </c>
      <c r="BJ236" s="2051">
        <f t="shared" si="195"/>
        <v>11299</v>
      </c>
      <c r="BK236" s="1267">
        <f t="shared" si="196"/>
        <v>114.11433693618322</v>
      </c>
      <c r="BL236" s="1267">
        <f t="shared" si="197"/>
        <v>162.77763961412515</v>
      </c>
      <c r="BM236" s="1267">
        <f t="shared" si="198"/>
        <v>185.75262412602885</v>
      </c>
      <c r="BN236" s="1267">
        <f t="shared" si="199"/>
        <v>5.0418538236671537</v>
      </c>
      <c r="BO236" s="1267">
        <v>4</v>
      </c>
      <c r="BP236" s="1267">
        <v>5.76</v>
      </c>
      <c r="BQ236" s="1267">
        <v>11.57</v>
      </c>
      <c r="BR236" s="1267">
        <f t="shared" si="200"/>
        <v>5.8100000000000005</v>
      </c>
      <c r="BS236" s="1267">
        <v>10.16</v>
      </c>
      <c r="BT236" s="1267">
        <v>13.22</v>
      </c>
      <c r="BU236" s="1267">
        <f t="shared" si="209"/>
        <v>3.0600000000000005</v>
      </c>
    </row>
    <row r="237" spans="1:73" s="154" customFormat="1" ht="9.9499999999999993" customHeight="1" x14ac:dyDescent="0.2">
      <c r="A237" s="160" t="s">
        <v>2479</v>
      </c>
      <c r="B237" s="236" t="s">
        <v>547</v>
      </c>
      <c r="C237" s="1922">
        <v>309094.2</v>
      </c>
      <c r="D237" s="1922">
        <v>1919.5</v>
      </c>
      <c r="E237" s="1922">
        <f t="shared" si="180"/>
        <v>311013.7</v>
      </c>
      <c r="F237" s="1922">
        <v>27460.3</v>
      </c>
      <c r="G237" s="1922">
        <f t="shared" si="181"/>
        <v>283553.40000000002</v>
      </c>
      <c r="H237" s="1922">
        <v>27199.3</v>
      </c>
      <c r="I237" s="1922">
        <v>108428.8</v>
      </c>
      <c r="J237" s="1922">
        <v>192323.6</v>
      </c>
      <c r="K237" s="1922">
        <v>1548685.5</v>
      </c>
      <c r="L237" s="1922">
        <f t="shared" si="202"/>
        <v>1741009.1</v>
      </c>
      <c r="M237" s="1922">
        <f t="shared" si="203"/>
        <v>1849437.9000000001</v>
      </c>
      <c r="N237" s="1922">
        <v>586.20000000000005</v>
      </c>
      <c r="O237" s="1922">
        <v>375273.19999999995</v>
      </c>
      <c r="P237" s="1922">
        <f t="shared" si="204"/>
        <v>476463.2</v>
      </c>
      <c r="Q237" s="1922">
        <f t="shared" si="205"/>
        <v>2025148.7</v>
      </c>
      <c r="R237" s="1922">
        <v>2412537.1072327266</v>
      </c>
      <c r="S237" s="1037">
        <v>0</v>
      </c>
      <c r="T237" s="1922">
        <v>55435.8</v>
      </c>
      <c r="U237" s="1922">
        <v>1587724.6</v>
      </c>
      <c r="V237" s="1037">
        <f t="shared" si="186"/>
        <v>1643160.4000000001</v>
      </c>
      <c r="W237" s="1037">
        <v>0</v>
      </c>
      <c r="X237" s="1922">
        <v>481.4</v>
      </c>
      <c r="Y237" s="1922">
        <v>25950.400000000001</v>
      </c>
      <c r="Z237" s="1922">
        <f t="shared" si="187"/>
        <v>26431.800000000003</v>
      </c>
      <c r="AA237" s="2064">
        <v>26413.3</v>
      </c>
      <c r="AB237" s="2064">
        <v>411964.5</v>
      </c>
      <c r="AC237" s="2064">
        <v>29279.7</v>
      </c>
      <c r="AD237" s="2064">
        <f t="shared" si="206"/>
        <v>441244.2</v>
      </c>
      <c r="AE237" s="2064">
        <f t="shared" si="207"/>
        <v>26413.3</v>
      </c>
      <c r="AF237" s="2064">
        <f t="shared" si="207"/>
        <v>467881.7</v>
      </c>
      <c r="AG237" s="2064">
        <f t="shared" si="207"/>
        <v>1642954.7</v>
      </c>
      <c r="AH237" s="2064">
        <f t="shared" si="207"/>
        <v>2110836.4000000004</v>
      </c>
      <c r="AI237" s="1922">
        <v>15725.6</v>
      </c>
      <c r="AJ237" s="1922">
        <v>151888.6</v>
      </c>
      <c r="AK237" s="1922">
        <v>32247.4</v>
      </c>
      <c r="AL237" s="1922">
        <v>473.9</v>
      </c>
      <c r="AM237" s="1922">
        <f>1849475.8-11.02</f>
        <v>1849464.78</v>
      </c>
      <c r="AN237" s="1922">
        <v>16844.900000000001</v>
      </c>
      <c r="AO237" s="1922">
        <f t="shared" si="190"/>
        <v>1866309.68</v>
      </c>
      <c r="AP237" s="1922">
        <f t="shared" si="208"/>
        <v>74652.387199999997</v>
      </c>
      <c r="AQ237" s="1922">
        <f t="shared" si="192"/>
        <v>-10980.479899999991</v>
      </c>
      <c r="AR237" s="1922">
        <f>63673.3-1.3927</f>
        <v>63671.907300000006</v>
      </c>
      <c r="AS237" s="1922">
        <v>4724641.2</v>
      </c>
      <c r="AT237" s="1922">
        <f t="shared" si="193"/>
        <v>374685.60730000003</v>
      </c>
      <c r="AU237" s="2046">
        <v>28356.799999999999</v>
      </c>
      <c r="AV237" s="1922">
        <v>74276.7</v>
      </c>
      <c r="AW237" s="1922">
        <v>16566.900000000001</v>
      </c>
      <c r="AX237" s="1922">
        <v>407858.8</v>
      </c>
      <c r="AY237" s="1922">
        <f t="shared" si="194"/>
        <v>527059.20000000007</v>
      </c>
      <c r="AZ237" s="2076">
        <v>-4.25</v>
      </c>
      <c r="BA237" s="1289">
        <v>-4.41</v>
      </c>
      <c r="BB237" s="1289">
        <v>0.67</v>
      </c>
      <c r="BC237" s="1289">
        <v>-0.44</v>
      </c>
      <c r="BD237" s="1289">
        <v>-0.4</v>
      </c>
      <c r="BE237" s="1289" t="s">
        <v>288</v>
      </c>
      <c r="BF237" s="2047">
        <v>3835</v>
      </c>
      <c r="BG237" s="2047">
        <v>1543</v>
      </c>
      <c r="BH237" s="2047">
        <v>5859</v>
      </c>
      <c r="BI237" s="2047">
        <v>63</v>
      </c>
      <c r="BJ237" s="2047">
        <f t="shared" si="195"/>
        <v>11300</v>
      </c>
      <c r="BK237" s="1289">
        <f t="shared" si="196"/>
        <v>114.13228426009823</v>
      </c>
      <c r="BL237" s="1289">
        <f t="shared" si="197"/>
        <v>163.66944955752211</v>
      </c>
      <c r="BM237" s="1289">
        <f t="shared" si="198"/>
        <v>186.79968141592923</v>
      </c>
      <c r="BN237" s="1289">
        <f t="shared" si="199"/>
        <v>4.9274908225070391</v>
      </c>
      <c r="BO237" s="1289">
        <v>4</v>
      </c>
      <c r="BP237" s="1289">
        <v>5.84</v>
      </c>
      <c r="BQ237" s="1289">
        <v>11.7</v>
      </c>
      <c r="BR237" s="1289">
        <f t="shared" si="200"/>
        <v>5.8599999999999994</v>
      </c>
      <c r="BS237" s="1289">
        <v>10.24</v>
      </c>
      <c r="BT237" s="1289">
        <v>13.47</v>
      </c>
      <c r="BU237" s="1289">
        <f t="shared" si="209"/>
        <v>3.2300000000000004</v>
      </c>
    </row>
    <row r="238" spans="1:73" s="154" customFormat="1" ht="9.9499999999999993" customHeight="1" x14ac:dyDescent="0.2">
      <c r="A238" s="160" t="s">
        <v>2479</v>
      </c>
      <c r="B238" s="275" t="s">
        <v>554</v>
      </c>
      <c r="C238" s="1924">
        <v>301078.3</v>
      </c>
      <c r="D238" s="1924">
        <v>1924.1</v>
      </c>
      <c r="E238" s="1924">
        <f t="shared" si="180"/>
        <v>303002.39999999997</v>
      </c>
      <c r="F238" s="1924">
        <v>25191.7</v>
      </c>
      <c r="G238" s="1924">
        <f t="shared" si="181"/>
        <v>277810.69999999995</v>
      </c>
      <c r="H238" s="1924">
        <v>32532.1</v>
      </c>
      <c r="I238" s="1924">
        <v>109880.9</v>
      </c>
      <c r="J238" s="1924">
        <v>194581.2</v>
      </c>
      <c r="K238" s="1924">
        <v>1560636.3</v>
      </c>
      <c r="L238" s="1924">
        <f t="shared" si="202"/>
        <v>1755217.5</v>
      </c>
      <c r="M238" s="1924">
        <f t="shared" si="203"/>
        <v>1865098.4</v>
      </c>
      <c r="N238" s="1924">
        <v>482.8</v>
      </c>
      <c r="O238" s="1924">
        <v>369255.3</v>
      </c>
      <c r="P238" s="1924">
        <f t="shared" si="204"/>
        <v>472874.69999999995</v>
      </c>
      <c r="Q238" s="1924">
        <f t="shared" si="205"/>
        <v>2033511</v>
      </c>
      <c r="R238" s="1924">
        <v>2417216.3393610516</v>
      </c>
      <c r="S238" s="2050">
        <v>0</v>
      </c>
      <c r="T238" s="1924">
        <v>54629.8</v>
      </c>
      <c r="U238" s="1924">
        <v>1592908.2</v>
      </c>
      <c r="V238" s="1924">
        <f t="shared" si="186"/>
        <v>1647538</v>
      </c>
      <c r="W238" s="1924">
        <v>0</v>
      </c>
      <c r="X238" s="1924">
        <v>476.8</v>
      </c>
      <c r="Y238" s="1924">
        <v>24852.1</v>
      </c>
      <c r="Z238" s="1924">
        <f t="shared" si="187"/>
        <v>25328.899999999998</v>
      </c>
      <c r="AA238" s="2066">
        <v>26121</v>
      </c>
      <c r="AB238" s="2066">
        <v>432534.7</v>
      </c>
      <c r="AC238" s="2066">
        <v>29561.5</v>
      </c>
      <c r="AD238" s="1924">
        <f t="shared" si="206"/>
        <v>462096.2</v>
      </c>
      <c r="AE238" s="1924">
        <f t="shared" si="207"/>
        <v>26121</v>
      </c>
      <c r="AF238" s="1924">
        <f t="shared" si="207"/>
        <v>487641.30000000005</v>
      </c>
      <c r="AG238" s="1924">
        <f t="shared" si="207"/>
        <v>1647321.8</v>
      </c>
      <c r="AH238" s="2066">
        <f t="shared" si="207"/>
        <v>2134963.1</v>
      </c>
      <c r="AI238" s="1924">
        <v>15843.7</v>
      </c>
      <c r="AJ238" s="1924">
        <v>155189.5</v>
      </c>
      <c r="AK238" s="1924">
        <v>33321.4</v>
      </c>
      <c r="AL238" s="1924">
        <v>454.6</v>
      </c>
      <c r="AM238" s="1924">
        <f>1863917.6-11.06</f>
        <v>1863906.54</v>
      </c>
      <c r="AN238" s="1924">
        <v>17702.3</v>
      </c>
      <c r="AO238" s="1924">
        <f t="shared" si="190"/>
        <v>1881608.84</v>
      </c>
      <c r="AP238" s="1924">
        <f t="shared" si="208"/>
        <v>75264.353600000002</v>
      </c>
      <c r="AQ238" s="1924">
        <f t="shared" si="192"/>
        <v>-9497.1474000000017</v>
      </c>
      <c r="AR238" s="1924">
        <f>65770.1-2.8938</f>
        <v>65767.206200000001</v>
      </c>
      <c r="AS238" s="1924">
        <v>4829354.7</v>
      </c>
      <c r="AT238" s="1924">
        <f t="shared" si="193"/>
        <v>368769.60619999998</v>
      </c>
      <c r="AU238" s="2040">
        <v>34193.300000000003</v>
      </c>
      <c r="AV238" s="1924">
        <v>71143.100000000006</v>
      </c>
      <c r="AW238" s="1924">
        <v>15527.3</v>
      </c>
      <c r="AX238" s="1924">
        <v>428429.5</v>
      </c>
      <c r="AY238" s="1924">
        <f t="shared" si="194"/>
        <v>549293.20000000007</v>
      </c>
      <c r="AZ238" s="2074">
        <v>0.56000000000000005</v>
      </c>
      <c r="BA238" s="1267">
        <v>-3.94</v>
      </c>
      <c r="BB238" s="1267">
        <v>0.91</v>
      </c>
      <c r="BC238" s="1267">
        <v>0.73</v>
      </c>
      <c r="BD238" s="1267">
        <v>0.01</v>
      </c>
      <c r="BE238" s="1267" t="s">
        <v>288</v>
      </c>
      <c r="BF238" s="2051">
        <v>3835</v>
      </c>
      <c r="BG238" s="2051">
        <v>1543</v>
      </c>
      <c r="BH238" s="2051">
        <v>5860</v>
      </c>
      <c r="BI238" s="2051">
        <v>63</v>
      </c>
      <c r="BJ238" s="2051">
        <f t="shared" si="195"/>
        <v>11301</v>
      </c>
      <c r="BK238" s="1267">
        <f t="shared" si="196"/>
        <v>114.54239009215559</v>
      </c>
      <c r="BL238" s="1267">
        <f t="shared" si="197"/>
        <v>164.93288558534644</v>
      </c>
      <c r="BM238" s="1267">
        <f t="shared" si="198"/>
        <v>188.91806919741617</v>
      </c>
      <c r="BN238" s="1267">
        <f t="shared" si="199"/>
        <v>4.8800143273278067</v>
      </c>
      <c r="BO238" s="1267">
        <v>4</v>
      </c>
      <c r="BP238" s="1267">
        <v>5.9</v>
      </c>
      <c r="BQ238" s="1267">
        <v>11.77</v>
      </c>
      <c r="BR238" s="1267">
        <f t="shared" ref="BR238:BR246" si="210">BQ238-BP238</f>
        <v>5.8699999999999992</v>
      </c>
      <c r="BS238" s="1267">
        <v>10.35</v>
      </c>
      <c r="BT238" s="1267">
        <v>13.58</v>
      </c>
      <c r="BU238" s="1267">
        <f t="shared" si="209"/>
        <v>3.2300000000000004</v>
      </c>
    </row>
    <row r="239" spans="1:73" s="154" customFormat="1" ht="9.9499999999999993" customHeight="1" x14ac:dyDescent="0.2">
      <c r="A239" s="160" t="s">
        <v>2479</v>
      </c>
      <c r="B239" s="236" t="s">
        <v>555</v>
      </c>
      <c r="C239" s="1922">
        <v>299845.8</v>
      </c>
      <c r="D239" s="1922">
        <v>1928.8</v>
      </c>
      <c r="E239" s="1922">
        <f t="shared" si="180"/>
        <v>301774.59999999998</v>
      </c>
      <c r="F239" s="1922">
        <v>24317.9</v>
      </c>
      <c r="G239" s="1922">
        <f t="shared" si="181"/>
        <v>277456.69999999995</v>
      </c>
      <c r="H239" s="1922">
        <v>34374.1</v>
      </c>
      <c r="I239" s="1922">
        <v>112689.5</v>
      </c>
      <c r="J239" s="1922">
        <v>191263.4</v>
      </c>
      <c r="K239" s="1922">
        <v>1571592.2</v>
      </c>
      <c r="L239" s="1922">
        <f t="shared" si="202"/>
        <v>1762855.5999999999</v>
      </c>
      <c r="M239" s="1922">
        <f t="shared" si="203"/>
        <v>1875545.0999999999</v>
      </c>
      <c r="N239" s="1922">
        <v>472.7</v>
      </c>
      <c r="O239" s="1922">
        <v>388455.9</v>
      </c>
      <c r="P239" s="1922">
        <f t="shared" si="204"/>
        <v>469192.8</v>
      </c>
      <c r="Q239" s="1922">
        <f t="shared" si="205"/>
        <v>2040785</v>
      </c>
      <c r="R239" s="1922">
        <v>2422899.3788606417</v>
      </c>
      <c r="S239" s="1037">
        <v>0</v>
      </c>
      <c r="T239" s="1922">
        <v>55618.3</v>
      </c>
      <c r="U239" s="1922">
        <v>1600737.2</v>
      </c>
      <c r="V239" s="1922">
        <f t="shared" si="186"/>
        <v>1656355.5</v>
      </c>
      <c r="W239" s="1922">
        <v>0</v>
      </c>
      <c r="X239" s="1922">
        <v>474.1</v>
      </c>
      <c r="Y239" s="1922">
        <v>24737.599999999999</v>
      </c>
      <c r="Z239" s="1922">
        <f t="shared" si="187"/>
        <v>25211.699999999997</v>
      </c>
      <c r="AA239" s="2064">
        <v>25705.9</v>
      </c>
      <c r="AB239" s="2064">
        <v>444694.1</v>
      </c>
      <c r="AC239" s="2064">
        <v>29343.599999999999</v>
      </c>
      <c r="AD239" s="2064">
        <f t="shared" si="206"/>
        <v>474037.69999999995</v>
      </c>
      <c r="AE239" s="2064">
        <f t="shared" si="207"/>
        <v>25705.9</v>
      </c>
      <c r="AF239" s="2064">
        <f t="shared" si="207"/>
        <v>500786.5</v>
      </c>
      <c r="AG239" s="2064">
        <f t="shared" si="207"/>
        <v>1654818.4000000001</v>
      </c>
      <c r="AH239" s="2064">
        <f t="shared" si="207"/>
        <v>2155604.9</v>
      </c>
      <c r="AI239" s="1922">
        <v>16149.4</v>
      </c>
      <c r="AJ239" s="1922">
        <v>178864.9</v>
      </c>
      <c r="AK239" s="1922">
        <v>33099.5</v>
      </c>
      <c r="AL239" s="1922">
        <v>430.5</v>
      </c>
      <c r="AM239" s="1922">
        <f>1875604.3-10.82</f>
        <v>1875593.48</v>
      </c>
      <c r="AN239" s="1922">
        <v>18986.5</v>
      </c>
      <c r="AO239" s="1922">
        <f t="shared" si="190"/>
        <v>1894579.98</v>
      </c>
      <c r="AP239" s="1922">
        <f t="shared" si="208"/>
        <v>75783.199200000003</v>
      </c>
      <c r="AQ239" s="1922">
        <f t="shared" si="192"/>
        <v>10423.463400000008</v>
      </c>
      <c r="AR239" s="1922">
        <f>86208.6-1.9374</f>
        <v>86206.662600000011</v>
      </c>
      <c r="AS239" s="1922">
        <v>4918707</v>
      </c>
      <c r="AT239" s="1922">
        <f t="shared" si="193"/>
        <v>387981.26260000002</v>
      </c>
      <c r="AU239" s="2046">
        <v>36307.9</v>
      </c>
      <c r="AV239" s="1922">
        <v>71725.899999999994</v>
      </c>
      <c r="AW239" s="1922">
        <v>16125.1</v>
      </c>
      <c r="AX239" s="1922">
        <v>440596.3</v>
      </c>
      <c r="AY239" s="1922">
        <f t="shared" si="194"/>
        <v>564755.19999999995</v>
      </c>
      <c r="AZ239" s="2076">
        <v>3.24</v>
      </c>
      <c r="BA239" s="1289">
        <v>-3.15</v>
      </c>
      <c r="BB239" s="1289">
        <v>1.41</v>
      </c>
      <c r="BC239" s="1289">
        <v>1.67</v>
      </c>
      <c r="BD239" s="1289">
        <v>0.37</v>
      </c>
      <c r="BE239" s="1289" t="s">
        <v>288</v>
      </c>
      <c r="BF239" s="2047">
        <v>3836</v>
      </c>
      <c r="BG239" s="2047">
        <v>1543</v>
      </c>
      <c r="BH239" s="2047">
        <v>5863</v>
      </c>
      <c r="BI239" s="2047">
        <v>63</v>
      </c>
      <c r="BJ239" s="2047">
        <f t="shared" si="195"/>
        <v>11305</v>
      </c>
      <c r="BK239" s="1289">
        <f t="shared" si="196"/>
        <v>114.92921696443517</v>
      </c>
      <c r="BL239" s="1289">
        <f t="shared" si="197"/>
        <v>165.90831313578062</v>
      </c>
      <c r="BM239" s="1289">
        <f t="shared" si="198"/>
        <v>190.67712516585581</v>
      </c>
      <c r="BN239" s="1289">
        <f t="shared" si="199"/>
        <v>5.8927781408154614</v>
      </c>
      <c r="BO239" s="1289">
        <v>4</v>
      </c>
      <c r="BP239" s="1289">
        <v>5.99</v>
      </c>
      <c r="BQ239" s="1289">
        <v>11.84</v>
      </c>
      <c r="BR239" s="1289">
        <f t="shared" si="210"/>
        <v>5.85</v>
      </c>
      <c r="BS239" s="1289">
        <v>10.43</v>
      </c>
      <c r="BT239" s="1289">
        <v>13.67</v>
      </c>
      <c r="BU239" s="1289">
        <f t="shared" si="209"/>
        <v>3.24</v>
      </c>
    </row>
    <row r="240" spans="1:73" s="154" customFormat="1" ht="9.9499999999999993" customHeight="1" x14ac:dyDescent="0.2">
      <c r="A240" s="160" t="s">
        <v>2479</v>
      </c>
      <c r="B240" s="275" t="s">
        <v>548</v>
      </c>
      <c r="C240" s="1924">
        <v>302994.59999999998</v>
      </c>
      <c r="D240" s="1924">
        <v>1934.1</v>
      </c>
      <c r="E240" s="1924">
        <f t="shared" si="180"/>
        <v>304928.69999999995</v>
      </c>
      <c r="F240" s="1924">
        <v>28557.200000000001</v>
      </c>
      <c r="G240" s="1924">
        <f t="shared" si="181"/>
        <v>276371.49999999994</v>
      </c>
      <c r="H240" s="1924">
        <v>37779.9</v>
      </c>
      <c r="I240" s="1924">
        <v>118809</v>
      </c>
      <c r="J240" s="1924">
        <v>197985.6</v>
      </c>
      <c r="K240" s="1924">
        <v>1578762.3</v>
      </c>
      <c r="L240" s="1924">
        <f t="shared" si="202"/>
        <v>1776747.9000000001</v>
      </c>
      <c r="M240" s="1924">
        <f t="shared" si="203"/>
        <v>1895556.9000000001</v>
      </c>
      <c r="N240" s="1924">
        <v>562.5</v>
      </c>
      <c r="O240" s="1924">
        <v>399499.70000000007</v>
      </c>
      <c r="P240" s="1924">
        <f t="shared" si="204"/>
        <v>474919.6</v>
      </c>
      <c r="Q240" s="1924">
        <f t="shared" si="205"/>
        <v>2053681.9</v>
      </c>
      <c r="R240" s="1924">
        <v>2434577.0204889108</v>
      </c>
      <c r="S240" s="2050">
        <v>0</v>
      </c>
      <c r="T240" s="1924">
        <v>55517</v>
      </c>
      <c r="U240" s="1924">
        <v>1618209.2</v>
      </c>
      <c r="V240" s="1924">
        <f t="shared" si="186"/>
        <v>1673726.2</v>
      </c>
      <c r="W240" s="1924">
        <v>0</v>
      </c>
      <c r="X240" s="1924">
        <v>468.5</v>
      </c>
      <c r="Y240" s="1924">
        <v>28646.5</v>
      </c>
      <c r="Z240" s="1924">
        <f t="shared" si="187"/>
        <v>29115</v>
      </c>
      <c r="AA240" s="2066">
        <v>25473.599999999999</v>
      </c>
      <c r="AB240" s="2066">
        <v>445383.5</v>
      </c>
      <c r="AC240" s="2066">
        <v>28989.1</v>
      </c>
      <c r="AD240" s="2066">
        <f t="shared" si="206"/>
        <v>474372.6</v>
      </c>
      <c r="AE240" s="2066">
        <f t="shared" si="207"/>
        <v>25473.599999999999</v>
      </c>
      <c r="AF240" s="2066">
        <f t="shared" si="207"/>
        <v>501369</v>
      </c>
      <c r="AG240" s="2066">
        <f t="shared" si="207"/>
        <v>1675844.8</v>
      </c>
      <c r="AH240" s="2066">
        <f t="shared" si="207"/>
        <v>2177213.7999999998</v>
      </c>
      <c r="AI240" s="1924">
        <v>16252.2</v>
      </c>
      <c r="AJ240" s="1924">
        <v>189320.1</v>
      </c>
      <c r="AK240" s="1924">
        <v>34612</v>
      </c>
      <c r="AL240" s="1924">
        <v>272.3</v>
      </c>
      <c r="AM240" s="1924">
        <f>1895617.4-8.67</f>
        <v>1895608.73</v>
      </c>
      <c r="AN240" s="1924">
        <v>17253</v>
      </c>
      <c r="AO240" s="1924">
        <f t="shared" si="190"/>
        <v>1912861.73</v>
      </c>
      <c r="AP240" s="1924">
        <f t="shared" si="208"/>
        <v>76514.469200000007</v>
      </c>
      <c r="AQ240" s="1924">
        <f t="shared" si="192"/>
        <v>17492.901999999987</v>
      </c>
      <c r="AR240" s="1924">
        <f>94008.5-1.1288</f>
        <v>94007.371199999994</v>
      </c>
      <c r="AS240" s="1924">
        <v>4629403.0999999996</v>
      </c>
      <c r="AT240" s="1924">
        <f t="shared" si="193"/>
        <v>398936.07119999995</v>
      </c>
      <c r="AU240" s="2040">
        <v>19409.599999999999</v>
      </c>
      <c r="AV240" s="1924">
        <v>70844.600000000006</v>
      </c>
      <c r="AW240" s="1924">
        <v>16573.599999999999</v>
      </c>
      <c r="AX240" s="1924">
        <v>441369.1</v>
      </c>
      <c r="AY240" s="1924">
        <f t="shared" si="194"/>
        <v>548196.89999999991</v>
      </c>
      <c r="AZ240" s="2074">
        <v>-2.19</v>
      </c>
      <c r="BA240" s="1267">
        <v>1.85</v>
      </c>
      <c r="BB240" s="1267">
        <v>2.67</v>
      </c>
      <c r="BC240" s="1267">
        <v>1.68</v>
      </c>
      <c r="BD240" s="1267">
        <v>1.01</v>
      </c>
      <c r="BE240" s="1267" t="s">
        <v>288</v>
      </c>
      <c r="BF240" s="2051">
        <v>3843</v>
      </c>
      <c r="BG240" s="2051">
        <v>1543</v>
      </c>
      <c r="BH240" s="2051">
        <v>5912</v>
      </c>
      <c r="BI240" s="2051">
        <v>63</v>
      </c>
      <c r="BJ240" s="2051">
        <f t="shared" si="195"/>
        <v>11361</v>
      </c>
      <c r="BK240" s="1267">
        <f t="shared" si="196"/>
        <v>114.85565378251871</v>
      </c>
      <c r="BL240" s="1267">
        <f t="shared" si="197"/>
        <v>166.85227796848869</v>
      </c>
      <c r="BM240" s="1267">
        <f t="shared" si="198"/>
        <v>191.63927471173309</v>
      </c>
      <c r="BN240" s="1267">
        <f t="shared" si="199"/>
        <v>6.4657104211584837</v>
      </c>
      <c r="BO240" s="1267">
        <v>4</v>
      </c>
      <c r="BP240" s="1267">
        <v>6.01</v>
      </c>
      <c r="BQ240" s="1267">
        <v>11.84</v>
      </c>
      <c r="BR240" s="1267">
        <f t="shared" si="210"/>
        <v>5.83</v>
      </c>
      <c r="BS240" s="1267">
        <v>10.51</v>
      </c>
      <c r="BT240" s="1267">
        <v>13.72</v>
      </c>
      <c r="BU240" s="1267">
        <f t="shared" si="209"/>
        <v>3.2100000000000009</v>
      </c>
    </row>
    <row r="241" spans="1:73" s="154" customFormat="1" ht="9.9499999999999993" customHeight="1" x14ac:dyDescent="0.2">
      <c r="A241" s="160" t="s">
        <v>2479</v>
      </c>
      <c r="B241" s="236" t="s">
        <v>556</v>
      </c>
      <c r="C241" s="1922">
        <v>297571.3</v>
      </c>
      <c r="D241" s="1922">
        <v>1939.6</v>
      </c>
      <c r="E241" s="1922">
        <f t="shared" si="180"/>
        <v>299510.89999999997</v>
      </c>
      <c r="F241" s="1922">
        <v>25280</v>
      </c>
      <c r="G241" s="1922">
        <f t="shared" si="181"/>
        <v>274230.89999999997</v>
      </c>
      <c r="H241" s="1922">
        <v>36615</v>
      </c>
      <c r="I241" s="1922">
        <v>115816.8</v>
      </c>
      <c r="J241" s="1922">
        <v>188985.8</v>
      </c>
      <c r="K241" s="1922">
        <v>1592301.7</v>
      </c>
      <c r="L241" s="1922">
        <f t="shared" si="202"/>
        <v>1781287.5</v>
      </c>
      <c r="M241" s="1922">
        <f t="shared" si="203"/>
        <v>1897104.3</v>
      </c>
      <c r="N241" s="1922">
        <v>514.4</v>
      </c>
      <c r="O241" s="1922">
        <v>378708.3</v>
      </c>
      <c r="P241" s="1922">
        <f t="shared" si="204"/>
        <v>463731.1</v>
      </c>
      <c r="Q241" s="1922">
        <f t="shared" si="205"/>
        <v>2056032.7999999998</v>
      </c>
      <c r="R241" s="1922">
        <v>2431442.2775510582</v>
      </c>
      <c r="S241" s="1037">
        <v>0</v>
      </c>
      <c r="T241" s="1922">
        <v>55896.9</v>
      </c>
      <c r="U241" s="1922">
        <v>1611343.5</v>
      </c>
      <c r="V241" s="1922">
        <f t="shared" si="186"/>
        <v>1667240.4</v>
      </c>
      <c r="W241" s="1922">
        <v>0</v>
      </c>
      <c r="X241" s="1922">
        <v>464.7</v>
      </c>
      <c r="Y241" s="1922">
        <v>30177.3</v>
      </c>
      <c r="Z241" s="1922">
        <f t="shared" si="187"/>
        <v>30642</v>
      </c>
      <c r="AA241" s="2064">
        <v>25481.5</v>
      </c>
      <c r="AB241" s="2064">
        <v>462601.3</v>
      </c>
      <c r="AC241" s="2064">
        <v>28982.7</v>
      </c>
      <c r="AD241" s="2064">
        <f t="shared" si="206"/>
        <v>491584</v>
      </c>
      <c r="AE241" s="2064">
        <f t="shared" si="207"/>
        <v>25481.5</v>
      </c>
      <c r="AF241" s="2064">
        <f t="shared" si="207"/>
        <v>518962.89999999997</v>
      </c>
      <c r="AG241" s="2064">
        <f t="shared" si="207"/>
        <v>1670503.5</v>
      </c>
      <c r="AH241" s="2064">
        <f t="shared" si="207"/>
        <v>2189466.4</v>
      </c>
      <c r="AI241" s="1922">
        <v>16500.3</v>
      </c>
      <c r="AJ241" s="1922">
        <v>192132</v>
      </c>
      <c r="AK241" s="1922">
        <v>36875.300000000003</v>
      </c>
      <c r="AL241" s="1922">
        <v>584.4</v>
      </c>
      <c r="AM241" s="1922">
        <f>1897178-9.21</f>
        <v>1897168.79</v>
      </c>
      <c r="AN241" s="1922">
        <v>18749.8</v>
      </c>
      <c r="AO241" s="1922">
        <f t="shared" si="190"/>
        <v>1915918.59</v>
      </c>
      <c r="AP241" s="1922">
        <f t="shared" si="208"/>
        <v>76636.743600000002</v>
      </c>
      <c r="AQ241" s="1922">
        <f t="shared" si="192"/>
        <v>2042.7814999999973</v>
      </c>
      <c r="AR241" s="1922">
        <f>78683-3.4749</f>
        <v>78679.525099999999</v>
      </c>
      <c r="AS241" s="1922">
        <v>4649821.0999999996</v>
      </c>
      <c r="AT241" s="1922">
        <f t="shared" si="193"/>
        <v>378190.42509999999</v>
      </c>
      <c r="AU241" s="2046">
        <v>22096.7</v>
      </c>
      <c r="AV241" s="1922">
        <v>67100.899999999994</v>
      </c>
      <c r="AW241" s="1922">
        <v>17288.599999999999</v>
      </c>
      <c r="AX241" s="1922">
        <v>458620</v>
      </c>
      <c r="AY241" s="1922">
        <f t="shared" si="194"/>
        <v>565106.19999999995</v>
      </c>
      <c r="AZ241" s="2076">
        <v>2.23</v>
      </c>
      <c r="BA241" s="1289">
        <v>1.53</v>
      </c>
      <c r="BB241" s="1289">
        <v>2.37</v>
      </c>
      <c r="BC241" s="1289">
        <v>2.3199999999999998</v>
      </c>
      <c r="BD241" s="1289">
        <v>1.1200000000000001</v>
      </c>
      <c r="BE241" s="1289" t="s">
        <v>288</v>
      </c>
      <c r="BF241" s="2047">
        <v>3843</v>
      </c>
      <c r="BG241" s="2047">
        <v>1543</v>
      </c>
      <c r="BH241" s="2047">
        <v>5912</v>
      </c>
      <c r="BI241" s="2047">
        <v>63</v>
      </c>
      <c r="BJ241" s="2047">
        <f t="shared" ref="BJ241:BJ253" si="211">SUM(BF241:BI241)</f>
        <v>11361</v>
      </c>
      <c r="BK241" s="1289">
        <f t="shared" si="196"/>
        <v>115.40704293369699</v>
      </c>
      <c r="BL241" s="1289">
        <f t="shared" si="197"/>
        <v>166.9895951060646</v>
      </c>
      <c r="BM241" s="1289">
        <f t="shared" si="198"/>
        <v>192.71775371886278</v>
      </c>
      <c r="BN241" s="1289">
        <f t="shared" si="199"/>
        <v>5.4797193401015205</v>
      </c>
      <c r="BO241" s="1289">
        <v>4</v>
      </c>
      <c r="BP241" s="1289">
        <v>6.1</v>
      </c>
      <c r="BQ241" s="1289">
        <v>11.89</v>
      </c>
      <c r="BR241" s="1289">
        <f t="shared" si="210"/>
        <v>5.7900000000000009</v>
      </c>
      <c r="BS241" s="1289">
        <v>10.54</v>
      </c>
      <c r="BT241" s="1289">
        <v>13.78</v>
      </c>
      <c r="BU241" s="1289">
        <f t="shared" si="209"/>
        <v>3.24</v>
      </c>
    </row>
    <row r="242" spans="1:73" s="154" customFormat="1" ht="9.9499999999999993" customHeight="1" x14ac:dyDescent="0.2">
      <c r="A242" s="160" t="s">
        <v>2479</v>
      </c>
      <c r="B242" s="275" t="s">
        <v>557</v>
      </c>
      <c r="C242" s="1924">
        <v>296437.09999999998</v>
      </c>
      <c r="D242" s="1924">
        <v>1945.3</v>
      </c>
      <c r="E242" s="1924">
        <f t="shared" si="180"/>
        <v>298382.39999999997</v>
      </c>
      <c r="F242" s="1924">
        <v>26886.799999999999</v>
      </c>
      <c r="G242" s="1924">
        <f t="shared" si="181"/>
        <v>271495.59999999998</v>
      </c>
      <c r="H242" s="1924">
        <v>35318.400000000001</v>
      </c>
      <c r="I242" s="1924">
        <v>118191.2</v>
      </c>
      <c r="J242" s="1924">
        <v>190303.3</v>
      </c>
      <c r="K242" s="1924">
        <v>1602382.6</v>
      </c>
      <c r="L242" s="1924">
        <f t="shared" si="202"/>
        <v>1792685.9000000001</v>
      </c>
      <c r="M242" s="1924">
        <f t="shared" si="203"/>
        <v>1910877.1</v>
      </c>
      <c r="N242" s="1924">
        <v>478.8</v>
      </c>
      <c r="O242" s="1924">
        <v>374602.9</v>
      </c>
      <c r="P242" s="1924">
        <f t="shared" si="204"/>
        <v>462277.69999999995</v>
      </c>
      <c r="Q242" s="1924">
        <f t="shared" si="205"/>
        <v>2064660.3</v>
      </c>
      <c r="R242" s="1924">
        <v>2438641.9448999995</v>
      </c>
      <c r="S242" s="2050">
        <v>0</v>
      </c>
      <c r="T242" s="1924">
        <v>55495.8</v>
      </c>
      <c r="U242" s="1924">
        <v>1615286.9</v>
      </c>
      <c r="V242" s="1924">
        <f t="shared" si="186"/>
        <v>1670782.7</v>
      </c>
      <c r="W242" s="1924">
        <v>0</v>
      </c>
      <c r="X242" s="1924">
        <v>461.5</v>
      </c>
      <c r="Y242" s="1924">
        <v>30398.3</v>
      </c>
      <c r="Z242" s="1924">
        <f t="shared" si="187"/>
        <v>30859.8</v>
      </c>
      <c r="AA242" s="1924">
        <v>25209.1</v>
      </c>
      <c r="AB242" s="1924">
        <v>470266</v>
      </c>
      <c r="AC242" s="1924">
        <v>29010</v>
      </c>
      <c r="AD242" s="1924">
        <f t="shared" si="206"/>
        <v>499276</v>
      </c>
      <c r="AE242" s="1924">
        <f t="shared" si="207"/>
        <v>25209.1</v>
      </c>
      <c r="AF242" s="1924">
        <f t="shared" si="207"/>
        <v>526223.30000000005</v>
      </c>
      <c r="AG242" s="1924">
        <f t="shared" si="207"/>
        <v>1674695.2</v>
      </c>
      <c r="AH242" s="1924">
        <f t="shared" si="207"/>
        <v>2200918.5</v>
      </c>
      <c r="AI242" s="1924">
        <v>16408.599999999999</v>
      </c>
      <c r="AJ242" s="1924">
        <v>186612.4</v>
      </c>
      <c r="AK242" s="1924">
        <v>35148.800000000003</v>
      </c>
      <c r="AL242" s="1924">
        <v>257.5</v>
      </c>
      <c r="AM242" s="1924">
        <f>1910943.5-9.38</f>
        <v>1910934.12</v>
      </c>
      <c r="AN242" s="1924">
        <v>20602.5</v>
      </c>
      <c r="AO242" s="1924">
        <f t="shared" si="190"/>
        <v>1931536.62</v>
      </c>
      <c r="AP242" s="1924">
        <f t="shared" si="208"/>
        <v>77261.464800000002</v>
      </c>
      <c r="AQ242" s="1924">
        <f>AR242-AP242</f>
        <v>-1522.9844000000012</v>
      </c>
      <c r="AR242" s="1924">
        <f>75741.7-3.2196</f>
        <v>75738.4804</v>
      </c>
      <c r="AS242" s="1924">
        <v>4751570.2</v>
      </c>
      <c r="AT242" s="1924">
        <f t="shared" si="193"/>
        <v>374120.88039999997</v>
      </c>
      <c r="AU242" s="1924">
        <v>16612.5</v>
      </c>
      <c r="AV242" s="1924">
        <v>67879</v>
      </c>
      <c r="AW242" s="1924">
        <v>16580.900000000001</v>
      </c>
      <c r="AX242" s="1924">
        <v>466287</v>
      </c>
      <c r="AY242" s="1924">
        <f t="shared" si="194"/>
        <v>567359.4</v>
      </c>
      <c r="AZ242" s="2074">
        <v>2.12</v>
      </c>
      <c r="BA242" s="1267">
        <v>2.16</v>
      </c>
      <c r="BB242" s="1267">
        <v>2.63</v>
      </c>
      <c r="BC242" s="1267">
        <v>2.52</v>
      </c>
      <c r="BD242" s="1267">
        <v>1.55</v>
      </c>
      <c r="BE242" s="1267" t="s">
        <v>288</v>
      </c>
      <c r="BF242" s="2051">
        <v>3843</v>
      </c>
      <c r="BG242" s="2051">
        <v>1543</v>
      </c>
      <c r="BH242" s="2051">
        <v>5912</v>
      </c>
      <c r="BI242" s="2051">
        <v>63</v>
      </c>
      <c r="BJ242" s="2051">
        <f t="shared" si="211"/>
        <v>11361</v>
      </c>
      <c r="BK242" s="1267">
        <f t="shared" si="196"/>
        <v>115.17500666114016</v>
      </c>
      <c r="BL242" s="1267">
        <f t="shared" si="197"/>
        <v>168.20122524425668</v>
      </c>
      <c r="BM242" s="1267">
        <f t="shared" si="198"/>
        <v>193.72577237919197</v>
      </c>
      <c r="BN242" s="1267">
        <f t="shared" si="199"/>
        <v>5.3704248265764383</v>
      </c>
      <c r="BO242" s="1267">
        <v>4</v>
      </c>
      <c r="BP242" s="1267">
        <v>6.14</v>
      </c>
      <c r="BQ242" s="1267">
        <v>11.94</v>
      </c>
      <c r="BR242" s="1267">
        <f t="shared" si="210"/>
        <v>5.8</v>
      </c>
      <c r="BS242" s="1267">
        <v>10.57</v>
      </c>
      <c r="BT242" s="1267">
        <v>13.78</v>
      </c>
      <c r="BU242" s="1267">
        <f t="shared" si="209"/>
        <v>3.2099999999999991</v>
      </c>
    </row>
    <row r="243" spans="1:73" s="154" customFormat="1" ht="9.9499999999999993" customHeight="1" x14ac:dyDescent="0.2">
      <c r="A243" s="160" t="s">
        <v>2479</v>
      </c>
      <c r="B243" s="236" t="s">
        <v>549</v>
      </c>
      <c r="C243" s="1922">
        <v>319205.59999999998</v>
      </c>
      <c r="D243" s="1922">
        <v>1955.2</v>
      </c>
      <c r="E243" s="1922">
        <f t="shared" si="180"/>
        <v>321160.8</v>
      </c>
      <c r="F243" s="1922">
        <v>24729.200000000001</v>
      </c>
      <c r="G243" s="1922">
        <f t="shared" si="181"/>
        <v>296431.59999999998</v>
      </c>
      <c r="H243" s="1922">
        <v>35863.699999999997</v>
      </c>
      <c r="I243" s="1922">
        <v>118117</v>
      </c>
      <c r="J243" s="1922">
        <v>192584</v>
      </c>
      <c r="K243" s="1922">
        <v>1625559.8</v>
      </c>
      <c r="L243" s="1922">
        <f t="shared" si="202"/>
        <v>1818143.8</v>
      </c>
      <c r="M243" s="1922">
        <f t="shared" si="203"/>
        <v>1936260.8</v>
      </c>
      <c r="N243" s="1922">
        <v>516.6</v>
      </c>
      <c r="O243" s="1922">
        <v>402733.60000000003</v>
      </c>
      <c r="P243" s="1922">
        <f t="shared" ref="P243:P245" si="212">G243+J243+N243</f>
        <v>489532.19999999995</v>
      </c>
      <c r="Q243" s="1922">
        <f t="shared" ref="Q243:Q245" si="213">K243+P243</f>
        <v>2115092</v>
      </c>
      <c r="R243" s="1922">
        <v>2488810.3949000002</v>
      </c>
      <c r="S243" s="1922">
        <v>0</v>
      </c>
      <c r="T243" s="1922">
        <v>55539.9</v>
      </c>
      <c r="U243" s="1922">
        <v>1651045.9</v>
      </c>
      <c r="V243" s="1922">
        <f t="shared" si="186"/>
        <v>1706585.7999999998</v>
      </c>
      <c r="W243" s="1922">
        <v>0</v>
      </c>
      <c r="X243" s="1922">
        <v>458.2</v>
      </c>
      <c r="Y243" s="1922">
        <v>29870.1</v>
      </c>
      <c r="Z243" s="1922">
        <f t="shared" si="187"/>
        <v>30328.3</v>
      </c>
      <c r="AA243" s="1922">
        <v>25197.599999999999</v>
      </c>
      <c r="AB243" s="1922">
        <v>472309.6</v>
      </c>
      <c r="AC243" s="1922">
        <v>29156.6</v>
      </c>
      <c r="AD243" s="1922">
        <f t="shared" ref="AD243" si="214">AB243+AC243</f>
        <v>501466.19999999995</v>
      </c>
      <c r="AE243" s="1922">
        <f t="shared" ref="AE243" si="215">S243+W243+AA243</f>
        <v>25197.599999999999</v>
      </c>
      <c r="AF243" s="1922">
        <f t="shared" ref="AF243" si="216">T243+X243+AB243</f>
        <v>528307.69999999995</v>
      </c>
      <c r="AG243" s="1922">
        <f t="shared" ref="AG243" si="217">U243+Y243+AC243</f>
        <v>1710072.6</v>
      </c>
      <c r="AH243" s="1922">
        <f t="shared" ref="AH243" si="218">V243+Z243+AD243</f>
        <v>2238380.2999999998</v>
      </c>
      <c r="AI243" s="1922">
        <v>15856.4</v>
      </c>
      <c r="AJ243" s="1922">
        <v>191189.9</v>
      </c>
      <c r="AK243" s="1922">
        <v>35320.6</v>
      </c>
      <c r="AL243" s="1922">
        <v>286.2</v>
      </c>
      <c r="AM243" s="1922">
        <f>1938372.1-8.35</f>
        <v>1938363.75</v>
      </c>
      <c r="AN243" s="1922">
        <v>25001.4</v>
      </c>
      <c r="AO243" s="1922">
        <f t="shared" si="190"/>
        <v>1963365.15</v>
      </c>
      <c r="AP243" s="1922">
        <f t="shared" si="208"/>
        <v>78534.606</v>
      </c>
      <c r="AQ243" s="1922">
        <f>AR243-AP243</f>
        <v>2518.7936000000045</v>
      </c>
      <c r="AR243" s="1922">
        <f>81056.2-2.8004</f>
        <v>81053.399600000004</v>
      </c>
      <c r="AS243" s="1922">
        <v>4873974.5999999996</v>
      </c>
      <c r="AT243" s="1922">
        <f t="shared" si="193"/>
        <v>402214.19959999999</v>
      </c>
      <c r="AU243" s="1922">
        <v>35461.199999999997</v>
      </c>
      <c r="AV243" s="1922">
        <v>67051.8</v>
      </c>
      <c r="AW243" s="1922">
        <v>17092.8</v>
      </c>
      <c r="AX243" s="1922">
        <v>468330.8</v>
      </c>
      <c r="AY243" s="1922">
        <f t="shared" si="194"/>
        <v>587936.6</v>
      </c>
      <c r="AZ243" s="2076">
        <v>6.89</v>
      </c>
      <c r="BA243" s="2076">
        <v>1.21</v>
      </c>
      <c r="BB243" s="2076">
        <v>4.7699999999999996</v>
      </c>
      <c r="BC243" s="2076">
        <v>5.1100000000000003</v>
      </c>
      <c r="BD243" s="2076">
        <v>4.03</v>
      </c>
      <c r="BE243" s="1289" t="s">
        <v>288</v>
      </c>
      <c r="BF243" s="2047">
        <v>3843</v>
      </c>
      <c r="BG243" s="2047">
        <v>1543</v>
      </c>
      <c r="BH243" s="2047">
        <v>5913</v>
      </c>
      <c r="BI243" s="2047">
        <v>63</v>
      </c>
      <c r="BJ243" s="2047">
        <f t="shared" si="211"/>
        <v>11362</v>
      </c>
      <c r="BK243" s="1289">
        <f t="shared" si="196"/>
        <v>115.47782504702741</v>
      </c>
      <c r="BL243" s="1289">
        <f t="shared" si="197"/>
        <v>170.60057648301355</v>
      </c>
      <c r="BM243" s="1289">
        <f t="shared" si="198"/>
        <v>197.00583524027459</v>
      </c>
      <c r="BN243" s="1289">
        <f t="shared" si="199"/>
        <v>5.4573141702634507</v>
      </c>
      <c r="BO243" s="1289">
        <v>4</v>
      </c>
      <c r="BP243" s="1289">
        <v>6.17</v>
      </c>
      <c r="BQ243" s="1289">
        <v>12.04</v>
      </c>
      <c r="BR243" s="1289">
        <f t="shared" si="210"/>
        <v>5.8699999999999992</v>
      </c>
      <c r="BS243" s="1289">
        <v>10.61</v>
      </c>
      <c r="BT243" s="1289">
        <v>13.79</v>
      </c>
      <c r="BU243" s="1289">
        <f t="shared" si="209"/>
        <v>3.1799999999999997</v>
      </c>
    </row>
    <row r="244" spans="1:73" s="154" customFormat="1" ht="9.9499999999999993" customHeight="1" x14ac:dyDescent="0.2">
      <c r="A244" s="160" t="s">
        <v>2479</v>
      </c>
      <c r="B244" s="2020" t="s">
        <v>558</v>
      </c>
      <c r="C244" s="1924">
        <v>300725.8</v>
      </c>
      <c r="D244" s="1924">
        <v>1958.4</v>
      </c>
      <c r="E244" s="1924">
        <f t="shared" si="180"/>
        <v>302684.2</v>
      </c>
      <c r="F244" s="1924">
        <v>25317.3</v>
      </c>
      <c r="G244" s="1924">
        <f t="shared" si="181"/>
        <v>277366.90000000002</v>
      </c>
      <c r="H244" s="1924">
        <v>33685.300000000003</v>
      </c>
      <c r="I244" s="1924">
        <v>120437.2</v>
      </c>
      <c r="J244" s="1924">
        <v>193751</v>
      </c>
      <c r="K244" s="1924">
        <v>1626346.9</v>
      </c>
      <c r="L244" s="1924">
        <f t="shared" si="202"/>
        <v>1820097.9</v>
      </c>
      <c r="M244" s="1924">
        <f t="shared" si="203"/>
        <v>1940535.0999999999</v>
      </c>
      <c r="N244" s="1924">
        <v>518.6</v>
      </c>
      <c r="O244" s="1924">
        <v>380645.5</v>
      </c>
      <c r="P244" s="1924">
        <f t="shared" si="212"/>
        <v>471636.5</v>
      </c>
      <c r="Q244" s="1924">
        <f t="shared" si="213"/>
        <v>2097983.4</v>
      </c>
      <c r="R244" s="1924">
        <v>2473991.6448999997</v>
      </c>
      <c r="S244" s="1924">
        <v>0</v>
      </c>
      <c r="T244" s="1924">
        <v>57501.8</v>
      </c>
      <c r="U244" s="1924">
        <v>1654510.6</v>
      </c>
      <c r="V244" s="1924">
        <f t="shared" si="186"/>
        <v>1712012.4000000001</v>
      </c>
      <c r="W244" s="1924">
        <v>0</v>
      </c>
      <c r="X244" s="1924">
        <v>456.6</v>
      </c>
      <c r="Y244" s="1924">
        <v>28709.200000000001</v>
      </c>
      <c r="Z244" s="1924">
        <f t="shared" si="187"/>
        <v>29165.8</v>
      </c>
      <c r="AA244" s="1924">
        <v>25166.1</v>
      </c>
      <c r="AB244" s="1924">
        <v>487633.4</v>
      </c>
      <c r="AC244" s="1924">
        <v>29367.1</v>
      </c>
      <c r="AD244" s="1924">
        <f t="shared" ref="AD244" si="219">AB244+AC244</f>
        <v>517000.5</v>
      </c>
      <c r="AE244" s="1924">
        <f t="shared" ref="AE244" si="220">S244+W244+AA244</f>
        <v>25166.1</v>
      </c>
      <c r="AF244" s="1924">
        <f t="shared" ref="AF244" si="221">T244+X244+AB244</f>
        <v>545591.80000000005</v>
      </c>
      <c r="AG244" s="1924">
        <f t="shared" ref="AG244" si="222">U244+Y244+AC244</f>
        <v>1712586.9000000001</v>
      </c>
      <c r="AH244" s="1924">
        <f t="shared" ref="AH244" si="223">V244+Z244+AD244</f>
        <v>2258178.7000000002</v>
      </c>
      <c r="AI244" s="1924">
        <v>15465.3</v>
      </c>
      <c r="AJ244" s="1924">
        <v>188898.2</v>
      </c>
      <c r="AK244" s="1924">
        <v>36768.5</v>
      </c>
      <c r="AL244" s="1924">
        <v>572.4</v>
      </c>
      <c r="AM244" s="1924">
        <f>1952333-7.117</f>
        <v>1952325.8829999999</v>
      </c>
      <c r="AN244" s="1924">
        <v>18308.2</v>
      </c>
      <c r="AO244" s="1924">
        <f t="shared" si="190"/>
        <v>1970634.0829999999</v>
      </c>
      <c r="AP244" s="1924">
        <f t="shared" si="208"/>
        <v>78825.363319999989</v>
      </c>
      <c r="AQ244" s="1924">
        <f>AR244-AP244</f>
        <v>-1384.3385199999902</v>
      </c>
      <c r="AR244" s="1924">
        <f>77442.7-1.6752</f>
        <v>77441.024799999999</v>
      </c>
      <c r="AS244" s="1924">
        <v>4932042.5999999996</v>
      </c>
      <c r="AT244" s="1924">
        <f t="shared" si="193"/>
        <v>380125.22480000003</v>
      </c>
      <c r="AU244" s="1924">
        <v>24558.5</v>
      </c>
      <c r="AV244" s="1924">
        <v>67193.399999999994</v>
      </c>
      <c r="AW244" s="1924">
        <v>17970.3</v>
      </c>
      <c r="AX244" s="1924">
        <v>483688.2</v>
      </c>
      <c r="AY244" s="1924">
        <f t="shared" si="194"/>
        <v>593410.4</v>
      </c>
      <c r="AZ244" s="2074">
        <v>7.66</v>
      </c>
      <c r="BA244" s="2074">
        <v>3.35</v>
      </c>
      <c r="BB244" s="2074">
        <v>4.91</v>
      </c>
      <c r="BC244" s="2074">
        <v>5.43</v>
      </c>
      <c r="BD244" s="2074">
        <v>3.18</v>
      </c>
      <c r="BE244" s="1267" t="s">
        <v>288</v>
      </c>
      <c r="BF244" s="2051">
        <v>3843</v>
      </c>
      <c r="BG244" s="2051">
        <v>1543</v>
      </c>
      <c r="BH244" s="2051">
        <v>5915</v>
      </c>
      <c r="BI244" s="2051">
        <v>63</v>
      </c>
      <c r="BJ244" s="2051">
        <f t="shared" si="211"/>
        <v>11364</v>
      </c>
      <c r="BK244" s="1267">
        <f t="shared" si="196"/>
        <v>115.66607397172946</v>
      </c>
      <c r="BL244" s="1267">
        <f t="shared" si="197"/>
        <v>171.79918013023581</v>
      </c>
      <c r="BM244" s="1267">
        <f t="shared" si="198"/>
        <v>198.7133667722633</v>
      </c>
      <c r="BN244" s="1267">
        <f t="shared" si="199"/>
        <v>5.2633797305447088</v>
      </c>
      <c r="BO244" s="1267">
        <v>4</v>
      </c>
      <c r="BP244" s="1267">
        <v>6.23</v>
      </c>
      <c r="BQ244" s="1267">
        <v>12.05</v>
      </c>
      <c r="BR244" s="1267">
        <f t="shared" si="210"/>
        <v>5.82</v>
      </c>
      <c r="BS244" s="1267">
        <v>10.65</v>
      </c>
      <c r="BT244" s="1267">
        <v>13.82</v>
      </c>
      <c r="BU244" s="1267">
        <f t="shared" si="209"/>
        <v>3.17</v>
      </c>
    </row>
    <row r="245" spans="1:73" s="154" customFormat="1" ht="9.9499999999999993" customHeight="1" x14ac:dyDescent="0.2">
      <c r="A245" s="160" t="s">
        <v>2479</v>
      </c>
      <c r="B245" s="2019" t="s">
        <v>559</v>
      </c>
      <c r="C245" s="1922">
        <v>317986.2</v>
      </c>
      <c r="D245" s="1922">
        <v>1962.9</v>
      </c>
      <c r="E245" s="1922">
        <f t="shared" si="180"/>
        <v>319949.10000000003</v>
      </c>
      <c r="F245" s="1922">
        <v>26170.5</v>
      </c>
      <c r="G245" s="1922">
        <f t="shared" si="181"/>
        <v>293778.60000000003</v>
      </c>
      <c r="H245" s="1922">
        <v>33573.599999999999</v>
      </c>
      <c r="I245" s="1922">
        <v>120040.5</v>
      </c>
      <c r="J245" s="1922">
        <v>195239.5</v>
      </c>
      <c r="K245" s="1922">
        <v>1636825.7</v>
      </c>
      <c r="L245" s="1922">
        <f t="shared" si="202"/>
        <v>1832065.2</v>
      </c>
      <c r="M245" s="1922">
        <f t="shared" si="203"/>
        <v>1952105.7</v>
      </c>
      <c r="N245" s="1922">
        <v>506.8</v>
      </c>
      <c r="O245" s="1922">
        <v>398848.5</v>
      </c>
      <c r="P245" s="1922">
        <f t="shared" si="212"/>
        <v>489524.9</v>
      </c>
      <c r="Q245" s="1922">
        <f t="shared" si="213"/>
        <v>2126350.6</v>
      </c>
      <c r="R245" s="1922">
        <v>2504847.0999999996</v>
      </c>
      <c r="S245" s="1922">
        <v>0</v>
      </c>
      <c r="T245" s="1922">
        <v>58263.5</v>
      </c>
      <c r="U245" s="1922">
        <v>1671855.8</v>
      </c>
      <c r="V245" s="1922">
        <f t="shared" si="186"/>
        <v>1730119.3</v>
      </c>
      <c r="W245" s="1922">
        <v>0</v>
      </c>
      <c r="X245" s="1922">
        <v>453.1</v>
      </c>
      <c r="Y245" s="1922">
        <v>28344.400000000001</v>
      </c>
      <c r="Z245" s="1922">
        <f t="shared" si="187"/>
        <v>28797.5</v>
      </c>
      <c r="AA245" s="1922">
        <v>24831.3</v>
      </c>
      <c r="AB245" s="1922">
        <v>496788.4</v>
      </c>
      <c r="AC245" s="1922">
        <v>29257.9</v>
      </c>
      <c r="AD245" s="1922">
        <f t="shared" ref="AD245" si="224">AB245+AC245</f>
        <v>526046.30000000005</v>
      </c>
      <c r="AE245" s="1922">
        <f t="shared" ref="AE245" si="225">S245+W245+AA245</f>
        <v>24831.3</v>
      </c>
      <c r="AF245" s="1922">
        <f t="shared" ref="AF245" si="226">T245+X245+AB245</f>
        <v>555505</v>
      </c>
      <c r="AG245" s="1922">
        <f t="shared" ref="AG245" si="227">U245+Y245+AC245</f>
        <v>1729458.0999999999</v>
      </c>
      <c r="AH245" s="1922">
        <f t="shared" ref="AH245" si="228">V245+Z245+AD245</f>
        <v>2284963.1</v>
      </c>
      <c r="AI245" s="1922">
        <v>15963.8</v>
      </c>
      <c r="AJ245" s="1922">
        <v>196622</v>
      </c>
      <c r="AK245" s="1922">
        <v>34310.699999999997</v>
      </c>
      <c r="AL245" s="1922">
        <v>334.2</v>
      </c>
      <c r="AM245" s="1922">
        <f>1964448.5-7.48</f>
        <v>1964441.02</v>
      </c>
      <c r="AN245" s="1922">
        <v>18130.900000000001</v>
      </c>
      <c r="AO245" s="1922">
        <f t="shared" si="190"/>
        <v>1982571.92</v>
      </c>
      <c r="AP245" s="1922">
        <f t="shared" si="208"/>
        <v>79302.876799999998</v>
      </c>
      <c r="AQ245" s="1922">
        <f>AR245-AP245</f>
        <v>-911.7381999999925</v>
      </c>
      <c r="AR245" s="1922">
        <f>78392.6-1.4614</f>
        <v>78391.138600000006</v>
      </c>
      <c r="AS245" s="1922">
        <v>5006435.4000000004</v>
      </c>
      <c r="AT245" s="1922">
        <f t="shared" si="193"/>
        <v>398340.23860000004</v>
      </c>
      <c r="AU245" s="1922">
        <v>29233.1</v>
      </c>
      <c r="AV245" s="1922">
        <v>65160.4</v>
      </c>
      <c r="AW245" s="1922">
        <v>18813.7</v>
      </c>
      <c r="AX245" s="1922">
        <v>492878</v>
      </c>
      <c r="AY245" s="1922">
        <f t="shared" si="194"/>
        <v>606085.19999999995</v>
      </c>
      <c r="AZ245" s="2076">
        <v>10.69</v>
      </c>
      <c r="BA245" s="2076">
        <v>3.12</v>
      </c>
      <c r="BB245" s="2076">
        <v>5.94</v>
      </c>
      <c r="BC245" s="2076">
        <v>6.83</v>
      </c>
      <c r="BD245" s="2076">
        <v>4.58</v>
      </c>
      <c r="BE245" s="1289" t="s">
        <v>288</v>
      </c>
      <c r="BF245" s="2047">
        <v>3843</v>
      </c>
      <c r="BG245" s="2047">
        <v>1543</v>
      </c>
      <c r="BH245" s="2047">
        <v>5917</v>
      </c>
      <c r="BI245" s="2047">
        <v>63</v>
      </c>
      <c r="BJ245" s="2047">
        <f t="shared" si="211"/>
        <v>11366</v>
      </c>
      <c r="BK245" s="1289">
        <f t="shared" si="196"/>
        <v>116.31619767337173</v>
      </c>
      <c r="BL245" s="1289">
        <f t="shared" si="197"/>
        <v>172.83486010909732</v>
      </c>
      <c r="BM245" s="1289">
        <f t="shared" si="198"/>
        <v>201.03493753299315</v>
      </c>
      <c r="BN245" s="1289">
        <f t="shared" si="199"/>
        <v>5.3227171259129991</v>
      </c>
      <c r="BO245" s="1289">
        <v>4</v>
      </c>
      <c r="BP245" s="1289">
        <v>6.29</v>
      </c>
      <c r="BQ245" s="1289">
        <v>12.11</v>
      </c>
      <c r="BR245" s="1289">
        <f t="shared" si="210"/>
        <v>5.8199999999999994</v>
      </c>
      <c r="BS245" s="1289">
        <v>10.69</v>
      </c>
      <c r="BT245" s="1289">
        <v>13.85</v>
      </c>
      <c r="BU245" s="1289">
        <f t="shared" si="209"/>
        <v>3.16</v>
      </c>
    </row>
    <row r="246" spans="1:73" s="154" customFormat="1" ht="9.9499999999999993" customHeight="1" x14ac:dyDescent="0.2">
      <c r="A246" s="160" t="s">
        <v>2479</v>
      </c>
      <c r="B246" s="2020" t="s">
        <v>550</v>
      </c>
      <c r="C246" s="1924">
        <v>324728.5</v>
      </c>
      <c r="D246" s="1924">
        <v>1968.1</v>
      </c>
      <c r="E246" s="1924">
        <f t="shared" si="180"/>
        <v>326696.59999999998</v>
      </c>
      <c r="F246" s="1924">
        <v>30244.7</v>
      </c>
      <c r="G246" s="1924">
        <f t="shared" si="181"/>
        <v>296451.89999999997</v>
      </c>
      <c r="H246" s="1924">
        <v>37852.800000000003</v>
      </c>
      <c r="I246" s="1924">
        <v>120252.5</v>
      </c>
      <c r="J246" s="1924">
        <v>213109.9</v>
      </c>
      <c r="K246" s="1924">
        <v>1664454.7</v>
      </c>
      <c r="L246" s="1924">
        <f t="shared" ref="L246:L250" si="229">J246+K246</f>
        <v>1877564.5999999999</v>
      </c>
      <c r="M246" s="1924">
        <f t="shared" ref="M246:M250" si="230">I246+L246</f>
        <v>1997817.0999999999</v>
      </c>
      <c r="N246" s="1924">
        <v>605.20000000000005</v>
      </c>
      <c r="O246" s="1924">
        <v>413179</v>
      </c>
      <c r="P246" s="1924">
        <f t="shared" ref="P246" si="231">G246+J246+N246</f>
        <v>510166.99999999994</v>
      </c>
      <c r="Q246" s="1924">
        <f t="shared" ref="Q246" si="232">K246+P246</f>
        <v>2174621.6999999997</v>
      </c>
      <c r="R246" s="1924">
        <v>2552900.8000000003</v>
      </c>
      <c r="S246" s="1924">
        <v>0</v>
      </c>
      <c r="T246" s="1924">
        <v>53989.5</v>
      </c>
      <c r="U246" s="1924">
        <v>1681592.8</v>
      </c>
      <c r="V246" s="1924">
        <f t="shared" si="186"/>
        <v>1735582.3</v>
      </c>
      <c r="W246" s="1924">
        <v>0</v>
      </c>
      <c r="X246" s="1924">
        <v>448.5</v>
      </c>
      <c r="Y246" s="1924">
        <v>28082.2</v>
      </c>
      <c r="Z246" s="1924">
        <f t="shared" si="187"/>
        <v>28530.7</v>
      </c>
      <c r="AA246" s="1924">
        <v>25427.4</v>
      </c>
      <c r="AB246" s="1924">
        <v>523929.59999999998</v>
      </c>
      <c r="AC246" s="1924">
        <v>28724.2</v>
      </c>
      <c r="AD246" s="1924">
        <f t="shared" ref="AD246" si="233">AB246+AC246</f>
        <v>552653.79999999993</v>
      </c>
      <c r="AE246" s="1924">
        <f t="shared" ref="AE246" si="234">S246+W246+AA246</f>
        <v>25427.4</v>
      </c>
      <c r="AF246" s="1924">
        <f t="shared" ref="AF246" si="235">T246+X246+AB246</f>
        <v>578367.6</v>
      </c>
      <c r="AG246" s="1924">
        <f t="shared" ref="AG246" si="236">U246+Y246+AC246</f>
        <v>1738399.2</v>
      </c>
      <c r="AH246" s="1924">
        <f t="shared" ref="AH246" si="237">V246+Z246+AD246</f>
        <v>2316766.7999999998</v>
      </c>
      <c r="AI246" s="1924">
        <v>16534.8</v>
      </c>
      <c r="AJ246" s="1924">
        <v>197261.4</v>
      </c>
      <c r="AK246" s="1924">
        <v>35027.300000000003</v>
      </c>
      <c r="AL246" s="1924">
        <v>182.9</v>
      </c>
      <c r="AM246" s="1924">
        <f>2010654.1-11.03</f>
        <v>2010643.07</v>
      </c>
      <c r="AN246" s="1924">
        <v>18899.400000000001</v>
      </c>
      <c r="AO246" s="1924">
        <f t="shared" si="190"/>
        <v>2029542.47</v>
      </c>
      <c r="AP246" s="1924">
        <f t="shared" si="208"/>
        <v>81181.698799999998</v>
      </c>
      <c r="AQ246" s="1924">
        <f>AR246-AP246</f>
        <v>4693.9682999999932</v>
      </c>
      <c r="AR246" s="1924">
        <f>85877.2-1.5329</f>
        <v>85875.667099999991</v>
      </c>
      <c r="AS246" s="1924">
        <v>5146852.3</v>
      </c>
      <c r="AT246" s="1924">
        <f t="shared" si="193"/>
        <v>412572.26709999994</v>
      </c>
      <c r="AU246" s="1924">
        <v>23431.5</v>
      </c>
      <c r="AV246" s="1924">
        <v>64010.7</v>
      </c>
      <c r="AW246" s="1924">
        <v>17015.7</v>
      </c>
      <c r="AX246" s="1924">
        <v>520021</v>
      </c>
      <c r="AY246" s="1924">
        <f t="shared" si="194"/>
        <v>624478.89999999991</v>
      </c>
      <c r="AZ246" s="2074">
        <v>14.83</v>
      </c>
      <c r="BA246" s="2074">
        <v>-1.88</v>
      </c>
      <c r="BB246" s="2074">
        <v>6.49</v>
      </c>
      <c r="BC246" s="2074">
        <v>7.97</v>
      </c>
      <c r="BD246" s="2074">
        <v>6.95</v>
      </c>
      <c r="BE246" s="1267" t="s">
        <v>288</v>
      </c>
      <c r="BF246" s="2051">
        <v>3843</v>
      </c>
      <c r="BG246" s="2051">
        <v>1543</v>
      </c>
      <c r="BH246" s="2051">
        <v>5923</v>
      </c>
      <c r="BI246" s="2051">
        <v>63</v>
      </c>
      <c r="BJ246" s="2051">
        <f t="shared" si="211"/>
        <v>11372</v>
      </c>
      <c r="BK246" s="1267">
        <f t="shared" si="196"/>
        <v>115.22516525024005</v>
      </c>
      <c r="BL246" s="1267">
        <f t="shared" si="197"/>
        <v>176.80646060499473</v>
      </c>
      <c r="BM246" s="1267">
        <f t="shared" si="198"/>
        <v>203.72553640520576</v>
      </c>
      <c r="BN246" s="1267">
        <f t="shared" si="199"/>
        <v>5.7752849738765413</v>
      </c>
      <c r="BO246" s="1267">
        <v>4</v>
      </c>
      <c r="BP246" s="1267">
        <v>6.26</v>
      </c>
      <c r="BQ246" s="1267">
        <v>12.08</v>
      </c>
      <c r="BR246" s="1267">
        <f t="shared" si="210"/>
        <v>5.82</v>
      </c>
      <c r="BS246" s="1267">
        <v>10.68</v>
      </c>
      <c r="BT246" s="1267">
        <v>13.89</v>
      </c>
      <c r="BU246" s="1267">
        <f t="shared" si="209"/>
        <v>3.2100000000000009</v>
      </c>
    </row>
    <row r="247" spans="1:73" s="154" customFormat="1" ht="9.9499999999999993" customHeight="1" x14ac:dyDescent="0.2">
      <c r="A247" s="160" t="s">
        <v>2730</v>
      </c>
      <c r="B247" s="2020" t="s">
        <v>552</v>
      </c>
      <c r="C247" s="1924">
        <v>313334.5</v>
      </c>
      <c r="D247" s="1924">
        <v>1975.1</v>
      </c>
      <c r="E247" s="1924">
        <f t="shared" si="180"/>
        <v>315309.59999999998</v>
      </c>
      <c r="F247" s="1924">
        <v>28015.5</v>
      </c>
      <c r="G247" s="1924">
        <f t="shared" si="181"/>
        <v>287294.09999999998</v>
      </c>
      <c r="H247" s="1924">
        <v>35250.1</v>
      </c>
      <c r="I247" s="1924">
        <v>117698.3</v>
      </c>
      <c r="J247" s="1924">
        <v>197558.39999999999</v>
      </c>
      <c r="K247" s="1924">
        <v>1682549.5</v>
      </c>
      <c r="L247" s="1924">
        <f t="shared" si="229"/>
        <v>1880107.9</v>
      </c>
      <c r="M247" s="1924">
        <f t="shared" si="230"/>
        <v>1997806.2</v>
      </c>
      <c r="N247" s="1924">
        <v>494</v>
      </c>
      <c r="O247" s="1924">
        <v>399045.89999999997</v>
      </c>
      <c r="P247" s="1924">
        <f t="shared" ref="P247:P253" si="238">G247+J247+N247</f>
        <v>485346.5</v>
      </c>
      <c r="Q247" s="1924">
        <f t="shared" ref="Q247:Q253" si="239">K247+P247</f>
        <v>2167896</v>
      </c>
      <c r="R247" s="1924">
        <v>2546854.7999999998</v>
      </c>
      <c r="S247" s="1924">
        <v>0</v>
      </c>
      <c r="T247" s="1924">
        <v>55502.1</v>
      </c>
      <c r="U247" s="1924">
        <v>1677712.5</v>
      </c>
      <c r="V247" s="1924">
        <f t="shared" si="186"/>
        <v>1733214.6</v>
      </c>
      <c r="W247" s="1924">
        <v>0</v>
      </c>
      <c r="X247" s="1924">
        <v>445.7</v>
      </c>
      <c r="Y247" s="1924">
        <v>26793.8</v>
      </c>
      <c r="Z247" s="1924">
        <f t="shared" ref="Z247:Z254" si="240">X247+Y247</f>
        <v>27239.5</v>
      </c>
      <c r="AA247" s="1924">
        <v>25109.200000000001</v>
      </c>
      <c r="AB247" s="1924">
        <v>530556.69999999995</v>
      </c>
      <c r="AC247" s="1924">
        <v>28869.8</v>
      </c>
      <c r="AD247" s="1924">
        <f t="shared" ref="AD247:AD252" si="241">AB247+AC247</f>
        <v>559426.5</v>
      </c>
      <c r="AE247" s="1924">
        <f t="shared" ref="AE247:AE250" si="242">S247+W247+AA247</f>
        <v>25109.200000000001</v>
      </c>
      <c r="AF247" s="1924">
        <f t="shared" ref="AF247:AF250" si="243">T247+X247+AB247</f>
        <v>586504.5</v>
      </c>
      <c r="AG247" s="1924">
        <f t="shared" ref="AG247:AG250" si="244">U247+Y247+AC247</f>
        <v>1733376.1</v>
      </c>
      <c r="AH247" s="1924">
        <f t="shared" ref="AH247:AH253" si="245">V247+Z247+AD247</f>
        <v>2319880.6</v>
      </c>
      <c r="AI247" s="1924">
        <v>15987.3</v>
      </c>
      <c r="AJ247" s="1924">
        <v>185187.4</v>
      </c>
      <c r="AK247" s="1924">
        <v>34960.6</v>
      </c>
      <c r="AL247" s="1924">
        <v>180.9</v>
      </c>
      <c r="AM247" s="1924">
        <f>2010898.3-10.73</f>
        <v>2010887.57</v>
      </c>
      <c r="AN247" s="1924">
        <v>18547.8</v>
      </c>
      <c r="AO247" s="1924">
        <f t="shared" si="190"/>
        <v>2029435.37</v>
      </c>
      <c r="AP247" s="1924">
        <f t="shared" ref="AP247:AP252" si="246">0.04*AO247</f>
        <v>81177.414800000013</v>
      </c>
      <c r="AQ247" s="1924">
        <f t="shared" ref="AQ247:AQ253" si="247">AR247-AP247</f>
        <v>2063.623299999992</v>
      </c>
      <c r="AR247" s="1924">
        <f>83242.3-1.2619</f>
        <v>83241.038100000005</v>
      </c>
      <c r="AS247" s="1924">
        <v>5131968.4000000004</v>
      </c>
      <c r="AT247" s="1924">
        <f t="shared" si="193"/>
        <v>398550.63809999998</v>
      </c>
      <c r="AU247" s="1924">
        <v>28230.9</v>
      </c>
      <c r="AV247" s="1924">
        <v>60526.5</v>
      </c>
      <c r="AW247" s="1924">
        <v>18783.400000000001</v>
      </c>
      <c r="AX247" s="1924">
        <v>526648.6</v>
      </c>
      <c r="AY247" s="1924">
        <f t="shared" si="194"/>
        <v>634189.4</v>
      </c>
      <c r="AZ247" s="2074">
        <v>2.64</v>
      </c>
      <c r="BA247" s="2074">
        <v>0.53</v>
      </c>
      <c r="BB247" s="2074">
        <v>-0.28999999999999998</v>
      </c>
      <c r="BC247" s="2074">
        <v>0.36</v>
      </c>
      <c r="BD247" s="2074">
        <v>-0.31</v>
      </c>
      <c r="BE247" s="1267" t="s">
        <v>288</v>
      </c>
      <c r="BF247" s="2051">
        <v>3843</v>
      </c>
      <c r="BG247" s="2051">
        <v>1543</v>
      </c>
      <c r="BH247" s="2051">
        <v>5923</v>
      </c>
      <c r="BI247" s="2051">
        <v>63</v>
      </c>
      <c r="BJ247" s="2051">
        <f t="shared" si="211"/>
        <v>11372</v>
      </c>
      <c r="BK247" s="2074">
        <f t="shared" si="196"/>
        <v>115.36600228723877</v>
      </c>
      <c r="BL247" s="2074">
        <f t="shared" si="197"/>
        <v>176.82796078086528</v>
      </c>
      <c r="BM247" s="2074">
        <f t="shared" si="198"/>
        <v>203.99934927893071</v>
      </c>
      <c r="BN247" s="2074">
        <f t="shared" si="199"/>
        <v>5.5327080320059858</v>
      </c>
      <c r="BO247" s="1267">
        <v>4</v>
      </c>
      <c r="BP247" s="1267">
        <v>6.39</v>
      </c>
      <c r="BQ247" s="1267">
        <v>12.14</v>
      </c>
      <c r="BR247" s="1267">
        <f t="shared" ref="BR247:BR254" si="248">BQ247-BP247</f>
        <v>5.7500000000000009</v>
      </c>
      <c r="BS247" s="1267">
        <v>10.69</v>
      </c>
      <c r="BT247" s="1267">
        <v>13.87</v>
      </c>
      <c r="BU247" s="1267">
        <f t="shared" ref="BU247:BU254" si="249">BT247-BS247</f>
        <v>3.1799999999999997</v>
      </c>
    </row>
    <row r="248" spans="1:73" s="154" customFormat="1" ht="9.9499999999999993" customHeight="1" x14ac:dyDescent="0.2">
      <c r="A248" s="160" t="s">
        <v>2730</v>
      </c>
      <c r="B248" s="2019" t="s">
        <v>553</v>
      </c>
      <c r="C248" s="1922">
        <v>305011.8</v>
      </c>
      <c r="D248" s="1922">
        <v>1983.8</v>
      </c>
      <c r="E248" s="1922">
        <f t="shared" si="180"/>
        <v>306995.59999999998</v>
      </c>
      <c r="F248" s="1922">
        <v>30501</v>
      </c>
      <c r="G248" s="1922">
        <f t="shared" si="181"/>
        <v>276494.59999999998</v>
      </c>
      <c r="H248" s="1922">
        <v>36827.199999999997</v>
      </c>
      <c r="I248" s="1922">
        <v>122268.7</v>
      </c>
      <c r="J248" s="1922">
        <v>200808.4</v>
      </c>
      <c r="K248" s="1922">
        <v>1703931.8</v>
      </c>
      <c r="L248" s="1922">
        <f t="shared" si="229"/>
        <v>1904740.2</v>
      </c>
      <c r="M248" s="1922">
        <f t="shared" si="230"/>
        <v>2027008.9</v>
      </c>
      <c r="N248" s="1922">
        <v>530.29999999999995</v>
      </c>
      <c r="O248" s="1922">
        <v>390508.3</v>
      </c>
      <c r="P248" s="1922">
        <f t="shared" si="238"/>
        <v>477833.3</v>
      </c>
      <c r="Q248" s="1922">
        <f t="shared" si="239"/>
        <v>2181765.1</v>
      </c>
      <c r="R248" s="1922">
        <v>2560875.3000000003</v>
      </c>
      <c r="S248" s="1922">
        <v>0</v>
      </c>
      <c r="T248" s="1922">
        <v>55250.8</v>
      </c>
      <c r="U248" s="1922">
        <v>1680788.8</v>
      </c>
      <c r="V248" s="1922">
        <f t="shared" si="186"/>
        <v>1736039.6</v>
      </c>
      <c r="W248" s="1922">
        <v>0</v>
      </c>
      <c r="X248" s="1922">
        <v>444.1</v>
      </c>
      <c r="Y248" s="1922">
        <v>28035.5</v>
      </c>
      <c r="Z248" s="1922">
        <f t="shared" si="240"/>
        <v>28479.599999999999</v>
      </c>
      <c r="AA248" s="1922">
        <v>25205</v>
      </c>
      <c r="AB248" s="1922">
        <v>541821.5</v>
      </c>
      <c r="AC248" s="1922">
        <v>29224.2</v>
      </c>
      <c r="AD248" s="1922">
        <f t="shared" si="241"/>
        <v>571045.69999999995</v>
      </c>
      <c r="AE248" s="1922">
        <f t="shared" si="242"/>
        <v>25205</v>
      </c>
      <c r="AF248" s="1922">
        <f t="shared" si="243"/>
        <v>597516.4</v>
      </c>
      <c r="AG248" s="1922">
        <f t="shared" si="244"/>
        <v>1738048.5</v>
      </c>
      <c r="AH248" s="1922">
        <f t="shared" si="245"/>
        <v>2335564.9000000004</v>
      </c>
      <c r="AI248" s="1922">
        <v>14913.3</v>
      </c>
      <c r="AJ248" s="1922">
        <v>175931</v>
      </c>
      <c r="AK248" s="1922">
        <v>33610.300000000003</v>
      </c>
      <c r="AL248" s="1922">
        <v>307.89999999999998</v>
      </c>
      <c r="AM248" s="1922">
        <f>2040586.2-11.16</f>
        <v>2040575.04</v>
      </c>
      <c r="AN248" s="1922">
        <v>17063.5</v>
      </c>
      <c r="AO248" s="1922">
        <f t="shared" si="190"/>
        <v>2057638.54</v>
      </c>
      <c r="AP248" s="1922">
        <f t="shared" si="246"/>
        <v>82305.541599999997</v>
      </c>
      <c r="AQ248" s="1922">
        <f t="shared" si="247"/>
        <v>673.97269999999844</v>
      </c>
      <c r="AR248" s="1922">
        <f>82982.4-2.8857</f>
        <v>82979.514299999995</v>
      </c>
      <c r="AS248" s="1922">
        <f>5227311.5</f>
        <v>5227311.5</v>
      </c>
      <c r="AT248" s="1922">
        <f t="shared" si="193"/>
        <v>389975.11429999996</v>
      </c>
      <c r="AU248" s="1922">
        <v>17887.900000000001</v>
      </c>
      <c r="AV248" s="1922">
        <v>60585.9</v>
      </c>
      <c r="AW248" s="1922">
        <v>18481.3</v>
      </c>
      <c r="AX248" s="1922">
        <v>537888.19999999995</v>
      </c>
      <c r="AY248" s="1922">
        <f t="shared" si="194"/>
        <v>634843.30000000005</v>
      </c>
      <c r="AZ248" s="2076">
        <v>1.79</v>
      </c>
      <c r="BA248" s="2076">
        <v>0.08</v>
      </c>
      <c r="BB248" s="2076">
        <v>-0.03</v>
      </c>
      <c r="BC248" s="2076">
        <v>0.36</v>
      </c>
      <c r="BD248" s="2076">
        <v>0.33</v>
      </c>
      <c r="BE248" s="1289" t="s">
        <v>288</v>
      </c>
      <c r="BF248" s="2047">
        <v>3843</v>
      </c>
      <c r="BG248" s="2047">
        <v>1543</v>
      </c>
      <c r="BH248" s="2047">
        <v>5923</v>
      </c>
      <c r="BI248" s="2047">
        <v>63</v>
      </c>
      <c r="BJ248" s="2047">
        <f t="shared" si="211"/>
        <v>11372</v>
      </c>
      <c r="BK248" s="1289">
        <f t="shared" si="196"/>
        <v>114.45621230376317</v>
      </c>
      <c r="BL248" s="1289">
        <f t="shared" si="197"/>
        <v>179.43853675694689</v>
      </c>
      <c r="BM248" s="1289">
        <f t="shared" si="198"/>
        <v>205.37855258529726</v>
      </c>
      <c r="BN248" s="1289">
        <f t="shared" si="199"/>
        <v>5.5612027039201646</v>
      </c>
      <c r="BO248" s="1289">
        <v>4</v>
      </c>
      <c r="BP248" s="1289">
        <v>6.39</v>
      </c>
      <c r="BQ248" s="1289">
        <v>12.15</v>
      </c>
      <c r="BR248" s="1289">
        <f t="shared" si="248"/>
        <v>5.7600000000000007</v>
      </c>
      <c r="BS248" s="1289">
        <v>10.68</v>
      </c>
      <c r="BT248" s="1289">
        <v>13.87</v>
      </c>
      <c r="BU248" s="1289">
        <f t="shared" si="249"/>
        <v>3.1899999999999995</v>
      </c>
    </row>
    <row r="249" spans="1:73" s="154" customFormat="1" ht="9.9499999999999993" customHeight="1" x14ac:dyDescent="0.2">
      <c r="A249" s="160" t="s">
        <v>2730</v>
      </c>
      <c r="B249" s="2020" t="s">
        <v>547</v>
      </c>
      <c r="C249" s="1924">
        <v>301494.40000000002</v>
      </c>
      <c r="D249" s="1924">
        <v>1991.5</v>
      </c>
      <c r="E249" s="1924">
        <f t="shared" si="180"/>
        <v>303485.90000000002</v>
      </c>
      <c r="F249" s="1924">
        <v>28761.7</v>
      </c>
      <c r="G249" s="1924">
        <f t="shared" si="181"/>
        <v>274724.2</v>
      </c>
      <c r="H249" s="1924">
        <v>37736.300000000003</v>
      </c>
      <c r="I249" s="1924">
        <v>120286.2</v>
      </c>
      <c r="J249" s="1924">
        <v>195654.8</v>
      </c>
      <c r="K249" s="1924">
        <v>1719089.7</v>
      </c>
      <c r="L249" s="1924">
        <f t="shared" si="229"/>
        <v>1914744.5</v>
      </c>
      <c r="M249" s="1924">
        <f t="shared" si="230"/>
        <v>2035030.7</v>
      </c>
      <c r="N249" s="1924">
        <v>518.4</v>
      </c>
      <c r="O249" s="1924">
        <v>388196.4</v>
      </c>
      <c r="P249" s="1924">
        <f t="shared" si="238"/>
        <v>470897.4</v>
      </c>
      <c r="Q249" s="1924">
        <f t="shared" si="239"/>
        <v>2189987.1</v>
      </c>
      <c r="R249" s="1924">
        <v>2568885.4999999995</v>
      </c>
      <c r="S249" s="1924">
        <v>0</v>
      </c>
      <c r="T249" s="1924">
        <v>53393.8</v>
      </c>
      <c r="U249" s="1924">
        <v>1689460.7</v>
      </c>
      <c r="V249" s="1924">
        <f t="shared" si="186"/>
        <v>1742854.5</v>
      </c>
      <c r="W249" s="1924">
        <v>0</v>
      </c>
      <c r="X249" s="1924">
        <v>437.9</v>
      </c>
      <c r="Y249" s="1924">
        <v>28337.4</v>
      </c>
      <c r="Z249" s="1924">
        <f t="shared" si="240"/>
        <v>28775.300000000003</v>
      </c>
      <c r="AA249" s="1924">
        <v>24761</v>
      </c>
      <c r="AB249" s="1924">
        <v>555244.30000000005</v>
      </c>
      <c r="AC249" s="1924">
        <v>29429.599999999999</v>
      </c>
      <c r="AD249" s="1924">
        <f t="shared" si="241"/>
        <v>584673.9</v>
      </c>
      <c r="AE249" s="1924">
        <f t="shared" si="242"/>
        <v>24761</v>
      </c>
      <c r="AF249" s="1924">
        <f t="shared" si="243"/>
        <v>609076</v>
      </c>
      <c r="AG249" s="1924">
        <f t="shared" si="244"/>
        <v>1747227.7</v>
      </c>
      <c r="AH249" s="1924">
        <f t="shared" si="245"/>
        <v>2356303.7000000002</v>
      </c>
      <c r="AI249" s="1924">
        <v>14231.5</v>
      </c>
      <c r="AJ249" s="1924">
        <v>173829</v>
      </c>
      <c r="AK249" s="1924">
        <v>33593.4</v>
      </c>
      <c r="AL249" s="1924">
        <v>239.5</v>
      </c>
      <c r="AM249" s="1924">
        <f>2048443.4-11.1</f>
        <v>2048432.2999999998</v>
      </c>
      <c r="AN249" s="1924">
        <v>21321.9</v>
      </c>
      <c r="AO249" s="1924">
        <f t="shared" si="190"/>
        <v>2069754.1999999997</v>
      </c>
      <c r="AP249" s="1924">
        <f t="shared" si="246"/>
        <v>82790.167999999991</v>
      </c>
      <c r="AQ249" s="1924">
        <f t="shared" si="247"/>
        <v>1399.8819000000221</v>
      </c>
      <c r="AR249" s="1924">
        <f>84192.1-2.0501</f>
        <v>84190.049900000013</v>
      </c>
      <c r="AS249" s="1924">
        <v>5330322.2</v>
      </c>
      <c r="AT249" s="1924">
        <f t="shared" si="193"/>
        <v>387675.94990000001</v>
      </c>
      <c r="AU249" s="1924">
        <v>24740.7</v>
      </c>
      <c r="AV249" s="1924">
        <v>60611.4</v>
      </c>
      <c r="AW249" s="1924">
        <v>17551</v>
      </c>
      <c r="AX249" s="1924">
        <v>551383.4</v>
      </c>
      <c r="AY249" s="1924">
        <f t="shared" si="194"/>
        <v>654286.5</v>
      </c>
      <c r="AZ249" s="2074">
        <v>6.02</v>
      </c>
      <c r="BA249" s="2074">
        <v>-2</v>
      </c>
      <c r="BB249" s="2074">
        <v>0.48</v>
      </c>
      <c r="BC249" s="2074">
        <v>1.61</v>
      </c>
      <c r="BD249" s="2074">
        <v>0.71</v>
      </c>
      <c r="BE249" s="1267" t="s">
        <v>288</v>
      </c>
      <c r="BF249" s="2051">
        <v>3843</v>
      </c>
      <c r="BG249" s="2051">
        <v>1543</v>
      </c>
      <c r="BH249" s="2051">
        <v>5925</v>
      </c>
      <c r="BI249" s="2051">
        <v>63</v>
      </c>
      <c r="BJ249" s="2051">
        <f t="shared" si="211"/>
        <v>11374</v>
      </c>
      <c r="BK249" s="1267">
        <f t="shared" si="196"/>
        <v>115.02961069301634</v>
      </c>
      <c r="BL249" s="1267">
        <f t="shared" si="197"/>
        <v>180.09779321259009</v>
      </c>
      <c r="BM249" s="1267">
        <f t="shared" si="198"/>
        <v>207.16579039915598</v>
      </c>
      <c r="BN249" s="1267">
        <f t="shared" si="199"/>
        <v>5.5140582337038921</v>
      </c>
      <c r="BO249" s="1267">
        <v>4</v>
      </c>
      <c r="BP249" s="1267">
        <v>6.42</v>
      </c>
      <c r="BQ249" s="1267">
        <v>12.16</v>
      </c>
      <c r="BR249" s="1267">
        <f t="shared" si="248"/>
        <v>5.74</v>
      </c>
      <c r="BS249" s="1267">
        <v>10.65</v>
      </c>
      <c r="BT249" s="1267">
        <v>13.86</v>
      </c>
      <c r="BU249" s="1267">
        <f t="shared" si="249"/>
        <v>3.2099999999999991</v>
      </c>
    </row>
    <row r="250" spans="1:73" s="9" customFormat="1" ht="9.9499999999999993" customHeight="1" x14ac:dyDescent="0.2">
      <c r="A250" s="160" t="s">
        <v>2730</v>
      </c>
      <c r="B250" s="2021" t="s">
        <v>554</v>
      </c>
      <c r="C250" s="2077">
        <v>296761.40000000002</v>
      </c>
      <c r="D250" s="2077">
        <v>1999</v>
      </c>
      <c r="E250" s="2077">
        <f t="shared" si="180"/>
        <v>298760.40000000002</v>
      </c>
      <c r="F250" s="2077">
        <v>28310.7</v>
      </c>
      <c r="G250" s="2077">
        <f t="shared" si="181"/>
        <v>270449.7</v>
      </c>
      <c r="H250" s="2077">
        <v>33127.199999999997</v>
      </c>
      <c r="I250" s="2077">
        <v>119187.5</v>
      </c>
      <c r="J250" s="2077">
        <v>195153.5</v>
      </c>
      <c r="K250" s="2077">
        <v>1728968.1</v>
      </c>
      <c r="L250" s="2077">
        <f t="shared" si="229"/>
        <v>1924121.6000000001</v>
      </c>
      <c r="M250" s="2077">
        <f t="shared" si="230"/>
        <v>2043309.1</v>
      </c>
      <c r="N250" s="2077">
        <v>514.1</v>
      </c>
      <c r="O250" s="2077">
        <v>380887.4</v>
      </c>
      <c r="P250" s="2077">
        <f t="shared" si="238"/>
        <v>466117.3</v>
      </c>
      <c r="Q250" s="2077">
        <f t="shared" si="239"/>
        <v>2195085.4</v>
      </c>
      <c r="R250" s="2077">
        <v>2575440</v>
      </c>
      <c r="S250" s="2077">
        <v>0</v>
      </c>
      <c r="T250" s="2077">
        <v>53805.8</v>
      </c>
      <c r="U250" s="2077">
        <v>1692192.6</v>
      </c>
      <c r="V250" s="2077">
        <f t="shared" si="186"/>
        <v>1745998.4000000001</v>
      </c>
      <c r="W250" s="2077">
        <v>0</v>
      </c>
      <c r="X250" s="2077">
        <v>434.2</v>
      </c>
      <c r="Y250" s="2077">
        <v>28610.1</v>
      </c>
      <c r="Z250" s="2077">
        <f t="shared" si="240"/>
        <v>29044.3</v>
      </c>
      <c r="AA250" s="2077">
        <v>25064.2</v>
      </c>
      <c r="AB250" s="2077">
        <v>564425.19999999995</v>
      </c>
      <c r="AC250" s="2077">
        <v>30259.200000000001</v>
      </c>
      <c r="AD250" s="2077">
        <f t="shared" si="241"/>
        <v>594684.39999999991</v>
      </c>
      <c r="AE250" s="2077">
        <f t="shared" si="242"/>
        <v>25064.2</v>
      </c>
      <c r="AF250" s="2077">
        <f t="shared" si="243"/>
        <v>618665.19999999995</v>
      </c>
      <c r="AG250" s="2077">
        <f t="shared" si="244"/>
        <v>1751061.9000000001</v>
      </c>
      <c r="AH250" s="2077">
        <f t="shared" si="245"/>
        <v>2369727.1</v>
      </c>
      <c r="AI250" s="2077">
        <v>13313.9</v>
      </c>
      <c r="AJ250" s="2077">
        <v>172437.6</v>
      </c>
      <c r="AK250" s="2077">
        <v>37193.800000000003</v>
      </c>
      <c r="AL250" s="2077">
        <v>380.6</v>
      </c>
      <c r="AM250" s="1922">
        <f>2057320.9-11.2284</f>
        <v>2057309.6716</v>
      </c>
      <c r="AN250" s="2077">
        <v>21395.3</v>
      </c>
      <c r="AO250" s="2077">
        <f t="shared" si="190"/>
        <v>2078704.9716</v>
      </c>
      <c r="AP250" s="2077">
        <f t="shared" si="246"/>
        <v>83148.198864000005</v>
      </c>
      <c r="AQ250" s="2077">
        <f t="shared" si="247"/>
        <v>-1537.7180640000151</v>
      </c>
      <c r="AR250" s="1922">
        <f>81612.9-2.4192</f>
        <v>81610.48079999999</v>
      </c>
      <c r="AS250" s="2077">
        <v>5387225.5</v>
      </c>
      <c r="AT250" s="2077">
        <f t="shared" si="193"/>
        <v>380370.88080000004</v>
      </c>
      <c r="AU250" s="2077">
        <v>26466.7</v>
      </c>
      <c r="AV250" s="2077">
        <v>60774.8</v>
      </c>
      <c r="AW250" s="2077">
        <v>18678.400000000001</v>
      </c>
      <c r="AX250" s="2077">
        <v>561154.30000000005</v>
      </c>
      <c r="AY250" s="2077">
        <f t="shared" si="194"/>
        <v>667074.20000000007</v>
      </c>
      <c r="AZ250" s="2078">
        <v>8.6199999999999992</v>
      </c>
      <c r="BA250" s="2078">
        <v>-4.6900000000000004</v>
      </c>
      <c r="BB250" s="2078">
        <v>0.67</v>
      </c>
      <c r="BC250" s="2078">
        <v>2.2599999999999998</v>
      </c>
      <c r="BD250" s="2078">
        <v>0.94</v>
      </c>
      <c r="BE250" s="2079" t="s">
        <v>288</v>
      </c>
      <c r="BF250" s="2080">
        <v>3843</v>
      </c>
      <c r="BG250" s="2080">
        <v>1543</v>
      </c>
      <c r="BH250" s="2080">
        <v>5925</v>
      </c>
      <c r="BI250" s="2080">
        <v>63</v>
      </c>
      <c r="BJ250" s="2080">
        <f t="shared" si="211"/>
        <v>11374</v>
      </c>
      <c r="BK250" s="2079">
        <f t="shared" si="196"/>
        <v>115.18572690892121</v>
      </c>
      <c r="BL250" s="2079">
        <f t="shared" si="197"/>
        <v>180.87829010022858</v>
      </c>
      <c r="BM250" s="2079">
        <f t="shared" si="198"/>
        <v>208.3459732723756</v>
      </c>
      <c r="BN250" s="2079">
        <f t="shared" si="199"/>
        <v>5.3429574709826095</v>
      </c>
      <c r="BO250" s="2079">
        <v>4</v>
      </c>
      <c r="BP250" s="2079">
        <v>6.4</v>
      </c>
      <c r="BQ250" s="2079">
        <v>12.14</v>
      </c>
      <c r="BR250" s="2079">
        <f t="shared" si="248"/>
        <v>5.74</v>
      </c>
      <c r="BS250" s="2079">
        <v>10.6</v>
      </c>
      <c r="BT250" s="2079">
        <v>13.89</v>
      </c>
      <c r="BU250" s="2079">
        <f t="shared" si="249"/>
        <v>3.2900000000000009</v>
      </c>
    </row>
    <row r="251" spans="1:73" s="9" customFormat="1" ht="9.9499999999999993" customHeight="1" x14ac:dyDescent="0.2">
      <c r="A251" s="160" t="s">
        <v>2730</v>
      </c>
      <c r="B251" s="2020" t="s">
        <v>555</v>
      </c>
      <c r="C251" s="1924">
        <v>297779</v>
      </c>
      <c r="D251" s="1924">
        <v>2006.7</v>
      </c>
      <c r="E251" s="1924">
        <f t="shared" si="180"/>
        <v>299785.7</v>
      </c>
      <c r="F251" s="1924">
        <v>30767.5</v>
      </c>
      <c r="G251" s="1924">
        <f t="shared" si="181"/>
        <v>269018.2</v>
      </c>
      <c r="H251" s="1924">
        <v>31391.8</v>
      </c>
      <c r="I251" s="1924">
        <v>122315.4</v>
      </c>
      <c r="J251" s="1924">
        <v>202223.6</v>
      </c>
      <c r="K251" s="1924">
        <v>1751072.2</v>
      </c>
      <c r="L251" s="1924">
        <f t="shared" ref="L251:L254" si="250">J251+K251</f>
        <v>1953295.8</v>
      </c>
      <c r="M251" s="1924">
        <f t="shared" ref="M251:M254" si="251">I251+L251</f>
        <v>2075611.2</v>
      </c>
      <c r="N251" s="1924">
        <v>498.7</v>
      </c>
      <c r="O251" s="1924">
        <v>405352.2</v>
      </c>
      <c r="P251" s="1924">
        <f t="shared" si="238"/>
        <v>471740.50000000006</v>
      </c>
      <c r="Q251" s="1924">
        <f t="shared" si="239"/>
        <v>2222812.7000000002</v>
      </c>
      <c r="R251" s="1924">
        <v>2602044</v>
      </c>
      <c r="S251" s="1924">
        <v>0</v>
      </c>
      <c r="T251" s="1924">
        <v>56086.1</v>
      </c>
      <c r="U251" s="1924">
        <v>1711276.1</v>
      </c>
      <c r="V251" s="1924">
        <f t="shared" si="186"/>
        <v>1767362.2000000002</v>
      </c>
      <c r="W251" s="1924">
        <v>0</v>
      </c>
      <c r="X251" s="1924">
        <v>430.4</v>
      </c>
      <c r="Y251" s="1924">
        <v>24570.9</v>
      </c>
      <c r="Z251" s="1924">
        <f t="shared" si="240"/>
        <v>25001.300000000003</v>
      </c>
      <c r="AA251" s="1924">
        <v>25045.200000000001</v>
      </c>
      <c r="AB251" s="1924">
        <v>571881.19999999995</v>
      </c>
      <c r="AC251" s="1924">
        <v>30229.200000000001</v>
      </c>
      <c r="AD251" s="1924">
        <f t="shared" si="241"/>
        <v>602110.39999999991</v>
      </c>
      <c r="AE251" s="1924">
        <f t="shared" ref="AE251" si="252">S251+W251+AA251</f>
        <v>25045.200000000001</v>
      </c>
      <c r="AF251" s="1924">
        <f t="shared" ref="AF251:AF253" si="253">T251+X251+AB251</f>
        <v>628397.69999999995</v>
      </c>
      <c r="AG251" s="1924">
        <f t="shared" ref="AG251:AG253" si="254">U251+Y251+AC251</f>
        <v>1766076.2</v>
      </c>
      <c r="AH251" s="1924">
        <f t="shared" si="245"/>
        <v>2394473.9000000004</v>
      </c>
      <c r="AI251" s="1924">
        <v>14943.4</v>
      </c>
      <c r="AJ251" s="1924">
        <v>175317.4</v>
      </c>
      <c r="AK251" s="1924">
        <v>34280.699999999997</v>
      </c>
      <c r="AL251" s="1924">
        <v>548.6</v>
      </c>
      <c r="AM251" s="1924">
        <f>2089548.8-11.2264</f>
        <v>2089537.5736</v>
      </c>
      <c r="AN251" s="1924">
        <v>20271</v>
      </c>
      <c r="AO251" s="1924">
        <f t="shared" si="190"/>
        <v>2109808.5735999998</v>
      </c>
      <c r="AP251" s="1924">
        <f t="shared" si="246"/>
        <v>84392.342943999989</v>
      </c>
      <c r="AQ251" s="1924">
        <f t="shared" si="247"/>
        <v>20670.702956000008</v>
      </c>
      <c r="AR251" s="1924">
        <f>105067.8-4.7541</f>
        <v>105063.0459</v>
      </c>
      <c r="AS251" s="1924">
        <v>5486023.7999999998</v>
      </c>
      <c r="AT251" s="1924">
        <f t="shared" si="193"/>
        <v>404848.74589999998</v>
      </c>
      <c r="AU251" s="1924">
        <v>45657.3</v>
      </c>
      <c r="AV251" s="1924">
        <v>60445.5</v>
      </c>
      <c r="AW251" s="1924">
        <v>21519.8</v>
      </c>
      <c r="AX251" s="1924">
        <v>568615.19999999995</v>
      </c>
      <c r="AY251" s="1924">
        <f>AX251+AW251+AV251+AU251</f>
        <v>696237.8</v>
      </c>
      <c r="AZ251" s="2074">
        <v>13.46</v>
      </c>
      <c r="BA251" s="2074">
        <v>-5.85</v>
      </c>
      <c r="BB251" s="2074">
        <v>1.5</v>
      </c>
      <c r="BC251" s="2074">
        <v>3.9</v>
      </c>
      <c r="BD251" s="2074">
        <v>2.2200000000000002</v>
      </c>
      <c r="BE251" s="2074" t="s">
        <v>288</v>
      </c>
      <c r="BF251" s="2051">
        <v>3843</v>
      </c>
      <c r="BG251" s="2051">
        <v>1543</v>
      </c>
      <c r="BH251" s="2051">
        <v>5925</v>
      </c>
      <c r="BI251" s="2051">
        <v>63</v>
      </c>
      <c r="BJ251" s="2051">
        <f t="shared" si="211"/>
        <v>11374</v>
      </c>
      <c r="BK251" s="1267">
        <f t="shared" si="196"/>
        <v>114.59348375701303</v>
      </c>
      <c r="BL251" s="1267">
        <f t="shared" si="197"/>
        <v>183.7117613504484</v>
      </c>
      <c r="BM251" s="1267">
        <f t="shared" si="198"/>
        <v>210.52170740284865</v>
      </c>
      <c r="BN251" s="1267">
        <f t="shared" si="199"/>
        <v>6.5005074623272607</v>
      </c>
      <c r="BO251" s="1267">
        <v>4</v>
      </c>
      <c r="BP251" s="1267">
        <v>6.36</v>
      </c>
      <c r="BQ251" s="1267">
        <v>12.14</v>
      </c>
      <c r="BR251" s="1267">
        <f t="shared" si="248"/>
        <v>5.78</v>
      </c>
      <c r="BS251" s="1267">
        <v>10.51</v>
      </c>
      <c r="BT251" s="1267">
        <v>13.88</v>
      </c>
      <c r="BU251" s="1267">
        <f t="shared" si="249"/>
        <v>3.370000000000001</v>
      </c>
    </row>
    <row r="252" spans="1:73" s="9" customFormat="1" ht="9.9499999999999993" customHeight="1" x14ac:dyDescent="0.2">
      <c r="A252" s="160" t="s">
        <v>2730</v>
      </c>
      <c r="B252" s="236" t="s">
        <v>548</v>
      </c>
      <c r="C252" s="1922">
        <v>303257.40000000002</v>
      </c>
      <c r="D252" s="1922">
        <v>2011.3</v>
      </c>
      <c r="E252" s="1922">
        <f t="shared" si="180"/>
        <v>305268.7</v>
      </c>
      <c r="F252" s="1922">
        <v>29925.3</v>
      </c>
      <c r="G252" s="1922">
        <f t="shared" si="181"/>
        <v>275343.40000000002</v>
      </c>
      <c r="H252" s="1922">
        <v>33036.6</v>
      </c>
      <c r="I252" s="1922">
        <v>123320.4</v>
      </c>
      <c r="J252" s="1922">
        <v>210743.7</v>
      </c>
      <c r="K252" s="1922">
        <v>1763214.1</v>
      </c>
      <c r="L252" s="1922">
        <f>J252+K252</f>
        <v>1973957.8</v>
      </c>
      <c r="M252" s="1922">
        <f t="shared" si="251"/>
        <v>2097278.2000000002</v>
      </c>
      <c r="N252" s="1922">
        <v>583.4</v>
      </c>
      <c r="O252" s="1922">
        <v>436324.8</v>
      </c>
      <c r="P252" s="1922">
        <f t="shared" si="238"/>
        <v>486670.50000000006</v>
      </c>
      <c r="Q252" s="1922">
        <f t="shared" si="239"/>
        <v>2249884.6</v>
      </c>
      <c r="R252" s="1922">
        <v>2631476.7999999998</v>
      </c>
      <c r="S252" s="1922">
        <v>0</v>
      </c>
      <c r="T252" s="1922">
        <v>64096.1</v>
      </c>
      <c r="U252" s="1922">
        <v>1714769.9</v>
      </c>
      <c r="V252" s="1922">
        <f t="shared" si="186"/>
        <v>1778866</v>
      </c>
      <c r="W252" s="1922">
        <v>0</v>
      </c>
      <c r="X252" s="1922">
        <v>427.1</v>
      </c>
      <c r="Y252" s="1922">
        <v>25130</v>
      </c>
      <c r="Z252" s="1922">
        <f t="shared" si="240"/>
        <v>25557.1</v>
      </c>
      <c r="AA252" s="1922">
        <v>24586.5</v>
      </c>
      <c r="AB252" s="1922">
        <v>566504.5</v>
      </c>
      <c r="AC252" s="1922">
        <v>31072.2</v>
      </c>
      <c r="AD252" s="1922">
        <f t="shared" si="241"/>
        <v>597576.69999999995</v>
      </c>
      <c r="AE252" s="1922">
        <f t="shared" ref="AE252:AE253" si="255">S252+W252+AA252</f>
        <v>24586.5</v>
      </c>
      <c r="AF252" s="1922">
        <f t="shared" ref="AF252" si="256">T252+X252+AB252</f>
        <v>631027.69999999995</v>
      </c>
      <c r="AG252" s="1922">
        <f t="shared" ref="AG252" si="257">U252+Y252+AC252</f>
        <v>1770972.0999999999</v>
      </c>
      <c r="AH252" s="1922">
        <f t="shared" si="245"/>
        <v>2401999.7999999998</v>
      </c>
      <c r="AI252" s="1922">
        <v>15496.3</v>
      </c>
      <c r="AJ252" s="1922">
        <v>176605</v>
      </c>
      <c r="AK252" s="1922">
        <v>29366.6</v>
      </c>
      <c r="AL252" s="1922">
        <v>322.89999999999998</v>
      </c>
      <c r="AM252" s="1922">
        <f>2111680.4-11.47004</f>
        <v>2111668.9299599999</v>
      </c>
      <c r="AN252" s="1922">
        <v>21725.9</v>
      </c>
      <c r="AO252" s="1922">
        <f>AM252+AN252</f>
        <v>2133394.8299599998</v>
      </c>
      <c r="AP252" s="1922">
        <f t="shared" si="246"/>
        <v>85335.793198399988</v>
      </c>
      <c r="AQ252" s="1922">
        <f t="shared" si="247"/>
        <v>45132.434081500003</v>
      </c>
      <c r="AR252" s="1922">
        <f>130472.7-4.4727201</f>
        <v>130468.22727989999</v>
      </c>
      <c r="AS252" s="1922">
        <v>5127549.5999999996</v>
      </c>
      <c r="AT252" s="1922">
        <f t="shared" si="193"/>
        <v>435736.9272799</v>
      </c>
      <c r="AU252" s="1922">
        <v>42901.9</v>
      </c>
      <c r="AV252" s="1922">
        <v>59875.9</v>
      </c>
      <c r="AW252" s="1922">
        <v>27280.6</v>
      </c>
      <c r="AX252" s="1922">
        <v>563502</v>
      </c>
      <c r="AY252" s="1922">
        <f>AX252+AW252+AV252+AU252</f>
        <v>693560.4</v>
      </c>
      <c r="AZ252" s="2076">
        <v>12.53</v>
      </c>
      <c r="BA252" s="2076">
        <v>-1.7999999999999998</v>
      </c>
      <c r="BB252" s="2076">
        <v>2.31</v>
      </c>
      <c r="BC252" s="2076">
        <v>4.3999999999999995</v>
      </c>
      <c r="BD252" s="2076">
        <v>3.46</v>
      </c>
      <c r="BE252" s="2076" t="s">
        <v>288</v>
      </c>
      <c r="BF252" s="2047">
        <v>3843</v>
      </c>
      <c r="BG252" s="2047">
        <v>1543</v>
      </c>
      <c r="BH252" s="2047">
        <v>5925</v>
      </c>
      <c r="BI252" s="2047">
        <v>63</v>
      </c>
      <c r="BJ252" s="2047">
        <f t="shared" ref="BJ252" si="258">SUM(BF252:BI252)</f>
        <v>11374</v>
      </c>
      <c r="BK252" s="1289">
        <f t="shared" si="196"/>
        <v>113.74888202979334</v>
      </c>
      <c r="BL252" s="1289">
        <f t="shared" si="197"/>
        <v>185.65754615438718</v>
      </c>
      <c r="BM252" s="1289">
        <f t="shared" si="198"/>
        <v>211.18338315456302</v>
      </c>
      <c r="BN252" s="1289">
        <f t="shared" si="199"/>
        <v>7.5955811540466351</v>
      </c>
      <c r="BO252" s="1289">
        <v>4</v>
      </c>
      <c r="BP252" s="1289">
        <v>6.34</v>
      </c>
      <c r="BQ252" s="1289">
        <v>12.03</v>
      </c>
      <c r="BR252" s="1289">
        <f t="shared" si="248"/>
        <v>5.6899999999999995</v>
      </c>
      <c r="BS252" s="1289">
        <v>10.44</v>
      </c>
      <c r="BT252" s="1289">
        <v>13.85</v>
      </c>
      <c r="BU252" s="1289">
        <f t="shared" si="249"/>
        <v>3.41</v>
      </c>
    </row>
    <row r="253" spans="1:73" s="9" customFormat="1" ht="9.9499999999999993" customHeight="1" x14ac:dyDescent="0.2">
      <c r="A253" s="160" t="s">
        <v>2730</v>
      </c>
      <c r="B253" s="275" t="s">
        <v>556</v>
      </c>
      <c r="C253" s="1924">
        <v>310150.8</v>
      </c>
      <c r="D253" s="1924">
        <v>2015.1</v>
      </c>
      <c r="E253" s="1924">
        <f>C253+D253</f>
        <v>312165.89999999997</v>
      </c>
      <c r="F253" s="1924">
        <v>29539.1</v>
      </c>
      <c r="G253" s="1924">
        <f t="shared" si="181"/>
        <v>282626.8</v>
      </c>
      <c r="H253" s="1924">
        <v>29365</v>
      </c>
      <c r="I253" s="1924">
        <v>122935.3</v>
      </c>
      <c r="J253" s="1924">
        <v>198404.8</v>
      </c>
      <c r="K253" s="1924">
        <v>1768974.3</v>
      </c>
      <c r="L253" s="1924">
        <f t="shared" si="250"/>
        <v>1967379.1</v>
      </c>
      <c r="M253" s="1924">
        <f t="shared" si="251"/>
        <v>2090314.4000000001</v>
      </c>
      <c r="N253" s="1924">
        <v>527.4</v>
      </c>
      <c r="O253" s="1924">
        <v>417955.1</v>
      </c>
      <c r="P253" s="1924">
        <f t="shared" si="238"/>
        <v>481559</v>
      </c>
      <c r="Q253" s="1924">
        <f t="shared" si="239"/>
        <v>2250533.2999999998</v>
      </c>
      <c r="R253" s="1924">
        <v>2629420</v>
      </c>
      <c r="S253" s="1924">
        <v>0</v>
      </c>
      <c r="T253" s="1924">
        <v>64544.5</v>
      </c>
      <c r="U253" s="1924">
        <v>1707995</v>
      </c>
      <c r="V253" s="1924">
        <v>1772539.5</v>
      </c>
      <c r="W253" s="1924">
        <v>0</v>
      </c>
      <c r="X253" s="1924">
        <v>424.3</v>
      </c>
      <c r="Y253" s="1924">
        <v>25121.4</v>
      </c>
      <c r="Z253" s="1924">
        <f t="shared" si="240"/>
        <v>25545.7</v>
      </c>
      <c r="AA253" s="1924">
        <v>24553.5</v>
      </c>
      <c r="AB253" s="1924">
        <v>587809.19999999995</v>
      </c>
      <c r="AC253" s="1924">
        <v>31337.5</v>
      </c>
      <c r="AD253" s="1924">
        <f t="shared" ref="AD253" si="259">AB253+AC253</f>
        <v>619146.69999999995</v>
      </c>
      <c r="AE253" s="1924">
        <f t="shared" si="255"/>
        <v>24553.5</v>
      </c>
      <c r="AF253" s="1924">
        <f t="shared" si="253"/>
        <v>652778</v>
      </c>
      <c r="AG253" s="1924">
        <f t="shared" si="254"/>
        <v>1764453.9</v>
      </c>
      <c r="AH253" s="1924">
        <f t="shared" si="245"/>
        <v>2417231.9</v>
      </c>
      <c r="AI253" s="1924">
        <v>15071.9</v>
      </c>
      <c r="AJ253" s="1924">
        <v>179169</v>
      </c>
      <c r="AK253" s="1924">
        <v>32069.1</v>
      </c>
      <c r="AL253" s="1924">
        <v>380.2</v>
      </c>
      <c r="AM253" s="1924">
        <f>2106594.5-11.8836845</f>
        <v>2106582.6163154999</v>
      </c>
      <c r="AN253" s="1924">
        <v>20486.599999999999</v>
      </c>
      <c r="AO253" s="1924">
        <f t="shared" ref="AO253:AO254" si="260">AM253+AN253</f>
        <v>2127069.2163155</v>
      </c>
      <c r="AP253" s="1924">
        <f t="shared" ref="AP253" si="261">0.04*AO253</f>
        <v>85082.768652619998</v>
      </c>
      <c r="AQ253" s="1924">
        <f t="shared" si="247"/>
        <v>20174.890747380006</v>
      </c>
      <c r="AR253" s="1924">
        <f>105261.8-4.1406</f>
        <v>105257.6594</v>
      </c>
      <c r="AS253" s="1924">
        <v>5133259.5</v>
      </c>
      <c r="AT253" s="1924">
        <f t="shared" si="193"/>
        <v>417423.55939999997</v>
      </c>
      <c r="AU253" s="1924">
        <v>35609.800000000003</v>
      </c>
      <c r="AV253" s="1924">
        <v>59510.3</v>
      </c>
      <c r="AW253" s="1924">
        <v>27514</v>
      </c>
      <c r="AX253" s="1924">
        <v>584819.80000000005</v>
      </c>
      <c r="AY253" s="1924">
        <f>AX253+AW253+AV253+AU253</f>
        <v>707453.90000000014</v>
      </c>
      <c r="AZ253" s="2074">
        <v>15.370000000000001</v>
      </c>
      <c r="BA253" s="2074">
        <v>-0.86999999999999988</v>
      </c>
      <c r="BB253" s="2074">
        <v>1.9300000000000002</v>
      </c>
      <c r="BC253" s="2074">
        <v>4.74</v>
      </c>
      <c r="BD253" s="2074">
        <v>3.49</v>
      </c>
      <c r="BE253" s="2074" t="s">
        <v>288</v>
      </c>
      <c r="BF253" s="2051">
        <v>3843</v>
      </c>
      <c r="BG253" s="2051">
        <v>1543</v>
      </c>
      <c r="BH253" s="2051">
        <v>5925</v>
      </c>
      <c r="BI253" s="2051">
        <v>63</v>
      </c>
      <c r="BJ253" s="2051">
        <f t="shared" si="211"/>
        <v>11374</v>
      </c>
      <c r="BK253" s="1267">
        <f t="shared" si="196"/>
        <v>114.74659865122396</v>
      </c>
      <c r="BL253" s="1267">
        <f t="shared" si="197"/>
        <v>185.21035838891331</v>
      </c>
      <c r="BM253" s="1267">
        <f t="shared" si="198"/>
        <v>212.52258660101987</v>
      </c>
      <c r="BN253" s="1267">
        <f t="shared" si="199"/>
        <v>6.3988356476502739</v>
      </c>
      <c r="BO253" s="1267">
        <v>4</v>
      </c>
      <c r="BP253" s="1267">
        <v>6.37</v>
      </c>
      <c r="BQ253" s="1267">
        <v>12.02</v>
      </c>
      <c r="BR253" s="1267">
        <f t="shared" si="248"/>
        <v>5.6499999999999995</v>
      </c>
      <c r="BS253" s="1267">
        <v>10.35</v>
      </c>
      <c r="BT253" s="1267">
        <v>13.83</v>
      </c>
      <c r="BU253" s="1267">
        <f t="shared" si="249"/>
        <v>3.4800000000000004</v>
      </c>
    </row>
    <row r="254" spans="1:73" ht="9.9499999999999993" customHeight="1" thickBot="1" x14ac:dyDescent="0.25">
      <c r="A254" s="160" t="s">
        <v>2730</v>
      </c>
      <c r="B254" s="1673" t="s">
        <v>557</v>
      </c>
      <c r="C254" s="2081">
        <v>315910.7</v>
      </c>
      <c r="D254" s="2081">
        <v>2018.8</v>
      </c>
      <c r="E254" s="2081">
        <f>C254+D254</f>
        <v>317929.5</v>
      </c>
      <c r="F254" s="2081">
        <v>31525.4</v>
      </c>
      <c r="G254" s="2081">
        <f t="shared" si="181"/>
        <v>286404.09999999998</v>
      </c>
      <c r="H254" s="2081">
        <v>29712.3</v>
      </c>
      <c r="I254" s="2081">
        <v>123184.5</v>
      </c>
      <c r="J254" s="2081">
        <v>202786</v>
      </c>
      <c r="K254" s="2081">
        <v>1792128.1</v>
      </c>
      <c r="L254" s="2081">
        <f t="shared" si="250"/>
        <v>1994914.1</v>
      </c>
      <c r="M254" s="2081">
        <f t="shared" si="251"/>
        <v>2118098.6</v>
      </c>
      <c r="N254" s="2081">
        <v>547.20000000000005</v>
      </c>
      <c r="O254" s="2081">
        <v>424618.8</v>
      </c>
      <c r="P254" s="2081">
        <f>G254+J254+N254</f>
        <v>489737.3</v>
      </c>
      <c r="Q254" s="2081">
        <f>K254+P254</f>
        <v>2281865.4</v>
      </c>
      <c r="R254" s="2081">
        <v>2659910.8000000003</v>
      </c>
      <c r="S254" s="2081">
        <v>0</v>
      </c>
      <c r="T254" s="2081">
        <v>63243.8</v>
      </c>
      <c r="U254" s="2081">
        <v>1712649.7</v>
      </c>
      <c r="V254" s="2081">
        <v>1775893.5</v>
      </c>
      <c r="W254" s="2081">
        <v>0</v>
      </c>
      <c r="X254" s="2081">
        <v>422.5</v>
      </c>
      <c r="Y254" s="2081">
        <v>24730.400000000001</v>
      </c>
      <c r="Z254" s="2081">
        <f t="shared" si="240"/>
        <v>25152.9</v>
      </c>
      <c r="AA254" s="2081">
        <v>24456.5</v>
      </c>
      <c r="AB254" s="2081">
        <v>610958.6</v>
      </c>
      <c r="AC254" s="2081">
        <v>31519.8</v>
      </c>
      <c r="AD254" s="2081">
        <f t="shared" ref="AD254" si="262">AB254+AC254</f>
        <v>642478.4</v>
      </c>
      <c r="AE254" s="2081">
        <f t="shared" ref="AE254" si="263">S254+W254+AA254</f>
        <v>24456.5</v>
      </c>
      <c r="AF254" s="2081">
        <f t="shared" ref="AF254" si="264">T254+X254+AB254</f>
        <v>674624.9</v>
      </c>
      <c r="AG254" s="2081">
        <f t="shared" ref="AG254" si="265">U254+Y254+AC254</f>
        <v>1768899.9</v>
      </c>
      <c r="AH254" s="2081">
        <f t="shared" ref="AH254" si="266">V254+Z254+AD254</f>
        <v>2443524.7999999998</v>
      </c>
      <c r="AI254" s="2081">
        <v>14586.3</v>
      </c>
      <c r="AJ254" s="2081">
        <v>187839.7</v>
      </c>
      <c r="AK254" s="2081">
        <v>32101.5</v>
      </c>
      <c r="AL254" s="2081">
        <v>459.7</v>
      </c>
      <c r="AM254" s="2081">
        <f>2132379.6-11.4044674</f>
        <v>2132368.1955325999</v>
      </c>
      <c r="AN254" s="2081">
        <v>21509.3</v>
      </c>
      <c r="AO254" s="2081">
        <f t="shared" si="260"/>
        <v>2153877.4955325997</v>
      </c>
      <c r="AP254" s="2081">
        <f t="shared" ref="AP254" si="267">0.04*AO254</f>
        <v>86155.099821303986</v>
      </c>
      <c r="AQ254" s="2081">
        <f t="shared" ref="AQ254" si="268">AR254-AP254</f>
        <v>19983.305878696017</v>
      </c>
      <c r="AR254" s="2081">
        <f>106142.1-3.6943</f>
        <v>106138.4057</v>
      </c>
      <c r="AS254" s="2081">
        <v>5207683.4000000004</v>
      </c>
      <c r="AT254" s="2081">
        <f t="shared" si="193"/>
        <v>424067.9057</v>
      </c>
      <c r="AU254" s="2081">
        <v>31584.5</v>
      </c>
      <c r="AV254" s="2081">
        <v>59726.2</v>
      </c>
      <c r="AW254" s="2081">
        <v>26064.3</v>
      </c>
      <c r="AX254" s="2081">
        <v>607928.9</v>
      </c>
      <c r="AY254" s="2081">
        <f>AX254+AW254+AV254+AU254</f>
        <v>725303.9</v>
      </c>
      <c r="AZ254" s="2082">
        <v>-18.709999999999997</v>
      </c>
      <c r="BA254" s="2082">
        <v>0.47000000000000003</v>
      </c>
      <c r="BB254" s="2082">
        <v>-2.19</v>
      </c>
      <c r="BC254" s="2082">
        <v>-5.67</v>
      </c>
      <c r="BD254" s="2082">
        <v>-4.93</v>
      </c>
      <c r="BE254" s="2082" t="s">
        <v>288</v>
      </c>
      <c r="BF254" s="2083">
        <v>3843</v>
      </c>
      <c r="BG254" s="2083">
        <v>1543</v>
      </c>
      <c r="BH254" s="2083">
        <v>5925</v>
      </c>
      <c r="BI254" s="2083">
        <v>63</v>
      </c>
      <c r="BJ254" s="2083">
        <f t="shared" ref="BJ254" si="269">SUM(BF254:BI254)</f>
        <v>11374</v>
      </c>
      <c r="BK254" s="2084">
        <f t="shared" si="196"/>
        <v>114.59206740746208</v>
      </c>
      <c r="BL254" s="2084">
        <f t="shared" si="197"/>
        <v>187.47742179818886</v>
      </c>
      <c r="BM254" s="2084">
        <f t="shared" si="198"/>
        <v>214.83425356075259</v>
      </c>
      <c r="BN254" s="2084">
        <f t="shared" si="199"/>
        <v>6.4559116004642814</v>
      </c>
      <c r="BO254" s="2084">
        <v>4</v>
      </c>
      <c r="BP254" s="2084">
        <v>6.34</v>
      </c>
      <c r="BQ254" s="2084">
        <v>12.03</v>
      </c>
      <c r="BR254" s="2084">
        <f t="shared" si="248"/>
        <v>5.6899999999999995</v>
      </c>
      <c r="BS254" s="2084">
        <v>10.44</v>
      </c>
      <c r="BT254" s="2084">
        <v>13.85</v>
      </c>
      <c r="BU254" s="2084">
        <f t="shared" si="249"/>
        <v>3.41</v>
      </c>
    </row>
    <row r="255" spans="1:73" ht="9.9499999999999993" customHeight="1" thickBot="1" x14ac:dyDescent="0.25">
      <c r="A255" s="160" t="s">
        <v>2730</v>
      </c>
      <c r="B255" s="236" t="s">
        <v>549</v>
      </c>
      <c r="C255" s="1922">
        <v>340067.2</v>
      </c>
      <c r="D255" s="1922">
        <v>2017.9</v>
      </c>
      <c r="E255" s="1922">
        <v>342085.10000000003</v>
      </c>
      <c r="F255" s="1922">
        <v>39066.400000000001</v>
      </c>
      <c r="G255" s="1922">
        <v>303018.7</v>
      </c>
      <c r="H255" s="2085">
        <v>28587.4</v>
      </c>
      <c r="I255" s="2085">
        <v>123764.2</v>
      </c>
      <c r="J255" s="2085">
        <v>215279.3</v>
      </c>
      <c r="K255" s="2085">
        <v>1816757.8</v>
      </c>
      <c r="L255" s="2085">
        <v>2032037.1</v>
      </c>
      <c r="M255" s="2085">
        <v>2155801.3000000003</v>
      </c>
      <c r="N255" s="2085">
        <v>542.1</v>
      </c>
      <c r="O255" s="2085">
        <v>443269.5</v>
      </c>
      <c r="P255" s="2085">
        <v>518840.1</v>
      </c>
      <c r="Q255" s="2085">
        <v>2335597.9</v>
      </c>
      <c r="R255" s="2085">
        <v>2711974.6000000006</v>
      </c>
      <c r="S255" s="2085">
        <v>0</v>
      </c>
      <c r="T255" s="2085">
        <v>58849.1</v>
      </c>
      <c r="U255" s="2085">
        <v>1728454.5</v>
      </c>
      <c r="V255" s="2085">
        <v>1787303.6</v>
      </c>
      <c r="W255" s="2085">
        <v>0</v>
      </c>
      <c r="X255" s="2085">
        <v>425.4</v>
      </c>
      <c r="Y255" s="2085">
        <v>23284.400000000001</v>
      </c>
      <c r="Z255" s="2085">
        <v>23709.800000000003</v>
      </c>
      <c r="AA255" s="2085">
        <v>24718.6</v>
      </c>
      <c r="AB255" s="2085">
        <v>623656.9</v>
      </c>
      <c r="AC255" s="2085">
        <v>31562.799999999999</v>
      </c>
      <c r="AD255" s="2085">
        <v>655219.70000000007</v>
      </c>
      <c r="AE255" s="2085">
        <v>24718.6</v>
      </c>
      <c r="AF255" s="2085">
        <v>682931.4</v>
      </c>
      <c r="AG255" s="2085">
        <v>1783301.7</v>
      </c>
      <c r="AH255" s="2085">
        <v>2466233.1</v>
      </c>
      <c r="AI255" s="2085">
        <v>15388.3</v>
      </c>
      <c r="AJ255" s="2085">
        <v>189548.79999999999</v>
      </c>
      <c r="AK255" s="2085">
        <v>31030.799999999999</v>
      </c>
      <c r="AL255" s="2085">
        <v>623.70000000000005</v>
      </c>
      <c r="AM255" s="2085">
        <v>2170516.9805000001</v>
      </c>
      <c r="AN255" s="2085">
        <v>20152.099999999999</v>
      </c>
      <c r="AO255" s="2085">
        <v>2190669.0805000002</v>
      </c>
      <c r="AP255" s="2085">
        <v>87626.763220000008</v>
      </c>
      <c r="AQ255" s="2085">
        <v>13003.273279999994</v>
      </c>
      <c r="AR255" s="2085">
        <v>100630.0365</v>
      </c>
      <c r="AS255" s="2085">
        <v>5353001.7</v>
      </c>
      <c r="AT255" s="2085">
        <v>442715.13650000002</v>
      </c>
      <c r="AU255" s="2085">
        <v>59185.8</v>
      </c>
      <c r="AV255" s="2085">
        <v>59764.800000000003</v>
      </c>
      <c r="AW255" s="2085">
        <v>24064.3</v>
      </c>
      <c r="AX255" s="2085">
        <v>620643.9</v>
      </c>
      <c r="AY255" s="2085">
        <v>763658.80000000016</v>
      </c>
      <c r="AZ255" s="2085">
        <v>26.44</v>
      </c>
      <c r="BA255" s="2085">
        <v>-5.41</v>
      </c>
      <c r="BB255" s="2085">
        <v>3.02</v>
      </c>
      <c r="BC255" s="2085">
        <v>7.85</v>
      </c>
      <c r="BD255" s="2085">
        <v>7.3999999999999995</v>
      </c>
      <c r="BE255" s="2085" t="s">
        <v>288</v>
      </c>
      <c r="BF255" s="2085">
        <v>3847</v>
      </c>
      <c r="BG255" s="2086">
        <v>1543</v>
      </c>
      <c r="BH255" s="2087">
        <v>5969</v>
      </c>
      <c r="BI255" s="2087">
        <v>63</v>
      </c>
      <c r="BJ255" s="2087">
        <v>11422</v>
      </c>
      <c r="BK255" s="2087">
        <v>113.6242251111935</v>
      </c>
      <c r="BL255" s="2087">
        <v>190.02950275783576</v>
      </c>
      <c r="BM255" s="2087">
        <v>215.91954999124496</v>
      </c>
      <c r="BN255" s="2088">
        <v>6.4360904685398745</v>
      </c>
      <c r="BO255" s="2088">
        <v>4</v>
      </c>
      <c r="BP255" s="2088">
        <v>6.24</v>
      </c>
      <c r="BQ255" s="2088">
        <v>11.96</v>
      </c>
      <c r="BR255" s="2088">
        <v>5.7200000000000006</v>
      </c>
      <c r="BS255" s="2089">
        <v>10.24</v>
      </c>
      <c r="BT255" s="2089">
        <v>13.78</v>
      </c>
      <c r="BU255" s="2089">
        <v>3.5399999999999991</v>
      </c>
    </row>
    <row r="256" spans="1:73" x14ac:dyDescent="0.2">
      <c r="B256" s="2022" t="s">
        <v>30</v>
      </c>
      <c r="C256" s="2312" t="s">
        <v>1390</v>
      </c>
      <c r="D256" s="2312"/>
      <c r="E256" s="2312"/>
      <c r="F256" s="2312"/>
      <c r="G256" s="2312"/>
      <c r="H256" s="2312"/>
      <c r="I256" s="2312"/>
      <c r="J256" s="2312"/>
      <c r="K256" s="1456" t="s">
        <v>2294</v>
      </c>
      <c r="L256" s="2344" t="s">
        <v>185</v>
      </c>
      <c r="M256" s="2344"/>
      <c r="N256" s="2344"/>
      <c r="O256" s="2344"/>
      <c r="P256" s="2344"/>
      <c r="Q256" s="2344"/>
      <c r="R256" s="2344"/>
      <c r="S256" s="2345" t="s">
        <v>1783</v>
      </c>
      <c r="T256" s="2345"/>
      <c r="U256" s="2345"/>
      <c r="V256" s="2345"/>
      <c r="W256" s="2345"/>
      <c r="X256" s="2345"/>
      <c r="Y256" s="2345"/>
      <c r="Z256" s="2345"/>
      <c r="AA256" s="1457" t="s">
        <v>2714</v>
      </c>
      <c r="AB256" s="2339" t="s">
        <v>1187</v>
      </c>
      <c r="AC256" s="2339"/>
      <c r="AD256" s="2339"/>
      <c r="AE256" s="2339"/>
      <c r="AF256" s="2339"/>
      <c r="AG256" s="2339"/>
      <c r="AH256" s="2339"/>
      <c r="AI256" s="1458"/>
      <c r="AJ256" s="1458"/>
      <c r="AK256" s="1458"/>
      <c r="AL256" s="1458"/>
      <c r="AM256" s="1458"/>
      <c r="AN256" s="1458"/>
      <c r="AO256" s="214"/>
      <c r="AP256" s="1455" t="s">
        <v>671</v>
      </c>
      <c r="AQ256" s="1459" t="s">
        <v>1301</v>
      </c>
      <c r="AR256" s="1459"/>
      <c r="AS256" s="1459"/>
      <c r="AT256" s="1459"/>
      <c r="AU256" s="1459"/>
      <c r="AV256" s="1459"/>
      <c r="AW256" s="1459"/>
      <c r="AX256" s="1459"/>
      <c r="AY256" s="1459"/>
      <c r="AZ256" s="2312"/>
      <c r="BA256" s="2312"/>
      <c r="BB256" s="2312"/>
      <c r="BC256" s="2312"/>
      <c r="BD256" s="2312"/>
      <c r="BE256" s="2312"/>
      <c r="BF256" s="2312"/>
      <c r="BG256" s="2312"/>
      <c r="BH256" s="2312"/>
      <c r="BI256" s="2312"/>
      <c r="BJ256" s="1459"/>
      <c r="BK256" s="1455" t="s">
        <v>976</v>
      </c>
      <c r="BL256" s="1459" t="s">
        <v>977</v>
      </c>
      <c r="BM256" s="1459"/>
      <c r="BN256" s="1459"/>
      <c r="BO256" s="1459"/>
      <c r="BP256" s="1459"/>
      <c r="BQ256" s="1459"/>
      <c r="BR256" s="1459"/>
      <c r="BS256" s="1459"/>
      <c r="BT256" s="1459"/>
      <c r="BU256" s="1459"/>
    </row>
    <row r="257" spans="1:73" ht="12" x14ac:dyDescent="0.2">
      <c r="B257" s="2023"/>
      <c r="C257" s="2311" t="s">
        <v>2116</v>
      </c>
      <c r="D257" s="2311"/>
      <c r="E257" s="2311"/>
      <c r="F257" s="2311"/>
      <c r="G257" s="2311"/>
      <c r="H257" s="2311"/>
      <c r="I257" s="2311"/>
      <c r="J257" s="2311"/>
      <c r="K257" s="424"/>
      <c r="L257" s="2296" t="s">
        <v>1163</v>
      </c>
      <c r="M257" s="2296"/>
      <c r="N257" s="424"/>
      <c r="O257" s="816"/>
      <c r="P257" s="816"/>
      <c r="Q257" s="816"/>
      <c r="R257" s="816"/>
      <c r="S257" s="582"/>
      <c r="T257" s="582"/>
      <c r="U257" s="582"/>
      <c r="V257" s="582"/>
      <c r="W257" s="582"/>
      <c r="X257" s="582"/>
      <c r="Y257" s="582"/>
      <c r="Z257" s="582"/>
      <c r="AA257" s="422"/>
      <c r="AB257" s="2340" t="s">
        <v>1204</v>
      </c>
      <c r="AC257" s="2340"/>
      <c r="AD257" s="2340"/>
      <c r="AE257" s="2340"/>
      <c r="AF257" s="2340"/>
      <c r="AG257" s="2340"/>
      <c r="AH257" s="2340"/>
      <c r="AI257" s="824"/>
      <c r="AJ257" s="423"/>
      <c r="AK257" s="423"/>
      <c r="AL257" s="423"/>
      <c r="AM257" s="425"/>
      <c r="AN257" s="433"/>
      <c r="AO257" s="433"/>
      <c r="AP257" s="424"/>
      <c r="AQ257" s="2296" t="s">
        <v>1498</v>
      </c>
      <c r="AR257" s="2296"/>
      <c r="AS257" s="2296"/>
      <c r="AT257" s="2296"/>
      <c r="AU257" s="2296"/>
      <c r="AV257" s="2296"/>
      <c r="AW257" s="2296"/>
      <c r="AX257" s="2296"/>
      <c r="AY257" s="2296"/>
      <c r="AZ257" s="422"/>
      <c r="BA257" s="422"/>
      <c r="BB257" s="422"/>
      <c r="BC257" s="9"/>
      <c r="BD257" s="9"/>
      <c r="BE257" s="9"/>
      <c r="BF257" s="9"/>
      <c r="BG257" s="9"/>
      <c r="BH257" s="9"/>
      <c r="BI257" s="9"/>
      <c r="BJ257" s="9"/>
      <c r="BK257" s="424"/>
      <c r="BL257" s="424" t="s">
        <v>1275</v>
      </c>
      <c r="BM257" s="423"/>
      <c r="BN257" s="423"/>
      <c r="BO257" s="423"/>
      <c r="BP257" s="423"/>
      <c r="BQ257" s="423"/>
      <c r="BR257" s="424"/>
      <c r="BS257" s="34"/>
      <c r="BT257" s="424"/>
      <c r="BU257" s="424"/>
    </row>
    <row r="258" spans="1:73" ht="12" x14ac:dyDescent="0.2">
      <c r="B258" s="423"/>
      <c r="C258" s="2296" t="s">
        <v>1273</v>
      </c>
      <c r="D258" s="2296"/>
      <c r="E258" s="2296"/>
      <c r="F258" s="2296"/>
      <c r="G258" s="2296"/>
      <c r="H258" s="2296"/>
      <c r="I258" s="2296"/>
      <c r="J258" s="2296"/>
      <c r="K258" s="824"/>
      <c r="L258" s="824"/>
      <c r="M258" s="9"/>
      <c r="N258" s="824"/>
      <c r="O258" s="1093"/>
      <c r="P258" s="816"/>
      <c r="Q258" s="1320"/>
      <c r="R258" s="816"/>
      <c r="S258" s="2297"/>
      <c r="T258" s="2297"/>
      <c r="U258" s="2297"/>
      <c r="V258" s="2297"/>
      <c r="W258" s="2297"/>
      <c r="X258" s="2297"/>
      <c r="Y258" s="2297"/>
      <c r="Z258" s="2297"/>
      <c r="AA258" s="423"/>
      <c r="AB258" s="442"/>
      <c r="AC258" s="442"/>
      <c r="AD258" s="423"/>
      <c r="AE258" s="423"/>
      <c r="AF258" s="423"/>
      <c r="AG258" s="423"/>
      <c r="AH258" s="425"/>
      <c r="AI258" s="423"/>
      <c r="AJ258" s="423"/>
      <c r="AK258" s="423"/>
      <c r="AL258" s="423"/>
      <c r="AM258" s="1654"/>
      <c r="AN258" s="433"/>
      <c r="AO258" s="425"/>
      <c r="AP258" s="426"/>
      <c r="AQ258" s="2296" t="s">
        <v>1300</v>
      </c>
      <c r="AR258" s="2296"/>
      <c r="AS258" s="2296"/>
      <c r="AT258" s="2296"/>
      <c r="AU258" s="2296"/>
      <c r="AV258" s="2296"/>
      <c r="AW258" s="2296"/>
      <c r="AX258" s="2296"/>
      <c r="AY258" s="2296"/>
      <c r="AZ258" s="424"/>
      <c r="BA258" s="424"/>
      <c r="BB258" s="424"/>
      <c r="BC258" s="424"/>
      <c r="BD258" s="9"/>
      <c r="BE258" s="9"/>
      <c r="BF258" s="9"/>
      <c r="BG258" s="9"/>
      <c r="BH258" s="9"/>
      <c r="BI258" s="9"/>
      <c r="BJ258" s="9"/>
      <c r="BK258" s="424"/>
      <c r="BL258" s="459" t="s">
        <v>1851</v>
      </c>
      <c r="BM258" s="459"/>
      <c r="BN258" s="423"/>
      <c r="BO258" s="423"/>
      <c r="BP258" s="423"/>
      <c r="BQ258" s="423"/>
      <c r="BR258" s="424"/>
      <c r="BS258" s="424"/>
      <c r="BT258" s="424"/>
      <c r="BU258" s="424"/>
    </row>
    <row r="259" spans="1:73" ht="12" x14ac:dyDescent="0.2">
      <c r="A259" s="160"/>
      <c r="B259" s="2024" t="s">
        <v>257</v>
      </c>
      <c r="C259" s="422" t="s">
        <v>1206</v>
      </c>
      <c r="D259" s="422"/>
      <c r="E259" s="422"/>
      <c r="F259" s="421"/>
      <c r="G259" s="1632"/>
      <c r="H259" s="421"/>
      <c r="I259" s="38" t="s">
        <v>1294</v>
      </c>
      <c r="J259" s="757"/>
      <c r="K259" s="757"/>
      <c r="L259" s="895"/>
      <c r="M259" s="9"/>
      <c r="N259" s="424"/>
      <c r="O259" s="1093"/>
      <c r="P259" s="816"/>
      <c r="Q259" s="1320"/>
      <c r="R259" s="816"/>
      <c r="S259" s="824"/>
      <c r="V259" s="424"/>
      <c r="W259" s="424"/>
      <c r="X259" s="426"/>
      <c r="Y259" s="424"/>
      <c r="Z259" s="424"/>
      <c r="AA259" s="424"/>
      <c r="AB259" s="442"/>
      <c r="AC259" s="442"/>
      <c r="AD259" s="424"/>
      <c r="AE259" s="424"/>
      <c r="AF259" s="424"/>
      <c r="AG259" s="424"/>
      <c r="AH259" s="424"/>
      <c r="AI259" s="424"/>
      <c r="AJ259" s="424"/>
      <c r="AK259" s="424"/>
      <c r="AL259" s="424"/>
      <c r="AO259" s="425"/>
      <c r="AP259" s="424"/>
      <c r="AQ259" s="2338" t="s">
        <v>1539</v>
      </c>
      <c r="AR259" s="2338"/>
      <c r="AS259" s="2338"/>
      <c r="AT259" s="2338"/>
      <c r="AU259" s="2338"/>
      <c r="AV259" s="2338"/>
      <c r="AW259" s="2338"/>
      <c r="AX259" s="2338"/>
      <c r="AY259" s="2338"/>
      <c r="AZ259" s="426"/>
      <c r="BA259" s="426"/>
      <c r="BB259" s="424"/>
      <c r="BC259" s="9"/>
      <c r="BD259" s="9"/>
      <c r="BE259" s="424"/>
      <c r="BF259" s="9"/>
      <c r="BG259" s="9"/>
      <c r="BH259" s="9"/>
      <c r="BI259" s="9"/>
      <c r="BJ259" s="9"/>
      <c r="BK259" s="1416" t="s">
        <v>16</v>
      </c>
      <c r="BL259" s="426" t="s">
        <v>1206</v>
      </c>
      <c r="BO259" s="424"/>
      <c r="BP259" s="424"/>
      <c r="BQ259" s="424"/>
      <c r="BR259" s="424"/>
      <c r="BS259" s="424"/>
      <c r="BT259" s="424"/>
      <c r="BU259" s="424"/>
    </row>
    <row r="260" spans="1:73" x14ac:dyDescent="0.2">
      <c r="B260" s="793"/>
      <c r="C260" s="9"/>
      <c r="D260" s="9"/>
      <c r="E260" s="9"/>
      <c r="F260" s="9"/>
      <c r="G260" s="1632"/>
      <c r="H260" s="9"/>
      <c r="I260" s="9"/>
      <c r="J260" s="9"/>
      <c r="K260" s="9"/>
      <c r="L260" s="9"/>
      <c r="M260" s="9"/>
      <c r="O260" s="1093"/>
      <c r="P260" s="816"/>
      <c r="Q260" s="1320"/>
      <c r="R260" s="816"/>
      <c r="S260" s="35"/>
      <c r="X260" s="214"/>
      <c r="AI260" s="35"/>
      <c r="AJ260" s="35"/>
      <c r="AK260" s="35"/>
      <c r="AL260" s="35"/>
      <c r="AM260" s="35"/>
      <c r="AO260" s="425"/>
      <c r="AP260" s="9"/>
      <c r="AQ260" s="9"/>
      <c r="AR260" s="9"/>
      <c r="AS260" s="9"/>
      <c r="AT260" s="9"/>
      <c r="AU260" s="9"/>
      <c r="AV260" s="9"/>
      <c r="AW260" s="9"/>
      <c r="AX260" s="38"/>
      <c r="AY260" s="9"/>
      <c r="BL260" s="9"/>
      <c r="BM260" s="9"/>
      <c r="BN260" s="9"/>
      <c r="BO260" s="9"/>
    </row>
    <row r="261" spans="1:73" ht="12.75" x14ac:dyDescent="0.2">
      <c r="B261" s="24"/>
      <c r="C261" s="433"/>
      <c r="D261" s="433"/>
      <c r="E261" s="433"/>
      <c r="F261" s="433"/>
      <c r="G261" s="433"/>
      <c r="H261" s="433"/>
      <c r="I261" s="433"/>
      <c r="J261" s="433"/>
      <c r="K261" s="433"/>
      <c r="L261" s="433"/>
      <c r="M261" s="824"/>
      <c r="N261" s="433"/>
      <c r="O261" s="1093"/>
      <c r="P261" s="816"/>
      <c r="Q261" s="1320"/>
      <c r="R261" s="816"/>
      <c r="S261" s="35"/>
      <c r="V261" s="214"/>
      <c r="W261" s="214"/>
      <c r="X261" s="433"/>
      <c r="Y261" s="501"/>
      <c r="Z261" s="214"/>
      <c r="AA261" s="442"/>
      <c r="AB261" s="442"/>
      <c r="AC261" s="442"/>
      <c r="AD261" s="419"/>
      <c r="AE261" s="214"/>
      <c r="AF261" s="214"/>
      <c r="AG261" s="214"/>
      <c r="AH261" s="214"/>
      <c r="AI261" s="433"/>
      <c r="AJ261" s="433"/>
      <c r="AK261" s="433"/>
      <c r="AL261" s="433"/>
      <c r="AM261" s="433"/>
      <c r="AN261" s="433"/>
      <c r="AO261" s="214"/>
      <c r="AP261" s="214"/>
      <c r="AQ261" s="214"/>
      <c r="AR261" s="433"/>
      <c r="AS261" s="433"/>
      <c r="AT261" s="213"/>
      <c r="AU261" s="433"/>
      <c r="AV261" s="433"/>
      <c r="AW261" s="433"/>
      <c r="AX261" s="433"/>
      <c r="AY261" s="433"/>
      <c r="AZ261" s="237"/>
      <c r="BA261" s="237"/>
      <c r="BB261" s="237"/>
      <c r="BC261" s="237"/>
      <c r="BD261" s="237"/>
      <c r="BE261" s="237"/>
      <c r="BF261" s="237"/>
      <c r="BG261" s="237"/>
      <c r="BH261" s="356"/>
      <c r="BI261" s="356"/>
      <c r="BJ261" s="356"/>
      <c r="BK261" s="9"/>
      <c r="BL261" s="9"/>
      <c r="BM261" s="237"/>
      <c r="BN261" s="237"/>
      <c r="BO261" s="237"/>
      <c r="BP261" s="809"/>
      <c r="BQ261" s="809"/>
      <c r="BR261" s="809"/>
      <c r="BS261" s="809"/>
      <c r="BT261" s="237"/>
      <c r="BU261" s="237"/>
    </row>
    <row r="262" spans="1:73" ht="12.75" x14ac:dyDescent="0.2">
      <c r="B262" s="793"/>
      <c r="C262" s="9"/>
      <c r="D262" s="9"/>
      <c r="E262" s="137"/>
      <c r="F262" s="137"/>
      <c r="G262" s="433"/>
      <c r="H262" s="9"/>
      <c r="I262" s="9"/>
      <c r="J262" s="137"/>
      <c r="K262" s="9"/>
      <c r="L262" s="9"/>
      <c r="M262" s="9"/>
      <c r="N262" s="9"/>
      <c r="O262" s="1093"/>
      <c r="P262" s="816"/>
      <c r="Q262" s="1320"/>
      <c r="R262" s="816"/>
      <c r="S262" s="9"/>
      <c r="T262" s="9"/>
      <c r="U262" s="9"/>
      <c r="V262" s="9"/>
      <c r="W262" s="1352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433"/>
      <c r="AJ262" s="433"/>
      <c r="AK262" s="433"/>
      <c r="AL262" s="433"/>
      <c r="AM262" s="9"/>
      <c r="AN262" s="9"/>
      <c r="AO262" s="137"/>
      <c r="AP262" s="9"/>
      <c r="AQ262" s="137"/>
      <c r="AR262" s="9"/>
      <c r="AS262" s="9"/>
      <c r="AT262" s="213"/>
      <c r="AU262" s="9"/>
      <c r="AV262" s="9"/>
      <c r="AW262" s="137"/>
      <c r="AX262" s="137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</row>
    <row r="263" spans="1:73" x14ac:dyDescent="0.2">
      <c r="B263" s="793"/>
      <c r="C263" s="137"/>
      <c r="D263" s="137"/>
      <c r="E263" s="137"/>
      <c r="F263" s="137"/>
      <c r="G263" s="433"/>
      <c r="H263" s="137"/>
      <c r="I263" s="137"/>
      <c r="J263" s="137"/>
      <c r="K263" s="137"/>
      <c r="L263" s="137"/>
      <c r="N263" s="137"/>
      <c r="O263" s="137"/>
      <c r="P263" s="816"/>
      <c r="Q263" s="1320"/>
      <c r="R263" s="816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7"/>
      <c r="AF263" s="137"/>
      <c r="AG263" s="137"/>
      <c r="AH263" s="137"/>
      <c r="AI263" s="433"/>
      <c r="AJ263" s="433"/>
      <c r="AK263" s="433"/>
      <c r="AL263" s="433"/>
      <c r="AM263" s="137"/>
      <c r="AN263" s="137"/>
      <c r="AO263" s="137"/>
      <c r="AP263" s="137"/>
      <c r="AQ263" s="137"/>
      <c r="AR263" s="137"/>
      <c r="AS263" s="9"/>
      <c r="AT263" s="213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37"/>
      <c r="BU263" s="137"/>
    </row>
    <row r="264" spans="1:73" x14ac:dyDescent="0.2">
      <c r="B264" s="793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816"/>
      <c r="Q264" s="1320"/>
      <c r="R264" s="816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51"/>
      <c r="AE264" s="137"/>
      <c r="AF264" s="137"/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I264" s="703"/>
      <c r="BJ264" s="9"/>
      <c r="BK264" s="9"/>
      <c r="BL264" s="9"/>
      <c r="BM264" s="9"/>
      <c r="BN264" s="9"/>
      <c r="BO264" s="9"/>
      <c r="BP264" s="9"/>
      <c r="BQ264" s="9"/>
      <c r="BR264" s="151"/>
      <c r="BS264" s="9"/>
      <c r="BT264" s="9"/>
      <c r="BU264" s="9"/>
    </row>
    <row r="265" spans="1:73" x14ac:dyDescent="0.2"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137"/>
      <c r="O265" s="137"/>
      <c r="P265" s="816"/>
      <c r="Q265" s="1320"/>
      <c r="R265" s="816"/>
      <c r="S265" s="35"/>
      <c r="T265" s="137"/>
      <c r="U265" s="137"/>
      <c r="V265" s="35"/>
      <c r="W265" s="35"/>
      <c r="X265" s="137"/>
      <c r="Y265" s="137"/>
      <c r="Z265" s="35"/>
      <c r="AA265" s="137"/>
      <c r="AB265" s="137"/>
      <c r="AC265" s="137"/>
      <c r="AD265" s="35"/>
      <c r="AE265" s="82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163"/>
      <c r="AT265" s="35"/>
      <c r="AU265" s="35"/>
      <c r="AV265" s="35"/>
      <c r="AW265" s="35"/>
      <c r="AX265" s="35"/>
      <c r="AY265" s="35"/>
      <c r="AZ265" s="35"/>
      <c r="BA265" s="35"/>
      <c r="BB265" s="35"/>
      <c r="BC265" s="35"/>
      <c r="BD265" s="35"/>
      <c r="BE265" s="35"/>
      <c r="BF265" s="322"/>
      <c r="BG265" s="322"/>
      <c r="BH265" s="35"/>
      <c r="BI265" s="703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</row>
    <row r="266" spans="1:73" x14ac:dyDescent="0.2">
      <c r="H266" s="35"/>
      <c r="I266" s="35"/>
      <c r="J266" s="35"/>
      <c r="K266" s="35"/>
      <c r="M266" s="421"/>
      <c r="O266" s="35"/>
      <c r="P266" s="816"/>
      <c r="Q266" s="1320"/>
      <c r="W266" s="9"/>
      <c r="AP266" s="9"/>
      <c r="AQ266" s="9"/>
      <c r="AR266" s="9"/>
      <c r="AS266" s="9"/>
      <c r="AT266" s="9"/>
      <c r="AU266" s="35"/>
      <c r="AV266" s="35"/>
      <c r="AW266" s="35"/>
      <c r="AX266" s="35"/>
      <c r="AY266" s="9"/>
      <c r="BK266" s="82"/>
      <c r="BL266" s="82"/>
      <c r="BM266" s="82"/>
      <c r="BN266" s="82"/>
    </row>
    <row r="267" spans="1:73" x14ac:dyDescent="0.2"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35"/>
      <c r="AZ267" s="35"/>
      <c r="BA267" s="35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</row>
    <row r="268" spans="1:73" x14ac:dyDescent="0.2"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35"/>
      <c r="AZ268" s="35"/>
      <c r="BA268" s="35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</row>
    <row r="269" spans="1:73" x14ac:dyDescent="0.2"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35"/>
      <c r="AZ269" s="35"/>
      <c r="BA269" s="35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</row>
    <row r="270" spans="1:73" x14ac:dyDescent="0.2">
      <c r="O270" s="35"/>
      <c r="P270" s="816"/>
      <c r="Q270" s="1320"/>
      <c r="V270" s="35"/>
      <c r="W270" s="35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73" x14ac:dyDescent="0.2">
      <c r="O271" s="35"/>
      <c r="P271" s="816"/>
      <c r="V271" s="35"/>
      <c r="W271" s="35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73" x14ac:dyDescent="0.2">
      <c r="P272" s="816"/>
      <c r="T272" s="35"/>
      <c r="V272" s="35"/>
      <c r="W272" s="35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3:73" x14ac:dyDescent="0.2">
      <c r="P273" s="816"/>
      <c r="T273" s="35"/>
      <c r="V273" s="35"/>
      <c r="W273" s="35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3:73" x14ac:dyDescent="0.2">
      <c r="P274" s="816"/>
      <c r="T274" s="35"/>
      <c r="V274" s="35"/>
      <c r="W274" s="35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3:73" ht="12.75" customHeight="1" x14ac:dyDescent="0.2"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816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35"/>
      <c r="BA275" s="35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</row>
    <row r="276" spans="3:73" ht="12" customHeight="1" x14ac:dyDescent="0.2"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1320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35"/>
      <c r="AW276" s="35"/>
      <c r="AX276" s="35"/>
      <c r="AY276" s="35"/>
      <c r="AZ276" s="35"/>
      <c r="BA276" s="35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</row>
    <row r="277" spans="3:73" ht="15" customHeight="1" x14ac:dyDescent="0.2"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1320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35"/>
      <c r="AW277" s="35"/>
      <c r="AX277" s="35"/>
      <c r="AY277" s="35"/>
      <c r="AZ277" s="35"/>
      <c r="BA277" s="35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</row>
    <row r="278" spans="3:73" ht="12" customHeight="1" x14ac:dyDescent="0.2"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1320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35"/>
      <c r="BA278" s="35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</row>
    <row r="279" spans="3:73" ht="12" customHeight="1" x14ac:dyDescent="0.2"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1320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35"/>
      <c r="AW279" s="35"/>
      <c r="AX279" s="35"/>
      <c r="AY279" s="35"/>
      <c r="AZ279" s="35"/>
      <c r="BA279" s="35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</row>
    <row r="280" spans="3:73" x14ac:dyDescent="0.2"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1320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35"/>
      <c r="AW280" s="35"/>
      <c r="AX280" s="35"/>
      <c r="AY280" s="35"/>
      <c r="AZ280" s="35"/>
      <c r="BA280" s="35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</row>
    <row r="281" spans="3:73" x14ac:dyDescent="0.2"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1320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35"/>
      <c r="BA281" s="35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</row>
    <row r="282" spans="3:73" x14ac:dyDescent="0.2"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1320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35"/>
      <c r="AW282" s="35"/>
      <c r="AX282" s="35"/>
      <c r="AY282" s="35"/>
      <c r="AZ282" s="35"/>
      <c r="BA282" s="35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</row>
    <row r="283" spans="3:73" x14ac:dyDescent="0.2"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1320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35"/>
      <c r="BA283" s="35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</row>
    <row r="284" spans="3:73" x14ac:dyDescent="0.2"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1320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35"/>
      <c r="AW284" s="35"/>
      <c r="AX284" s="35"/>
      <c r="AY284" s="35"/>
      <c r="AZ284" s="35"/>
      <c r="BA284" s="35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</row>
    <row r="285" spans="3:73" x14ac:dyDescent="0.2"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1320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35"/>
      <c r="BA285" s="35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</row>
    <row r="286" spans="3:73" x14ac:dyDescent="0.2">
      <c r="P286" s="1320"/>
      <c r="V286" s="35"/>
      <c r="W286" s="35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3:73" x14ac:dyDescent="0.2">
      <c r="P287" s="1320"/>
      <c r="V287" s="35"/>
      <c r="W287" s="35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3:73" x14ac:dyDescent="0.2">
      <c r="P288" s="1320"/>
      <c r="V288" s="35"/>
      <c r="W288" s="35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6:51" x14ac:dyDescent="0.2">
      <c r="P289" s="1320"/>
      <c r="V289" s="35"/>
      <c r="W289" s="35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6:51" x14ac:dyDescent="0.2">
      <c r="P290" s="1320"/>
      <c r="V290" s="35"/>
      <c r="W290" s="35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6:51" x14ac:dyDescent="0.2">
      <c r="V291" s="35"/>
      <c r="W291" s="35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6:51" x14ac:dyDescent="0.2">
      <c r="V292" s="35"/>
      <c r="W292" s="35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6:51" x14ac:dyDescent="0.2">
      <c r="V293" s="35"/>
      <c r="W293" s="35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6:51" x14ac:dyDescent="0.2">
      <c r="V294" s="35"/>
      <c r="W294" s="35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6:51" x14ac:dyDescent="0.2">
      <c r="V295" s="35"/>
      <c r="W295" s="35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6:51" x14ac:dyDescent="0.2">
      <c r="V296" s="35"/>
      <c r="W296" s="35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6:51" x14ac:dyDescent="0.2">
      <c r="V297" s="35"/>
      <c r="W297" s="35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6:51" x14ac:dyDescent="0.2">
      <c r="V298" s="35"/>
      <c r="W298" s="35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6:51" x14ac:dyDescent="0.2">
      <c r="V299" s="35"/>
      <c r="W299" s="35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6:51" x14ac:dyDescent="0.2">
      <c r="V300" s="35"/>
      <c r="W300" s="35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6:51" x14ac:dyDescent="0.2">
      <c r="V301" s="35"/>
      <c r="W301" s="35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6:51" x14ac:dyDescent="0.2">
      <c r="V302" s="35"/>
      <c r="W302" s="35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6:51" x14ac:dyDescent="0.2">
      <c r="V303" s="35"/>
      <c r="W303" s="35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6:51" x14ac:dyDescent="0.2">
      <c r="V304" s="35"/>
      <c r="W304" s="35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22:51" x14ac:dyDescent="0.2">
      <c r="V305" s="35"/>
      <c r="W305" s="35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22:51" x14ac:dyDescent="0.2">
      <c r="V306" s="35"/>
      <c r="W306" s="35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22:51" x14ac:dyDescent="0.2">
      <c r="V307" s="35"/>
      <c r="W307" s="35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22:51" x14ac:dyDescent="0.2">
      <c r="V308" s="35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22:51" x14ac:dyDescent="0.2">
      <c r="V309" s="35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22:51" x14ac:dyDescent="0.2">
      <c r="V310" s="35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22:51" x14ac:dyDescent="0.2"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22:51" x14ac:dyDescent="0.2"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22:51" x14ac:dyDescent="0.2"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</sheetData>
  <customSheetViews>
    <customSheetView guid="{A374FC54-96E3-45F0-9C12-8450400C12DF}" scale="154" topLeftCell="B1">
      <pane ySplit="6" topLeftCell="A44" activePane="bottomLeft" state="frozen"/>
      <selection pane="bottomLeft" activeCell="AX52" sqref="AX52"/>
      <colBreaks count="1" manualBreakCount="1">
        <brk id="8" max="1048575" man="1"/>
      </colBreaks>
      <pageMargins left="0.62992125984252001" right="0.511811023622047" top="0.31496062992126" bottom="2.5590551E-2" header="0" footer="6.4960630000000005E-2"/>
      <pageSetup paperSize="132" orientation="portrait" useFirstPageNumber="1" r:id="rId1"/>
      <headerFooter differentFirst="1" alignWithMargins="0">
        <oddFooter>&amp;C&amp;"Times New Roman,Regular"&amp;8&amp;P</oddFooter>
      </headerFooter>
    </customSheetView>
  </customSheetViews>
  <mergeCells count="109">
    <mergeCell ref="AQ257:AY257"/>
    <mergeCell ref="L256:R256"/>
    <mergeCell ref="S256:Z256"/>
    <mergeCell ref="BB4:BB5"/>
    <mergeCell ref="BA4:BA5"/>
    <mergeCell ref="BF3:BJ3"/>
    <mergeCell ref="BF4:BI4"/>
    <mergeCell ref="AD4:AD5"/>
    <mergeCell ref="AQ259:AY259"/>
    <mergeCell ref="AB256:AH256"/>
    <mergeCell ref="L257:M257"/>
    <mergeCell ref="AB257:AH257"/>
    <mergeCell ref="AQ258:AY258"/>
    <mergeCell ref="AZ4:AZ5"/>
    <mergeCell ref="BJ4:BJ5"/>
    <mergeCell ref="O3:R3"/>
    <mergeCell ref="AB4:AB5"/>
    <mergeCell ref="AA3:AD3"/>
    <mergeCell ref="W3:Z3"/>
    <mergeCell ref="X4:X5"/>
    <mergeCell ref="Y4:Y5"/>
    <mergeCell ref="R4:R5"/>
    <mergeCell ref="AC4:AC5"/>
    <mergeCell ref="AW4:AX4"/>
    <mergeCell ref="AU4:AV4"/>
    <mergeCell ref="AT3:AT5"/>
    <mergeCell ref="AM4:AM5"/>
    <mergeCell ref="AR4:AR5"/>
    <mergeCell ref="AM3:AO3"/>
    <mergeCell ref="AY4:AY5"/>
    <mergeCell ref="AN4:AN5"/>
    <mergeCell ref="AZ256:BI256"/>
    <mergeCell ref="BS1:BU1"/>
    <mergeCell ref="BT2:BU2"/>
    <mergeCell ref="BK1:BM1"/>
    <mergeCell ref="BF1:BJ1"/>
    <mergeCell ref="BK2:BL2"/>
    <mergeCell ref="BL4:BL5"/>
    <mergeCell ref="BM4:BM5"/>
    <mergeCell ref="BD4:BD5"/>
    <mergeCell ref="BP4:BR4"/>
    <mergeCell ref="BO4:BO5"/>
    <mergeCell ref="BK4:BK5"/>
    <mergeCell ref="BN4:BN5"/>
    <mergeCell ref="BS4:BU4"/>
    <mergeCell ref="BK3:BU3"/>
    <mergeCell ref="AZ3:BD3"/>
    <mergeCell ref="BE3:BE5"/>
    <mergeCell ref="BC4:BC5"/>
    <mergeCell ref="BI2:BJ2"/>
    <mergeCell ref="AF1:AH1"/>
    <mergeCell ref="AG2:AH2"/>
    <mergeCell ref="AF4:AF5"/>
    <mergeCell ref="AH4:AH5"/>
    <mergeCell ref="AE3:AH3"/>
    <mergeCell ref="AJ4:AJ5"/>
    <mergeCell ref="AE4:AE5"/>
    <mergeCell ref="AP3:AR3"/>
    <mergeCell ref="AQ4:AQ5"/>
    <mergeCell ref="AK4:AK5"/>
    <mergeCell ref="AI4:AI5"/>
    <mergeCell ref="AG4:AG5"/>
    <mergeCell ref="AP4:AP5"/>
    <mergeCell ref="AI3:AL3"/>
    <mergeCell ref="AL4:AL5"/>
    <mergeCell ref="AP1:AV1"/>
    <mergeCell ref="AM1:AO1"/>
    <mergeCell ref="AN2:AO2"/>
    <mergeCell ref="AU3:AY3"/>
    <mergeCell ref="AO4:AO5"/>
    <mergeCell ref="AX2:AY2"/>
    <mergeCell ref="AW1:AY1"/>
    <mergeCell ref="AS3:AS5"/>
    <mergeCell ref="C258:J258"/>
    <mergeCell ref="S258:Z258"/>
    <mergeCell ref="B1:J1"/>
    <mergeCell ref="S3:V3"/>
    <mergeCell ref="U4:U5"/>
    <mergeCell ref="V4:V5"/>
    <mergeCell ref="F3:F5"/>
    <mergeCell ref="G3:G5"/>
    <mergeCell ref="C3:E3"/>
    <mergeCell ref="T4:T5"/>
    <mergeCell ref="M4:M5"/>
    <mergeCell ref="N3:N5"/>
    <mergeCell ref="P4:P5"/>
    <mergeCell ref="D4:D5"/>
    <mergeCell ref="K4:L4"/>
    <mergeCell ref="C257:J257"/>
    <mergeCell ref="C256:J256"/>
    <mergeCell ref="H4:H5"/>
    <mergeCell ref="H3:J3"/>
    <mergeCell ref="K3:M3"/>
    <mergeCell ref="B3:B6"/>
    <mergeCell ref="C4:C5"/>
    <mergeCell ref="E4:E5"/>
    <mergeCell ref="AA1:AB1"/>
    <mergeCell ref="Z4:Z5"/>
    <mergeCell ref="Y2:Z2"/>
    <mergeCell ref="AA4:AA5"/>
    <mergeCell ref="W4:W5"/>
    <mergeCell ref="O4:O5"/>
    <mergeCell ref="Q4:Q5"/>
    <mergeCell ref="P1:R1"/>
    <mergeCell ref="I2:J2"/>
    <mergeCell ref="I4:I5"/>
    <mergeCell ref="Q2:R2"/>
    <mergeCell ref="S4:S5"/>
    <mergeCell ref="W1:Z1"/>
  </mergeCells>
  <phoneticPr fontId="5" type="noConversion"/>
  <pageMargins left="0.62992125984252001" right="0.511811023622047" top="0.31496062992126" bottom="2.5590551E-2" header="0" footer="6.4960630000000005E-2"/>
  <pageSetup paperSize="448" orientation="portrait" useFirstPageNumber="1" r:id="rId2"/>
  <headerFooter differentFirst="1" alignWithMargins="0">
    <oddFooter>&amp;C&amp;"Times New Roman,Regular"&amp;8&amp;P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283"/>
  <sheetViews>
    <sheetView zoomScale="150" zoomScaleNormal="150" zoomScaleSheetLayoutView="110" workbookViewId="0">
      <pane xSplit="2" ySplit="7" topLeftCell="L199" activePane="bottomRight" state="frozen"/>
      <selection pane="topRight" activeCell="C1" sqref="C1"/>
      <selection pane="bottomLeft" activeCell="A8" sqref="A8"/>
      <selection pane="bottomRight" activeCell="P208" sqref="P208"/>
    </sheetView>
  </sheetViews>
  <sheetFormatPr defaultRowHeight="12.75" x14ac:dyDescent="0.2"/>
  <cols>
    <col min="1" max="1" width="9.140625" style="1674"/>
    <col min="2" max="2" width="7.85546875" style="1352" bestFit="1" customWidth="1"/>
    <col min="3" max="5" width="8.7109375" style="1352" customWidth="1"/>
    <col min="6" max="6" width="24.7109375" style="1352" bestFit="1" customWidth="1"/>
    <col min="7" max="10" width="8.7109375" style="1352" customWidth="1"/>
    <col min="11" max="11" width="12" style="1352" customWidth="1"/>
    <col min="12" max="12" width="16.7109375" style="1352" customWidth="1"/>
    <col min="13" max="13" width="10.7109375" style="1352" customWidth="1"/>
    <col min="14" max="14" width="12.42578125" style="1352" customWidth="1"/>
    <col min="15" max="15" width="9.140625" style="1352"/>
    <col min="16" max="16" width="8.5703125" style="1352" bestFit="1" customWidth="1"/>
    <col min="17" max="16384" width="9.140625" style="1352"/>
  </cols>
  <sheetData>
    <row r="1" spans="1:16" ht="15.75" x14ac:dyDescent="0.25">
      <c r="B1" s="1504"/>
      <c r="C1" s="1504"/>
      <c r="D1" s="1504"/>
      <c r="E1" s="1504"/>
      <c r="F1" s="1504"/>
      <c r="G1" s="2384" t="s">
        <v>125</v>
      </c>
      <c r="H1" s="2384"/>
      <c r="I1" s="2384"/>
      <c r="J1" s="2384"/>
      <c r="K1" s="1137" t="s">
        <v>294</v>
      </c>
      <c r="L1" s="1138"/>
      <c r="M1" s="1138"/>
      <c r="N1" s="1138"/>
      <c r="O1" s="1138"/>
      <c r="P1" s="1684" t="s">
        <v>192</v>
      </c>
    </row>
    <row r="2" spans="1:16" x14ac:dyDescent="0.2">
      <c r="B2" s="1139"/>
      <c r="C2" s="1139"/>
      <c r="D2" s="1139"/>
      <c r="E2" s="1139"/>
      <c r="F2" s="1139"/>
      <c r="G2" s="2367" t="s">
        <v>779</v>
      </c>
      <c r="H2" s="2367"/>
      <c r="I2" s="2367"/>
      <c r="J2" s="2367"/>
      <c r="K2" s="1140" t="s">
        <v>1226</v>
      </c>
      <c r="L2" s="1140"/>
      <c r="M2" s="1141"/>
      <c r="N2" s="1141"/>
      <c r="O2" s="1141"/>
      <c r="P2" s="1685"/>
    </row>
    <row r="3" spans="1:16" ht="25.5" customHeight="1" x14ac:dyDescent="0.2">
      <c r="A3" s="2357" t="s">
        <v>474</v>
      </c>
      <c r="B3" s="2357" t="s">
        <v>3067</v>
      </c>
      <c r="C3" s="2363" t="s">
        <v>3114</v>
      </c>
      <c r="D3" s="2363"/>
      <c r="E3" s="2363"/>
      <c r="F3" s="2364"/>
      <c r="G3" s="2368" t="s">
        <v>2239</v>
      </c>
      <c r="H3" s="2369"/>
      <c r="I3" s="2369"/>
      <c r="J3" s="2370"/>
      <c r="K3" s="2360" t="s">
        <v>2198</v>
      </c>
      <c r="L3" s="2354"/>
      <c r="M3" s="2353" t="s">
        <v>2199</v>
      </c>
      <c r="N3" s="2354"/>
      <c r="O3" s="2360" t="s">
        <v>278</v>
      </c>
      <c r="P3" s="2354"/>
    </row>
    <row r="4" spans="1:16" ht="12.75" customHeight="1" x14ac:dyDescent="0.2">
      <c r="A4" s="2357"/>
      <c r="B4" s="2357"/>
      <c r="C4" s="2365"/>
      <c r="D4" s="2365"/>
      <c r="E4" s="2365"/>
      <c r="F4" s="2366"/>
      <c r="G4" s="2377" t="s">
        <v>2240</v>
      </c>
      <c r="H4" s="2378"/>
      <c r="I4" s="2378"/>
      <c r="J4" s="2379"/>
      <c r="K4" s="2358" t="s">
        <v>188</v>
      </c>
      <c r="L4" s="2359"/>
      <c r="M4" s="2360" t="s">
        <v>2200</v>
      </c>
      <c r="N4" s="2354"/>
      <c r="O4" s="2375" t="s">
        <v>1106</v>
      </c>
      <c r="P4" s="2376"/>
    </row>
    <row r="5" spans="1:16" ht="12.75" customHeight="1" x14ac:dyDescent="0.2">
      <c r="A5" s="2357"/>
      <c r="B5" s="2357"/>
      <c r="C5" s="2371" t="s">
        <v>2161</v>
      </c>
      <c r="D5" s="2371" t="s">
        <v>806</v>
      </c>
      <c r="E5" s="2371" t="s">
        <v>2162</v>
      </c>
      <c r="F5" s="2371" t="s">
        <v>807</v>
      </c>
      <c r="G5" s="2355" t="s">
        <v>1890</v>
      </c>
      <c r="H5" s="2373" t="s">
        <v>1891</v>
      </c>
      <c r="I5" s="2373" t="s">
        <v>1892</v>
      </c>
      <c r="J5" s="2373" t="s">
        <v>2163</v>
      </c>
      <c r="K5" s="2355" t="s">
        <v>2978</v>
      </c>
      <c r="L5" s="2355" t="s">
        <v>2736</v>
      </c>
      <c r="M5" s="2355" t="s">
        <v>2643</v>
      </c>
      <c r="N5" s="2381" t="s">
        <v>2201</v>
      </c>
      <c r="O5" s="2355" t="s">
        <v>991</v>
      </c>
      <c r="P5" s="2355" t="s">
        <v>990</v>
      </c>
    </row>
    <row r="6" spans="1:16" ht="24" customHeight="1" x14ac:dyDescent="0.2">
      <c r="A6" s="2357"/>
      <c r="B6" s="2357"/>
      <c r="C6" s="2372"/>
      <c r="D6" s="2372"/>
      <c r="E6" s="2372"/>
      <c r="F6" s="2372"/>
      <c r="G6" s="2356"/>
      <c r="H6" s="2374"/>
      <c r="I6" s="2374"/>
      <c r="J6" s="2374"/>
      <c r="K6" s="2356"/>
      <c r="L6" s="2356"/>
      <c r="M6" s="2356"/>
      <c r="N6" s="2382"/>
      <c r="O6" s="2356"/>
      <c r="P6" s="2356"/>
    </row>
    <row r="7" spans="1:16" x14ac:dyDescent="0.2">
      <c r="A7" s="2357"/>
      <c r="B7" s="2357"/>
      <c r="C7" s="1338">
        <v>1</v>
      </c>
      <c r="D7" s="1142">
        <v>2</v>
      </c>
      <c r="E7" s="1142">
        <v>3</v>
      </c>
      <c r="F7" s="1142">
        <v>4</v>
      </c>
      <c r="G7" s="1142">
        <v>5</v>
      </c>
      <c r="H7" s="1142">
        <v>6</v>
      </c>
      <c r="I7" s="1142">
        <v>7</v>
      </c>
      <c r="J7" s="1142">
        <v>8</v>
      </c>
      <c r="K7" s="1142">
        <v>9</v>
      </c>
      <c r="L7" s="1142">
        <v>10</v>
      </c>
      <c r="M7" s="1142">
        <v>11</v>
      </c>
      <c r="N7" s="1142">
        <v>12</v>
      </c>
      <c r="O7" s="1142">
        <v>13</v>
      </c>
      <c r="P7" s="1142">
        <v>14</v>
      </c>
    </row>
    <row r="8" spans="1:16" s="1894" customFormat="1" x14ac:dyDescent="0.2">
      <c r="A8" s="1904"/>
      <c r="B8" s="1904"/>
      <c r="C8" s="1934"/>
      <c r="D8" s="1934"/>
      <c r="E8" s="1935"/>
      <c r="F8" s="1935"/>
      <c r="G8" s="1934"/>
      <c r="H8" s="1934"/>
      <c r="I8" s="1936"/>
      <c r="J8" s="1937"/>
      <c r="K8" s="1938"/>
      <c r="L8" s="1938"/>
      <c r="M8" s="1939"/>
      <c r="N8" s="1940"/>
      <c r="O8" s="1939"/>
      <c r="P8" s="1987"/>
    </row>
    <row r="9" spans="1:16" s="1894" customFormat="1" x14ac:dyDescent="0.2">
      <c r="A9" s="330" t="s">
        <v>536</v>
      </c>
      <c r="C9" s="204" t="s">
        <v>288</v>
      </c>
      <c r="D9" s="204" t="s">
        <v>288</v>
      </c>
      <c r="E9" s="204" t="s">
        <v>288</v>
      </c>
      <c r="F9" s="204" t="s">
        <v>288</v>
      </c>
      <c r="G9" s="204">
        <v>1519</v>
      </c>
      <c r="H9" s="204">
        <v>1392</v>
      </c>
      <c r="I9" s="204">
        <v>163</v>
      </c>
      <c r="J9" s="204">
        <v>83</v>
      </c>
      <c r="K9" s="204">
        <v>176</v>
      </c>
      <c r="L9" s="209">
        <v>3472.5</v>
      </c>
      <c r="M9" s="209">
        <v>5834</v>
      </c>
      <c r="N9" s="209">
        <v>3069.6</v>
      </c>
      <c r="O9" s="204" t="s">
        <v>288</v>
      </c>
      <c r="P9" s="204" t="s">
        <v>288</v>
      </c>
    </row>
    <row r="10" spans="1:16" s="1894" customFormat="1" x14ac:dyDescent="0.2">
      <c r="A10" s="304" t="s">
        <v>537</v>
      </c>
      <c r="C10" s="275" t="s">
        <v>288</v>
      </c>
      <c r="D10" s="275" t="s">
        <v>288</v>
      </c>
      <c r="E10" s="275" t="s">
        <v>288</v>
      </c>
      <c r="F10" s="275" t="s">
        <v>288</v>
      </c>
      <c r="G10" s="275">
        <v>1606</v>
      </c>
      <c r="H10" s="275">
        <v>1459</v>
      </c>
      <c r="I10" s="275">
        <v>174</v>
      </c>
      <c r="J10" s="275">
        <v>79</v>
      </c>
      <c r="K10" s="275">
        <v>190</v>
      </c>
      <c r="L10" s="270">
        <v>3882.4</v>
      </c>
      <c r="M10" s="270">
        <v>6931</v>
      </c>
      <c r="N10" s="270">
        <v>2038.6</v>
      </c>
      <c r="O10" s="275" t="s">
        <v>288</v>
      </c>
      <c r="P10" s="275" t="s">
        <v>288</v>
      </c>
    </row>
    <row r="11" spans="1:16" s="1983" customFormat="1" x14ac:dyDescent="0.2">
      <c r="A11" s="330" t="s">
        <v>538</v>
      </c>
      <c r="C11" s="204" t="s">
        <v>288</v>
      </c>
      <c r="D11" s="204" t="s">
        <v>288</v>
      </c>
      <c r="E11" s="204" t="s">
        <v>288</v>
      </c>
      <c r="F11" s="204">
        <v>3.96</v>
      </c>
      <c r="G11" s="204">
        <v>1611</v>
      </c>
      <c r="H11" s="204">
        <v>1478</v>
      </c>
      <c r="I11" s="204">
        <v>179</v>
      </c>
      <c r="J11" s="204">
        <v>80</v>
      </c>
      <c r="K11" s="204">
        <v>195</v>
      </c>
      <c r="L11" s="209">
        <v>4418.3</v>
      </c>
      <c r="M11" s="209">
        <v>7152</v>
      </c>
      <c r="N11" s="209">
        <v>1718.8</v>
      </c>
      <c r="O11" s="204" t="s">
        <v>288</v>
      </c>
      <c r="P11" s="204" t="s">
        <v>288</v>
      </c>
    </row>
    <row r="12" spans="1:16" s="1983" customFormat="1" x14ac:dyDescent="0.2">
      <c r="A12" s="304" t="s">
        <v>539</v>
      </c>
      <c r="C12" s="275" t="s">
        <v>288</v>
      </c>
      <c r="D12" s="275" t="s">
        <v>288</v>
      </c>
      <c r="E12" s="275" t="s">
        <v>288</v>
      </c>
      <c r="F12" s="275">
        <v>8.66</v>
      </c>
      <c r="G12" s="275">
        <v>1701</v>
      </c>
      <c r="H12" s="275">
        <v>1537</v>
      </c>
      <c r="I12" s="275">
        <v>196</v>
      </c>
      <c r="J12" s="275">
        <v>81</v>
      </c>
      <c r="K12" s="275">
        <v>215</v>
      </c>
      <c r="L12" s="270">
        <v>5161.2</v>
      </c>
      <c r="M12" s="270">
        <v>7520</v>
      </c>
      <c r="N12" s="270">
        <v>1739.2</v>
      </c>
      <c r="O12" s="275" t="s">
        <v>288</v>
      </c>
      <c r="P12" s="275" t="s">
        <v>288</v>
      </c>
    </row>
    <row r="13" spans="1:16" s="1983" customFormat="1" x14ac:dyDescent="0.2">
      <c r="A13" s="330" t="s">
        <v>540</v>
      </c>
      <c r="C13" s="204" t="s">
        <v>288</v>
      </c>
      <c r="D13" s="204" t="s">
        <v>288</v>
      </c>
      <c r="E13" s="204" t="s">
        <v>288</v>
      </c>
      <c r="F13" s="204">
        <v>7.06</v>
      </c>
      <c r="G13" s="204">
        <v>1848</v>
      </c>
      <c r="H13" s="204">
        <v>1573</v>
      </c>
      <c r="I13" s="204">
        <v>204</v>
      </c>
      <c r="J13" s="204">
        <v>72</v>
      </c>
      <c r="K13" s="204">
        <v>225</v>
      </c>
      <c r="L13" s="209">
        <v>5312.8</v>
      </c>
      <c r="M13" s="209">
        <v>8006</v>
      </c>
      <c r="N13" s="209">
        <v>1523.3</v>
      </c>
      <c r="O13" s="204" t="s">
        <v>288</v>
      </c>
      <c r="P13" s="204" t="s">
        <v>288</v>
      </c>
    </row>
    <row r="14" spans="1:16" s="1983" customFormat="1" x14ac:dyDescent="0.2">
      <c r="A14" s="304" t="s">
        <v>541</v>
      </c>
      <c r="C14" s="275" t="s">
        <v>288</v>
      </c>
      <c r="D14" s="275" t="s">
        <v>288</v>
      </c>
      <c r="E14" s="275" t="s">
        <v>288</v>
      </c>
      <c r="F14" s="275">
        <v>2.79</v>
      </c>
      <c r="G14" s="275">
        <v>1847</v>
      </c>
      <c r="H14" s="275">
        <v>1526</v>
      </c>
      <c r="I14" s="275">
        <v>214</v>
      </c>
      <c r="J14" s="275">
        <v>67</v>
      </c>
      <c r="K14" s="275">
        <v>237</v>
      </c>
      <c r="L14" s="270">
        <v>5752.2</v>
      </c>
      <c r="M14" s="270">
        <v>8374</v>
      </c>
      <c r="N14" s="270">
        <v>1602.1</v>
      </c>
      <c r="O14" s="275" t="s">
        <v>288</v>
      </c>
      <c r="P14" s="275" t="s">
        <v>288</v>
      </c>
    </row>
    <row r="15" spans="1:16" s="1983" customFormat="1" x14ac:dyDescent="0.2">
      <c r="A15" s="330" t="s">
        <v>542</v>
      </c>
      <c r="C15" s="204" t="s">
        <v>288</v>
      </c>
      <c r="D15" s="204">
        <v>1.66</v>
      </c>
      <c r="E15" s="204" t="s">
        <v>288</v>
      </c>
      <c r="F15" s="204">
        <v>1.94</v>
      </c>
      <c r="G15" s="204">
        <v>1802</v>
      </c>
      <c r="H15" s="204">
        <v>1563</v>
      </c>
      <c r="I15" s="204">
        <v>228</v>
      </c>
      <c r="J15" s="204">
        <v>66</v>
      </c>
      <c r="K15" s="204">
        <v>253</v>
      </c>
      <c r="L15" s="209">
        <v>6467.3</v>
      </c>
      <c r="M15" s="209">
        <v>9335</v>
      </c>
      <c r="N15" s="209">
        <v>1306.7</v>
      </c>
      <c r="O15" s="204" t="s">
        <v>288</v>
      </c>
      <c r="P15" s="204" t="s">
        <v>288</v>
      </c>
    </row>
    <row r="16" spans="1:16" s="1983" customFormat="1" x14ac:dyDescent="0.2">
      <c r="A16" s="304" t="s">
        <v>543</v>
      </c>
      <c r="C16" s="275" t="s">
        <v>288</v>
      </c>
      <c r="D16" s="275">
        <v>3.58</v>
      </c>
      <c r="E16" s="275" t="s">
        <v>288</v>
      </c>
      <c r="F16" s="275">
        <v>2.79</v>
      </c>
      <c r="G16" s="275">
        <v>1810</v>
      </c>
      <c r="H16" s="275">
        <v>1562</v>
      </c>
      <c r="I16" s="275">
        <v>239</v>
      </c>
      <c r="J16" s="275">
        <v>69</v>
      </c>
      <c r="K16" s="275">
        <v>267</v>
      </c>
      <c r="L16" s="270">
        <v>5986.1</v>
      </c>
      <c r="M16" s="270">
        <v>8540</v>
      </c>
      <c r="N16" s="270">
        <v>1582.9</v>
      </c>
      <c r="O16" s="275" t="s">
        <v>288</v>
      </c>
      <c r="P16" s="275" t="s">
        <v>288</v>
      </c>
    </row>
    <row r="17" spans="1:16" s="1983" customFormat="1" x14ac:dyDescent="0.2">
      <c r="A17" s="330" t="s">
        <v>544</v>
      </c>
      <c r="C17" s="204" t="s">
        <v>288</v>
      </c>
      <c r="D17" s="204">
        <v>5.03</v>
      </c>
      <c r="E17" s="204" t="s">
        <v>288</v>
      </c>
      <c r="F17" s="204">
        <v>4.38</v>
      </c>
      <c r="G17" s="204">
        <v>1922</v>
      </c>
      <c r="H17" s="204">
        <v>1610</v>
      </c>
      <c r="I17" s="204">
        <v>255</v>
      </c>
      <c r="J17" s="204">
        <v>63</v>
      </c>
      <c r="K17" s="204">
        <v>285</v>
      </c>
      <c r="L17" s="209">
        <v>6548.5</v>
      </c>
      <c r="M17" s="209">
        <v>9657.5</v>
      </c>
      <c r="N17" s="209">
        <v>2469.6</v>
      </c>
      <c r="O17" s="204" t="s">
        <v>288</v>
      </c>
      <c r="P17" s="204" t="s">
        <v>288</v>
      </c>
    </row>
    <row r="18" spans="1:16" s="1983" customFormat="1" x14ac:dyDescent="0.2">
      <c r="A18" s="304" t="s">
        <v>545</v>
      </c>
      <c r="C18" s="275" t="s">
        <v>288</v>
      </c>
      <c r="D18" s="275">
        <v>5.64</v>
      </c>
      <c r="E18" s="275" t="s">
        <v>288</v>
      </c>
      <c r="F18" s="275">
        <v>5.83</v>
      </c>
      <c r="G18" s="275">
        <v>1994</v>
      </c>
      <c r="H18" s="275">
        <v>1667</v>
      </c>
      <c r="I18" s="275">
        <v>273</v>
      </c>
      <c r="J18" s="275">
        <v>60</v>
      </c>
      <c r="K18" s="275">
        <v>308</v>
      </c>
      <c r="L18" s="270">
        <v>7603</v>
      </c>
      <c r="M18" s="270">
        <v>10903.2</v>
      </c>
      <c r="N18" s="270">
        <v>2705</v>
      </c>
      <c r="O18" s="1902">
        <v>58.902700000000003</v>
      </c>
      <c r="P18" s="1902">
        <v>60.347200000000001</v>
      </c>
    </row>
    <row r="19" spans="1:16" s="1983" customFormat="1" x14ac:dyDescent="0.2">
      <c r="A19" s="330" t="s">
        <v>546</v>
      </c>
      <c r="C19" s="204" t="s">
        <v>288</v>
      </c>
      <c r="D19" s="204">
        <v>7.35</v>
      </c>
      <c r="E19" s="204" t="s">
        <v>288</v>
      </c>
      <c r="F19" s="204">
        <v>6.48</v>
      </c>
      <c r="G19" s="204">
        <v>2060</v>
      </c>
      <c r="H19" s="204">
        <v>1729</v>
      </c>
      <c r="I19" s="204">
        <v>295</v>
      </c>
      <c r="J19" s="204">
        <v>48</v>
      </c>
      <c r="K19" s="204">
        <v>335</v>
      </c>
      <c r="L19" s="209">
        <v>8654.5</v>
      </c>
      <c r="M19" s="209">
        <v>13146.8</v>
      </c>
      <c r="N19" s="209">
        <v>2930</v>
      </c>
      <c r="O19" s="1930">
        <v>61.449199999999998</v>
      </c>
      <c r="P19" s="1930">
        <v>63.752699999999997</v>
      </c>
    </row>
    <row r="20" spans="1:16" s="1983" customFormat="1" x14ac:dyDescent="0.2">
      <c r="A20" s="304" t="s">
        <v>551</v>
      </c>
      <c r="C20" s="275" t="s">
        <v>288</v>
      </c>
      <c r="D20" s="275">
        <v>7.54</v>
      </c>
      <c r="E20" s="275" t="s">
        <v>288</v>
      </c>
      <c r="F20" s="275">
        <v>7.16</v>
      </c>
      <c r="G20" s="275">
        <v>2204</v>
      </c>
      <c r="H20" s="275">
        <v>1968</v>
      </c>
      <c r="I20" s="275">
        <v>327</v>
      </c>
      <c r="J20" s="275">
        <v>50</v>
      </c>
      <c r="K20" s="275">
        <v>372</v>
      </c>
      <c r="L20" s="270">
        <v>10526.2</v>
      </c>
      <c r="M20" s="270">
        <v>14746.4</v>
      </c>
      <c r="N20" s="270">
        <v>3483.8</v>
      </c>
      <c r="O20" s="1902">
        <v>67.16</v>
      </c>
      <c r="P20" s="275">
        <v>69.702600000000004</v>
      </c>
    </row>
    <row r="21" spans="1:16" s="1983" customFormat="1" x14ac:dyDescent="0.2">
      <c r="A21" s="330" t="s">
        <v>560</v>
      </c>
      <c r="C21" s="204" t="s">
        <v>288</v>
      </c>
      <c r="D21" s="1929">
        <v>9.1999999999999993</v>
      </c>
      <c r="E21" s="204" t="s">
        <v>288</v>
      </c>
      <c r="F21" s="1929">
        <v>7.2</v>
      </c>
      <c r="G21" s="204" t="s">
        <v>288</v>
      </c>
      <c r="H21" s="204" t="s">
        <v>288</v>
      </c>
      <c r="I21" s="204">
        <v>360</v>
      </c>
      <c r="J21" s="204">
        <v>52</v>
      </c>
      <c r="K21" s="204">
        <v>410</v>
      </c>
      <c r="L21" s="209">
        <v>12177.9</v>
      </c>
      <c r="M21" s="209">
        <v>17156.8</v>
      </c>
      <c r="N21" s="209">
        <v>5077.2</v>
      </c>
      <c r="O21" s="1930">
        <v>69.06</v>
      </c>
      <c r="P21" s="1930">
        <v>68.8</v>
      </c>
    </row>
    <row r="22" spans="1:16" s="1983" customFormat="1" x14ac:dyDescent="0.2">
      <c r="A22" s="304" t="s">
        <v>325</v>
      </c>
      <c r="C22" s="275" t="s">
        <v>288</v>
      </c>
      <c r="D22" s="275">
        <v>10.039999999999999</v>
      </c>
      <c r="E22" s="275" t="s">
        <v>288</v>
      </c>
      <c r="F22" s="275">
        <v>9.94</v>
      </c>
      <c r="G22" s="275" t="s">
        <v>288</v>
      </c>
      <c r="H22" s="275" t="s">
        <v>288</v>
      </c>
      <c r="I22" s="275">
        <v>386</v>
      </c>
      <c r="J22" s="275">
        <v>58</v>
      </c>
      <c r="K22" s="275">
        <v>438</v>
      </c>
      <c r="L22" s="275">
        <v>14110.8</v>
      </c>
      <c r="M22" s="270">
        <v>21629</v>
      </c>
      <c r="N22" s="270">
        <v>6148.8</v>
      </c>
      <c r="O22" s="275">
        <v>68.610299999999995</v>
      </c>
      <c r="P22" s="275">
        <v>68.520399999999995</v>
      </c>
    </row>
    <row r="23" spans="1:16" s="1983" customFormat="1" x14ac:dyDescent="0.2">
      <c r="A23" s="330" t="s">
        <v>85</v>
      </c>
      <c r="C23" s="204" t="s">
        <v>288</v>
      </c>
      <c r="D23" s="204">
        <v>2.25</v>
      </c>
      <c r="E23" s="204" t="s">
        <v>288</v>
      </c>
      <c r="F23" s="204">
        <v>6.66</v>
      </c>
      <c r="G23" s="204" t="s">
        <v>288</v>
      </c>
      <c r="H23" s="204" t="s">
        <v>288</v>
      </c>
      <c r="I23" s="204">
        <v>413</v>
      </c>
      <c r="J23" s="204">
        <v>55</v>
      </c>
      <c r="K23" s="204">
        <v>473</v>
      </c>
      <c r="L23" s="204">
        <v>15565.2</v>
      </c>
      <c r="M23" s="209">
        <v>22507.1</v>
      </c>
      <c r="N23" s="209">
        <v>7470.9</v>
      </c>
      <c r="O23" s="1930">
        <v>68.802999999999997</v>
      </c>
      <c r="P23" s="1930">
        <v>69.06</v>
      </c>
    </row>
    <row r="24" spans="1:16" s="1983" customFormat="1" x14ac:dyDescent="0.2">
      <c r="A24" s="304" t="s">
        <v>81</v>
      </c>
      <c r="C24" s="275" t="s">
        <v>288</v>
      </c>
      <c r="D24" s="276">
        <v>8.6999999999999993</v>
      </c>
      <c r="E24" s="275" t="s">
        <v>288</v>
      </c>
      <c r="F24" s="276">
        <v>7.31</v>
      </c>
      <c r="G24" s="275" t="s">
        <v>288</v>
      </c>
      <c r="H24" s="275" t="s">
        <v>288</v>
      </c>
      <c r="I24" s="275">
        <v>442</v>
      </c>
      <c r="J24" s="275">
        <v>65</v>
      </c>
      <c r="K24" s="275">
        <v>517</v>
      </c>
      <c r="L24" s="275">
        <v>16204.7</v>
      </c>
      <c r="M24" s="270">
        <v>23738.400000000001</v>
      </c>
      <c r="N24" s="270">
        <v>10749.7</v>
      </c>
      <c r="O24" s="1902">
        <v>69.184200000000004</v>
      </c>
      <c r="P24" s="1902">
        <v>69.441000000000003</v>
      </c>
    </row>
    <row r="25" spans="1:16" s="1983" customFormat="1" x14ac:dyDescent="0.2">
      <c r="A25" s="2093" t="s">
        <v>189</v>
      </c>
      <c r="C25" s="204">
        <v>11.14</v>
      </c>
      <c r="D25" s="204">
        <v>10.17</v>
      </c>
      <c r="E25" s="204" t="s">
        <v>288</v>
      </c>
      <c r="F25" s="1929">
        <v>8.8000000000000007</v>
      </c>
      <c r="G25" s="204" t="s">
        <v>288</v>
      </c>
      <c r="H25" s="204" t="s">
        <v>288</v>
      </c>
      <c r="I25" s="1931">
        <v>520.5</v>
      </c>
      <c r="J25" s="1931">
        <v>58.416666666666664</v>
      </c>
      <c r="K25" s="1931">
        <v>596.14806625547919</v>
      </c>
      <c r="L25" s="209">
        <v>22928.2</v>
      </c>
      <c r="M25" s="209">
        <v>33657.5</v>
      </c>
      <c r="N25" s="209">
        <v>10911.6</v>
      </c>
      <c r="O25" s="1930">
        <v>71.216399999999993</v>
      </c>
      <c r="P25" s="1930">
        <v>74.149299999999997</v>
      </c>
    </row>
    <row r="26" spans="1:16" s="1983" customFormat="1" x14ac:dyDescent="0.2">
      <c r="A26" s="336" t="s">
        <v>696</v>
      </c>
      <c r="C26" s="275">
        <v>5.54</v>
      </c>
      <c r="D26" s="275">
        <v>8.56</v>
      </c>
      <c r="E26" s="275" t="s">
        <v>288</v>
      </c>
      <c r="F26" s="276">
        <v>10.62</v>
      </c>
      <c r="G26" s="275" t="s">
        <v>288</v>
      </c>
      <c r="H26" s="275" t="s">
        <v>288</v>
      </c>
      <c r="I26" s="277">
        <v>570.41666666666663</v>
      </c>
      <c r="J26" s="277">
        <v>73.75</v>
      </c>
      <c r="K26" s="277">
        <v>651.7398366887777</v>
      </c>
      <c r="L26" s="270">
        <v>24302.000000000004</v>
      </c>
      <c r="M26" s="270">
        <v>35516.300000000003</v>
      </c>
      <c r="N26" s="270">
        <v>10364.4</v>
      </c>
      <c r="O26" s="1902">
        <v>79.2102</v>
      </c>
      <c r="P26" s="1902">
        <v>81.815799999999996</v>
      </c>
    </row>
    <row r="27" spans="1:16" s="1983" customFormat="1" x14ac:dyDescent="0.2">
      <c r="A27" s="2094" t="s">
        <v>804</v>
      </c>
      <c r="C27" s="236">
        <v>8.0500000000000007</v>
      </c>
      <c r="D27" s="236">
        <v>7.97</v>
      </c>
      <c r="E27" s="236">
        <v>6.78</v>
      </c>
      <c r="F27" s="237">
        <v>7.7</v>
      </c>
      <c r="G27" s="236" t="s">
        <v>288</v>
      </c>
      <c r="H27" s="236" t="s">
        <v>288</v>
      </c>
      <c r="I27" s="356">
        <v>620.91666666666663</v>
      </c>
      <c r="J27" s="356">
        <v>83.75</v>
      </c>
      <c r="K27" s="356">
        <v>708.87122270064776</v>
      </c>
      <c r="L27" s="214">
        <v>27027.45</v>
      </c>
      <c r="M27" s="214">
        <v>34083.599999999999</v>
      </c>
      <c r="N27" s="214">
        <v>15315.2</v>
      </c>
      <c r="O27" s="1903">
        <v>79.935900000000004</v>
      </c>
      <c r="P27" s="1903">
        <v>77.759299999999996</v>
      </c>
    </row>
    <row r="28" spans="1:16" ht="9.6" customHeight="1" x14ac:dyDescent="0.2">
      <c r="A28" s="1145" t="s">
        <v>804</v>
      </c>
      <c r="C28" s="276" t="s">
        <v>288</v>
      </c>
      <c r="D28" s="276">
        <v>8.0500000000000007</v>
      </c>
      <c r="E28" s="276" t="s">
        <v>288</v>
      </c>
      <c r="F28" s="276">
        <v>6.78</v>
      </c>
      <c r="G28" s="276">
        <v>195.19</v>
      </c>
      <c r="H28" s="276">
        <v>153.15</v>
      </c>
      <c r="I28" s="276">
        <v>160.43</v>
      </c>
      <c r="J28" s="276">
        <v>192.65902399999999</v>
      </c>
      <c r="K28" s="276">
        <v>27027.45</v>
      </c>
      <c r="L28" s="270">
        <v>37289.800000000003</v>
      </c>
      <c r="M28" s="270">
        <v>15318.34</v>
      </c>
      <c r="N28" s="270" t="s">
        <v>288</v>
      </c>
      <c r="O28" s="1902">
        <v>79.935900000000004</v>
      </c>
      <c r="P28" s="1902">
        <v>77.759299999999996</v>
      </c>
    </row>
    <row r="29" spans="1:16" ht="9.6" customHeight="1" x14ac:dyDescent="0.2">
      <c r="A29" s="1150" t="s">
        <v>978</v>
      </c>
      <c r="C29" s="237" t="s">
        <v>288</v>
      </c>
      <c r="D29" s="237">
        <v>6.97</v>
      </c>
      <c r="E29" s="237" t="s">
        <v>288</v>
      </c>
      <c r="F29" s="237">
        <v>7.35</v>
      </c>
      <c r="G29" s="237">
        <v>213.22</v>
      </c>
      <c r="H29" s="237">
        <v>157.18</v>
      </c>
      <c r="I29" s="237">
        <v>177.2</v>
      </c>
      <c r="J29" s="237">
        <v>210.26291999999998</v>
      </c>
      <c r="K29" s="237">
        <v>30186.62</v>
      </c>
      <c r="L29" s="214">
        <v>40616.400000000001</v>
      </c>
      <c r="M29" s="214">
        <v>21508.89</v>
      </c>
      <c r="N29" s="214" t="s">
        <v>288</v>
      </c>
      <c r="O29" s="1903">
        <v>77.72</v>
      </c>
      <c r="P29" s="1903">
        <v>77.63</v>
      </c>
    </row>
    <row r="30" spans="1:16" ht="9.6" customHeight="1" x14ac:dyDescent="0.2">
      <c r="A30" s="1145" t="s">
        <v>1029</v>
      </c>
      <c r="C30" s="276" t="s">
        <v>288</v>
      </c>
      <c r="D30" s="276">
        <v>6.25</v>
      </c>
      <c r="E30" s="276" t="s">
        <v>288</v>
      </c>
      <c r="F30" s="276">
        <v>6.4</v>
      </c>
      <c r="G30" s="276">
        <v>236.11</v>
      </c>
      <c r="H30" s="276">
        <v>172.97</v>
      </c>
      <c r="I30" s="276">
        <v>191.06</v>
      </c>
      <c r="J30" s="276">
        <v>232.59782800000002</v>
      </c>
      <c r="K30" s="276">
        <v>31208.949999999997</v>
      </c>
      <c r="L30" s="270">
        <v>40703.699999999997</v>
      </c>
      <c r="M30" s="270">
        <v>25026.06</v>
      </c>
      <c r="N30" s="270" t="s">
        <v>288</v>
      </c>
      <c r="O30" s="1902">
        <v>77.674999999999997</v>
      </c>
      <c r="P30" s="1902">
        <v>77.800399999999996</v>
      </c>
    </row>
    <row r="31" spans="1:16" ht="9.6" customHeight="1" x14ac:dyDescent="0.2">
      <c r="A31" s="1150" t="s">
        <v>1150</v>
      </c>
      <c r="C31" s="237" t="s">
        <v>288</v>
      </c>
      <c r="D31" s="237">
        <v>5.53</v>
      </c>
      <c r="E31" s="237" t="s">
        <v>288</v>
      </c>
      <c r="F31" s="237">
        <v>5.92</v>
      </c>
      <c r="G31" s="237">
        <v>100</v>
      </c>
      <c r="H31" s="237">
        <v>100</v>
      </c>
      <c r="I31" s="237">
        <v>100</v>
      </c>
      <c r="J31" s="237">
        <v>100</v>
      </c>
      <c r="K31" s="237">
        <v>34257.18</v>
      </c>
      <c r="L31" s="214">
        <v>43122.5</v>
      </c>
      <c r="M31" s="214">
        <v>30355.56</v>
      </c>
      <c r="N31" s="214" t="s">
        <v>288</v>
      </c>
      <c r="O31" s="1903">
        <v>78.268600000000006</v>
      </c>
      <c r="P31" s="1903">
        <v>78.400000000000006</v>
      </c>
    </row>
    <row r="32" spans="1:16" ht="9.6" customHeight="1" x14ac:dyDescent="0.2">
      <c r="A32" s="1145" t="s">
        <v>1174</v>
      </c>
      <c r="C32" s="315" t="s">
        <v>288</v>
      </c>
      <c r="D32" s="315">
        <v>5.94</v>
      </c>
      <c r="E32" s="315" t="s">
        <v>288</v>
      </c>
      <c r="F32" s="315">
        <v>5.44</v>
      </c>
      <c r="G32" s="315">
        <v>111</v>
      </c>
      <c r="H32" s="315">
        <v>100.36</v>
      </c>
      <c r="I32" s="315">
        <v>110.27</v>
      </c>
      <c r="J32" s="315">
        <v>110.685356</v>
      </c>
      <c r="K32" s="315">
        <v>34655.899999999994</v>
      </c>
      <c r="L32" s="314">
        <v>47005.2</v>
      </c>
      <c r="M32" s="314">
        <v>33679.379999999997</v>
      </c>
      <c r="N32" s="314" t="s">
        <v>288</v>
      </c>
      <c r="O32" s="2092">
        <v>79.132999999999996</v>
      </c>
      <c r="P32" s="2092">
        <v>80.598799999999997</v>
      </c>
    </row>
    <row r="33" spans="1:16" ht="9.6" customHeight="1" x14ac:dyDescent="0.2">
      <c r="A33" s="1150" t="s">
        <v>1296</v>
      </c>
      <c r="C33" s="322" t="s">
        <v>288</v>
      </c>
      <c r="D33" s="322">
        <v>5.54</v>
      </c>
      <c r="E33" s="322" t="s">
        <v>288</v>
      </c>
      <c r="F33" s="322">
        <v>5.78</v>
      </c>
      <c r="G33" s="322">
        <v>126.66</v>
      </c>
      <c r="H33" s="322">
        <v>99.92</v>
      </c>
      <c r="I33" s="322">
        <v>121.12</v>
      </c>
      <c r="J33" s="322">
        <v>125.71955199999998</v>
      </c>
      <c r="K33" s="322">
        <v>36668.170000000006</v>
      </c>
      <c r="L33" s="321">
        <v>58865.3</v>
      </c>
      <c r="M33" s="321">
        <v>32943.46</v>
      </c>
      <c r="N33" s="321" t="s">
        <v>288</v>
      </c>
      <c r="O33" s="2095">
        <v>82.107699999999994</v>
      </c>
      <c r="P33" s="2095">
        <v>83.702200000000005</v>
      </c>
    </row>
    <row r="34" spans="1:16" ht="9.6" customHeight="1" x14ac:dyDescent="0.2">
      <c r="A34" s="1145" t="s">
        <v>1404</v>
      </c>
      <c r="C34" s="490" t="s">
        <v>288</v>
      </c>
      <c r="D34" s="315">
        <v>5.52</v>
      </c>
      <c r="E34" s="315" t="s">
        <v>288</v>
      </c>
      <c r="F34" s="315">
        <v>5.48</v>
      </c>
      <c r="G34" s="315">
        <v>145.54</v>
      </c>
      <c r="H34" s="315">
        <v>97.27</v>
      </c>
      <c r="I34" s="315">
        <v>136.69999999999999</v>
      </c>
      <c r="J34" s="315">
        <v>143.889228</v>
      </c>
      <c r="K34" s="315">
        <v>40535.040000000008</v>
      </c>
      <c r="L34" s="314">
        <v>59914.6</v>
      </c>
      <c r="M34" s="314">
        <v>32716.51</v>
      </c>
      <c r="N34" s="314" t="s">
        <v>288</v>
      </c>
      <c r="O34" s="2092">
        <v>84.020799999999994</v>
      </c>
      <c r="P34" s="2092">
        <v>84.5</v>
      </c>
    </row>
    <row r="35" spans="1:16" ht="9.6" customHeight="1" x14ac:dyDescent="0.2">
      <c r="A35" s="1150" t="s">
        <v>1484</v>
      </c>
      <c r="C35" s="1143" t="s">
        <v>288</v>
      </c>
      <c r="D35" s="1152">
        <v>6.02</v>
      </c>
      <c r="E35" s="1143" t="s">
        <v>288</v>
      </c>
      <c r="F35" s="1152">
        <v>5.6476114685594103</v>
      </c>
      <c r="G35" s="1152">
        <v>146.91</v>
      </c>
      <c r="H35" s="1152">
        <v>90.62</v>
      </c>
      <c r="I35" s="1152">
        <v>138.75</v>
      </c>
      <c r="J35" s="1152">
        <v>145.07176399999997</v>
      </c>
      <c r="K35" s="1153">
        <v>33674.120000000003</v>
      </c>
      <c r="L35" s="1153">
        <v>54784.800000000003</v>
      </c>
      <c r="M35" s="1153">
        <v>36037.03</v>
      </c>
      <c r="N35" s="1143" t="s">
        <v>288</v>
      </c>
      <c r="O35" s="1154">
        <v>84.781146000000007</v>
      </c>
      <c r="P35" s="1154">
        <v>84.9</v>
      </c>
    </row>
    <row r="36" spans="1:16" ht="9.6" customHeight="1" x14ac:dyDescent="0.2">
      <c r="A36" s="1145" t="s">
        <v>1536</v>
      </c>
      <c r="C36" s="1146" t="s">
        <v>288</v>
      </c>
      <c r="D36" s="1146">
        <v>5.64</v>
      </c>
      <c r="E36" s="1146" t="s">
        <v>288</v>
      </c>
      <c r="F36" s="1147">
        <v>5.56</v>
      </c>
      <c r="G36" s="1147">
        <v>163.98</v>
      </c>
      <c r="H36" s="1147">
        <v>90.56</v>
      </c>
      <c r="I36" s="1147">
        <v>156.69999999999999</v>
      </c>
      <c r="J36" s="1147">
        <v>161.718232</v>
      </c>
      <c r="K36" s="1148">
        <v>38758.32</v>
      </c>
      <c r="L36" s="1148">
        <v>65594.7</v>
      </c>
      <c r="M36" s="1148">
        <v>46391.44</v>
      </c>
      <c r="N36" s="1146" t="s">
        <v>288</v>
      </c>
      <c r="O36" s="1149">
        <v>84.806299999999993</v>
      </c>
      <c r="P36" s="1149">
        <v>84.814599999999999</v>
      </c>
    </row>
    <row r="37" spans="1:16" s="690" customFormat="1" ht="9.6" customHeight="1" x14ac:dyDescent="0.2">
      <c r="A37" s="1150" t="s">
        <v>1817</v>
      </c>
      <c r="C37" s="1143" t="s">
        <v>288</v>
      </c>
      <c r="D37" s="1152">
        <v>7.56</v>
      </c>
      <c r="E37" s="1143" t="s">
        <v>288</v>
      </c>
      <c r="F37" s="1152">
        <v>6.15</v>
      </c>
      <c r="G37" s="1152">
        <v>184.55</v>
      </c>
      <c r="H37" s="1152">
        <v>84.48</v>
      </c>
      <c r="I37" s="1152">
        <v>166.29</v>
      </c>
      <c r="J37" s="1152">
        <v>182.18</v>
      </c>
      <c r="K37" s="1153">
        <v>52082.659999999996</v>
      </c>
      <c r="L37" s="1153">
        <v>89162.3</v>
      </c>
      <c r="M37" s="1153">
        <v>41826.729767739998</v>
      </c>
      <c r="N37" s="1143" t="s">
        <v>288</v>
      </c>
      <c r="O37" s="1154">
        <v>86.392700000000005</v>
      </c>
      <c r="P37" s="1154">
        <v>93.45</v>
      </c>
    </row>
    <row r="38" spans="1:16" ht="9.6" customHeight="1" x14ac:dyDescent="0.2">
      <c r="A38" s="1145" t="s">
        <v>2066</v>
      </c>
      <c r="C38" s="1146">
        <v>9.74</v>
      </c>
      <c r="D38" s="1147" t="s">
        <v>288</v>
      </c>
      <c r="E38" s="1146">
        <v>9.02</v>
      </c>
      <c r="F38" s="1147" t="s">
        <v>288</v>
      </c>
      <c r="G38" s="1147">
        <v>201.69</v>
      </c>
      <c r="H38" s="1147">
        <v>89.63</v>
      </c>
      <c r="I38" s="1147">
        <v>169.9</v>
      </c>
      <c r="J38" s="1147">
        <v>197.39</v>
      </c>
      <c r="K38" s="1148">
        <v>46494.6</v>
      </c>
      <c r="L38" s="1148">
        <v>75061.600000000006</v>
      </c>
      <c r="M38" s="1148">
        <v>31203</v>
      </c>
      <c r="N38" s="1146">
        <v>24753.9</v>
      </c>
      <c r="O38" s="1146">
        <v>105.91670000000001</v>
      </c>
      <c r="P38" s="1149">
        <v>106</v>
      </c>
    </row>
    <row r="39" spans="1:16" s="1283" customFormat="1" ht="9.6" customHeight="1" x14ac:dyDescent="0.2">
      <c r="A39" s="1150" t="s">
        <v>2206</v>
      </c>
      <c r="C39" s="1143">
        <v>9.7200000000000006</v>
      </c>
      <c r="D39" s="1152" t="s">
        <v>288</v>
      </c>
      <c r="E39" s="1143">
        <v>9.73</v>
      </c>
      <c r="F39" s="1152" t="s">
        <v>288</v>
      </c>
      <c r="G39" s="1152">
        <v>206.35112372984614</v>
      </c>
      <c r="H39" s="1152">
        <v>77.583189741295598</v>
      </c>
      <c r="I39" s="1152">
        <v>178.36272996150308</v>
      </c>
      <c r="J39" s="1152">
        <v>201.76941199071192</v>
      </c>
      <c r="K39" s="1153">
        <v>44474.799999999996</v>
      </c>
      <c r="L39" s="1153">
        <v>66725.2</v>
      </c>
      <c r="M39" s="1153">
        <v>26714.236448445154</v>
      </c>
      <c r="N39" s="1153">
        <v>21686.335606135173</v>
      </c>
      <c r="O39" s="1154">
        <v>117.9787</v>
      </c>
      <c r="P39" s="1154">
        <v>118</v>
      </c>
    </row>
    <row r="40" spans="1:16" ht="9.6" customHeight="1" x14ac:dyDescent="0.2">
      <c r="A40" s="1145" t="s">
        <v>2596</v>
      </c>
      <c r="C40" s="1147">
        <v>8.48</v>
      </c>
      <c r="D40" s="1147" t="s">
        <v>288</v>
      </c>
      <c r="E40" s="1146">
        <v>10.029999999999999</v>
      </c>
      <c r="F40" s="1147" t="s">
        <v>288</v>
      </c>
      <c r="G40" s="1147">
        <v>217.85881540075721</v>
      </c>
      <c r="H40" s="1147">
        <v>73.258019159228638</v>
      </c>
      <c r="I40" s="1147">
        <v>193.3207196537571</v>
      </c>
      <c r="J40" s="1147">
        <v>212.99217499330544</v>
      </c>
      <c r="K40" s="1148">
        <v>48299.434665430628</v>
      </c>
      <c r="L40" s="1148">
        <v>68354.39</v>
      </c>
      <c r="M40" s="1148">
        <v>31772.008634359998</v>
      </c>
      <c r="N40" s="1148">
        <v>26739.961591239997</v>
      </c>
      <c r="O40" s="1149">
        <v>122.84739999999999</v>
      </c>
      <c r="P40" s="1149">
        <v>122.7735</v>
      </c>
    </row>
    <row r="41" spans="1:16" s="1692" customFormat="1" ht="9.6" customHeight="1" x14ac:dyDescent="0.2">
      <c r="A41" s="1156"/>
      <c r="B41" s="1145"/>
      <c r="C41" s="1147"/>
      <c r="D41" s="1147"/>
      <c r="E41" s="1146"/>
      <c r="F41" s="1147"/>
      <c r="G41" s="1147"/>
      <c r="H41" s="1147"/>
      <c r="I41" s="1147"/>
      <c r="J41" s="1147"/>
      <c r="K41" s="1148"/>
      <c r="L41" s="1148"/>
      <c r="M41" s="1148"/>
      <c r="N41" s="1148"/>
      <c r="O41" s="1149"/>
      <c r="P41" s="1149"/>
    </row>
    <row r="42" spans="1:16" s="1692" customFormat="1" ht="9.6" customHeight="1" x14ac:dyDescent="0.2">
      <c r="A42" s="1156"/>
      <c r="B42" s="1145"/>
      <c r="C42" s="1147"/>
      <c r="D42" s="1147"/>
      <c r="E42" s="1146"/>
      <c r="F42" s="1147"/>
      <c r="G42" s="1147"/>
      <c r="H42" s="1147"/>
      <c r="I42" s="1147"/>
      <c r="J42" s="1147"/>
      <c r="K42" s="1148"/>
      <c r="L42" s="1148"/>
      <c r="M42" s="1148"/>
      <c r="N42" s="1148"/>
      <c r="O42" s="1149"/>
      <c r="P42" s="1149"/>
    </row>
    <row r="43" spans="1:16" s="1692" customFormat="1" ht="9.6" customHeight="1" x14ac:dyDescent="0.2">
      <c r="A43" s="1156"/>
      <c r="B43" s="1145"/>
      <c r="C43" s="1147"/>
      <c r="D43" s="1147"/>
      <c r="E43" s="1146"/>
      <c r="F43" s="1147"/>
      <c r="G43" s="1147"/>
      <c r="H43" s="1147"/>
      <c r="I43" s="1147"/>
      <c r="J43" s="1147"/>
      <c r="K43" s="1148"/>
      <c r="L43" s="1148"/>
      <c r="M43" s="1148"/>
      <c r="N43" s="1148"/>
      <c r="O43" s="1149"/>
      <c r="P43" s="1149"/>
    </row>
    <row r="44" spans="1:16" s="1692" customFormat="1" ht="9.6" customHeight="1" x14ac:dyDescent="0.2">
      <c r="A44" s="1156"/>
      <c r="B44" s="1145"/>
      <c r="C44" s="1147"/>
      <c r="D44" s="1147"/>
      <c r="E44" s="1146"/>
      <c r="F44" s="1147"/>
      <c r="G44" s="1147"/>
      <c r="H44" s="1147"/>
      <c r="I44" s="1147"/>
      <c r="J44" s="1147"/>
      <c r="K44" s="1148"/>
      <c r="L44" s="1148"/>
      <c r="M44" s="1148"/>
      <c r="N44" s="1148"/>
      <c r="O44" s="1149"/>
      <c r="P44" s="1149"/>
    </row>
    <row r="45" spans="1:16" s="1692" customFormat="1" ht="9.6" customHeight="1" x14ac:dyDescent="0.2">
      <c r="A45" s="1156"/>
      <c r="B45" s="1145"/>
      <c r="C45" s="1147"/>
      <c r="D45" s="1147"/>
      <c r="E45" s="1146"/>
      <c r="F45" s="1147"/>
      <c r="G45" s="1147"/>
      <c r="H45" s="1147"/>
      <c r="I45" s="1147"/>
      <c r="J45" s="1147"/>
      <c r="K45" s="1148"/>
      <c r="L45" s="1148"/>
      <c r="M45" s="1148"/>
      <c r="N45" s="1148"/>
      <c r="O45" s="1149"/>
      <c r="P45" s="1149"/>
    </row>
    <row r="46" spans="1:16" s="1912" customFormat="1" ht="9.6" customHeight="1" x14ac:dyDescent="0.2">
      <c r="A46" s="1156"/>
      <c r="B46" s="1145"/>
      <c r="C46" s="1147"/>
      <c r="D46" s="1147"/>
      <c r="E46" s="1146"/>
      <c r="F46" s="1147"/>
      <c r="G46" s="1147"/>
      <c r="H46" s="1147"/>
      <c r="I46" s="1147"/>
      <c r="J46" s="1147"/>
      <c r="K46" s="1148"/>
      <c r="L46" s="1148"/>
      <c r="M46" s="1148"/>
      <c r="N46" s="1148"/>
      <c r="O46" s="1149"/>
      <c r="P46" s="1149"/>
    </row>
    <row r="47" spans="1:16" s="1912" customFormat="1" ht="9.6" customHeight="1" x14ac:dyDescent="0.2">
      <c r="A47" s="1150" t="s">
        <v>85</v>
      </c>
      <c r="B47" s="372" t="s">
        <v>552</v>
      </c>
      <c r="C47" s="1147"/>
      <c r="D47" s="1147"/>
      <c r="E47" s="1146"/>
      <c r="F47" s="1147"/>
      <c r="G47" s="1147"/>
      <c r="H47" s="1147"/>
      <c r="I47" s="1147"/>
      <c r="J47" s="1147"/>
      <c r="K47" s="1148"/>
      <c r="L47" s="1148"/>
      <c r="M47" s="1148"/>
      <c r="N47" s="1148"/>
      <c r="O47" s="1149"/>
      <c r="P47" s="1149"/>
    </row>
    <row r="48" spans="1:16" s="1912" customFormat="1" ht="9.6" customHeight="1" x14ac:dyDescent="0.2">
      <c r="A48" s="1150" t="s">
        <v>85</v>
      </c>
      <c r="B48" s="1913" t="s">
        <v>553</v>
      </c>
      <c r="C48" s="1147"/>
      <c r="D48" s="1147"/>
      <c r="E48" s="1146"/>
      <c r="F48" s="1147"/>
      <c r="G48" s="1147"/>
      <c r="H48" s="1147"/>
      <c r="I48" s="1147"/>
      <c r="J48" s="1147"/>
      <c r="K48" s="1148"/>
      <c r="L48" s="1148"/>
      <c r="M48" s="1148"/>
      <c r="N48" s="1148"/>
      <c r="O48" s="1149"/>
      <c r="P48" s="1149"/>
    </row>
    <row r="49" spans="1:16" s="1912" customFormat="1" ht="9.6" customHeight="1" x14ac:dyDescent="0.2">
      <c r="A49" s="1150" t="s">
        <v>85</v>
      </c>
      <c r="B49" s="372" t="s">
        <v>547</v>
      </c>
      <c r="C49" s="1147"/>
      <c r="D49" s="1147"/>
      <c r="E49" s="1146"/>
      <c r="F49" s="1147"/>
      <c r="G49" s="1147"/>
      <c r="H49" s="1147"/>
      <c r="I49" s="1147"/>
      <c r="J49" s="1147"/>
      <c r="K49" s="1148"/>
      <c r="L49" s="1148"/>
      <c r="M49" s="1148"/>
      <c r="N49" s="1148"/>
      <c r="O49" s="1149"/>
      <c r="P49" s="1149"/>
    </row>
    <row r="50" spans="1:16" s="1912" customFormat="1" ht="9.6" customHeight="1" x14ac:dyDescent="0.2">
      <c r="A50" s="1150" t="s">
        <v>85</v>
      </c>
      <c r="B50" s="1913" t="s">
        <v>554</v>
      </c>
      <c r="C50" s="1147"/>
      <c r="D50" s="1147"/>
      <c r="E50" s="1146"/>
      <c r="F50" s="1147"/>
      <c r="G50" s="1147"/>
      <c r="H50" s="1147"/>
      <c r="I50" s="1147"/>
      <c r="J50" s="1147"/>
      <c r="K50" s="1148"/>
      <c r="L50" s="1148"/>
      <c r="M50" s="1148"/>
      <c r="N50" s="1148"/>
      <c r="O50" s="1149"/>
      <c r="P50" s="1149"/>
    </row>
    <row r="51" spans="1:16" s="1912" customFormat="1" ht="9.6" customHeight="1" x14ac:dyDescent="0.2">
      <c r="A51" s="1150" t="s">
        <v>85</v>
      </c>
      <c r="B51" s="372" t="s">
        <v>555</v>
      </c>
      <c r="C51" s="1147"/>
      <c r="D51" s="1147"/>
      <c r="E51" s="1146"/>
      <c r="F51" s="1147"/>
      <c r="G51" s="1147"/>
      <c r="H51" s="1147"/>
      <c r="I51" s="1147"/>
      <c r="J51" s="1147"/>
      <c r="K51" s="1148"/>
      <c r="L51" s="1148"/>
      <c r="M51" s="1148"/>
      <c r="N51" s="1148"/>
      <c r="O51" s="1149"/>
      <c r="P51" s="1149"/>
    </row>
    <row r="52" spans="1:16" s="1912" customFormat="1" ht="9.6" customHeight="1" x14ac:dyDescent="0.2">
      <c r="A52" s="1150" t="s">
        <v>85</v>
      </c>
      <c r="B52" s="1913" t="s">
        <v>548</v>
      </c>
      <c r="C52" s="1147"/>
      <c r="D52" s="1147"/>
      <c r="E52" s="1146"/>
      <c r="F52" s="1147"/>
      <c r="G52" s="1147"/>
      <c r="H52" s="1147"/>
      <c r="I52" s="1147"/>
      <c r="J52" s="1147"/>
      <c r="K52" s="1148"/>
      <c r="L52" s="1148"/>
      <c r="M52" s="1148"/>
      <c r="N52" s="1148"/>
      <c r="O52" s="1149"/>
      <c r="P52" s="1149"/>
    </row>
    <row r="53" spans="1:16" s="1912" customFormat="1" ht="9.6" customHeight="1" x14ac:dyDescent="0.2">
      <c r="A53" s="1150" t="s">
        <v>85</v>
      </c>
      <c r="B53" s="372" t="s">
        <v>556</v>
      </c>
      <c r="C53" s="1147"/>
      <c r="D53" s="1147"/>
      <c r="E53" s="1146"/>
      <c r="F53" s="1147"/>
      <c r="G53" s="1147"/>
      <c r="H53" s="1147"/>
      <c r="I53" s="1147"/>
      <c r="J53" s="1147"/>
      <c r="K53" s="1148"/>
      <c r="L53" s="1148"/>
      <c r="M53" s="1148"/>
      <c r="N53" s="1148"/>
      <c r="O53" s="1149"/>
      <c r="P53" s="1149"/>
    </row>
    <row r="54" spans="1:16" s="1912" customFormat="1" ht="9.6" customHeight="1" x14ac:dyDescent="0.2">
      <c r="A54" s="1150" t="s">
        <v>85</v>
      </c>
      <c r="B54" s="1913" t="s">
        <v>557</v>
      </c>
      <c r="C54" s="1147"/>
      <c r="D54" s="1147"/>
      <c r="E54" s="1146"/>
      <c r="F54" s="1147"/>
      <c r="G54" s="1147"/>
      <c r="H54" s="1147"/>
      <c r="I54" s="1147"/>
      <c r="J54" s="1147"/>
      <c r="K54" s="1148"/>
      <c r="L54" s="1148"/>
      <c r="M54" s="1148"/>
      <c r="N54" s="1148"/>
      <c r="O54" s="1149"/>
      <c r="P54" s="1149"/>
    </row>
    <row r="55" spans="1:16" s="1912" customFormat="1" ht="9.6" customHeight="1" x14ac:dyDescent="0.2">
      <c r="A55" s="1150" t="s">
        <v>85</v>
      </c>
      <c r="B55" s="372" t="s">
        <v>549</v>
      </c>
      <c r="C55" s="1147"/>
      <c r="D55" s="1147"/>
      <c r="E55" s="1146"/>
      <c r="F55" s="1147"/>
      <c r="G55" s="1147"/>
      <c r="H55" s="1147"/>
      <c r="I55" s="1147"/>
      <c r="J55" s="1147"/>
      <c r="K55" s="1148"/>
      <c r="L55" s="1148"/>
      <c r="M55" s="1148"/>
      <c r="N55" s="1148"/>
      <c r="O55" s="1149"/>
      <c r="P55" s="1149"/>
    </row>
    <row r="56" spans="1:16" s="1912" customFormat="1" ht="9.6" customHeight="1" x14ac:dyDescent="0.2">
      <c r="A56" s="1150" t="s">
        <v>85</v>
      </c>
      <c r="B56" s="1913" t="s">
        <v>558</v>
      </c>
      <c r="C56" s="1147"/>
      <c r="D56" s="1147"/>
      <c r="E56" s="1146"/>
      <c r="F56" s="1147"/>
      <c r="G56" s="1147"/>
      <c r="H56" s="1147"/>
      <c r="I56" s="1147"/>
      <c r="J56" s="1147"/>
      <c r="K56" s="1148"/>
      <c r="L56" s="1148"/>
      <c r="M56" s="1148"/>
      <c r="N56" s="1148"/>
      <c r="O56" s="1149"/>
      <c r="P56" s="1149"/>
    </row>
    <row r="57" spans="1:16" s="1912" customFormat="1" ht="9.6" customHeight="1" x14ac:dyDescent="0.2">
      <c r="A57" s="1150" t="s">
        <v>85</v>
      </c>
      <c r="B57" s="372" t="s">
        <v>559</v>
      </c>
      <c r="C57" s="1147"/>
      <c r="D57" s="1147"/>
      <c r="E57" s="1146"/>
      <c r="F57" s="1147"/>
      <c r="G57" s="1147"/>
      <c r="H57" s="1147"/>
      <c r="I57" s="1147"/>
      <c r="J57" s="1147"/>
      <c r="K57" s="1148"/>
      <c r="L57" s="1148"/>
      <c r="M57" s="1148"/>
      <c r="N57" s="1148"/>
      <c r="O57" s="1149"/>
      <c r="P57" s="1149"/>
    </row>
    <row r="58" spans="1:16" s="1912" customFormat="1" ht="9.6" customHeight="1" x14ac:dyDescent="0.2">
      <c r="A58" s="1150" t="s">
        <v>85</v>
      </c>
      <c r="B58" s="1913" t="s">
        <v>550</v>
      </c>
      <c r="C58" s="1147"/>
      <c r="D58" s="1147"/>
      <c r="E58" s="1146"/>
      <c r="F58" s="1147"/>
      <c r="G58" s="1147"/>
      <c r="H58" s="1147"/>
      <c r="I58" s="1147"/>
      <c r="J58" s="1147"/>
      <c r="K58" s="1148"/>
      <c r="L58" s="1148"/>
      <c r="M58" s="1148"/>
      <c r="N58" s="1148"/>
      <c r="O58" s="1149"/>
      <c r="P58" s="1149"/>
    </row>
    <row r="59" spans="1:16" s="1912" customFormat="1" ht="9.6" customHeight="1" x14ac:dyDescent="0.2">
      <c r="A59" s="1150" t="s">
        <v>81</v>
      </c>
      <c r="B59" s="372" t="s">
        <v>552</v>
      </c>
      <c r="C59" s="1147">
        <v>3.46</v>
      </c>
      <c r="D59" s="1147">
        <v>6.04</v>
      </c>
      <c r="E59" s="1146" t="s">
        <v>288</v>
      </c>
      <c r="F59" s="1147" t="s">
        <v>288</v>
      </c>
      <c r="G59" s="1147">
        <v>424</v>
      </c>
      <c r="H59" s="1147">
        <v>59</v>
      </c>
      <c r="I59" s="1147">
        <v>484</v>
      </c>
      <c r="J59" s="1147">
        <v>1438.2</v>
      </c>
      <c r="K59" s="1148">
        <v>1554.8</v>
      </c>
      <c r="L59" s="1148">
        <v>1729.1</v>
      </c>
      <c r="M59" s="1148">
        <v>7741.5</v>
      </c>
      <c r="N59" s="1148">
        <v>69.06</v>
      </c>
      <c r="O59" s="1149">
        <v>69.06</v>
      </c>
      <c r="P59" s="1149"/>
    </row>
    <row r="60" spans="1:16" s="1912" customFormat="1" ht="9.6" customHeight="1" x14ac:dyDescent="0.2">
      <c r="A60" s="1150" t="s">
        <v>81</v>
      </c>
      <c r="B60" s="1913" t="s">
        <v>553</v>
      </c>
      <c r="C60" s="1147">
        <v>4.6900000000000004</v>
      </c>
      <c r="D60" s="1147">
        <v>5.6</v>
      </c>
      <c r="E60" s="1146" t="s">
        <v>572</v>
      </c>
      <c r="F60" s="1147" t="s">
        <v>572</v>
      </c>
      <c r="G60" s="1147">
        <v>438</v>
      </c>
      <c r="H60" s="1147">
        <v>56</v>
      </c>
      <c r="I60" s="1147">
        <v>501</v>
      </c>
      <c r="J60" s="1147">
        <v>1367.8</v>
      </c>
      <c r="K60" s="1148">
        <v>1424.2</v>
      </c>
      <c r="L60" s="1148">
        <v>1582.1</v>
      </c>
      <c r="M60" s="1148">
        <v>9155.7000000000007</v>
      </c>
      <c r="N60" s="1148">
        <v>69.06</v>
      </c>
      <c r="O60" s="1149">
        <v>69.06</v>
      </c>
      <c r="P60" s="1149"/>
    </row>
    <row r="61" spans="1:16" s="1912" customFormat="1" ht="9.6" customHeight="1" x14ac:dyDescent="0.2">
      <c r="A61" s="1150" t="s">
        <v>81</v>
      </c>
      <c r="B61" s="372" t="s">
        <v>547</v>
      </c>
      <c r="C61" s="1147">
        <v>4.5999999999999996</v>
      </c>
      <c r="D61" s="1147">
        <v>5.15</v>
      </c>
      <c r="E61" s="1146" t="s">
        <v>572</v>
      </c>
      <c r="F61" s="1147" t="s">
        <v>572</v>
      </c>
      <c r="G61" s="1147">
        <v>427</v>
      </c>
      <c r="H61" s="1147">
        <v>62</v>
      </c>
      <c r="I61" s="1147">
        <v>487</v>
      </c>
      <c r="J61" s="1147">
        <v>1060.2</v>
      </c>
      <c r="K61" s="1148">
        <v>1635.2</v>
      </c>
      <c r="L61" s="1148">
        <v>1813.5</v>
      </c>
      <c r="M61" s="1148">
        <v>9362.6</v>
      </c>
      <c r="N61" s="1148">
        <v>69.06</v>
      </c>
      <c r="O61" s="1149">
        <v>69.06</v>
      </c>
      <c r="P61" s="1149"/>
    </row>
    <row r="62" spans="1:16" s="1912" customFormat="1" ht="9.6" customHeight="1" x14ac:dyDescent="0.2">
      <c r="A62" s="1150" t="s">
        <v>81</v>
      </c>
      <c r="B62" s="1913" t="s">
        <v>554</v>
      </c>
      <c r="C62" s="1147">
        <v>6.71</v>
      </c>
      <c r="D62" s="1147">
        <v>5.1100000000000003</v>
      </c>
      <c r="E62" s="1146" t="s">
        <v>288</v>
      </c>
      <c r="F62" s="1147" t="s">
        <v>288</v>
      </c>
      <c r="G62" s="1147">
        <v>436</v>
      </c>
      <c r="H62" s="1147">
        <v>62</v>
      </c>
      <c r="I62" s="1147">
        <v>497</v>
      </c>
      <c r="J62" s="1147">
        <v>1024</v>
      </c>
      <c r="K62" s="1148">
        <v>1829.5</v>
      </c>
      <c r="L62" s="1148">
        <v>2032</v>
      </c>
      <c r="M62" s="1148">
        <v>9544.7000000000007</v>
      </c>
      <c r="N62" s="1148">
        <v>69.102599999999995</v>
      </c>
      <c r="O62" s="1149">
        <v>69.150000000000006</v>
      </c>
      <c r="P62" s="1149"/>
    </row>
    <row r="63" spans="1:16" s="1912" customFormat="1" ht="9.6" customHeight="1" x14ac:dyDescent="0.2">
      <c r="A63" s="1150" t="s">
        <v>81</v>
      </c>
      <c r="B63" s="372" t="s">
        <v>555</v>
      </c>
      <c r="C63" s="1147">
        <v>7.24</v>
      </c>
      <c r="D63" s="1147">
        <v>5.21</v>
      </c>
      <c r="E63" s="1146" t="s">
        <v>288</v>
      </c>
      <c r="F63" s="1147" t="s">
        <v>288</v>
      </c>
      <c r="G63" s="1147">
        <v>430</v>
      </c>
      <c r="H63" s="1147">
        <v>62</v>
      </c>
      <c r="I63" s="1147">
        <v>490</v>
      </c>
      <c r="J63" s="1147">
        <v>1197.5</v>
      </c>
      <c r="K63" s="1148">
        <v>1639.3</v>
      </c>
      <c r="L63" s="1148">
        <v>1820.5</v>
      </c>
      <c r="M63" s="1148">
        <v>10335.4</v>
      </c>
      <c r="N63" s="1148">
        <v>69.098799999999997</v>
      </c>
      <c r="O63" s="1149">
        <v>69.040000000000006</v>
      </c>
      <c r="P63" s="1149"/>
    </row>
    <row r="64" spans="1:16" s="1912" customFormat="1" ht="9.6" customHeight="1" x14ac:dyDescent="0.2">
      <c r="A64" s="1150" t="s">
        <v>81</v>
      </c>
      <c r="B64" s="1913" t="s">
        <v>548</v>
      </c>
      <c r="C64" s="1147">
        <v>8.51</v>
      </c>
      <c r="D64" s="1147">
        <v>5.42</v>
      </c>
      <c r="E64" s="1146" t="s">
        <v>288</v>
      </c>
      <c r="F64" s="1147" t="s">
        <v>288</v>
      </c>
      <c r="G64" s="1147">
        <v>445</v>
      </c>
      <c r="H64" s="1147">
        <v>54</v>
      </c>
      <c r="I64" s="1147">
        <v>509</v>
      </c>
      <c r="J64" s="1147">
        <v>1185.2</v>
      </c>
      <c r="K64" s="1148">
        <v>1964.6</v>
      </c>
      <c r="L64" s="1148">
        <v>2180.5</v>
      </c>
      <c r="M64" s="1148">
        <v>10344.700000000001</v>
      </c>
      <c r="N64" s="1148">
        <v>69.164699999999996</v>
      </c>
      <c r="O64" s="1149">
        <v>69.2667</v>
      </c>
      <c r="P64" s="1149"/>
    </row>
    <row r="65" spans="1:16" s="1912" customFormat="1" ht="9.6" customHeight="1" x14ac:dyDescent="0.2">
      <c r="A65" s="1150" t="s">
        <v>81</v>
      </c>
      <c r="B65" s="372" t="s">
        <v>556</v>
      </c>
      <c r="C65" s="1147">
        <v>8.99</v>
      </c>
      <c r="D65" s="1147">
        <v>5.67</v>
      </c>
      <c r="E65" s="1146" t="s">
        <v>288</v>
      </c>
      <c r="F65" s="1147" t="s">
        <v>288</v>
      </c>
      <c r="G65" s="1147">
        <v>452</v>
      </c>
      <c r="H65" s="1147">
        <v>65</v>
      </c>
      <c r="I65" s="1147">
        <v>515</v>
      </c>
      <c r="J65" s="1147">
        <v>1429.7</v>
      </c>
      <c r="K65" s="1148">
        <v>1657.8</v>
      </c>
      <c r="L65" s="1148">
        <v>1861.1</v>
      </c>
      <c r="M65" s="1148">
        <v>10097.799999999999</v>
      </c>
      <c r="N65" s="1148">
        <v>69.203800000000001</v>
      </c>
      <c r="O65" s="1149">
        <v>69.201499999999996</v>
      </c>
      <c r="P65" s="1149"/>
    </row>
    <row r="66" spans="1:16" s="1912" customFormat="1" ht="9.6" customHeight="1" x14ac:dyDescent="0.2">
      <c r="A66" s="1150" t="s">
        <v>81</v>
      </c>
      <c r="B66" s="1913" t="s">
        <v>557</v>
      </c>
      <c r="C66" s="1147">
        <v>9.06</v>
      </c>
      <c r="D66" s="1147">
        <v>5.95</v>
      </c>
      <c r="E66" s="1146" t="s">
        <v>288</v>
      </c>
      <c r="F66" s="1147" t="s">
        <v>288</v>
      </c>
      <c r="G66" s="1147">
        <v>439</v>
      </c>
      <c r="H66" s="1147">
        <v>56</v>
      </c>
      <c r="I66" s="1147">
        <v>502</v>
      </c>
      <c r="J66" s="1147">
        <v>1315.9</v>
      </c>
      <c r="K66" s="1148">
        <v>1658.2</v>
      </c>
      <c r="L66" s="1148">
        <v>1818.6</v>
      </c>
      <c r="M66" s="1148">
        <v>10554.6</v>
      </c>
      <c r="N66" s="1148">
        <v>69.288799999999995</v>
      </c>
      <c r="O66" s="1149">
        <v>69.231999999999999</v>
      </c>
      <c r="P66" s="1149"/>
    </row>
    <row r="67" spans="1:16" s="1912" customFormat="1" ht="9.6" customHeight="1" x14ac:dyDescent="0.2">
      <c r="A67" s="1150" t="s">
        <v>81</v>
      </c>
      <c r="B67" s="372" t="s">
        <v>549</v>
      </c>
      <c r="C67" s="1147">
        <v>8.7799999999999994</v>
      </c>
      <c r="D67" s="1147">
        <v>6.26</v>
      </c>
      <c r="E67" s="1146" t="s">
        <v>288</v>
      </c>
      <c r="F67" s="1147" t="s">
        <v>288</v>
      </c>
      <c r="G67" s="1147">
        <v>458</v>
      </c>
      <c r="H67" s="1147">
        <v>57</v>
      </c>
      <c r="I67" s="1147">
        <v>524</v>
      </c>
      <c r="J67" s="1147">
        <v>1520.2</v>
      </c>
      <c r="K67" s="1148">
        <v>2121.4</v>
      </c>
      <c r="L67" s="1148">
        <v>2353.6</v>
      </c>
      <c r="M67" s="1148">
        <v>10142</v>
      </c>
      <c r="N67" s="1148">
        <v>69.250900000000001</v>
      </c>
      <c r="O67" s="1149">
        <v>69.242900000000006</v>
      </c>
      <c r="P67" s="1149"/>
    </row>
    <row r="68" spans="1:16" s="1912" customFormat="1" ht="9.6" customHeight="1" x14ac:dyDescent="0.2">
      <c r="A68" s="1150" t="s">
        <v>81</v>
      </c>
      <c r="B68" s="1913" t="s">
        <v>558</v>
      </c>
      <c r="C68" s="1147">
        <v>8.5399999999999991</v>
      </c>
      <c r="D68" s="1147">
        <v>6.51</v>
      </c>
      <c r="E68" s="1146" t="s">
        <v>288</v>
      </c>
      <c r="F68" s="1147" t="s">
        <v>288</v>
      </c>
      <c r="G68" s="1147">
        <v>424</v>
      </c>
      <c r="H68" s="1147">
        <v>51</v>
      </c>
      <c r="I68" s="1147">
        <v>485</v>
      </c>
      <c r="J68" s="1147">
        <v>1398.8</v>
      </c>
      <c r="K68" s="1148">
        <v>1981.1</v>
      </c>
      <c r="L68" s="1148">
        <v>2220.1999999999998</v>
      </c>
      <c r="M68" s="1148">
        <v>10602.1</v>
      </c>
      <c r="N68" s="1148">
        <v>69.255899999999997</v>
      </c>
      <c r="O68" s="1149">
        <v>69.291399999999996</v>
      </c>
      <c r="P68" s="1149"/>
    </row>
    <row r="69" spans="1:16" s="1912" customFormat="1" ht="9.6" customHeight="1" x14ac:dyDescent="0.2">
      <c r="A69" s="1150" t="s">
        <v>81</v>
      </c>
      <c r="B69" s="372" t="s">
        <v>559</v>
      </c>
      <c r="C69" s="1147">
        <v>8.65</v>
      </c>
      <c r="D69" s="1147">
        <v>6.78</v>
      </c>
      <c r="E69" s="1146" t="s">
        <v>288</v>
      </c>
      <c r="F69" s="1147" t="s">
        <v>288</v>
      </c>
      <c r="G69" s="1147" t="s">
        <v>288</v>
      </c>
      <c r="H69" s="1147" t="s">
        <v>288</v>
      </c>
      <c r="I69" s="1147" t="s">
        <v>288</v>
      </c>
      <c r="J69" s="1147">
        <v>1553.9</v>
      </c>
      <c r="K69" s="1148">
        <v>1938</v>
      </c>
      <c r="L69" s="1148">
        <v>2127</v>
      </c>
      <c r="M69" s="1148">
        <v>10146.200000000001</v>
      </c>
      <c r="N69" s="1148">
        <v>69.296099999999996</v>
      </c>
      <c r="O69" s="1149">
        <v>69.361000000000004</v>
      </c>
      <c r="P69" s="1149"/>
    </row>
    <row r="70" spans="1:16" s="1912" customFormat="1" ht="9.6" customHeight="1" x14ac:dyDescent="0.2">
      <c r="A70" s="1150" t="s">
        <v>81</v>
      </c>
      <c r="B70" s="1913" t="s">
        <v>550</v>
      </c>
      <c r="C70" s="1147">
        <v>8.6999999999999993</v>
      </c>
      <c r="D70" s="1147">
        <v>7.31</v>
      </c>
      <c r="E70" s="1146" t="s">
        <v>288</v>
      </c>
      <c r="F70" s="1147" t="s">
        <v>288</v>
      </c>
      <c r="G70" s="1147" t="s">
        <v>288</v>
      </c>
      <c r="H70" s="1147" t="s">
        <v>288</v>
      </c>
      <c r="I70" s="1147" t="s">
        <v>288</v>
      </c>
      <c r="J70" s="1147">
        <v>1713.3</v>
      </c>
      <c r="K70" s="1148">
        <v>1984.2</v>
      </c>
      <c r="L70" s="1148">
        <v>2200.1999999999998</v>
      </c>
      <c r="M70" s="1148">
        <v>10749.7</v>
      </c>
      <c r="N70" s="1148">
        <v>69.358000000000004</v>
      </c>
      <c r="O70" s="1149">
        <v>69.441000000000003</v>
      </c>
      <c r="P70" s="1149"/>
    </row>
    <row r="71" spans="1:16" s="1912" customFormat="1" ht="9.6" customHeight="1" x14ac:dyDescent="0.2">
      <c r="A71" s="1150" t="s">
        <v>189</v>
      </c>
      <c r="B71" s="372" t="s">
        <v>552</v>
      </c>
      <c r="C71" s="2096">
        <v>7.26</v>
      </c>
      <c r="D71" s="2096">
        <v>7.63</v>
      </c>
      <c r="E71" s="1825" t="s">
        <v>3170</v>
      </c>
      <c r="F71" s="1825" t="s">
        <v>3170</v>
      </c>
      <c r="G71" s="1825" t="s">
        <v>3170</v>
      </c>
      <c r="H71" s="1825" t="s">
        <v>3170</v>
      </c>
      <c r="I71" s="2097" t="s">
        <v>3170</v>
      </c>
      <c r="J71" s="1988">
        <v>1822.8</v>
      </c>
      <c r="K71" s="1988">
        <v>1954.4</v>
      </c>
      <c r="L71" s="1988">
        <v>2164.4</v>
      </c>
      <c r="M71" s="1988">
        <v>10749.2</v>
      </c>
      <c r="N71" s="2098">
        <v>69.434899999999999</v>
      </c>
      <c r="O71" s="2098">
        <v>69.407799999999995</v>
      </c>
      <c r="P71" s="1902">
        <v>69.434899999999999</v>
      </c>
    </row>
    <row r="72" spans="1:16" s="1912" customFormat="1" ht="9.6" customHeight="1" x14ac:dyDescent="0.2">
      <c r="A72" s="1150" t="s">
        <v>189</v>
      </c>
      <c r="B72" s="1913" t="s">
        <v>553</v>
      </c>
      <c r="C72" s="2096">
        <v>7.52</v>
      </c>
      <c r="D72" s="2096">
        <v>7.87</v>
      </c>
      <c r="E72" s="1825" t="s">
        <v>3170</v>
      </c>
      <c r="F72" s="1825" t="s">
        <v>3170</v>
      </c>
      <c r="G72" s="1825" t="s">
        <v>3170</v>
      </c>
      <c r="H72" s="1825" t="s">
        <v>3170</v>
      </c>
      <c r="I72" s="2097" t="s">
        <v>3170</v>
      </c>
      <c r="J72" s="1988">
        <v>1795.2</v>
      </c>
      <c r="K72" s="1988">
        <v>2188.3000000000002</v>
      </c>
      <c r="L72" s="1988">
        <v>2427.5</v>
      </c>
      <c r="M72" s="1988">
        <v>10992.5</v>
      </c>
      <c r="N72" s="2098">
        <v>69.483000000000004</v>
      </c>
      <c r="O72" s="2098">
        <v>69.582599999999999</v>
      </c>
      <c r="P72" s="1930">
        <v>69.483000000000004</v>
      </c>
    </row>
    <row r="73" spans="1:16" s="1912" customFormat="1" ht="9.6" customHeight="1" x14ac:dyDescent="0.2">
      <c r="A73" s="1150" t="s">
        <v>189</v>
      </c>
      <c r="B73" s="372" t="s">
        <v>547</v>
      </c>
      <c r="C73" s="2096">
        <v>7.61</v>
      </c>
      <c r="D73" s="2096">
        <v>8.1199999999999992</v>
      </c>
      <c r="E73" s="1825" t="s">
        <v>3170</v>
      </c>
      <c r="F73" s="1825" t="s">
        <v>3170</v>
      </c>
      <c r="G73" s="1825" t="s">
        <v>3170</v>
      </c>
      <c r="H73" s="1825" t="s">
        <v>3170</v>
      </c>
      <c r="I73" s="2097" t="s">
        <v>3170</v>
      </c>
      <c r="J73" s="1988">
        <v>1415.1</v>
      </c>
      <c r="K73" s="1988">
        <v>2190.6</v>
      </c>
      <c r="L73" s="1988">
        <v>2429.6999999999998</v>
      </c>
      <c r="M73" s="1988">
        <v>10833.5</v>
      </c>
      <c r="N73" s="2098">
        <v>69.703299999999999</v>
      </c>
      <c r="O73" s="2098">
        <v>70.248500000000007</v>
      </c>
      <c r="P73" s="1902">
        <v>69.703299999999999</v>
      </c>
    </row>
    <row r="74" spans="1:16" s="1912" customFormat="1" ht="9.6" customHeight="1" x14ac:dyDescent="0.2">
      <c r="A74" s="1150" t="s">
        <v>189</v>
      </c>
      <c r="B74" s="1913" t="s">
        <v>554</v>
      </c>
      <c r="C74" s="2096">
        <v>6.86</v>
      </c>
      <c r="D74" s="2096">
        <v>8.1199999999999992</v>
      </c>
      <c r="E74" s="1825" t="s">
        <v>3170</v>
      </c>
      <c r="F74" s="1825" t="s">
        <v>3170</v>
      </c>
      <c r="G74" s="1825" t="s">
        <v>3170</v>
      </c>
      <c r="H74" s="1825" t="s">
        <v>3170</v>
      </c>
      <c r="I74" s="2097" t="s">
        <v>3170</v>
      </c>
      <c r="J74" s="1988">
        <v>1688.2</v>
      </c>
      <c r="K74" s="1988">
        <v>2283.8000000000002</v>
      </c>
      <c r="L74" s="1988">
        <v>2532.3000000000002</v>
      </c>
      <c r="M74" s="1988">
        <v>11160.3</v>
      </c>
      <c r="N74" s="2098">
        <v>70.488699999999994</v>
      </c>
      <c r="O74" s="2098">
        <v>70.793800000000005</v>
      </c>
      <c r="P74" s="1930">
        <v>70.488699999999994</v>
      </c>
    </row>
    <row r="75" spans="1:16" s="1912" customFormat="1" ht="9.6" customHeight="1" x14ac:dyDescent="0.2">
      <c r="A75" s="1150" t="s">
        <v>189</v>
      </c>
      <c r="B75" s="372" t="s">
        <v>555</v>
      </c>
      <c r="C75" s="2096">
        <v>7.54</v>
      </c>
      <c r="D75" s="2096">
        <v>8.14</v>
      </c>
      <c r="E75" s="1825" t="s">
        <v>3170</v>
      </c>
      <c r="F75" s="1825" t="s">
        <v>3170</v>
      </c>
      <c r="G75" s="1825" t="s">
        <v>3170</v>
      </c>
      <c r="H75" s="1825" t="s">
        <v>3170</v>
      </c>
      <c r="I75" s="2097" t="s">
        <v>3170</v>
      </c>
      <c r="J75" s="1988">
        <v>1553.9</v>
      </c>
      <c r="K75" s="1988">
        <v>2434.1</v>
      </c>
      <c r="L75" s="1988">
        <v>2699.6</v>
      </c>
      <c r="M75" s="1988">
        <v>10700.2</v>
      </c>
      <c r="N75" s="2098">
        <v>70.401600000000002</v>
      </c>
      <c r="O75" s="2098">
        <v>70.361500000000007</v>
      </c>
      <c r="P75" s="1902">
        <v>70.401600000000002</v>
      </c>
    </row>
    <row r="76" spans="1:16" s="1912" customFormat="1" ht="9.6" customHeight="1" x14ac:dyDescent="0.2">
      <c r="A76" s="1150" t="s">
        <v>189</v>
      </c>
      <c r="B76" s="1913" t="s">
        <v>548</v>
      </c>
      <c r="C76" s="2096">
        <v>8.2799999999999994</v>
      </c>
      <c r="D76" s="2096">
        <v>8.1300000000000008</v>
      </c>
      <c r="E76" s="1825" t="s">
        <v>3170</v>
      </c>
      <c r="F76" s="1825" t="s">
        <v>3170</v>
      </c>
      <c r="G76" s="1825" t="s">
        <v>3170</v>
      </c>
      <c r="H76" s="1825" t="s">
        <v>3170</v>
      </c>
      <c r="I76" s="2097" t="s">
        <v>3170</v>
      </c>
      <c r="J76" s="1988">
        <v>1988.4</v>
      </c>
      <c r="K76" s="1988">
        <v>2689.9</v>
      </c>
      <c r="L76" s="1988">
        <v>2984.4</v>
      </c>
      <c r="M76" s="1988">
        <v>11174.4</v>
      </c>
      <c r="N76" s="2098">
        <v>70.626499999999993</v>
      </c>
      <c r="O76" s="2098">
        <v>70.749700000000004</v>
      </c>
      <c r="P76" s="1930">
        <v>70.626499999999993</v>
      </c>
    </row>
    <row r="77" spans="1:16" s="1912" customFormat="1" ht="9.6" customHeight="1" x14ac:dyDescent="0.2">
      <c r="A77" s="1150" t="s">
        <v>189</v>
      </c>
      <c r="B77" s="372" t="s">
        <v>556</v>
      </c>
      <c r="C77" s="2096">
        <v>9.0399999999999991</v>
      </c>
      <c r="D77" s="2096">
        <v>8.14</v>
      </c>
      <c r="E77" s="1825" t="s">
        <v>3170</v>
      </c>
      <c r="F77" s="1825" t="s">
        <v>3170</v>
      </c>
      <c r="G77" s="1825" t="s">
        <v>3170</v>
      </c>
      <c r="H77" s="1825" t="s">
        <v>3170</v>
      </c>
      <c r="I77" s="2097" t="s">
        <v>3170</v>
      </c>
      <c r="J77" s="1988">
        <v>1920.6</v>
      </c>
      <c r="K77" s="1988">
        <v>2745.8</v>
      </c>
      <c r="L77" s="1988">
        <v>3047.5</v>
      </c>
      <c r="M77" s="1988">
        <v>10381.700000000001</v>
      </c>
      <c r="N77" s="2098">
        <v>71.042699999999996</v>
      </c>
      <c r="O77" s="2098">
        <v>71.150000000000006</v>
      </c>
      <c r="P77" s="1902">
        <v>71.042699999999996</v>
      </c>
    </row>
    <row r="78" spans="1:16" s="1912" customFormat="1" ht="9.6" customHeight="1" x14ac:dyDescent="0.2">
      <c r="A78" s="1150" t="s">
        <v>189</v>
      </c>
      <c r="B78" s="1913" t="s">
        <v>557</v>
      </c>
      <c r="C78" s="2096">
        <v>9.7899999999999991</v>
      </c>
      <c r="D78" s="2096">
        <v>8.2100000000000009</v>
      </c>
      <c r="E78" s="1825" t="s">
        <v>3170</v>
      </c>
      <c r="F78" s="1825" t="s">
        <v>3170</v>
      </c>
      <c r="G78" s="1825" t="s">
        <v>3170</v>
      </c>
      <c r="H78" s="1825" t="s">
        <v>3170</v>
      </c>
      <c r="I78" s="2097" t="s">
        <v>3170</v>
      </c>
      <c r="J78" s="1988">
        <v>1886</v>
      </c>
      <c r="K78" s="1988">
        <v>2478.6999999999998</v>
      </c>
      <c r="L78" s="1988">
        <v>2752.2</v>
      </c>
      <c r="M78" s="1988">
        <v>11158.6</v>
      </c>
      <c r="N78" s="2098">
        <v>71.177800000000005</v>
      </c>
      <c r="O78" s="2098">
        <v>71.3</v>
      </c>
      <c r="P78" s="1930">
        <v>71.177800000000005</v>
      </c>
    </row>
    <row r="79" spans="1:16" s="1912" customFormat="1" ht="9.6" customHeight="1" x14ac:dyDescent="0.2">
      <c r="A79" s="1150" t="s">
        <v>189</v>
      </c>
      <c r="B79" s="372" t="s">
        <v>549</v>
      </c>
      <c r="C79" s="2096">
        <v>10.49</v>
      </c>
      <c r="D79" s="2096">
        <v>8.36</v>
      </c>
      <c r="E79" s="1825" t="s">
        <v>3170</v>
      </c>
      <c r="F79" s="1825" t="s">
        <v>3170</v>
      </c>
      <c r="G79" s="1825" t="s">
        <v>3170</v>
      </c>
      <c r="H79" s="1825" t="s">
        <v>3170</v>
      </c>
      <c r="I79" s="2097" t="s">
        <v>3170</v>
      </c>
      <c r="J79" s="1988">
        <v>2136.9</v>
      </c>
      <c r="K79" s="1988">
        <v>2870.2</v>
      </c>
      <c r="L79" s="1988">
        <v>3186.1</v>
      </c>
      <c r="M79" s="1988">
        <v>10730.6</v>
      </c>
      <c r="N79" s="2098">
        <v>71.983099999999993</v>
      </c>
      <c r="O79" s="2098">
        <v>72.764799999999994</v>
      </c>
      <c r="P79" s="1902">
        <v>71.983099999999993</v>
      </c>
    </row>
    <row r="80" spans="1:16" s="1912" customFormat="1" ht="9.6" customHeight="1" x14ac:dyDescent="0.2">
      <c r="A80" s="1150" t="s">
        <v>189</v>
      </c>
      <c r="B80" s="1913" t="s">
        <v>558</v>
      </c>
      <c r="C80" s="2096">
        <v>10.67</v>
      </c>
      <c r="D80" s="2096">
        <v>8.5399999999999991</v>
      </c>
      <c r="E80" s="1825" t="s">
        <v>3170</v>
      </c>
      <c r="F80" s="1825" t="s">
        <v>3170</v>
      </c>
      <c r="G80" s="1825" t="s">
        <v>3170</v>
      </c>
      <c r="H80" s="1825" t="s">
        <v>3170</v>
      </c>
      <c r="I80" s="2097" t="s">
        <v>3170</v>
      </c>
      <c r="J80" s="1988">
        <v>2036.2</v>
      </c>
      <c r="K80" s="1988">
        <v>2909</v>
      </c>
      <c r="L80" s="1988">
        <v>3229.2</v>
      </c>
      <c r="M80" s="1988">
        <v>11316.4</v>
      </c>
      <c r="N80" s="2098">
        <v>72.849400000000003</v>
      </c>
      <c r="O80" s="2098">
        <v>72.948899999999995</v>
      </c>
      <c r="P80" s="1930">
        <v>72.849400000000003</v>
      </c>
    </row>
    <row r="81" spans="1:16" s="1912" customFormat="1" ht="9.6" customHeight="1" x14ac:dyDescent="0.2">
      <c r="A81" s="1150" t="s">
        <v>189</v>
      </c>
      <c r="B81" s="372" t="s">
        <v>559</v>
      </c>
      <c r="C81" s="2096">
        <v>10.199999999999999</v>
      </c>
      <c r="D81" s="2096">
        <v>8.67</v>
      </c>
      <c r="E81" s="1825" t="s">
        <v>3170</v>
      </c>
      <c r="F81" s="1825" t="s">
        <v>3170</v>
      </c>
      <c r="G81" s="1825" t="s">
        <v>3170</v>
      </c>
      <c r="H81" s="1825" t="s">
        <v>3170</v>
      </c>
      <c r="I81" s="2097" t="s">
        <v>3170</v>
      </c>
      <c r="J81" s="1988">
        <v>2295.1</v>
      </c>
      <c r="K81" s="1988">
        <v>2968.6</v>
      </c>
      <c r="L81" s="1988">
        <v>3291.8</v>
      </c>
      <c r="M81" s="1988">
        <v>10431.200000000001</v>
      </c>
      <c r="N81" s="2098">
        <v>73.223699999999994</v>
      </c>
      <c r="O81" s="2098">
        <v>73.496700000000004</v>
      </c>
      <c r="P81" s="1902">
        <v>73.223699999999994</v>
      </c>
    </row>
    <row r="82" spans="1:16" s="1912" customFormat="1" ht="9.6" customHeight="1" x14ac:dyDescent="0.2">
      <c r="A82" s="1150" t="s">
        <v>189</v>
      </c>
      <c r="B82" s="1913" t="s">
        <v>550</v>
      </c>
      <c r="C82" s="2099">
        <v>10.17</v>
      </c>
      <c r="D82" s="2099">
        <v>8.8000000000000007</v>
      </c>
      <c r="E82" s="2100" t="s">
        <v>3170</v>
      </c>
      <c r="F82" s="2100" t="s">
        <v>3170</v>
      </c>
      <c r="G82" s="2100" t="s">
        <v>3170</v>
      </c>
      <c r="H82" s="2100" t="s">
        <v>3170</v>
      </c>
      <c r="I82" s="2101" t="s">
        <v>3170</v>
      </c>
      <c r="J82" s="2102">
        <v>2386</v>
      </c>
      <c r="K82" s="2100" t="s">
        <v>3170</v>
      </c>
      <c r="L82" s="2100" t="s">
        <v>3170</v>
      </c>
      <c r="M82" s="2102">
        <v>10911.6</v>
      </c>
      <c r="N82" s="2103">
        <v>73.916600000000003</v>
      </c>
      <c r="O82" s="2103">
        <v>74.149299999999997</v>
      </c>
      <c r="P82" s="1930">
        <v>73.916600000000003</v>
      </c>
    </row>
    <row r="83" spans="1:16" s="1912" customFormat="1" ht="9.6" customHeight="1" x14ac:dyDescent="0.2">
      <c r="A83" s="1150" t="s">
        <v>696</v>
      </c>
      <c r="B83" s="372" t="s">
        <v>552</v>
      </c>
      <c r="C83" s="204">
        <v>11.85</v>
      </c>
      <c r="D83" s="1929">
        <v>10.96</v>
      </c>
      <c r="E83" s="204" t="s">
        <v>288</v>
      </c>
      <c r="F83" s="1929">
        <v>9.11</v>
      </c>
      <c r="G83" s="204" t="s">
        <v>288</v>
      </c>
      <c r="H83" s="204" t="s">
        <v>288</v>
      </c>
      <c r="I83" s="204">
        <v>572</v>
      </c>
      <c r="J83" s="204" t="s">
        <v>288</v>
      </c>
      <c r="K83" s="204" t="s">
        <v>288</v>
      </c>
      <c r="L83" s="209">
        <f>2339.4</f>
        <v>2339.4</v>
      </c>
      <c r="M83" s="209">
        <v>2677</v>
      </c>
      <c r="N83" s="204">
        <v>2937.8</v>
      </c>
      <c r="O83" s="209">
        <v>10381.299999999999</v>
      </c>
      <c r="P83" s="1930">
        <v>74.484800000000007</v>
      </c>
    </row>
    <row r="84" spans="1:16" s="1912" customFormat="1" ht="9.6" customHeight="1" x14ac:dyDescent="0.2">
      <c r="A84" s="1150" t="s">
        <v>696</v>
      </c>
      <c r="B84" s="1913" t="s">
        <v>553</v>
      </c>
      <c r="C84" s="275">
        <v>12.04</v>
      </c>
      <c r="D84" s="276">
        <v>11.29</v>
      </c>
      <c r="E84" s="275" t="s">
        <v>288</v>
      </c>
      <c r="F84" s="276">
        <v>9.43</v>
      </c>
      <c r="G84" s="275" t="s">
        <v>288</v>
      </c>
      <c r="H84" s="275" t="s">
        <v>288</v>
      </c>
      <c r="I84" s="275">
        <v>564</v>
      </c>
      <c r="J84" s="275" t="s">
        <v>288</v>
      </c>
      <c r="K84" s="275" t="s">
        <v>288</v>
      </c>
      <c r="L84" s="270">
        <v>2376.8000000000002</v>
      </c>
      <c r="M84" s="270">
        <v>2332</v>
      </c>
      <c r="N84" s="275">
        <v>2552.8000000000002</v>
      </c>
      <c r="O84" s="270">
        <v>10931.9</v>
      </c>
      <c r="P84" s="1902">
        <v>74.5227</v>
      </c>
    </row>
    <row r="85" spans="1:16" s="1912" customFormat="1" ht="9.6" customHeight="1" x14ac:dyDescent="0.2">
      <c r="A85" s="1150" t="s">
        <v>696</v>
      </c>
      <c r="B85" s="372" t="s">
        <v>547</v>
      </c>
      <c r="C85" s="204">
        <v>12.66</v>
      </c>
      <c r="D85" s="1929">
        <v>11.97</v>
      </c>
      <c r="E85" s="204" t="s">
        <v>288</v>
      </c>
      <c r="F85" s="1929">
        <v>9.7899999999999991</v>
      </c>
      <c r="G85" s="204" t="s">
        <v>288</v>
      </c>
      <c r="H85" s="204" t="s">
        <v>288</v>
      </c>
      <c r="I85" s="204">
        <v>463</v>
      </c>
      <c r="J85" s="204" t="s">
        <v>288</v>
      </c>
      <c r="K85" s="204" t="s">
        <v>288</v>
      </c>
      <c r="L85" s="209">
        <v>1447.5</v>
      </c>
      <c r="M85" s="209">
        <v>3001</v>
      </c>
      <c r="N85" s="204">
        <v>3297.9</v>
      </c>
      <c r="O85" s="209">
        <v>9883.6</v>
      </c>
      <c r="P85" s="1930">
        <v>74.676900000000003</v>
      </c>
    </row>
    <row r="86" spans="1:16" s="1912" customFormat="1" ht="9.6" customHeight="1" x14ac:dyDescent="0.2">
      <c r="A86" s="1150" t="s">
        <v>696</v>
      </c>
      <c r="B86" s="1913" t="s">
        <v>554</v>
      </c>
      <c r="C86" s="275">
        <v>10.99</v>
      </c>
      <c r="D86" s="276">
        <v>11.42</v>
      </c>
      <c r="E86" s="275" t="s">
        <v>288</v>
      </c>
      <c r="F86" s="276">
        <v>10.18</v>
      </c>
      <c r="G86" s="275" t="s">
        <v>288</v>
      </c>
      <c r="H86" s="275" t="s">
        <v>288</v>
      </c>
      <c r="I86" s="275">
        <v>533</v>
      </c>
      <c r="J86" s="275" t="s">
        <v>288</v>
      </c>
      <c r="K86" s="275" t="s">
        <v>288</v>
      </c>
      <c r="L86" s="270">
        <v>1954.8</v>
      </c>
      <c r="M86" s="270">
        <v>2591</v>
      </c>
      <c r="N86" s="270">
        <v>2977</v>
      </c>
      <c r="O86" s="270">
        <v>10338.299999999999</v>
      </c>
      <c r="P86" s="1902">
        <v>75.741</v>
      </c>
    </row>
    <row r="87" spans="1:16" s="1912" customFormat="1" ht="9.6" customHeight="1" x14ac:dyDescent="0.2">
      <c r="A87" s="1150" t="s">
        <v>696</v>
      </c>
      <c r="B87" s="372" t="s">
        <v>555</v>
      </c>
      <c r="C87" s="204">
        <v>9.8699999999999992</v>
      </c>
      <c r="D87" s="1929">
        <v>11.58</v>
      </c>
      <c r="E87" s="204" t="s">
        <v>288</v>
      </c>
      <c r="F87" s="1929">
        <v>10.51</v>
      </c>
      <c r="G87" s="204" t="s">
        <v>288</v>
      </c>
      <c r="H87" s="204" t="s">
        <v>288</v>
      </c>
      <c r="I87" s="204" t="s">
        <v>288</v>
      </c>
      <c r="J87" s="204" t="s">
        <v>288</v>
      </c>
      <c r="K87" s="204" t="s">
        <v>288</v>
      </c>
      <c r="L87" s="209">
        <v>1591.2</v>
      </c>
      <c r="M87" s="209">
        <v>2829</v>
      </c>
      <c r="N87" s="204">
        <v>3141.3</v>
      </c>
      <c r="O87" s="209">
        <v>9285.2000000000007</v>
      </c>
      <c r="P87" s="1930">
        <v>76.524699999999996</v>
      </c>
    </row>
    <row r="88" spans="1:16" s="1912" customFormat="1" ht="9.6" customHeight="1" x14ac:dyDescent="0.2">
      <c r="A88" s="1150" t="s">
        <v>696</v>
      </c>
      <c r="B88" s="1913" t="s">
        <v>548</v>
      </c>
      <c r="C88" s="275" t="s">
        <v>288</v>
      </c>
      <c r="D88" s="276">
        <v>10.63</v>
      </c>
      <c r="E88" s="275" t="s">
        <v>288</v>
      </c>
      <c r="F88" s="276">
        <v>10.71</v>
      </c>
      <c r="G88" s="275" t="s">
        <v>288</v>
      </c>
      <c r="H88" s="275" t="s">
        <v>288</v>
      </c>
      <c r="I88" s="275" t="s">
        <v>288</v>
      </c>
      <c r="J88" s="275" t="s">
        <v>288</v>
      </c>
      <c r="K88" s="275" t="s">
        <v>288</v>
      </c>
      <c r="L88" s="270">
        <v>2064.9</v>
      </c>
      <c r="M88" s="270">
        <v>2622</v>
      </c>
      <c r="N88" s="275">
        <v>2889.9</v>
      </c>
      <c r="O88" s="270">
        <v>9634.9</v>
      </c>
      <c r="P88" s="1902">
        <v>79.685400000000001</v>
      </c>
    </row>
    <row r="89" spans="1:16" s="1912" customFormat="1" ht="9.6" customHeight="1" x14ac:dyDescent="0.2">
      <c r="A89" s="1150" t="s">
        <v>696</v>
      </c>
      <c r="B89" s="372" t="s">
        <v>556</v>
      </c>
      <c r="C89" s="204" t="s">
        <v>288</v>
      </c>
      <c r="D89" s="1929">
        <v>11.59</v>
      </c>
      <c r="E89" s="204" t="s">
        <v>288</v>
      </c>
      <c r="F89" s="1929">
        <v>10.91</v>
      </c>
      <c r="G89" s="204" t="s">
        <v>288</v>
      </c>
      <c r="H89" s="204" t="s">
        <v>288</v>
      </c>
      <c r="I89" s="204" t="s">
        <v>288</v>
      </c>
      <c r="J89" s="204" t="s">
        <v>288</v>
      </c>
      <c r="K89" s="204" t="s">
        <v>288</v>
      </c>
      <c r="L89" s="209">
        <v>2149.9</v>
      </c>
      <c r="M89" s="209">
        <v>2994</v>
      </c>
      <c r="N89" s="209">
        <v>3346</v>
      </c>
      <c r="O89" s="209">
        <v>9386.5</v>
      </c>
      <c r="P89" s="1930">
        <v>83.413499999999999</v>
      </c>
    </row>
    <row r="90" spans="1:16" s="1912" customFormat="1" ht="9.6" customHeight="1" x14ac:dyDescent="0.2">
      <c r="A90" s="1150" t="s">
        <v>696</v>
      </c>
      <c r="B90" s="1913" t="s">
        <v>557</v>
      </c>
      <c r="C90" s="275" t="s">
        <v>288</v>
      </c>
      <c r="D90" s="276">
        <v>10.43</v>
      </c>
      <c r="E90" s="275" t="s">
        <v>288</v>
      </c>
      <c r="F90" s="276">
        <v>10.96</v>
      </c>
      <c r="G90" s="275" t="s">
        <v>288</v>
      </c>
      <c r="H90" s="275" t="s">
        <v>288</v>
      </c>
      <c r="I90" s="275" t="s">
        <v>288</v>
      </c>
      <c r="J90" s="275" t="s">
        <v>288</v>
      </c>
      <c r="K90" s="275" t="s">
        <v>288</v>
      </c>
      <c r="L90" s="270">
        <v>1979.3</v>
      </c>
      <c r="M90" s="270">
        <v>2661</v>
      </c>
      <c r="N90" s="275">
        <v>2955.1</v>
      </c>
      <c r="O90" s="270">
        <v>10066.799999999999</v>
      </c>
      <c r="P90" s="1902">
        <v>83.110100000000003</v>
      </c>
    </row>
    <row r="91" spans="1:16" s="1912" customFormat="1" ht="9.6" customHeight="1" x14ac:dyDescent="0.2">
      <c r="A91" s="1150" t="s">
        <v>696</v>
      </c>
      <c r="B91" s="372" t="s">
        <v>549</v>
      </c>
      <c r="C91" s="204" t="s">
        <v>288</v>
      </c>
      <c r="D91" s="1929">
        <v>10.1</v>
      </c>
      <c r="E91" s="204" t="s">
        <v>288</v>
      </c>
      <c r="F91" s="1929">
        <v>10.92</v>
      </c>
      <c r="G91" s="204" t="s">
        <v>288</v>
      </c>
      <c r="H91" s="204" t="s">
        <v>288</v>
      </c>
      <c r="I91" s="204" t="s">
        <v>288</v>
      </c>
      <c r="J91" s="204" t="s">
        <v>288</v>
      </c>
      <c r="K91" s="204" t="s">
        <v>288</v>
      </c>
      <c r="L91" s="209">
        <v>1982.3</v>
      </c>
      <c r="M91" s="209">
        <v>2562</v>
      </c>
      <c r="N91" s="204">
        <v>2848.7</v>
      </c>
      <c r="O91" s="209">
        <v>9579.4</v>
      </c>
      <c r="P91" s="1930">
        <v>81.800799999999995</v>
      </c>
    </row>
    <row r="92" spans="1:16" s="1912" customFormat="1" ht="9.6" customHeight="1" x14ac:dyDescent="0.2">
      <c r="A92" s="1150" t="s">
        <v>696</v>
      </c>
      <c r="B92" s="1913" t="s">
        <v>558</v>
      </c>
      <c r="C92" s="275" t="s">
        <v>288</v>
      </c>
      <c r="D92" s="276">
        <v>9.93</v>
      </c>
      <c r="E92" s="275" t="s">
        <v>288</v>
      </c>
      <c r="F92" s="276">
        <v>10.86</v>
      </c>
      <c r="G92" s="275" t="s">
        <v>288</v>
      </c>
      <c r="H92" s="275" t="s">
        <v>288</v>
      </c>
      <c r="I92" s="275" t="s">
        <v>288</v>
      </c>
      <c r="J92" s="275" t="s">
        <v>288</v>
      </c>
      <c r="K92" s="275" t="s">
        <v>288</v>
      </c>
      <c r="L92" s="270">
        <v>1891</v>
      </c>
      <c r="M92" s="270">
        <v>2617</v>
      </c>
      <c r="N92" s="275">
        <v>2907.2</v>
      </c>
      <c r="O92" s="270">
        <v>10193</v>
      </c>
      <c r="P92" s="1902">
        <v>81.829899999999995</v>
      </c>
    </row>
    <row r="93" spans="1:16" s="1912" customFormat="1" ht="9.6" customHeight="1" x14ac:dyDescent="0.2">
      <c r="A93" s="1150" t="s">
        <v>696</v>
      </c>
      <c r="B93" s="372" t="s">
        <v>559</v>
      </c>
      <c r="C93" s="204">
        <v>6.01</v>
      </c>
      <c r="D93" s="1929">
        <v>9.15</v>
      </c>
      <c r="E93" s="204" t="s">
        <v>288</v>
      </c>
      <c r="F93" s="1929">
        <v>10.76</v>
      </c>
      <c r="G93" s="204" t="s">
        <v>288</v>
      </c>
      <c r="H93" s="204" t="s">
        <v>288</v>
      </c>
      <c r="I93" s="204" t="s">
        <v>288</v>
      </c>
      <c r="J93" s="204" t="s">
        <v>288</v>
      </c>
      <c r="K93" s="204" t="s">
        <v>288</v>
      </c>
      <c r="L93" s="209">
        <v>2199.3000000000002</v>
      </c>
      <c r="M93" s="209">
        <v>2785</v>
      </c>
      <c r="N93" s="209">
        <v>3094.3</v>
      </c>
      <c r="O93" s="209">
        <v>9520.4</v>
      </c>
      <c r="P93" s="1930">
        <v>81.857100000000003</v>
      </c>
    </row>
    <row r="94" spans="1:16" s="1912" customFormat="1" ht="9.6" customHeight="1" x14ac:dyDescent="0.2">
      <c r="A94" s="1150" t="s">
        <v>696</v>
      </c>
      <c r="B94" s="1913" t="s">
        <v>550</v>
      </c>
      <c r="C94" s="275">
        <v>5.54</v>
      </c>
      <c r="D94" s="276">
        <v>8.56</v>
      </c>
      <c r="E94" s="275" t="s">
        <v>288</v>
      </c>
      <c r="F94" s="276">
        <v>10.62</v>
      </c>
      <c r="G94" s="275" t="s">
        <v>288</v>
      </c>
      <c r="H94" s="275" t="s">
        <v>288</v>
      </c>
      <c r="I94" s="275" t="s">
        <v>288</v>
      </c>
      <c r="J94" s="275" t="s">
        <v>288</v>
      </c>
      <c r="K94" s="275" t="s">
        <v>288</v>
      </c>
      <c r="L94" s="270">
        <v>2311.1999999999998</v>
      </c>
      <c r="M94" s="270">
        <v>2245</v>
      </c>
      <c r="N94" s="275">
        <v>2494.3000000000002</v>
      </c>
      <c r="O94" s="270">
        <v>10364.4</v>
      </c>
      <c r="P94" s="1902">
        <v>81.876599999999996</v>
      </c>
    </row>
    <row r="95" spans="1:16" s="1912" customFormat="1" ht="9.6" customHeight="1" x14ac:dyDescent="0.2">
      <c r="A95" s="1150" t="s">
        <v>804</v>
      </c>
      <c r="B95" s="372" t="s">
        <v>552</v>
      </c>
      <c r="C95" s="275">
        <v>5.21</v>
      </c>
      <c r="D95" s="276">
        <v>8.0299999999999994</v>
      </c>
      <c r="E95" s="281">
        <v>8.14</v>
      </c>
      <c r="F95" s="276">
        <v>10.37</v>
      </c>
      <c r="G95" s="275" t="s">
        <v>288</v>
      </c>
      <c r="H95" s="275" t="s">
        <v>288</v>
      </c>
      <c r="I95" s="275">
        <v>610</v>
      </c>
      <c r="J95" s="275">
        <v>74</v>
      </c>
      <c r="K95" s="277">
        <f t="shared" ref="K95:K106" si="0">((100*I95)-(14.07*J95))/85.93</f>
        <v>697.76352845339227</v>
      </c>
      <c r="L95" s="270">
        <v>2439.1</v>
      </c>
      <c r="M95" s="275">
        <v>2835.9</v>
      </c>
      <c r="N95" s="270">
        <v>10569.8</v>
      </c>
      <c r="O95" s="1902">
        <v>81.773899999999998</v>
      </c>
      <c r="P95" s="1902">
        <v>81.702600000000004</v>
      </c>
    </row>
    <row r="96" spans="1:16" s="1912" customFormat="1" ht="9.6" customHeight="1" x14ac:dyDescent="0.2">
      <c r="A96" s="1150" t="s">
        <v>804</v>
      </c>
      <c r="B96" s="1913" t="s">
        <v>553</v>
      </c>
      <c r="C96" s="236">
        <v>4.97</v>
      </c>
      <c r="D96" s="237">
        <v>7.93</v>
      </c>
      <c r="E96" s="25">
        <v>7.58</v>
      </c>
      <c r="F96" s="237">
        <v>10.08</v>
      </c>
      <c r="G96" s="236" t="s">
        <v>288</v>
      </c>
      <c r="H96" s="236" t="s">
        <v>288</v>
      </c>
      <c r="I96" s="236">
        <v>581</v>
      </c>
      <c r="J96" s="236">
        <v>59</v>
      </c>
      <c r="K96" s="356">
        <f t="shared" si="0"/>
        <v>666.4711974863261</v>
      </c>
      <c r="L96" s="236">
        <v>1951.5</v>
      </c>
      <c r="M96" s="236">
        <v>2520.1</v>
      </c>
      <c r="N96" s="236">
        <v>11434.9</v>
      </c>
      <c r="O96" s="236">
        <v>81.545900000000003</v>
      </c>
      <c r="P96" s="236">
        <v>81.717600000000004</v>
      </c>
    </row>
    <row r="97" spans="1:16" s="1912" customFormat="1" ht="9.6" customHeight="1" x14ac:dyDescent="0.2">
      <c r="A97" s="1150" t="s">
        <v>804</v>
      </c>
      <c r="B97" s="372" t="s">
        <v>547</v>
      </c>
      <c r="C97" s="275">
        <v>4.96</v>
      </c>
      <c r="D97" s="276">
        <v>7.39</v>
      </c>
      <c r="E97" s="281">
        <v>6.93</v>
      </c>
      <c r="F97" s="276">
        <v>9.69</v>
      </c>
      <c r="G97" s="275" t="s">
        <v>288</v>
      </c>
      <c r="H97" s="275" t="s">
        <v>288</v>
      </c>
      <c r="I97" s="275">
        <v>572</v>
      </c>
      <c r="J97" s="275">
        <v>84</v>
      </c>
      <c r="K97" s="277">
        <f t="shared" si="0"/>
        <v>651.9041079948795</v>
      </c>
      <c r="L97" s="275">
        <v>1900.9</v>
      </c>
      <c r="M97" s="275">
        <v>2976.9</v>
      </c>
      <c r="N97" s="275">
        <v>11252.1</v>
      </c>
      <c r="O97" s="275">
        <v>81.739199999999997</v>
      </c>
      <c r="P97" s="275">
        <v>81.589600000000004</v>
      </c>
    </row>
    <row r="98" spans="1:16" s="1912" customFormat="1" ht="9.6" customHeight="1" x14ac:dyDescent="0.2">
      <c r="A98" s="1150" t="s">
        <v>804</v>
      </c>
      <c r="B98" s="1913" t="s">
        <v>554</v>
      </c>
      <c r="C98" s="236">
        <v>5.86</v>
      </c>
      <c r="D98" s="237">
        <v>7.22</v>
      </c>
      <c r="E98" s="25">
        <v>6.51</v>
      </c>
      <c r="F98" s="237">
        <v>9.33</v>
      </c>
      <c r="G98" s="236" t="s">
        <v>288</v>
      </c>
      <c r="H98" s="236" t="s">
        <v>288</v>
      </c>
      <c r="I98" s="236">
        <v>583</v>
      </c>
      <c r="J98" s="236">
        <v>76</v>
      </c>
      <c r="K98" s="356">
        <f t="shared" si="0"/>
        <v>666.0151285930408</v>
      </c>
      <c r="L98" s="214">
        <v>2077.0300000000002</v>
      </c>
      <c r="M98" s="236">
        <v>2626.5</v>
      </c>
      <c r="N98" s="236">
        <v>12339.5</v>
      </c>
      <c r="O98" s="236">
        <v>80.318899999999999</v>
      </c>
      <c r="P98" s="236">
        <v>81.200500000000005</v>
      </c>
    </row>
    <row r="99" spans="1:16" s="1912" customFormat="1" ht="9.6" customHeight="1" x14ac:dyDescent="0.2">
      <c r="A99" s="1150" t="s">
        <v>804</v>
      </c>
      <c r="B99" s="372" t="s">
        <v>555</v>
      </c>
      <c r="C99" s="275">
        <v>6.55</v>
      </c>
      <c r="D99" s="276">
        <v>7.41</v>
      </c>
      <c r="E99" s="281">
        <v>6.25</v>
      </c>
      <c r="F99" s="276">
        <v>8.98</v>
      </c>
      <c r="G99" s="275" t="s">
        <v>288</v>
      </c>
      <c r="H99" s="275" t="s">
        <v>288</v>
      </c>
      <c r="I99" s="275">
        <v>569</v>
      </c>
      <c r="J99" s="275">
        <v>76</v>
      </c>
      <c r="K99" s="277">
        <f t="shared" si="0"/>
        <v>649.72279762597464</v>
      </c>
      <c r="L99" s="270">
        <v>1765.1</v>
      </c>
      <c r="M99" s="275">
        <v>2924.7</v>
      </c>
      <c r="N99" s="275">
        <v>11753.9</v>
      </c>
      <c r="O99" s="275">
        <v>81.484700000000004</v>
      </c>
      <c r="P99" s="275">
        <v>81.637799999999999</v>
      </c>
    </row>
    <row r="100" spans="1:16" s="1912" customFormat="1" ht="9.6" customHeight="1" x14ac:dyDescent="0.2">
      <c r="A100" s="1150" t="s">
        <v>804</v>
      </c>
      <c r="B100" s="1913" t="s">
        <v>548</v>
      </c>
      <c r="C100" s="236">
        <v>7.14</v>
      </c>
      <c r="D100" s="237">
        <v>7.69</v>
      </c>
      <c r="E100" s="25">
        <v>6.22</v>
      </c>
      <c r="F100" s="237">
        <v>8.74</v>
      </c>
      <c r="G100" s="236" t="s">
        <v>288</v>
      </c>
      <c r="H100" s="236" t="s">
        <v>288</v>
      </c>
      <c r="I100" s="236">
        <v>681</v>
      </c>
      <c r="J100" s="236">
        <v>79</v>
      </c>
      <c r="K100" s="356">
        <f t="shared" si="0"/>
        <v>779.57023158384732</v>
      </c>
      <c r="L100" s="214">
        <v>2466.1999999999998</v>
      </c>
      <c r="M100" s="214">
        <v>2569.6</v>
      </c>
      <c r="N100" s="236">
        <v>12750.6</v>
      </c>
      <c r="O100" s="236">
        <v>80.601299999999995</v>
      </c>
      <c r="P100" s="236">
        <v>79.849900000000005</v>
      </c>
    </row>
    <row r="101" spans="1:16" s="1912" customFormat="1" ht="9.6" customHeight="1" x14ac:dyDescent="0.2">
      <c r="A101" s="1150" t="s">
        <v>804</v>
      </c>
      <c r="B101" s="372" t="s">
        <v>556</v>
      </c>
      <c r="C101" s="275">
        <v>6.62</v>
      </c>
      <c r="D101" s="276">
        <v>7.38</v>
      </c>
      <c r="E101" s="281">
        <v>6.06</v>
      </c>
      <c r="F101" s="276">
        <v>8.4</v>
      </c>
      <c r="G101" s="275" t="s">
        <v>288</v>
      </c>
      <c r="H101" s="275" t="s">
        <v>288</v>
      </c>
      <c r="I101" s="275">
        <v>690</v>
      </c>
      <c r="J101" s="275">
        <v>81</v>
      </c>
      <c r="K101" s="277">
        <f t="shared" si="0"/>
        <v>789.7163970673804</v>
      </c>
      <c r="L101" s="270">
        <v>2554.2800000000002</v>
      </c>
      <c r="M101" s="270">
        <v>3368.6</v>
      </c>
      <c r="N101" s="275">
        <v>13076.5</v>
      </c>
      <c r="O101" s="275">
        <v>79.531599999999997</v>
      </c>
      <c r="P101" s="275">
        <v>79.206800000000001</v>
      </c>
    </row>
    <row r="102" spans="1:16" s="1912" customFormat="1" ht="9.6" customHeight="1" x14ac:dyDescent="0.2">
      <c r="A102" s="1150" t="s">
        <v>804</v>
      </c>
      <c r="B102" s="1913" t="s">
        <v>557</v>
      </c>
      <c r="C102" s="236">
        <v>7.84</v>
      </c>
      <c r="D102" s="237">
        <v>7.87</v>
      </c>
      <c r="E102" s="25">
        <v>6.15</v>
      </c>
      <c r="F102" s="237">
        <v>8.19</v>
      </c>
      <c r="G102" s="236" t="s">
        <v>288</v>
      </c>
      <c r="H102" s="236" t="s">
        <v>288</v>
      </c>
      <c r="I102" s="236">
        <v>629</v>
      </c>
      <c r="J102" s="236">
        <v>76</v>
      </c>
      <c r="K102" s="356">
        <f t="shared" si="0"/>
        <v>719.54707319911552</v>
      </c>
      <c r="L102" s="214">
        <v>2246.5100000000002</v>
      </c>
      <c r="M102" s="214">
        <v>2608.4</v>
      </c>
      <c r="N102" s="236">
        <v>13848.3</v>
      </c>
      <c r="O102" s="236">
        <v>79.000699999999995</v>
      </c>
      <c r="P102" s="1903">
        <v>78.849999999999994</v>
      </c>
    </row>
    <row r="103" spans="1:16" s="1912" customFormat="1" ht="9.6" customHeight="1" x14ac:dyDescent="0.2">
      <c r="A103" s="1150" t="s">
        <v>804</v>
      </c>
      <c r="B103" s="372" t="s">
        <v>549</v>
      </c>
      <c r="C103" s="275">
        <v>7.71</v>
      </c>
      <c r="D103" s="276">
        <v>7.74</v>
      </c>
      <c r="E103" s="281">
        <v>6.23</v>
      </c>
      <c r="F103" s="276">
        <v>8</v>
      </c>
      <c r="G103" s="275" t="s">
        <v>288</v>
      </c>
      <c r="H103" s="275" t="s">
        <v>288</v>
      </c>
      <c r="I103" s="275">
        <v>626</v>
      </c>
      <c r="J103" s="275">
        <v>70</v>
      </c>
      <c r="K103" s="277">
        <f t="shared" si="0"/>
        <v>717.03828697777249</v>
      </c>
      <c r="L103" s="270">
        <v>2303.42</v>
      </c>
      <c r="M103" s="270">
        <v>2912.8</v>
      </c>
      <c r="N103" s="275">
        <v>13971.1</v>
      </c>
      <c r="O103" s="275">
        <v>78.585700000000003</v>
      </c>
      <c r="P103" s="1902">
        <v>78.193200000000004</v>
      </c>
    </row>
    <row r="104" spans="1:16" s="1912" customFormat="1" ht="9.6" customHeight="1" x14ac:dyDescent="0.2">
      <c r="A104" s="1150" t="s">
        <v>804</v>
      </c>
      <c r="B104" s="1913" t="s">
        <v>558</v>
      </c>
      <c r="C104" s="236">
        <v>8.3699999999999992</v>
      </c>
      <c r="D104" s="237">
        <v>7.93</v>
      </c>
      <c r="E104" s="25">
        <v>6.41</v>
      </c>
      <c r="F104" s="237">
        <v>7.85</v>
      </c>
      <c r="G104" s="236" t="s">
        <v>288</v>
      </c>
      <c r="H104" s="236" t="s">
        <v>288</v>
      </c>
      <c r="I104" s="236">
        <v>571</v>
      </c>
      <c r="J104" s="236">
        <v>78</v>
      </c>
      <c r="K104" s="356">
        <f t="shared" si="0"/>
        <v>651.72279762597464</v>
      </c>
      <c r="L104" s="214">
        <v>2079.15</v>
      </c>
      <c r="M104" s="214">
        <v>2839.6</v>
      </c>
      <c r="N104" s="236">
        <v>14829.1</v>
      </c>
      <c r="O104" s="236">
        <v>78.024900000000002</v>
      </c>
      <c r="P104" s="1903">
        <v>77.932599999999994</v>
      </c>
    </row>
    <row r="105" spans="1:16" s="1912" customFormat="1" ht="9.6" customHeight="1" x14ac:dyDescent="0.2">
      <c r="A105" s="1150" t="s">
        <v>804</v>
      </c>
      <c r="B105" s="372" t="s">
        <v>559</v>
      </c>
      <c r="C105" s="275">
        <v>7.98</v>
      </c>
      <c r="D105" s="276">
        <v>7.86</v>
      </c>
      <c r="E105" s="281">
        <v>6.57</v>
      </c>
      <c r="F105" s="276">
        <v>7.75</v>
      </c>
      <c r="G105" s="275" t="s">
        <v>288</v>
      </c>
      <c r="H105" s="275" t="s">
        <v>288</v>
      </c>
      <c r="I105" s="275">
        <v>647</v>
      </c>
      <c r="J105" s="275">
        <v>67</v>
      </c>
      <c r="K105" s="277">
        <f t="shared" si="0"/>
        <v>741.96799720702893</v>
      </c>
      <c r="L105" s="270">
        <v>2538.8000000000002</v>
      </c>
      <c r="M105" s="270">
        <v>2952.7</v>
      </c>
      <c r="N105" s="275">
        <v>14531.4</v>
      </c>
      <c r="O105" s="275">
        <v>77.8339</v>
      </c>
      <c r="P105" s="1902">
        <v>77.750900000000001</v>
      </c>
    </row>
    <row r="106" spans="1:16" s="1912" customFormat="1" ht="9.6" customHeight="1" x14ac:dyDescent="0.2">
      <c r="A106" s="1150" t="s">
        <v>804</v>
      </c>
      <c r="B106" s="1913" t="s">
        <v>550</v>
      </c>
      <c r="C106" s="236">
        <v>8.0500000000000007</v>
      </c>
      <c r="D106" s="237">
        <v>7.97</v>
      </c>
      <c r="E106" s="25">
        <v>6.78</v>
      </c>
      <c r="F106" s="237">
        <v>7.7</v>
      </c>
      <c r="G106" s="236" t="s">
        <v>288</v>
      </c>
      <c r="H106" s="236" t="s">
        <v>288</v>
      </c>
      <c r="I106" s="236">
        <v>692</v>
      </c>
      <c r="J106" s="236">
        <v>185</v>
      </c>
      <c r="K106" s="356">
        <f t="shared" si="0"/>
        <v>775.0151285930408</v>
      </c>
      <c r="L106" s="214">
        <v>2705.46</v>
      </c>
      <c r="M106" s="214">
        <v>2947.8</v>
      </c>
      <c r="N106" s="236">
        <v>15315.2</v>
      </c>
      <c r="O106" s="236">
        <v>77.752099999999999</v>
      </c>
      <c r="P106" s="1903">
        <v>77.759299999999996</v>
      </c>
    </row>
    <row r="107" spans="1:16" s="1912" customFormat="1" ht="9.6" customHeight="1" x14ac:dyDescent="0.2">
      <c r="A107" s="1150" t="s">
        <v>978</v>
      </c>
      <c r="B107" s="372" t="s">
        <v>552</v>
      </c>
      <c r="C107" s="236">
        <v>7.85</v>
      </c>
      <c r="D107" s="237">
        <v>7.78</v>
      </c>
      <c r="E107" s="236">
        <v>6.99</v>
      </c>
      <c r="F107" s="237">
        <v>7.68</v>
      </c>
      <c r="G107" s="236" t="s">
        <v>288</v>
      </c>
      <c r="H107" s="236" t="s">
        <v>288</v>
      </c>
      <c r="I107" s="236" t="s">
        <v>288</v>
      </c>
      <c r="J107" s="236" t="s">
        <v>288</v>
      </c>
      <c r="K107" s="236" t="s">
        <v>288</v>
      </c>
      <c r="L107" s="214">
        <v>3024.29</v>
      </c>
      <c r="M107" s="214">
        <v>3056.6</v>
      </c>
      <c r="N107" s="236">
        <v>15533.7</v>
      </c>
      <c r="O107" s="236">
        <v>77.752499999999998</v>
      </c>
      <c r="P107" s="1903">
        <v>77.75</v>
      </c>
    </row>
    <row r="108" spans="1:16" s="1912" customFormat="1" ht="9.6" customHeight="1" x14ac:dyDescent="0.2">
      <c r="A108" s="1150" t="s">
        <v>978</v>
      </c>
      <c r="B108" s="1913" t="s">
        <v>553</v>
      </c>
      <c r="C108" s="275">
        <v>7.39</v>
      </c>
      <c r="D108" s="276" t="s">
        <v>288</v>
      </c>
      <c r="E108" s="275">
        <v>7.19</v>
      </c>
      <c r="F108" s="276" t="s">
        <v>288</v>
      </c>
      <c r="G108" s="275" t="s">
        <v>288</v>
      </c>
      <c r="H108" s="275" t="s">
        <v>288</v>
      </c>
      <c r="I108" s="275" t="s">
        <v>288</v>
      </c>
      <c r="J108" s="275" t="s">
        <v>288</v>
      </c>
      <c r="K108" s="275" t="s">
        <v>288</v>
      </c>
      <c r="L108" s="270">
        <v>2013.44</v>
      </c>
      <c r="M108" s="270">
        <v>2656.9</v>
      </c>
      <c r="N108" s="270">
        <v>16252.27</v>
      </c>
      <c r="O108" s="275">
        <v>77.750200000000007</v>
      </c>
      <c r="P108" s="1902">
        <v>77.75</v>
      </c>
    </row>
    <row r="109" spans="1:16" s="1912" customFormat="1" ht="9.6" customHeight="1" x14ac:dyDescent="0.2">
      <c r="A109" s="1150" t="s">
        <v>978</v>
      </c>
      <c r="B109" s="372" t="s">
        <v>547</v>
      </c>
      <c r="C109" s="236">
        <v>7.13</v>
      </c>
      <c r="D109" s="237" t="s">
        <v>288</v>
      </c>
      <c r="E109" s="236">
        <v>7.37</v>
      </c>
      <c r="F109" s="237" t="s">
        <v>288</v>
      </c>
      <c r="G109" s="237" t="s">
        <v>288</v>
      </c>
      <c r="H109" s="237" t="s">
        <v>288</v>
      </c>
      <c r="I109" s="237" t="s">
        <v>288</v>
      </c>
      <c r="J109" s="237" t="s">
        <v>288</v>
      </c>
      <c r="K109" s="237" t="s">
        <v>288</v>
      </c>
      <c r="L109" s="214">
        <v>2590.2399999999998</v>
      </c>
      <c r="M109" s="214">
        <v>3278.5</v>
      </c>
      <c r="N109" s="214">
        <v>16154.76</v>
      </c>
      <c r="O109" s="236">
        <v>77.750100000000003</v>
      </c>
      <c r="P109" s="1903">
        <v>77.75</v>
      </c>
    </row>
    <row r="110" spans="1:16" s="1912" customFormat="1" ht="9.6" customHeight="1" x14ac:dyDescent="0.2">
      <c r="A110" s="1150" t="s">
        <v>978</v>
      </c>
      <c r="B110" s="1913" t="s">
        <v>554</v>
      </c>
      <c r="C110" s="275">
        <v>7.03</v>
      </c>
      <c r="D110" s="276" t="s">
        <v>288</v>
      </c>
      <c r="E110" s="275">
        <v>7.47</v>
      </c>
      <c r="F110" s="276" t="s">
        <v>288</v>
      </c>
      <c r="G110" s="276" t="s">
        <v>288</v>
      </c>
      <c r="H110" s="276" t="s">
        <v>288</v>
      </c>
      <c r="I110" s="276" t="s">
        <v>288</v>
      </c>
      <c r="J110" s="276" t="s">
        <v>288</v>
      </c>
      <c r="K110" s="276" t="s">
        <v>288</v>
      </c>
      <c r="L110" s="270">
        <v>2119.1999999999998</v>
      </c>
      <c r="M110" s="270">
        <v>3028.5</v>
      </c>
      <c r="N110" s="270">
        <v>17345.400000000001</v>
      </c>
      <c r="O110" s="275">
        <v>77.750200000000007</v>
      </c>
      <c r="P110" s="1902">
        <v>77.75</v>
      </c>
    </row>
    <row r="111" spans="1:16" s="1912" customFormat="1" ht="9.6" customHeight="1" x14ac:dyDescent="0.2">
      <c r="A111" s="1150" t="s">
        <v>978</v>
      </c>
      <c r="B111" s="372" t="s">
        <v>555</v>
      </c>
      <c r="C111" s="236">
        <v>7.15</v>
      </c>
      <c r="D111" s="237" t="s">
        <v>288</v>
      </c>
      <c r="E111" s="236">
        <v>7.51</v>
      </c>
      <c r="F111" s="237" t="s">
        <v>288</v>
      </c>
      <c r="G111" s="237" t="s">
        <v>288</v>
      </c>
      <c r="H111" s="237" t="s">
        <v>288</v>
      </c>
      <c r="I111" s="237" t="s">
        <v>288</v>
      </c>
      <c r="J111" s="237" t="s">
        <v>288</v>
      </c>
      <c r="K111" s="237" t="s">
        <v>288</v>
      </c>
      <c r="L111" s="214">
        <v>2212.4</v>
      </c>
      <c r="M111" s="214">
        <v>3235.5</v>
      </c>
      <c r="N111" s="214">
        <v>17105.900000000001</v>
      </c>
      <c r="O111" s="236">
        <v>77.750100000000003</v>
      </c>
      <c r="P111" s="1903">
        <v>77.75</v>
      </c>
    </row>
    <row r="112" spans="1:16" s="1912" customFormat="1" ht="9.6" customHeight="1" x14ac:dyDescent="0.2">
      <c r="A112" s="1150" t="s">
        <v>978</v>
      </c>
      <c r="B112" s="1913" t="s">
        <v>548</v>
      </c>
      <c r="C112" s="275">
        <v>7.35</v>
      </c>
      <c r="D112" s="276" t="s">
        <v>288</v>
      </c>
      <c r="E112" s="275">
        <v>7.53</v>
      </c>
      <c r="F112" s="276" t="s">
        <v>288</v>
      </c>
      <c r="G112" s="276" t="s">
        <v>288</v>
      </c>
      <c r="H112" s="276" t="s">
        <v>288</v>
      </c>
      <c r="I112" s="276" t="s">
        <v>288</v>
      </c>
      <c r="J112" s="276" t="s">
        <v>288</v>
      </c>
      <c r="K112" s="276" t="s">
        <v>288</v>
      </c>
      <c r="L112" s="270">
        <v>2726.2</v>
      </c>
      <c r="M112" s="270">
        <v>3338.1</v>
      </c>
      <c r="N112" s="270">
        <v>18094.599999999999</v>
      </c>
      <c r="O112" s="275">
        <v>77.750500000000002</v>
      </c>
      <c r="P112" s="1902">
        <v>77.75</v>
      </c>
    </row>
    <row r="113" spans="1:16" s="1912" customFormat="1" ht="9.6" customHeight="1" x14ac:dyDescent="0.2">
      <c r="A113" s="1150" t="s">
        <v>978</v>
      </c>
      <c r="B113" s="372" t="s">
        <v>556</v>
      </c>
      <c r="C113" s="237">
        <v>7.5</v>
      </c>
      <c r="D113" s="237" t="s">
        <v>288</v>
      </c>
      <c r="E113" s="237">
        <v>7.6</v>
      </c>
      <c r="F113" s="237" t="s">
        <v>288</v>
      </c>
      <c r="G113" s="237" t="s">
        <v>288</v>
      </c>
      <c r="H113" s="237" t="s">
        <v>288</v>
      </c>
      <c r="I113" s="237" t="s">
        <v>288</v>
      </c>
      <c r="J113" s="237" t="s">
        <v>288</v>
      </c>
      <c r="K113" s="237" t="s">
        <v>288</v>
      </c>
      <c r="L113" s="214">
        <v>2753.77</v>
      </c>
      <c r="M113" s="214">
        <v>3644.6</v>
      </c>
      <c r="N113" s="214">
        <v>18119.11</v>
      </c>
      <c r="O113" s="236">
        <v>77.750299999999996</v>
      </c>
      <c r="P113" s="1903">
        <v>77.75</v>
      </c>
    </row>
    <row r="114" spans="1:16" s="1912" customFormat="1" ht="9.6" customHeight="1" x14ac:dyDescent="0.2">
      <c r="A114" s="1150" t="s">
        <v>978</v>
      </c>
      <c r="B114" s="1913" t="s">
        <v>557</v>
      </c>
      <c r="C114" s="276">
        <v>7.44</v>
      </c>
      <c r="D114" s="276" t="s">
        <v>288</v>
      </c>
      <c r="E114" s="276">
        <v>7.57</v>
      </c>
      <c r="F114" s="276" t="s">
        <v>288</v>
      </c>
      <c r="G114" s="276" t="s">
        <v>288</v>
      </c>
      <c r="H114" s="276" t="s">
        <v>288</v>
      </c>
      <c r="I114" s="276" t="s">
        <v>288</v>
      </c>
      <c r="J114" s="276" t="s">
        <v>288</v>
      </c>
      <c r="K114" s="276" t="s">
        <v>288</v>
      </c>
      <c r="L114" s="270">
        <v>2389.42</v>
      </c>
      <c r="M114" s="270">
        <v>3017.7</v>
      </c>
      <c r="N114" s="270">
        <v>19150.53</v>
      </c>
      <c r="O114" s="275">
        <v>77.750100000000003</v>
      </c>
      <c r="P114" s="1902">
        <v>77.750200000000007</v>
      </c>
    </row>
    <row r="115" spans="1:16" s="1912" customFormat="1" ht="9.6" customHeight="1" x14ac:dyDescent="0.2">
      <c r="A115" s="1150" t="s">
        <v>978</v>
      </c>
      <c r="B115" s="372" t="s">
        <v>549</v>
      </c>
      <c r="C115" s="237">
        <v>7.48</v>
      </c>
      <c r="D115" s="237" t="s">
        <v>288</v>
      </c>
      <c r="E115" s="237">
        <v>7.54</v>
      </c>
      <c r="F115" s="237" t="s">
        <v>288</v>
      </c>
      <c r="G115" s="237" t="s">
        <v>288</v>
      </c>
      <c r="H115" s="237" t="s">
        <v>288</v>
      </c>
      <c r="I115" s="237" t="s">
        <v>288</v>
      </c>
      <c r="J115" s="237" t="s">
        <v>288</v>
      </c>
      <c r="K115" s="237" t="s">
        <v>288</v>
      </c>
      <c r="L115" s="214">
        <v>2413.66</v>
      </c>
      <c r="M115" s="214">
        <v>3656.2</v>
      </c>
      <c r="N115" s="214">
        <v>19294.87</v>
      </c>
      <c r="O115" s="236">
        <v>77.709400000000002</v>
      </c>
      <c r="P115" s="1903">
        <v>77.670900000000003</v>
      </c>
    </row>
    <row r="116" spans="1:16" s="1912" customFormat="1" ht="9.6" customHeight="1" x14ac:dyDescent="0.2">
      <c r="A116" s="1150" t="s">
        <v>978</v>
      </c>
      <c r="B116" s="1913" t="s">
        <v>558</v>
      </c>
      <c r="C116" s="276">
        <v>7.46</v>
      </c>
      <c r="D116" s="276" t="s">
        <v>288</v>
      </c>
      <c r="E116" s="276">
        <v>7.47</v>
      </c>
      <c r="F116" s="276" t="s">
        <v>288</v>
      </c>
      <c r="G116" s="276" t="s">
        <v>288</v>
      </c>
      <c r="H116" s="276" t="s">
        <v>288</v>
      </c>
      <c r="I116" s="276" t="s">
        <v>288</v>
      </c>
      <c r="J116" s="276" t="s">
        <v>288</v>
      </c>
      <c r="K116" s="276" t="s">
        <v>288</v>
      </c>
      <c r="L116" s="270">
        <v>2411.73</v>
      </c>
      <c r="M116" s="270">
        <v>3648.9</v>
      </c>
      <c r="N116" s="270">
        <v>20370.14</v>
      </c>
      <c r="O116" s="275">
        <v>77.662300000000002</v>
      </c>
      <c r="P116" s="1902">
        <v>77.650000000000006</v>
      </c>
    </row>
    <row r="117" spans="1:16" s="1912" customFormat="1" ht="9.6" customHeight="1" x14ac:dyDescent="0.2">
      <c r="A117" s="1150" t="s">
        <v>978</v>
      </c>
      <c r="B117" s="372" t="s">
        <v>559</v>
      </c>
      <c r="C117" s="237">
        <v>7.48</v>
      </c>
      <c r="D117" s="237" t="s">
        <v>288</v>
      </c>
      <c r="E117" s="237">
        <v>7.44</v>
      </c>
      <c r="F117" s="237" t="s">
        <v>288</v>
      </c>
      <c r="G117" s="237" t="s">
        <v>288</v>
      </c>
      <c r="H117" s="237" t="s">
        <v>288</v>
      </c>
      <c r="I117" s="237" t="s">
        <v>288</v>
      </c>
      <c r="J117" s="237" t="s">
        <v>288</v>
      </c>
      <c r="K117" s="237" t="s">
        <v>288</v>
      </c>
      <c r="L117" s="214">
        <v>2722.18</v>
      </c>
      <c r="M117" s="214">
        <v>3513.3</v>
      </c>
      <c r="N117" s="214">
        <v>20267.45</v>
      </c>
      <c r="O117" s="236">
        <v>77.6404</v>
      </c>
      <c r="P117" s="1903">
        <v>77.63</v>
      </c>
    </row>
    <row r="118" spans="1:16" s="1912" customFormat="1" ht="9.6" customHeight="1" x14ac:dyDescent="0.2">
      <c r="A118" s="1150" t="s">
        <v>978</v>
      </c>
      <c r="B118" s="1913" t="s">
        <v>550</v>
      </c>
      <c r="C118" s="276">
        <v>6.97</v>
      </c>
      <c r="D118" s="276" t="s">
        <v>288</v>
      </c>
      <c r="E118" s="276">
        <v>7.35</v>
      </c>
      <c r="F118" s="276" t="s">
        <v>288</v>
      </c>
      <c r="G118" s="276" t="s">
        <v>288</v>
      </c>
      <c r="H118" s="276" t="s">
        <v>288</v>
      </c>
      <c r="I118" s="276" t="s">
        <v>288</v>
      </c>
      <c r="J118" s="276" t="s">
        <v>288</v>
      </c>
      <c r="K118" s="276" t="s">
        <v>288</v>
      </c>
      <c r="L118" s="270">
        <v>2810.09</v>
      </c>
      <c r="M118" s="270">
        <v>3247.1</v>
      </c>
      <c r="N118" s="270">
        <v>21507.992999999999</v>
      </c>
      <c r="O118" s="1902">
        <v>77.63</v>
      </c>
      <c r="P118" s="1902">
        <v>77.63</v>
      </c>
    </row>
    <row r="119" spans="1:16" s="1912" customFormat="1" ht="9.6" customHeight="1" x14ac:dyDescent="0.2">
      <c r="A119" s="1150" t="s">
        <v>1029</v>
      </c>
      <c r="B119" s="372" t="s">
        <v>552</v>
      </c>
      <c r="C119" s="276">
        <v>7.04</v>
      </c>
      <c r="D119" s="276" t="s">
        <v>288</v>
      </c>
      <c r="E119" s="276">
        <v>7.28</v>
      </c>
      <c r="F119" s="276" t="s">
        <v>288</v>
      </c>
      <c r="G119" s="276" t="s">
        <v>288</v>
      </c>
      <c r="H119" s="276" t="s">
        <v>288</v>
      </c>
      <c r="I119" s="276" t="s">
        <v>288</v>
      </c>
      <c r="J119" s="276" t="s">
        <v>288</v>
      </c>
      <c r="K119" s="276" t="s">
        <v>288</v>
      </c>
      <c r="L119" s="270">
        <v>2982.74</v>
      </c>
      <c r="M119" s="270">
        <v>3181</v>
      </c>
      <c r="N119" s="270">
        <v>21383.48</v>
      </c>
      <c r="O119" s="1902">
        <v>77.593199999999996</v>
      </c>
      <c r="P119" s="1902">
        <v>77.52</v>
      </c>
    </row>
    <row r="120" spans="1:16" s="1912" customFormat="1" ht="9.6" customHeight="1" x14ac:dyDescent="0.2">
      <c r="A120" s="1150" t="s">
        <v>1029</v>
      </c>
      <c r="B120" s="1913" t="s">
        <v>553</v>
      </c>
      <c r="C120" s="237">
        <v>6.91</v>
      </c>
      <c r="D120" s="237" t="s">
        <v>288</v>
      </c>
      <c r="E120" s="237">
        <v>7.24</v>
      </c>
      <c r="F120" s="237" t="s">
        <v>288</v>
      </c>
      <c r="G120" s="237" t="s">
        <v>288</v>
      </c>
      <c r="H120" s="237" t="s">
        <v>288</v>
      </c>
      <c r="I120" s="237" t="s">
        <v>288</v>
      </c>
      <c r="J120" s="237" t="s">
        <v>288</v>
      </c>
      <c r="K120" s="237" t="s">
        <v>288</v>
      </c>
      <c r="L120" s="214">
        <v>2159.5</v>
      </c>
      <c r="M120" s="214">
        <v>3677.1</v>
      </c>
      <c r="N120" s="214">
        <v>22070.43</v>
      </c>
      <c r="O120" s="1903">
        <v>77.455799999999996</v>
      </c>
      <c r="P120" s="1903">
        <v>77.400199999999998</v>
      </c>
    </row>
    <row r="121" spans="1:16" s="1912" customFormat="1" ht="9.6" customHeight="1" x14ac:dyDescent="0.2">
      <c r="A121" s="1150" t="s">
        <v>1029</v>
      </c>
      <c r="B121" s="372" t="s">
        <v>547</v>
      </c>
      <c r="C121" s="276">
        <v>6.84</v>
      </c>
      <c r="D121" s="276" t="s">
        <v>288</v>
      </c>
      <c r="E121" s="276">
        <v>7.22</v>
      </c>
      <c r="F121" s="276" t="s">
        <v>288</v>
      </c>
      <c r="G121" s="276" t="s">
        <v>288</v>
      </c>
      <c r="H121" s="276" t="s">
        <v>288</v>
      </c>
      <c r="I121" s="276" t="s">
        <v>288</v>
      </c>
      <c r="J121" s="276" t="s">
        <v>288</v>
      </c>
      <c r="K121" s="276" t="s">
        <v>288</v>
      </c>
      <c r="L121" s="270">
        <v>2552.86</v>
      </c>
      <c r="M121" s="270">
        <v>3584.7</v>
      </c>
      <c r="N121" s="270">
        <v>21836.66</v>
      </c>
      <c r="O121" s="1902">
        <v>77.400000000000006</v>
      </c>
      <c r="P121" s="1902">
        <v>77.400000000000006</v>
      </c>
    </row>
    <row r="122" spans="1:16" s="1912" customFormat="1" ht="9.6" customHeight="1" x14ac:dyDescent="0.2">
      <c r="A122" s="1150" t="s">
        <v>1029</v>
      </c>
      <c r="B122" s="1913" t="s">
        <v>554</v>
      </c>
      <c r="C122" s="237">
        <v>6.6</v>
      </c>
      <c r="D122" s="237" t="s">
        <v>288</v>
      </c>
      <c r="E122" s="237">
        <v>7.18</v>
      </c>
      <c r="F122" s="237" t="s">
        <v>288</v>
      </c>
      <c r="G122" s="237" t="s">
        <v>288</v>
      </c>
      <c r="H122" s="237" t="s">
        <v>288</v>
      </c>
      <c r="I122" s="237" t="s">
        <v>288</v>
      </c>
      <c r="J122" s="237" t="s">
        <v>288</v>
      </c>
      <c r="K122" s="237" t="s">
        <v>288</v>
      </c>
      <c r="L122" s="214">
        <v>1957.55</v>
      </c>
      <c r="M122" s="214">
        <v>3465.4</v>
      </c>
      <c r="N122" s="214">
        <v>22312.4486</v>
      </c>
      <c r="O122" s="1903">
        <v>77.400999999999996</v>
      </c>
      <c r="P122" s="1903">
        <v>77.408699999999996</v>
      </c>
    </row>
    <row r="123" spans="1:16" s="1912" customFormat="1" ht="9.6" customHeight="1" x14ac:dyDescent="0.2">
      <c r="A123" s="1150" t="s">
        <v>1029</v>
      </c>
      <c r="B123" s="372" t="s">
        <v>555</v>
      </c>
      <c r="C123" s="276">
        <v>6.21</v>
      </c>
      <c r="D123" s="276" t="s">
        <v>288</v>
      </c>
      <c r="E123" s="276">
        <v>7.1</v>
      </c>
      <c r="F123" s="276" t="s">
        <v>288</v>
      </c>
      <c r="G123" s="276" t="s">
        <v>288</v>
      </c>
      <c r="H123" s="276" t="s">
        <v>288</v>
      </c>
      <c r="I123" s="276" t="s">
        <v>288</v>
      </c>
      <c r="J123" s="276" t="s">
        <v>288</v>
      </c>
      <c r="K123" s="276" t="s">
        <v>288</v>
      </c>
      <c r="L123" s="270">
        <v>2417.4299999999998</v>
      </c>
      <c r="M123" s="270">
        <v>3294.9</v>
      </c>
      <c r="N123" s="270">
        <v>21590.043000000001</v>
      </c>
      <c r="O123" s="1902">
        <v>77.517700000000005</v>
      </c>
      <c r="P123" s="1902">
        <v>77.694999999999993</v>
      </c>
    </row>
    <row r="124" spans="1:16" s="1912" customFormat="1" ht="9.6" customHeight="1" x14ac:dyDescent="0.2">
      <c r="A124" s="1150" t="s">
        <v>1029</v>
      </c>
      <c r="B124" s="1913" t="s">
        <v>548</v>
      </c>
      <c r="C124" s="237">
        <v>6.11</v>
      </c>
      <c r="D124" s="237" t="s">
        <v>288</v>
      </c>
      <c r="E124" s="237">
        <v>6.99</v>
      </c>
      <c r="F124" s="237" t="s">
        <v>288</v>
      </c>
      <c r="G124" s="237" t="s">
        <v>288</v>
      </c>
      <c r="H124" s="237" t="s">
        <v>288</v>
      </c>
      <c r="I124" s="237" t="s">
        <v>288</v>
      </c>
      <c r="J124" s="237" t="s">
        <v>288</v>
      </c>
      <c r="K124" s="237" t="s">
        <v>288</v>
      </c>
      <c r="L124" s="214">
        <v>2844.13</v>
      </c>
      <c r="M124" s="214">
        <v>3621</v>
      </c>
      <c r="N124" s="214">
        <v>22309.803</v>
      </c>
      <c r="O124" s="1903">
        <v>77.852199999999996</v>
      </c>
      <c r="P124" s="1903">
        <v>77.949399999999997</v>
      </c>
    </row>
    <row r="125" spans="1:16" s="1912" customFormat="1" ht="9.6" customHeight="1" x14ac:dyDescent="0.2">
      <c r="A125" s="1150" t="s">
        <v>1029</v>
      </c>
      <c r="B125" s="372" t="s">
        <v>556</v>
      </c>
      <c r="C125" s="276">
        <v>6.04</v>
      </c>
      <c r="D125" s="276" t="s">
        <v>288</v>
      </c>
      <c r="E125" s="276">
        <v>6.87</v>
      </c>
      <c r="F125" s="276" t="s">
        <v>288</v>
      </c>
      <c r="G125" s="276" t="s">
        <v>288</v>
      </c>
      <c r="H125" s="276" t="s">
        <v>288</v>
      </c>
      <c r="I125" s="276" t="s">
        <v>288</v>
      </c>
      <c r="J125" s="276" t="s">
        <v>288</v>
      </c>
      <c r="K125" s="276" t="s">
        <v>288</v>
      </c>
      <c r="L125" s="270">
        <v>2885.15</v>
      </c>
      <c r="M125" s="270">
        <v>3305.9</v>
      </c>
      <c r="N125" s="270">
        <v>22042.297900000001</v>
      </c>
      <c r="O125" s="1902">
        <v>77.871300000000005</v>
      </c>
      <c r="P125" s="1902">
        <v>77.8</v>
      </c>
    </row>
    <row r="126" spans="1:16" s="1912" customFormat="1" ht="9.6" customHeight="1" x14ac:dyDescent="0.2">
      <c r="A126" s="1150" t="s">
        <v>1029</v>
      </c>
      <c r="B126" s="1913" t="s">
        <v>557</v>
      </c>
      <c r="C126" s="237">
        <v>6.14</v>
      </c>
      <c r="D126" s="237" t="s">
        <v>288</v>
      </c>
      <c r="E126" s="237">
        <v>6.76</v>
      </c>
      <c r="F126" s="237" t="s">
        <v>288</v>
      </c>
      <c r="G126" s="237" t="s">
        <v>288</v>
      </c>
      <c r="H126" s="237" t="s">
        <v>288</v>
      </c>
      <c r="I126" s="237" t="s">
        <v>288</v>
      </c>
      <c r="J126" s="237" t="s">
        <v>288</v>
      </c>
      <c r="K126" s="237" t="s">
        <v>288</v>
      </c>
      <c r="L126" s="214">
        <v>2512.42</v>
      </c>
      <c r="M126" s="214">
        <v>3037.3</v>
      </c>
      <c r="N126" s="214">
        <v>23031.516</v>
      </c>
      <c r="O126" s="1903">
        <v>77.8</v>
      </c>
      <c r="P126" s="1903">
        <v>77.8</v>
      </c>
    </row>
    <row r="127" spans="1:16" s="1912" customFormat="1" ht="9.6" customHeight="1" x14ac:dyDescent="0.2">
      <c r="A127" s="1150" t="s">
        <v>1029</v>
      </c>
      <c r="B127" s="372" t="s">
        <v>549</v>
      </c>
      <c r="C127" s="276">
        <v>6.27</v>
      </c>
      <c r="D127" s="276" t="s">
        <v>288</v>
      </c>
      <c r="E127" s="276">
        <v>6.66</v>
      </c>
      <c r="F127" s="276" t="s">
        <v>288</v>
      </c>
      <c r="G127" s="276" t="s">
        <v>288</v>
      </c>
      <c r="H127" s="276" t="s">
        <v>288</v>
      </c>
      <c r="I127" s="276" t="s">
        <v>288</v>
      </c>
      <c r="J127" s="276" t="s">
        <v>288</v>
      </c>
      <c r="K127" s="276" t="s">
        <v>288</v>
      </c>
      <c r="L127" s="270">
        <v>2592.9699999999998</v>
      </c>
      <c r="M127" s="270">
        <v>3463.7</v>
      </c>
      <c r="N127" s="270">
        <v>23052.9728</v>
      </c>
      <c r="O127" s="1902">
        <v>77.8</v>
      </c>
      <c r="P127" s="1902">
        <v>77.8</v>
      </c>
    </row>
    <row r="128" spans="1:16" s="1912" customFormat="1" ht="9.6" customHeight="1" x14ac:dyDescent="0.2">
      <c r="A128" s="1150" t="s">
        <v>1029</v>
      </c>
      <c r="B128" s="1913" t="s">
        <v>558</v>
      </c>
      <c r="C128" s="237">
        <v>6.32</v>
      </c>
      <c r="D128" s="237" t="s">
        <v>288</v>
      </c>
      <c r="E128" s="237">
        <v>6.57</v>
      </c>
      <c r="F128" s="237" t="s">
        <v>288</v>
      </c>
      <c r="G128" s="237" t="s">
        <v>288</v>
      </c>
      <c r="H128" s="237" t="s">
        <v>288</v>
      </c>
      <c r="I128" s="237" t="s">
        <v>288</v>
      </c>
      <c r="J128" s="237" t="s">
        <v>288</v>
      </c>
      <c r="K128" s="237" t="s">
        <v>288</v>
      </c>
      <c r="L128" s="214">
        <v>2398.5</v>
      </c>
      <c r="M128" s="214">
        <v>3233.4</v>
      </c>
      <c r="N128" s="214">
        <v>24071.7</v>
      </c>
      <c r="O128" s="1903">
        <v>77.8</v>
      </c>
      <c r="P128" s="1903">
        <v>77.8</v>
      </c>
    </row>
    <row r="129" spans="1:16" s="1912" customFormat="1" ht="9.6" customHeight="1" x14ac:dyDescent="0.2">
      <c r="A129" s="1150" t="s">
        <v>1029</v>
      </c>
      <c r="B129" s="372" t="s">
        <v>559</v>
      </c>
      <c r="C129" s="276">
        <v>6.19</v>
      </c>
      <c r="D129" s="276" t="s">
        <v>288</v>
      </c>
      <c r="E129" s="276">
        <v>6.46</v>
      </c>
      <c r="F129" s="276" t="s">
        <v>288</v>
      </c>
      <c r="G129" s="276" t="s">
        <v>288</v>
      </c>
      <c r="H129" s="276" t="s">
        <v>288</v>
      </c>
      <c r="I129" s="276" t="s">
        <v>288</v>
      </c>
      <c r="J129" s="276" t="s">
        <v>288</v>
      </c>
      <c r="K129" s="276" t="s">
        <v>288</v>
      </c>
      <c r="L129" s="270">
        <v>2841.1</v>
      </c>
      <c r="M129" s="270">
        <v>3341</v>
      </c>
      <c r="N129" s="270">
        <v>23707.7</v>
      </c>
      <c r="O129" s="1902">
        <v>77.8</v>
      </c>
      <c r="P129" s="1902">
        <v>77.8</v>
      </c>
    </row>
    <row r="130" spans="1:16" s="1912" customFormat="1" ht="9.6" customHeight="1" x14ac:dyDescent="0.2">
      <c r="A130" s="1150" t="s">
        <v>1029</v>
      </c>
      <c r="B130" s="1913" t="s">
        <v>550</v>
      </c>
      <c r="C130" s="237">
        <v>6.25</v>
      </c>
      <c r="D130" s="237" t="s">
        <v>288</v>
      </c>
      <c r="E130" s="237">
        <v>6.4</v>
      </c>
      <c r="F130" s="237" t="s">
        <v>288</v>
      </c>
      <c r="G130" s="237" t="s">
        <v>288</v>
      </c>
      <c r="H130" s="237" t="s">
        <v>288</v>
      </c>
      <c r="I130" s="237" t="s">
        <v>288</v>
      </c>
      <c r="J130" s="237" t="s">
        <v>288</v>
      </c>
      <c r="K130" s="237" t="s">
        <v>288</v>
      </c>
      <c r="L130" s="214">
        <v>3064.6</v>
      </c>
      <c r="M130" s="214">
        <v>3373.9</v>
      </c>
      <c r="N130" s="214">
        <v>25025.200000000001</v>
      </c>
      <c r="O130" s="1903">
        <v>77.8</v>
      </c>
      <c r="P130" s="1903">
        <v>77.800399999999996</v>
      </c>
    </row>
    <row r="131" spans="1:16" s="1912" customFormat="1" ht="9.6" customHeight="1" x14ac:dyDescent="0.2">
      <c r="A131" s="1150" t="s">
        <v>1150</v>
      </c>
      <c r="B131" s="372" t="s">
        <v>552</v>
      </c>
      <c r="C131" s="237">
        <v>6.36</v>
      </c>
      <c r="D131" s="237" t="s">
        <v>288</v>
      </c>
      <c r="E131" s="237">
        <v>6.35</v>
      </c>
      <c r="F131" s="237" t="s">
        <v>288</v>
      </c>
      <c r="G131" s="237" t="s">
        <v>288</v>
      </c>
      <c r="H131" s="237" t="s">
        <v>288</v>
      </c>
      <c r="I131" s="237" t="s">
        <v>288</v>
      </c>
      <c r="J131" s="237" t="s">
        <v>288</v>
      </c>
      <c r="K131" s="237" t="s">
        <v>288</v>
      </c>
      <c r="L131" s="214">
        <v>2625.93</v>
      </c>
      <c r="M131" s="214">
        <v>2903.1</v>
      </c>
      <c r="N131" s="214">
        <v>25469.08</v>
      </c>
      <c r="O131" s="1903">
        <v>77.8</v>
      </c>
      <c r="P131" s="1903">
        <v>77.8</v>
      </c>
    </row>
    <row r="132" spans="1:16" s="1912" customFormat="1" ht="9.6" customHeight="1" x14ac:dyDescent="0.2">
      <c r="A132" s="1150" t="s">
        <v>1150</v>
      </c>
      <c r="B132" s="1913" t="s">
        <v>553</v>
      </c>
      <c r="C132" s="276">
        <v>6.17</v>
      </c>
      <c r="D132" s="276" t="s">
        <v>288</v>
      </c>
      <c r="E132" s="276">
        <v>6.29</v>
      </c>
      <c r="F132" s="276" t="s">
        <v>288</v>
      </c>
      <c r="G132" s="276" t="s">
        <v>288</v>
      </c>
      <c r="H132" s="276" t="s">
        <v>288</v>
      </c>
      <c r="I132" s="276" t="s">
        <v>288</v>
      </c>
      <c r="J132" s="276" t="s">
        <v>288</v>
      </c>
      <c r="K132" s="276" t="s">
        <v>288</v>
      </c>
      <c r="L132" s="270">
        <v>2758.41</v>
      </c>
      <c r="M132" s="270">
        <v>3253.8</v>
      </c>
      <c r="N132" s="270">
        <v>26175.34</v>
      </c>
      <c r="O132" s="1902">
        <v>77.8</v>
      </c>
      <c r="P132" s="1902">
        <v>77.8</v>
      </c>
    </row>
    <row r="133" spans="1:16" s="1912" customFormat="1" ht="9.6" customHeight="1" x14ac:dyDescent="0.2">
      <c r="A133" s="1150" t="s">
        <v>1150</v>
      </c>
      <c r="B133" s="372" t="s">
        <v>547</v>
      </c>
      <c r="C133" s="237">
        <v>6.24</v>
      </c>
      <c r="D133" s="237" t="s">
        <v>288</v>
      </c>
      <c r="E133" s="237">
        <v>6.24</v>
      </c>
      <c r="F133" s="237" t="s">
        <v>288</v>
      </c>
      <c r="G133" s="237" t="s">
        <v>288</v>
      </c>
      <c r="H133" s="237" t="s">
        <v>288</v>
      </c>
      <c r="I133" s="237" t="s">
        <v>288</v>
      </c>
      <c r="J133" s="237" t="s">
        <v>288</v>
      </c>
      <c r="K133" s="237" t="s">
        <v>288</v>
      </c>
      <c r="L133" s="214">
        <v>2374.65</v>
      </c>
      <c r="M133" s="214">
        <v>3086.7</v>
      </c>
      <c r="N133" s="214">
        <v>26379.040000000001</v>
      </c>
      <c r="O133" s="1903">
        <v>77.8001</v>
      </c>
      <c r="P133" s="1903">
        <v>77.8</v>
      </c>
    </row>
    <row r="134" spans="1:16" s="1912" customFormat="1" ht="9.6" customHeight="1" x14ac:dyDescent="0.2">
      <c r="A134" s="1150" t="s">
        <v>1150</v>
      </c>
      <c r="B134" s="1913" t="s">
        <v>554</v>
      </c>
      <c r="C134" s="276">
        <v>6.19</v>
      </c>
      <c r="D134" s="276" t="s">
        <v>288</v>
      </c>
      <c r="E134" s="276">
        <v>6.21</v>
      </c>
      <c r="F134" s="276" t="s">
        <v>288</v>
      </c>
      <c r="G134" s="276" t="s">
        <v>288</v>
      </c>
      <c r="H134" s="276" t="s">
        <v>288</v>
      </c>
      <c r="I134" s="276" t="s">
        <v>288</v>
      </c>
      <c r="J134" s="276" t="s">
        <v>288</v>
      </c>
      <c r="K134" s="276" t="s">
        <v>288</v>
      </c>
      <c r="L134" s="270">
        <v>2371.5</v>
      </c>
      <c r="M134" s="270">
        <v>3427.8</v>
      </c>
      <c r="N134" s="270">
        <v>27058.39</v>
      </c>
      <c r="O134" s="1902">
        <v>77.814300000000003</v>
      </c>
      <c r="P134" s="1902">
        <v>77.959000000000003</v>
      </c>
    </row>
    <row r="135" spans="1:16" s="1912" customFormat="1" ht="9.6" customHeight="1" x14ac:dyDescent="0.2">
      <c r="A135" s="1150" t="s">
        <v>1150</v>
      </c>
      <c r="B135" s="372" t="s">
        <v>555</v>
      </c>
      <c r="C135" s="237">
        <v>6.05</v>
      </c>
      <c r="D135" s="237" t="s">
        <v>288</v>
      </c>
      <c r="E135" s="237">
        <v>6.2</v>
      </c>
      <c r="F135" s="237" t="s">
        <v>288</v>
      </c>
      <c r="G135" s="237" t="s">
        <v>288</v>
      </c>
      <c r="H135" s="237" t="s">
        <v>288</v>
      </c>
      <c r="I135" s="237" t="s">
        <v>288</v>
      </c>
      <c r="J135" s="237" t="s">
        <v>288</v>
      </c>
      <c r="K135" s="237" t="s">
        <v>288</v>
      </c>
      <c r="L135" s="214">
        <v>2749.34</v>
      </c>
      <c r="M135" s="214">
        <v>3399.9</v>
      </c>
      <c r="N135" s="214">
        <v>26407.63</v>
      </c>
      <c r="O135" s="1903">
        <v>78.510999999999996</v>
      </c>
      <c r="P135" s="1903">
        <v>78.930000000000007</v>
      </c>
    </row>
    <row r="136" spans="1:16" s="1912" customFormat="1" ht="9.6" customHeight="1" x14ac:dyDescent="0.2">
      <c r="A136" s="1150" t="s">
        <v>1150</v>
      </c>
      <c r="B136" s="1913" t="s">
        <v>548</v>
      </c>
      <c r="C136" s="276">
        <v>6.1</v>
      </c>
      <c r="D136" s="276" t="s">
        <v>288</v>
      </c>
      <c r="E136" s="276">
        <v>6.19</v>
      </c>
      <c r="F136" s="276" t="s">
        <v>288</v>
      </c>
      <c r="G136" s="276" t="s">
        <v>288</v>
      </c>
      <c r="H136" s="276" t="s">
        <v>288</v>
      </c>
      <c r="I136" s="276" t="s">
        <v>288</v>
      </c>
      <c r="J136" s="276" t="s">
        <v>288</v>
      </c>
      <c r="K136" s="276" t="s">
        <v>288</v>
      </c>
      <c r="L136" s="270">
        <v>3204.07</v>
      </c>
      <c r="M136" s="270">
        <v>3654.3</v>
      </c>
      <c r="N136" s="270">
        <v>27493.31</v>
      </c>
      <c r="O136" s="1902">
        <v>78.766199999999998</v>
      </c>
      <c r="P136" s="1902">
        <v>78.500299999999996</v>
      </c>
    </row>
    <row r="137" spans="1:16" s="1912" customFormat="1" ht="9.6" customHeight="1" x14ac:dyDescent="0.2">
      <c r="A137" s="1150" t="s">
        <v>1150</v>
      </c>
      <c r="B137" s="372" t="s">
        <v>556</v>
      </c>
      <c r="C137" s="237">
        <v>6.07</v>
      </c>
      <c r="D137" s="237" t="s">
        <v>288</v>
      </c>
      <c r="E137" s="237">
        <v>6.2</v>
      </c>
      <c r="F137" s="237" t="s">
        <v>288</v>
      </c>
      <c r="G137" s="237" t="s">
        <v>288</v>
      </c>
      <c r="H137" s="237" t="s">
        <v>288</v>
      </c>
      <c r="I137" s="237" t="s">
        <v>288</v>
      </c>
      <c r="J137" s="237" t="s">
        <v>288</v>
      </c>
      <c r="K137" s="237" t="s">
        <v>288</v>
      </c>
      <c r="L137" s="214">
        <v>3185.63</v>
      </c>
      <c r="M137" s="214">
        <v>3437.6</v>
      </c>
      <c r="N137" s="214">
        <v>27138.91</v>
      </c>
      <c r="O137" s="1903">
        <v>78.500100000000003</v>
      </c>
      <c r="P137" s="1903">
        <v>78.501400000000004</v>
      </c>
    </row>
    <row r="138" spans="1:16" s="1912" customFormat="1" ht="9.6" customHeight="1" x14ac:dyDescent="0.2">
      <c r="A138" s="1150" t="s">
        <v>1150</v>
      </c>
      <c r="B138" s="1913" t="s">
        <v>557</v>
      </c>
      <c r="C138" s="276">
        <v>5.62</v>
      </c>
      <c r="D138" s="276" t="s">
        <v>288</v>
      </c>
      <c r="E138" s="276">
        <v>6.15</v>
      </c>
      <c r="F138" s="276" t="s">
        <v>288</v>
      </c>
      <c r="G138" s="276" t="s">
        <v>288</v>
      </c>
      <c r="H138" s="276" t="s">
        <v>288</v>
      </c>
      <c r="I138" s="276" t="s">
        <v>288</v>
      </c>
      <c r="J138" s="276" t="s">
        <v>288</v>
      </c>
      <c r="K138" s="276" t="s">
        <v>288</v>
      </c>
      <c r="L138" s="270">
        <v>2854.22</v>
      </c>
      <c r="M138" s="270">
        <v>3070.1</v>
      </c>
      <c r="N138" s="270">
        <v>28058.560000000001</v>
      </c>
      <c r="O138" s="1902">
        <v>78.551599999999993</v>
      </c>
      <c r="P138" s="1902">
        <v>78.45</v>
      </c>
    </row>
    <row r="139" spans="1:16" s="1912" customFormat="1" ht="9.6" customHeight="1" x14ac:dyDescent="0.2">
      <c r="A139" s="1150" t="s">
        <v>1150</v>
      </c>
      <c r="B139" s="372" t="s">
        <v>549</v>
      </c>
      <c r="C139" s="237">
        <v>5.65</v>
      </c>
      <c r="D139" s="237" t="s">
        <v>288</v>
      </c>
      <c r="E139" s="237">
        <v>6.1</v>
      </c>
      <c r="F139" s="237" t="s">
        <v>288</v>
      </c>
      <c r="G139" s="237" t="s">
        <v>288</v>
      </c>
      <c r="H139" s="237" t="s">
        <v>288</v>
      </c>
      <c r="I139" s="237" t="s">
        <v>288</v>
      </c>
      <c r="J139" s="237" t="s">
        <v>288</v>
      </c>
      <c r="K139" s="237" t="s">
        <v>288</v>
      </c>
      <c r="L139" s="214">
        <v>2831.42</v>
      </c>
      <c r="M139" s="214">
        <v>3424</v>
      </c>
      <c r="N139" s="214">
        <v>28265.93</v>
      </c>
      <c r="O139" s="1903">
        <v>78.413399999999996</v>
      </c>
      <c r="P139" s="1903">
        <v>78.400000000000006</v>
      </c>
    </row>
    <row r="140" spans="1:16" s="1912" customFormat="1" ht="9.6" customHeight="1" x14ac:dyDescent="0.2">
      <c r="A140" s="1150" t="s">
        <v>1150</v>
      </c>
      <c r="B140" s="1913" t="s">
        <v>558</v>
      </c>
      <c r="C140" s="276">
        <v>5.61</v>
      </c>
      <c r="D140" s="276" t="s">
        <v>288</v>
      </c>
      <c r="E140" s="276">
        <v>6.04</v>
      </c>
      <c r="F140" s="276" t="s">
        <v>288</v>
      </c>
      <c r="G140" s="276" t="s">
        <v>288</v>
      </c>
      <c r="H140" s="276" t="s">
        <v>288</v>
      </c>
      <c r="I140" s="276" t="s">
        <v>288</v>
      </c>
      <c r="J140" s="276" t="s">
        <v>288</v>
      </c>
      <c r="K140" s="276" t="s">
        <v>288</v>
      </c>
      <c r="L140" s="270">
        <v>2682.05</v>
      </c>
      <c r="M140" s="270">
        <v>3265.1</v>
      </c>
      <c r="N140" s="270">
        <v>29106.26</v>
      </c>
      <c r="O140" s="1902">
        <v>78.400000000000006</v>
      </c>
      <c r="P140" s="1902">
        <v>78.400000000000006</v>
      </c>
    </row>
    <row r="141" spans="1:16" s="1912" customFormat="1" ht="9.6" customHeight="1" x14ac:dyDescent="0.2">
      <c r="A141" s="1150" t="s">
        <v>1150</v>
      </c>
      <c r="B141" s="372" t="s">
        <v>559</v>
      </c>
      <c r="C141" s="237">
        <v>5.45</v>
      </c>
      <c r="D141" s="237" t="s">
        <v>288</v>
      </c>
      <c r="E141" s="237">
        <v>5.98</v>
      </c>
      <c r="F141" s="237" t="s">
        <v>288</v>
      </c>
      <c r="G141" s="237" t="s">
        <v>288</v>
      </c>
      <c r="H141" s="237" t="s">
        <v>288</v>
      </c>
      <c r="I141" s="237" t="s">
        <v>288</v>
      </c>
      <c r="J141" s="237" t="s">
        <v>288</v>
      </c>
      <c r="K141" s="237" t="s">
        <v>288</v>
      </c>
      <c r="L141" s="214">
        <v>3026.99</v>
      </c>
      <c r="M141" s="214">
        <v>3662.2</v>
      </c>
      <c r="N141" s="214">
        <v>28802.9</v>
      </c>
      <c r="O141" s="1903">
        <v>78.400000000000006</v>
      </c>
      <c r="P141" s="1903">
        <v>78.400000000000006</v>
      </c>
    </row>
    <row r="142" spans="1:16" s="1912" customFormat="1" ht="9.6" customHeight="1" x14ac:dyDescent="0.2">
      <c r="A142" s="1150" t="s">
        <v>1150</v>
      </c>
      <c r="B142" s="1913" t="s">
        <v>550</v>
      </c>
      <c r="C142" s="276">
        <v>5.53</v>
      </c>
      <c r="D142" s="276" t="s">
        <v>288</v>
      </c>
      <c r="E142" s="276">
        <v>5.92</v>
      </c>
      <c r="F142" s="276" t="s">
        <v>288</v>
      </c>
      <c r="G142" s="276" t="s">
        <v>288</v>
      </c>
      <c r="H142" s="276" t="s">
        <v>288</v>
      </c>
      <c r="I142" s="276" t="s">
        <v>288</v>
      </c>
      <c r="J142" s="276" t="s">
        <v>288</v>
      </c>
      <c r="K142" s="276" t="s">
        <v>288</v>
      </c>
      <c r="L142" s="270">
        <v>3592.97</v>
      </c>
      <c r="M142" s="270">
        <v>3512.8</v>
      </c>
      <c r="N142" s="270">
        <v>30168.23</v>
      </c>
      <c r="O142" s="1902">
        <v>78.400000000000006</v>
      </c>
      <c r="P142" s="1902">
        <v>78.400000000000006</v>
      </c>
    </row>
    <row r="143" spans="1:16" s="1912" customFormat="1" ht="9.6" customHeight="1" x14ac:dyDescent="0.2">
      <c r="A143" s="1150" t="s">
        <v>1174</v>
      </c>
      <c r="B143" s="372" t="s">
        <v>552</v>
      </c>
      <c r="C143" s="276">
        <v>5.4</v>
      </c>
      <c r="D143" s="276" t="s">
        <v>288</v>
      </c>
      <c r="E143" s="276">
        <v>5.84</v>
      </c>
      <c r="F143" s="276" t="s">
        <v>288</v>
      </c>
      <c r="G143" s="276" t="s">
        <v>288</v>
      </c>
      <c r="H143" s="276" t="s">
        <v>288</v>
      </c>
      <c r="I143" s="276" t="s">
        <v>288</v>
      </c>
      <c r="J143" s="276" t="s">
        <v>288</v>
      </c>
      <c r="K143" s="276" t="s">
        <v>288</v>
      </c>
      <c r="L143" s="270">
        <v>2534.31</v>
      </c>
      <c r="M143" s="270">
        <v>2980.7999999999997</v>
      </c>
      <c r="N143" s="270">
        <v>30039.29</v>
      </c>
      <c r="O143" s="1902">
        <v>78.400000000000006</v>
      </c>
      <c r="P143" s="1902">
        <v>78.400000000000006</v>
      </c>
    </row>
    <row r="144" spans="1:16" s="1912" customFormat="1" ht="9.6" customHeight="1" x14ac:dyDescent="0.2">
      <c r="A144" s="1150" t="s">
        <v>1174</v>
      </c>
      <c r="B144" s="1913" t="s">
        <v>553</v>
      </c>
      <c r="C144" s="237">
        <v>5.37</v>
      </c>
      <c r="D144" s="237" t="s">
        <v>288</v>
      </c>
      <c r="E144" s="237">
        <v>5.77</v>
      </c>
      <c r="F144" s="237" t="s">
        <v>288</v>
      </c>
      <c r="G144" s="237" t="s">
        <v>288</v>
      </c>
      <c r="H144" s="237" t="s">
        <v>288</v>
      </c>
      <c r="I144" s="237" t="s">
        <v>288</v>
      </c>
      <c r="J144" s="237" t="s">
        <v>288</v>
      </c>
      <c r="K144" s="237" t="s">
        <v>288</v>
      </c>
      <c r="L144" s="214">
        <v>3288.65</v>
      </c>
      <c r="M144" s="214">
        <v>3461.8</v>
      </c>
      <c r="N144" s="214">
        <v>31165.06</v>
      </c>
      <c r="O144" s="1903">
        <v>78.400000000000006</v>
      </c>
      <c r="P144" s="1903">
        <v>78.400000000000006</v>
      </c>
    </row>
    <row r="145" spans="1:16" s="1912" customFormat="1" ht="9.6" customHeight="1" x14ac:dyDescent="0.2">
      <c r="A145" s="1150" t="s">
        <v>1174</v>
      </c>
      <c r="B145" s="372" t="s">
        <v>547</v>
      </c>
      <c r="C145" s="276">
        <v>5.53</v>
      </c>
      <c r="D145" s="276" t="s">
        <v>288</v>
      </c>
      <c r="E145" s="276">
        <v>5.71</v>
      </c>
      <c r="F145" s="276" t="s">
        <v>288</v>
      </c>
      <c r="G145" s="276" t="s">
        <v>288</v>
      </c>
      <c r="H145" s="276" t="s">
        <v>288</v>
      </c>
      <c r="I145" s="276" t="s">
        <v>288</v>
      </c>
      <c r="J145" s="276" t="s">
        <v>288</v>
      </c>
      <c r="K145" s="276" t="s">
        <v>288</v>
      </c>
      <c r="L145" s="270">
        <v>2255.86</v>
      </c>
      <c r="M145" s="270">
        <v>3192.2999999999997</v>
      </c>
      <c r="N145" s="270">
        <v>31385.87</v>
      </c>
      <c r="O145" s="1902">
        <v>78.400000000000006</v>
      </c>
      <c r="P145" s="1902">
        <v>78.400000000000006</v>
      </c>
    </row>
    <row r="146" spans="1:16" s="1912" customFormat="1" ht="9.6" customHeight="1" x14ac:dyDescent="0.2">
      <c r="A146" s="1150" t="s">
        <v>1174</v>
      </c>
      <c r="B146" s="1913" t="s">
        <v>554</v>
      </c>
      <c r="C146" s="237">
        <v>5.57</v>
      </c>
      <c r="D146" s="237" t="s">
        <v>288</v>
      </c>
      <c r="E146" s="237">
        <v>5.66</v>
      </c>
      <c r="F146" s="237" t="s">
        <v>288</v>
      </c>
      <c r="G146" s="237" t="s">
        <v>288</v>
      </c>
      <c r="H146" s="237" t="s">
        <v>288</v>
      </c>
      <c r="I146" s="237" t="s">
        <v>288</v>
      </c>
      <c r="J146" s="237" t="s">
        <v>288</v>
      </c>
      <c r="K146" s="237" t="s">
        <v>288</v>
      </c>
      <c r="L146" s="214">
        <v>2671.54</v>
      </c>
      <c r="M146" s="214">
        <v>3587.0000000000005</v>
      </c>
      <c r="N146" s="214">
        <v>31895.31</v>
      </c>
      <c r="O146" s="1903">
        <v>78.400800000000004</v>
      </c>
      <c r="P146" s="1903">
        <v>78.4148</v>
      </c>
    </row>
    <row r="147" spans="1:16" s="1912" customFormat="1" ht="9.6" customHeight="1" x14ac:dyDescent="0.2">
      <c r="A147" s="1150" t="s">
        <v>1174</v>
      </c>
      <c r="B147" s="372" t="s">
        <v>555</v>
      </c>
      <c r="C147" s="276">
        <v>5.38</v>
      </c>
      <c r="D147" s="276" t="s">
        <v>288</v>
      </c>
      <c r="E147" s="276">
        <v>5.6</v>
      </c>
      <c r="F147" s="276" t="s">
        <v>288</v>
      </c>
      <c r="G147" s="276" t="s">
        <v>288</v>
      </c>
      <c r="H147" s="276" t="s">
        <v>288</v>
      </c>
      <c r="I147" s="276" t="s">
        <v>288</v>
      </c>
      <c r="J147" s="276" t="s">
        <v>288</v>
      </c>
      <c r="K147" s="276" t="s">
        <v>288</v>
      </c>
      <c r="L147" s="274">
        <v>2878.09</v>
      </c>
      <c r="M147" s="270">
        <v>4018.1</v>
      </c>
      <c r="N147" s="270">
        <v>31370.880000000001</v>
      </c>
      <c r="O147" s="1902">
        <v>78.547200000000004</v>
      </c>
      <c r="P147" s="1902">
        <v>78.719700000000003</v>
      </c>
    </row>
    <row r="148" spans="1:16" s="1912" customFormat="1" ht="9.6" customHeight="1" x14ac:dyDescent="0.2">
      <c r="A148" s="1150" t="s">
        <v>1174</v>
      </c>
      <c r="B148" s="1913" t="s">
        <v>548</v>
      </c>
      <c r="C148" s="237">
        <v>5.03</v>
      </c>
      <c r="D148" s="237" t="s">
        <v>288</v>
      </c>
      <c r="E148" s="237">
        <v>5.51</v>
      </c>
      <c r="F148" s="237" t="s">
        <v>288</v>
      </c>
      <c r="G148" s="237" t="s">
        <v>288</v>
      </c>
      <c r="H148" s="237" t="s">
        <v>288</v>
      </c>
      <c r="I148" s="237" t="s">
        <v>288</v>
      </c>
      <c r="J148" s="237" t="s">
        <v>288</v>
      </c>
      <c r="K148" s="237" t="s">
        <v>288</v>
      </c>
      <c r="L148" s="51">
        <v>3092.6</v>
      </c>
      <c r="M148" s="214">
        <v>3654.9000000000005</v>
      </c>
      <c r="N148" s="214">
        <v>32092.19</v>
      </c>
      <c r="O148" s="1903">
        <v>78.804000000000002</v>
      </c>
      <c r="P148" s="1903">
        <v>78.702200000000005</v>
      </c>
    </row>
    <row r="149" spans="1:16" s="1912" customFormat="1" ht="9.6" customHeight="1" x14ac:dyDescent="0.2">
      <c r="A149" s="1150" t="s">
        <v>1174</v>
      </c>
      <c r="B149" s="372" t="s">
        <v>556</v>
      </c>
      <c r="C149" s="276">
        <v>5.15</v>
      </c>
      <c r="D149" s="276" t="s">
        <v>288</v>
      </c>
      <c r="E149" s="276">
        <v>5.44</v>
      </c>
      <c r="F149" s="276" t="s">
        <v>288</v>
      </c>
      <c r="G149" s="276" t="s">
        <v>288</v>
      </c>
      <c r="H149" s="276" t="s">
        <v>288</v>
      </c>
      <c r="I149" s="276" t="s">
        <v>288</v>
      </c>
      <c r="J149" s="276" t="s">
        <v>288</v>
      </c>
      <c r="K149" s="276" t="s">
        <v>288</v>
      </c>
      <c r="L149" s="274">
        <v>3292.23</v>
      </c>
      <c r="M149" s="270">
        <v>4161.7</v>
      </c>
      <c r="N149" s="270">
        <v>31724.17</v>
      </c>
      <c r="O149" s="1902">
        <v>78.853399999999993</v>
      </c>
      <c r="P149" s="1902">
        <v>79.069500000000005</v>
      </c>
    </row>
    <row r="150" spans="1:16" s="1912" customFormat="1" ht="9.6" customHeight="1" x14ac:dyDescent="0.2">
      <c r="A150" s="1150" t="s">
        <v>1174</v>
      </c>
      <c r="B150" s="1913" t="s">
        <v>557</v>
      </c>
      <c r="C150" s="237">
        <v>5.31</v>
      </c>
      <c r="D150" s="237" t="s">
        <v>288</v>
      </c>
      <c r="E150" s="237">
        <v>5.41</v>
      </c>
      <c r="F150" s="237" t="s">
        <v>288</v>
      </c>
      <c r="G150" s="237" t="s">
        <v>288</v>
      </c>
      <c r="H150" s="237" t="s">
        <v>288</v>
      </c>
      <c r="I150" s="237" t="s">
        <v>288</v>
      </c>
      <c r="J150" s="237" t="s">
        <v>288</v>
      </c>
      <c r="K150" s="237" t="s">
        <v>288</v>
      </c>
      <c r="L150" s="51">
        <v>2705.99</v>
      </c>
      <c r="M150" s="214">
        <v>3448.94</v>
      </c>
      <c r="N150" s="214">
        <v>32556.66</v>
      </c>
      <c r="O150" s="1903">
        <v>79.236000000000004</v>
      </c>
      <c r="P150" s="1903">
        <v>79.369699999999995</v>
      </c>
    </row>
    <row r="151" spans="1:16" s="1912" customFormat="1" ht="9.6" customHeight="1" x14ac:dyDescent="0.2">
      <c r="A151" s="1150" t="s">
        <v>1174</v>
      </c>
      <c r="B151" s="372" t="s">
        <v>549</v>
      </c>
      <c r="C151" s="276">
        <v>5.39</v>
      </c>
      <c r="D151" s="276" t="s">
        <v>288</v>
      </c>
      <c r="E151" s="276">
        <v>5.39</v>
      </c>
      <c r="F151" s="276" t="s">
        <v>288</v>
      </c>
      <c r="G151" s="276" t="s">
        <v>288</v>
      </c>
      <c r="H151" s="276" t="s">
        <v>288</v>
      </c>
      <c r="I151" s="276" t="s">
        <v>288</v>
      </c>
      <c r="J151" s="276" t="s">
        <v>288</v>
      </c>
      <c r="K151" s="276" t="s">
        <v>288</v>
      </c>
      <c r="L151" s="274">
        <v>3097.33</v>
      </c>
      <c r="M151" s="270">
        <v>3926.2</v>
      </c>
      <c r="N151" s="270">
        <v>32215.19</v>
      </c>
      <c r="O151" s="1902">
        <v>79.535200000000003</v>
      </c>
      <c r="P151" s="1902">
        <v>79.67</v>
      </c>
    </row>
    <row r="152" spans="1:16" s="1912" customFormat="1" ht="9.6" customHeight="1" x14ac:dyDescent="0.2">
      <c r="A152" s="1150" t="s">
        <v>1174</v>
      </c>
      <c r="B152" s="1913" t="s">
        <v>558</v>
      </c>
      <c r="C152" s="237">
        <v>5.47</v>
      </c>
      <c r="D152" s="237" t="s">
        <v>288</v>
      </c>
      <c r="E152" s="237">
        <v>5.38</v>
      </c>
      <c r="F152" s="237" t="s">
        <v>288</v>
      </c>
      <c r="G152" s="237" t="s">
        <v>288</v>
      </c>
      <c r="H152" s="237" t="s">
        <v>288</v>
      </c>
      <c r="I152" s="237" t="s">
        <v>288</v>
      </c>
      <c r="J152" s="237" t="s">
        <v>288</v>
      </c>
      <c r="K152" s="237" t="s">
        <v>288</v>
      </c>
      <c r="L152" s="51">
        <v>2758.6</v>
      </c>
      <c r="M152" s="214">
        <v>3868.9</v>
      </c>
      <c r="N152" s="214">
        <v>32518.77</v>
      </c>
      <c r="O152" s="1903">
        <v>79.8322</v>
      </c>
      <c r="P152" s="1903">
        <v>80.23</v>
      </c>
    </row>
    <row r="153" spans="1:16" s="1912" customFormat="1" ht="9.6" customHeight="1" x14ac:dyDescent="0.2">
      <c r="A153" s="1150" t="s">
        <v>1174</v>
      </c>
      <c r="B153" s="372" t="s">
        <v>559</v>
      </c>
      <c r="C153" s="276">
        <v>5.76</v>
      </c>
      <c r="D153" s="276" t="s">
        <v>288</v>
      </c>
      <c r="E153" s="276">
        <v>5.41</v>
      </c>
      <c r="F153" s="276" t="s">
        <v>288</v>
      </c>
      <c r="G153" s="276" t="s">
        <v>288</v>
      </c>
      <c r="H153" s="276" t="s">
        <v>288</v>
      </c>
      <c r="I153" s="276" t="s">
        <v>288</v>
      </c>
      <c r="J153" s="276" t="s">
        <v>288</v>
      </c>
      <c r="K153" s="276" t="s">
        <v>288</v>
      </c>
      <c r="L153" s="274">
        <v>3047.67</v>
      </c>
      <c r="M153" s="270">
        <v>3944.2999999999993</v>
      </c>
      <c r="N153" s="270">
        <v>32245.69</v>
      </c>
      <c r="O153" s="1902">
        <v>80.492599999999996</v>
      </c>
      <c r="P153" s="1902">
        <v>80.551599999999993</v>
      </c>
    </row>
    <row r="154" spans="1:16" s="1912" customFormat="1" ht="9.6" customHeight="1" x14ac:dyDescent="0.2">
      <c r="A154" s="1150" t="s">
        <v>1174</v>
      </c>
      <c r="B154" s="1913" t="s">
        <v>550</v>
      </c>
      <c r="C154" s="237">
        <v>5.94</v>
      </c>
      <c r="D154" s="237" t="s">
        <v>288</v>
      </c>
      <c r="E154" s="237">
        <v>5.44</v>
      </c>
      <c r="F154" s="237" t="s">
        <v>288</v>
      </c>
      <c r="G154" s="237" t="s">
        <v>288</v>
      </c>
      <c r="H154" s="237" t="s">
        <v>288</v>
      </c>
      <c r="I154" s="237" t="s">
        <v>288</v>
      </c>
      <c r="J154" s="237" t="s">
        <v>288</v>
      </c>
      <c r="K154" s="237" t="s">
        <v>288</v>
      </c>
      <c r="L154" s="51">
        <v>3033.03</v>
      </c>
      <c r="M154" s="214">
        <v>3295.8999999999996</v>
      </c>
      <c r="N154" s="214">
        <v>33492.949999999997</v>
      </c>
      <c r="O154" s="1903">
        <v>80.587400000000002</v>
      </c>
      <c r="P154" s="1903">
        <v>80.598799999999997</v>
      </c>
    </row>
    <row r="155" spans="1:16" s="1912" customFormat="1" ht="9.6" customHeight="1" x14ac:dyDescent="0.2">
      <c r="A155" s="1150" t="s">
        <v>1296</v>
      </c>
      <c r="B155" s="372" t="s">
        <v>552</v>
      </c>
      <c r="C155" s="237">
        <v>5.57</v>
      </c>
      <c r="D155" s="237" t="s">
        <v>288</v>
      </c>
      <c r="E155" s="237">
        <v>5.45</v>
      </c>
      <c r="F155" s="237" t="s">
        <v>288</v>
      </c>
      <c r="G155" s="237" t="s">
        <v>288</v>
      </c>
      <c r="H155" s="237" t="s">
        <v>288</v>
      </c>
      <c r="I155" s="237" t="s">
        <v>288</v>
      </c>
      <c r="J155" s="237" t="s">
        <v>288</v>
      </c>
      <c r="K155" s="237" t="s">
        <v>288</v>
      </c>
      <c r="L155" s="51">
        <v>2987.66</v>
      </c>
      <c r="M155" s="214">
        <v>3997.2</v>
      </c>
      <c r="N155" s="214">
        <v>32993.980000000003</v>
      </c>
      <c r="O155" s="1903">
        <v>80.626300000000001</v>
      </c>
      <c r="P155" s="1903">
        <v>80.66</v>
      </c>
    </row>
    <row r="156" spans="1:16" s="1912" customFormat="1" ht="9.6" customHeight="1" x14ac:dyDescent="0.2">
      <c r="A156" s="1150" t="s">
        <v>1296</v>
      </c>
      <c r="B156" s="1913" t="s">
        <v>553</v>
      </c>
      <c r="C156" s="276">
        <v>5.89</v>
      </c>
      <c r="D156" s="276" t="s">
        <v>288</v>
      </c>
      <c r="E156" s="276">
        <v>5.5</v>
      </c>
      <c r="F156" s="276" t="s">
        <v>288</v>
      </c>
      <c r="G156" s="276" t="s">
        <v>288</v>
      </c>
      <c r="H156" s="276" t="s">
        <v>288</v>
      </c>
      <c r="I156" s="276" t="s">
        <v>288</v>
      </c>
      <c r="J156" s="276" t="s">
        <v>288</v>
      </c>
      <c r="K156" s="276" t="s">
        <v>288</v>
      </c>
      <c r="L156" s="274">
        <v>3640.94</v>
      </c>
      <c r="M156" s="270">
        <v>4045.6</v>
      </c>
      <c r="N156" s="270">
        <v>33596.25</v>
      </c>
      <c r="O156" s="1902">
        <v>80.693899999999999</v>
      </c>
      <c r="P156" s="1902">
        <v>80.7</v>
      </c>
    </row>
    <row r="157" spans="1:16" s="1912" customFormat="1" ht="9.6" customHeight="1" x14ac:dyDescent="0.2">
      <c r="A157" s="1150" t="s">
        <v>1296</v>
      </c>
      <c r="B157" s="372" t="s">
        <v>547</v>
      </c>
      <c r="C157" s="237">
        <v>6.12</v>
      </c>
      <c r="D157" s="237" t="s">
        <v>288</v>
      </c>
      <c r="E157" s="237">
        <v>5.55</v>
      </c>
      <c r="F157" s="237" t="s">
        <v>288</v>
      </c>
      <c r="G157" s="237" t="s">
        <v>288</v>
      </c>
      <c r="H157" s="237" t="s">
        <v>288</v>
      </c>
      <c r="I157" s="237" t="s">
        <v>288</v>
      </c>
      <c r="J157" s="237" t="s">
        <v>288</v>
      </c>
      <c r="K157" s="237" t="s">
        <v>288</v>
      </c>
      <c r="L157" s="51">
        <v>2034.13</v>
      </c>
      <c r="M157" s="214">
        <v>3848.4</v>
      </c>
      <c r="N157" s="214">
        <v>32816.589999999997</v>
      </c>
      <c r="O157" s="1903">
        <v>80.737700000000004</v>
      </c>
      <c r="P157" s="1903">
        <v>80.8</v>
      </c>
    </row>
    <row r="158" spans="1:16" s="1912" customFormat="1" ht="9.6" customHeight="1" x14ac:dyDescent="0.2">
      <c r="A158" s="1150" t="s">
        <v>1296</v>
      </c>
      <c r="B158" s="1913" t="s">
        <v>554</v>
      </c>
      <c r="C158" s="276">
        <v>6.04</v>
      </c>
      <c r="D158" s="276" t="s">
        <v>288</v>
      </c>
      <c r="E158" s="276">
        <v>5.59</v>
      </c>
      <c r="F158" s="276" t="s">
        <v>288</v>
      </c>
      <c r="G158" s="276" t="s">
        <v>288</v>
      </c>
      <c r="H158" s="276" t="s">
        <v>288</v>
      </c>
      <c r="I158" s="276" t="s">
        <v>288</v>
      </c>
      <c r="J158" s="276" t="s">
        <v>288</v>
      </c>
      <c r="K158" s="276" t="s">
        <v>288</v>
      </c>
      <c r="L158" s="274">
        <v>2843.07</v>
      </c>
      <c r="M158" s="270">
        <v>4400.3</v>
      </c>
      <c r="N158" s="270">
        <v>33452.9</v>
      </c>
      <c r="O158" s="1902">
        <v>80.821700000000007</v>
      </c>
      <c r="P158" s="1902">
        <v>80.868099999999998</v>
      </c>
    </row>
    <row r="159" spans="1:16" s="1912" customFormat="1" ht="9.6" customHeight="1" x14ac:dyDescent="0.2">
      <c r="A159" s="1150" t="s">
        <v>1296</v>
      </c>
      <c r="B159" s="372" t="s">
        <v>555</v>
      </c>
      <c r="C159" s="237">
        <v>5.91</v>
      </c>
      <c r="D159" s="237" t="s">
        <v>288</v>
      </c>
      <c r="E159" s="237">
        <v>5.64</v>
      </c>
      <c r="F159" s="237" t="s">
        <v>288</v>
      </c>
      <c r="G159" s="237" t="s">
        <v>288</v>
      </c>
      <c r="H159" s="237" t="s">
        <v>288</v>
      </c>
      <c r="I159" s="237" t="s">
        <v>288</v>
      </c>
      <c r="J159" s="237" t="s">
        <v>288</v>
      </c>
      <c r="K159" s="237" t="s">
        <v>288</v>
      </c>
      <c r="L159" s="51">
        <v>3057.11</v>
      </c>
      <c r="M159" s="214">
        <v>4448.3999999999996</v>
      </c>
      <c r="N159" s="214">
        <v>32623.86</v>
      </c>
      <c r="O159" s="1903">
        <v>81.284199999999998</v>
      </c>
      <c r="P159" s="1903">
        <v>82.3</v>
      </c>
    </row>
    <row r="160" spans="1:16" s="1912" customFormat="1" ht="9.6" customHeight="1" x14ac:dyDescent="0.2">
      <c r="A160" s="1150" t="s">
        <v>1296</v>
      </c>
      <c r="B160" s="1913" t="s">
        <v>548</v>
      </c>
      <c r="C160" s="276">
        <v>5.83</v>
      </c>
      <c r="D160" s="276" t="s">
        <v>288</v>
      </c>
      <c r="E160" s="276">
        <v>5.7</v>
      </c>
      <c r="F160" s="276" t="s">
        <v>288</v>
      </c>
      <c r="G160" s="276" t="s">
        <v>288</v>
      </c>
      <c r="H160" s="276" t="s">
        <v>288</v>
      </c>
      <c r="I160" s="276" t="s">
        <v>288</v>
      </c>
      <c r="J160" s="276" t="s">
        <v>288</v>
      </c>
      <c r="K160" s="276" t="s">
        <v>288</v>
      </c>
      <c r="L160" s="274">
        <v>3353.11</v>
      </c>
      <c r="M160" s="270">
        <v>4171.7</v>
      </c>
      <c r="N160" s="270">
        <v>33226.86</v>
      </c>
      <c r="O160" s="1902">
        <v>82.549899999999994</v>
      </c>
      <c r="P160" s="1902">
        <v>82.7</v>
      </c>
    </row>
    <row r="161" spans="1:16" s="1912" customFormat="1" ht="9.6" customHeight="1" x14ac:dyDescent="0.2">
      <c r="A161" s="1150" t="s">
        <v>1296</v>
      </c>
      <c r="B161" s="372" t="s">
        <v>556</v>
      </c>
      <c r="C161" s="237">
        <v>5.88</v>
      </c>
      <c r="D161" s="237" t="s">
        <v>288</v>
      </c>
      <c r="E161" s="237">
        <v>5.7633200488242498</v>
      </c>
      <c r="F161" s="237" t="s">
        <v>288</v>
      </c>
      <c r="G161" s="237" t="s">
        <v>288</v>
      </c>
      <c r="H161" s="237" t="s">
        <v>288</v>
      </c>
      <c r="I161" s="237" t="s">
        <v>288</v>
      </c>
      <c r="J161" s="237" t="s">
        <v>288</v>
      </c>
      <c r="K161" s="237" t="s">
        <v>288</v>
      </c>
      <c r="L161" s="51">
        <v>3408.88</v>
      </c>
      <c r="M161" s="214">
        <v>5054.5</v>
      </c>
      <c r="N161" s="214">
        <v>32694.69</v>
      </c>
      <c r="O161" s="1903">
        <v>82.816800000000001</v>
      </c>
      <c r="P161" s="1903">
        <v>82.9</v>
      </c>
    </row>
    <row r="162" spans="1:16" s="1912" customFormat="1" ht="9.6" customHeight="1" x14ac:dyDescent="0.2">
      <c r="A162" s="1150" t="s">
        <v>1296</v>
      </c>
      <c r="B162" s="1913" t="s">
        <v>557</v>
      </c>
      <c r="C162" s="276">
        <v>5.72</v>
      </c>
      <c r="D162" s="276" t="s">
        <v>288</v>
      </c>
      <c r="E162" s="276">
        <v>5.7965868408144328</v>
      </c>
      <c r="F162" s="276" t="s">
        <v>288</v>
      </c>
      <c r="G162" s="276" t="s">
        <v>288</v>
      </c>
      <c r="H162" s="276" t="s">
        <v>288</v>
      </c>
      <c r="I162" s="276" t="s">
        <v>288</v>
      </c>
      <c r="J162" s="276" t="s">
        <v>288</v>
      </c>
      <c r="K162" s="276" t="s">
        <v>288</v>
      </c>
      <c r="L162" s="274">
        <v>3072.15</v>
      </c>
      <c r="M162" s="270">
        <v>4369.5</v>
      </c>
      <c r="N162" s="270">
        <v>33368.99</v>
      </c>
      <c r="O162" s="1902">
        <v>82.92</v>
      </c>
      <c r="P162" s="1902">
        <v>82.96</v>
      </c>
    </row>
    <row r="163" spans="1:16" s="1912" customFormat="1" ht="9.6" customHeight="1" x14ac:dyDescent="0.2">
      <c r="A163" s="1150" t="s">
        <v>1296</v>
      </c>
      <c r="B163" s="372" t="s">
        <v>549</v>
      </c>
      <c r="C163" s="237">
        <v>5.68</v>
      </c>
      <c r="D163" s="237" t="s">
        <v>288</v>
      </c>
      <c r="E163" s="237">
        <v>5.8192592808566257</v>
      </c>
      <c r="F163" s="237" t="s">
        <v>288</v>
      </c>
      <c r="G163" s="237" t="s">
        <v>288</v>
      </c>
      <c r="H163" s="237" t="s">
        <v>288</v>
      </c>
      <c r="I163" s="237" t="s">
        <v>288</v>
      </c>
      <c r="J163" s="237" t="s">
        <v>288</v>
      </c>
      <c r="K163" s="237" t="s">
        <v>288</v>
      </c>
      <c r="L163" s="51">
        <v>3054.65</v>
      </c>
      <c r="M163" s="214">
        <v>4459.5</v>
      </c>
      <c r="N163" s="214">
        <v>32403.15</v>
      </c>
      <c r="O163" s="1903">
        <v>82.96</v>
      </c>
      <c r="P163" s="1903">
        <v>82.96</v>
      </c>
    </row>
    <row r="164" spans="1:16" s="1912" customFormat="1" ht="9.6" customHeight="1" x14ac:dyDescent="0.2">
      <c r="A164" s="1150" t="s">
        <v>1296</v>
      </c>
      <c r="B164" s="1913" t="s">
        <v>558</v>
      </c>
      <c r="C164" s="276">
        <v>5.63</v>
      </c>
      <c r="D164" s="276" t="s">
        <v>288</v>
      </c>
      <c r="E164" s="276">
        <v>5.8319394201079122</v>
      </c>
      <c r="F164" s="276" t="s">
        <v>288</v>
      </c>
      <c r="G164" s="276" t="s">
        <v>288</v>
      </c>
      <c r="H164" s="276" t="s">
        <v>288</v>
      </c>
      <c r="I164" s="276" t="s">
        <v>288</v>
      </c>
      <c r="J164" s="276" t="s">
        <v>288</v>
      </c>
      <c r="K164" s="276" t="s">
        <v>288</v>
      </c>
      <c r="L164" s="274">
        <v>2954.71</v>
      </c>
      <c r="M164" s="270">
        <v>4870.5</v>
      </c>
      <c r="N164" s="270">
        <v>33094.26</v>
      </c>
      <c r="O164" s="1902">
        <v>82.975200000000001</v>
      </c>
      <c r="P164" s="1902">
        <v>82.98</v>
      </c>
    </row>
    <row r="165" spans="1:16" s="1912" customFormat="1" ht="9.6" customHeight="1" x14ac:dyDescent="0.2">
      <c r="A165" s="1150" t="s">
        <v>1296</v>
      </c>
      <c r="B165" s="372" t="s">
        <v>559</v>
      </c>
      <c r="C165" s="237">
        <v>5.57</v>
      </c>
      <c r="D165" s="237" t="s">
        <v>288</v>
      </c>
      <c r="E165" s="237">
        <v>5.82</v>
      </c>
      <c r="F165" s="237" t="s">
        <v>288</v>
      </c>
      <c r="G165" s="237" t="s">
        <v>288</v>
      </c>
      <c r="H165" s="237" t="s">
        <v>288</v>
      </c>
      <c r="I165" s="237" t="s">
        <v>288</v>
      </c>
      <c r="J165" s="237" t="s">
        <v>288</v>
      </c>
      <c r="K165" s="237" t="s">
        <v>288</v>
      </c>
      <c r="L165" s="51">
        <v>3322.41</v>
      </c>
      <c r="M165" s="214">
        <v>5435.2</v>
      </c>
      <c r="N165" s="214">
        <v>32348.09</v>
      </c>
      <c r="O165" s="1903">
        <v>83.413700000000006</v>
      </c>
      <c r="P165" s="1903">
        <v>83.7</v>
      </c>
    </row>
    <row r="166" spans="1:16" s="1912" customFormat="1" ht="9.6" customHeight="1" x14ac:dyDescent="0.2">
      <c r="A166" s="1150" t="s">
        <v>1296</v>
      </c>
      <c r="B166" s="1913" t="s">
        <v>550</v>
      </c>
      <c r="C166" s="276">
        <v>5.54</v>
      </c>
      <c r="D166" s="276" t="s">
        <v>288</v>
      </c>
      <c r="E166" s="276">
        <v>5.78</v>
      </c>
      <c r="F166" s="276" t="s">
        <v>288</v>
      </c>
      <c r="G166" s="276" t="s">
        <v>288</v>
      </c>
      <c r="H166" s="276" t="s">
        <v>288</v>
      </c>
      <c r="I166" s="276" t="s">
        <v>288</v>
      </c>
      <c r="J166" s="276" t="s">
        <v>288</v>
      </c>
      <c r="K166" s="276" t="s">
        <v>288</v>
      </c>
      <c r="L166" s="274">
        <v>2939.35</v>
      </c>
      <c r="M166" s="270">
        <v>3838.8</v>
      </c>
      <c r="N166" s="270">
        <v>32943.46</v>
      </c>
      <c r="O166" s="1902">
        <v>83.721699999999998</v>
      </c>
      <c r="P166" s="1902">
        <v>83.702200000000005</v>
      </c>
    </row>
    <row r="167" spans="1:16" s="1683" customFormat="1" ht="9.6" customHeight="1" x14ac:dyDescent="0.2">
      <c r="A167" s="154" t="s">
        <v>1404</v>
      </c>
      <c r="B167" s="372" t="s">
        <v>552</v>
      </c>
      <c r="C167" s="276">
        <v>5.51</v>
      </c>
      <c r="D167" s="276" t="s">
        <v>288</v>
      </c>
      <c r="E167" s="276">
        <v>5.78</v>
      </c>
      <c r="F167" s="276" t="s">
        <v>288</v>
      </c>
      <c r="G167" s="276" t="s">
        <v>288</v>
      </c>
      <c r="H167" s="276" t="s">
        <v>288</v>
      </c>
      <c r="I167" s="276" t="s">
        <v>288</v>
      </c>
      <c r="J167" s="276" t="s">
        <v>288</v>
      </c>
      <c r="K167" s="276" t="s">
        <v>288</v>
      </c>
      <c r="L167" s="274">
        <v>3581.48</v>
      </c>
      <c r="M167" s="270">
        <v>4569.7</v>
      </c>
      <c r="N167" s="270">
        <v>32105.45</v>
      </c>
      <c r="O167" s="1902">
        <v>83.748400000000004</v>
      </c>
      <c r="P167" s="1902">
        <v>83.75</v>
      </c>
    </row>
    <row r="168" spans="1:16" s="1683" customFormat="1" ht="9.6" customHeight="1" x14ac:dyDescent="0.2">
      <c r="A168" s="154" t="s">
        <v>1404</v>
      </c>
      <c r="B168" s="1691" t="s">
        <v>553</v>
      </c>
      <c r="C168" s="237">
        <v>5.48</v>
      </c>
      <c r="D168" s="237" t="s">
        <v>288</v>
      </c>
      <c r="E168" s="237">
        <v>5.74</v>
      </c>
      <c r="F168" s="237" t="s">
        <v>288</v>
      </c>
      <c r="G168" s="237" t="s">
        <v>288</v>
      </c>
      <c r="H168" s="237" t="s">
        <v>288</v>
      </c>
      <c r="I168" s="237" t="s">
        <v>288</v>
      </c>
      <c r="J168" s="237" t="s">
        <v>288</v>
      </c>
      <c r="K168" s="237" t="s">
        <v>288</v>
      </c>
      <c r="L168" s="51">
        <v>3213.54</v>
      </c>
      <c r="M168" s="214">
        <v>3964.61</v>
      </c>
      <c r="N168" s="214">
        <v>32926.51</v>
      </c>
      <c r="O168" s="1903">
        <v>83.75</v>
      </c>
      <c r="P168" s="1903">
        <v>83.75</v>
      </c>
    </row>
    <row r="169" spans="1:16" s="1683" customFormat="1" ht="9.6" customHeight="1" x14ac:dyDescent="0.2">
      <c r="A169" s="154" t="s">
        <v>1404</v>
      </c>
      <c r="B169" s="372" t="s">
        <v>547</v>
      </c>
      <c r="C169" s="276">
        <v>5.43</v>
      </c>
      <c r="D169" s="276" t="s">
        <v>288</v>
      </c>
      <c r="E169" s="276">
        <v>5.68</v>
      </c>
      <c r="F169" s="276" t="s">
        <v>288</v>
      </c>
      <c r="G169" s="276" t="s">
        <v>288</v>
      </c>
      <c r="H169" s="276" t="s">
        <v>288</v>
      </c>
      <c r="I169" s="276" t="s">
        <v>288</v>
      </c>
      <c r="J169" s="276" t="s">
        <v>288</v>
      </c>
      <c r="K169" s="276" t="s">
        <v>288</v>
      </c>
      <c r="L169" s="270">
        <v>3145.58</v>
      </c>
      <c r="M169" s="270">
        <v>4751.4899999999989</v>
      </c>
      <c r="N169" s="270">
        <v>31957.74</v>
      </c>
      <c r="O169" s="1902">
        <v>83.75</v>
      </c>
      <c r="P169" s="1902">
        <v>83.75</v>
      </c>
    </row>
    <row r="170" spans="1:16" s="1683" customFormat="1" ht="9.6" customHeight="1" x14ac:dyDescent="0.2">
      <c r="A170" s="154" t="s">
        <v>1404</v>
      </c>
      <c r="B170" s="1691" t="s">
        <v>554</v>
      </c>
      <c r="C170" s="237">
        <v>5.4</v>
      </c>
      <c r="D170" s="237" t="s">
        <v>288</v>
      </c>
      <c r="E170" s="237">
        <v>5.63</v>
      </c>
      <c r="F170" s="237" t="s">
        <v>288</v>
      </c>
      <c r="G170" s="237" t="s">
        <v>288</v>
      </c>
      <c r="H170" s="237" t="s">
        <v>288</v>
      </c>
      <c r="I170" s="237" t="s">
        <v>288</v>
      </c>
      <c r="J170" s="237" t="s">
        <v>288</v>
      </c>
      <c r="K170" s="237" t="s">
        <v>288</v>
      </c>
      <c r="L170" s="214">
        <v>3711.18</v>
      </c>
      <c r="M170" s="214">
        <v>5086.3</v>
      </c>
      <c r="N170" s="214">
        <v>32077.96</v>
      </c>
      <c r="O170" s="1903">
        <v>83.816999999999993</v>
      </c>
      <c r="P170" s="1903">
        <v>83.85</v>
      </c>
    </row>
    <row r="171" spans="1:16" s="1683" customFormat="1" ht="9.6" customHeight="1" x14ac:dyDescent="0.2">
      <c r="A171" s="154" t="s">
        <v>1404</v>
      </c>
      <c r="B171" s="372" t="s">
        <v>555</v>
      </c>
      <c r="C171" s="276">
        <v>5.37</v>
      </c>
      <c r="D171" s="276" t="s">
        <v>288</v>
      </c>
      <c r="E171" s="276">
        <v>5.58</v>
      </c>
      <c r="F171" s="276" t="s">
        <v>288</v>
      </c>
      <c r="G171" s="276" t="s">
        <v>288</v>
      </c>
      <c r="H171" s="276" t="s">
        <v>288</v>
      </c>
      <c r="I171" s="276" t="s">
        <v>288</v>
      </c>
      <c r="J171" s="276" t="s">
        <v>288</v>
      </c>
      <c r="K171" s="276" t="s">
        <v>288</v>
      </c>
      <c r="L171" s="270">
        <v>3421.98</v>
      </c>
      <c r="M171" s="270">
        <v>4460.8</v>
      </c>
      <c r="N171" s="270">
        <v>31056.04</v>
      </c>
      <c r="O171" s="1902">
        <v>83.872500000000002</v>
      </c>
      <c r="P171" s="1902">
        <v>83.9</v>
      </c>
    </row>
    <row r="172" spans="1:16" s="1683" customFormat="1" ht="9.6" customHeight="1" x14ac:dyDescent="0.2">
      <c r="A172" s="154" t="s">
        <v>1404</v>
      </c>
      <c r="B172" s="1691" t="s">
        <v>548</v>
      </c>
      <c r="C172" s="237">
        <v>5.35</v>
      </c>
      <c r="D172" s="237" t="s">
        <v>288</v>
      </c>
      <c r="E172" s="237">
        <v>5.5443199798807408</v>
      </c>
      <c r="F172" s="237" t="s">
        <v>288</v>
      </c>
      <c r="G172" s="237" t="s">
        <v>288</v>
      </c>
      <c r="H172" s="237" t="s">
        <v>288</v>
      </c>
      <c r="I172" s="237" t="s">
        <v>288</v>
      </c>
      <c r="J172" s="237" t="s">
        <v>288</v>
      </c>
      <c r="K172" s="237" t="s">
        <v>288</v>
      </c>
      <c r="L172" s="214">
        <v>3426.11</v>
      </c>
      <c r="M172" s="214">
        <v>4508.0999999999995</v>
      </c>
      <c r="N172" s="214">
        <v>32016.25</v>
      </c>
      <c r="O172" s="1903">
        <v>83.9</v>
      </c>
      <c r="P172" s="1903">
        <v>83.9</v>
      </c>
    </row>
    <row r="173" spans="1:16" s="1683" customFormat="1" ht="9.6" customHeight="1" x14ac:dyDescent="0.2">
      <c r="A173" s="154" t="s">
        <v>1404</v>
      </c>
      <c r="B173" s="372" t="s">
        <v>556</v>
      </c>
      <c r="C173" s="276">
        <v>5.42</v>
      </c>
      <c r="D173" s="276" t="s">
        <v>288</v>
      </c>
      <c r="E173" s="276">
        <v>5.51</v>
      </c>
      <c r="F173" s="276" t="s">
        <v>288</v>
      </c>
      <c r="G173" s="276" t="s">
        <v>288</v>
      </c>
      <c r="H173" s="276" t="s">
        <v>288</v>
      </c>
      <c r="I173" s="276" t="s">
        <v>288</v>
      </c>
      <c r="J173" s="276" t="s">
        <v>288</v>
      </c>
      <c r="K173" s="276" t="s">
        <v>288</v>
      </c>
      <c r="L173" s="270">
        <v>3679.72</v>
      </c>
      <c r="M173" s="270">
        <v>5543.2</v>
      </c>
      <c r="N173" s="270">
        <v>31279.69</v>
      </c>
      <c r="O173" s="1902">
        <v>83.941400000000002</v>
      </c>
      <c r="P173" s="1902">
        <v>83.95</v>
      </c>
    </row>
    <row r="174" spans="1:16" s="1683" customFormat="1" ht="9.6" customHeight="1" x14ac:dyDescent="0.2">
      <c r="A174" s="154" t="s">
        <v>1404</v>
      </c>
      <c r="B174" s="1691" t="s">
        <v>557</v>
      </c>
      <c r="C174" s="237">
        <v>5.47</v>
      </c>
      <c r="D174" s="237" t="s">
        <v>288</v>
      </c>
      <c r="E174" s="237">
        <v>5.49</v>
      </c>
      <c r="F174" s="237" t="s">
        <v>288</v>
      </c>
      <c r="G174" s="237" t="s">
        <v>288</v>
      </c>
      <c r="H174" s="237" t="s">
        <v>288</v>
      </c>
      <c r="I174" s="237" t="s">
        <v>288</v>
      </c>
      <c r="J174" s="237" t="s">
        <v>288</v>
      </c>
      <c r="K174" s="237" t="s">
        <v>288</v>
      </c>
      <c r="L174" s="214">
        <v>3383.2</v>
      </c>
      <c r="M174" s="214">
        <v>4122.3</v>
      </c>
      <c r="N174" s="214">
        <v>32235.68</v>
      </c>
      <c r="O174" s="1903">
        <v>84.031899999999993</v>
      </c>
      <c r="P174" s="1903">
        <v>84.15</v>
      </c>
    </row>
    <row r="175" spans="1:16" s="1683" customFormat="1" ht="9.6" customHeight="1" x14ac:dyDescent="0.2">
      <c r="A175" s="154" t="s">
        <v>1404</v>
      </c>
      <c r="B175" s="372" t="s">
        <v>549</v>
      </c>
      <c r="C175" s="276">
        <v>5.55</v>
      </c>
      <c r="D175" s="276" t="s">
        <v>288</v>
      </c>
      <c r="E175" s="276">
        <v>5.48</v>
      </c>
      <c r="F175" s="276" t="s">
        <v>288</v>
      </c>
      <c r="G175" s="276" t="s">
        <v>288</v>
      </c>
      <c r="H175" s="276" t="s">
        <v>288</v>
      </c>
      <c r="I175" s="276" t="s">
        <v>288</v>
      </c>
      <c r="J175" s="276" t="s">
        <v>288</v>
      </c>
      <c r="K175" s="276" t="s">
        <v>288</v>
      </c>
      <c r="L175" s="270">
        <v>3340.23</v>
      </c>
      <c r="M175" s="270">
        <v>4955.1000000000004</v>
      </c>
      <c r="N175" s="270">
        <v>31787.21</v>
      </c>
      <c r="O175" s="1902">
        <v>84.206000000000003</v>
      </c>
      <c r="P175" s="1902">
        <v>84.25</v>
      </c>
    </row>
    <row r="176" spans="1:16" s="1683" customFormat="1" ht="9.6" customHeight="1" x14ac:dyDescent="0.2">
      <c r="A176" s="154" t="s">
        <v>1404</v>
      </c>
      <c r="B176" s="1691" t="s">
        <v>558</v>
      </c>
      <c r="C176" s="237">
        <v>5.58</v>
      </c>
      <c r="D176" s="237" t="s">
        <v>288</v>
      </c>
      <c r="E176" s="237">
        <v>5.47</v>
      </c>
      <c r="F176" s="237" t="s">
        <v>288</v>
      </c>
      <c r="G176" s="237" t="s">
        <v>288</v>
      </c>
      <c r="H176" s="237" t="s">
        <v>288</v>
      </c>
      <c r="I176" s="237" t="s">
        <v>288</v>
      </c>
      <c r="J176" s="237" t="s">
        <v>288</v>
      </c>
      <c r="K176" s="237" t="s">
        <v>288</v>
      </c>
      <c r="L176" s="214">
        <v>3034.21</v>
      </c>
      <c r="M176" s="214">
        <v>5083.7999999999993</v>
      </c>
      <c r="N176" s="214">
        <v>32122.87</v>
      </c>
      <c r="O176" s="1903">
        <v>84.328500000000005</v>
      </c>
      <c r="P176" s="1903">
        <v>84.45</v>
      </c>
    </row>
    <row r="177" spans="1:16" s="1683" customFormat="1" ht="9.6" customHeight="1" x14ac:dyDescent="0.2">
      <c r="A177" s="154" t="s">
        <v>1404</v>
      </c>
      <c r="B177" s="372" t="s">
        <v>559</v>
      </c>
      <c r="C177" s="276">
        <v>5.63</v>
      </c>
      <c r="D177" s="276" t="s">
        <v>288</v>
      </c>
      <c r="E177" s="276">
        <v>5.48</v>
      </c>
      <c r="F177" s="276" t="s">
        <v>288</v>
      </c>
      <c r="G177" s="276" t="s">
        <v>288</v>
      </c>
      <c r="H177" s="276" t="s">
        <v>288</v>
      </c>
      <c r="I177" s="276" t="s">
        <v>288</v>
      </c>
      <c r="J177" s="276" t="s">
        <v>288</v>
      </c>
      <c r="K177" s="276" t="s">
        <v>288</v>
      </c>
      <c r="L177" s="270">
        <v>3813.37</v>
      </c>
      <c r="M177" s="270">
        <v>4981.6999999999989</v>
      </c>
      <c r="N177" s="270">
        <v>31344.79</v>
      </c>
      <c r="O177" s="1902">
        <v>84.492900000000006</v>
      </c>
      <c r="P177" s="1902">
        <v>84.5</v>
      </c>
    </row>
    <row r="178" spans="1:16" s="1683" customFormat="1" ht="9.6" customHeight="1" x14ac:dyDescent="0.2">
      <c r="A178" s="154" t="s">
        <v>1404</v>
      </c>
      <c r="B178" s="1691" t="s">
        <v>550</v>
      </c>
      <c r="C178" s="237">
        <v>5.52</v>
      </c>
      <c r="D178" s="237" t="s">
        <v>288</v>
      </c>
      <c r="E178" s="237">
        <v>5.48</v>
      </c>
      <c r="F178" s="237" t="s">
        <v>288</v>
      </c>
      <c r="G178" s="237" t="s">
        <v>288</v>
      </c>
      <c r="H178" s="237" t="s">
        <v>288</v>
      </c>
      <c r="I178" s="237" t="s">
        <v>288</v>
      </c>
      <c r="J178" s="237" t="s">
        <v>288</v>
      </c>
      <c r="K178" s="237" t="s">
        <v>288</v>
      </c>
      <c r="L178" s="214">
        <v>2784.44</v>
      </c>
      <c r="M178" s="214">
        <v>4033.7</v>
      </c>
      <c r="N178" s="214">
        <v>32716.51</v>
      </c>
      <c r="O178" s="1903">
        <v>84.5</v>
      </c>
      <c r="P178" s="1903">
        <v>84.5</v>
      </c>
    </row>
    <row r="179" spans="1:16" s="1683" customFormat="1" ht="9.6" customHeight="1" x14ac:dyDescent="0.2">
      <c r="A179" s="154" t="s">
        <v>1484</v>
      </c>
      <c r="B179" s="372" t="s">
        <v>552</v>
      </c>
      <c r="C179" s="237">
        <v>5.62</v>
      </c>
      <c r="D179" s="237" t="s">
        <v>288</v>
      </c>
      <c r="E179" s="237">
        <v>5.48</v>
      </c>
      <c r="F179" s="237" t="s">
        <v>288</v>
      </c>
      <c r="G179" s="237">
        <v>436.72</v>
      </c>
      <c r="H179" s="237">
        <v>183.13</v>
      </c>
      <c r="I179" s="237">
        <v>372.68</v>
      </c>
      <c r="J179" s="237">
        <v>420.21</v>
      </c>
      <c r="K179" s="214">
        <v>3887.86</v>
      </c>
      <c r="L179" s="214">
        <v>4532.5</v>
      </c>
      <c r="M179" s="214">
        <v>32093.25</v>
      </c>
      <c r="N179" s="1903">
        <v>84.499600000000001</v>
      </c>
      <c r="O179" s="1903">
        <v>84.5</v>
      </c>
      <c r="P179" s="1149"/>
    </row>
    <row r="180" spans="1:16" s="1683" customFormat="1" ht="9.6" customHeight="1" x14ac:dyDescent="0.2">
      <c r="A180" s="154" t="s">
        <v>1484</v>
      </c>
      <c r="B180" s="1691" t="s">
        <v>553</v>
      </c>
      <c r="C180" s="276">
        <v>5.49</v>
      </c>
      <c r="D180" s="276" t="s">
        <v>288</v>
      </c>
      <c r="E180" s="276">
        <v>5.48</v>
      </c>
      <c r="F180" s="276" t="s">
        <v>288</v>
      </c>
      <c r="G180" s="276">
        <v>399.17</v>
      </c>
      <c r="H180" s="276">
        <v>171.03</v>
      </c>
      <c r="I180" s="276">
        <v>373</v>
      </c>
      <c r="J180" s="276">
        <v>386.82</v>
      </c>
      <c r="K180" s="270">
        <v>2844.31</v>
      </c>
      <c r="L180" s="270">
        <v>3885.4</v>
      </c>
      <c r="M180" s="270">
        <v>32775.769999999997</v>
      </c>
      <c r="N180" s="1902">
        <v>84.5</v>
      </c>
      <c r="O180" s="1902">
        <v>84.5</v>
      </c>
      <c r="P180" s="1149"/>
    </row>
    <row r="181" spans="1:16" s="1683" customFormat="1" ht="9.6" customHeight="1" x14ac:dyDescent="0.2">
      <c r="A181" s="154" t="s">
        <v>1484</v>
      </c>
      <c r="B181" s="372" t="s">
        <v>547</v>
      </c>
      <c r="C181" s="237">
        <v>5.54</v>
      </c>
      <c r="D181" s="237" t="s">
        <v>288</v>
      </c>
      <c r="E181" s="237">
        <v>5.49</v>
      </c>
      <c r="F181" s="237" t="s">
        <v>288</v>
      </c>
      <c r="G181" s="237">
        <v>402.89</v>
      </c>
      <c r="H181" s="237">
        <v>178.81</v>
      </c>
      <c r="I181" s="237">
        <v>365.09</v>
      </c>
      <c r="J181" s="237">
        <v>389.79</v>
      </c>
      <c r="K181" s="214">
        <v>2915.85</v>
      </c>
      <c r="L181" s="214">
        <v>4220.8999999999996</v>
      </c>
      <c r="M181" s="214">
        <v>31831.919999999998</v>
      </c>
      <c r="N181" s="1903">
        <v>84.5</v>
      </c>
      <c r="O181" s="1903">
        <v>84.5</v>
      </c>
      <c r="P181" s="1149"/>
    </row>
    <row r="182" spans="1:16" s="1683" customFormat="1" ht="9.6" customHeight="1" x14ac:dyDescent="0.2">
      <c r="A182" s="154" t="s">
        <v>1484</v>
      </c>
      <c r="B182" s="1691" t="s">
        <v>554</v>
      </c>
      <c r="C182" s="276">
        <v>5.47</v>
      </c>
      <c r="D182" s="276" t="s">
        <v>288</v>
      </c>
      <c r="E182" s="276">
        <v>5.5</v>
      </c>
      <c r="F182" s="276" t="s">
        <v>288</v>
      </c>
      <c r="G182" s="276">
        <v>422.15</v>
      </c>
      <c r="H182" s="276">
        <v>180.98</v>
      </c>
      <c r="I182" s="276">
        <v>332.69</v>
      </c>
      <c r="J182" s="276">
        <v>404.18</v>
      </c>
      <c r="K182" s="270">
        <v>3073.23</v>
      </c>
      <c r="L182" s="270">
        <v>5030.1000000000004</v>
      </c>
      <c r="M182" s="270">
        <v>32437.74</v>
      </c>
      <c r="N182" s="1902">
        <v>84.673199999999994</v>
      </c>
      <c r="O182" s="1902">
        <v>84.75</v>
      </c>
      <c r="P182" s="1149"/>
    </row>
    <row r="183" spans="1:16" s="1683" customFormat="1" ht="9.6" customHeight="1" x14ac:dyDescent="0.2">
      <c r="A183" s="154" t="s">
        <v>1484</v>
      </c>
      <c r="B183" s="372" t="s">
        <v>555</v>
      </c>
      <c r="C183" s="237">
        <v>6.05</v>
      </c>
      <c r="D183" s="237" t="s">
        <v>288</v>
      </c>
      <c r="E183" s="237">
        <v>5.557808386736518</v>
      </c>
      <c r="F183" s="237" t="s">
        <v>288</v>
      </c>
      <c r="G183" s="237">
        <v>414.67</v>
      </c>
      <c r="H183" s="237">
        <v>168.28</v>
      </c>
      <c r="I183" s="237">
        <v>265.04000000000002</v>
      </c>
      <c r="J183" s="237">
        <v>391.67</v>
      </c>
      <c r="K183" s="214">
        <v>3055.85</v>
      </c>
      <c r="L183" s="214">
        <v>3986.6</v>
      </c>
      <c r="M183" s="214">
        <v>31728.99</v>
      </c>
      <c r="N183" s="1903">
        <v>84.779200000000003</v>
      </c>
      <c r="O183" s="1903">
        <v>84.9</v>
      </c>
      <c r="P183" s="1149"/>
    </row>
    <row r="184" spans="1:16" s="1683" customFormat="1" ht="9.6" customHeight="1" x14ac:dyDescent="0.2">
      <c r="A184" s="154" t="s">
        <v>1484</v>
      </c>
      <c r="B184" s="1691" t="s">
        <v>548</v>
      </c>
      <c r="C184" s="276">
        <v>5.75</v>
      </c>
      <c r="D184" s="276" t="s">
        <v>288</v>
      </c>
      <c r="E184" s="276">
        <v>5.59</v>
      </c>
      <c r="F184" s="276" t="s">
        <v>288</v>
      </c>
      <c r="G184" s="276">
        <v>441.25</v>
      </c>
      <c r="H184" s="276">
        <v>178.7</v>
      </c>
      <c r="I184" s="276">
        <v>245.49</v>
      </c>
      <c r="J184" s="276">
        <v>413.85</v>
      </c>
      <c r="K184" s="270">
        <v>3525.09</v>
      </c>
      <c r="L184" s="270">
        <v>4647</v>
      </c>
      <c r="M184" s="270">
        <v>32689.18</v>
      </c>
      <c r="N184" s="1902">
        <v>84.899000000000001</v>
      </c>
      <c r="O184" s="1902">
        <v>84.9</v>
      </c>
      <c r="P184" s="1149"/>
    </row>
    <row r="185" spans="1:16" s="1683" customFormat="1" ht="9.6" customHeight="1" x14ac:dyDescent="0.2">
      <c r="A185" s="154" t="s">
        <v>1484</v>
      </c>
      <c r="B185" s="372" t="s">
        <v>556</v>
      </c>
      <c r="C185" s="237">
        <v>5.57</v>
      </c>
      <c r="D185" s="237" t="s">
        <v>288</v>
      </c>
      <c r="E185" s="237">
        <v>5.6024614092748948</v>
      </c>
      <c r="F185" s="237" t="s">
        <v>288</v>
      </c>
      <c r="G185" s="237">
        <v>446.81</v>
      </c>
      <c r="H185" s="237">
        <v>181.54</v>
      </c>
      <c r="I185" s="237">
        <v>254.12</v>
      </c>
      <c r="J185" s="237">
        <v>419.54</v>
      </c>
      <c r="K185" s="214">
        <v>3617.31</v>
      </c>
      <c r="L185" s="214">
        <v>4712.0093849999994</v>
      </c>
      <c r="M185" s="214">
        <v>32381.200000000001</v>
      </c>
      <c r="N185" s="1903">
        <v>84.9</v>
      </c>
      <c r="O185" s="1903">
        <v>84.9</v>
      </c>
      <c r="P185" s="1149"/>
    </row>
    <row r="186" spans="1:16" s="1683" customFormat="1" ht="9.6" customHeight="1" x14ac:dyDescent="0.2">
      <c r="A186" s="154" t="s">
        <v>1484</v>
      </c>
      <c r="B186" s="1691" t="s">
        <v>557</v>
      </c>
      <c r="C186" s="276">
        <v>5.46</v>
      </c>
      <c r="D186" s="276" t="s">
        <v>288</v>
      </c>
      <c r="E186" s="276">
        <v>5.6024614092748948</v>
      </c>
      <c r="F186" s="276" t="s">
        <v>288</v>
      </c>
      <c r="G186" s="276">
        <v>423.02</v>
      </c>
      <c r="H186" s="276">
        <v>171.13</v>
      </c>
      <c r="I186" s="276">
        <v>255.81</v>
      </c>
      <c r="J186" s="276">
        <v>398.38</v>
      </c>
      <c r="K186" s="270">
        <v>3322.36</v>
      </c>
      <c r="L186" s="270">
        <v>4419.2</v>
      </c>
      <c r="M186" s="270">
        <v>32986.51</v>
      </c>
      <c r="N186" s="1902">
        <v>84.949700000000007</v>
      </c>
      <c r="O186" s="1902">
        <v>84.95</v>
      </c>
      <c r="P186" s="1149"/>
    </row>
    <row r="187" spans="1:16" s="1683" customFormat="1" ht="9.6" customHeight="1" x14ac:dyDescent="0.2">
      <c r="A187" s="154" t="s">
        <v>1484</v>
      </c>
      <c r="B187" s="372" t="s">
        <v>549</v>
      </c>
      <c r="C187" s="237">
        <v>5.48</v>
      </c>
      <c r="D187" s="237" t="s">
        <v>288</v>
      </c>
      <c r="E187" s="237">
        <v>5.5961547252862065</v>
      </c>
      <c r="F187" s="237" t="s">
        <v>288</v>
      </c>
      <c r="G187" s="237">
        <v>407.53</v>
      </c>
      <c r="H187" s="237">
        <v>169.34</v>
      </c>
      <c r="I187" s="237">
        <v>301.02999999999997</v>
      </c>
      <c r="J187" s="237">
        <v>388.33</v>
      </c>
      <c r="K187" s="214">
        <v>2732</v>
      </c>
      <c r="L187" s="214">
        <v>4121.2</v>
      </c>
      <c r="M187" s="214">
        <v>32570.16</v>
      </c>
      <c r="N187" s="1903">
        <v>84.95</v>
      </c>
      <c r="O187" s="1903">
        <v>84.95</v>
      </c>
      <c r="P187" s="1149"/>
    </row>
    <row r="188" spans="1:16" s="1683" customFormat="1" ht="9.6" customHeight="1" x14ac:dyDescent="0.2">
      <c r="A188" s="154" t="s">
        <v>1484</v>
      </c>
      <c r="B188" s="1691" t="s">
        <v>558</v>
      </c>
      <c r="C188" s="276">
        <v>5.96</v>
      </c>
      <c r="D188" s="276" t="s">
        <v>288</v>
      </c>
      <c r="E188" s="276">
        <v>5.63</v>
      </c>
      <c r="F188" s="276" t="s">
        <v>288</v>
      </c>
      <c r="G188" s="276">
        <v>268.55</v>
      </c>
      <c r="H188" s="276">
        <v>116.39</v>
      </c>
      <c r="I188" s="276">
        <v>261.77</v>
      </c>
      <c r="J188" s="276">
        <v>261.16000000000003</v>
      </c>
      <c r="K188" s="270">
        <v>520.01</v>
      </c>
      <c r="L188" s="270">
        <v>2489.8000000000002</v>
      </c>
      <c r="M188" s="270">
        <v>33111.06</v>
      </c>
      <c r="N188" s="1902">
        <v>84.95</v>
      </c>
      <c r="O188" s="1902">
        <v>84.95</v>
      </c>
      <c r="P188" s="1149"/>
    </row>
    <row r="189" spans="1:16" s="1683" customFormat="1" ht="9.6" customHeight="1" x14ac:dyDescent="0.2">
      <c r="A189" s="154" t="s">
        <v>1484</v>
      </c>
      <c r="B189" s="372" t="s">
        <v>559</v>
      </c>
      <c r="C189" s="237">
        <v>5.35</v>
      </c>
      <c r="D189" s="237" t="s">
        <v>288</v>
      </c>
      <c r="E189" s="237">
        <v>5.6058404553794849</v>
      </c>
      <c r="F189" s="237" t="s">
        <v>288</v>
      </c>
      <c r="G189" s="237">
        <v>315.67</v>
      </c>
      <c r="H189" s="237">
        <v>152.58000000000001</v>
      </c>
      <c r="I189" s="237">
        <v>298.64999999999998</v>
      </c>
      <c r="J189" s="237">
        <v>306.97000000000003</v>
      </c>
      <c r="K189" s="419">
        <v>1465.3</v>
      </c>
      <c r="L189" s="214">
        <v>2532.15</v>
      </c>
      <c r="M189" s="214">
        <v>33409.89</v>
      </c>
      <c r="N189" s="1903">
        <v>84.95</v>
      </c>
      <c r="O189" s="1903">
        <v>84.95</v>
      </c>
      <c r="P189" s="1149"/>
    </row>
    <row r="190" spans="1:16" s="1683" customFormat="1" ht="9.6" customHeight="1" x14ac:dyDescent="0.2">
      <c r="A190" s="154" t="s">
        <v>1484</v>
      </c>
      <c r="B190" s="1691" t="s">
        <v>550</v>
      </c>
      <c r="C190" s="276">
        <v>6.02</v>
      </c>
      <c r="D190" s="276" t="s">
        <v>288</v>
      </c>
      <c r="E190" s="276">
        <v>5.6476114685594103</v>
      </c>
      <c r="F190" s="276" t="s">
        <v>288</v>
      </c>
      <c r="G190" s="276">
        <v>401.79</v>
      </c>
      <c r="H190" s="276">
        <v>170.32</v>
      </c>
      <c r="I190" s="276">
        <v>348.94</v>
      </c>
      <c r="J190" s="276">
        <v>387.17</v>
      </c>
      <c r="K190" s="432">
        <v>2714.95</v>
      </c>
      <c r="L190" s="270">
        <v>3940.9900000000002</v>
      </c>
      <c r="M190" s="270">
        <v>36037.03</v>
      </c>
      <c r="N190" s="1902">
        <v>84.9191</v>
      </c>
      <c r="O190" s="1902">
        <v>84.9</v>
      </c>
      <c r="P190" s="1149"/>
    </row>
    <row r="191" spans="1:16" s="1683" customFormat="1" ht="9.6" customHeight="1" x14ac:dyDescent="0.2">
      <c r="A191" s="154" t="s">
        <v>1536</v>
      </c>
      <c r="B191" s="372" t="s">
        <v>552</v>
      </c>
      <c r="C191" s="276">
        <v>5.53</v>
      </c>
      <c r="D191" s="276" t="s">
        <v>288</v>
      </c>
      <c r="E191" s="276">
        <v>5.64</v>
      </c>
      <c r="F191" s="276" t="s">
        <v>288</v>
      </c>
      <c r="G191" s="276">
        <v>470.58</v>
      </c>
      <c r="H191" s="276">
        <v>211.53</v>
      </c>
      <c r="I191" s="276">
        <v>380.12</v>
      </c>
      <c r="J191" s="276">
        <v>451.72</v>
      </c>
      <c r="K191" s="432">
        <v>3910.92</v>
      </c>
      <c r="L191" s="270">
        <v>3395.9399999999996</v>
      </c>
      <c r="M191" s="270">
        <v>37288.43</v>
      </c>
      <c r="N191" s="1902">
        <v>84.806200000000004</v>
      </c>
      <c r="O191" s="1902">
        <v>84.8</v>
      </c>
      <c r="P191" s="1149"/>
    </row>
    <row r="192" spans="1:16" s="1683" customFormat="1" ht="9.6" customHeight="1" x14ac:dyDescent="0.2">
      <c r="A192" s="154" t="s">
        <v>1536</v>
      </c>
      <c r="B192" s="1691" t="s">
        <v>553</v>
      </c>
      <c r="C192" s="237">
        <v>5.68</v>
      </c>
      <c r="D192" s="237" t="s">
        <v>288</v>
      </c>
      <c r="E192" s="237">
        <v>5.6547200899186079</v>
      </c>
      <c r="F192" s="237" t="s">
        <v>288</v>
      </c>
      <c r="G192" s="237">
        <v>409.83</v>
      </c>
      <c r="H192" s="237">
        <v>200.44</v>
      </c>
      <c r="I192" s="237">
        <v>380.28</v>
      </c>
      <c r="J192" s="237">
        <v>398.06</v>
      </c>
      <c r="K192" s="419">
        <v>2967.16</v>
      </c>
      <c r="L192" s="214">
        <v>3614.51</v>
      </c>
      <c r="M192" s="214">
        <v>39040.14</v>
      </c>
      <c r="N192" s="1903">
        <v>84.833699999999993</v>
      </c>
      <c r="O192" s="1903">
        <v>84.8292</v>
      </c>
      <c r="P192" s="1149"/>
    </row>
    <row r="193" spans="1:16" s="1683" customFormat="1" ht="9.6" customHeight="1" x14ac:dyDescent="0.2">
      <c r="A193" s="154" t="s">
        <v>1536</v>
      </c>
      <c r="B193" s="372" t="s">
        <v>547</v>
      </c>
      <c r="C193" s="276">
        <v>5.97</v>
      </c>
      <c r="D193" s="276" t="s">
        <v>288</v>
      </c>
      <c r="E193" s="276">
        <v>5.6907183725365407</v>
      </c>
      <c r="F193" s="276" t="s">
        <v>288</v>
      </c>
      <c r="G193" s="276">
        <v>427.32</v>
      </c>
      <c r="H193" s="276">
        <v>206.9</v>
      </c>
      <c r="I193" s="276">
        <v>382.45</v>
      </c>
      <c r="J193" s="276">
        <v>413.83</v>
      </c>
      <c r="K193" s="432">
        <v>3018.76</v>
      </c>
      <c r="L193" s="270">
        <v>3992.5000000000005</v>
      </c>
      <c r="M193" s="270">
        <v>39313.980000000003</v>
      </c>
      <c r="N193" s="1902">
        <v>84.802000000000007</v>
      </c>
      <c r="O193" s="1902">
        <v>84.835999999999999</v>
      </c>
      <c r="P193" s="1149"/>
    </row>
    <row r="194" spans="1:16" s="1683" customFormat="1" ht="9.6" customHeight="1" x14ac:dyDescent="0.2">
      <c r="A194" s="154" t="s">
        <v>1536</v>
      </c>
      <c r="B194" s="1691" t="s">
        <v>554</v>
      </c>
      <c r="C194" s="237">
        <v>6.44</v>
      </c>
      <c r="D194" s="237" t="s">
        <v>288</v>
      </c>
      <c r="E194" s="237">
        <v>5.7740564589879639</v>
      </c>
      <c r="F194" s="237" t="s">
        <v>288</v>
      </c>
      <c r="G194" s="25">
        <v>429.25</v>
      </c>
      <c r="H194" s="237">
        <v>200.76</v>
      </c>
      <c r="I194" s="237">
        <v>382.29</v>
      </c>
      <c r="J194" s="237">
        <v>415.23</v>
      </c>
      <c r="K194" s="419">
        <v>2947.8</v>
      </c>
      <c r="L194" s="214">
        <v>3772.1999999999994</v>
      </c>
      <c r="M194" s="214">
        <v>41005.79</v>
      </c>
      <c r="N194" s="1903">
        <v>84.801699999999997</v>
      </c>
      <c r="O194" s="1903">
        <v>84.800399999999996</v>
      </c>
      <c r="P194" s="1149"/>
    </row>
    <row r="195" spans="1:16" s="1683" customFormat="1" ht="9.6" customHeight="1" x14ac:dyDescent="0.2">
      <c r="A195" s="154" t="s">
        <v>1536</v>
      </c>
      <c r="B195" s="372" t="s">
        <v>555</v>
      </c>
      <c r="C195" s="276">
        <v>5.52</v>
      </c>
      <c r="D195" s="276" t="s">
        <v>288</v>
      </c>
      <c r="E195" s="276">
        <v>5.7302638415250406</v>
      </c>
      <c r="F195" s="276" t="s">
        <v>288</v>
      </c>
      <c r="G195" s="276">
        <v>449.7</v>
      </c>
      <c r="H195" s="276">
        <v>170.7</v>
      </c>
      <c r="I195" s="276">
        <v>281.02999999999997</v>
      </c>
      <c r="J195" s="276">
        <v>423.72</v>
      </c>
      <c r="K195" s="432">
        <v>3078.95</v>
      </c>
      <c r="L195" s="270">
        <v>4147.8</v>
      </c>
      <c r="M195" s="270">
        <v>41269.22</v>
      </c>
      <c r="N195" s="1902">
        <v>84.800299999999993</v>
      </c>
      <c r="O195" s="1902">
        <v>84.8</v>
      </c>
      <c r="P195" s="1149"/>
    </row>
    <row r="196" spans="1:16" s="1683" customFormat="1" ht="9.6" customHeight="1" x14ac:dyDescent="0.2">
      <c r="A196" s="154" t="s">
        <v>1536</v>
      </c>
      <c r="B196" s="1691" t="s">
        <v>548</v>
      </c>
      <c r="C196" s="237">
        <v>5.29</v>
      </c>
      <c r="D196" s="237" t="s">
        <v>288</v>
      </c>
      <c r="E196" s="237">
        <v>5.691074747462066</v>
      </c>
      <c r="F196" s="237" t="s">
        <v>288</v>
      </c>
      <c r="G196" s="237">
        <v>471.52</v>
      </c>
      <c r="H196" s="237">
        <v>171.66</v>
      </c>
      <c r="I196" s="237">
        <v>261.08999999999997</v>
      </c>
      <c r="J196" s="237">
        <v>441.27</v>
      </c>
      <c r="K196" s="419">
        <v>3309.86</v>
      </c>
      <c r="L196" s="214">
        <v>4640.3999999999996</v>
      </c>
      <c r="M196" s="214">
        <v>43166.52</v>
      </c>
      <c r="N196" s="1903">
        <v>84.8001</v>
      </c>
      <c r="O196" s="1903">
        <v>84.801100000000005</v>
      </c>
      <c r="P196" s="1149"/>
    </row>
    <row r="197" spans="1:16" s="1683" customFormat="1" ht="9.6" customHeight="1" x14ac:dyDescent="0.2">
      <c r="A197" s="154" t="s">
        <v>1536</v>
      </c>
      <c r="B197" s="372" t="s">
        <v>556</v>
      </c>
      <c r="C197" s="276">
        <v>5.0199999999999996</v>
      </c>
      <c r="D197" s="276" t="s">
        <v>288</v>
      </c>
      <c r="E197" s="276">
        <v>5.6430352022812658</v>
      </c>
      <c r="F197" s="276" t="s">
        <v>288</v>
      </c>
      <c r="G197" s="276">
        <v>484.63</v>
      </c>
      <c r="H197" s="276">
        <v>143.16999999999999</v>
      </c>
      <c r="I197" s="276">
        <v>277.64999999999998</v>
      </c>
      <c r="J197" s="276">
        <v>452.79</v>
      </c>
      <c r="K197" s="432">
        <v>3436.79</v>
      </c>
      <c r="L197" s="270">
        <v>4569.2999999999993</v>
      </c>
      <c r="M197" s="270">
        <v>42862.96</v>
      </c>
      <c r="N197" s="1902">
        <v>84.8005</v>
      </c>
      <c r="O197" s="1902">
        <v>84.802999999999997</v>
      </c>
      <c r="P197" s="1149"/>
    </row>
    <row r="198" spans="1:16" s="1683" customFormat="1" ht="9.6" customHeight="1" x14ac:dyDescent="0.2">
      <c r="A198" s="154" t="s">
        <v>1536</v>
      </c>
      <c r="B198" s="1691" t="s">
        <v>557</v>
      </c>
      <c r="C198" s="237">
        <v>5.32</v>
      </c>
      <c r="D198" s="237" t="s">
        <v>288</v>
      </c>
      <c r="E198" s="237">
        <v>5.6304473421008305</v>
      </c>
      <c r="F198" s="237" t="s">
        <v>288</v>
      </c>
      <c r="G198" s="237">
        <v>483.78</v>
      </c>
      <c r="H198" s="237">
        <v>132.5</v>
      </c>
      <c r="I198" s="237">
        <v>264.25</v>
      </c>
      <c r="J198" s="237">
        <v>450.5</v>
      </c>
      <c r="K198" s="419">
        <v>3192.08</v>
      </c>
      <c r="L198" s="214">
        <v>4697.2000000000007</v>
      </c>
      <c r="M198" s="214">
        <v>44016.54</v>
      </c>
      <c r="N198" s="1903">
        <v>84.800299999999993</v>
      </c>
      <c r="O198" s="1903">
        <v>84.800700000000006</v>
      </c>
      <c r="P198" s="1149"/>
    </row>
    <row r="199" spans="1:16" s="1683" customFormat="1" ht="9.6" customHeight="1" x14ac:dyDescent="0.2">
      <c r="A199" s="154" t="s">
        <v>1536</v>
      </c>
      <c r="B199" s="372" t="s">
        <v>549</v>
      </c>
      <c r="C199" s="276">
        <v>5.47</v>
      </c>
      <c r="D199" s="276" t="s">
        <v>288</v>
      </c>
      <c r="E199" s="276">
        <v>5.6286025282636043</v>
      </c>
      <c r="F199" s="276" t="s">
        <v>288</v>
      </c>
      <c r="G199" s="276">
        <v>496.73</v>
      </c>
      <c r="H199" s="276">
        <v>134.11000000000001</v>
      </c>
      <c r="I199" s="276">
        <v>368.09</v>
      </c>
      <c r="J199" s="276">
        <v>470.17</v>
      </c>
      <c r="K199" s="432">
        <v>3076.03</v>
      </c>
      <c r="L199" s="270">
        <v>5483.45</v>
      </c>
      <c r="M199" s="270">
        <v>43440.77</v>
      </c>
      <c r="N199" s="1902">
        <v>84.800799999999995</v>
      </c>
      <c r="O199" s="1902">
        <v>84.801900000000003</v>
      </c>
      <c r="P199" s="1149"/>
    </row>
    <row r="200" spans="1:16" s="1683" customFormat="1" ht="9.6" customHeight="1" x14ac:dyDescent="0.2">
      <c r="A200" s="154" t="s">
        <v>1536</v>
      </c>
      <c r="B200" s="1691" t="s">
        <v>558</v>
      </c>
      <c r="C200" s="237">
        <v>5.56</v>
      </c>
      <c r="D200" s="237" t="s">
        <v>288</v>
      </c>
      <c r="E200" s="237">
        <v>5.5962455762425423</v>
      </c>
      <c r="F200" s="237" t="s">
        <v>288</v>
      </c>
      <c r="G200" s="237">
        <v>504.07</v>
      </c>
      <c r="H200" s="237">
        <v>133.38</v>
      </c>
      <c r="I200" s="237">
        <v>400.12</v>
      </c>
      <c r="J200" s="237">
        <v>479.11</v>
      </c>
      <c r="K200" s="419">
        <v>3134.38</v>
      </c>
      <c r="L200" s="214">
        <v>4960.9800000000005</v>
      </c>
      <c r="M200" s="214">
        <v>44950.42</v>
      </c>
      <c r="N200" s="1903">
        <v>84.800600000000003</v>
      </c>
      <c r="O200" s="1903">
        <v>84.8</v>
      </c>
      <c r="P200" s="1149"/>
    </row>
    <row r="201" spans="1:16" s="1683" customFormat="1" ht="9.6" customHeight="1" x14ac:dyDescent="0.2">
      <c r="A201" s="154" t="s">
        <v>1536</v>
      </c>
      <c r="B201" s="372" t="s">
        <v>559</v>
      </c>
      <c r="C201" s="276">
        <v>5.26</v>
      </c>
      <c r="D201" s="276" t="s">
        <v>288</v>
      </c>
      <c r="E201" s="276">
        <v>5.5874241588527385</v>
      </c>
      <c r="F201" s="276" t="s">
        <v>288</v>
      </c>
      <c r="G201" s="276">
        <v>477.97</v>
      </c>
      <c r="H201" s="276">
        <v>128.86000000000001</v>
      </c>
      <c r="I201" s="276">
        <v>386.03</v>
      </c>
      <c r="J201" s="276">
        <v>454.94</v>
      </c>
      <c r="K201" s="432">
        <v>3108.09</v>
      </c>
      <c r="L201" s="270">
        <v>4967.0999999999995</v>
      </c>
      <c r="M201" s="270">
        <v>44960.52</v>
      </c>
      <c r="N201" s="1902">
        <v>84.800299999999993</v>
      </c>
      <c r="O201" s="1902">
        <v>84.8</v>
      </c>
      <c r="P201" s="1149"/>
    </row>
    <row r="202" spans="1:16" s="1683" customFormat="1" ht="9.6" customHeight="1" x14ac:dyDescent="0.2">
      <c r="A202" s="154" t="s">
        <v>1536</v>
      </c>
      <c r="B202" s="1691" t="s">
        <v>550</v>
      </c>
      <c r="C202" s="237">
        <v>5.64</v>
      </c>
      <c r="D202" s="237" t="s">
        <v>288</v>
      </c>
      <c r="E202" s="237">
        <v>5.56</v>
      </c>
      <c r="F202" s="237" t="s">
        <v>288</v>
      </c>
      <c r="G202" s="237">
        <v>523.45000000000005</v>
      </c>
      <c r="H202" s="237">
        <v>138.4</v>
      </c>
      <c r="I202" s="237">
        <v>386.83</v>
      </c>
      <c r="J202" s="237">
        <v>495.25</v>
      </c>
      <c r="K202" s="419">
        <v>3577.5</v>
      </c>
      <c r="L202" s="214">
        <v>6090.6999999999989</v>
      </c>
      <c r="M202" s="214">
        <v>46391.44</v>
      </c>
      <c r="N202" s="1903">
        <v>84.817099999999996</v>
      </c>
      <c r="O202" s="1903">
        <v>84.814599999999999</v>
      </c>
      <c r="P202" s="1149"/>
    </row>
    <row r="203" spans="1:16" s="1683" customFormat="1" ht="9.6" customHeight="1" x14ac:dyDescent="0.2">
      <c r="A203" s="154" t="s">
        <v>1817</v>
      </c>
      <c r="B203" s="372" t="s">
        <v>552</v>
      </c>
      <c r="C203" s="1147" t="s">
        <v>288</v>
      </c>
      <c r="D203" s="1147">
        <v>5.36</v>
      </c>
      <c r="E203" s="1146" t="s">
        <v>288</v>
      </c>
      <c r="F203" s="1147">
        <v>5.5433772763430422</v>
      </c>
      <c r="G203" s="1147">
        <v>163.01</v>
      </c>
      <c r="H203" s="1147">
        <v>80.459999999999994</v>
      </c>
      <c r="I203" s="1147">
        <v>174.04</v>
      </c>
      <c r="J203" s="1147">
        <v>161.24</v>
      </c>
      <c r="K203" s="1148">
        <v>3473.43</v>
      </c>
      <c r="L203" s="1148">
        <v>4458.5</v>
      </c>
      <c r="M203" s="1148">
        <v>45842.2</v>
      </c>
      <c r="N203" s="1148" t="s">
        <v>288</v>
      </c>
      <c r="O203" s="1149">
        <v>84.803200000000004</v>
      </c>
      <c r="P203" s="1149">
        <v>84.806100000000001</v>
      </c>
    </row>
    <row r="204" spans="1:16" s="1683" customFormat="1" ht="9.6" customHeight="1" x14ac:dyDescent="0.2">
      <c r="A204" s="154" t="s">
        <v>1817</v>
      </c>
      <c r="B204" s="1691" t="s">
        <v>553</v>
      </c>
      <c r="C204" s="1147" t="s">
        <v>288</v>
      </c>
      <c r="D204" s="1147">
        <v>5.54</v>
      </c>
      <c r="E204" s="1146" t="s">
        <v>288</v>
      </c>
      <c r="F204" s="1147">
        <v>5.5322003983305299</v>
      </c>
      <c r="G204" s="1147">
        <v>165.96</v>
      </c>
      <c r="H204" s="1147">
        <v>80.42</v>
      </c>
      <c r="I204" s="1147">
        <v>173.43</v>
      </c>
      <c r="J204" s="1147">
        <v>164.13</v>
      </c>
      <c r="K204" s="1148">
        <v>3383.07</v>
      </c>
      <c r="L204" s="1148">
        <v>5582.1</v>
      </c>
      <c r="M204" s="1148">
        <v>48059.993918089996</v>
      </c>
      <c r="N204" s="1148" t="s">
        <v>288</v>
      </c>
      <c r="O204" s="1149">
        <v>84.969099999999997</v>
      </c>
      <c r="P204" s="1149">
        <v>85.2</v>
      </c>
    </row>
    <row r="205" spans="1:16" s="1683" customFormat="1" ht="9.6" customHeight="1" x14ac:dyDescent="0.2">
      <c r="A205" s="154" t="s">
        <v>1817</v>
      </c>
      <c r="B205" s="372" t="s">
        <v>547</v>
      </c>
      <c r="C205" s="1147" t="s">
        <v>288</v>
      </c>
      <c r="D205" s="1147">
        <v>5.59</v>
      </c>
      <c r="E205" s="1146" t="s">
        <v>288</v>
      </c>
      <c r="F205" s="1147">
        <v>5.5</v>
      </c>
      <c r="G205" s="1147">
        <v>181.8</v>
      </c>
      <c r="H205" s="1147">
        <v>84.68</v>
      </c>
      <c r="I205" s="1147">
        <v>174.42</v>
      </c>
      <c r="J205" s="1147">
        <v>178.9</v>
      </c>
      <c r="K205" s="1148">
        <v>4165.45</v>
      </c>
      <c r="L205" s="1148">
        <v>6812.1</v>
      </c>
      <c r="M205" s="1148">
        <v>46199.804870009997</v>
      </c>
      <c r="N205" s="1148" t="s">
        <v>288</v>
      </c>
      <c r="O205" s="1149">
        <v>85.264499999999998</v>
      </c>
      <c r="P205" s="1149">
        <v>85.5</v>
      </c>
    </row>
    <row r="206" spans="1:16" s="1683" customFormat="1" ht="9.6" customHeight="1" x14ac:dyDescent="0.2">
      <c r="A206" s="154" t="s">
        <v>1817</v>
      </c>
      <c r="B206" s="1691" t="s">
        <v>554</v>
      </c>
      <c r="C206" s="1147" t="s">
        <v>288</v>
      </c>
      <c r="D206" s="1147">
        <v>5.7</v>
      </c>
      <c r="E206" s="1146" t="s">
        <v>288</v>
      </c>
      <c r="F206" s="1147">
        <v>5.44</v>
      </c>
      <c r="G206" s="1147">
        <v>183.04</v>
      </c>
      <c r="H206" s="1147">
        <v>87.68</v>
      </c>
      <c r="I206" s="1147">
        <v>174.35</v>
      </c>
      <c r="J206" s="1147">
        <v>180.13</v>
      </c>
      <c r="K206" s="1148">
        <v>4727.53</v>
      </c>
      <c r="L206" s="1148">
        <v>6005.1</v>
      </c>
      <c r="M206" s="1148">
        <v>46459.267033059994</v>
      </c>
      <c r="N206" s="1148" t="s">
        <v>288</v>
      </c>
      <c r="O206" s="1149">
        <v>85.610699999999994</v>
      </c>
      <c r="P206" s="1149">
        <v>85.666700000000006</v>
      </c>
    </row>
    <row r="207" spans="1:16" s="1683" customFormat="1" ht="9.6" customHeight="1" x14ac:dyDescent="0.2">
      <c r="A207" s="154" t="s">
        <v>1817</v>
      </c>
      <c r="B207" s="372" t="s">
        <v>555</v>
      </c>
      <c r="C207" s="1147" t="s">
        <v>288</v>
      </c>
      <c r="D207" s="1147">
        <v>5.98</v>
      </c>
      <c r="E207" s="1146" t="s">
        <v>288</v>
      </c>
      <c r="F207" s="1147">
        <v>5.4813491177127638</v>
      </c>
      <c r="G207" s="1147">
        <v>183.55</v>
      </c>
      <c r="H207" s="1147">
        <v>86.73</v>
      </c>
      <c r="I207" s="1147">
        <v>128.16999999999999</v>
      </c>
      <c r="J207" s="1147">
        <v>178.72</v>
      </c>
      <c r="K207" s="1148">
        <v>4041.39</v>
      </c>
      <c r="L207" s="1148">
        <v>6736.9</v>
      </c>
      <c r="M207" s="1148">
        <v>44881.138574560006</v>
      </c>
      <c r="N207" s="1148" t="s">
        <v>288</v>
      </c>
      <c r="O207" s="1149">
        <v>85.774699999999996</v>
      </c>
      <c r="P207" s="1149">
        <v>85.8</v>
      </c>
    </row>
    <row r="208" spans="1:16" s="1683" customFormat="1" ht="9.6" customHeight="1" x14ac:dyDescent="0.2">
      <c r="A208" s="154" t="s">
        <v>1817</v>
      </c>
      <c r="B208" s="1691" t="s">
        <v>548</v>
      </c>
      <c r="C208" s="1147" t="s">
        <v>288</v>
      </c>
      <c r="D208" s="1147">
        <v>6.05</v>
      </c>
      <c r="E208" s="1146" t="s">
        <v>288</v>
      </c>
      <c r="F208" s="1147">
        <v>5.54</v>
      </c>
      <c r="G208" s="1147">
        <v>199.94</v>
      </c>
      <c r="H208" s="1147">
        <v>88.3</v>
      </c>
      <c r="I208" s="1147">
        <v>119.07</v>
      </c>
      <c r="J208" s="1147">
        <v>193.68</v>
      </c>
      <c r="K208" s="1148">
        <v>4907.68</v>
      </c>
      <c r="L208" s="1148">
        <v>7499.4</v>
      </c>
      <c r="M208" s="1148">
        <v>46153.933091890001</v>
      </c>
      <c r="N208" s="1148" t="s">
        <v>288</v>
      </c>
      <c r="O208" s="1149">
        <v>85.8</v>
      </c>
      <c r="P208" s="1149">
        <v>85.8</v>
      </c>
    </row>
    <row r="209" spans="1:16" s="1683" customFormat="1" ht="9.6" customHeight="1" x14ac:dyDescent="0.2">
      <c r="A209" s="154" t="s">
        <v>1817</v>
      </c>
      <c r="B209" s="372" t="s">
        <v>556</v>
      </c>
      <c r="C209" s="1147" t="s">
        <v>288</v>
      </c>
      <c r="D209" s="1147">
        <v>5.86</v>
      </c>
      <c r="E209" s="1146" t="s">
        <v>288</v>
      </c>
      <c r="F209" s="1147">
        <v>5.62</v>
      </c>
      <c r="G209" s="1147">
        <v>203.59</v>
      </c>
      <c r="H209" s="1147">
        <v>87.84</v>
      </c>
      <c r="I209" s="1147">
        <v>126.63</v>
      </c>
      <c r="J209" s="1147">
        <v>197.38</v>
      </c>
      <c r="K209" s="1148">
        <v>4850.37</v>
      </c>
      <c r="L209" s="1148">
        <v>6670.4</v>
      </c>
      <c r="M209" s="1148">
        <v>44951.223106760001</v>
      </c>
      <c r="N209" s="1148" t="s">
        <v>288</v>
      </c>
      <c r="O209" s="1149">
        <v>85.954499999999996</v>
      </c>
      <c r="P209" s="1149">
        <v>86</v>
      </c>
    </row>
    <row r="210" spans="1:16" s="1683" customFormat="1" ht="9.6" customHeight="1" x14ac:dyDescent="0.2">
      <c r="A210" s="154" t="s">
        <v>1817</v>
      </c>
      <c r="B210" s="1691" t="s">
        <v>557</v>
      </c>
      <c r="C210" s="1147" t="s">
        <v>288</v>
      </c>
      <c r="D210" s="1147">
        <v>6.17</v>
      </c>
      <c r="E210" s="1146" t="s">
        <v>288</v>
      </c>
      <c r="F210" s="1147">
        <v>5.6861320951678174</v>
      </c>
      <c r="G210" s="1147">
        <v>186.49</v>
      </c>
      <c r="H210" s="1147">
        <v>76.98</v>
      </c>
      <c r="I210" s="1147">
        <v>120.51</v>
      </c>
      <c r="J210" s="1147">
        <v>180.89</v>
      </c>
      <c r="K210" s="1148">
        <v>4294.53</v>
      </c>
      <c r="L210" s="1148">
        <v>6387.6</v>
      </c>
      <c r="M210" s="1148">
        <v>45947.761214569997</v>
      </c>
      <c r="N210" s="1148" t="s">
        <v>288</v>
      </c>
      <c r="O210" s="1149">
        <v>86</v>
      </c>
      <c r="P210" s="1149">
        <v>86</v>
      </c>
    </row>
    <row r="211" spans="1:16" s="1683" customFormat="1" ht="9.6" customHeight="1" x14ac:dyDescent="0.2">
      <c r="A211" s="154" t="s">
        <v>1817</v>
      </c>
      <c r="B211" s="372" t="s">
        <v>549</v>
      </c>
      <c r="C211" s="1147" t="s">
        <v>288</v>
      </c>
      <c r="D211" s="1147">
        <v>6.22</v>
      </c>
      <c r="E211" s="1146" t="s">
        <v>288</v>
      </c>
      <c r="F211" s="1147">
        <v>5.7496501613063966</v>
      </c>
      <c r="G211" s="1147">
        <v>193.68</v>
      </c>
      <c r="H211" s="1147">
        <v>89.55</v>
      </c>
      <c r="I211" s="1147">
        <v>167.87</v>
      </c>
      <c r="J211" s="1147">
        <v>189.85</v>
      </c>
      <c r="K211" s="1148">
        <v>4762.22</v>
      </c>
      <c r="L211" s="1148">
        <v>7527.2</v>
      </c>
      <c r="M211" s="1148">
        <v>44146.782365560008</v>
      </c>
      <c r="N211" s="1148" t="s">
        <v>288</v>
      </c>
      <c r="O211" s="1149">
        <v>86.063599999999994</v>
      </c>
      <c r="P211" s="1149">
        <v>86.2</v>
      </c>
    </row>
    <row r="212" spans="1:16" s="1683" customFormat="1" ht="9.6" customHeight="1" x14ac:dyDescent="0.2">
      <c r="A212" s="154" t="s">
        <v>1817</v>
      </c>
      <c r="B212" s="1691" t="s">
        <v>558</v>
      </c>
      <c r="C212" s="1147" t="s">
        <v>288</v>
      </c>
      <c r="D212" s="1147">
        <v>6.29</v>
      </c>
      <c r="E212" s="1146" t="s">
        <v>288</v>
      </c>
      <c r="F212" s="1147">
        <v>5.8114153321578765</v>
      </c>
      <c r="G212" s="1147">
        <v>191.05</v>
      </c>
      <c r="H212" s="1147">
        <v>84.43</v>
      </c>
      <c r="I212" s="1147">
        <v>182.42</v>
      </c>
      <c r="J212" s="1147">
        <v>187.85</v>
      </c>
      <c r="K212" s="1148">
        <v>4738.67</v>
      </c>
      <c r="L212" s="1148">
        <v>6839.5</v>
      </c>
      <c r="M212" s="1148">
        <v>44017.551984780002</v>
      </c>
      <c r="N212" s="1148" t="s">
        <v>288</v>
      </c>
      <c r="O212" s="1149">
        <v>86.237399999999994</v>
      </c>
      <c r="P212" s="1149">
        <v>86.45</v>
      </c>
    </row>
    <row r="213" spans="1:16" s="1683" customFormat="1" ht="9.6" customHeight="1" x14ac:dyDescent="0.2">
      <c r="A213" s="154" t="s">
        <v>1817</v>
      </c>
      <c r="B213" s="372" t="s">
        <v>559</v>
      </c>
      <c r="C213" s="1147" t="s">
        <v>288</v>
      </c>
      <c r="D213" s="1147">
        <v>7.42</v>
      </c>
      <c r="E213" s="1146" t="s">
        <v>288</v>
      </c>
      <c r="F213" s="1147">
        <v>5.9894246228676229</v>
      </c>
      <c r="G213" s="1147">
        <v>173.76</v>
      </c>
      <c r="H213" s="1147">
        <v>78.489999999999995</v>
      </c>
      <c r="I213" s="1147">
        <v>176.06</v>
      </c>
      <c r="J213" s="1147">
        <v>171.3</v>
      </c>
      <c r="K213" s="1148">
        <v>3830.29</v>
      </c>
      <c r="L213" s="1148">
        <v>6775.1</v>
      </c>
      <c r="M213" s="1148">
        <v>42202.00256062999</v>
      </c>
      <c r="N213" s="1148" t="s">
        <v>288</v>
      </c>
      <c r="O213" s="1149">
        <v>87.341700000000003</v>
      </c>
      <c r="P213" s="1149">
        <v>89</v>
      </c>
    </row>
    <row r="214" spans="1:16" s="1683" customFormat="1" ht="9.6" customHeight="1" x14ac:dyDescent="0.2">
      <c r="A214" s="154" t="s">
        <v>1817</v>
      </c>
      <c r="B214" s="1691" t="s">
        <v>550</v>
      </c>
      <c r="C214" s="1147" t="s">
        <v>288</v>
      </c>
      <c r="D214" s="1147">
        <v>7.56</v>
      </c>
      <c r="E214" s="1146" t="s">
        <v>288</v>
      </c>
      <c r="F214" s="1147">
        <v>6.15</v>
      </c>
      <c r="G214" s="1147">
        <v>204.09</v>
      </c>
      <c r="H214" s="1147">
        <v>82.28</v>
      </c>
      <c r="I214" s="1147">
        <v>176.42</v>
      </c>
      <c r="J214" s="1147">
        <v>199.71</v>
      </c>
      <c r="K214" s="1148">
        <v>4908.03</v>
      </c>
      <c r="L214" s="1148">
        <v>7655.8</v>
      </c>
      <c r="M214" s="1148">
        <v>41826.729767739998</v>
      </c>
      <c r="N214" s="1148" t="s">
        <v>288</v>
      </c>
      <c r="O214" s="1149">
        <v>92.135800000000003</v>
      </c>
      <c r="P214" s="1149">
        <v>93.45</v>
      </c>
    </row>
    <row r="215" spans="1:16" s="1683" customFormat="1" ht="9.6" customHeight="1" x14ac:dyDescent="0.2">
      <c r="A215" s="154" t="s">
        <v>2066</v>
      </c>
      <c r="B215" s="372" t="s">
        <v>552</v>
      </c>
      <c r="C215" s="1147" t="s">
        <v>288</v>
      </c>
      <c r="D215" s="1147">
        <v>7.48</v>
      </c>
      <c r="E215" s="1146" t="s">
        <v>288</v>
      </c>
      <c r="F215" s="1147">
        <v>6.325224955699249</v>
      </c>
      <c r="G215" s="1147">
        <v>178.13</v>
      </c>
      <c r="H215" s="1147">
        <v>80.430000000000007</v>
      </c>
      <c r="I215" s="1147">
        <v>198.4</v>
      </c>
      <c r="J215" s="1147">
        <v>176.33</v>
      </c>
      <c r="K215" s="1148">
        <v>3984.82</v>
      </c>
      <c r="L215" s="1148">
        <v>7084.4</v>
      </c>
      <c r="M215" s="1148">
        <v>39599.907246380004</v>
      </c>
      <c r="N215" s="1148" t="s">
        <v>288</v>
      </c>
      <c r="O215" s="1149">
        <v>93.956800000000001</v>
      </c>
      <c r="P215" s="1149">
        <v>94.7</v>
      </c>
    </row>
    <row r="216" spans="1:16" s="1683" customFormat="1" ht="9.6" customHeight="1" x14ac:dyDescent="0.2">
      <c r="A216" s="154" t="s">
        <v>2066</v>
      </c>
      <c r="B216" s="1691" t="s">
        <v>553</v>
      </c>
      <c r="C216" s="1147" t="s">
        <v>288</v>
      </c>
      <c r="D216" s="1147">
        <v>9.52</v>
      </c>
      <c r="E216" s="1146" t="s">
        <v>288</v>
      </c>
      <c r="F216" s="1147">
        <v>6.6609199681544995</v>
      </c>
      <c r="G216" s="1147">
        <v>187.77</v>
      </c>
      <c r="H216" s="1147">
        <v>87.37</v>
      </c>
      <c r="I216" s="1147">
        <v>202.37</v>
      </c>
      <c r="J216" s="1147">
        <v>185.67</v>
      </c>
      <c r="K216" s="1148">
        <v>4607</v>
      </c>
      <c r="L216" s="1148">
        <v>7305.7999999999993</v>
      </c>
      <c r="M216" s="1148">
        <v>39065.793945680001</v>
      </c>
      <c r="N216" s="1148" t="s">
        <v>288</v>
      </c>
      <c r="O216" s="1149">
        <v>94.9</v>
      </c>
      <c r="P216" s="1149">
        <v>95</v>
      </c>
    </row>
    <row r="217" spans="1:16" s="1683" customFormat="1" ht="9.6" customHeight="1" x14ac:dyDescent="0.2">
      <c r="A217" s="154" t="s">
        <v>2066</v>
      </c>
      <c r="B217" s="372" t="s">
        <v>547</v>
      </c>
      <c r="C217" s="1147" t="s">
        <v>288</v>
      </c>
      <c r="D217" s="1147">
        <v>9.1</v>
      </c>
      <c r="E217" s="1146" t="s">
        <v>288</v>
      </c>
      <c r="F217" s="1147">
        <v>6.9598855175087682</v>
      </c>
      <c r="G217" s="1147">
        <v>179.73</v>
      </c>
      <c r="H217" s="1147">
        <v>85.98</v>
      </c>
      <c r="I217" s="1147">
        <v>197.24</v>
      </c>
      <c r="J217" s="1147">
        <v>177.92</v>
      </c>
      <c r="K217" s="1148">
        <v>3905.07</v>
      </c>
      <c r="L217" s="1148">
        <v>6559.6000000000013</v>
      </c>
      <c r="M217" s="1148">
        <v>36476.406830829997</v>
      </c>
      <c r="N217" s="1148" t="s">
        <v>288</v>
      </c>
      <c r="O217" s="1149">
        <v>95.619</v>
      </c>
      <c r="P217" s="1149">
        <v>96</v>
      </c>
    </row>
    <row r="218" spans="1:16" s="1683" customFormat="1" ht="9.6" customHeight="1" x14ac:dyDescent="0.2">
      <c r="A218" s="154" t="s">
        <v>2066</v>
      </c>
      <c r="B218" s="1691" t="s">
        <v>554</v>
      </c>
      <c r="C218" s="1147" t="s">
        <v>288</v>
      </c>
      <c r="D218" s="1147">
        <v>8.91</v>
      </c>
      <c r="E218" s="1146" t="s">
        <v>288</v>
      </c>
      <c r="F218" s="1147">
        <v>7.2341355183939138</v>
      </c>
      <c r="G218" s="1147">
        <v>190.53</v>
      </c>
      <c r="H218" s="1147">
        <v>86.08</v>
      </c>
      <c r="I218" s="1147">
        <v>173.34</v>
      </c>
      <c r="J218" s="1147">
        <v>187.03</v>
      </c>
      <c r="K218" s="1148">
        <v>4356.62</v>
      </c>
      <c r="L218" s="1148">
        <v>6412.04</v>
      </c>
      <c r="M218" s="1148">
        <v>35808.734135990002</v>
      </c>
      <c r="N218" s="1148" t="s">
        <v>288</v>
      </c>
      <c r="O218" s="1149">
        <v>96.65</v>
      </c>
      <c r="P218" s="1149">
        <v>97</v>
      </c>
    </row>
    <row r="219" spans="1:16" s="1683" customFormat="1" ht="9.6" customHeight="1" x14ac:dyDescent="0.2">
      <c r="A219" s="154" t="s">
        <v>2066</v>
      </c>
      <c r="B219" s="372" t="s">
        <v>555</v>
      </c>
      <c r="C219" s="1147" t="s">
        <v>288</v>
      </c>
      <c r="D219" s="1147">
        <v>8.85</v>
      </c>
      <c r="E219" s="1146" t="s">
        <v>288</v>
      </c>
      <c r="F219" s="1147">
        <v>7.4767067592749425</v>
      </c>
      <c r="G219" s="1147">
        <v>210.96</v>
      </c>
      <c r="H219" s="1147">
        <v>84.75</v>
      </c>
      <c r="I219" s="1147">
        <v>147.69999999999999</v>
      </c>
      <c r="J219" s="1147">
        <v>205.02</v>
      </c>
      <c r="K219" s="1148">
        <v>5092.5600000000004</v>
      </c>
      <c r="L219" s="1148">
        <v>5885.2000000000007</v>
      </c>
      <c r="M219" s="1148">
        <v>33789.615167439995</v>
      </c>
      <c r="N219" s="1148" t="s">
        <v>288</v>
      </c>
      <c r="O219" s="1149">
        <v>97.636399999999995</v>
      </c>
      <c r="P219" s="1149">
        <v>98</v>
      </c>
    </row>
    <row r="220" spans="1:16" s="1683" customFormat="1" ht="9.6" customHeight="1" x14ac:dyDescent="0.2">
      <c r="A220" s="154" t="s">
        <v>2066</v>
      </c>
      <c r="B220" s="1691" t="s">
        <v>548</v>
      </c>
      <c r="C220" s="1147" t="s">
        <v>288</v>
      </c>
      <c r="D220" s="1147">
        <v>8.7100000000000009</v>
      </c>
      <c r="E220" s="1146" t="s">
        <v>288</v>
      </c>
      <c r="F220" s="1147">
        <v>7.6969543717689382</v>
      </c>
      <c r="G220" s="1147">
        <v>226.02</v>
      </c>
      <c r="H220" s="1147">
        <v>85.98</v>
      </c>
      <c r="I220" s="1147">
        <v>137.56</v>
      </c>
      <c r="J220" s="1147">
        <v>218.7</v>
      </c>
      <c r="K220" s="1148">
        <v>5365.19</v>
      </c>
      <c r="L220" s="1148">
        <v>5249</v>
      </c>
      <c r="M220" s="1148">
        <v>33747.739202849996</v>
      </c>
      <c r="N220" s="1148" t="s">
        <v>288</v>
      </c>
      <c r="O220" s="1149">
        <v>98.857100000000003</v>
      </c>
      <c r="P220" s="1149">
        <v>99</v>
      </c>
    </row>
    <row r="221" spans="1:16" s="1683" customFormat="1" ht="9.6" customHeight="1" x14ac:dyDescent="0.2">
      <c r="A221" s="154" t="s">
        <v>2066</v>
      </c>
      <c r="B221" s="372" t="s">
        <v>556</v>
      </c>
      <c r="C221" s="1147" t="s">
        <v>288</v>
      </c>
      <c r="D221" s="1147">
        <v>8.57</v>
      </c>
      <c r="E221" s="1146" t="s">
        <v>288</v>
      </c>
      <c r="F221" s="1147">
        <v>7.9212793503700807</v>
      </c>
      <c r="G221" s="1147">
        <v>222.56</v>
      </c>
      <c r="H221" s="1147">
        <v>100.99</v>
      </c>
      <c r="I221" s="1147">
        <v>140.91</v>
      </c>
      <c r="J221" s="1147">
        <v>216.01</v>
      </c>
      <c r="K221" s="1148">
        <v>5136.24</v>
      </c>
      <c r="L221" s="1148">
        <v>5387.3</v>
      </c>
      <c r="M221" s="1148">
        <v>32222.554245490002</v>
      </c>
      <c r="N221" s="1148" t="s">
        <v>288</v>
      </c>
      <c r="O221" s="1149">
        <v>99.869600000000005</v>
      </c>
      <c r="P221" s="1149">
        <v>100</v>
      </c>
    </row>
    <row r="222" spans="1:16" s="1683" customFormat="1" ht="9.6" customHeight="1" x14ac:dyDescent="0.2">
      <c r="A222" s="154" t="s">
        <v>2066</v>
      </c>
      <c r="B222" s="1691" t="s">
        <v>557</v>
      </c>
      <c r="C222" s="1147" t="s">
        <v>288</v>
      </c>
      <c r="D222" s="1147">
        <v>9.33</v>
      </c>
      <c r="E222" s="1146" t="s">
        <v>288</v>
      </c>
      <c r="F222" s="1147">
        <v>8.14</v>
      </c>
      <c r="G222" s="1147">
        <v>202.54</v>
      </c>
      <c r="H222" s="1147">
        <v>101</v>
      </c>
      <c r="I222" s="1147">
        <v>139.63</v>
      </c>
      <c r="J222" s="1147">
        <v>197.28</v>
      </c>
      <c r="K222" s="1148">
        <v>4630.18</v>
      </c>
      <c r="L222" s="1148">
        <v>4423</v>
      </c>
      <c r="M222" s="1148">
        <v>32266.974350679997</v>
      </c>
      <c r="N222" s="1148" t="s">
        <v>288</v>
      </c>
      <c r="O222" s="1149">
        <v>100.9474</v>
      </c>
      <c r="P222" s="1149">
        <v>101</v>
      </c>
    </row>
    <row r="223" spans="1:16" s="1683" customFormat="1" ht="9.6" customHeight="1" x14ac:dyDescent="0.2">
      <c r="A223" s="154" t="s">
        <v>2066</v>
      </c>
      <c r="B223" s="372" t="s">
        <v>549</v>
      </c>
      <c r="C223" s="1147" t="s">
        <v>288</v>
      </c>
      <c r="D223" s="1147">
        <v>8.7799999999999994</v>
      </c>
      <c r="E223" s="1146" t="s">
        <v>288</v>
      </c>
      <c r="F223" s="1147">
        <v>8.39</v>
      </c>
      <c r="G223" s="1147">
        <v>204.56</v>
      </c>
      <c r="H223" s="1147">
        <v>101</v>
      </c>
      <c r="I223" s="1147">
        <v>174.57</v>
      </c>
      <c r="J223" s="1147">
        <v>200.58</v>
      </c>
      <c r="K223" s="1148">
        <v>4643.9399999999996</v>
      </c>
      <c r="L223" s="1148">
        <v>5279.6</v>
      </c>
      <c r="M223" s="1148">
        <v>31142.722167050004</v>
      </c>
      <c r="N223" s="1148" t="s">
        <v>288</v>
      </c>
      <c r="O223" s="1149">
        <v>101.95</v>
      </c>
      <c r="P223" s="1149">
        <v>102</v>
      </c>
    </row>
    <row r="224" spans="1:16" s="1683" customFormat="1" ht="9.6" customHeight="1" x14ac:dyDescent="0.2">
      <c r="A224" s="154" t="s">
        <v>2066</v>
      </c>
      <c r="B224" s="1691" t="s">
        <v>558</v>
      </c>
      <c r="C224" s="1147">
        <v>9.24</v>
      </c>
      <c r="D224" s="1147" t="s">
        <v>288</v>
      </c>
      <c r="E224" s="1146">
        <v>8.64</v>
      </c>
      <c r="F224" s="1147" t="s">
        <v>288</v>
      </c>
      <c r="G224" s="1147">
        <v>195.32</v>
      </c>
      <c r="H224" s="1147">
        <v>101.12</v>
      </c>
      <c r="I224" s="1147">
        <v>192.47</v>
      </c>
      <c r="J224" s="1147">
        <v>192.68</v>
      </c>
      <c r="K224" s="1148">
        <v>3956</v>
      </c>
      <c r="L224" s="1148">
        <v>4706.8999999999996</v>
      </c>
      <c r="M224" s="1148">
        <v>30965.253730140001</v>
      </c>
      <c r="N224" s="1148" t="s">
        <v>288</v>
      </c>
      <c r="O224" s="1149">
        <v>102.88890000000001</v>
      </c>
      <c r="P224" s="1149">
        <v>103</v>
      </c>
    </row>
    <row r="225" spans="1:18" s="1683" customFormat="1" ht="9.6" customHeight="1" x14ac:dyDescent="0.2">
      <c r="A225" s="154" t="s">
        <v>2066</v>
      </c>
      <c r="B225" s="372" t="s">
        <v>559</v>
      </c>
      <c r="C225" s="1147">
        <v>9.94</v>
      </c>
      <c r="D225" s="1147" t="s">
        <v>288</v>
      </c>
      <c r="E225" s="1146">
        <v>8.84</v>
      </c>
      <c r="F225" s="1147" t="s">
        <v>288</v>
      </c>
      <c r="G225" s="1147" t="s">
        <v>288</v>
      </c>
      <c r="H225" s="1147" t="s">
        <v>288</v>
      </c>
      <c r="I225" s="1147" t="s">
        <v>288</v>
      </c>
      <c r="J225" s="1147" t="s">
        <v>288</v>
      </c>
      <c r="K225" s="1148">
        <v>4849.62</v>
      </c>
      <c r="L225" s="1148">
        <v>5631.8</v>
      </c>
      <c r="M225" s="1148">
        <v>29873.9</v>
      </c>
      <c r="N225" s="1148" t="s">
        <v>288</v>
      </c>
      <c r="O225" s="1149">
        <v>104.4286</v>
      </c>
      <c r="P225" s="1149">
        <v>104.5</v>
      </c>
    </row>
    <row r="226" spans="1:18" s="1683" customFormat="1" ht="9.6" customHeight="1" x14ac:dyDescent="0.2">
      <c r="A226" s="154" t="s">
        <v>2066</v>
      </c>
      <c r="B226" s="1691" t="s">
        <v>550</v>
      </c>
      <c r="C226" s="1147">
        <v>9.74</v>
      </c>
      <c r="D226" s="1147" t="s">
        <v>288</v>
      </c>
      <c r="E226" s="1146">
        <v>9.02</v>
      </c>
      <c r="F226" s="1147" t="s">
        <v>288</v>
      </c>
      <c r="G226" s="1147" t="s">
        <v>288</v>
      </c>
      <c r="H226" s="1147" t="s">
        <v>288</v>
      </c>
      <c r="I226" s="1147" t="s">
        <v>288</v>
      </c>
      <c r="J226" s="1147" t="s">
        <v>288</v>
      </c>
      <c r="K226" s="1148">
        <v>5031.53</v>
      </c>
      <c r="L226" s="1148">
        <v>4505.9000000000005</v>
      </c>
      <c r="M226" s="1148">
        <v>31203</v>
      </c>
      <c r="N226" s="1148">
        <v>24753.9</v>
      </c>
      <c r="O226" s="1149">
        <v>105.91670000000001</v>
      </c>
      <c r="P226" s="1149">
        <v>106</v>
      </c>
    </row>
    <row r="227" spans="1:18" ht="9.6" customHeight="1" x14ac:dyDescent="0.2">
      <c r="A227" s="1156" t="s">
        <v>2206</v>
      </c>
      <c r="B227" s="295" t="s">
        <v>552</v>
      </c>
      <c r="C227" s="1146">
        <v>9.69</v>
      </c>
      <c r="D227" s="1146" t="s">
        <v>288</v>
      </c>
      <c r="E227" s="1147">
        <v>9.1999999999999993</v>
      </c>
      <c r="F227" s="1147" t="s">
        <v>288</v>
      </c>
      <c r="G227" s="1147">
        <v>202.27</v>
      </c>
      <c r="H227" s="1147">
        <v>82.09</v>
      </c>
      <c r="I227" s="1147">
        <v>215.84</v>
      </c>
      <c r="J227" s="1147">
        <v>199.59740400000001</v>
      </c>
      <c r="K227" s="1148">
        <v>3715.6</v>
      </c>
      <c r="L227" s="1148">
        <v>5384.6</v>
      </c>
      <c r="M227" s="1148">
        <v>29732.070291949902</v>
      </c>
      <c r="N227" s="1148">
        <v>23374.252690129997</v>
      </c>
      <c r="O227" s="1149">
        <v>108.74</v>
      </c>
      <c r="P227" s="1149">
        <v>109</v>
      </c>
    </row>
    <row r="228" spans="1:18" ht="9.6" customHeight="1" x14ac:dyDescent="0.2">
      <c r="A228" s="1156" t="s">
        <v>2206</v>
      </c>
      <c r="B228" s="515" t="s">
        <v>553</v>
      </c>
      <c r="C228" s="1143">
        <v>9.92</v>
      </c>
      <c r="D228" s="1152" t="s">
        <v>288</v>
      </c>
      <c r="E228" s="1143">
        <v>9.24</v>
      </c>
      <c r="F228" s="1152" t="s">
        <v>288</v>
      </c>
      <c r="G228" s="1152">
        <v>198.19</v>
      </c>
      <c r="H228" s="1152">
        <v>81.430000000000007</v>
      </c>
      <c r="I228" s="1152">
        <v>191.34</v>
      </c>
      <c r="J228" s="1152">
        <v>194.78409199999999</v>
      </c>
      <c r="K228" s="1153">
        <v>3820.1</v>
      </c>
      <c r="L228" s="1153">
        <v>5247.6</v>
      </c>
      <c r="M228" s="1153">
        <v>29260.653703449811</v>
      </c>
      <c r="N228" s="1153">
        <v>23255.073009029999</v>
      </c>
      <c r="O228" s="1154">
        <v>109.434</v>
      </c>
      <c r="P228" s="1154">
        <v>109.5</v>
      </c>
    </row>
    <row r="229" spans="1:18" ht="9.6" customHeight="1" x14ac:dyDescent="0.2">
      <c r="A229" s="1156" t="s">
        <v>2206</v>
      </c>
      <c r="B229" s="295" t="s">
        <v>547</v>
      </c>
      <c r="C229" s="1146">
        <v>9.6300000000000008</v>
      </c>
      <c r="D229" s="1147" t="s">
        <v>288</v>
      </c>
      <c r="E229" s="1146">
        <v>9.2899999999999991</v>
      </c>
      <c r="F229" s="1147" t="s">
        <v>288</v>
      </c>
      <c r="G229" s="1147">
        <v>194.87</v>
      </c>
      <c r="H229" s="1147">
        <v>74.19</v>
      </c>
      <c r="I229" s="1147">
        <v>186.86</v>
      </c>
      <c r="J229" s="1147">
        <v>191.31217200000003</v>
      </c>
      <c r="K229" s="1148">
        <v>3296.9</v>
      </c>
      <c r="L229" s="1148">
        <v>5277.1</v>
      </c>
      <c r="M229" s="1148">
        <v>26911.02355403981</v>
      </c>
      <c r="N229" s="1148">
        <v>21059.777311500002</v>
      </c>
      <c r="O229" s="1149">
        <v>109.98139999999999</v>
      </c>
      <c r="P229" s="1149">
        <v>110.18089999999999</v>
      </c>
    </row>
    <row r="230" spans="1:18" ht="9.6" customHeight="1" x14ac:dyDescent="0.2">
      <c r="A230" s="1156" t="s">
        <v>2206</v>
      </c>
      <c r="B230" s="515" t="s">
        <v>554</v>
      </c>
      <c r="C230" s="1143">
        <v>9.93</v>
      </c>
      <c r="D230" s="1152" t="s">
        <v>288</v>
      </c>
      <c r="E230" s="1143">
        <v>9.3699999999999992</v>
      </c>
      <c r="F230" s="1152" t="s">
        <v>288</v>
      </c>
      <c r="G230" s="1152">
        <v>184.4</v>
      </c>
      <c r="H230" s="1152">
        <v>79.48</v>
      </c>
      <c r="I230" s="1152">
        <v>183.36</v>
      </c>
      <c r="J230" s="1152">
        <v>181.54612799999998</v>
      </c>
      <c r="K230" s="1153">
        <v>3430.2</v>
      </c>
      <c r="L230" s="1153">
        <v>5962.6999999999989</v>
      </c>
      <c r="M230" s="1153">
        <v>26481.029370339998</v>
      </c>
      <c r="N230" s="1153">
        <v>20710.222864769999</v>
      </c>
      <c r="O230" s="1154">
        <v>110.4798</v>
      </c>
      <c r="P230" s="1154">
        <v>110.5</v>
      </c>
    </row>
    <row r="231" spans="1:18" ht="9.6" customHeight="1" x14ac:dyDescent="0.2">
      <c r="A231" s="1156" t="s">
        <v>2206</v>
      </c>
      <c r="B231" s="295" t="s">
        <v>555</v>
      </c>
      <c r="C231" s="1146">
        <v>9.49</v>
      </c>
      <c r="D231" s="1146" t="s">
        <v>288</v>
      </c>
      <c r="E231" s="1146">
        <v>9.42</v>
      </c>
      <c r="F231" s="1147" t="s">
        <v>288</v>
      </c>
      <c r="G231" s="1147">
        <v>205.67</v>
      </c>
      <c r="H231" s="1147">
        <v>83.98</v>
      </c>
      <c r="I231" s="1147">
        <v>141.88999999999999</v>
      </c>
      <c r="J231" s="1147">
        <v>199.831996</v>
      </c>
      <c r="K231" s="1148">
        <v>3566.1</v>
      </c>
      <c r="L231" s="1148">
        <v>5890.9</v>
      </c>
      <c r="M231" s="1148">
        <v>24894.58181</v>
      </c>
      <c r="N231" s="1148">
        <v>19300.61138178</v>
      </c>
      <c r="O231" s="1149">
        <v>110.8623</v>
      </c>
      <c r="P231" s="1149">
        <v>110.5</v>
      </c>
    </row>
    <row r="232" spans="1:18" ht="9.6" customHeight="1" x14ac:dyDescent="0.2">
      <c r="A232" s="1156" t="s">
        <v>2206</v>
      </c>
      <c r="B232" s="515" t="s">
        <v>548</v>
      </c>
      <c r="C232" s="1143">
        <v>9.41</v>
      </c>
      <c r="D232" s="1152" t="s">
        <v>288</v>
      </c>
      <c r="E232" s="1143">
        <v>9.48</v>
      </c>
      <c r="F232" s="1152" t="s">
        <v>288</v>
      </c>
      <c r="G232" s="1152">
        <v>220.66</v>
      </c>
      <c r="H232" s="1152">
        <v>76.92</v>
      </c>
      <c r="I232" s="1152">
        <v>135.25</v>
      </c>
      <c r="J232" s="1152">
        <v>213.357204</v>
      </c>
      <c r="K232" s="1153">
        <v>3934.4</v>
      </c>
      <c r="L232" s="1153">
        <v>5232.5</v>
      </c>
      <c r="M232" s="1153">
        <v>27130.037090907601</v>
      </c>
      <c r="N232" s="1153">
        <v>21867.560341549299</v>
      </c>
      <c r="O232" s="1154">
        <v>110.15</v>
      </c>
      <c r="P232" s="1154">
        <v>110</v>
      </c>
    </row>
    <row r="233" spans="1:18" ht="9.6" customHeight="1" x14ac:dyDescent="0.2">
      <c r="A233" s="1156" t="s">
        <v>2206</v>
      </c>
      <c r="B233" s="295" t="s">
        <v>556</v>
      </c>
      <c r="C233" s="1146">
        <v>9.86</v>
      </c>
      <c r="D233" s="1147" t="s">
        <v>288</v>
      </c>
      <c r="E233" s="1146">
        <v>9.59</v>
      </c>
      <c r="F233" s="1147" t="s">
        <v>288</v>
      </c>
      <c r="G233" s="1147">
        <v>230.84069644936747</v>
      </c>
      <c r="H233" s="1147">
        <v>74.139910821102774</v>
      </c>
      <c r="I233" s="1147">
        <v>133.36605973198701</v>
      </c>
      <c r="J233" s="1147">
        <v>222.7031400711478</v>
      </c>
      <c r="K233" s="1148">
        <v>4197.3</v>
      </c>
      <c r="L233" s="1148">
        <v>5865</v>
      </c>
      <c r="M233" s="1148">
        <v>25111.91803434</v>
      </c>
      <c r="N233" s="1148">
        <v>19963.455985557106</v>
      </c>
      <c r="O233" s="1149">
        <v>110</v>
      </c>
      <c r="P233" s="1149">
        <v>110</v>
      </c>
    </row>
    <row r="234" spans="1:18" ht="9.6" customHeight="1" x14ac:dyDescent="0.2">
      <c r="A234" s="1156" t="s">
        <v>2206</v>
      </c>
      <c r="B234" s="515" t="s">
        <v>557</v>
      </c>
      <c r="C234" s="1143">
        <v>9.67</v>
      </c>
      <c r="D234" s="1152" t="s">
        <v>288</v>
      </c>
      <c r="E234" s="1143">
        <v>9.66</v>
      </c>
      <c r="F234" s="1152" t="s">
        <v>288</v>
      </c>
      <c r="G234" s="1152">
        <v>215.5002644883354</v>
      </c>
      <c r="H234" s="1152">
        <v>71.030678563385393</v>
      </c>
      <c r="I234" s="1152">
        <v>132.53873618793199</v>
      </c>
      <c r="J234" s="1152">
        <v>208.27683384221044</v>
      </c>
      <c r="K234" s="1153">
        <v>3871.5</v>
      </c>
      <c r="L234" s="1153">
        <v>5247.6</v>
      </c>
      <c r="M234" s="1153">
        <v>25966.569562549997</v>
      </c>
      <c r="N234" s="1153">
        <v>20780.033041955525</v>
      </c>
      <c r="O234" s="1154">
        <v>110</v>
      </c>
      <c r="P234" s="1154">
        <v>110</v>
      </c>
    </row>
    <row r="235" spans="1:18" ht="9.6" customHeight="1" x14ac:dyDescent="0.2">
      <c r="A235" s="1156" t="s">
        <v>2206</v>
      </c>
      <c r="B235" s="295" t="s">
        <v>549</v>
      </c>
      <c r="C235" s="1146">
        <v>9.81</v>
      </c>
      <c r="D235" s="1146" t="s">
        <v>288</v>
      </c>
      <c r="E235" s="1146">
        <v>9.69</v>
      </c>
      <c r="F235" s="1147" t="s">
        <v>288</v>
      </c>
      <c r="G235" s="1147">
        <v>219.31482155118852</v>
      </c>
      <c r="H235" s="1147">
        <v>80.729365356076926</v>
      </c>
      <c r="I235" s="1147">
        <v>169.10010011437399</v>
      </c>
      <c r="J235" s="1147">
        <v>213.5720565791122</v>
      </c>
      <c r="K235" s="1148">
        <v>3813.6</v>
      </c>
      <c r="L235" s="1148">
        <v>5108.8999999999996</v>
      </c>
      <c r="M235" s="1148">
        <v>25231.672381873188</v>
      </c>
      <c r="N235" s="1148">
        <v>19912.983762143409</v>
      </c>
      <c r="O235" s="1149">
        <v>110</v>
      </c>
      <c r="P235" s="1149">
        <v>110</v>
      </c>
    </row>
    <row r="236" spans="1:18" ht="9.6" customHeight="1" x14ac:dyDescent="0.2">
      <c r="A236" s="1156" t="s">
        <v>2206</v>
      </c>
      <c r="B236" s="515" t="s">
        <v>558</v>
      </c>
      <c r="C236" s="1143">
        <v>9.74</v>
      </c>
      <c r="D236" s="1152" t="s">
        <v>288</v>
      </c>
      <c r="E236" s="1143">
        <v>9.73</v>
      </c>
      <c r="F236" s="1152" t="s">
        <v>2387</v>
      </c>
      <c r="G236" s="1152">
        <v>197.4032076524939</v>
      </c>
      <c r="H236" s="1152">
        <v>72.341084373779779</v>
      </c>
      <c r="I236" s="1152">
        <v>209.55642258882901</v>
      </c>
      <c r="J236" s="1152">
        <v>194.54253263205229</v>
      </c>
      <c r="K236" s="1153">
        <v>2991.6</v>
      </c>
      <c r="L236" s="1153">
        <v>5995.7</v>
      </c>
      <c r="M236" s="1153">
        <v>25365.19975008352</v>
      </c>
      <c r="N236" s="1153">
        <v>19975.804236285614</v>
      </c>
      <c r="O236" s="1154">
        <v>110</v>
      </c>
      <c r="P236" s="1154">
        <v>110</v>
      </c>
    </row>
    <row r="237" spans="1:18" s="183" customFormat="1" ht="9.6" customHeight="1" x14ac:dyDescent="0.2">
      <c r="A237" s="1156" t="s">
        <v>2206</v>
      </c>
      <c r="B237" s="295" t="s">
        <v>559</v>
      </c>
      <c r="C237" s="1146">
        <v>9.89</v>
      </c>
      <c r="D237" s="1147" t="s">
        <v>288</v>
      </c>
      <c r="E237" s="1146">
        <v>9.73</v>
      </c>
      <c r="F237" s="1147" t="s">
        <v>288</v>
      </c>
      <c r="G237" s="1147">
        <v>195.36083768754332</v>
      </c>
      <c r="H237" s="1147">
        <v>80.93715967734515</v>
      </c>
      <c r="I237" s="1147">
        <v>222.29466768691299</v>
      </c>
      <c r="J237" s="1147">
        <v>193.38240984884453</v>
      </c>
      <c r="K237" s="1148">
        <v>4091.6</v>
      </c>
      <c r="L237" s="1148">
        <v>5524.4</v>
      </c>
      <c r="M237" s="1148">
        <v>24197.191641732054</v>
      </c>
      <c r="N237" s="1148">
        <v>18646.219141744496</v>
      </c>
      <c r="O237" s="1149">
        <v>115.3476</v>
      </c>
      <c r="P237" s="1149">
        <v>117.8733</v>
      </c>
    </row>
    <row r="238" spans="1:18" s="172" customFormat="1" ht="9.6" customHeight="1" x14ac:dyDescent="0.2">
      <c r="A238" s="1156" t="s">
        <v>2206</v>
      </c>
      <c r="B238" s="515" t="s">
        <v>550</v>
      </c>
      <c r="C238" s="1143">
        <v>9.7200000000000006</v>
      </c>
      <c r="D238" s="1152" t="s">
        <v>288</v>
      </c>
      <c r="E238" s="1143">
        <v>9.73</v>
      </c>
      <c r="F238" s="1152" t="s">
        <v>288</v>
      </c>
      <c r="G238" s="1152">
        <v>211.73365692922505</v>
      </c>
      <c r="H238" s="1152">
        <v>73.730078103857252</v>
      </c>
      <c r="I238" s="1152">
        <v>218.95677322800199</v>
      </c>
      <c r="J238" s="1152">
        <v>208.32697491517578</v>
      </c>
      <c r="K238" s="1153">
        <v>3745.9</v>
      </c>
      <c r="L238" s="1153">
        <v>5988.2</v>
      </c>
      <c r="M238" s="1153">
        <v>26714.236448445154</v>
      </c>
      <c r="N238" s="1153">
        <v>21686.335606135173</v>
      </c>
      <c r="O238" s="1154">
        <v>117.9787</v>
      </c>
      <c r="P238" s="1154">
        <v>118</v>
      </c>
    </row>
    <row r="239" spans="1:18" ht="9.6" customHeight="1" x14ac:dyDescent="0.2">
      <c r="A239" s="1155" t="s">
        <v>2478</v>
      </c>
      <c r="B239" s="515" t="s">
        <v>552</v>
      </c>
      <c r="C239" s="1143">
        <v>11.66</v>
      </c>
      <c r="D239" s="1152" t="s">
        <v>288</v>
      </c>
      <c r="E239" s="1144">
        <v>9.9</v>
      </c>
      <c r="F239" s="1152" t="s">
        <v>288</v>
      </c>
      <c r="G239" s="1152">
        <v>199.03119208097166</v>
      </c>
      <c r="H239" s="1152">
        <v>72.498045966018751</v>
      </c>
      <c r="I239" s="1152">
        <v>223.68872567377284</v>
      </c>
      <c r="J239" s="1152">
        <v>196.63626812224007</v>
      </c>
      <c r="K239" s="1153">
        <v>3823.7</v>
      </c>
      <c r="L239" s="1153">
        <v>5247.8</v>
      </c>
      <c r="M239" s="1153">
        <v>25823.587691788161</v>
      </c>
      <c r="N239" s="1153">
        <v>20393.664815119857</v>
      </c>
      <c r="O239" s="1154">
        <v>117.9789</v>
      </c>
      <c r="P239" s="1154">
        <v>118</v>
      </c>
      <c r="Q239" s="970"/>
      <c r="R239" s="970"/>
    </row>
    <row r="240" spans="1:18" ht="9.6" customHeight="1" x14ac:dyDescent="0.2">
      <c r="A240" s="1155" t="s">
        <v>2478</v>
      </c>
      <c r="B240" s="295" t="s">
        <v>553</v>
      </c>
      <c r="C240" s="1146">
        <v>10.49</v>
      </c>
      <c r="D240" s="1147" t="s">
        <v>288</v>
      </c>
      <c r="E240" s="1146">
        <v>9.9499999999999993</v>
      </c>
      <c r="F240" s="1147" t="s">
        <v>288</v>
      </c>
      <c r="G240" s="1147">
        <v>202.62950796816844</v>
      </c>
      <c r="H240" s="1147">
        <v>79.238579363878088</v>
      </c>
      <c r="I240" s="1147">
        <v>222.04927263053347</v>
      </c>
      <c r="J240" s="1147">
        <v>200.107189573933</v>
      </c>
      <c r="K240" s="1148">
        <v>4033.6</v>
      </c>
      <c r="L240" s="1148">
        <v>5271.5</v>
      </c>
      <c r="M240" s="1148">
        <v>25580.779565510002</v>
      </c>
      <c r="N240" s="1148">
        <v>20475.410147840001</v>
      </c>
      <c r="O240" s="1149">
        <v>118.73009999999999</v>
      </c>
      <c r="P240" s="1149">
        <v>120</v>
      </c>
      <c r="Q240" s="970"/>
      <c r="R240" s="970"/>
    </row>
    <row r="241" spans="1:18" ht="9.6" customHeight="1" x14ac:dyDescent="0.2">
      <c r="A241" s="1155" t="s">
        <v>2478</v>
      </c>
      <c r="B241" s="515" t="s">
        <v>547</v>
      </c>
      <c r="C241" s="1143">
        <v>9.92</v>
      </c>
      <c r="D241" s="1152" t="s">
        <v>288</v>
      </c>
      <c r="E241" s="1143">
        <v>9.9700000000000006</v>
      </c>
      <c r="F241" s="1152" t="s">
        <v>288</v>
      </c>
      <c r="G241" s="1152">
        <v>206.06999922895292</v>
      </c>
      <c r="H241" s="1152">
        <v>77.883128171781252</v>
      </c>
      <c r="I241" s="1152">
        <v>201.2829916409658</v>
      </c>
      <c r="J241" s="1152">
        <v>202.44119597806602</v>
      </c>
      <c r="K241" s="1153">
        <v>3800.5</v>
      </c>
      <c r="L241" s="1153">
        <v>5651.5</v>
      </c>
      <c r="M241" s="1153">
        <v>24862.966229161495</v>
      </c>
      <c r="N241" s="1153">
        <v>19861.451091429168</v>
      </c>
      <c r="O241" s="1154">
        <v>120</v>
      </c>
      <c r="P241" s="1154">
        <v>120</v>
      </c>
      <c r="Q241" s="970"/>
      <c r="R241" s="970"/>
    </row>
    <row r="242" spans="1:18" ht="9.6" customHeight="1" x14ac:dyDescent="0.2">
      <c r="A242" s="1155" t="s">
        <v>2478</v>
      </c>
      <c r="B242" s="295" t="s">
        <v>554</v>
      </c>
      <c r="C242" s="1146">
        <v>10.87</v>
      </c>
      <c r="D242" s="1146" t="s">
        <v>288</v>
      </c>
      <c r="E242" s="1146">
        <v>10.050000000000001</v>
      </c>
      <c r="F242" s="1147" t="s">
        <v>288</v>
      </c>
      <c r="G242" s="1147">
        <v>201.46525410111909</v>
      </c>
      <c r="H242" s="1147">
        <v>78.581161714634206</v>
      </c>
      <c r="I242" s="1147">
        <v>194.98722784240954</v>
      </c>
      <c r="J242" s="1147">
        <v>197.91024816430945</v>
      </c>
      <c r="K242" s="1148">
        <v>4130.9446654306312</v>
      </c>
      <c r="L242" s="1148">
        <v>6147.93</v>
      </c>
      <c r="M242" s="1148">
        <v>25486.715071439998</v>
      </c>
      <c r="N242" s="1148">
        <v>19829.949591539997</v>
      </c>
      <c r="O242" s="1149">
        <v>119.99939999999999</v>
      </c>
      <c r="P242" s="1149">
        <v>120</v>
      </c>
      <c r="Q242" s="970"/>
      <c r="R242" s="970"/>
    </row>
    <row r="243" spans="1:18" ht="9.6" customHeight="1" x14ac:dyDescent="0.2">
      <c r="A243" s="1155" t="s">
        <v>2478</v>
      </c>
      <c r="B243" s="515" t="s">
        <v>555</v>
      </c>
      <c r="C243" s="1151">
        <v>11.38</v>
      </c>
      <c r="D243" s="1151" t="s">
        <v>288</v>
      </c>
      <c r="E243" s="1151">
        <v>10.220000000000001</v>
      </c>
      <c r="F243" s="1152" t="s">
        <v>288</v>
      </c>
      <c r="G243" s="1152">
        <v>222.93821299751389</v>
      </c>
      <c r="H243" s="1152">
        <v>74.590248297429312</v>
      </c>
      <c r="I243" s="1152">
        <v>155.68827018929903</v>
      </c>
      <c r="J243" s="1152">
        <v>216.24558985409973</v>
      </c>
      <c r="K243" s="1153">
        <v>4118.7</v>
      </c>
      <c r="L243" s="1153">
        <v>5377.88</v>
      </c>
      <c r="M243" s="1153">
        <v>24350.21855053</v>
      </c>
      <c r="N243" s="1153">
        <v>18611.38046271</v>
      </c>
      <c r="O243" s="1154">
        <v>120</v>
      </c>
      <c r="P243" s="1154">
        <v>120</v>
      </c>
      <c r="Q243" s="970"/>
      <c r="R243" s="970"/>
    </row>
    <row r="244" spans="1:18" ht="9.6" customHeight="1" x14ac:dyDescent="0.2">
      <c r="A244" s="1155" t="s">
        <v>2478</v>
      </c>
      <c r="B244" s="295" t="s">
        <v>548</v>
      </c>
      <c r="C244" s="1146">
        <v>10.89</v>
      </c>
      <c r="D244" s="1146" t="s">
        <v>288</v>
      </c>
      <c r="E244" s="1146">
        <v>10.34</v>
      </c>
      <c r="F244" s="1147" t="s">
        <v>288</v>
      </c>
      <c r="G244" s="1147">
        <v>242.60665294815351</v>
      </c>
      <c r="H244" s="1147">
        <v>70.522371419278812</v>
      </c>
      <c r="I244" s="1147">
        <v>145.37065591317955</v>
      </c>
      <c r="J244" s="1147">
        <v>234.06645992296669</v>
      </c>
      <c r="K244" s="1148">
        <v>4626.38</v>
      </c>
      <c r="L244" s="1148">
        <v>6453.82</v>
      </c>
      <c r="M244" s="1148">
        <v>26214.802105800001</v>
      </c>
      <c r="N244" s="1148">
        <v>21394.726960620003</v>
      </c>
      <c r="O244" s="1149">
        <v>120</v>
      </c>
      <c r="P244" s="1149">
        <v>120</v>
      </c>
      <c r="Q244" s="1412"/>
      <c r="R244" s="1412"/>
    </row>
    <row r="245" spans="1:18" ht="9.6" customHeight="1" x14ac:dyDescent="0.2">
      <c r="A245" s="1155" t="s">
        <v>2478</v>
      </c>
      <c r="B245" s="515" t="s">
        <v>556</v>
      </c>
      <c r="C245" s="1151">
        <v>9.94</v>
      </c>
      <c r="D245" s="1151" t="s">
        <v>288</v>
      </c>
      <c r="E245" s="1151">
        <v>10.34</v>
      </c>
      <c r="F245" s="1152"/>
      <c r="G245" s="1152">
        <v>249.4972653235896</v>
      </c>
      <c r="H245" s="1152">
        <v>71.031511917941657</v>
      </c>
      <c r="I245" s="1152">
        <v>153.56840841838891</v>
      </c>
      <c r="J245" s="1152">
        <v>240.83885731334811</v>
      </c>
      <c r="K245" s="1153">
        <v>4432.0399999999991</v>
      </c>
      <c r="L245" s="1153">
        <v>6367.21</v>
      </c>
      <c r="M245" s="1153">
        <v>25305.643511310001</v>
      </c>
      <c r="N245" s="1153">
        <v>19962.356530950001</v>
      </c>
      <c r="O245" s="1154">
        <v>121.9091</v>
      </c>
      <c r="P245" s="1154">
        <v>122</v>
      </c>
      <c r="Q245" s="1412"/>
      <c r="R245" s="1412"/>
    </row>
    <row r="246" spans="1:18" ht="9.6" customHeight="1" x14ac:dyDescent="0.2">
      <c r="A246" s="1155" t="s">
        <v>2478</v>
      </c>
      <c r="B246" s="295" t="s">
        <v>557</v>
      </c>
      <c r="C246" s="1146">
        <v>9.32</v>
      </c>
      <c r="D246" s="1146" t="s">
        <v>288</v>
      </c>
      <c r="E246" s="1146">
        <v>10.31</v>
      </c>
      <c r="F246" s="1147" t="s">
        <v>288</v>
      </c>
      <c r="G246" s="1147">
        <v>228.01744719542086</v>
      </c>
      <c r="H246" s="1147">
        <v>68.289164638038955</v>
      </c>
      <c r="I246" s="1147">
        <v>147.42528853484879</v>
      </c>
      <c r="J246" s="1147">
        <v>220.48080601299588</v>
      </c>
      <c r="K246" s="1148">
        <v>3973.2</v>
      </c>
      <c r="L246" s="1148">
        <v>5941.09</v>
      </c>
      <c r="M246" s="1148">
        <v>26175.717991949998</v>
      </c>
      <c r="N246" s="1148">
        <v>20945.863226659996</v>
      </c>
      <c r="O246" s="1149">
        <v>122</v>
      </c>
      <c r="P246" s="1149">
        <v>122</v>
      </c>
      <c r="Q246" s="970"/>
      <c r="R246" s="970"/>
    </row>
    <row r="247" spans="1:18" s="172" customFormat="1" ht="9.6" customHeight="1" x14ac:dyDescent="0.2">
      <c r="A247" s="1155" t="s">
        <v>2478</v>
      </c>
      <c r="B247" s="515" t="s">
        <v>549</v>
      </c>
      <c r="C247" s="1152">
        <v>9.3534874760682083</v>
      </c>
      <c r="D247" s="1151" t="s">
        <v>288</v>
      </c>
      <c r="E247" s="1152">
        <v>10.261660447372918</v>
      </c>
      <c r="F247" s="1152" t="s">
        <v>288</v>
      </c>
      <c r="G247" s="1152">
        <v>234.72310754318849</v>
      </c>
      <c r="H247" s="1152">
        <v>73.76997500321697</v>
      </c>
      <c r="I247" s="1152">
        <v>202.86354591820182</v>
      </c>
      <c r="J247" s="1152">
        <v>229.12243730146781</v>
      </c>
      <c r="K247" s="1153">
        <v>4246.84</v>
      </c>
      <c r="L247" s="1153">
        <v>5896.66</v>
      </c>
      <c r="M247" s="1153">
        <v>25511.957881480004</v>
      </c>
      <c r="N247" s="1153">
        <v>20369.909566370003</v>
      </c>
      <c r="O247" s="1154">
        <v>122</v>
      </c>
      <c r="P247" s="1154">
        <v>122</v>
      </c>
      <c r="Q247" s="970"/>
      <c r="R247" s="970"/>
    </row>
    <row r="248" spans="1:18" s="173" customFormat="1" ht="9.6" customHeight="1" x14ac:dyDescent="0.2">
      <c r="A248" s="1155" t="s">
        <v>2478</v>
      </c>
      <c r="B248" s="295" t="s">
        <v>558</v>
      </c>
      <c r="C248" s="1147">
        <v>9.1660110048883396</v>
      </c>
      <c r="D248" s="1146" t="s">
        <v>288</v>
      </c>
      <c r="E248" s="1147">
        <v>10.2083836794414</v>
      </c>
      <c r="F248" s="1147" t="s">
        <v>288</v>
      </c>
      <c r="G248" s="1147">
        <v>205.77131899619934</v>
      </c>
      <c r="H248" s="1147">
        <v>68.188869566563767</v>
      </c>
      <c r="I248" s="1147">
        <v>214.898647936092</v>
      </c>
      <c r="J248" s="1147">
        <v>202.45285344065675</v>
      </c>
      <c r="K248" s="1148">
        <v>3031.1500000000005</v>
      </c>
      <c r="L248" s="1148">
        <v>5820.4</v>
      </c>
      <c r="M248" s="1148">
        <v>27429.666525189998</v>
      </c>
      <c r="N248" s="1148">
        <v>22025.499655229996</v>
      </c>
      <c r="O248" s="1149">
        <v>122</v>
      </c>
      <c r="P248" s="1149">
        <v>122</v>
      </c>
      <c r="Q248" s="970"/>
      <c r="R248" s="970"/>
    </row>
    <row r="249" spans="1:18" s="173" customFormat="1" ht="9.6" customHeight="1" x14ac:dyDescent="0.2">
      <c r="A249" s="1155" t="s">
        <v>2478</v>
      </c>
      <c r="B249" s="515" t="s">
        <v>559</v>
      </c>
      <c r="C249" s="1152">
        <v>9.0500000000000007</v>
      </c>
      <c r="D249" s="1151" t="s">
        <v>288</v>
      </c>
      <c r="E249" s="1152">
        <v>10.130000000000001</v>
      </c>
      <c r="F249" s="1152" t="s">
        <v>288</v>
      </c>
      <c r="G249" s="1152">
        <v>209.54522311465772</v>
      </c>
      <c r="H249" s="1152">
        <v>73.913262329800006</v>
      </c>
      <c r="I249" s="1152">
        <v>231.52788369963253</v>
      </c>
      <c r="J249" s="1152">
        <v>206.79838605325654</v>
      </c>
      <c r="K249" s="1153">
        <v>4732.1799999999994</v>
      </c>
      <c r="L249" s="1153">
        <v>5787.4</v>
      </c>
      <c r="M249" s="1153">
        <v>25798.152782170004</v>
      </c>
      <c r="N249" s="1153">
        <v>20520.936759040003</v>
      </c>
      <c r="O249" s="1154">
        <v>122.43259999999999</v>
      </c>
      <c r="P249" s="1154">
        <v>122.95269999999999</v>
      </c>
      <c r="Q249" s="970"/>
      <c r="R249" s="970"/>
    </row>
    <row r="250" spans="1:18" s="173" customFormat="1" ht="9.6" customHeight="1" x14ac:dyDescent="0.2">
      <c r="A250" s="1155" t="s">
        <v>2478</v>
      </c>
      <c r="B250" s="295" t="s">
        <v>550</v>
      </c>
      <c r="C250" s="1147">
        <v>8.48</v>
      </c>
      <c r="D250" s="1146" t="s">
        <v>288</v>
      </c>
      <c r="E250" s="1147">
        <v>10.029999999999999</v>
      </c>
      <c r="F250" s="1147" t="s">
        <v>288</v>
      </c>
      <c r="G250" s="1147">
        <v>209.57897832353984</v>
      </c>
      <c r="H250" s="1147">
        <v>70.589911522162012</v>
      </c>
      <c r="I250" s="1147">
        <v>226.49771744776061</v>
      </c>
      <c r="J250" s="1147">
        <v>206.53758839388141</v>
      </c>
      <c r="K250" s="1148">
        <v>3350.2</v>
      </c>
      <c r="L250" s="1148">
        <v>4391.2</v>
      </c>
      <c r="M250" s="1148">
        <v>31772.008634359998</v>
      </c>
      <c r="N250" s="1148">
        <v>26739.961591239997</v>
      </c>
      <c r="O250" s="1149">
        <v>122.84739999999999</v>
      </c>
      <c r="P250" s="1149">
        <v>122.7735</v>
      </c>
      <c r="Q250" s="970"/>
      <c r="R250" s="970"/>
    </row>
    <row r="251" spans="1:18" ht="9.6" customHeight="1" x14ac:dyDescent="0.2">
      <c r="A251" s="1156" t="s">
        <v>2729</v>
      </c>
      <c r="B251" s="295" t="s">
        <v>552</v>
      </c>
      <c r="C251" s="1147">
        <v>8.5500000000000007</v>
      </c>
      <c r="D251" s="1146" t="s">
        <v>288</v>
      </c>
      <c r="E251" s="1147">
        <v>9.77</v>
      </c>
      <c r="F251" s="1147" t="s">
        <v>288</v>
      </c>
      <c r="G251" s="1147">
        <v>222.421616</v>
      </c>
      <c r="H251" s="1147">
        <v>70.19</v>
      </c>
      <c r="I251" s="1147">
        <v>201.14</v>
      </c>
      <c r="J251" s="1147">
        <f t="shared" ref="J251:J257" si="1">(G251*93.28+H251*2.68+4.04*I251)/100</f>
        <v>217.48203140480001</v>
      </c>
      <c r="K251" s="1148">
        <v>4779.3999999999996</v>
      </c>
      <c r="L251" s="1148">
        <v>6270.5</v>
      </c>
      <c r="M251" s="1148">
        <v>29799.750602410004</v>
      </c>
      <c r="N251" s="1148">
        <v>24779.071474270004</v>
      </c>
      <c r="O251" s="1149">
        <v>121.9147</v>
      </c>
      <c r="P251" s="1149">
        <v>122.5488</v>
      </c>
    </row>
    <row r="252" spans="1:18" s="1437" customFormat="1" ht="9.6" customHeight="1" x14ac:dyDescent="0.2">
      <c r="A252" s="1156" t="s">
        <v>2729</v>
      </c>
      <c r="B252" s="515" t="s">
        <v>553</v>
      </c>
      <c r="C252" s="1152">
        <v>8.2899999999999991</v>
      </c>
      <c r="D252" s="1151" t="s">
        <v>288</v>
      </c>
      <c r="E252" s="1152">
        <v>9.58</v>
      </c>
      <c r="F252" s="1152" t="s">
        <v>288</v>
      </c>
      <c r="G252" s="1152">
        <v>210.96214799999998</v>
      </c>
      <c r="H252" s="1152">
        <v>68.114723989105755</v>
      </c>
      <c r="I252" s="1152">
        <v>251.86734990544579</v>
      </c>
      <c r="J252" s="1152">
        <f t="shared" si="1"/>
        <v>208.78640719348806</v>
      </c>
      <c r="K252" s="1153">
        <v>3884.4</v>
      </c>
      <c r="L252" s="1153">
        <v>5222.7</v>
      </c>
      <c r="M252" s="1153">
        <v>31166.218970630001</v>
      </c>
      <c r="N252" s="1153">
        <v>26173.729615820001</v>
      </c>
      <c r="O252" s="1154">
        <v>121.6721</v>
      </c>
      <c r="P252" s="1154">
        <v>121.6484</v>
      </c>
    </row>
    <row r="253" spans="1:18" s="1465" customFormat="1" ht="9.6" customHeight="1" x14ac:dyDescent="0.2">
      <c r="A253" s="1156" t="s">
        <v>2729</v>
      </c>
      <c r="B253" s="295" t="s">
        <v>547</v>
      </c>
      <c r="C253" s="1147">
        <v>8.36</v>
      </c>
      <c r="D253" s="1146" t="s">
        <v>288</v>
      </c>
      <c r="E253" s="1147">
        <v>9.4499999999999993</v>
      </c>
      <c r="F253" s="1147" t="s">
        <v>288</v>
      </c>
      <c r="G253" s="1147">
        <v>213.72986880903184</v>
      </c>
      <c r="H253" s="1147">
        <v>67.384687026744217</v>
      </c>
      <c r="I253" s="1147">
        <v>225.30018193691012</v>
      </c>
      <c r="J253" s="1147">
        <f t="shared" si="1"/>
        <v>210.27525858763286</v>
      </c>
      <c r="K253" s="1148">
        <v>3607.3</v>
      </c>
      <c r="L253" s="1148">
        <v>6212.1</v>
      </c>
      <c r="M253" s="1148">
        <v>31426.811970420007</v>
      </c>
      <c r="N253" s="1148">
        <v>26603.656553200006</v>
      </c>
      <c r="O253" s="1149">
        <v>121.74299999999999</v>
      </c>
      <c r="P253" s="1149">
        <v>121.8008</v>
      </c>
    </row>
    <row r="254" spans="1:18" s="183" customFormat="1" ht="9.6" customHeight="1" x14ac:dyDescent="0.2">
      <c r="A254" s="1156" t="s">
        <v>2729</v>
      </c>
      <c r="B254" s="515" t="s">
        <v>554</v>
      </c>
      <c r="C254" s="1152">
        <v>8.17</v>
      </c>
      <c r="D254" s="1151" t="s">
        <v>288</v>
      </c>
      <c r="E254" s="1152">
        <v>9.2200000000000006</v>
      </c>
      <c r="F254" s="1152" t="s">
        <v>288</v>
      </c>
      <c r="G254" s="1152">
        <v>207.16141833763791</v>
      </c>
      <c r="H254" s="1152">
        <v>66.997380353258549</v>
      </c>
      <c r="I254" s="1152">
        <v>214.8473762700346</v>
      </c>
      <c r="J254" s="1152">
        <f t="shared" si="1"/>
        <v>203.71553482012536</v>
      </c>
      <c r="K254" s="1153">
        <v>3812.8</v>
      </c>
      <c r="L254" s="1153">
        <v>5621.5</v>
      </c>
      <c r="M254" s="1153">
        <v>32335.200000000001</v>
      </c>
      <c r="N254" s="1153">
        <v>27577.7</v>
      </c>
      <c r="O254" s="1154">
        <v>122.2859</v>
      </c>
      <c r="P254" s="1154">
        <v>122.0312</v>
      </c>
    </row>
    <row r="255" spans="1:18" s="183" customFormat="1" ht="9.6" customHeight="1" x14ac:dyDescent="0.2">
      <c r="A255" s="1156" t="s">
        <v>2729</v>
      </c>
      <c r="B255" s="295" t="s">
        <v>555</v>
      </c>
      <c r="C255" s="1147">
        <v>8.2899999999999991</v>
      </c>
      <c r="D255" s="1146" t="s">
        <v>288</v>
      </c>
      <c r="E255" s="1147">
        <v>8.9600000000000009</v>
      </c>
      <c r="F255" s="1147" t="s">
        <v>288</v>
      </c>
      <c r="G255" s="1147">
        <v>227.78879237964654</v>
      </c>
      <c r="H255" s="1147">
        <v>66.141662741006456</v>
      </c>
      <c r="I255" s="1147">
        <v>161.35096634134658</v>
      </c>
      <c r="J255" s="1147">
        <f t="shared" si="1"/>
        <v>220.77256113338368</v>
      </c>
      <c r="K255" s="1148">
        <v>4036.3</v>
      </c>
      <c r="L255" s="1148">
        <v>5799.1</v>
      </c>
      <c r="M255" s="1148">
        <v>31093.43</v>
      </c>
      <c r="N255" s="1148">
        <v>26395.759999999998</v>
      </c>
      <c r="O255" s="1149">
        <v>122.3133</v>
      </c>
      <c r="P255" s="1149">
        <v>122.2683</v>
      </c>
    </row>
    <row r="256" spans="1:18" ht="9.6" customHeight="1" x14ac:dyDescent="0.2">
      <c r="A256" s="1156" t="s">
        <v>2729</v>
      </c>
      <c r="B256" s="221" t="s">
        <v>548</v>
      </c>
      <c r="C256" s="1152">
        <v>8.49</v>
      </c>
      <c r="D256" s="1151" t="s">
        <v>288</v>
      </c>
      <c r="E256" s="1152">
        <v>8.77</v>
      </c>
      <c r="F256" s="1152" t="s">
        <v>288</v>
      </c>
      <c r="G256" s="1152">
        <v>240.43169537294219</v>
      </c>
      <c r="H256" s="1152">
        <v>68.345583703273732</v>
      </c>
      <c r="I256" s="1152">
        <v>147.76630243780968</v>
      </c>
      <c r="J256" s="1152">
        <f t="shared" si="1"/>
        <v>232.07610570561573</v>
      </c>
      <c r="K256" s="1153">
        <v>4281.3</v>
      </c>
      <c r="L256" s="1153">
        <v>6449.9</v>
      </c>
      <c r="M256" s="1153">
        <v>33189.760000000002</v>
      </c>
      <c r="N256" s="1153">
        <v>28589.25</v>
      </c>
      <c r="O256" s="1154">
        <v>122.2889</v>
      </c>
      <c r="P256" s="1154">
        <v>122.31399999999999</v>
      </c>
    </row>
    <row r="257" spans="1:16" ht="9.6" customHeight="1" x14ac:dyDescent="0.2">
      <c r="A257" s="1156" t="s">
        <v>2729</v>
      </c>
      <c r="B257" s="545" t="s">
        <v>556</v>
      </c>
      <c r="C257" s="1147">
        <v>8.58</v>
      </c>
      <c r="D257" s="1146" t="s">
        <v>288</v>
      </c>
      <c r="E257" s="1147">
        <v>8.66</v>
      </c>
      <c r="F257" s="1147" t="s">
        <v>288</v>
      </c>
      <c r="G257" s="1147">
        <v>255.58844000000002</v>
      </c>
      <c r="H257" s="1147">
        <v>67.793283603115825</v>
      </c>
      <c r="I257" s="1147">
        <v>159.38532188126965</v>
      </c>
      <c r="J257" s="1147">
        <f t="shared" si="1"/>
        <v>246.66892383656679</v>
      </c>
      <c r="K257" s="1148">
        <v>4389.7</v>
      </c>
      <c r="L257" s="1148">
        <v>6527.7</v>
      </c>
      <c r="M257" s="1148">
        <v>33178.629999999997</v>
      </c>
      <c r="N257" s="1148">
        <v>28682.77</v>
      </c>
      <c r="O257" s="1149">
        <v>122.3207</v>
      </c>
      <c r="P257" s="1149">
        <v>122.3441</v>
      </c>
    </row>
    <row r="258" spans="1:16" ht="9.6" customHeight="1" x14ac:dyDescent="0.2">
      <c r="A258" s="1156" t="s">
        <v>2729</v>
      </c>
      <c r="B258" s="1600" t="s">
        <v>557</v>
      </c>
      <c r="C258" s="1601">
        <v>9.1300000000000008</v>
      </c>
      <c r="D258" s="1602" t="s">
        <v>288</v>
      </c>
      <c r="E258" s="1601">
        <v>8.65</v>
      </c>
      <c r="F258" s="1152" t="s">
        <v>288</v>
      </c>
      <c r="G258" s="1152" t="s">
        <v>288</v>
      </c>
      <c r="H258" s="1152" t="s">
        <v>288</v>
      </c>
      <c r="I258" s="1152" t="s">
        <v>288</v>
      </c>
      <c r="J258" s="1152" t="s">
        <v>288</v>
      </c>
      <c r="K258" s="1603">
        <v>3499.6</v>
      </c>
      <c r="L258" s="1603">
        <v>6623.6</v>
      </c>
      <c r="M258" s="1603">
        <v>35109.18</v>
      </c>
      <c r="N258" s="1603">
        <v>30356.98</v>
      </c>
      <c r="O258" s="1604">
        <v>122.301</v>
      </c>
      <c r="P258" s="1604">
        <v>122.30029999999999</v>
      </c>
    </row>
    <row r="259" spans="1:16" ht="9.6" customHeight="1" thickBot="1" x14ac:dyDescent="0.25">
      <c r="A259" s="1156" t="s">
        <v>2729</v>
      </c>
      <c r="B259" s="1605" t="s">
        <v>549</v>
      </c>
      <c r="C259" s="1606">
        <v>8.7100000000000009</v>
      </c>
      <c r="D259" s="1607" t="s">
        <v>288</v>
      </c>
      <c r="E259" s="1606">
        <v>8.6</v>
      </c>
      <c r="F259" s="1606" t="s">
        <v>288</v>
      </c>
      <c r="G259" s="1606" t="s">
        <v>288</v>
      </c>
      <c r="H259" s="1606" t="s">
        <v>288</v>
      </c>
      <c r="I259" s="1606" t="s">
        <v>288</v>
      </c>
      <c r="J259" s="1606" t="s">
        <v>288</v>
      </c>
      <c r="K259" s="1608">
        <v>3489.9</v>
      </c>
      <c r="L259" s="1608">
        <v>5826.2</v>
      </c>
      <c r="M259" s="1608">
        <v>34116.639999999999</v>
      </c>
      <c r="N259" s="1608">
        <v>29501.22</v>
      </c>
      <c r="O259" s="1609">
        <v>122.577</v>
      </c>
      <c r="P259" s="1609">
        <v>122.75</v>
      </c>
    </row>
    <row r="260" spans="1:16" ht="9.9499999999999993" customHeight="1" x14ac:dyDescent="0.2">
      <c r="B260" s="1460" t="s">
        <v>2768</v>
      </c>
      <c r="C260" s="2385" t="s">
        <v>1277</v>
      </c>
      <c r="D260" s="2385"/>
      <c r="E260" s="2385"/>
      <c r="F260" s="2385"/>
      <c r="G260" s="2385"/>
      <c r="H260" s="1157"/>
      <c r="I260" s="1157"/>
      <c r="J260" s="1157"/>
      <c r="K260" s="1460" t="s">
        <v>2767</v>
      </c>
      <c r="L260" s="2380" t="s">
        <v>2741</v>
      </c>
      <c r="M260" s="2380"/>
      <c r="N260" s="2380"/>
      <c r="O260" s="2380"/>
      <c r="P260" s="2380"/>
    </row>
    <row r="261" spans="1:16" ht="9" customHeight="1" x14ac:dyDescent="0.2">
      <c r="B261" s="1158"/>
      <c r="C261" s="2386" t="s">
        <v>1276</v>
      </c>
      <c r="D261" s="2386"/>
      <c r="E261" s="2386"/>
      <c r="F261" s="2386"/>
      <c r="G261" s="2386"/>
      <c r="H261" s="2386"/>
      <c r="I261" s="2386"/>
      <c r="J261" s="2386"/>
      <c r="K261" s="1159"/>
      <c r="L261" s="2383" t="s">
        <v>2742</v>
      </c>
      <c r="M261" s="2383"/>
      <c r="N261" s="2383"/>
      <c r="O261" s="2383"/>
      <c r="P261" s="2383"/>
    </row>
    <row r="262" spans="1:16" ht="10.5" customHeight="1" x14ac:dyDescent="0.2">
      <c r="B262" s="1158"/>
      <c r="C262" s="1160" t="s">
        <v>2164</v>
      </c>
      <c r="D262" s="1160"/>
      <c r="E262" s="1160"/>
      <c r="F262" s="1160"/>
      <c r="G262" s="1160"/>
      <c r="H262" s="1160"/>
      <c r="I262" s="1362"/>
      <c r="J262" s="1161"/>
      <c r="L262" s="2383" t="s">
        <v>2743</v>
      </c>
      <c r="M262" s="2383"/>
      <c r="N262" s="2383"/>
      <c r="O262" s="2383"/>
      <c r="P262" s="2383"/>
    </row>
    <row r="263" spans="1:16" ht="10.5" customHeight="1" x14ac:dyDescent="0.2">
      <c r="B263" s="1158" t="s">
        <v>621</v>
      </c>
      <c r="C263" s="1165" t="s">
        <v>1334</v>
      </c>
      <c r="D263" s="1158"/>
      <c r="E263" s="1158"/>
      <c r="F263" s="1158"/>
      <c r="G263" s="1158"/>
      <c r="H263" s="1158"/>
      <c r="I263" s="1163"/>
      <c r="J263" s="1164"/>
      <c r="K263" s="1162"/>
      <c r="L263" s="2361" t="s">
        <v>2576</v>
      </c>
      <c r="M263" s="2361"/>
      <c r="N263" s="2361"/>
      <c r="O263" s="2361"/>
      <c r="P263" s="2361"/>
    </row>
    <row r="264" spans="1:16" ht="9" customHeight="1" x14ac:dyDescent="0.2">
      <c r="B264" s="1461" t="s">
        <v>2769</v>
      </c>
      <c r="C264" s="2362" t="s">
        <v>190</v>
      </c>
      <c r="D264" s="2362"/>
      <c r="E264" s="1165"/>
      <c r="F264" s="1168" t="s">
        <v>1294</v>
      </c>
      <c r="G264" s="1160"/>
      <c r="H264" s="1160"/>
      <c r="I264" s="1160"/>
      <c r="J264" s="1166"/>
      <c r="K264" s="1159"/>
      <c r="L264" s="2361" t="s">
        <v>2577</v>
      </c>
      <c r="M264" s="2361"/>
      <c r="N264" s="2361"/>
      <c r="O264" s="2361"/>
      <c r="P264" s="2361"/>
    </row>
    <row r="265" spans="1:16" ht="10.5" customHeight="1" x14ac:dyDescent="0.2">
      <c r="B265" s="1167"/>
      <c r="C265" s="2362"/>
      <c r="D265" s="2362"/>
      <c r="E265" s="1165"/>
      <c r="F265" s="1466"/>
      <c r="G265" s="1467"/>
      <c r="H265" s="1171"/>
      <c r="I265" s="1468"/>
      <c r="J265" s="1164"/>
      <c r="K265" s="1169"/>
      <c r="L265" s="1428" t="s">
        <v>2578</v>
      </c>
      <c r="M265" s="1428"/>
      <c r="N265" s="1428"/>
      <c r="O265" s="1428"/>
      <c r="P265" s="1428"/>
    </row>
    <row r="266" spans="1:16" x14ac:dyDescent="0.2">
      <c r="B266" s="1158"/>
      <c r="C266" s="1158"/>
      <c r="D266" s="1158"/>
      <c r="E266" s="1165"/>
      <c r="F266" s="1171"/>
      <c r="G266" s="1467"/>
      <c r="H266" s="1171"/>
      <c r="I266" s="1171"/>
      <c r="J266" s="1164"/>
      <c r="K266" s="1461" t="s">
        <v>2766</v>
      </c>
      <c r="L266" s="1429" t="s">
        <v>2573</v>
      </c>
      <c r="M266" s="1429"/>
      <c r="N266" s="1429"/>
      <c r="O266" s="1429"/>
      <c r="P266" s="1429"/>
    </row>
    <row r="267" spans="1:16" x14ac:dyDescent="0.2">
      <c r="B267" s="1158"/>
      <c r="C267" s="1061"/>
      <c r="D267" s="1158"/>
      <c r="E267" s="1158"/>
      <c r="F267" s="1171"/>
      <c r="G267" s="1171"/>
      <c r="H267" s="1171"/>
      <c r="I267" s="1171"/>
      <c r="J267" s="1164"/>
      <c r="K267" s="1169"/>
      <c r="L267" s="1430" t="s">
        <v>2572</v>
      </c>
      <c r="M267" s="1430"/>
      <c r="N267" s="1430" t="s">
        <v>2575</v>
      </c>
      <c r="O267" s="1430"/>
      <c r="P267" s="1430"/>
    </row>
    <row r="268" spans="1:16" x14ac:dyDescent="0.2">
      <c r="B268" s="1158"/>
      <c r="C268" s="839"/>
      <c r="D268" s="1158"/>
      <c r="E268" s="1158"/>
      <c r="F268" s="1158"/>
      <c r="G268" s="1158"/>
      <c r="H268" s="1158"/>
      <c r="I268" s="1171"/>
      <c r="J268" s="1164"/>
      <c r="K268" s="1421" t="s">
        <v>191</v>
      </c>
      <c r="L268" s="1431" t="s">
        <v>2574</v>
      </c>
      <c r="M268" s="1431"/>
      <c r="N268" s="1431"/>
      <c r="O268" s="1431"/>
      <c r="P268" s="1431"/>
    </row>
    <row r="269" spans="1:16" x14ac:dyDescent="0.2">
      <c r="D269" s="1174"/>
      <c r="E269" s="1174"/>
      <c r="F269" s="1174"/>
      <c r="G269" s="552"/>
      <c r="H269" s="552"/>
      <c r="I269" s="552"/>
      <c r="J269" s="552"/>
      <c r="K269" s="1172"/>
      <c r="L269" s="1173"/>
      <c r="M269" s="1170"/>
      <c r="N269" s="1171"/>
      <c r="P269" s="1420"/>
    </row>
    <row r="270" spans="1:16" x14ac:dyDescent="0.2">
      <c r="D270" s="1174"/>
      <c r="E270" s="1174"/>
      <c r="F270" s="1174"/>
      <c r="G270" s="552"/>
      <c r="H270" s="552"/>
      <c r="I270" s="552"/>
      <c r="J270" s="552"/>
      <c r="K270" s="1153"/>
      <c r="L270" s="1153"/>
      <c r="M270" s="1170"/>
      <c r="N270" s="1170"/>
      <c r="P270" s="1420"/>
    </row>
    <row r="271" spans="1:16" x14ac:dyDescent="0.2">
      <c r="D271" s="1174"/>
      <c r="E271" s="1174"/>
      <c r="F271" s="1174"/>
      <c r="G271" s="552"/>
      <c r="H271" s="552"/>
      <c r="I271" s="552"/>
      <c r="J271" s="552"/>
      <c r="K271" s="1172"/>
      <c r="L271" s="1173"/>
      <c r="M271" s="1170"/>
      <c r="N271" s="1170"/>
      <c r="O271" s="1170"/>
      <c r="P271" s="1420"/>
    </row>
    <row r="272" spans="1:16" x14ac:dyDescent="0.2">
      <c r="D272" s="1174"/>
      <c r="E272" s="1174"/>
      <c r="F272" s="1174"/>
      <c r="G272" s="1174"/>
      <c r="H272" s="1174"/>
      <c r="I272" s="1171"/>
      <c r="J272" s="1176"/>
      <c r="K272" s="1172"/>
      <c r="L272" s="1172"/>
      <c r="M272" s="1173"/>
      <c r="N272" s="1170"/>
      <c r="O272" s="1624"/>
      <c r="P272" s="1420"/>
    </row>
    <row r="273" spans="4:16" x14ac:dyDescent="0.2">
      <c r="D273" s="1174"/>
      <c r="E273" s="1174"/>
      <c r="F273" s="1174"/>
      <c r="G273" s="1174"/>
      <c r="H273" s="1174"/>
      <c r="I273" s="1171"/>
      <c r="J273" s="1175"/>
      <c r="K273" s="1172"/>
      <c r="L273" s="1172"/>
      <c r="M273" s="1173"/>
      <c r="N273" s="1170"/>
      <c r="O273" s="1624"/>
      <c r="P273" s="1420"/>
    </row>
    <row r="274" spans="4:16" x14ac:dyDescent="0.2">
      <c r="D274" s="1174"/>
      <c r="E274" s="1174"/>
      <c r="F274" s="1174"/>
      <c r="G274" s="1174"/>
      <c r="H274" s="1174"/>
      <c r="I274" s="1171"/>
      <c r="J274" s="1175"/>
      <c r="K274" s="1172"/>
      <c r="L274" s="1172"/>
      <c r="M274" s="1173"/>
      <c r="N274" s="1176"/>
      <c r="O274" s="1176"/>
      <c r="P274" s="1176"/>
    </row>
    <row r="275" spans="4:16" x14ac:dyDescent="0.2">
      <c r="D275" s="1174"/>
      <c r="E275" s="1174"/>
      <c r="F275" s="1174"/>
      <c r="G275" s="1174"/>
      <c r="H275" s="1174"/>
      <c r="I275" s="1171"/>
      <c r="J275" s="1175"/>
      <c r="K275" s="1172"/>
      <c r="L275" s="1172"/>
      <c r="M275" s="1173"/>
      <c r="N275" s="1176"/>
      <c r="O275" s="1176"/>
      <c r="P275" s="1176"/>
    </row>
    <row r="276" spans="4:16" x14ac:dyDescent="0.2">
      <c r="E276" s="552"/>
      <c r="F276" s="552"/>
      <c r="G276" s="552"/>
      <c r="H276" s="1174"/>
      <c r="I276" s="1171"/>
    </row>
    <row r="277" spans="4:16" x14ac:dyDescent="0.2">
      <c r="E277" s="552"/>
      <c r="F277" s="552"/>
      <c r="G277" s="552"/>
      <c r="H277" s="1174"/>
      <c r="I277" s="1171"/>
    </row>
    <row r="278" spans="4:16" x14ac:dyDescent="0.2">
      <c r="E278" s="552"/>
      <c r="F278" s="552"/>
      <c r="G278" s="552"/>
      <c r="H278" s="1174"/>
      <c r="I278" s="1171"/>
    </row>
    <row r="279" spans="4:16" x14ac:dyDescent="0.2">
      <c r="E279" s="552"/>
      <c r="F279" s="552"/>
      <c r="G279" s="552"/>
      <c r="H279" s="1174"/>
      <c r="I279" s="1171"/>
    </row>
    <row r="280" spans="4:16" x14ac:dyDescent="0.2">
      <c r="E280" s="552"/>
      <c r="F280" s="552"/>
      <c r="G280" s="552"/>
      <c r="H280" s="1174"/>
      <c r="I280" s="1171"/>
    </row>
    <row r="281" spans="4:16" x14ac:dyDescent="0.2">
      <c r="E281" s="552"/>
      <c r="F281" s="552"/>
      <c r="G281" s="552"/>
      <c r="H281" s="1174"/>
      <c r="I281" s="1171"/>
    </row>
    <row r="282" spans="4:16" x14ac:dyDescent="0.2">
      <c r="H282" s="552"/>
      <c r="I282" s="1171"/>
    </row>
    <row r="283" spans="4:16" x14ac:dyDescent="0.2">
      <c r="H283" s="552"/>
      <c r="I283" s="1171"/>
    </row>
  </sheetData>
  <customSheetViews>
    <customSheetView guid="{A374FC54-96E3-45F0-9C12-8450400C12DF}" scale="130">
      <pane xSplit="1" ySplit="7" topLeftCell="G43" activePane="bottomRight" state="frozen"/>
      <selection pane="bottomRight" activeCell="P53" sqref="P53"/>
      <pageMargins left="0.43307086614173201" right="0.23622047244094499" top="0.511811023622047" bottom="0.511811023622047" header="0" footer="0.183070866"/>
      <pageSetup paperSize="132" firstPageNumber="10" orientation="portrait" useFirstPageNumber="1" r:id="rId1"/>
      <headerFooter alignWithMargins="0">
        <oddFooter>&amp;C&amp;"Times New Roman,Regular"&amp;8&amp;P</oddFooter>
      </headerFooter>
    </customSheetView>
  </customSheetViews>
  <mergeCells count="36">
    <mergeCell ref="A3:A7"/>
    <mergeCell ref="G1:J1"/>
    <mergeCell ref="C260:G260"/>
    <mergeCell ref="C261:J261"/>
    <mergeCell ref="C265:D265"/>
    <mergeCell ref="F5:F6"/>
    <mergeCell ref="L260:P260"/>
    <mergeCell ref="L263:P263"/>
    <mergeCell ref="N5:N6"/>
    <mergeCell ref="L5:L6"/>
    <mergeCell ref="L261:P261"/>
    <mergeCell ref="L262:P262"/>
    <mergeCell ref="L264:P264"/>
    <mergeCell ref="C264:D264"/>
    <mergeCell ref="C3:F4"/>
    <mergeCell ref="G2:J2"/>
    <mergeCell ref="G3:J3"/>
    <mergeCell ref="D5:D6"/>
    <mergeCell ref="C5:C6"/>
    <mergeCell ref="E5:E6"/>
    <mergeCell ref="H5:H6"/>
    <mergeCell ref="O3:P3"/>
    <mergeCell ref="M4:N4"/>
    <mergeCell ref="O4:P4"/>
    <mergeCell ref="M5:M6"/>
    <mergeCell ref="G4:J4"/>
    <mergeCell ref="J5:J6"/>
    <mergeCell ref="I5:I6"/>
    <mergeCell ref="M3:N3"/>
    <mergeCell ref="K5:K6"/>
    <mergeCell ref="B3:B7"/>
    <mergeCell ref="G5:G6"/>
    <mergeCell ref="K4:L4"/>
    <mergeCell ref="K3:L3"/>
    <mergeCell ref="P5:P6"/>
    <mergeCell ref="O5:O6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53"/>
  <sheetViews>
    <sheetView zoomScale="160" zoomScaleNormal="160" workbookViewId="0">
      <pane xSplit="1" ySplit="8" topLeftCell="B231" activePane="bottomRight" state="frozen"/>
      <selection activeCell="Q6" sqref="Q6"/>
      <selection pane="topRight" activeCell="Q6" sqref="Q6"/>
      <selection pane="bottomLeft" activeCell="Q6" sqref="Q6"/>
      <selection pane="bottomRight" activeCell="A237" sqref="A237"/>
    </sheetView>
  </sheetViews>
  <sheetFormatPr defaultColWidth="9.140625" defaultRowHeight="11.25" x14ac:dyDescent="0.2"/>
  <cols>
    <col min="1" max="2" width="8.5703125" style="8" customWidth="1"/>
    <col min="3" max="3" width="9.5703125" style="8" customWidth="1"/>
    <col min="4" max="4" width="10.140625" style="8" customWidth="1"/>
    <col min="5" max="5" width="12" style="8" bestFit="1" customWidth="1"/>
    <col min="6" max="6" width="10.85546875" style="8" customWidth="1"/>
    <col min="7" max="7" width="10.28515625" style="8" customWidth="1"/>
    <col min="8" max="8" width="8" style="8" customWidth="1"/>
    <col min="9" max="9" width="9.140625" style="8"/>
    <col min="10" max="10" width="9.140625" style="8" customWidth="1"/>
    <col min="11" max="11" width="10" style="8" customWidth="1"/>
    <col min="12" max="12" width="10.28515625" style="8" customWidth="1"/>
    <col min="13" max="13" width="10.5703125" style="8" customWidth="1"/>
    <col min="14" max="14" width="9.28515625" style="8" customWidth="1"/>
    <col min="15" max="15" width="9.140625" style="8" customWidth="1"/>
    <col min="16" max="16" width="9.28515625" style="8" customWidth="1"/>
    <col min="17" max="16384" width="9.140625" style="8"/>
  </cols>
  <sheetData>
    <row r="1" spans="1:16" s="30" customFormat="1" ht="15" customHeight="1" x14ac:dyDescent="0.25">
      <c r="A1" s="2397"/>
      <c r="B1" s="2397"/>
      <c r="C1" s="2397"/>
      <c r="D1" s="2397"/>
      <c r="E1" s="2397"/>
      <c r="F1" s="2397"/>
      <c r="G1" s="2397"/>
      <c r="H1" s="2389" t="s">
        <v>367</v>
      </c>
      <c r="I1" s="2389"/>
      <c r="J1" s="2392" t="s">
        <v>1317</v>
      </c>
      <c r="K1" s="2392"/>
      <c r="L1" s="31"/>
      <c r="M1" s="31"/>
      <c r="N1" s="31"/>
      <c r="O1" s="31"/>
      <c r="P1" s="1686" t="s">
        <v>193</v>
      </c>
    </row>
    <row r="2" spans="1:16" ht="12" customHeight="1" x14ac:dyDescent="0.2">
      <c r="A2" s="40"/>
      <c r="B2" s="40"/>
      <c r="P2" s="1687" t="s">
        <v>24</v>
      </c>
    </row>
    <row r="3" spans="1:16" s="157" customFormat="1" ht="15" customHeight="1" x14ac:dyDescent="0.2">
      <c r="A3" s="2411" t="s">
        <v>880</v>
      </c>
      <c r="B3" s="1681"/>
      <c r="C3" s="2396" t="s">
        <v>475</v>
      </c>
      <c r="D3" s="2396"/>
      <c r="E3" s="2405"/>
      <c r="F3" s="2395" t="s">
        <v>307</v>
      </c>
      <c r="G3" s="2396"/>
      <c r="H3" s="2396"/>
      <c r="I3" s="2396"/>
      <c r="J3" s="2396" t="s">
        <v>562</v>
      </c>
      <c r="K3" s="2396"/>
      <c r="L3" s="2396"/>
      <c r="M3" s="1367"/>
      <c r="N3" s="2390" t="s">
        <v>883</v>
      </c>
      <c r="O3" s="2390" t="s">
        <v>884</v>
      </c>
      <c r="P3" s="2387" t="s">
        <v>1318</v>
      </c>
    </row>
    <row r="4" spans="1:16" s="157" customFormat="1" ht="15" customHeight="1" x14ac:dyDescent="0.2">
      <c r="A4" s="2412"/>
      <c r="B4" s="1681"/>
      <c r="C4" s="2406" t="s">
        <v>127</v>
      </c>
      <c r="D4" s="2390" t="s">
        <v>128</v>
      </c>
      <c r="E4" s="2390" t="s">
        <v>984</v>
      </c>
      <c r="F4" s="2398" t="s">
        <v>180</v>
      </c>
      <c r="G4" s="2399"/>
      <c r="H4" s="2399"/>
      <c r="I4" s="2399"/>
      <c r="J4" s="2399"/>
      <c r="K4" s="2400"/>
      <c r="L4" s="2393" t="s">
        <v>882</v>
      </c>
      <c r="M4" s="2390" t="s">
        <v>569</v>
      </c>
      <c r="N4" s="2391"/>
      <c r="O4" s="2391"/>
      <c r="P4" s="2388"/>
    </row>
    <row r="5" spans="1:16" s="157" customFormat="1" ht="15" customHeight="1" x14ac:dyDescent="0.2">
      <c r="A5" s="2412"/>
      <c r="B5" s="1681"/>
      <c r="C5" s="2407"/>
      <c r="D5" s="2391"/>
      <c r="E5" s="2391"/>
      <c r="F5" s="2402" t="s">
        <v>477</v>
      </c>
      <c r="G5" s="2403"/>
      <c r="H5" s="2404"/>
      <c r="I5" s="2408" t="s">
        <v>183</v>
      </c>
      <c r="J5" s="2409"/>
      <c r="K5" s="2410"/>
      <c r="L5" s="2394"/>
      <c r="M5" s="2391"/>
      <c r="N5" s="2391"/>
      <c r="O5" s="2391"/>
      <c r="P5" s="2388"/>
    </row>
    <row r="6" spans="1:16" s="157" customFormat="1" ht="15" customHeight="1" x14ac:dyDescent="0.2">
      <c r="A6" s="2412"/>
      <c r="B6" s="1681"/>
      <c r="C6" s="2407"/>
      <c r="D6" s="2391"/>
      <c r="E6" s="2391"/>
      <c r="F6" s="2390" t="s">
        <v>127</v>
      </c>
      <c r="G6" s="2390" t="s">
        <v>128</v>
      </c>
      <c r="H6" s="2387" t="s">
        <v>1305</v>
      </c>
      <c r="I6" s="2290" t="s">
        <v>127</v>
      </c>
      <c r="J6" s="2290" t="s">
        <v>128</v>
      </c>
      <c r="K6" s="2414" t="s">
        <v>881</v>
      </c>
      <c r="L6" s="2394"/>
      <c r="M6" s="2391"/>
      <c r="N6" s="2391"/>
      <c r="O6" s="2391"/>
      <c r="P6" s="2388"/>
    </row>
    <row r="7" spans="1:16" s="157" customFormat="1" ht="15" customHeight="1" x14ac:dyDescent="0.2">
      <c r="A7" s="2412"/>
      <c r="B7" s="1681"/>
      <c r="C7" s="2407"/>
      <c r="D7" s="2391"/>
      <c r="E7" s="2391"/>
      <c r="F7" s="2391"/>
      <c r="G7" s="2391"/>
      <c r="H7" s="2388"/>
      <c r="I7" s="2300"/>
      <c r="J7" s="2300"/>
      <c r="K7" s="2415"/>
      <c r="L7" s="2394"/>
      <c r="M7" s="2401"/>
      <c r="N7" s="2391"/>
      <c r="O7" s="2391"/>
      <c r="P7" s="2388"/>
    </row>
    <row r="8" spans="1:16" s="12" customFormat="1" ht="15" customHeight="1" x14ac:dyDescent="0.15">
      <c r="A8" s="2413"/>
      <c r="B8" s="1675" t="s">
        <v>3061</v>
      </c>
      <c r="C8" s="41">
        <v>1</v>
      </c>
      <c r="D8" s="41">
        <v>2</v>
      </c>
      <c r="E8" s="41">
        <v>3</v>
      </c>
      <c r="F8" s="41">
        <v>4</v>
      </c>
      <c r="G8" s="41">
        <v>5</v>
      </c>
      <c r="H8" s="41">
        <v>6</v>
      </c>
      <c r="I8" s="41">
        <v>7</v>
      </c>
      <c r="J8" s="41">
        <v>8</v>
      </c>
      <c r="K8" s="41">
        <v>9</v>
      </c>
      <c r="L8" s="41">
        <v>10</v>
      </c>
      <c r="M8" s="41">
        <v>11</v>
      </c>
      <c r="N8" s="41">
        <v>12</v>
      </c>
      <c r="O8" s="41">
        <v>13</v>
      </c>
      <c r="P8" s="41">
        <v>14</v>
      </c>
    </row>
    <row r="9" spans="1:16" s="154" customFormat="1" ht="10.9" customHeight="1" x14ac:dyDescent="0.2">
      <c r="A9" s="468" t="s">
        <v>189</v>
      </c>
      <c r="B9" s="468"/>
      <c r="C9" s="429">
        <v>61342.1</v>
      </c>
      <c r="D9" s="24">
        <v>9231.2999999999993</v>
      </c>
      <c r="E9" s="24">
        <f t="shared" ref="E9:E10" si="0">C9+D9</f>
        <v>70573.399999999994</v>
      </c>
      <c r="F9" s="456">
        <v>31710.5</v>
      </c>
      <c r="G9" s="456">
        <v>41517.4</v>
      </c>
      <c r="H9" s="24">
        <f t="shared" ref="H9" si="1">F9+G9</f>
        <v>73227.899999999994</v>
      </c>
      <c r="I9" s="24">
        <v>776.7</v>
      </c>
      <c r="J9" s="456">
        <v>16175.7</v>
      </c>
      <c r="K9" s="24">
        <f t="shared" ref="K9" si="2">I9+J9</f>
        <v>16952.400000000001</v>
      </c>
      <c r="L9" s="236">
        <v>340712.7</v>
      </c>
      <c r="M9" s="214">
        <f t="shared" ref="M9" si="3">H9+K9+L9</f>
        <v>430893</v>
      </c>
      <c r="N9" s="456">
        <v>-60946.400000000001</v>
      </c>
      <c r="O9" s="214">
        <v>369946.5</v>
      </c>
      <c r="P9" s="236">
        <v>440519.9</v>
      </c>
    </row>
    <row r="10" spans="1:16" s="154" customFormat="1" ht="10.9" customHeight="1" x14ac:dyDescent="0.2">
      <c r="A10" s="289" t="s">
        <v>696</v>
      </c>
      <c r="B10" s="289"/>
      <c r="C10" s="430">
        <v>68930.100000000006</v>
      </c>
      <c r="D10" s="279">
        <v>9888.6</v>
      </c>
      <c r="E10" s="279">
        <f t="shared" si="0"/>
        <v>78818.700000000012</v>
      </c>
      <c r="F10" s="470">
        <v>37854.9</v>
      </c>
      <c r="G10" s="470">
        <v>53873.9</v>
      </c>
      <c r="H10" s="279">
        <v>91728.9</v>
      </c>
      <c r="I10" s="279">
        <v>1181.9000000000001</v>
      </c>
      <c r="J10" s="470">
        <v>14160.2</v>
      </c>
      <c r="K10" s="279">
        <v>15342.1</v>
      </c>
      <c r="L10" s="275">
        <v>407901.60000000003</v>
      </c>
      <c r="M10" s="270">
        <v>514972.60000000003</v>
      </c>
      <c r="N10" s="470">
        <v>-76681.7</v>
      </c>
      <c r="O10" s="270">
        <v>438290.80000000005</v>
      </c>
      <c r="P10" s="275">
        <v>517109.50000000006</v>
      </c>
    </row>
    <row r="11" spans="1:16" s="154" customFormat="1" ht="10.9" customHeight="1" x14ac:dyDescent="0.2">
      <c r="A11" s="468" t="s">
        <v>804</v>
      </c>
      <c r="B11" s="468"/>
      <c r="C11" s="429">
        <v>103246</v>
      </c>
      <c r="D11" s="24">
        <v>10004.200000000001</v>
      </c>
      <c r="E11" s="24">
        <v>113250.2</v>
      </c>
      <c r="F11" s="456">
        <v>27069</v>
      </c>
      <c r="G11" s="456">
        <v>83055.600000000006</v>
      </c>
      <c r="H11" s="24">
        <v>110124.6</v>
      </c>
      <c r="I11" s="24">
        <v>1354.5</v>
      </c>
      <c r="J11" s="456">
        <v>8100.8</v>
      </c>
      <c r="K11" s="24">
        <v>9455.2999999999993</v>
      </c>
      <c r="L11" s="236">
        <v>452157.2</v>
      </c>
      <c r="M11" s="214">
        <v>571737.1</v>
      </c>
      <c r="N11" s="456">
        <v>-81481.7</v>
      </c>
      <c r="O11" s="214">
        <f>M11+N11</f>
        <v>490255.39999999997</v>
      </c>
      <c r="P11" s="214">
        <f>E11+O11</f>
        <v>603505.6</v>
      </c>
    </row>
    <row r="12" spans="1:16" s="236" customFormat="1" ht="10.9" customHeight="1" x14ac:dyDescent="0.2">
      <c r="A12" s="268" t="s">
        <v>978</v>
      </c>
      <c r="B12" s="268"/>
      <c r="C12" s="270">
        <v>147496.6</v>
      </c>
      <c r="D12" s="270">
        <v>12560</v>
      </c>
      <c r="E12" s="270">
        <v>160056.6</v>
      </c>
      <c r="F12" s="270">
        <v>3840.6</v>
      </c>
      <c r="G12" s="270">
        <v>113688.8</v>
      </c>
      <c r="H12" s="270">
        <v>117529.40000000001</v>
      </c>
      <c r="I12" s="270">
        <v>1202.7</v>
      </c>
      <c r="J12" s="270">
        <v>11534.2</v>
      </c>
      <c r="K12" s="270">
        <v>12736.900000000001</v>
      </c>
      <c r="L12" s="270">
        <v>507639.9</v>
      </c>
      <c r="M12" s="270">
        <v>637906.20000000007</v>
      </c>
      <c r="N12" s="270">
        <v>-97339.3</v>
      </c>
      <c r="O12" s="270">
        <v>540566.9</v>
      </c>
      <c r="P12" s="270">
        <v>700623.5</v>
      </c>
    </row>
    <row r="13" spans="1:16" s="236" customFormat="1" ht="10.9" customHeight="1" x14ac:dyDescent="0.2">
      <c r="A13" s="212" t="s">
        <v>1029</v>
      </c>
      <c r="B13" s="212"/>
      <c r="C13" s="434">
        <v>177401.3</v>
      </c>
      <c r="D13" s="434">
        <v>11827.5</v>
      </c>
      <c r="E13" s="433">
        <v>189228.79999999999</v>
      </c>
      <c r="F13" s="433">
        <v>810.5</v>
      </c>
      <c r="G13" s="433">
        <v>109446.8</v>
      </c>
      <c r="H13" s="433">
        <v>110257.3</v>
      </c>
      <c r="I13" s="433">
        <v>2160.8000000000002</v>
      </c>
      <c r="J13" s="433">
        <v>14509</v>
      </c>
      <c r="K13" s="433">
        <v>16669.8</v>
      </c>
      <c r="L13" s="433">
        <v>574599.4</v>
      </c>
      <c r="M13" s="433">
        <v>701526.5</v>
      </c>
      <c r="N13" s="433">
        <v>-103141.2</v>
      </c>
      <c r="O13" s="433">
        <v>598385.30000000005</v>
      </c>
      <c r="P13" s="433">
        <v>787614.10000000009</v>
      </c>
    </row>
    <row r="14" spans="1:16" s="92" customFormat="1" ht="10.9" customHeight="1" x14ac:dyDescent="0.2">
      <c r="A14" s="304" t="s">
        <v>1150</v>
      </c>
      <c r="B14" s="304"/>
      <c r="C14" s="270">
        <v>218904.1</v>
      </c>
      <c r="D14" s="270">
        <v>14231.5</v>
      </c>
      <c r="E14" s="270">
        <v>233135.6</v>
      </c>
      <c r="F14" s="270">
        <v>13373.7</v>
      </c>
      <c r="G14" s="270">
        <v>100845.9</v>
      </c>
      <c r="H14" s="270">
        <v>114219.59999999999</v>
      </c>
      <c r="I14" s="270">
        <v>2015.5</v>
      </c>
      <c r="J14" s="270">
        <v>14035.6</v>
      </c>
      <c r="K14" s="270">
        <v>16051.1</v>
      </c>
      <c r="L14" s="270">
        <v>671009.30000000005</v>
      </c>
      <c r="M14" s="270">
        <v>801280</v>
      </c>
      <c r="N14" s="270">
        <v>-118037.8</v>
      </c>
      <c r="O14" s="270">
        <v>683242.2</v>
      </c>
      <c r="P14" s="270">
        <v>916377.79999999993</v>
      </c>
    </row>
    <row r="15" spans="1:16" s="231" customFormat="1" ht="10.9" customHeight="1" x14ac:dyDescent="0.2">
      <c r="A15" s="234" t="s">
        <v>1174</v>
      </c>
      <c r="B15" s="234"/>
      <c r="C15" s="214">
        <v>252027</v>
      </c>
      <c r="D15" s="214">
        <v>14670</v>
      </c>
      <c r="E15" s="214">
        <v>266697</v>
      </c>
      <c r="F15" s="214">
        <v>12977.7</v>
      </c>
      <c r="G15" s="214">
        <v>84355.8</v>
      </c>
      <c r="H15" s="214">
        <v>97333.5</v>
      </c>
      <c r="I15" s="214">
        <v>2157.8000000000002</v>
      </c>
      <c r="J15" s="214">
        <v>15122.4</v>
      </c>
      <c r="K15" s="214">
        <v>17280.2</v>
      </c>
      <c r="L15" s="214">
        <v>776056.5</v>
      </c>
      <c r="M15" s="214">
        <v>890670.2</v>
      </c>
      <c r="N15" s="214">
        <v>-141291.1</v>
      </c>
      <c r="O15" s="214">
        <v>749379.1</v>
      </c>
      <c r="P15" s="214">
        <v>1016076.1</v>
      </c>
    </row>
    <row r="16" spans="1:16" s="231" customFormat="1" ht="10.9" customHeight="1" x14ac:dyDescent="0.2">
      <c r="A16" s="304" t="s">
        <v>1296</v>
      </c>
      <c r="B16" s="304"/>
      <c r="C16" s="270">
        <v>253509.8</v>
      </c>
      <c r="D16" s="270">
        <v>11164.6</v>
      </c>
      <c r="E16" s="270">
        <v>264674.39999999997</v>
      </c>
      <c r="F16" s="270">
        <v>22572.2</v>
      </c>
      <c r="G16" s="270">
        <v>72322.7</v>
      </c>
      <c r="H16" s="270">
        <v>94894.9</v>
      </c>
      <c r="I16" s="270">
        <v>2367.8000000000002</v>
      </c>
      <c r="J16" s="270">
        <v>16832.3</v>
      </c>
      <c r="K16" s="270">
        <v>19200.099999999999</v>
      </c>
      <c r="L16" s="270">
        <v>907531.6</v>
      </c>
      <c r="M16" s="270">
        <v>1021626.6</v>
      </c>
      <c r="N16" s="270">
        <v>-176320</v>
      </c>
      <c r="O16" s="270">
        <v>845306.6</v>
      </c>
      <c r="P16" s="270">
        <v>1109981</v>
      </c>
    </row>
    <row r="17" spans="1:19" s="244" customFormat="1" ht="10.9" customHeight="1" x14ac:dyDescent="0.2">
      <c r="A17" s="153" t="s">
        <v>1404</v>
      </c>
      <c r="B17" s="153"/>
      <c r="C17" s="214">
        <v>257195.4</v>
      </c>
      <c r="D17" s="214">
        <v>15204.1</v>
      </c>
      <c r="E17" s="214">
        <v>272399.5</v>
      </c>
      <c r="F17" s="214">
        <v>31189</v>
      </c>
      <c r="G17" s="214">
        <v>82084.399999999994</v>
      </c>
      <c r="H17" s="214">
        <v>113273.4</v>
      </c>
      <c r="I17" s="214">
        <v>2380.4</v>
      </c>
      <c r="J17" s="214">
        <v>20975.200000000001</v>
      </c>
      <c r="K17" s="214">
        <v>23355.600000000002</v>
      </c>
      <c r="L17" s="214">
        <v>1010255.7</v>
      </c>
      <c r="M17" s="214">
        <v>1146884.7</v>
      </c>
      <c r="N17" s="214">
        <v>-199672.7</v>
      </c>
      <c r="O17" s="214">
        <v>947212</v>
      </c>
      <c r="P17" s="214">
        <v>1219611.5</v>
      </c>
    </row>
    <row r="18" spans="1:19" s="154" customFormat="1" ht="10.9" customHeight="1" x14ac:dyDescent="0.2">
      <c r="A18" s="285" t="s">
        <v>1484</v>
      </c>
      <c r="B18" s="285"/>
      <c r="C18" s="270">
        <v>290174.90000000002</v>
      </c>
      <c r="D18" s="270">
        <v>11295.3</v>
      </c>
      <c r="E18" s="270">
        <v>301470.2</v>
      </c>
      <c r="F18" s="270">
        <v>37114.9</v>
      </c>
      <c r="G18" s="270">
        <v>139033.60000000001</v>
      </c>
      <c r="H18" s="270">
        <v>176148.5</v>
      </c>
      <c r="I18" s="270">
        <v>2551.9</v>
      </c>
      <c r="J18" s="270">
        <v>26663.200000000001</v>
      </c>
      <c r="K18" s="270">
        <v>29215.100000000002</v>
      </c>
      <c r="L18" s="270">
        <v>1097271</v>
      </c>
      <c r="M18" s="270">
        <v>1302634.6000000001</v>
      </c>
      <c r="N18" s="270">
        <v>-230369.8</v>
      </c>
      <c r="O18" s="270">
        <v>1072264.8</v>
      </c>
      <c r="P18" s="270">
        <v>1373735</v>
      </c>
    </row>
    <row r="19" spans="1:19" s="153" customFormat="1" ht="10.9" customHeight="1" x14ac:dyDescent="0.2">
      <c r="A19" s="153" t="s">
        <v>1536</v>
      </c>
      <c r="C19" s="214">
        <v>366917.3</v>
      </c>
      <c r="D19" s="214">
        <v>15420.2</v>
      </c>
      <c r="E19" s="214">
        <v>382337.5</v>
      </c>
      <c r="F19" s="214">
        <v>17285.5</v>
      </c>
      <c r="G19" s="214">
        <v>203740.4</v>
      </c>
      <c r="H19" s="214">
        <v>221025.9</v>
      </c>
      <c r="I19" s="214">
        <v>3218.1</v>
      </c>
      <c r="J19" s="214">
        <v>26799.7</v>
      </c>
      <c r="K19" s="214">
        <v>30017.8</v>
      </c>
      <c r="L19" s="214">
        <v>1188855.3999999999</v>
      </c>
      <c r="M19" s="214">
        <v>1439899.0999999999</v>
      </c>
      <c r="N19" s="214">
        <v>-261341.3</v>
      </c>
      <c r="O19" s="214">
        <v>1178557.7999999998</v>
      </c>
      <c r="P19" s="214">
        <v>1560895.2999999998</v>
      </c>
    </row>
    <row r="20" spans="1:19" s="153" customFormat="1" ht="10.9" customHeight="1" x14ac:dyDescent="0.2">
      <c r="A20" s="292" t="s">
        <v>1817</v>
      </c>
      <c r="B20" s="292"/>
      <c r="C20" s="270">
        <v>347757.7</v>
      </c>
      <c r="D20" s="270">
        <v>16541.099999999999</v>
      </c>
      <c r="E20" s="270">
        <v>364298.8</v>
      </c>
      <c r="F20" s="270">
        <v>54930</v>
      </c>
      <c r="G20" s="270">
        <v>228384.5</v>
      </c>
      <c r="H20" s="270">
        <v>283314.5</v>
      </c>
      <c r="I20" s="270">
        <v>3435.6</v>
      </c>
      <c r="J20" s="270">
        <v>33763.300000000003</v>
      </c>
      <c r="K20" s="270">
        <v>37198.9</v>
      </c>
      <c r="L20" s="270">
        <v>1351235.5</v>
      </c>
      <c r="M20" s="270">
        <v>1671748.9</v>
      </c>
      <c r="N20" s="270">
        <v>-327925.40000000002</v>
      </c>
      <c r="O20" s="270">
        <v>1343823.5</v>
      </c>
      <c r="P20" s="270">
        <v>1708122.3</v>
      </c>
      <c r="Q20" s="667"/>
      <c r="S20" s="667"/>
    </row>
    <row r="21" spans="1:19" s="234" customFormat="1" ht="10.9" customHeight="1" x14ac:dyDescent="0.2">
      <c r="A21" s="778" t="s">
        <v>2066</v>
      </c>
      <c r="B21" s="778"/>
      <c r="C21" s="321">
        <v>287497.5</v>
      </c>
      <c r="D21" s="321">
        <v>29230.799999999999</v>
      </c>
      <c r="E21" s="321">
        <v>316728.3</v>
      </c>
      <c r="F21" s="321">
        <v>157411.9</v>
      </c>
      <c r="G21" s="321">
        <v>229938</v>
      </c>
      <c r="H21" s="321">
        <v>387349.9</v>
      </c>
      <c r="I21" s="321">
        <v>3893.4</v>
      </c>
      <c r="J21" s="321">
        <v>41271.300000000003</v>
      </c>
      <c r="K21" s="321">
        <v>45164.700000000004</v>
      </c>
      <c r="L21" s="321">
        <v>1494254.6</v>
      </c>
      <c r="M21" s="321">
        <v>1926769.2000000002</v>
      </c>
      <c r="N21" s="321">
        <v>-356329.4</v>
      </c>
      <c r="O21" s="321">
        <v>1570439.8000000003</v>
      </c>
      <c r="P21" s="321">
        <v>1887168.1000000003</v>
      </c>
      <c r="Q21" s="1181"/>
      <c r="R21" s="1181"/>
    </row>
    <row r="22" spans="1:19" s="153" customFormat="1" ht="10.9" customHeight="1" x14ac:dyDescent="0.2">
      <c r="A22" s="1475" t="s">
        <v>2206</v>
      </c>
      <c r="B22" s="1680"/>
      <c r="C22" s="314">
        <f>C206</f>
        <v>245780.7</v>
      </c>
      <c r="D22" s="314">
        <f t="shared" ref="D22:P22" si="4">D206</f>
        <v>45348.3</v>
      </c>
      <c r="E22" s="314">
        <f t="shared" si="4"/>
        <v>291129</v>
      </c>
      <c r="F22" s="314">
        <f t="shared" si="4"/>
        <v>145932.20000000001</v>
      </c>
      <c r="G22" s="314">
        <f t="shared" si="4"/>
        <v>278944.90000000002</v>
      </c>
      <c r="H22" s="314">
        <f t="shared" si="4"/>
        <v>424877.10000000003</v>
      </c>
      <c r="I22" s="314">
        <f t="shared" si="4"/>
        <v>4208.5</v>
      </c>
      <c r="J22" s="314">
        <f t="shared" si="4"/>
        <v>45210.6</v>
      </c>
      <c r="K22" s="314">
        <f t="shared" si="4"/>
        <v>49419.1</v>
      </c>
      <c r="L22" s="314">
        <f t="shared" si="4"/>
        <v>1641228.7</v>
      </c>
      <c r="M22" s="314">
        <f t="shared" si="4"/>
        <v>2115524.9</v>
      </c>
      <c r="N22" s="314">
        <f t="shared" si="4"/>
        <v>-373419.9</v>
      </c>
      <c r="O22" s="314">
        <f t="shared" si="4"/>
        <v>1742105</v>
      </c>
      <c r="P22" s="314">
        <f t="shared" si="4"/>
        <v>2033234</v>
      </c>
      <c r="Q22" s="667"/>
      <c r="R22" s="667"/>
    </row>
    <row r="23" spans="1:19" s="153" customFormat="1" ht="10.9" customHeight="1" x14ac:dyDescent="0.2">
      <c r="A23" s="1911"/>
      <c r="B23" s="1911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314"/>
      <c r="N23" s="314"/>
      <c r="O23" s="314"/>
      <c r="P23" s="314"/>
      <c r="Q23" s="667"/>
      <c r="R23" s="667"/>
    </row>
    <row r="24" spans="1:19" s="153" customFormat="1" ht="10.9" customHeight="1" x14ac:dyDescent="0.2">
      <c r="A24" s="1911"/>
      <c r="B24" s="1911"/>
      <c r="C24" s="314"/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14"/>
      <c r="P24" s="314"/>
      <c r="Q24" s="667"/>
      <c r="R24" s="667"/>
    </row>
    <row r="25" spans="1:19" s="153" customFormat="1" ht="10.9" customHeight="1" x14ac:dyDescent="0.2">
      <c r="A25" s="778" t="s">
        <v>2478</v>
      </c>
      <c r="B25" s="778"/>
      <c r="C25" s="321">
        <f t="shared" ref="C25:P25" si="5">C218</f>
        <v>293991.7</v>
      </c>
      <c r="D25" s="321">
        <f t="shared" si="5"/>
        <v>22646.3</v>
      </c>
      <c r="E25" s="321">
        <f t="shared" si="5"/>
        <v>316638</v>
      </c>
      <c r="F25" s="321">
        <f t="shared" si="5"/>
        <v>85426.8</v>
      </c>
      <c r="G25" s="321">
        <f t="shared" si="5"/>
        <v>402751</v>
      </c>
      <c r="H25" s="321">
        <f t="shared" si="5"/>
        <v>488177.8</v>
      </c>
      <c r="I25" s="321">
        <f t="shared" si="5"/>
        <v>7157.5</v>
      </c>
      <c r="J25" s="321">
        <f t="shared" si="5"/>
        <v>41330.800000000003</v>
      </c>
      <c r="K25" s="321">
        <f t="shared" si="5"/>
        <v>48488.3</v>
      </c>
      <c r="L25" s="321">
        <f t="shared" si="5"/>
        <v>1747686.9</v>
      </c>
      <c r="M25" s="321">
        <f t="shared" si="5"/>
        <v>2284353</v>
      </c>
      <c r="N25" s="321">
        <f t="shared" si="5"/>
        <v>-426369.3</v>
      </c>
      <c r="O25" s="321">
        <f t="shared" si="5"/>
        <v>1857983.7</v>
      </c>
      <c r="P25" s="321">
        <f t="shared" si="5"/>
        <v>2174621.7000000002</v>
      </c>
      <c r="Q25" s="667"/>
      <c r="R25" s="667"/>
    </row>
    <row r="26" spans="1:19" s="153" customFormat="1" ht="10.9" customHeight="1" x14ac:dyDescent="0.2">
      <c r="A26" s="1701"/>
      <c r="B26" s="1701"/>
      <c r="C26" s="314"/>
      <c r="D26" s="314"/>
      <c r="E26" s="314"/>
      <c r="F26" s="314"/>
      <c r="G26" s="314"/>
      <c r="H26" s="314"/>
      <c r="I26" s="314"/>
      <c r="J26" s="314"/>
      <c r="K26" s="314"/>
      <c r="L26" s="314"/>
      <c r="M26" s="314"/>
      <c r="N26" s="314"/>
      <c r="O26" s="314"/>
      <c r="P26" s="314"/>
      <c r="Q26" s="667"/>
      <c r="R26" s="667"/>
    </row>
    <row r="27" spans="1:19" s="153" customFormat="1" ht="10.9" customHeight="1" x14ac:dyDescent="0.2">
      <c r="A27" s="1911" t="s">
        <v>81</v>
      </c>
      <c r="B27" s="135" t="s">
        <v>552</v>
      </c>
      <c r="C27" s="1901">
        <v>46584.3</v>
      </c>
      <c r="D27" s="1901">
        <v>3404.6</v>
      </c>
      <c r="E27" s="1901">
        <v>49988.9</v>
      </c>
      <c r="F27" s="1901">
        <v>24460.6</v>
      </c>
      <c r="G27" s="1901">
        <v>33364.9</v>
      </c>
      <c r="H27" s="1901">
        <v>57825.5</v>
      </c>
      <c r="I27" s="1925">
        <v>808.1</v>
      </c>
      <c r="J27" s="1926">
        <v>11968.9</v>
      </c>
      <c r="K27" s="1901">
        <v>12777</v>
      </c>
      <c r="L27" s="1901">
        <v>219572.1</v>
      </c>
      <c r="M27" s="1901">
        <v>290174.59999999998</v>
      </c>
      <c r="N27" s="1901">
        <v>-42068.1</v>
      </c>
      <c r="O27" s="1901">
        <v>248106.5</v>
      </c>
      <c r="P27" s="1901">
        <v>298095.40000000002</v>
      </c>
      <c r="Q27" s="667"/>
      <c r="R27" s="667"/>
    </row>
    <row r="28" spans="1:19" s="153" customFormat="1" ht="10.9" customHeight="1" x14ac:dyDescent="0.2">
      <c r="A28" s="1911" t="s">
        <v>81</v>
      </c>
      <c r="B28" s="292" t="s">
        <v>553</v>
      </c>
      <c r="C28" s="1901">
        <v>50204.7</v>
      </c>
      <c r="D28" s="1901">
        <v>3517.4</v>
      </c>
      <c r="E28" s="1901">
        <v>53722.1</v>
      </c>
      <c r="F28" s="1901">
        <v>22469.5</v>
      </c>
      <c r="G28" s="1901">
        <v>32301.8</v>
      </c>
      <c r="H28" s="1901">
        <v>54771.3</v>
      </c>
      <c r="I28" s="1925">
        <v>798.6</v>
      </c>
      <c r="J28" s="1926">
        <v>12030.6</v>
      </c>
      <c r="K28" s="1901">
        <v>12829.2</v>
      </c>
      <c r="L28" s="1901">
        <v>222882.5</v>
      </c>
      <c r="M28" s="1901">
        <v>290483</v>
      </c>
      <c r="N28" s="1901">
        <v>-40598.699999999997</v>
      </c>
      <c r="O28" s="1901">
        <v>249884.3</v>
      </c>
      <c r="P28" s="1901">
        <v>303606.40000000002</v>
      </c>
      <c r="Q28" s="667"/>
      <c r="R28" s="667"/>
    </row>
    <row r="29" spans="1:19" s="153" customFormat="1" ht="10.9" customHeight="1" x14ac:dyDescent="0.2">
      <c r="A29" s="1911" t="s">
        <v>81</v>
      </c>
      <c r="B29" s="135" t="s">
        <v>547</v>
      </c>
      <c r="C29" s="1901">
        <v>52883.4</v>
      </c>
      <c r="D29" s="1901">
        <v>2971.7</v>
      </c>
      <c r="E29" s="1901">
        <v>55855.1</v>
      </c>
      <c r="F29" s="1901">
        <v>23039.5</v>
      </c>
      <c r="G29" s="1901">
        <v>33472.1</v>
      </c>
      <c r="H29" s="1901">
        <v>56511.6</v>
      </c>
      <c r="I29" s="1925">
        <v>791.6</v>
      </c>
      <c r="J29" s="1926">
        <v>12147.5</v>
      </c>
      <c r="K29" s="1901">
        <v>12939.1</v>
      </c>
      <c r="L29" s="1901">
        <v>226805.1</v>
      </c>
      <c r="M29" s="1901">
        <v>296255.8</v>
      </c>
      <c r="N29" s="1901">
        <v>-40054</v>
      </c>
      <c r="O29" s="1901">
        <v>256201.8</v>
      </c>
      <c r="P29" s="1901">
        <v>312056.90000000002</v>
      </c>
      <c r="Q29" s="667"/>
      <c r="R29" s="667"/>
    </row>
    <row r="30" spans="1:19" s="153" customFormat="1" ht="10.9" customHeight="1" x14ac:dyDescent="0.2">
      <c r="A30" s="1911" t="s">
        <v>81</v>
      </c>
      <c r="B30" s="292" t="s">
        <v>554</v>
      </c>
      <c r="C30" s="1901">
        <v>52322.5</v>
      </c>
      <c r="D30" s="1901">
        <v>2892.9</v>
      </c>
      <c r="E30" s="1901">
        <v>55215.4</v>
      </c>
      <c r="F30" s="1901">
        <v>19407.3</v>
      </c>
      <c r="G30" s="1901">
        <v>35455</v>
      </c>
      <c r="H30" s="1901">
        <v>54862.3</v>
      </c>
      <c r="I30" s="1925">
        <v>786.6</v>
      </c>
      <c r="J30" s="1926">
        <v>12471.1</v>
      </c>
      <c r="K30" s="1901">
        <v>13257.7</v>
      </c>
      <c r="L30" s="1901">
        <v>231425.1</v>
      </c>
      <c r="M30" s="1901">
        <v>299545.09999999998</v>
      </c>
      <c r="N30" s="1901">
        <v>-42181.1</v>
      </c>
      <c r="O30" s="1901">
        <v>257364</v>
      </c>
      <c r="P30" s="1901">
        <v>312579.40000000002</v>
      </c>
      <c r="Q30" s="667"/>
      <c r="R30" s="667"/>
    </row>
    <row r="31" spans="1:19" s="153" customFormat="1" ht="10.9" customHeight="1" x14ac:dyDescent="0.2">
      <c r="A31" s="1911" t="s">
        <v>81</v>
      </c>
      <c r="B31" s="135" t="s">
        <v>555</v>
      </c>
      <c r="C31" s="1901">
        <v>59319.3</v>
      </c>
      <c r="D31" s="1901">
        <v>3806.2</v>
      </c>
      <c r="E31" s="1901">
        <v>63125.5</v>
      </c>
      <c r="F31" s="1901">
        <v>14751.6</v>
      </c>
      <c r="G31" s="1901">
        <v>36692.800000000003</v>
      </c>
      <c r="H31" s="1901">
        <v>51444.4</v>
      </c>
      <c r="I31" s="1925">
        <v>786.6</v>
      </c>
      <c r="J31" s="1926">
        <v>13072.5</v>
      </c>
      <c r="K31" s="1901">
        <v>13859.1</v>
      </c>
      <c r="L31" s="1901">
        <v>237325.1</v>
      </c>
      <c r="M31" s="1901">
        <v>302628.59999999998</v>
      </c>
      <c r="N31" s="1901">
        <v>-42754.7</v>
      </c>
      <c r="O31" s="1901">
        <v>259873.9</v>
      </c>
      <c r="P31" s="1901">
        <v>322999.40000000002</v>
      </c>
      <c r="Q31" s="667"/>
      <c r="R31" s="667"/>
    </row>
    <row r="32" spans="1:19" s="153" customFormat="1" ht="10.9" customHeight="1" x14ac:dyDescent="0.2">
      <c r="A32" s="1911" t="s">
        <v>81</v>
      </c>
      <c r="B32" s="292" t="s">
        <v>548</v>
      </c>
      <c r="C32" s="1901">
        <v>58158.9</v>
      </c>
      <c r="D32" s="1901">
        <v>3718.7</v>
      </c>
      <c r="E32" s="1901">
        <v>61877.599999999999</v>
      </c>
      <c r="F32" s="1901">
        <v>13354.3</v>
      </c>
      <c r="G32" s="1901">
        <v>35445.9</v>
      </c>
      <c r="H32" s="1901">
        <v>48800.2</v>
      </c>
      <c r="I32" s="1925">
        <v>784.9</v>
      </c>
      <c r="J32" s="1926">
        <v>14185.7</v>
      </c>
      <c r="K32" s="1901">
        <v>14970.6</v>
      </c>
      <c r="L32" s="1927">
        <v>243705</v>
      </c>
      <c r="M32" s="1901">
        <v>307475.8</v>
      </c>
      <c r="N32" s="1901">
        <v>-41161.1</v>
      </c>
      <c r="O32" s="1901">
        <v>266314.7</v>
      </c>
      <c r="P32" s="1901">
        <v>328192.3</v>
      </c>
      <c r="Q32" s="667"/>
      <c r="R32" s="667"/>
    </row>
    <row r="33" spans="1:18" s="153" customFormat="1" ht="10.9" customHeight="1" x14ac:dyDescent="0.2">
      <c r="A33" s="1911" t="s">
        <v>81</v>
      </c>
      <c r="B33" s="135" t="s">
        <v>556</v>
      </c>
      <c r="C33" s="1901">
        <v>57915.7</v>
      </c>
      <c r="D33" s="1901">
        <v>3611.2</v>
      </c>
      <c r="E33" s="1901">
        <v>61526.9</v>
      </c>
      <c r="F33" s="1901">
        <v>13848.1</v>
      </c>
      <c r="G33" s="1901">
        <v>34701.4</v>
      </c>
      <c r="H33" s="1901">
        <v>48549.5</v>
      </c>
      <c r="I33" s="1925">
        <v>802.4</v>
      </c>
      <c r="J33" s="1926">
        <v>13458.5</v>
      </c>
      <c r="K33" s="1901">
        <v>14260.9</v>
      </c>
      <c r="L33" s="1901">
        <v>246103.4</v>
      </c>
      <c r="M33" s="1901">
        <v>308913.8</v>
      </c>
      <c r="N33" s="1901">
        <v>-42449.599999999999</v>
      </c>
      <c r="O33" s="1901">
        <v>266464.2</v>
      </c>
      <c r="P33" s="1901">
        <v>327991.09999999998</v>
      </c>
      <c r="Q33" s="667"/>
      <c r="R33" s="667"/>
    </row>
    <row r="34" spans="1:18" s="153" customFormat="1" ht="10.9" customHeight="1" x14ac:dyDescent="0.2">
      <c r="A34" s="1911" t="s">
        <v>81</v>
      </c>
      <c r="B34" s="292" t="s">
        <v>557</v>
      </c>
      <c r="C34" s="1901">
        <v>59371.3</v>
      </c>
      <c r="D34" s="1901">
        <v>5388</v>
      </c>
      <c r="E34" s="1901">
        <v>64759.3</v>
      </c>
      <c r="F34" s="1901">
        <v>15288.6</v>
      </c>
      <c r="G34" s="1901">
        <v>34107.800000000003</v>
      </c>
      <c r="H34" s="1901">
        <v>49396.4</v>
      </c>
      <c r="I34" s="1925">
        <v>796.7</v>
      </c>
      <c r="J34" s="1926">
        <v>13595.6</v>
      </c>
      <c r="K34" s="1901">
        <v>14392.3</v>
      </c>
      <c r="L34" s="1901">
        <v>248002.6</v>
      </c>
      <c r="M34" s="1901">
        <v>311791.3</v>
      </c>
      <c r="N34" s="1901">
        <v>-42179.5</v>
      </c>
      <c r="O34" s="1901">
        <v>269611.8</v>
      </c>
      <c r="P34" s="1901">
        <v>334371.09999999998</v>
      </c>
      <c r="Q34" s="667"/>
      <c r="R34" s="667"/>
    </row>
    <row r="35" spans="1:18" s="153" customFormat="1" ht="10.9" customHeight="1" x14ac:dyDescent="0.2">
      <c r="A35" s="1911" t="s">
        <v>81</v>
      </c>
      <c r="B35" s="135" t="s">
        <v>549</v>
      </c>
      <c r="C35" s="1901">
        <v>58078.1</v>
      </c>
      <c r="D35" s="1901">
        <v>5860.6</v>
      </c>
      <c r="E35" s="1901">
        <v>63938.7</v>
      </c>
      <c r="F35" s="1901">
        <v>13559.7</v>
      </c>
      <c r="G35" s="1901">
        <v>34311.5</v>
      </c>
      <c r="H35" s="1901">
        <v>47871.199999999997</v>
      </c>
      <c r="I35" s="1925">
        <v>796.7</v>
      </c>
      <c r="J35" s="1926">
        <v>14393.6</v>
      </c>
      <c r="K35" s="1901">
        <v>15190.3</v>
      </c>
      <c r="L35" s="1901">
        <v>251083</v>
      </c>
      <c r="M35" s="1901">
        <v>314144.5</v>
      </c>
      <c r="N35" s="1901">
        <v>-40503.9</v>
      </c>
      <c r="O35" s="1901">
        <v>273640.59999999998</v>
      </c>
      <c r="P35" s="1901">
        <v>337579.3</v>
      </c>
      <c r="Q35" s="667"/>
      <c r="R35" s="667"/>
    </row>
    <row r="36" spans="1:18" s="153" customFormat="1" ht="10.9" customHeight="1" x14ac:dyDescent="0.2">
      <c r="A36" s="1911" t="s">
        <v>81</v>
      </c>
      <c r="B36" s="292" t="s">
        <v>558</v>
      </c>
      <c r="C36" s="1901">
        <v>59147.199999999997</v>
      </c>
      <c r="D36" s="1901">
        <v>5260.7</v>
      </c>
      <c r="E36" s="1901">
        <v>64407.9</v>
      </c>
      <c r="F36" s="1901">
        <v>15640</v>
      </c>
      <c r="G36" s="1901">
        <v>32137.1</v>
      </c>
      <c r="H36" s="1901">
        <v>47777.1</v>
      </c>
      <c r="I36" s="1925">
        <v>794.7</v>
      </c>
      <c r="J36" s="1926">
        <v>14709.4</v>
      </c>
      <c r="K36" s="1901">
        <v>15504.1</v>
      </c>
      <c r="L36" s="1901">
        <v>256204.1</v>
      </c>
      <c r="M36" s="1901">
        <v>319485.3</v>
      </c>
      <c r="N36" s="1901">
        <v>-40852.300000000003</v>
      </c>
      <c r="O36" s="1901">
        <v>278633</v>
      </c>
      <c r="P36" s="1901">
        <v>343040.9</v>
      </c>
      <c r="Q36" s="667"/>
      <c r="R36" s="667"/>
    </row>
    <row r="37" spans="1:18" s="153" customFormat="1" ht="10.9" customHeight="1" x14ac:dyDescent="0.2">
      <c r="A37" s="1911" t="s">
        <v>81</v>
      </c>
      <c r="B37" s="135" t="s">
        <v>559</v>
      </c>
      <c r="C37" s="1901">
        <v>59249.2</v>
      </c>
      <c r="D37" s="1901">
        <v>5889.4</v>
      </c>
      <c r="E37" s="1901">
        <v>65138.6</v>
      </c>
      <c r="F37" s="1901">
        <v>16761.7</v>
      </c>
      <c r="G37" s="1901">
        <v>32687.7</v>
      </c>
      <c r="H37" s="1901">
        <v>49449.4</v>
      </c>
      <c r="I37" s="1925">
        <v>794.7</v>
      </c>
      <c r="J37" s="1926">
        <v>14005.5</v>
      </c>
      <c r="K37" s="1901">
        <v>14800.2</v>
      </c>
      <c r="L37" s="1901">
        <v>264038.59999999998</v>
      </c>
      <c r="M37" s="1901">
        <v>328288.2</v>
      </c>
      <c r="N37" s="1901">
        <v>-41200.9</v>
      </c>
      <c r="O37" s="1901">
        <v>287087.3</v>
      </c>
      <c r="P37" s="1901">
        <v>352225.9</v>
      </c>
      <c r="Q37" s="667"/>
      <c r="R37" s="667"/>
    </row>
    <row r="38" spans="1:18" s="153" customFormat="1" ht="10.9" customHeight="1" x14ac:dyDescent="0.2">
      <c r="A38" s="1911" t="s">
        <v>81</v>
      </c>
      <c r="B38" s="292" t="s">
        <v>550</v>
      </c>
      <c r="C38" s="1901">
        <v>61204.9</v>
      </c>
      <c r="D38" s="1901">
        <v>5868.8</v>
      </c>
      <c r="E38" s="1901">
        <v>67073.7</v>
      </c>
      <c r="F38" s="1901">
        <v>22320.6</v>
      </c>
      <c r="G38" s="1901">
        <v>32071.7</v>
      </c>
      <c r="H38" s="1901">
        <v>54392.3</v>
      </c>
      <c r="I38" s="1925">
        <v>830.7</v>
      </c>
      <c r="J38" s="1926">
        <v>14230</v>
      </c>
      <c r="K38" s="1901">
        <v>15060.7</v>
      </c>
      <c r="L38" s="1901">
        <v>270760.8</v>
      </c>
      <c r="M38" s="1901">
        <v>340213.8</v>
      </c>
      <c r="N38" s="1901">
        <v>-44256.3</v>
      </c>
      <c r="O38" s="1901">
        <v>295957.5</v>
      </c>
      <c r="P38" s="1901">
        <v>363031.2</v>
      </c>
      <c r="Q38" s="667"/>
      <c r="R38" s="667"/>
    </row>
    <row r="39" spans="1:18" s="153" customFormat="1" ht="10.9" customHeight="1" x14ac:dyDescent="0.2">
      <c r="A39" s="1911" t="s">
        <v>189</v>
      </c>
      <c r="B39" s="135" t="s">
        <v>552</v>
      </c>
      <c r="C39" s="793">
        <v>62920.5</v>
      </c>
      <c r="D39" s="1654">
        <v>5774.4</v>
      </c>
      <c r="E39" s="1654">
        <f t="shared" ref="E39:E50" si="6">C39+D39</f>
        <v>68694.899999999994</v>
      </c>
      <c r="F39" s="1654">
        <v>20286.599999999999</v>
      </c>
      <c r="G39" s="793">
        <v>33684.9</v>
      </c>
      <c r="H39" s="1654">
        <f t="shared" ref="H39:H50" si="7">F39+G39</f>
        <v>53971.5</v>
      </c>
      <c r="I39" s="1654">
        <v>786</v>
      </c>
      <c r="J39" s="1654">
        <v>14307.5</v>
      </c>
      <c r="K39" s="1654">
        <f t="shared" ref="K39:K50" si="8">I39+J39</f>
        <v>15093.5</v>
      </c>
      <c r="L39" s="1654">
        <f>2581+271325.7</f>
        <v>273906.7</v>
      </c>
      <c r="M39" s="1654">
        <f t="shared" ref="M39:M50" si="9">H39+K39+L39</f>
        <v>342971.7</v>
      </c>
      <c r="N39" s="1654">
        <v>-47283.5</v>
      </c>
      <c r="O39" s="1654">
        <f t="shared" ref="O39:O50" si="10">M39+N39</f>
        <v>295688.2</v>
      </c>
      <c r="P39" s="793">
        <f t="shared" ref="P39:P50" si="11">E39+O39</f>
        <v>364383.1</v>
      </c>
      <c r="Q39" s="667"/>
      <c r="R39" s="667"/>
    </row>
    <row r="40" spans="1:18" s="153" customFormat="1" ht="10.9" customHeight="1" x14ac:dyDescent="0.2">
      <c r="A40" s="1911" t="s">
        <v>189</v>
      </c>
      <c r="B40" s="292" t="s">
        <v>553</v>
      </c>
      <c r="C40" s="279">
        <v>62212.1</v>
      </c>
      <c r="D40" s="279">
        <v>6900.6</v>
      </c>
      <c r="E40" s="274">
        <f t="shared" si="6"/>
        <v>69112.7</v>
      </c>
      <c r="F40" s="274">
        <v>20582</v>
      </c>
      <c r="G40" s="279">
        <v>32844.9</v>
      </c>
      <c r="H40" s="274">
        <f t="shared" si="7"/>
        <v>53426.9</v>
      </c>
      <c r="I40" s="274">
        <v>786</v>
      </c>
      <c r="J40" s="279">
        <v>14487.4</v>
      </c>
      <c r="K40" s="274">
        <f t="shared" si="8"/>
        <v>15273.4</v>
      </c>
      <c r="L40" s="279">
        <f>2764.7+277739.7</f>
        <v>280504.40000000002</v>
      </c>
      <c r="M40" s="274">
        <f t="shared" si="9"/>
        <v>349204.7</v>
      </c>
      <c r="N40" s="279">
        <v>-45217.4</v>
      </c>
      <c r="O40" s="274">
        <f t="shared" si="10"/>
        <v>303987.3</v>
      </c>
      <c r="P40" s="274">
        <f t="shared" si="11"/>
        <v>373100</v>
      </c>
      <c r="Q40" s="667"/>
      <c r="R40" s="667"/>
    </row>
    <row r="41" spans="1:18" s="153" customFormat="1" ht="10.9" customHeight="1" x14ac:dyDescent="0.2">
      <c r="A41" s="1911" t="s">
        <v>189</v>
      </c>
      <c r="B41" s="135" t="s">
        <v>547</v>
      </c>
      <c r="C41" s="793">
        <v>64215.1</v>
      </c>
      <c r="D41" s="793">
        <v>6878.7</v>
      </c>
      <c r="E41" s="1654">
        <f t="shared" si="6"/>
        <v>71093.8</v>
      </c>
      <c r="F41" s="1654">
        <v>23615.200000000001</v>
      </c>
      <c r="G41" s="793">
        <v>30028.1</v>
      </c>
      <c r="H41" s="1654">
        <f t="shared" si="7"/>
        <v>53643.3</v>
      </c>
      <c r="I41" s="1654">
        <v>773</v>
      </c>
      <c r="J41" s="793">
        <v>14839.8</v>
      </c>
      <c r="K41" s="1654">
        <f t="shared" si="8"/>
        <v>15612.8</v>
      </c>
      <c r="L41" s="793">
        <f>2660.3+284582.4</f>
        <v>287242.7</v>
      </c>
      <c r="M41" s="1654">
        <f t="shared" si="9"/>
        <v>356498.80000000005</v>
      </c>
      <c r="N41" s="793">
        <v>-48496.9</v>
      </c>
      <c r="O41" s="1654">
        <f t="shared" si="10"/>
        <v>308001.90000000002</v>
      </c>
      <c r="P41" s="1654">
        <f t="shared" si="11"/>
        <v>379095.7</v>
      </c>
      <c r="Q41" s="667"/>
      <c r="R41" s="667"/>
    </row>
    <row r="42" spans="1:18" s="153" customFormat="1" ht="10.9" customHeight="1" x14ac:dyDescent="0.2">
      <c r="A42" s="1911" t="s">
        <v>189</v>
      </c>
      <c r="B42" s="292" t="s">
        <v>554</v>
      </c>
      <c r="C42" s="274">
        <v>64743</v>
      </c>
      <c r="D42" s="279">
        <v>7631.8</v>
      </c>
      <c r="E42" s="274">
        <f t="shared" si="6"/>
        <v>72374.8</v>
      </c>
      <c r="F42" s="274">
        <v>23917</v>
      </c>
      <c r="G42" s="279">
        <v>30313.200000000001</v>
      </c>
      <c r="H42" s="274">
        <f t="shared" si="7"/>
        <v>54230.2</v>
      </c>
      <c r="I42" s="274">
        <v>766</v>
      </c>
      <c r="J42" s="279">
        <v>15234.7</v>
      </c>
      <c r="K42" s="274">
        <f t="shared" si="8"/>
        <v>16000.7</v>
      </c>
      <c r="L42" s="279">
        <f>291168.6+2687.8</f>
        <v>293856.39999999997</v>
      </c>
      <c r="M42" s="274">
        <f t="shared" si="9"/>
        <v>364087.29999999993</v>
      </c>
      <c r="N42" s="279">
        <v>-51230.8</v>
      </c>
      <c r="O42" s="274">
        <f t="shared" si="10"/>
        <v>312856.49999999994</v>
      </c>
      <c r="P42" s="274">
        <f t="shared" si="11"/>
        <v>385231.29999999993</v>
      </c>
      <c r="Q42" s="667"/>
      <c r="R42" s="667"/>
    </row>
    <row r="43" spans="1:18" s="153" customFormat="1" ht="10.9" customHeight="1" x14ac:dyDescent="0.2">
      <c r="A43" s="1911" t="s">
        <v>189</v>
      </c>
      <c r="B43" s="135" t="s">
        <v>555</v>
      </c>
      <c r="C43" s="793">
        <v>62845.3</v>
      </c>
      <c r="D43" s="793">
        <v>7123.2</v>
      </c>
      <c r="E43" s="1654">
        <f t="shared" si="6"/>
        <v>69968.5</v>
      </c>
      <c r="F43" s="1654">
        <v>23632.3</v>
      </c>
      <c r="G43" s="793">
        <v>31094.3</v>
      </c>
      <c r="H43" s="1654">
        <f t="shared" si="7"/>
        <v>54726.6</v>
      </c>
      <c r="I43" s="1654">
        <v>766</v>
      </c>
      <c r="J43" s="793">
        <v>16445.900000000001</v>
      </c>
      <c r="K43" s="1654">
        <f t="shared" si="8"/>
        <v>17211.900000000001</v>
      </c>
      <c r="L43" s="793">
        <f>2813.6+300405.3</f>
        <v>303218.89999999997</v>
      </c>
      <c r="M43" s="1654">
        <f t="shared" si="9"/>
        <v>375157.39999999997</v>
      </c>
      <c r="N43" s="1654">
        <v>-50474</v>
      </c>
      <c r="O43" s="1654">
        <f t="shared" si="10"/>
        <v>324683.39999999997</v>
      </c>
      <c r="P43" s="1654">
        <f t="shared" si="11"/>
        <v>394651.89999999997</v>
      </c>
      <c r="Q43" s="667"/>
      <c r="R43" s="667"/>
    </row>
    <row r="44" spans="1:18" s="153" customFormat="1" ht="10.9" customHeight="1" x14ac:dyDescent="0.2">
      <c r="A44" s="1911" t="s">
        <v>189</v>
      </c>
      <c r="B44" s="292" t="s">
        <v>548</v>
      </c>
      <c r="C44" s="274">
        <v>62926</v>
      </c>
      <c r="D44" s="279">
        <v>7712.7</v>
      </c>
      <c r="E44" s="274">
        <f t="shared" si="6"/>
        <v>70638.7</v>
      </c>
      <c r="F44" s="274">
        <v>21093.599999999999</v>
      </c>
      <c r="G44" s="279">
        <v>31365.7</v>
      </c>
      <c r="H44" s="274">
        <f t="shared" si="7"/>
        <v>52459.3</v>
      </c>
      <c r="I44" s="274">
        <f>50+20+677.3</f>
        <v>747.3</v>
      </c>
      <c r="J44" s="279">
        <v>18232.599999999999</v>
      </c>
      <c r="K44" s="274">
        <f t="shared" si="8"/>
        <v>18979.899999999998</v>
      </c>
      <c r="L44" s="279">
        <f>308018.6+2905.1</f>
        <v>310923.69999999995</v>
      </c>
      <c r="M44" s="274">
        <f t="shared" si="9"/>
        <v>382362.89999999997</v>
      </c>
      <c r="N44" s="279">
        <v>-53722.6</v>
      </c>
      <c r="O44" s="274">
        <f t="shared" si="10"/>
        <v>328640.3</v>
      </c>
      <c r="P44" s="274">
        <f t="shared" si="11"/>
        <v>399279</v>
      </c>
      <c r="Q44" s="667"/>
      <c r="R44" s="667"/>
    </row>
    <row r="45" spans="1:18" s="153" customFormat="1" ht="10.9" customHeight="1" x14ac:dyDescent="0.2">
      <c r="A45" s="1911" t="s">
        <v>189</v>
      </c>
      <c r="B45" s="135" t="s">
        <v>556</v>
      </c>
      <c r="C45" s="1654">
        <v>60352.9</v>
      </c>
      <c r="D45" s="793">
        <v>7311.5</v>
      </c>
      <c r="E45" s="1654">
        <f t="shared" si="6"/>
        <v>67664.399999999994</v>
      </c>
      <c r="F45" s="1654">
        <v>20369.599999999999</v>
      </c>
      <c r="G45" s="793">
        <v>34440.199999999997</v>
      </c>
      <c r="H45" s="1654">
        <f t="shared" si="7"/>
        <v>54809.799999999996</v>
      </c>
      <c r="I45" s="1654">
        <v>1147.3</v>
      </c>
      <c r="J45" s="793">
        <v>18719.5</v>
      </c>
      <c r="K45" s="1654">
        <f t="shared" si="8"/>
        <v>19866.8</v>
      </c>
      <c r="L45" s="793">
        <f>2947.8+312217.3</f>
        <v>315165.09999999998</v>
      </c>
      <c r="M45" s="1654">
        <f t="shared" si="9"/>
        <v>389841.69999999995</v>
      </c>
      <c r="N45" s="793">
        <v>-55665.599999999999</v>
      </c>
      <c r="O45" s="1654">
        <f t="shared" si="10"/>
        <v>334176.09999999998</v>
      </c>
      <c r="P45" s="1654">
        <f t="shared" si="11"/>
        <v>401840.5</v>
      </c>
      <c r="Q45" s="667"/>
      <c r="R45" s="667"/>
    </row>
    <row r="46" spans="1:18" s="153" customFormat="1" ht="10.9" customHeight="1" x14ac:dyDescent="0.2">
      <c r="A46" s="1911" t="s">
        <v>189</v>
      </c>
      <c r="B46" s="292" t="s">
        <v>557</v>
      </c>
      <c r="C46" s="274">
        <v>60373</v>
      </c>
      <c r="D46" s="279">
        <v>7401.2</v>
      </c>
      <c r="E46" s="274">
        <f t="shared" si="6"/>
        <v>67774.2</v>
      </c>
      <c r="F46" s="274">
        <v>19253.3</v>
      </c>
      <c r="G46" s="279">
        <v>36819.5</v>
      </c>
      <c r="H46" s="274">
        <f t="shared" si="7"/>
        <v>56072.800000000003</v>
      </c>
      <c r="I46" s="274">
        <v>1347.3</v>
      </c>
      <c r="J46" s="279">
        <v>18519.7</v>
      </c>
      <c r="K46" s="274">
        <f t="shared" si="8"/>
        <v>19867</v>
      </c>
      <c r="L46" s="279">
        <f>2996.2+315285.6</f>
        <v>318281.8</v>
      </c>
      <c r="M46" s="274">
        <f t="shared" si="9"/>
        <v>394221.6</v>
      </c>
      <c r="N46" s="279">
        <v>-55210.9</v>
      </c>
      <c r="O46" s="274">
        <f t="shared" si="10"/>
        <v>339010.69999999995</v>
      </c>
      <c r="P46" s="274">
        <f t="shared" si="11"/>
        <v>406784.89999999997</v>
      </c>
      <c r="Q46" s="667"/>
      <c r="R46" s="667"/>
    </row>
    <row r="47" spans="1:18" s="153" customFormat="1" ht="10.9" customHeight="1" x14ac:dyDescent="0.2">
      <c r="A47" s="1911" t="s">
        <v>189</v>
      </c>
      <c r="B47" s="135" t="s">
        <v>549</v>
      </c>
      <c r="C47" s="1654">
        <v>60003</v>
      </c>
      <c r="D47" s="793">
        <v>8906.7000000000007</v>
      </c>
      <c r="E47" s="1654">
        <f t="shared" si="6"/>
        <v>68909.7</v>
      </c>
      <c r="F47" s="1654">
        <v>22200.1</v>
      </c>
      <c r="G47" s="793">
        <v>38774.400000000001</v>
      </c>
      <c r="H47" s="1654">
        <f t="shared" si="7"/>
        <v>60974.5</v>
      </c>
      <c r="I47" s="1654">
        <v>1345.3</v>
      </c>
      <c r="J47" s="793">
        <v>18697.5</v>
      </c>
      <c r="K47" s="1654">
        <f t="shared" si="8"/>
        <v>20042.8</v>
      </c>
      <c r="L47" s="793">
        <f>3044.1+321031</f>
        <v>324075.09999999998</v>
      </c>
      <c r="M47" s="1654">
        <f t="shared" si="9"/>
        <v>405092.39999999997</v>
      </c>
      <c r="N47" s="1654">
        <v>-57071</v>
      </c>
      <c r="O47" s="1654">
        <f t="shared" si="10"/>
        <v>348021.39999999997</v>
      </c>
      <c r="P47" s="1654">
        <f t="shared" si="11"/>
        <v>416931.1</v>
      </c>
      <c r="Q47" s="667"/>
      <c r="R47" s="667"/>
    </row>
    <row r="48" spans="1:18" s="153" customFormat="1" ht="10.9" customHeight="1" x14ac:dyDescent="0.2">
      <c r="A48" s="1911" t="s">
        <v>189</v>
      </c>
      <c r="B48" s="292" t="s">
        <v>558</v>
      </c>
      <c r="C48" s="274">
        <v>61400.5</v>
      </c>
      <c r="D48" s="279">
        <v>7742.8</v>
      </c>
      <c r="E48" s="274">
        <f t="shared" si="6"/>
        <v>69143.3</v>
      </c>
      <c r="F48" s="274">
        <v>24208.400000000001</v>
      </c>
      <c r="G48" s="279">
        <v>39528.9</v>
      </c>
      <c r="H48" s="274">
        <f t="shared" si="7"/>
        <v>63737.3</v>
      </c>
      <c r="I48" s="274">
        <v>945.3</v>
      </c>
      <c r="J48" s="279">
        <v>17559.7</v>
      </c>
      <c r="K48" s="274">
        <f t="shared" si="8"/>
        <v>18505</v>
      </c>
      <c r="L48" s="279">
        <f>3057.9+327402.8</f>
        <v>330460.7</v>
      </c>
      <c r="M48" s="274">
        <f t="shared" si="9"/>
        <v>412703</v>
      </c>
      <c r="N48" s="274">
        <v>-60384.7</v>
      </c>
      <c r="O48" s="274">
        <f t="shared" si="10"/>
        <v>352318.3</v>
      </c>
      <c r="P48" s="274">
        <f t="shared" si="11"/>
        <v>421461.6</v>
      </c>
      <c r="Q48" s="667"/>
      <c r="R48" s="667"/>
    </row>
    <row r="49" spans="1:18" s="153" customFormat="1" ht="10.9" customHeight="1" x14ac:dyDescent="0.2">
      <c r="A49" s="1911" t="s">
        <v>189</v>
      </c>
      <c r="B49" s="135" t="s">
        <v>559</v>
      </c>
      <c r="C49" s="1654">
        <v>60014.3</v>
      </c>
      <c r="D49" s="793">
        <v>7862.9</v>
      </c>
      <c r="E49" s="1654">
        <f t="shared" si="6"/>
        <v>67877.2</v>
      </c>
      <c r="F49" s="1654">
        <v>25295.1</v>
      </c>
      <c r="G49" s="793">
        <v>40337.699999999997</v>
      </c>
      <c r="H49" s="1654">
        <f t="shared" si="7"/>
        <v>65632.799999999988</v>
      </c>
      <c r="I49" s="1654">
        <v>739.3</v>
      </c>
      <c r="J49" s="793">
        <v>18160.599999999999</v>
      </c>
      <c r="K49" s="1654">
        <f t="shared" si="8"/>
        <v>18899.899999999998</v>
      </c>
      <c r="L49" s="793">
        <f>3054.5+333583.7</f>
        <v>336638.2</v>
      </c>
      <c r="M49" s="1654">
        <f t="shared" si="9"/>
        <v>421170.9</v>
      </c>
      <c r="N49" s="1654">
        <v>-59772.3</v>
      </c>
      <c r="O49" s="1654">
        <f t="shared" si="10"/>
        <v>361398.60000000003</v>
      </c>
      <c r="P49" s="1654">
        <f t="shared" si="11"/>
        <v>429275.80000000005</v>
      </c>
      <c r="Q49" s="667"/>
      <c r="R49" s="667"/>
    </row>
    <row r="50" spans="1:18" s="153" customFormat="1" ht="10.9" customHeight="1" x14ac:dyDescent="0.2">
      <c r="A50" s="1911" t="s">
        <v>189</v>
      </c>
      <c r="B50" s="292" t="s">
        <v>550</v>
      </c>
      <c r="C50" s="274">
        <v>61388.7</v>
      </c>
      <c r="D50" s="279">
        <v>9231.2999999999993</v>
      </c>
      <c r="E50" s="274">
        <f t="shared" si="6"/>
        <v>70620</v>
      </c>
      <c r="F50" s="274">
        <v>32049.7</v>
      </c>
      <c r="G50" s="279">
        <v>41386.400000000001</v>
      </c>
      <c r="H50" s="274">
        <f t="shared" si="7"/>
        <v>73436.100000000006</v>
      </c>
      <c r="I50" s="274">
        <v>776.7</v>
      </c>
      <c r="J50" s="279">
        <v>18600.400000000001</v>
      </c>
      <c r="K50" s="274">
        <f t="shared" si="8"/>
        <v>19377.100000000002</v>
      </c>
      <c r="L50" s="274">
        <f>3143.7+337569</f>
        <v>340712.7</v>
      </c>
      <c r="M50" s="274">
        <f t="shared" si="9"/>
        <v>433525.9</v>
      </c>
      <c r="N50" s="274">
        <v>-63625.9</v>
      </c>
      <c r="O50" s="274">
        <f t="shared" si="10"/>
        <v>369900</v>
      </c>
      <c r="P50" s="274">
        <f t="shared" si="11"/>
        <v>440520</v>
      </c>
      <c r="Q50" s="667"/>
      <c r="R50" s="667"/>
    </row>
    <row r="51" spans="1:18" s="153" customFormat="1" ht="10.9" customHeight="1" x14ac:dyDescent="0.2">
      <c r="A51" s="1911" t="s">
        <v>696</v>
      </c>
      <c r="B51" s="135" t="s">
        <v>552</v>
      </c>
      <c r="C51" s="430">
        <v>62089.4</v>
      </c>
      <c r="D51" s="279">
        <v>10343.5</v>
      </c>
      <c r="E51" s="274">
        <f t="shared" ref="E51:E62" si="12">C51+D51</f>
        <v>72432.899999999994</v>
      </c>
      <c r="F51" s="274">
        <v>32549</v>
      </c>
      <c r="G51" s="279">
        <v>42945.599999999999</v>
      </c>
      <c r="H51" s="274">
        <f t="shared" ref="H51:H62" si="13">F51+G51</f>
        <v>75494.600000000006</v>
      </c>
      <c r="I51" s="274">
        <v>737.7</v>
      </c>
      <c r="J51" s="274">
        <v>18345</v>
      </c>
      <c r="K51" s="274">
        <f t="shared" ref="K51:K62" si="14">I51+J51</f>
        <v>19082.7</v>
      </c>
      <c r="L51" s="275">
        <f>3038.2+337599.4</f>
        <v>340637.60000000003</v>
      </c>
      <c r="M51" s="270">
        <f t="shared" ref="M51:M59" si="15">H51+K51+L51</f>
        <v>435214.9</v>
      </c>
      <c r="N51" s="1818">
        <v>-65107.6</v>
      </c>
      <c r="O51" s="270">
        <f t="shared" ref="O51:O62" si="16">M51+N51</f>
        <v>370107.30000000005</v>
      </c>
      <c r="P51" s="270">
        <f t="shared" ref="P51:P62" si="17">E51+O51</f>
        <v>442540.20000000007</v>
      </c>
      <c r="Q51" s="667"/>
      <c r="R51" s="667"/>
    </row>
    <row r="52" spans="1:18" s="153" customFormat="1" ht="10.9" customHeight="1" x14ac:dyDescent="0.2">
      <c r="A52" s="1911" t="s">
        <v>696</v>
      </c>
      <c r="B52" s="292" t="s">
        <v>553</v>
      </c>
      <c r="C52" s="429">
        <v>63760.3</v>
      </c>
      <c r="D52" s="51">
        <v>9007</v>
      </c>
      <c r="E52" s="51">
        <f t="shared" si="12"/>
        <v>72767.3</v>
      </c>
      <c r="F52" s="51">
        <v>32770.800000000003</v>
      </c>
      <c r="G52" s="51">
        <v>44054</v>
      </c>
      <c r="H52" s="51">
        <v>78225.100000000006</v>
      </c>
      <c r="I52" s="51">
        <v>692.7</v>
      </c>
      <c r="J52" s="24">
        <v>19113.3</v>
      </c>
      <c r="K52" s="51">
        <f t="shared" si="14"/>
        <v>19806</v>
      </c>
      <c r="L52" s="236">
        <f>3070.4+342491.5</f>
        <v>345561.9</v>
      </c>
      <c r="M52" s="214">
        <f t="shared" si="15"/>
        <v>443593</v>
      </c>
      <c r="N52" s="1817">
        <v>-61114.7</v>
      </c>
      <c r="O52" s="214">
        <f t="shared" si="16"/>
        <v>382478.3</v>
      </c>
      <c r="P52" s="214">
        <f t="shared" si="17"/>
        <v>455245.6</v>
      </c>
      <c r="Q52" s="667"/>
      <c r="R52" s="667"/>
    </row>
    <row r="53" spans="1:18" s="153" customFormat="1" ht="10.9" customHeight="1" x14ac:dyDescent="0.2">
      <c r="A53" s="1911" t="s">
        <v>696</v>
      </c>
      <c r="B53" s="135" t="s">
        <v>547</v>
      </c>
      <c r="C53" s="430">
        <v>60230.6</v>
      </c>
      <c r="D53" s="274">
        <v>10256.4</v>
      </c>
      <c r="E53" s="274">
        <f t="shared" si="12"/>
        <v>70487</v>
      </c>
      <c r="F53" s="274">
        <v>36632.5</v>
      </c>
      <c r="G53" s="279">
        <v>43918.3</v>
      </c>
      <c r="H53" s="274">
        <f t="shared" si="13"/>
        <v>80550.8</v>
      </c>
      <c r="I53" s="274">
        <v>687.7</v>
      </c>
      <c r="J53" s="279">
        <v>15539.8</v>
      </c>
      <c r="K53" s="274">
        <f t="shared" si="14"/>
        <v>16227.5</v>
      </c>
      <c r="L53" s="270">
        <f>3066+347309.4</f>
        <v>350375.4</v>
      </c>
      <c r="M53" s="270">
        <f t="shared" si="15"/>
        <v>447153.7</v>
      </c>
      <c r="N53" s="1818">
        <v>-64243.1</v>
      </c>
      <c r="O53" s="270">
        <f t="shared" si="16"/>
        <v>382910.60000000003</v>
      </c>
      <c r="P53" s="270">
        <f t="shared" si="17"/>
        <v>453397.60000000003</v>
      </c>
      <c r="Q53" s="667"/>
      <c r="R53" s="667"/>
    </row>
    <row r="54" spans="1:18" s="153" customFormat="1" ht="10.9" customHeight="1" x14ac:dyDescent="0.2">
      <c r="A54" s="1911" t="s">
        <v>696</v>
      </c>
      <c r="B54" s="292" t="s">
        <v>554</v>
      </c>
      <c r="C54" s="429">
        <v>59884</v>
      </c>
      <c r="D54" s="1654">
        <v>9385.1</v>
      </c>
      <c r="E54" s="1654">
        <f t="shared" si="12"/>
        <v>69269.100000000006</v>
      </c>
      <c r="F54" s="1654">
        <v>39815.599999999999</v>
      </c>
      <c r="G54" s="793">
        <v>47841.8</v>
      </c>
      <c r="H54" s="1654">
        <f t="shared" si="13"/>
        <v>87657.4</v>
      </c>
      <c r="I54" s="1654">
        <v>687.7</v>
      </c>
      <c r="J54" s="793">
        <v>14082.4</v>
      </c>
      <c r="K54" s="1654">
        <f t="shared" si="14"/>
        <v>14770.1</v>
      </c>
      <c r="L54" s="209">
        <f>3033.6+353886</f>
        <v>356919.6</v>
      </c>
      <c r="M54" s="209">
        <f t="shared" si="15"/>
        <v>459347.1</v>
      </c>
      <c r="N54" s="1928">
        <v>-67312</v>
      </c>
      <c r="O54" s="209">
        <f t="shared" si="16"/>
        <v>392035.1</v>
      </c>
      <c r="P54" s="209">
        <f t="shared" si="17"/>
        <v>461304.19999999995</v>
      </c>
      <c r="Q54" s="667"/>
      <c r="R54" s="667"/>
    </row>
    <row r="55" spans="1:18" s="153" customFormat="1" ht="10.9" customHeight="1" x14ac:dyDescent="0.2">
      <c r="A55" s="1911" t="s">
        <v>696</v>
      </c>
      <c r="B55" s="135" t="s">
        <v>555</v>
      </c>
      <c r="C55" s="430">
        <v>54868.3</v>
      </c>
      <c r="D55" s="274">
        <v>7505.3</v>
      </c>
      <c r="E55" s="274">
        <f t="shared" si="12"/>
        <v>62373.600000000006</v>
      </c>
      <c r="F55" s="274">
        <v>43786.5</v>
      </c>
      <c r="G55" s="279">
        <v>46927.9</v>
      </c>
      <c r="H55" s="274">
        <f t="shared" si="13"/>
        <v>90714.4</v>
      </c>
      <c r="I55" s="274">
        <v>687.7</v>
      </c>
      <c r="J55" s="274">
        <v>19248</v>
      </c>
      <c r="K55" s="274">
        <f t="shared" si="14"/>
        <v>19935.7</v>
      </c>
      <c r="L55" s="270">
        <f>3055.9+358782.7</f>
        <v>361838.60000000003</v>
      </c>
      <c r="M55" s="270">
        <f t="shared" si="15"/>
        <v>472488.7</v>
      </c>
      <c r="N55" s="1818">
        <v>-70340.2</v>
      </c>
      <c r="O55" s="270">
        <f t="shared" si="16"/>
        <v>402148.5</v>
      </c>
      <c r="P55" s="270">
        <f t="shared" si="17"/>
        <v>464522.1</v>
      </c>
      <c r="Q55" s="667"/>
      <c r="R55" s="667"/>
    </row>
    <row r="56" spans="1:18" s="153" customFormat="1" ht="10.9" customHeight="1" x14ac:dyDescent="0.2">
      <c r="A56" s="1911" t="s">
        <v>696</v>
      </c>
      <c r="B56" s="292" t="s">
        <v>548</v>
      </c>
      <c r="C56" s="429">
        <v>58931.9</v>
      </c>
      <c r="D56" s="1654">
        <v>7898.4</v>
      </c>
      <c r="E56" s="1654">
        <f t="shared" si="12"/>
        <v>66830.3</v>
      </c>
      <c r="F56" s="1654">
        <v>41880.9</v>
      </c>
      <c r="G56" s="793">
        <v>49114.9</v>
      </c>
      <c r="H56" s="1654">
        <f t="shared" si="13"/>
        <v>90995.8</v>
      </c>
      <c r="I56" s="1654">
        <v>684</v>
      </c>
      <c r="J56" s="1654">
        <v>18616.599999999999</v>
      </c>
      <c r="K56" s="1654">
        <f t="shared" si="14"/>
        <v>19300.599999999999</v>
      </c>
      <c r="L56" s="209">
        <f>3173.6+368069</f>
        <v>371242.6</v>
      </c>
      <c r="M56" s="209">
        <f t="shared" si="15"/>
        <v>481539</v>
      </c>
      <c r="N56" s="1896">
        <v>-72872.7</v>
      </c>
      <c r="O56" s="209">
        <f t="shared" si="16"/>
        <v>408666.3</v>
      </c>
      <c r="P56" s="209">
        <f t="shared" si="17"/>
        <v>475496.6</v>
      </c>
      <c r="Q56" s="667"/>
      <c r="R56" s="667"/>
    </row>
    <row r="57" spans="1:18" s="153" customFormat="1" ht="10.9" customHeight="1" x14ac:dyDescent="0.2">
      <c r="A57" s="1911" t="s">
        <v>696</v>
      </c>
      <c r="B57" s="135" t="s">
        <v>556</v>
      </c>
      <c r="C57" s="430">
        <v>61739.7</v>
      </c>
      <c r="D57" s="274">
        <v>7956.3</v>
      </c>
      <c r="E57" s="274">
        <f t="shared" si="12"/>
        <v>69696</v>
      </c>
      <c r="F57" s="274">
        <v>38458</v>
      </c>
      <c r="G57" s="279">
        <v>50561.1</v>
      </c>
      <c r="H57" s="274">
        <f t="shared" si="13"/>
        <v>89019.1</v>
      </c>
      <c r="I57" s="274">
        <v>684</v>
      </c>
      <c r="J57" s="274">
        <v>17239.900000000001</v>
      </c>
      <c r="K57" s="274">
        <f t="shared" si="14"/>
        <v>17923.900000000001</v>
      </c>
      <c r="L57" s="270">
        <f>3205.5+371650.1</f>
        <v>374855.6</v>
      </c>
      <c r="M57" s="270">
        <f t="shared" si="15"/>
        <v>481798.6</v>
      </c>
      <c r="N57" s="428">
        <v>-77791</v>
      </c>
      <c r="O57" s="270">
        <f t="shared" si="16"/>
        <v>404007.6</v>
      </c>
      <c r="P57" s="270">
        <f t="shared" si="17"/>
        <v>473703.6</v>
      </c>
      <c r="Q57" s="667"/>
      <c r="R57" s="667"/>
    </row>
    <row r="58" spans="1:18" s="153" customFormat="1" ht="10.9" customHeight="1" x14ac:dyDescent="0.2">
      <c r="A58" s="1911" t="s">
        <v>696</v>
      </c>
      <c r="B58" s="292" t="s">
        <v>557</v>
      </c>
      <c r="C58" s="429">
        <v>62553.9</v>
      </c>
      <c r="D58" s="1654">
        <v>7211</v>
      </c>
      <c r="E58" s="1654">
        <f t="shared" si="12"/>
        <v>69764.899999999994</v>
      </c>
      <c r="F58" s="1654">
        <v>38064.9</v>
      </c>
      <c r="G58" s="793">
        <v>51604.7</v>
      </c>
      <c r="H58" s="1654">
        <f t="shared" si="13"/>
        <v>89669.6</v>
      </c>
      <c r="I58" s="1654">
        <v>684</v>
      </c>
      <c r="J58" s="1654">
        <v>18489</v>
      </c>
      <c r="K58" s="1654">
        <f t="shared" si="14"/>
        <v>19173</v>
      </c>
      <c r="L58" s="209">
        <f>3236.6+377275</f>
        <v>380511.6</v>
      </c>
      <c r="M58" s="209">
        <f t="shared" si="15"/>
        <v>489354.19999999995</v>
      </c>
      <c r="N58" s="1896">
        <v>-78320.100000000006</v>
      </c>
      <c r="O58" s="209">
        <f t="shared" si="16"/>
        <v>411034.1</v>
      </c>
      <c r="P58" s="209">
        <f t="shared" si="17"/>
        <v>480799</v>
      </c>
      <c r="Q58" s="667"/>
      <c r="R58" s="667"/>
    </row>
    <row r="59" spans="1:18" s="153" customFormat="1" ht="10.9" customHeight="1" x14ac:dyDescent="0.2">
      <c r="A59" s="1911" t="s">
        <v>696</v>
      </c>
      <c r="B59" s="135" t="s">
        <v>549</v>
      </c>
      <c r="C59" s="430">
        <v>63230.5</v>
      </c>
      <c r="D59" s="274">
        <v>8773.7000000000007</v>
      </c>
      <c r="E59" s="274">
        <f t="shared" si="12"/>
        <v>72004.2</v>
      </c>
      <c r="F59" s="274">
        <v>37479.699999999997</v>
      </c>
      <c r="G59" s="279">
        <v>53092.4</v>
      </c>
      <c r="H59" s="274">
        <f t="shared" si="13"/>
        <v>90572.1</v>
      </c>
      <c r="I59" s="274">
        <v>984</v>
      </c>
      <c r="J59" s="274">
        <v>17375.099999999999</v>
      </c>
      <c r="K59" s="274">
        <f t="shared" si="14"/>
        <v>18359.099999999999</v>
      </c>
      <c r="L59" s="270">
        <f>3269.3+383852.3</f>
        <v>387121.6</v>
      </c>
      <c r="M59" s="270">
        <f t="shared" si="15"/>
        <v>496052.8</v>
      </c>
      <c r="N59" s="1818">
        <v>-77729.3</v>
      </c>
      <c r="O59" s="270">
        <f t="shared" si="16"/>
        <v>418323.5</v>
      </c>
      <c r="P59" s="270">
        <f t="shared" si="17"/>
        <v>490327.7</v>
      </c>
      <c r="Q59" s="667"/>
      <c r="R59" s="667"/>
    </row>
    <row r="60" spans="1:18" s="153" customFormat="1" ht="10.9" customHeight="1" x14ac:dyDescent="0.2">
      <c r="A60" s="1911" t="s">
        <v>696</v>
      </c>
      <c r="B60" s="292" t="s">
        <v>558</v>
      </c>
      <c r="C60" s="429">
        <v>65179.3</v>
      </c>
      <c r="D60" s="51">
        <v>9895.2999999999993</v>
      </c>
      <c r="E60" s="51">
        <f t="shared" si="12"/>
        <v>75074.600000000006</v>
      </c>
      <c r="F60" s="51">
        <v>34227.699999999997</v>
      </c>
      <c r="G60" s="24">
        <v>55706.400000000001</v>
      </c>
      <c r="H60" s="51">
        <f t="shared" si="13"/>
        <v>89934.1</v>
      </c>
      <c r="I60" s="51">
        <v>984</v>
      </c>
      <c r="J60" s="51">
        <v>17954.099999999999</v>
      </c>
      <c r="K60" s="51">
        <f t="shared" si="14"/>
        <v>18938.099999999999</v>
      </c>
      <c r="L60" s="214">
        <f>3343.8+387320</f>
        <v>390663.8</v>
      </c>
      <c r="M60" s="214">
        <f>H60+K60+L60</f>
        <v>499536</v>
      </c>
      <c r="N60" s="1817">
        <f>-80809.1+5.6</f>
        <v>-80803.5</v>
      </c>
      <c r="O60" s="214">
        <f t="shared" si="16"/>
        <v>418732.5</v>
      </c>
      <c r="P60" s="214">
        <f>E60+O60</f>
        <v>493807.1</v>
      </c>
      <c r="Q60" s="667"/>
      <c r="R60" s="667"/>
    </row>
    <row r="61" spans="1:18" s="153" customFormat="1" ht="10.9" customHeight="1" x14ac:dyDescent="0.2">
      <c r="A61" s="1911" t="s">
        <v>696</v>
      </c>
      <c r="B61" s="135" t="s">
        <v>559</v>
      </c>
      <c r="C61" s="430">
        <v>64196.3</v>
      </c>
      <c r="D61" s="274">
        <v>8578.7000000000007</v>
      </c>
      <c r="E61" s="274">
        <f t="shared" si="12"/>
        <v>72775</v>
      </c>
      <c r="F61" s="274">
        <v>33532.699999999997</v>
      </c>
      <c r="G61" s="279">
        <v>54698.8</v>
      </c>
      <c r="H61" s="274">
        <f t="shared" si="13"/>
        <v>88231.5</v>
      </c>
      <c r="I61" s="274">
        <v>984</v>
      </c>
      <c r="J61" s="274">
        <v>17417.400000000001</v>
      </c>
      <c r="K61" s="274">
        <f t="shared" si="14"/>
        <v>18401.400000000001</v>
      </c>
      <c r="L61" s="270">
        <f>3396.9+395197.5</f>
        <v>398594.4</v>
      </c>
      <c r="M61" s="270">
        <f>H61+K61+L61</f>
        <v>505227.30000000005</v>
      </c>
      <c r="N61" s="1818">
        <v>-76913.7</v>
      </c>
      <c r="O61" s="270">
        <f t="shared" si="16"/>
        <v>428313.60000000003</v>
      </c>
      <c r="P61" s="270">
        <f t="shared" si="17"/>
        <v>501088.60000000003</v>
      </c>
      <c r="Q61" s="667"/>
      <c r="R61" s="667"/>
    </row>
    <row r="62" spans="1:18" s="153" customFormat="1" ht="10.9" customHeight="1" x14ac:dyDescent="0.2">
      <c r="A62" s="1911" t="s">
        <v>696</v>
      </c>
      <c r="B62" s="292" t="s">
        <v>550</v>
      </c>
      <c r="C62" s="429">
        <v>68930.100000000006</v>
      </c>
      <c r="D62" s="214">
        <v>9888.6</v>
      </c>
      <c r="E62" s="214">
        <f t="shared" si="12"/>
        <v>78818.700000000012</v>
      </c>
      <c r="F62" s="214">
        <v>37854.9</v>
      </c>
      <c r="G62" s="1928">
        <v>53874</v>
      </c>
      <c r="H62" s="214">
        <f t="shared" si="13"/>
        <v>91728.9</v>
      </c>
      <c r="I62" s="214">
        <v>1181.9000000000001</v>
      </c>
      <c r="J62" s="214">
        <v>14160.2</v>
      </c>
      <c r="K62" s="214">
        <f t="shared" si="14"/>
        <v>15342.1</v>
      </c>
      <c r="L62" s="214">
        <f>3598.7+404302.9</f>
        <v>407901.60000000003</v>
      </c>
      <c r="M62" s="214">
        <f>H62+K62+L62</f>
        <v>514972.60000000003</v>
      </c>
      <c r="N62" s="1896">
        <v>-76681.8</v>
      </c>
      <c r="O62" s="214">
        <f t="shared" si="16"/>
        <v>438290.80000000005</v>
      </c>
      <c r="P62" s="214">
        <f t="shared" si="17"/>
        <v>517109.50000000006</v>
      </c>
      <c r="Q62" s="667"/>
      <c r="R62" s="667"/>
    </row>
    <row r="63" spans="1:18" s="153" customFormat="1" ht="10.9" customHeight="1" x14ac:dyDescent="0.2">
      <c r="A63" s="1911" t="s">
        <v>804</v>
      </c>
      <c r="B63" s="135" t="s">
        <v>552</v>
      </c>
      <c r="C63" s="429">
        <v>72982</v>
      </c>
      <c r="D63" s="214">
        <v>10872.6</v>
      </c>
      <c r="E63" s="214">
        <f t="shared" ref="E63:E73" si="18">C63+D63</f>
        <v>83854.600000000006</v>
      </c>
      <c r="F63" s="214">
        <v>36300.5</v>
      </c>
      <c r="G63" s="236">
        <v>57021.2</v>
      </c>
      <c r="H63" s="214">
        <f t="shared" ref="H63:H74" si="19">F63+G63</f>
        <v>93321.7</v>
      </c>
      <c r="I63" s="214">
        <v>1027.3</v>
      </c>
      <c r="J63" s="214">
        <v>17288.8</v>
      </c>
      <c r="K63" s="214">
        <f t="shared" ref="K63:K74" si="20">I63+J63</f>
        <v>18316.099999999999</v>
      </c>
      <c r="L63" s="214">
        <f>3605.7+406056.6</f>
        <v>409662.3</v>
      </c>
      <c r="M63" s="214">
        <f t="shared" ref="M63:M73" si="21">H63+K63+L63</f>
        <v>521300.1</v>
      </c>
      <c r="N63" s="1896">
        <v>-82522.3</v>
      </c>
      <c r="O63" s="214">
        <f t="shared" ref="O63:O73" si="22">M63+N63</f>
        <v>438777.8</v>
      </c>
      <c r="P63" s="214">
        <f t="shared" ref="P63:P73" si="23">E63+O63</f>
        <v>522632.4</v>
      </c>
      <c r="Q63" s="667"/>
      <c r="R63" s="667"/>
    </row>
    <row r="64" spans="1:18" s="153" customFormat="1" ht="10.9" customHeight="1" x14ac:dyDescent="0.2">
      <c r="A64" s="1911" t="s">
        <v>804</v>
      </c>
      <c r="B64" s="292" t="s">
        <v>553</v>
      </c>
      <c r="C64" s="430">
        <v>77573.399999999994</v>
      </c>
      <c r="D64" s="270">
        <v>10475.5</v>
      </c>
      <c r="E64" s="270">
        <f t="shared" si="18"/>
        <v>88048.9</v>
      </c>
      <c r="F64" s="270">
        <v>36910.5</v>
      </c>
      <c r="G64" s="275">
        <v>56368.3</v>
      </c>
      <c r="H64" s="270">
        <f t="shared" si="19"/>
        <v>93278.8</v>
      </c>
      <c r="I64" s="270">
        <v>1027.3</v>
      </c>
      <c r="J64" s="270">
        <v>17555.5</v>
      </c>
      <c r="K64" s="270">
        <f t="shared" si="20"/>
        <v>18582.8</v>
      </c>
      <c r="L64" s="270">
        <f>3648.9+410771.6</f>
        <v>414420.5</v>
      </c>
      <c r="M64" s="270">
        <f t="shared" si="21"/>
        <v>526282.1</v>
      </c>
      <c r="N64" s="1818">
        <v>-81157.399999999994</v>
      </c>
      <c r="O64" s="270">
        <f t="shared" si="22"/>
        <v>445124.69999999995</v>
      </c>
      <c r="P64" s="270">
        <f t="shared" si="23"/>
        <v>533173.6</v>
      </c>
      <c r="Q64" s="667"/>
      <c r="R64" s="667"/>
    </row>
    <row r="65" spans="1:18" s="153" customFormat="1" ht="10.9" customHeight="1" x14ac:dyDescent="0.2">
      <c r="A65" s="1911" t="s">
        <v>804</v>
      </c>
      <c r="B65" s="135" t="s">
        <v>547</v>
      </c>
      <c r="C65" s="429">
        <v>78678.3</v>
      </c>
      <c r="D65" s="214">
        <v>11381.6</v>
      </c>
      <c r="E65" s="214">
        <f t="shared" si="18"/>
        <v>90059.900000000009</v>
      </c>
      <c r="F65" s="214">
        <v>35691.1</v>
      </c>
      <c r="G65" s="214">
        <v>55929.5</v>
      </c>
      <c r="H65" s="214">
        <f t="shared" si="19"/>
        <v>91620.6</v>
      </c>
      <c r="I65" s="214">
        <v>1027.3</v>
      </c>
      <c r="J65" s="214">
        <v>13703.5</v>
      </c>
      <c r="K65" s="214">
        <f t="shared" si="20"/>
        <v>14730.8</v>
      </c>
      <c r="L65" s="214">
        <f>3696.8+416340.7</f>
        <v>420037.5</v>
      </c>
      <c r="M65" s="214">
        <f t="shared" si="21"/>
        <v>526388.9</v>
      </c>
      <c r="N65" s="1896">
        <v>-80345.7</v>
      </c>
      <c r="O65" s="214">
        <f t="shared" si="22"/>
        <v>446043.2</v>
      </c>
      <c r="P65" s="214">
        <f t="shared" si="23"/>
        <v>536103.1</v>
      </c>
      <c r="Q65" s="667"/>
      <c r="R65" s="667"/>
    </row>
    <row r="66" spans="1:18" s="153" customFormat="1" ht="10.9" customHeight="1" x14ac:dyDescent="0.2">
      <c r="A66" s="1911" t="s">
        <v>804</v>
      </c>
      <c r="B66" s="292" t="s">
        <v>554</v>
      </c>
      <c r="C66" s="430">
        <v>84692.3</v>
      </c>
      <c r="D66" s="1818">
        <v>10405.700000000001</v>
      </c>
      <c r="E66" s="270">
        <f t="shared" si="18"/>
        <v>95098</v>
      </c>
      <c r="F66" s="1818">
        <v>40365.4</v>
      </c>
      <c r="G66" s="428">
        <v>58940.800000000003</v>
      </c>
      <c r="H66" s="270">
        <f t="shared" si="19"/>
        <v>99306.200000000012</v>
      </c>
      <c r="I66" s="1818">
        <v>1027.3</v>
      </c>
      <c r="J66" s="1818">
        <v>13893.3</v>
      </c>
      <c r="K66" s="270">
        <f t="shared" si="20"/>
        <v>14920.599999999999</v>
      </c>
      <c r="L66" s="1818">
        <v>422538.1</v>
      </c>
      <c r="M66" s="270">
        <f t="shared" si="21"/>
        <v>536764.9</v>
      </c>
      <c r="N66" s="428">
        <v>-80707.100000000006</v>
      </c>
      <c r="O66" s="270">
        <f t="shared" si="22"/>
        <v>456057.80000000005</v>
      </c>
      <c r="P66" s="270">
        <f t="shared" si="23"/>
        <v>551155.80000000005</v>
      </c>
      <c r="Q66" s="667"/>
      <c r="R66" s="667"/>
    </row>
    <row r="67" spans="1:18" s="153" customFormat="1" ht="10.9" customHeight="1" x14ac:dyDescent="0.2">
      <c r="A67" s="1911" t="s">
        <v>804</v>
      </c>
      <c r="B67" s="135" t="s">
        <v>555</v>
      </c>
      <c r="C67" s="433">
        <v>83735.8</v>
      </c>
      <c r="D67" s="433">
        <v>10733.2</v>
      </c>
      <c r="E67" s="214">
        <f t="shared" si="18"/>
        <v>94469</v>
      </c>
      <c r="F67" s="433">
        <v>38503.9</v>
      </c>
      <c r="G67" s="433">
        <v>60318.5</v>
      </c>
      <c r="H67" s="214">
        <f t="shared" si="19"/>
        <v>98822.399999999994</v>
      </c>
      <c r="I67" s="433">
        <v>1027.3</v>
      </c>
      <c r="J67" s="433">
        <v>18392</v>
      </c>
      <c r="K67" s="214">
        <f t="shared" si="20"/>
        <v>19419.3</v>
      </c>
      <c r="L67" s="433">
        <v>424817.7</v>
      </c>
      <c r="M67" s="214">
        <f t="shared" si="21"/>
        <v>543059.4</v>
      </c>
      <c r="N67" s="1817">
        <v>-86777.1</v>
      </c>
      <c r="O67" s="214">
        <f t="shared" si="22"/>
        <v>456282.30000000005</v>
      </c>
      <c r="P67" s="214">
        <f t="shared" si="23"/>
        <v>550751.30000000005</v>
      </c>
      <c r="Q67" s="667"/>
      <c r="R67" s="667"/>
    </row>
    <row r="68" spans="1:18" s="153" customFormat="1" ht="10.9" customHeight="1" x14ac:dyDescent="0.2">
      <c r="A68" s="1911" t="s">
        <v>804</v>
      </c>
      <c r="B68" s="292" t="s">
        <v>548</v>
      </c>
      <c r="C68" s="428">
        <v>87404.9</v>
      </c>
      <c r="D68" s="428">
        <v>11955.9</v>
      </c>
      <c r="E68" s="270">
        <f t="shared" si="18"/>
        <v>99360.799999999988</v>
      </c>
      <c r="F68" s="428">
        <v>35319.699999999997</v>
      </c>
      <c r="G68" s="428">
        <v>61873.1</v>
      </c>
      <c r="H68" s="270">
        <f t="shared" si="19"/>
        <v>97192.799999999988</v>
      </c>
      <c r="I68" s="428">
        <v>1025.7</v>
      </c>
      <c r="J68" s="428">
        <v>20501.099999999999</v>
      </c>
      <c r="K68" s="270">
        <f t="shared" si="20"/>
        <v>21526.799999999999</v>
      </c>
      <c r="L68" s="428">
        <v>432892.2</v>
      </c>
      <c r="M68" s="270">
        <f t="shared" si="21"/>
        <v>551611.80000000005</v>
      </c>
      <c r="N68" s="428">
        <v>-85066.6</v>
      </c>
      <c r="O68" s="270">
        <f t="shared" si="22"/>
        <v>466545.20000000007</v>
      </c>
      <c r="P68" s="270">
        <f t="shared" si="23"/>
        <v>565906</v>
      </c>
      <c r="Q68" s="667"/>
      <c r="R68" s="667"/>
    </row>
    <row r="69" spans="1:18" s="153" customFormat="1" ht="10.9" customHeight="1" x14ac:dyDescent="0.2">
      <c r="A69" s="1911" t="s">
        <v>804</v>
      </c>
      <c r="B69" s="135" t="s">
        <v>556</v>
      </c>
      <c r="C69" s="433">
        <v>90807.6</v>
      </c>
      <c r="D69" s="433">
        <v>9461</v>
      </c>
      <c r="E69" s="214">
        <f t="shared" si="18"/>
        <v>100268.6</v>
      </c>
      <c r="F69" s="433">
        <v>33359.300000000003</v>
      </c>
      <c r="G69" s="433">
        <v>64929.599999999999</v>
      </c>
      <c r="H69" s="214">
        <f t="shared" si="19"/>
        <v>98288.9</v>
      </c>
      <c r="I69" s="433">
        <v>1075.7</v>
      </c>
      <c r="J69" s="433">
        <v>20775.400000000001</v>
      </c>
      <c r="K69" s="214">
        <f t="shared" si="20"/>
        <v>21851.100000000002</v>
      </c>
      <c r="L69" s="433">
        <v>430429.2</v>
      </c>
      <c r="M69" s="214">
        <f t="shared" si="21"/>
        <v>550569.19999999995</v>
      </c>
      <c r="N69" s="433">
        <v>-88361</v>
      </c>
      <c r="O69" s="214">
        <f t="shared" si="22"/>
        <v>462208.19999999995</v>
      </c>
      <c r="P69" s="214">
        <f t="shared" si="23"/>
        <v>562476.79999999993</v>
      </c>
      <c r="Q69" s="667"/>
      <c r="R69" s="667"/>
    </row>
    <row r="70" spans="1:18" s="153" customFormat="1" ht="10.9" customHeight="1" x14ac:dyDescent="0.2">
      <c r="A70" s="1911" t="s">
        <v>804</v>
      </c>
      <c r="B70" s="292" t="s">
        <v>557</v>
      </c>
      <c r="C70" s="428">
        <v>94028.6</v>
      </c>
      <c r="D70" s="428">
        <v>10538.6</v>
      </c>
      <c r="E70" s="270">
        <f t="shared" si="18"/>
        <v>104567.20000000001</v>
      </c>
      <c r="F70" s="428">
        <v>31122.6</v>
      </c>
      <c r="G70" s="428">
        <v>66233.399999999994</v>
      </c>
      <c r="H70" s="270">
        <f t="shared" si="19"/>
        <v>97356</v>
      </c>
      <c r="I70" s="428">
        <v>1275.7</v>
      </c>
      <c r="J70" s="428">
        <v>22539.1</v>
      </c>
      <c r="K70" s="270">
        <f t="shared" si="20"/>
        <v>23814.799999999999</v>
      </c>
      <c r="L70" s="428">
        <v>433628.5</v>
      </c>
      <c r="M70" s="270">
        <f t="shared" si="21"/>
        <v>554799.30000000005</v>
      </c>
      <c r="N70" s="428">
        <v>-87684.3</v>
      </c>
      <c r="O70" s="270">
        <f t="shared" si="22"/>
        <v>467115.00000000006</v>
      </c>
      <c r="P70" s="270">
        <f t="shared" si="23"/>
        <v>571682.20000000007</v>
      </c>
      <c r="Q70" s="667"/>
      <c r="R70" s="667"/>
    </row>
    <row r="71" spans="1:18" s="153" customFormat="1" ht="10.9" customHeight="1" x14ac:dyDescent="0.2">
      <c r="A71" s="1911" t="s">
        <v>804</v>
      </c>
      <c r="B71" s="135" t="s">
        <v>549</v>
      </c>
      <c r="C71" s="433">
        <v>96607.6</v>
      </c>
      <c r="D71" s="433">
        <v>11395.8</v>
      </c>
      <c r="E71" s="214">
        <f t="shared" si="18"/>
        <v>108003.40000000001</v>
      </c>
      <c r="F71" s="433">
        <v>31095.599999999999</v>
      </c>
      <c r="G71" s="433">
        <v>67086.399999999994</v>
      </c>
      <c r="H71" s="214">
        <f t="shared" si="19"/>
        <v>98182</v>
      </c>
      <c r="I71" s="433">
        <v>1325.7</v>
      </c>
      <c r="J71" s="433">
        <v>23790.9</v>
      </c>
      <c r="K71" s="214">
        <f t="shared" si="20"/>
        <v>25116.600000000002</v>
      </c>
      <c r="L71" s="433">
        <v>436353.9</v>
      </c>
      <c r="M71" s="214">
        <f t="shared" si="21"/>
        <v>559652.5</v>
      </c>
      <c r="N71" s="433">
        <v>-88547.4</v>
      </c>
      <c r="O71" s="214">
        <f t="shared" si="22"/>
        <v>471105.1</v>
      </c>
      <c r="P71" s="214">
        <f t="shared" si="23"/>
        <v>579108.5</v>
      </c>
      <c r="Q71" s="667"/>
      <c r="R71" s="667"/>
    </row>
    <row r="72" spans="1:18" s="153" customFormat="1" ht="10.9" customHeight="1" x14ac:dyDescent="0.2">
      <c r="A72" s="1911" t="s">
        <v>804</v>
      </c>
      <c r="B72" s="292" t="s">
        <v>558</v>
      </c>
      <c r="C72" s="428">
        <v>99856.4</v>
      </c>
      <c r="D72" s="428">
        <v>8892.2000000000007</v>
      </c>
      <c r="E72" s="270">
        <f t="shared" si="18"/>
        <v>108748.59999999999</v>
      </c>
      <c r="F72" s="428">
        <v>30347.8</v>
      </c>
      <c r="G72" s="428">
        <v>70537.399999999994</v>
      </c>
      <c r="H72" s="270">
        <f t="shared" si="19"/>
        <v>100885.2</v>
      </c>
      <c r="I72" s="428">
        <v>1330.9</v>
      </c>
      <c r="J72" s="428">
        <v>25133.200000000001</v>
      </c>
      <c r="K72" s="270">
        <f t="shared" si="20"/>
        <v>26464.100000000002</v>
      </c>
      <c r="L72" s="428">
        <v>440218.1</v>
      </c>
      <c r="M72" s="270">
        <f t="shared" si="21"/>
        <v>567567.4</v>
      </c>
      <c r="N72" s="428">
        <v>-91199.2</v>
      </c>
      <c r="O72" s="270">
        <f t="shared" si="22"/>
        <v>476368.2</v>
      </c>
      <c r="P72" s="270">
        <f t="shared" si="23"/>
        <v>585116.80000000005</v>
      </c>
      <c r="Q72" s="667"/>
      <c r="R72" s="667"/>
    </row>
    <row r="73" spans="1:18" s="153" customFormat="1" ht="10.9" customHeight="1" x14ac:dyDescent="0.2">
      <c r="A73" s="1911" t="s">
        <v>804</v>
      </c>
      <c r="B73" s="135" t="s">
        <v>559</v>
      </c>
      <c r="C73" s="433">
        <v>100572.9</v>
      </c>
      <c r="D73" s="433">
        <v>9298.4</v>
      </c>
      <c r="E73" s="214">
        <f t="shared" si="18"/>
        <v>109871.29999999999</v>
      </c>
      <c r="F73" s="433">
        <v>29227.8</v>
      </c>
      <c r="G73" s="433">
        <v>73377.2</v>
      </c>
      <c r="H73" s="214">
        <f t="shared" si="19"/>
        <v>102605</v>
      </c>
      <c r="I73" s="433">
        <v>1333.6</v>
      </c>
      <c r="J73" s="433">
        <v>26068.2</v>
      </c>
      <c r="K73" s="214">
        <f t="shared" si="20"/>
        <v>27401.8</v>
      </c>
      <c r="L73" s="433">
        <v>444153.4</v>
      </c>
      <c r="M73" s="214">
        <f t="shared" si="21"/>
        <v>574160.20000000007</v>
      </c>
      <c r="N73" s="433">
        <v>-92149.5</v>
      </c>
      <c r="O73" s="214">
        <f t="shared" si="22"/>
        <v>482010.70000000007</v>
      </c>
      <c r="P73" s="214">
        <f t="shared" si="23"/>
        <v>591882</v>
      </c>
      <c r="Q73" s="667"/>
      <c r="R73" s="667"/>
    </row>
    <row r="74" spans="1:18" s="153" customFormat="1" ht="10.9" customHeight="1" x14ac:dyDescent="0.2">
      <c r="A74" s="1911" t="s">
        <v>804</v>
      </c>
      <c r="B74" s="292" t="s">
        <v>550</v>
      </c>
      <c r="C74" s="428">
        <v>103246</v>
      </c>
      <c r="D74" s="428">
        <v>10138.799999999999</v>
      </c>
      <c r="E74" s="270">
        <f>C74+D74</f>
        <v>113384.8</v>
      </c>
      <c r="F74" s="428">
        <v>27069</v>
      </c>
      <c r="G74" s="428">
        <v>83055.7</v>
      </c>
      <c r="H74" s="270">
        <f t="shared" si="19"/>
        <v>110124.7</v>
      </c>
      <c r="I74" s="428">
        <f>50+40+1254+10.5</f>
        <v>1354.5</v>
      </c>
      <c r="J74" s="428">
        <v>8100.7</v>
      </c>
      <c r="K74" s="270">
        <f t="shared" si="20"/>
        <v>9455.2000000000007</v>
      </c>
      <c r="L74" s="428">
        <v>452157.2</v>
      </c>
      <c r="M74" s="270">
        <f>H74+K74+L74</f>
        <v>571737.1</v>
      </c>
      <c r="N74" s="428">
        <v>-81616.5</v>
      </c>
      <c r="O74" s="270">
        <f>M74+N74</f>
        <v>490120.6</v>
      </c>
      <c r="P74" s="270">
        <f>E74+O74</f>
        <v>603505.4</v>
      </c>
      <c r="Q74" s="667"/>
      <c r="R74" s="667"/>
    </row>
    <row r="75" spans="1:18" s="153" customFormat="1" ht="10.9" customHeight="1" x14ac:dyDescent="0.2">
      <c r="A75" s="1911" t="s">
        <v>978</v>
      </c>
      <c r="B75" s="135" t="s">
        <v>552</v>
      </c>
      <c r="C75" s="428">
        <v>106752.9</v>
      </c>
      <c r="D75" s="428">
        <v>9856.5</v>
      </c>
      <c r="E75" s="428">
        <f>C75+D75</f>
        <v>116609.4</v>
      </c>
      <c r="F75" s="428">
        <v>24642.3</v>
      </c>
      <c r="G75" s="428">
        <v>90064.2</v>
      </c>
      <c r="H75" s="270">
        <f t="shared" ref="H75:H83" si="24">F75+G75</f>
        <v>114706.5</v>
      </c>
      <c r="I75" s="428">
        <v>1347.3</v>
      </c>
      <c r="J75" s="428">
        <v>9033.2999999999993</v>
      </c>
      <c r="K75" s="270">
        <f>I75+J75</f>
        <v>10380.599999999999</v>
      </c>
      <c r="L75" s="428">
        <v>456476</v>
      </c>
      <c r="M75" s="270">
        <f t="shared" ref="M75:M86" si="25">H75+K75+L75</f>
        <v>581563.1</v>
      </c>
      <c r="N75" s="270">
        <v>-84672.4</v>
      </c>
      <c r="O75" s="270">
        <f>M75+N75</f>
        <v>496890.69999999995</v>
      </c>
      <c r="P75" s="270">
        <f t="shared" ref="P75:P86" si="26">E75+O75</f>
        <v>613500.1</v>
      </c>
      <c r="Q75" s="667"/>
      <c r="R75" s="667"/>
    </row>
    <row r="76" spans="1:18" s="153" customFormat="1" ht="10.9" customHeight="1" x14ac:dyDescent="0.2">
      <c r="A76" s="1911" t="s">
        <v>978</v>
      </c>
      <c r="B76" s="292" t="s">
        <v>553</v>
      </c>
      <c r="C76" s="433">
        <v>109387.8</v>
      </c>
      <c r="D76" s="433">
        <v>10043.800000000001</v>
      </c>
      <c r="E76" s="433">
        <f t="shared" ref="E76:E83" si="27">C76+D76</f>
        <v>119431.6</v>
      </c>
      <c r="F76" s="433">
        <v>19429.099999999999</v>
      </c>
      <c r="G76" s="433">
        <v>90870</v>
      </c>
      <c r="H76" s="214">
        <f t="shared" si="24"/>
        <v>110299.1</v>
      </c>
      <c r="I76" s="433">
        <f>1254+40.4+50+2.7</f>
        <v>1347.1000000000001</v>
      </c>
      <c r="J76" s="433">
        <v>8941</v>
      </c>
      <c r="K76" s="214">
        <f t="shared" ref="K76:K86" si="28">I76+J76</f>
        <v>10288.1</v>
      </c>
      <c r="L76" s="433">
        <v>460618.7</v>
      </c>
      <c r="M76" s="214">
        <f t="shared" si="25"/>
        <v>581205.9</v>
      </c>
      <c r="N76" s="214">
        <v>-80640.800000000003</v>
      </c>
      <c r="O76" s="214">
        <f t="shared" ref="O76:O83" si="29">M76+N76</f>
        <v>500565.10000000003</v>
      </c>
      <c r="P76" s="214">
        <f t="shared" si="26"/>
        <v>619996.70000000007</v>
      </c>
      <c r="Q76" s="667"/>
      <c r="R76" s="667"/>
    </row>
    <row r="77" spans="1:18" s="153" customFormat="1" ht="10.9" customHeight="1" x14ac:dyDescent="0.2">
      <c r="A77" s="1911" t="s">
        <v>978</v>
      </c>
      <c r="B77" s="135" t="s">
        <v>547</v>
      </c>
      <c r="C77" s="428">
        <v>111688.5</v>
      </c>
      <c r="D77" s="428">
        <v>10452.300000000001</v>
      </c>
      <c r="E77" s="428">
        <f t="shared" si="27"/>
        <v>122140.8</v>
      </c>
      <c r="F77" s="428">
        <v>17066.8</v>
      </c>
      <c r="G77" s="428">
        <v>92858.8</v>
      </c>
      <c r="H77" s="270">
        <f>F77+G77</f>
        <v>109925.6</v>
      </c>
      <c r="I77" s="274">
        <f>50+40.7+5.3+1254</f>
        <v>1350</v>
      </c>
      <c r="J77" s="428">
        <v>9203.2999999999993</v>
      </c>
      <c r="K77" s="270">
        <f t="shared" si="28"/>
        <v>10553.3</v>
      </c>
      <c r="L77" s="428">
        <v>465789.5</v>
      </c>
      <c r="M77" s="270">
        <f t="shared" si="25"/>
        <v>586268.4</v>
      </c>
      <c r="N77" s="270">
        <v>-81685.3</v>
      </c>
      <c r="O77" s="270">
        <f t="shared" si="29"/>
        <v>504583.10000000003</v>
      </c>
      <c r="P77" s="270">
        <f t="shared" si="26"/>
        <v>626723.9</v>
      </c>
      <c r="Q77" s="667"/>
      <c r="R77" s="667"/>
    </row>
    <row r="78" spans="1:18" s="153" customFormat="1" ht="10.9" customHeight="1" x14ac:dyDescent="0.2">
      <c r="A78" s="1911" t="s">
        <v>978</v>
      </c>
      <c r="B78" s="292" t="s">
        <v>554</v>
      </c>
      <c r="C78" s="433">
        <v>117666.6</v>
      </c>
      <c r="D78" s="433">
        <v>9892.4</v>
      </c>
      <c r="E78" s="433">
        <f t="shared" si="27"/>
        <v>127559</v>
      </c>
      <c r="F78" s="433">
        <v>21871.599999999999</v>
      </c>
      <c r="G78" s="433">
        <v>92689.8</v>
      </c>
      <c r="H78" s="214">
        <f t="shared" si="24"/>
        <v>114561.4</v>
      </c>
      <c r="I78" s="793">
        <f>50+40.9+1253.8+8</f>
        <v>1352.7</v>
      </c>
      <c r="J78" s="433">
        <v>9512.4</v>
      </c>
      <c r="K78" s="214">
        <f t="shared" si="28"/>
        <v>10865.1</v>
      </c>
      <c r="L78" s="433">
        <v>468466.5</v>
      </c>
      <c r="M78" s="214">
        <f t="shared" si="25"/>
        <v>593893</v>
      </c>
      <c r="N78" s="214">
        <v>-81134.8</v>
      </c>
      <c r="O78" s="214">
        <f t="shared" si="29"/>
        <v>512758.2</v>
      </c>
      <c r="P78" s="214">
        <f t="shared" si="26"/>
        <v>640317.19999999995</v>
      </c>
      <c r="Q78" s="667"/>
      <c r="R78" s="667"/>
    </row>
    <row r="79" spans="1:18" s="153" customFormat="1" ht="10.9" customHeight="1" x14ac:dyDescent="0.2">
      <c r="A79" s="1911" t="s">
        <v>978</v>
      </c>
      <c r="B79" s="135" t="s">
        <v>555</v>
      </c>
      <c r="C79" s="428">
        <v>120038.5</v>
      </c>
      <c r="D79" s="428">
        <v>10550.800000000001</v>
      </c>
      <c r="E79" s="428">
        <f t="shared" si="27"/>
        <v>130589.3</v>
      </c>
      <c r="F79" s="428">
        <v>18079.2</v>
      </c>
      <c r="G79" s="428">
        <v>95852.4</v>
      </c>
      <c r="H79" s="270">
        <f t="shared" si="24"/>
        <v>113931.59999999999</v>
      </c>
      <c r="I79" s="270">
        <f>50+41+1253.5+10.5</f>
        <v>1355</v>
      </c>
      <c r="J79" s="428">
        <v>9874.4</v>
      </c>
      <c r="K79" s="270">
        <f t="shared" si="28"/>
        <v>11229.4</v>
      </c>
      <c r="L79" s="428">
        <v>471319.1</v>
      </c>
      <c r="M79" s="270">
        <f t="shared" si="25"/>
        <v>596480.1</v>
      </c>
      <c r="N79" s="270">
        <v>-84493.4</v>
      </c>
      <c r="O79" s="270">
        <f t="shared" si="29"/>
        <v>511986.69999999995</v>
      </c>
      <c r="P79" s="270">
        <f t="shared" si="26"/>
        <v>642576</v>
      </c>
      <c r="Q79" s="667"/>
      <c r="R79" s="667"/>
    </row>
    <row r="80" spans="1:18" s="153" customFormat="1" ht="10.9" customHeight="1" x14ac:dyDescent="0.2">
      <c r="A80" s="1911" t="s">
        <v>978</v>
      </c>
      <c r="B80" s="292" t="s">
        <v>548</v>
      </c>
      <c r="C80" s="433">
        <v>123425.7</v>
      </c>
      <c r="D80" s="433">
        <v>10742.7</v>
      </c>
      <c r="E80" s="433">
        <f t="shared" si="27"/>
        <v>134168.4</v>
      </c>
      <c r="F80" s="433">
        <v>18173.400000000001</v>
      </c>
      <c r="G80" s="433">
        <v>96671.7</v>
      </c>
      <c r="H80" s="214">
        <f t="shared" si="24"/>
        <v>114845.1</v>
      </c>
      <c r="I80" s="433">
        <f>50+40.4+1253.5+15.9</f>
        <v>1359.8000000000002</v>
      </c>
      <c r="J80" s="433">
        <v>10997.9</v>
      </c>
      <c r="K80" s="214">
        <f t="shared" si="28"/>
        <v>12357.7</v>
      </c>
      <c r="L80" s="433">
        <v>478766.6</v>
      </c>
      <c r="M80" s="214">
        <f t="shared" si="25"/>
        <v>605969.4</v>
      </c>
      <c r="N80" s="214">
        <v>-86171.199999999997</v>
      </c>
      <c r="O80" s="214">
        <f t="shared" si="29"/>
        <v>519798.2</v>
      </c>
      <c r="P80" s="214">
        <f t="shared" si="26"/>
        <v>653966.6</v>
      </c>
      <c r="Q80" s="667"/>
      <c r="R80" s="667"/>
    </row>
    <row r="81" spans="1:18" s="153" customFormat="1" ht="10.9" customHeight="1" x14ac:dyDescent="0.2">
      <c r="A81" s="1911" t="s">
        <v>978</v>
      </c>
      <c r="B81" s="135" t="s">
        <v>556</v>
      </c>
      <c r="C81" s="1818">
        <v>125711.6</v>
      </c>
      <c r="D81" s="428">
        <v>10953</v>
      </c>
      <c r="E81" s="1818">
        <f t="shared" si="27"/>
        <v>136664.6</v>
      </c>
      <c r="F81" s="1818">
        <v>14599.7</v>
      </c>
      <c r="G81" s="428">
        <v>100340</v>
      </c>
      <c r="H81" s="270">
        <f t="shared" si="24"/>
        <v>114939.7</v>
      </c>
      <c r="I81" s="1818">
        <v>1293.2</v>
      </c>
      <c r="J81" s="1818">
        <v>11102.5</v>
      </c>
      <c r="K81" s="270">
        <f t="shared" si="28"/>
        <v>12395.7</v>
      </c>
      <c r="L81" s="1818">
        <v>478128.7</v>
      </c>
      <c r="M81" s="270">
        <f t="shared" si="25"/>
        <v>605464.1</v>
      </c>
      <c r="N81" s="270">
        <v>-88363.199999999997</v>
      </c>
      <c r="O81" s="270">
        <f t="shared" si="29"/>
        <v>517100.89999999997</v>
      </c>
      <c r="P81" s="270">
        <f t="shared" si="26"/>
        <v>653765.5</v>
      </c>
      <c r="Q81" s="667"/>
      <c r="R81" s="667"/>
    </row>
    <row r="82" spans="1:18" s="153" customFormat="1" ht="10.9" customHeight="1" x14ac:dyDescent="0.2">
      <c r="A82" s="1911" t="s">
        <v>978</v>
      </c>
      <c r="B82" s="292" t="s">
        <v>557</v>
      </c>
      <c r="C82" s="433">
        <v>130380.3</v>
      </c>
      <c r="D82" s="433">
        <v>12656.4</v>
      </c>
      <c r="E82" s="433">
        <f t="shared" si="27"/>
        <v>143036.70000000001</v>
      </c>
      <c r="F82" s="433">
        <v>13355.7</v>
      </c>
      <c r="G82" s="433">
        <v>102664.9</v>
      </c>
      <c r="H82" s="214">
        <f t="shared" si="24"/>
        <v>116020.59999999999</v>
      </c>
      <c r="I82" s="433">
        <v>1296</v>
      </c>
      <c r="J82" s="433">
        <v>11316.3</v>
      </c>
      <c r="K82" s="214">
        <f t="shared" si="28"/>
        <v>12612.3</v>
      </c>
      <c r="L82" s="433">
        <v>480176.4</v>
      </c>
      <c r="M82" s="214">
        <f t="shared" si="25"/>
        <v>608809.30000000005</v>
      </c>
      <c r="N82" s="214">
        <v>-89534.6</v>
      </c>
      <c r="O82" s="214">
        <f t="shared" si="29"/>
        <v>519274.70000000007</v>
      </c>
      <c r="P82" s="214">
        <f t="shared" si="26"/>
        <v>662311.40000000014</v>
      </c>
      <c r="Q82" s="667"/>
      <c r="R82" s="667"/>
    </row>
    <row r="83" spans="1:18" s="153" customFormat="1" ht="10.9" customHeight="1" x14ac:dyDescent="0.2">
      <c r="A83" s="1911" t="s">
        <v>978</v>
      </c>
      <c r="B83" s="135" t="s">
        <v>549</v>
      </c>
      <c r="C83" s="428">
        <v>134649.70000000001</v>
      </c>
      <c r="D83" s="428">
        <v>12257.800000000001</v>
      </c>
      <c r="E83" s="428">
        <f t="shared" si="27"/>
        <v>146907.5</v>
      </c>
      <c r="F83" s="428">
        <v>6391.3</v>
      </c>
      <c r="G83" s="428">
        <v>107653.3</v>
      </c>
      <c r="H83" s="270">
        <f t="shared" si="24"/>
        <v>114044.6</v>
      </c>
      <c r="I83" s="428">
        <v>1248.8</v>
      </c>
      <c r="J83" s="428">
        <v>12043</v>
      </c>
      <c r="K83" s="270">
        <f t="shared" si="28"/>
        <v>13291.8</v>
      </c>
      <c r="L83" s="428">
        <v>486378.4</v>
      </c>
      <c r="M83" s="270">
        <f t="shared" si="25"/>
        <v>613714.80000000005</v>
      </c>
      <c r="N83" s="270">
        <v>-92912.7</v>
      </c>
      <c r="O83" s="270">
        <f t="shared" si="29"/>
        <v>520802.10000000003</v>
      </c>
      <c r="P83" s="270">
        <f t="shared" si="26"/>
        <v>667709.60000000009</v>
      </c>
      <c r="Q83" s="667"/>
      <c r="R83" s="667"/>
    </row>
    <row r="84" spans="1:18" s="153" customFormat="1" ht="10.9" customHeight="1" x14ac:dyDescent="0.2">
      <c r="A84" s="1911" t="s">
        <v>978</v>
      </c>
      <c r="B84" s="292" t="s">
        <v>558</v>
      </c>
      <c r="C84" s="434">
        <v>137961.29999999999</v>
      </c>
      <c r="D84" s="434">
        <v>12390.8</v>
      </c>
      <c r="E84" s="433">
        <f>C84+D84</f>
        <v>150352.09999999998</v>
      </c>
      <c r="F84" s="433">
        <v>3294.3</v>
      </c>
      <c r="G84" s="433">
        <v>109859.9</v>
      </c>
      <c r="H84" s="214">
        <f>F84+G84</f>
        <v>113154.2</v>
      </c>
      <c r="I84" s="433">
        <v>1249.5</v>
      </c>
      <c r="J84" s="433">
        <v>11934.7</v>
      </c>
      <c r="K84" s="433">
        <f t="shared" si="28"/>
        <v>13184.2</v>
      </c>
      <c r="L84" s="433">
        <v>492409.7</v>
      </c>
      <c r="M84" s="433">
        <f t="shared" si="25"/>
        <v>618748.1</v>
      </c>
      <c r="N84" s="434">
        <v>-95527.6</v>
      </c>
      <c r="O84" s="433">
        <f>M84+N84</f>
        <v>523220.5</v>
      </c>
      <c r="P84" s="433">
        <f t="shared" si="26"/>
        <v>673572.6</v>
      </c>
      <c r="Q84" s="667"/>
      <c r="R84" s="667"/>
    </row>
    <row r="85" spans="1:18" s="153" customFormat="1" ht="10.9" customHeight="1" x14ac:dyDescent="0.2">
      <c r="A85" s="1911" t="s">
        <v>978</v>
      </c>
      <c r="B85" s="135" t="s">
        <v>559</v>
      </c>
      <c r="C85" s="1897">
        <v>142295.5</v>
      </c>
      <c r="D85" s="1897">
        <v>11908.7</v>
      </c>
      <c r="E85" s="428">
        <f>C85+D85</f>
        <v>154204.20000000001</v>
      </c>
      <c r="F85" s="430">
        <v>851</v>
      </c>
      <c r="G85" s="1897">
        <v>111103.4</v>
      </c>
      <c r="H85" s="270">
        <f>F85+G85</f>
        <v>111954.4</v>
      </c>
      <c r="I85" s="1897">
        <v>1250.7</v>
      </c>
      <c r="J85" s="1897">
        <v>12655.7</v>
      </c>
      <c r="K85" s="428">
        <f t="shared" si="28"/>
        <v>13906.400000000001</v>
      </c>
      <c r="L85" s="1897">
        <v>494720.5</v>
      </c>
      <c r="M85" s="428">
        <f t="shared" si="25"/>
        <v>620581.30000000005</v>
      </c>
      <c r="N85" s="1897">
        <v>-92624.7</v>
      </c>
      <c r="O85" s="428">
        <f>M85+N85</f>
        <v>527956.60000000009</v>
      </c>
      <c r="P85" s="428">
        <f t="shared" si="26"/>
        <v>682160.8</v>
      </c>
      <c r="Q85" s="667"/>
      <c r="R85" s="667"/>
    </row>
    <row r="86" spans="1:18" s="153" customFormat="1" ht="10.9" customHeight="1" x14ac:dyDescent="0.2">
      <c r="A86" s="1911" t="s">
        <v>978</v>
      </c>
      <c r="B86" s="292" t="s">
        <v>550</v>
      </c>
      <c r="C86" s="434">
        <v>147496.6</v>
      </c>
      <c r="D86" s="429">
        <v>12560</v>
      </c>
      <c r="E86" s="433">
        <f>C86+D86</f>
        <v>160056.6</v>
      </c>
      <c r="F86" s="433">
        <v>3840.6</v>
      </c>
      <c r="G86" s="433">
        <v>113688.8</v>
      </c>
      <c r="H86" s="214">
        <f>F86+G86</f>
        <v>117529.40000000001</v>
      </c>
      <c r="I86" s="433">
        <v>1202.7</v>
      </c>
      <c r="J86" s="433">
        <v>11534.2</v>
      </c>
      <c r="K86" s="433">
        <f t="shared" si="28"/>
        <v>12736.900000000001</v>
      </c>
      <c r="L86" s="433">
        <v>507639.9</v>
      </c>
      <c r="M86" s="433">
        <f t="shared" si="25"/>
        <v>637906.20000000007</v>
      </c>
      <c r="N86" s="434">
        <v>-97339.3</v>
      </c>
      <c r="O86" s="433">
        <f>M86+N86</f>
        <v>540566.9</v>
      </c>
      <c r="P86" s="433">
        <f t="shared" si="26"/>
        <v>700623.5</v>
      </c>
      <c r="Q86" s="667"/>
      <c r="R86" s="667"/>
    </row>
    <row r="87" spans="1:18" s="153" customFormat="1" ht="10.9" customHeight="1" x14ac:dyDescent="0.2">
      <c r="A87" s="1911" t="s">
        <v>1029</v>
      </c>
      <c r="B87" s="135" t="s">
        <v>552</v>
      </c>
      <c r="C87" s="23">
        <v>150372.29999999999</v>
      </c>
      <c r="D87" s="23">
        <v>12248.3</v>
      </c>
      <c r="E87" s="23">
        <f t="shared" ref="E87:E98" si="30">C87+D87</f>
        <v>162620.59999999998</v>
      </c>
      <c r="F87" s="23">
        <v>9931.7000000000007</v>
      </c>
      <c r="G87" s="23">
        <v>114755</v>
      </c>
      <c r="H87" s="23">
        <f t="shared" ref="H87:H98" si="31">F87+G87</f>
        <v>124686.7</v>
      </c>
      <c r="I87" s="23">
        <v>1187.2</v>
      </c>
      <c r="J87" s="23">
        <v>12076.6</v>
      </c>
      <c r="K87" s="23">
        <f t="shared" ref="K87:K98" si="32">I87+J87</f>
        <v>13263.800000000001</v>
      </c>
      <c r="L87" s="23">
        <v>507838.4</v>
      </c>
      <c r="M87" s="23">
        <f t="shared" ref="M87:M98" si="33">H87+K87+L87</f>
        <v>645788.9</v>
      </c>
      <c r="N87" s="23">
        <v>-93624.8</v>
      </c>
      <c r="O87" s="1899">
        <f t="shared" ref="O87:O98" si="34">M87+N87</f>
        <v>552164.1</v>
      </c>
      <c r="P87" s="23">
        <f t="shared" ref="P87:P98" si="35">E87+O87</f>
        <v>714784.7</v>
      </c>
      <c r="Q87" s="667"/>
      <c r="R87" s="667"/>
    </row>
    <row r="88" spans="1:18" s="153" customFormat="1" ht="10.9" customHeight="1" x14ac:dyDescent="0.2">
      <c r="A88" s="1911" t="s">
        <v>1029</v>
      </c>
      <c r="B88" s="292" t="s">
        <v>553</v>
      </c>
      <c r="C88" s="1436">
        <v>152136.20000000001</v>
      </c>
      <c r="D88" s="1436">
        <v>10943.1</v>
      </c>
      <c r="E88" s="1436">
        <f t="shared" si="30"/>
        <v>163079.30000000002</v>
      </c>
      <c r="F88" s="1436">
        <v>822.6</v>
      </c>
      <c r="G88" s="1436">
        <v>118669.5</v>
      </c>
      <c r="H88" s="1436">
        <f t="shared" si="31"/>
        <v>119492.1</v>
      </c>
      <c r="I88" s="1436">
        <v>1139.9000000000001</v>
      </c>
      <c r="J88" s="1436">
        <v>13509.8</v>
      </c>
      <c r="K88" s="1436">
        <f t="shared" si="32"/>
        <v>14649.699999999999</v>
      </c>
      <c r="L88" s="1436">
        <v>513083.1</v>
      </c>
      <c r="M88" s="1436">
        <f t="shared" si="33"/>
        <v>647224.9</v>
      </c>
      <c r="N88" s="1436">
        <v>-97218.5</v>
      </c>
      <c r="O88" s="1436">
        <f t="shared" si="34"/>
        <v>550006.4</v>
      </c>
      <c r="P88" s="1436">
        <f t="shared" si="35"/>
        <v>713085.70000000007</v>
      </c>
      <c r="Q88" s="667"/>
      <c r="R88" s="667"/>
    </row>
    <row r="89" spans="1:18" s="153" customFormat="1" ht="10.9" customHeight="1" x14ac:dyDescent="0.2">
      <c r="A89" s="1911" t="s">
        <v>1029</v>
      </c>
      <c r="B89" s="135" t="s">
        <v>547</v>
      </c>
      <c r="C89" s="23">
        <v>154043.79999999999</v>
      </c>
      <c r="D89" s="23">
        <v>11048.5</v>
      </c>
      <c r="E89" s="23">
        <f t="shared" si="30"/>
        <v>165092.29999999999</v>
      </c>
      <c r="F89" s="23">
        <v>-2395.5</v>
      </c>
      <c r="G89" s="23">
        <v>123638.2</v>
      </c>
      <c r="H89" s="23">
        <f t="shared" si="31"/>
        <v>121242.7</v>
      </c>
      <c r="I89" s="23">
        <v>1092.8</v>
      </c>
      <c r="J89" s="23">
        <v>13484.1</v>
      </c>
      <c r="K89" s="23">
        <f t="shared" si="32"/>
        <v>14576.9</v>
      </c>
      <c r="L89" s="1899">
        <v>522399</v>
      </c>
      <c r="M89" s="23">
        <f t="shared" si="33"/>
        <v>658218.6</v>
      </c>
      <c r="N89" s="23">
        <v>-98307.5</v>
      </c>
      <c r="O89" s="23">
        <f t="shared" si="34"/>
        <v>559911.1</v>
      </c>
      <c r="P89" s="23">
        <f t="shared" si="35"/>
        <v>725003.39999999991</v>
      </c>
      <c r="Q89" s="667"/>
      <c r="R89" s="667"/>
    </row>
    <row r="90" spans="1:18" s="153" customFormat="1" ht="10.9" customHeight="1" x14ac:dyDescent="0.2">
      <c r="A90" s="1911" t="s">
        <v>1029</v>
      </c>
      <c r="B90" s="292" t="s">
        <v>554</v>
      </c>
      <c r="C90" s="1436">
        <v>154510.20000000001</v>
      </c>
      <c r="D90" s="1436">
        <v>9400.7000000000007</v>
      </c>
      <c r="E90" s="1436">
        <f t="shared" si="30"/>
        <v>163910.90000000002</v>
      </c>
      <c r="F90" s="1436">
        <v>-6420.5</v>
      </c>
      <c r="G90" s="1436">
        <v>124057.1</v>
      </c>
      <c r="H90" s="1436">
        <f t="shared" si="31"/>
        <v>117636.6</v>
      </c>
      <c r="I90" s="1436">
        <v>1085.5999999999999</v>
      </c>
      <c r="J90" s="1436">
        <v>13383.7</v>
      </c>
      <c r="K90" s="1436">
        <f t="shared" si="32"/>
        <v>14469.300000000001</v>
      </c>
      <c r="L90" s="1436">
        <v>525233.30000000005</v>
      </c>
      <c r="M90" s="1436">
        <f t="shared" si="33"/>
        <v>657339.20000000007</v>
      </c>
      <c r="N90" s="1436">
        <v>-100285.3</v>
      </c>
      <c r="O90" s="1436">
        <f t="shared" si="34"/>
        <v>557053.9</v>
      </c>
      <c r="P90" s="1436">
        <f t="shared" si="35"/>
        <v>720964.8</v>
      </c>
      <c r="Q90" s="667"/>
      <c r="R90" s="667"/>
    </row>
    <row r="91" spans="1:18" s="153" customFormat="1" ht="10.9" customHeight="1" x14ac:dyDescent="0.2">
      <c r="A91" s="1911" t="s">
        <v>1029</v>
      </c>
      <c r="B91" s="135" t="s">
        <v>555</v>
      </c>
      <c r="C91" s="23">
        <v>153753.60000000001</v>
      </c>
      <c r="D91" s="23">
        <v>9968.5</v>
      </c>
      <c r="E91" s="23">
        <f t="shared" si="30"/>
        <v>163722.1</v>
      </c>
      <c r="F91" s="23">
        <v>-4858.6000000000004</v>
      </c>
      <c r="G91" s="23">
        <v>119548.8</v>
      </c>
      <c r="H91" s="23">
        <f t="shared" si="31"/>
        <v>114690.2</v>
      </c>
      <c r="I91" s="23">
        <v>2152.3000000000002</v>
      </c>
      <c r="J91" s="23">
        <v>14145.5</v>
      </c>
      <c r="K91" s="23">
        <f t="shared" si="32"/>
        <v>16297.8</v>
      </c>
      <c r="L91" s="23">
        <v>531051.1</v>
      </c>
      <c r="M91" s="23">
        <f t="shared" si="33"/>
        <v>662039.1</v>
      </c>
      <c r="N91" s="1899">
        <v>-100696</v>
      </c>
      <c r="O91" s="23">
        <f t="shared" si="34"/>
        <v>561343.1</v>
      </c>
      <c r="P91" s="23">
        <f t="shared" si="35"/>
        <v>725065.2</v>
      </c>
      <c r="Q91" s="667"/>
      <c r="R91" s="667"/>
    </row>
    <row r="92" spans="1:18" s="153" customFormat="1" ht="10.9" customHeight="1" x14ac:dyDescent="0.2">
      <c r="A92" s="1911" t="s">
        <v>1029</v>
      </c>
      <c r="B92" s="292" t="s">
        <v>548</v>
      </c>
      <c r="C92" s="279">
        <v>155959.20000000001</v>
      </c>
      <c r="D92" s="279">
        <v>11342.7</v>
      </c>
      <c r="E92" s="279">
        <f t="shared" si="30"/>
        <v>167301.90000000002</v>
      </c>
      <c r="F92" s="279">
        <v>-6984.9</v>
      </c>
      <c r="G92" s="279">
        <v>119075.5</v>
      </c>
      <c r="H92" s="279">
        <f t="shared" si="31"/>
        <v>112090.6</v>
      </c>
      <c r="I92" s="279">
        <v>2107.6</v>
      </c>
      <c r="J92" s="279">
        <v>16129.2</v>
      </c>
      <c r="K92" s="279">
        <f t="shared" si="32"/>
        <v>18236.8</v>
      </c>
      <c r="L92" s="279">
        <v>543407.19999999995</v>
      </c>
      <c r="M92" s="279">
        <f t="shared" si="33"/>
        <v>673734.6</v>
      </c>
      <c r="N92" s="279">
        <v>-99788.2</v>
      </c>
      <c r="O92" s="279">
        <f t="shared" si="34"/>
        <v>573946.4</v>
      </c>
      <c r="P92" s="279">
        <f t="shared" si="35"/>
        <v>741248.3</v>
      </c>
      <c r="Q92" s="667"/>
      <c r="R92" s="667"/>
    </row>
    <row r="93" spans="1:18" s="153" customFormat="1" ht="10.9" customHeight="1" x14ac:dyDescent="0.2">
      <c r="A93" s="1911" t="s">
        <v>1029</v>
      </c>
      <c r="B93" s="135" t="s">
        <v>556</v>
      </c>
      <c r="C93" s="23">
        <v>156818.1</v>
      </c>
      <c r="D93" s="23">
        <v>10839.8</v>
      </c>
      <c r="E93" s="23">
        <f t="shared" si="30"/>
        <v>167657.9</v>
      </c>
      <c r="F93" s="1899">
        <v>-6795</v>
      </c>
      <c r="G93" s="23">
        <v>118009.2</v>
      </c>
      <c r="H93" s="23">
        <f t="shared" si="31"/>
        <v>111214.2</v>
      </c>
      <c r="I93" s="23">
        <v>2072.1</v>
      </c>
      <c r="J93" s="23">
        <v>15822.7</v>
      </c>
      <c r="K93" s="23">
        <f t="shared" si="32"/>
        <v>17894.8</v>
      </c>
      <c r="L93" s="23">
        <v>541881.9</v>
      </c>
      <c r="M93" s="23">
        <f t="shared" si="33"/>
        <v>670990.9</v>
      </c>
      <c r="N93" s="1899">
        <v>-100122.3</v>
      </c>
      <c r="O93" s="23">
        <f t="shared" si="34"/>
        <v>570868.6</v>
      </c>
      <c r="P93" s="23">
        <f t="shared" si="35"/>
        <v>738526.5</v>
      </c>
      <c r="Q93" s="667"/>
      <c r="R93" s="667"/>
    </row>
    <row r="94" spans="1:18" s="153" customFormat="1" ht="10.9" customHeight="1" x14ac:dyDescent="0.2">
      <c r="A94" s="1911" t="s">
        <v>1029</v>
      </c>
      <c r="B94" s="292" t="s">
        <v>557</v>
      </c>
      <c r="C94" s="279">
        <v>160880.70000000001</v>
      </c>
      <c r="D94" s="279">
        <v>10712.9</v>
      </c>
      <c r="E94" s="279">
        <f t="shared" si="30"/>
        <v>171593.60000000001</v>
      </c>
      <c r="F94" s="274">
        <v>-6521</v>
      </c>
      <c r="G94" s="279">
        <v>117222.5</v>
      </c>
      <c r="H94" s="279">
        <f t="shared" si="31"/>
        <v>110701.5</v>
      </c>
      <c r="I94" s="279">
        <v>2070.6999999999998</v>
      </c>
      <c r="J94" s="279">
        <v>15269.6</v>
      </c>
      <c r="K94" s="279">
        <f t="shared" si="32"/>
        <v>17340.3</v>
      </c>
      <c r="L94" s="279">
        <v>545534.5</v>
      </c>
      <c r="M94" s="279">
        <f t="shared" si="33"/>
        <v>673576.3</v>
      </c>
      <c r="N94" s="279">
        <v>-98083.4</v>
      </c>
      <c r="O94" s="279">
        <f t="shared" si="34"/>
        <v>575492.9</v>
      </c>
      <c r="P94" s="279">
        <f t="shared" si="35"/>
        <v>747086.5</v>
      </c>
      <c r="Q94" s="667"/>
      <c r="R94" s="667"/>
    </row>
    <row r="95" spans="1:18" s="153" customFormat="1" ht="10.9" customHeight="1" x14ac:dyDescent="0.2">
      <c r="A95" s="1911" t="s">
        <v>1029</v>
      </c>
      <c r="B95" s="135" t="s">
        <v>549</v>
      </c>
      <c r="C95" s="236">
        <v>164925.4</v>
      </c>
      <c r="D95" s="236">
        <v>12568.7</v>
      </c>
      <c r="E95" s="236">
        <f t="shared" si="30"/>
        <v>177494.1</v>
      </c>
      <c r="F95" s="236">
        <v>-12831.1</v>
      </c>
      <c r="G95" s="236">
        <v>118479.9</v>
      </c>
      <c r="H95" s="236">
        <f t="shared" si="31"/>
        <v>105648.79999999999</v>
      </c>
      <c r="I95" s="236">
        <v>2073.1999999999998</v>
      </c>
      <c r="J95" s="214">
        <v>15845.1</v>
      </c>
      <c r="K95" s="236">
        <f t="shared" si="32"/>
        <v>17918.3</v>
      </c>
      <c r="L95" s="236">
        <v>552668.1</v>
      </c>
      <c r="M95" s="236">
        <f t="shared" si="33"/>
        <v>676235.2</v>
      </c>
      <c r="N95" s="236">
        <v>-102342.8</v>
      </c>
      <c r="O95" s="236">
        <f t="shared" si="34"/>
        <v>573892.39999999991</v>
      </c>
      <c r="P95" s="236">
        <f t="shared" si="35"/>
        <v>751386.49999999988</v>
      </c>
      <c r="Q95" s="667"/>
      <c r="R95" s="667"/>
    </row>
    <row r="96" spans="1:18" s="153" customFormat="1" ht="10.9" customHeight="1" x14ac:dyDescent="0.2">
      <c r="A96" s="1911" t="s">
        <v>1029</v>
      </c>
      <c r="B96" s="292" t="s">
        <v>558</v>
      </c>
      <c r="C96" s="275">
        <v>169107.7</v>
      </c>
      <c r="D96" s="275">
        <v>12137.2</v>
      </c>
      <c r="E96" s="275">
        <f t="shared" si="30"/>
        <v>181244.90000000002</v>
      </c>
      <c r="F96" s="275">
        <v>-14328.6</v>
      </c>
      <c r="G96" s="275">
        <v>118609.7</v>
      </c>
      <c r="H96" s="275">
        <f t="shared" si="31"/>
        <v>104281.09999999999</v>
      </c>
      <c r="I96" s="275">
        <v>2069.8000000000002</v>
      </c>
      <c r="J96" s="270">
        <v>15042.1</v>
      </c>
      <c r="K96" s="275">
        <f t="shared" si="32"/>
        <v>17111.900000000001</v>
      </c>
      <c r="L96" s="275">
        <v>557775.9</v>
      </c>
      <c r="M96" s="270">
        <f t="shared" si="33"/>
        <v>679168.9</v>
      </c>
      <c r="N96" s="275">
        <v>-105221.4</v>
      </c>
      <c r="O96" s="275">
        <f t="shared" si="34"/>
        <v>573947.5</v>
      </c>
      <c r="P96" s="275">
        <f t="shared" si="35"/>
        <v>755192.4</v>
      </c>
      <c r="Q96" s="667"/>
      <c r="R96" s="667"/>
    </row>
    <row r="97" spans="1:18" s="153" customFormat="1" ht="10.9" customHeight="1" x14ac:dyDescent="0.2">
      <c r="A97" s="1911" t="s">
        <v>1029</v>
      </c>
      <c r="B97" s="135" t="s">
        <v>559</v>
      </c>
      <c r="C97" s="236">
        <v>171467.4</v>
      </c>
      <c r="D97" s="236">
        <v>12164.3</v>
      </c>
      <c r="E97" s="236">
        <f t="shared" si="30"/>
        <v>183631.69999999998</v>
      </c>
      <c r="F97" s="214">
        <v>-6825</v>
      </c>
      <c r="G97" s="214">
        <v>112828</v>
      </c>
      <c r="H97" s="214">
        <f t="shared" si="31"/>
        <v>106003</v>
      </c>
      <c r="I97" s="236">
        <v>2164.8000000000002</v>
      </c>
      <c r="J97" s="214">
        <v>14406.8</v>
      </c>
      <c r="K97" s="236">
        <f t="shared" si="32"/>
        <v>16571.599999999999</v>
      </c>
      <c r="L97" s="236">
        <v>561863.4</v>
      </c>
      <c r="M97" s="214">
        <f t="shared" si="33"/>
        <v>684438</v>
      </c>
      <c r="N97" s="236">
        <v>-99719.9</v>
      </c>
      <c r="O97" s="236">
        <f t="shared" si="34"/>
        <v>584718.1</v>
      </c>
      <c r="P97" s="236">
        <f t="shared" si="35"/>
        <v>768349.79999999993</v>
      </c>
      <c r="Q97" s="667"/>
      <c r="R97" s="667"/>
    </row>
    <row r="98" spans="1:18" s="153" customFormat="1" ht="10.9" customHeight="1" x14ac:dyDescent="0.2">
      <c r="A98" s="1911" t="s">
        <v>1029</v>
      </c>
      <c r="B98" s="292" t="s">
        <v>550</v>
      </c>
      <c r="C98" s="275">
        <v>177401.3</v>
      </c>
      <c r="D98" s="275">
        <v>11827.5</v>
      </c>
      <c r="E98" s="275">
        <f t="shared" si="30"/>
        <v>189228.79999999999</v>
      </c>
      <c r="F98" s="270">
        <v>810.5</v>
      </c>
      <c r="G98" s="270">
        <v>109446.8</v>
      </c>
      <c r="H98" s="270">
        <f t="shared" si="31"/>
        <v>110257.3</v>
      </c>
      <c r="I98" s="275">
        <v>2160.8000000000002</v>
      </c>
      <c r="J98" s="270">
        <v>14509</v>
      </c>
      <c r="K98" s="275">
        <f t="shared" si="32"/>
        <v>16669.8</v>
      </c>
      <c r="L98" s="275">
        <v>574599.4</v>
      </c>
      <c r="M98" s="270">
        <f t="shared" si="33"/>
        <v>701526.5</v>
      </c>
      <c r="N98" s="275">
        <v>-103141.2</v>
      </c>
      <c r="O98" s="275">
        <f t="shared" si="34"/>
        <v>598385.30000000005</v>
      </c>
      <c r="P98" s="275">
        <f t="shared" si="35"/>
        <v>787614.10000000009</v>
      </c>
      <c r="Q98" s="667"/>
      <c r="R98" s="667"/>
    </row>
    <row r="99" spans="1:18" s="153" customFormat="1" ht="10.9" customHeight="1" x14ac:dyDescent="0.2">
      <c r="A99" s="1911" t="s">
        <v>1150</v>
      </c>
      <c r="B99" s="135" t="s">
        <v>552</v>
      </c>
      <c r="C99" s="275">
        <v>184570.8</v>
      </c>
      <c r="D99" s="275">
        <v>12249.4</v>
      </c>
      <c r="E99" s="275">
        <f t="shared" ref="E99:E105" si="36">C99+D99</f>
        <v>196820.19999999998</v>
      </c>
      <c r="F99" s="270">
        <v>3032.3</v>
      </c>
      <c r="G99" s="270">
        <v>118693.6</v>
      </c>
      <c r="H99" s="270">
        <f t="shared" ref="H99:H105" si="37">F99+G99</f>
        <v>121725.90000000001</v>
      </c>
      <c r="I99" s="275">
        <v>2238.6999999999998</v>
      </c>
      <c r="J99" s="270">
        <v>13301.2</v>
      </c>
      <c r="K99" s="270">
        <f t="shared" ref="K99:K105" si="38">I99+J99</f>
        <v>15539.900000000001</v>
      </c>
      <c r="L99" s="275">
        <v>573668.69999999995</v>
      </c>
      <c r="M99" s="270">
        <f t="shared" ref="M99:M105" si="39">H99+K99+L99</f>
        <v>710934.5</v>
      </c>
      <c r="N99" s="275">
        <v>-103073.1</v>
      </c>
      <c r="O99" s="270">
        <f t="shared" ref="O99:O105" si="40">M99+N99</f>
        <v>607861.4</v>
      </c>
      <c r="P99" s="270">
        <f t="shared" ref="P99:P105" si="41">E99+O99</f>
        <v>804681.6</v>
      </c>
      <c r="Q99" s="667"/>
      <c r="R99" s="667"/>
    </row>
    <row r="100" spans="1:18" s="153" customFormat="1" ht="10.9" customHeight="1" x14ac:dyDescent="0.2">
      <c r="A100" s="1911" t="s">
        <v>1150</v>
      </c>
      <c r="B100" s="292" t="s">
        <v>553</v>
      </c>
      <c r="C100" s="236">
        <v>186355.4</v>
      </c>
      <c r="D100" s="236">
        <v>12119.6</v>
      </c>
      <c r="E100" s="214">
        <f t="shared" si="36"/>
        <v>198475</v>
      </c>
      <c r="F100" s="214">
        <v>-6762.2</v>
      </c>
      <c r="G100" s="214">
        <v>122449.4</v>
      </c>
      <c r="H100" s="214">
        <f t="shared" si="37"/>
        <v>115687.2</v>
      </c>
      <c r="I100" s="236">
        <v>2174.6</v>
      </c>
      <c r="J100" s="214">
        <v>13513.1</v>
      </c>
      <c r="K100" s="214">
        <f t="shared" si="38"/>
        <v>15687.7</v>
      </c>
      <c r="L100" s="236">
        <v>578176.9</v>
      </c>
      <c r="M100" s="214">
        <f t="shared" si="39"/>
        <v>709551.8</v>
      </c>
      <c r="N100" s="236">
        <v>-102648.8</v>
      </c>
      <c r="O100" s="214">
        <f t="shared" si="40"/>
        <v>606903</v>
      </c>
      <c r="P100" s="214">
        <f t="shared" si="41"/>
        <v>805378</v>
      </c>
      <c r="Q100" s="667"/>
      <c r="R100" s="667"/>
    </row>
    <row r="101" spans="1:18" s="153" customFormat="1" ht="10.9" customHeight="1" x14ac:dyDescent="0.2">
      <c r="A101" s="1911" t="s">
        <v>1150</v>
      </c>
      <c r="B101" s="135" t="s">
        <v>547</v>
      </c>
      <c r="C101" s="275">
        <v>191613.9</v>
      </c>
      <c r="D101" s="270">
        <v>12162</v>
      </c>
      <c r="E101" s="270">
        <f t="shared" si="36"/>
        <v>203775.9</v>
      </c>
      <c r="F101" s="270">
        <v>-4916.6000000000004</v>
      </c>
      <c r="G101" s="270">
        <v>123089.3</v>
      </c>
      <c r="H101" s="270">
        <f t="shared" si="37"/>
        <v>118172.7</v>
      </c>
      <c r="I101" s="275">
        <v>2127.8000000000002</v>
      </c>
      <c r="J101" s="270">
        <v>13656.1</v>
      </c>
      <c r="K101" s="270">
        <f t="shared" si="38"/>
        <v>15783.900000000001</v>
      </c>
      <c r="L101" s="275">
        <v>589685.6</v>
      </c>
      <c r="M101" s="270">
        <f t="shared" si="39"/>
        <v>723642.2</v>
      </c>
      <c r="N101" s="270">
        <v>-105945</v>
      </c>
      <c r="O101" s="270">
        <f t="shared" si="40"/>
        <v>617697.19999999995</v>
      </c>
      <c r="P101" s="270">
        <f t="shared" si="41"/>
        <v>821473.1</v>
      </c>
      <c r="Q101" s="667"/>
      <c r="R101" s="667"/>
    </row>
    <row r="102" spans="1:18" s="153" customFormat="1" ht="10.9" customHeight="1" x14ac:dyDescent="0.2">
      <c r="A102" s="1911" t="s">
        <v>1150</v>
      </c>
      <c r="B102" s="292" t="s">
        <v>554</v>
      </c>
      <c r="C102" s="236">
        <v>191643.1</v>
      </c>
      <c r="D102" s="214">
        <v>11713.6</v>
      </c>
      <c r="E102" s="214">
        <f t="shared" si="36"/>
        <v>203356.7</v>
      </c>
      <c r="F102" s="214">
        <v>-5215.6000000000004</v>
      </c>
      <c r="G102" s="214">
        <v>117845</v>
      </c>
      <c r="H102" s="214">
        <f t="shared" si="37"/>
        <v>112629.4</v>
      </c>
      <c r="I102" s="236">
        <v>2123.8000000000002</v>
      </c>
      <c r="J102" s="214">
        <v>14022.6</v>
      </c>
      <c r="K102" s="214">
        <f t="shared" si="38"/>
        <v>16146.400000000001</v>
      </c>
      <c r="L102" s="236">
        <v>594677.4</v>
      </c>
      <c r="M102" s="214">
        <f t="shared" si="39"/>
        <v>723453.2</v>
      </c>
      <c r="N102" s="214">
        <v>-106552.8</v>
      </c>
      <c r="O102" s="214">
        <f t="shared" si="40"/>
        <v>616900.39999999991</v>
      </c>
      <c r="P102" s="214">
        <f t="shared" si="41"/>
        <v>820257.09999999986</v>
      </c>
      <c r="Q102" s="667"/>
      <c r="R102" s="667"/>
    </row>
    <row r="103" spans="1:18" s="153" customFormat="1" ht="10.9" customHeight="1" x14ac:dyDescent="0.2">
      <c r="A103" s="1911" t="s">
        <v>1150</v>
      </c>
      <c r="B103" s="135" t="s">
        <v>555</v>
      </c>
      <c r="C103" s="275">
        <v>193250.9</v>
      </c>
      <c r="D103" s="270">
        <v>12502.8</v>
      </c>
      <c r="E103" s="270">
        <f t="shared" si="36"/>
        <v>205753.69999999998</v>
      </c>
      <c r="F103" s="270">
        <v>-4296.5</v>
      </c>
      <c r="G103" s="270">
        <v>114406.5</v>
      </c>
      <c r="H103" s="270">
        <f t="shared" si="37"/>
        <v>110110</v>
      </c>
      <c r="I103" s="275">
        <v>2116.1999999999998</v>
      </c>
      <c r="J103" s="270">
        <v>14127</v>
      </c>
      <c r="K103" s="270">
        <f t="shared" si="38"/>
        <v>16243.2</v>
      </c>
      <c r="L103" s="275">
        <v>603922.69999999995</v>
      </c>
      <c r="M103" s="270">
        <f t="shared" si="39"/>
        <v>730275.89999999991</v>
      </c>
      <c r="N103" s="270">
        <v>-110847.6</v>
      </c>
      <c r="O103" s="270">
        <f t="shared" si="40"/>
        <v>619428.29999999993</v>
      </c>
      <c r="P103" s="270">
        <f t="shared" si="41"/>
        <v>825181.99999999988</v>
      </c>
      <c r="Q103" s="667"/>
      <c r="R103" s="667"/>
    </row>
    <row r="104" spans="1:18" s="153" customFormat="1" ht="10.9" customHeight="1" x14ac:dyDescent="0.2">
      <c r="A104" s="1911" t="s">
        <v>1150</v>
      </c>
      <c r="B104" s="292" t="s">
        <v>548</v>
      </c>
      <c r="C104" s="214">
        <v>196508</v>
      </c>
      <c r="D104" s="214">
        <v>12809.4</v>
      </c>
      <c r="E104" s="214">
        <f t="shared" si="36"/>
        <v>209317.4</v>
      </c>
      <c r="F104" s="214">
        <v>-3321.5</v>
      </c>
      <c r="G104" s="214">
        <v>106810.2</v>
      </c>
      <c r="H104" s="214">
        <f t="shared" si="37"/>
        <v>103488.7</v>
      </c>
      <c r="I104" s="214">
        <v>2110</v>
      </c>
      <c r="J104" s="214">
        <v>14538.9</v>
      </c>
      <c r="K104" s="214">
        <f t="shared" si="38"/>
        <v>16648.900000000001</v>
      </c>
      <c r="L104" s="214">
        <v>620506.9</v>
      </c>
      <c r="M104" s="214">
        <f t="shared" si="39"/>
        <v>740644.5</v>
      </c>
      <c r="N104" s="214">
        <v>-111847.7</v>
      </c>
      <c r="O104" s="214">
        <f t="shared" si="40"/>
        <v>628796.80000000005</v>
      </c>
      <c r="P104" s="214">
        <f t="shared" si="41"/>
        <v>838114.20000000007</v>
      </c>
      <c r="Q104" s="667"/>
      <c r="R104" s="667"/>
    </row>
    <row r="105" spans="1:18" s="153" customFormat="1" ht="10.9" customHeight="1" x14ac:dyDescent="0.2">
      <c r="A105" s="1911" t="s">
        <v>1150</v>
      </c>
      <c r="B105" s="135" t="s">
        <v>556</v>
      </c>
      <c r="C105" s="270">
        <v>197995.7</v>
      </c>
      <c r="D105" s="270">
        <v>12596.9</v>
      </c>
      <c r="E105" s="270">
        <f t="shared" si="36"/>
        <v>210592.6</v>
      </c>
      <c r="F105" s="270">
        <v>-5345.9</v>
      </c>
      <c r="G105" s="270">
        <v>105436</v>
      </c>
      <c r="H105" s="270">
        <f t="shared" si="37"/>
        <v>100090.1</v>
      </c>
      <c r="I105" s="270">
        <v>2100.5</v>
      </c>
      <c r="J105" s="270">
        <v>15702.4</v>
      </c>
      <c r="K105" s="270">
        <f t="shared" si="38"/>
        <v>17802.900000000001</v>
      </c>
      <c r="L105" s="270">
        <f>617349.2+4850.6</f>
        <v>622199.79999999993</v>
      </c>
      <c r="M105" s="270">
        <f t="shared" si="39"/>
        <v>740092.79999999993</v>
      </c>
      <c r="N105" s="270">
        <v>-116184.3</v>
      </c>
      <c r="O105" s="270">
        <f t="shared" si="40"/>
        <v>623908.49999999988</v>
      </c>
      <c r="P105" s="270">
        <f t="shared" si="41"/>
        <v>834501.09999999986</v>
      </c>
      <c r="Q105" s="667"/>
      <c r="R105" s="667"/>
    </row>
    <row r="106" spans="1:18" s="153" customFormat="1" ht="10.9" customHeight="1" x14ac:dyDescent="0.2">
      <c r="A106" s="1911" t="s">
        <v>1150</v>
      </c>
      <c r="B106" s="292" t="s">
        <v>557</v>
      </c>
      <c r="C106" s="214">
        <v>203032.4</v>
      </c>
      <c r="D106" s="214">
        <v>11638.2</v>
      </c>
      <c r="E106" s="214">
        <f>C106+D106</f>
        <v>214670.6</v>
      </c>
      <c r="F106" s="214">
        <v>1100.9000000000001</v>
      </c>
      <c r="G106" s="214">
        <v>101591.3</v>
      </c>
      <c r="H106" s="214">
        <f>F106+G106</f>
        <v>102692.2</v>
      </c>
      <c r="I106" s="214">
        <v>2081.4</v>
      </c>
      <c r="J106" s="214">
        <v>14938.5</v>
      </c>
      <c r="K106" s="214">
        <f>I106+J106</f>
        <v>17019.900000000001</v>
      </c>
      <c r="L106" s="214">
        <v>627960.5</v>
      </c>
      <c r="M106" s="214">
        <f>H106+K106+L106</f>
        <v>747672.6</v>
      </c>
      <c r="N106" s="214">
        <v>-117307.2</v>
      </c>
      <c r="O106" s="214">
        <f>M106+N106</f>
        <v>630365.4</v>
      </c>
      <c r="P106" s="214">
        <f>E106+O106</f>
        <v>845036</v>
      </c>
      <c r="Q106" s="667"/>
      <c r="R106" s="667"/>
    </row>
    <row r="107" spans="1:18" s="153" customFormat="1" ht="10.9" customHeight="1" x14ac:dyDescent="0.2">
      <c r="A107" s="1911" t="s">
        <v>1150</v>
      </c>
      <c r="B107" s="135" t="s">
        <v>549</v>
      </c>
      <c r="C107" s="270">
        <v>207417.5</v>
      </c>
      <c r="D107" s="270">
        <v>12910</v>
      </c>
      <c r="E107" s="270">
        <f>C107+D107</f>
        <v>220327.5</v>
      </c>
      <c r="F107" s="270">
        <v>4723.6000000000004</v>
      </c>
      <c r="G107" s="270">
        <v>95054.5</v>
      </c>
      <c r="H107" s="270">
        <f>F107+G107</f>
        <v>99778.1</v>
      </c>
      <c r="I107" s="270">
        <v>2031.3</v>
      </c>
      <c r="J107" s="270">
        <v>15239.1</v>
      </c>
      <c r="K107" s="270">
        <f>I107+J107</f>
        <v>17270.400000000001</v>
      </c>
      <c r="L107" s="270">
        <f>631628.5+4813.9</f>
        <v>636442.4</v>
      </c>
      <c r="M107" s="270">
        <f>H107+K107+L107</f>
        <v>753490.9</v>
      </c>
      <c r="N107" s="270">
        <v>-120633.60000000001</v>
      </c>
      <c r="O107" s="270">
        <f>M107+N107</f>
        <v>632857.30000000005</v>
      </c>
      <c r="P107" s="270">
        <f>E107+O107</f>
        <v>853184.8</v>
      </c>
      <c r="Q107" s="667"/>
      <c r="R107" s="667"/>
    </row>
    <row r="108" spans="1:18" s="153" customFormat="1" ht="10.9" customHeight="1" x14ac:dyDescent="0.2">
      <c r="A108" s="1911" t="s">
        <v>1150</v>
      </c>
      <c r="B108" s="292" t="s">
        <v>558</v>
      </c>
      <c r="C108" s="214">
        <v>210707.20000000001</v>
      </c>
      <c r="D108" s="214">
        <v>11980.9</v>
      </c>
      <c r="E108" s="214">
        <f>C108+D108</f>
        <v>222688.1</v>
      </c>
      <c r="F108" s="214">
        <v>831</v>
      </c>
      <c r="G108" s="214">
        <v>96711.5</v>
      </c>
      <c r="H108" s="214">
        <f>F108+G108</f>
        <v>97542.5</v>
      </c>
      <c r="I108" s="214">
        <v>2035.6</v>
      </c>
      <c r="J108" s="214">
        <v>15104.2</v>
      </c>
      <c r="K108" s="214">
        <f>I108+J108</f>
        <v>17139.8</v>
      </c>
      <c r="L108" s="214">
        <f>639886.5+4847.3</f>
        <v>644733.80000000005</v>
      </c>
      <c r="M108" s="214">
        <f>H108+K108+L108</f>
        <v>759416.10000000009</v>
      </c>
      <c r="N108" s="214">
        <v>-120689.7</v>
      </c>
      <c r="O108" s="214">
        <f>M108+N108</f>
        <v>638726.40000000014</v>
      </c>
      <c r="P108" s="214">
        <f>E108+O108</f>
        <v>861414.50000000012</v>
      </c>
      <c r="Q108" s="667"/>
      <c r="R108" s="667"/>
    </row>
    <row r="109" spans="1:18" s="153" customFormat="1" ht="10.9" customHeight="1" x14ac:dyDescent="0.2">
      <c r="A109" s="1911" t="s">
        <v>1150</v>
      </c>
      <c r="B109" s="135" t="s">
        <v>559</v>
      </c>
      <c r="C109" s="270">
        <v>211693.2</v>
      </c>
      <c r="D109" s="270">
        <v>12034.1</v>
      </c>
      <c r="E109" s="270">
        <f>C109+D109</f>
        <v>223727.30000000002</v>
      </c>
      <c r="F109" s="270">
        <v>2794.7</v>
      </c>
      <c r="G109" s="270">
        <v>99314.7</v>
      </c>
      <c r="H109" s="270">
        <f>F109+G109</f>
        <v>102109.4</v>
      </c>
      <c r="I109" s="270">
        <v>2015.1</v>
      </c>
      <c r="J109" s="270">
        <v>15068.3</v>
      </c>
      <c r="K109" s="270">
        <f>I109+J109</f>
        <v>17083.399999999998</v>
      </c>
      <c r="L109" s="270">
        <f>649156.9+4860.3</f>
        <v>654017.20000000007</v>
      </c>
      <c r="M109" s="270">
        <f>H109+K109+L109</f>
        <v>773210</v>
      </c>
      <c r="N109" s="270">
        <v>-120843.6</v>
      </c>
      <c r="O109" s="270">
        <f>M109+N109</f>
        <v>652366.4</v>
      </c>
      <c r="P109" s="270">
        <f>E109+O109</f>
        <v>876093.70000000007</v>
      </c>
      <c r="Q109" s="667"/>
      <c r="R109" s="667"/>
    </row>
    <row r="110" spans="1:18" s="153" customFormat="1" ht="10.9" customHeight="1" x14ac:dyDescent="0.2">
      <c r="A110" s="1911" t="s">
        <v>1150</v>
      </c>
      <c r="B110" s="292" t="s">
        <v>550</v>
      </c>
      <c r="C110" s="214">
        <v>218904.1</v>
      </c>
      <c r="D110" s="214">
        <v>14231.5</v>
      </c>
      <c r="E110" s="214">
        <f>C110+D110</f>
        <v>233135.6</v>
      </c>
      <c r="F110" s="214">
        <v>13373.7</v>
      </c>
      <c r="G110" s="214">
        <v>100845.9</v>
      </c>
      <c r="H110" s="214">
        <f>F110+G110</f>
        <v>114219.59999999999</v>
      </c>
      <c r="I110" s="214">
        <v>2015.5</v>
      </c>
      <c r="J110" s="214">
        <v>14035.6</v>
      </c>
      <c r="K110" s="214">
        <f>I110+J110</f>
        <v>16051.1</v>
      </c>
      <c r="L110" s="214">
        <f>4966.9+666042.4</f>
        <v>671009.30000000005</v>
      </c>
      <c r="M110" s="214">
        <f>H110+K110+L110</f>
        <v>801280</v>
      </c>
      <c r="N110" s="214">
        <v>-118037.8</v>
      </c>
      <c r="O110" s="214">
        <f>M110+N110</f>
        <v>683242.2</v>
      </c>
      <c r="P110" s="214">
        <f>E110+O110</f>
        <v>916377.79999999993</v>
      </c>
      <c r="Q110" s="667"/>
      <c r="R110" s="667"/>
    </row>
    <row r="111" spans="1:18" s="153" customFormat="1" ht="10.9" customHeight="1" x14ac:dyDescent="0.2">
      <c r="A111" s="1711" t="s">
        <v>1174</v>
      </c>
      <c r="B111" s="135" t="s">
        <v>552</v>
      </c>
      <c r="C111" s="793">
        <v>222971.6</v>
      </c>
      <c r="D111" s="214">
        <v>12913.8</v>
      </c>
      <c r="E111" s="214">
        <f t="shared" ref="E111:E122" si="42">C111+D111</f>
        <v>235885.4</v>
      </c>
      <c r="F111" s="214">
        <v>-254.7</v>
      </c>
      <c r="G111" s="214">
        <v>116912.7</v>
      </c>
      <c r="H111" s="214">
        <f t="shared" ref="H111:H122" si="43">F111+G111</f>
        <v>116658</v>
      </c>
      <c r="I111" s="214">
        <v>2006.8</v>
      </c>
      <c r="J111" s="214">
        <v>13991.8</v>
      </c>
      <c r="K111" s="214">
        <f t="shared" ref="K111:K122" si="44">I111+J111</f>
        <v>15998.599999999999</v>
      </c>
      <c r="L111" s="214">
        <f>4923.1+660388.7</f>
        <v>665311.79999999993</v>
      </c>
      <c r="M111" s="214">
        <f t="shared" ref="M111:M122" si="45">H111+K111+L111</f>
        <v>797968.39999999991</v>
      </c>
      <c r="N111" s="214">
        <v>-120549.1</v>
      </c>
      <c r="O111" s="214">
        <f t="shared" ref="O111:O122" si="46">M111+N111</f>
        <v>677419.29999999993</v>
      </c>
      <c r="P111" s="214">
        <f t="shared" ref="P111:P122" si="47">E111+O111</f>
        <v>913304.7</v>
      </c>
      <c r="Q111" s="667"/>
      <c r="R111" s="667"/>
    </row>
    <row r="112" spans="1:18" s="153" customFormat="1" ht="10.9" customHeight="1" x14ac:dyDescent="0.2">
      <c r="A112" s="1711" t="s">
        <v>1174</v>
      </c>
      <c r="B112" s="292" t="s">
        <v>553</v>
      </c>
      <c r="C112" s="270">
        <v>227994.8</v>
      </c>
      <c r="D112" s="270">
        <v>13540.2</v>
      </c>
      <c r="E112" s="270">
        <f t="shared" si="42"/>
        <v>241535</v>
      </c>
      <c r="F112" s="270">
        <v>-1519.1</v>
      </c>
      <c r="G112" s="270">
        <v>114843.3</v>
      </c>
      <c r="H112" s="270">
        <f t="shared" si="43"/>
        <v>113324.2</v>
      </c>
      <c r="I112" s="270">
        <v>2009.6</v>
      </c>
      <c r="J112" s="270">
        <v>14100.1</v>
      </c>
      <c r="K112" s="270">
        <f t="shared" si="44"/>
        <v>16109.7</v>
      </c>
      <c r="L112" s="270">
        <f>4820.5+667104.1</f>
        <v>671924.6</v>
      </c>
      <c r="M112" s="270">
        <f t="shared" si="45"/>
        <v>801358.5</v>
      </c>
      <c r="N112" s="270">
        <v>-120010.4</v>
      </c>
      <c r="O112" s="270">
        <f t="shared" si="46"/>
        <v>681348.1</v>
      </c>
      <c r="P112" s="270">
        <f t="shared" si="47"/>
        <v>922883.1</v>
      </c>
      <c r="Q112" s="667"/>
      <c r="R112" s="667"/>
    </row>
    <row r="113" spans="1:18" s="153" customFormat="1" ht="10.9" customHeight="1" x14ac:dyDescent="0.2">
      <c r="A113" s="1711" t="s">
        <v>1174</v>
      </c>
      <c r="B113" s="135" t="s">
        <v>547</v>
      </c>
      <c r="C113" s="214">
        <v>233071.6</v>
      </c>
      <c r="D113" s="214">
        <v>13674.2</v>
      </c>
      <c r="E113" s="214">
        <f t="shared" si="42"/>
        <v>246745.80000000002</v>
      </c>
      <c r="F113" s="214">
        <v>1004.4</v>
      </c>
      <c r="G113" s="214">
        <v>112659.1</v>
      </c>
      <c r="H113" s="214">
        <f t="shared" si="43"/>
        <v>113663.5</v>
      </c>
      <c r="I113" s="214">
        <v>1986.2</v>
      </c>
      <c r="J113" s="214">
        <v>13926.1</v>
      </c>
      <c r="K113" s="214">
        <f t="shared" si="44"/>
        <v>15912.300000000001</v>
      </c>
      <c r="L113" s="214">
        <f>4830.8+675306.2</f>
        <v>680137</v>
      </c>
      <c r="M113" s="214">
        <f t="shared" si="45"/>
        <v>809712.8</v>
      </c>
      <c r="N113" s="214">
        <v>-124935.4</v>
      </c>
      <c r="O113" s="214">
        <f t="shared" si="46"/>
        <v>684777.4</v>
      </c>
      <c r="P113" s="214">
        <f t="shared" si="47"/>
        <v>931523.20000000007</v>
      </c>
      <c r="Q113" s="667"/>
      <c r="R113" s="667"/>
    </row>
    <row r="114" spans="1:18" s="153" customFormat="1" ht="10.9" customHeight="1" x14ac:dyDescent="0.2">
      <c r="A114" s="1711" t="s">
        <v>1174</v>
      </c>
      <c r="B114" s="292" t="s">
        <v>554</v>
      </c>
      <c r="C114" s="270">
        <v>234188.5</v>
      </c>
      <c r="D114" s="270">
        <v>13125.2</v>
      </c>
      <c r="E114" s="270">
        <f t="shared" si="42"/>
        <v>247313.7</v>
      </c>
      <c r="F114" s="270">
        <v>1350.8</v>
      </c>
      <c r="G114" s="270">
        <v>108661.6</v>
      </c>
      <c r="H114" s="270">
        <f t="shared" si="43"/>
        <v>110012.40000000001</v>
      </c>
      <c r="I114" s="270">
        <v>1988.9</v>
      </c>
      <c r="J114" s="270">
        <v>13428.6</v>
      </c>
      <c r="K114" s="270">
        <f t="shared" si="44"/>
        <v>15417.5</v>
      </c>
      <c r="L114" s="270">
        <f>4860.5+680220.3</f>
        <v>685080.8</v>
      </c>
      <c r="M114" s="270">
        <f t="shared" si="45"/>
        <v>810510.70000000007</v>
      </c>
      <c r="N114" s="270">
        <v>-124597.8</v>
      </c>
      <c r="O114" s="270">
        <f t="shared" si="46"/>
        <v>685912.9</v>
      </c>
      <c r="P114" s="270">
        <f t="shared" si="47"/>
        <v>933226.60000000009</v>
      </c>
      <c r="Q114" s="667"/>
      <c r="R114" s="667"/>
    </row>
    <row r="115" spans="1:18" s="153" customFormat="1" ht="10.9" customHeight="1" x14ac:dyDescent="0.2">
      <c r="A115" s="1711" t="s">
        <v>1174</v>
      </c>
      <c r="B115" s="135" t="s">
        <v>555</v>
      </c>
      <c r="C115" s="214">
        <v>233489.3</v>
      </c>
      <c r="D115" s="214">
        <v>11566.6</v>
      </c>
      <c r="E115" s="214">
        <f t="shared" si="42"/>
        <v>245055.9</v>
      </c>
      <c r="F115" s="214">
        <v>3205.6</v>
      </c>
      <c r="G115" s="214">
        <v>105438.9</v>
      </c>
      <c r="H115" s="214">
        <f t="shared" si="43"/>
        <v>108644.5</v>
      </c>
      <c r="I115" s="214">
        <v>1994</v>
      </c>
      <c r="J115" s="214">
        <v>13751.5</v>
      </c>
      <c r="K115" s="214">
        <f t="shared" si="44"/>
        <v>15745.5</v>
      </c>
      <c r="L115" s="23">
        <f>4877.1+689681</f>
        <v>694558.1</v>
      </c>
      <c r="M115" s="214">
        <f t="shared" si="45"/>
        <v>818948.1</v>
      </c>
      <c r="N115" s="214">
        <v>-125282.6</v>
      </c>
      <c r="O115" s="214">
        <f t="shared" si="46"/>
        <v>693665.5</v>
      </c>
      <c r="P115" s="214">
        <f t="shared" si="47"/>
        <v>938721.4</v>
      </c>
      <c r="Q115" s="667"/>
      <c r="R115" s="667"/>
    </row>
    <row r="116" spans="1:18" s="153" customFormat="1" ht="10.9" customHeight="1" x14ac:dyDescent="0.2">
      <c r="A116" s="1711" t="s">
        <v>1174</v>
      </c>
      <c r="B116" s="292" t="s">
        <v>548</v>
      </c>
      <c r="C116" s="270">
        <v>235538.8</v>
      </c>
      <c r="D116" s="270">
        <v>11709.5</v>
      </c>
      <c r="E116" s="270">
        <f t="shared" si="42"/>
        <v>247248.3</v>
      </c>
      <c r="F116" s="270">
        <v>4872.5</v>
      </c>
      <c r="G116" s="270">
        <v>93766.3</v>
      </c>
      <c r="H116" s="270">
        <f t="shared" si="43"/>
        <v>98638.8</v>
      </c>
      <c r="I116" s="270">
        <v>1926.2</v>
      </c>
      <c r="J116" s="270">
        <v>14453.5</v>
      </c>
      <c r="K116" s="270">
        <f t="shared" si="44"/>
        <v>16379.7</v>
      </c>
      <c r="L116" s="270">
        <f>4921.2+712098.3</f>
        <v>717019.5</v>
      </c>
      <c r="M116" s="270">
        <f t="shared" si="45"/>
        <v>832038</v>
      </c>
      <c r="N116" s="270">
        <v>-125232.5</v>
      </c>
      <c r="O116" s="270">
        <f t="shared" si="46"/>
        <v>706805.5</v>
      </c>
      <c r="P116" s="270">
        <f t="shared" si="47"/>
        <v>954053.8</v>
      </c>
      <c r="Q116" s="667"/>
      <c r="R116" s="667"/>
    </row>
    <row r="117" spans="1:18" s="153" customFormat="1" ht="10.9" customHeight="1" x14ac:dyDescent="0.2">
      <c r="A117" s="1711" t="s">
        <v>1174</v>
      </c>
      <c r="B117" s="135" t="s">
        <v>556</v>
      </c>
      <c r="C117" s="214">
        <v>236674.5</v>
      </c>
      <c r="D117" s="214">
        <v>11331.7</v>
      </c>
      <c r="E117" s="214">
        <f t="shared" si="42"/>
        <v>248006.2</v>
      </c>
      <c r="F117" s="214">
        <v>923.2</v>
      </c>
      <c r="G117" s="214">
        <v>95436.9</v>
      </c>
      <c r="H117" s="214">
        <f t="shared" si="43"/>
        <v>96360.099999999991</v>
      </c>
      <c r="I117" s="214">
        <v>1868.6</v>
      </c>
      <c r="J117" s="214">
        <v>14368.7</v>
      </c>
      <c r="K117" s="214">
        <f t="shared" si="44"/>
        <v>16237.300000000001</v>
      </c>
      <c r="L117" s="214">
        <f>4865.5+714487.3</f>
        <v>719352.8</v>
      </c>
      <c r="M117" s="214">
        <f t="shared" si="45"/>
        <v>831950.20000000007</v>
      </c>
      <c r="N117" s="214">
        <v>-128373.5</v>
      </c>
      <c r="O117" s="214">
        <f t="shared" si="46"/>
        <v>703576.70000000007</v>
      </c>
      <c r="P117" s="214">
        <f t="shared" si="47"/>
        <v>951582.90000000014</v>
      </c>
      <c r="Q117" s="667"/>
      <c r="R117" s="667"/>
    </row>
    <row r="118" spans="1:18" s="153" customFormat="1" ht="10.9" customHeight="1" x14ac:dyDescent="0.2">
      <c r="A118" s="1711" t="s">
        <v>1174</v>
      </c>
      <c r="B118" s="292" t="s">
        <v>557</v>
      </c>
      <c r="C118" s="270">
        <v>240191.5</v>
      </c>
      <c r="D118" s="270">
        <v>12306.8</v>
      </c>
      <c r="E118" s="270">
        <f t="shared" si="42"/>
        <v>252498.3</v>
      </c>
      <c r="F118" s="270">
        <v>-470.3</v>
      </c>
      <c r="G118" s="270">
        <v>93995.9</v>
      </c>
      <c r="H118" s="270">
        <f t="shared" si="43"/>
        <v>93525.599999999991</v>
      </c>
      <c r="I118" s="270">
        <v>1871.3</v>
      </c>
      <c r="J118" s="270">
        <v>13782.3</v>
      </c>
      <c r="K118" s="270">
        <f t="shared" si="44"/>
        <v>15653.599999999999</v>
      </c>
      <c r="L118" s="270">
        <f>4840+722861.1</f>
        <v>727701.1</v>
      </c>
      <c r="M118" s="270">
        <f t="shared" si="45"/>
        <v>836880.29999999993</v>
      </c>
      <c r="N118" s="270">
        <v>-131492.1</v>
      </c>
      <c r="O118" s="270">
        <f t="shared" si="46"/>
        <v>705388.2</v>
      </c>
      <c r="P118" s="270">
        <f t="shared" si="47"/>
        <v>957886.5</v>
      </c>
      <c r="Q118" s="667"/>
      <c r="R118" s="667"/>
    </row>
    <row r="119" spans="1:18" s="153" customFormat="1" ht="10.9" customHeight="1" x14ac:dyDescent="0.2">
      <c r="A119" s="1711" t="s">
        <v>1174</v>
      </c>
      <c r="B119" s="135" t="s">
        <v>549</v>
      </c>
      <c r="C119" s="214">
        <v>242368.9</v>
      </c>
      <c r="D119" s="214">
        <v>11777</v>
      </c>
      <c r="E119" s="214">
        <f t="shared" si="42"/>
        <v>254145.9</v>
      </c>
      <c r="F119" s="214">
        <v>-218.8</v>
      </c>
      <c r="G119" s="214">
        <v>90530.9</v>
      </c>
      <c r="H119" s="214">
        <f t="shared" si="43"/>
        <v>90312.099999999991</v>
      </c>
      <c r="I119" s="214">
        <v>1849.4</v>
      </c>
      <c r="J119" s="214">
        <v>14439</v>
      </c>
      <c r="K119" s="214">
        <f t="shared" si="44"/>
        <v>16288.4</v>
      </c>
      <c r="L119" s="214">
        <f>4866.9+733773.9</f>
        <v>738640.8</v>
      </c>
      <c r="M119" s="214">
        <f t="shared" si="45"/>
        <v>845241.3</v>
      </c>
      <c r="N119" s="214">
        <v>-134564.1</v>
      </c>
      <c r="O119" s="214">
        <f t="shared" si="46"/>
        <v>710677.20000000007</v>
      </c>
      <c r="P119" s="214">
        <f t="shared" si="47"/>
        <v>964823.10000000009</v>
      </c>
      <c r="Q119" s="667"/>
      <c r="R119" s="667"/>
    </row>
    <row r="120" spans="1:18" s="153" customFormat="1" ht="10.9" customHeight="1" x14ac:dyDescent="0.2">
      <c r="A120" s="1711" t="s">
        <v>1174</v>
      </c>
      <c r="B120" s="292" t="s">
        <v>558</v>
      </c>
      <c r="C120" s="270">
        <v>242030</v>
      </c>
      <c r="D120" s="270">
        <v>12307.1</v>
      </c>
      <c r="E120" s="270">
        <f t="shared" si="42"/>
        <v>254337.1</v>
      </c>
      <c r="F120" s="270">
        <v>2900.4</v>
      </c>
      <c r="G120" s="270">
        <v>81265.7</v>
      </c>
      <c r="H120" s="270">
        <f t="shared" si="43"/>
        <v>84166.099999999991</v>
      </c>
      <c r="I120" s="270">
        <v>1851.9</v>
      </c>
      <c r="J120" s="270">
        <v>15002.2</v>
      </c>
      <c r="K120" s="270">
        <f t="shared" si="44"/>
        <v>16854.100000000002</v>
      </c>
      <c r="L120" s="270">
        <f>4873.1+744374.7</f>
        <v>749247.79999999993</v>
      </c>
      <c r="M120" s="270">
        <f t="shared" si="45"/>
        <v>850267.99999999988</v>
      </c>
      <c r="N120" s="270">
        <v>-133341.4</v>
      </c>
      <c r="O120" s="270">
        <f t="shared" si="46"/>
        <v>716926.59999999986</v>
      </c>
      <c r="P120" s="270">
        <f t="shared" si="47"/>
        <v>971263.69999999984</v>
      </c>
      <c r="Q120" s="667"/>
      <c r="R120" s="667"/>
    </row>
    <row r="121" spans="1:18" s="153" customFormat="1" ht="10.9" customHeight="1" x14ac:dyDescent="0.2">
      <c r="A121" s="1711" t="s">
        <v>1174</v>
      </c>
      <c r="B121" s="135" t="s">
        <v>559</v>
      </c>
      <c r="C121" s="214">
        <v>246330.1</v>
      </c>
      <c r="D121" s="214">
        <v>11187.7</v>
      </c>
      <c r="E121" s="214">
        <f t="shared" si="42"/>
        <v>257517.80000000002</v>
      </c>
      <c r="F121" s="214">
        <v>8419.9</v>
      </c>
      <c r="G121" s="214">
        <v>74177.7</v>
      </c>
      <c r="H121" s="214">
        <f t="shared" si="43"/>
        <v>82597.599999999991</v>
      </c>
      <c r="I121" s="214">
        <v>2154</v>
      </c>
      <c r="J121" s="214">
        <v>15233.5</v>
      </c>
      <c r="K121" s="214">
        <f t="shared" si="44"/>
        <v>17387.5</v>
      </c>
      <c r="L121" s="214">
        <f>4983+753866.7</f>
        <v>758849.7</v>
      </c>
      <c r="M121" s="214">
        <f t="shared" si="45"/>
        <v>858834.79999999993</v>
      </c>
      <c r="N121" s="214">
        <v>-137872.5</v>
      </c>
      <c r="O121" s="214">
        <f t="shared" si="46"/>
        <v>720962.29999999993</v>
      </c>
      <c r="P121" s="214">
        <f t="shared" si="47"/>
        <v>978480.1</v>
      </c>
      <c r="Q121" s="667"/>
      <c r="R121" s="667"/>
    </row>
    <row r="122" spans="1:18" s="153" customFormat="1" ht="10.9" customHeight="1" x14ac:dyDescent="0.2">
      <c r="A122" s="1711" t="s">
        <v>1174</v>
      </c>
      <c r="B122" s="292" t="s">
        <v>550</v>
      </c>
      <c r="C122" s="270">
        <v>252027</v>
      </c>
      <c r="D122" s="270">
        <v>14670</v>
      </c>
      <c r="E122" s="270">
        <f t="shared" si="42"/>
        <v>266697</v>
      </c>
      <c r="F122" s="270">
        <v>12977.7</v>
      </c>
      <c r="G122" s="270">
        <v>84355.8</v>
      </c>
      <c r="H122" s="270">
        <f t="shared" si="43"/>
        <v>97333.5</v>
      </c>
      <c r="I122" s="270">
        <v>2157.8000000000002</v>
      </c>
      <c r="J122" s="270">
        <v>15122.4</v>
      </c>
      <c r="K122" s="270">
        <f t="shared" si="44"/>
        <v>17280.2</v>
      </c>
      <c r="L122" s="270">
        <f>4976.6+771079.9</f>
        <v>776056.5</v>
      </c>
      <c r="M122" s="270">
        <f t="shared" si="45"/>
        <v>890670.2</v>
      </c>
      <c r="N122" s="270">
        <v>-141291.1</v>
      </c>
      <c r="O122" s="270">
        <f t="shared" si="46"/>
        <v>749379.1</v>
      </c>
      <c r="P122" s="270">
        <f t="shared" si="47"/>
        <v>1016076.1</v>
      </c>
      <c r="Q122" s="667"/>
      <c r="R122" s="667"/>
    </row>
    <row r="123" spans="1:18" s="153" customFormat="1" ht="10.9" customHeight="1" x14ac:dyDescent="0.2">
      <c r="A123" s="1711" t="s">
        <v>1296</v>
      </c>
      <c r="B123" s="135" t="s">
        <v>552</v>
      </c>
      <c r="C123" s="270">
        <v>251647.8</v>
      </c>
      <c r="D123" s="270">
        <v>13105.3</v>
      </c>
      <c r="E123" s="270">
        <f t="shared" ref="E123:E146" si="48">C123+D123</f>
        <v>264753.09999999998</v>
      </c>
      <c r="F123" s="270">
        <v>3564.5</v>
      </c>
      <c r="G123" s="270">
        <v>91195.3</v>
      </c>
      <c r="H123" s="270">
        <f t="shared" ref="H123:H146" si="49">F123+G123</f>
        <v>94759.8</v>
      </c>
      <c r="I123" s="270">
        <v>2147.5</v>
      </c>
      <c r="J123" s="270">
        <v>15420.4</v>
      </c>
      <c r="K123" s="270">
        <f t="shared" ref="K123:K146" si="50">I123+J123</f>
        <v>17567.900000000001</v>
      </c>
      <c r="L123" s="270">
        <f>4920.2+773095.4</f>
        <v>778015.6</v>
      </c>
      <c r="M123" s="270">
        <f t="shared" ref="M123:M131" si="51">H123+K123+L123</f>
        <v>890343.3</v>
      </c>
      <c r="N123" s="270">
        <v>-145504.70000000001</v>
      </c>
      <c r="O123" s="270">
        <f t="shared" ref="O123:O131" si="52">M123+N123</f>
        <v>744838.60000000009</v>
      </c>
      <c r="P123" s="270">
        <f t="shared" ref="P123:P146" si="53">E123+O123</f>
        <v>1009591.7000000001</v>
      </c>
      <c r="Q123" s="667"/>
      <c r="R123" s="667"/>
    </row>
    <row r="124" spans="1:18" s="153" customFormat="1" ht="10.9" customHeight="1" x14ac:dyDescent="0.2">
      <c r="A124" s="1711" t="s">
        <v>1296</v>
      </c>
      <c r="B124" s="292" t="s">
        <v>553</v>
      </c>
      <c r="C124" s="214">
        <v>251630.1</v>
      </c>
      <c r="D124" s="214">
        <v>14305.3</v>
      </c>
      <c r="E124" s="214">
        <f t="shared" si="48"/>
        <v>265935.40000000002</v>
      </c>
      <c r="F124" s="214">
        <v>14699.8</v>
      </c>
      <c r="G124" s="214">
        <v>86587.6</v>
      </c>
      <c r="H124" s="214">
        <f t="shared" si="49"/>
        <v>101287.40000000001</v>
      </c>
      <c r="I124" s="214">
        <v>2150.1999999999998</v>
      </c>
      <c r="J124" s="214">
        <v>15541.5</v>
      </c>
      <c r="K124" s="214">
        <f t="shared" si="50"/>
        <v>17691.7</v>
      </c>
      <c r="L124" s="214">
        <f>4833.9+786973.2</f>
        <v>791807.1</v>
      </c>
      <c r="M124" s="214">
        <f t="shared" si="51"/>
        <v>910786.2</v>
      </c>
      <c r="N124" s="214">
        <v>-145569.9</v>
      </c>
      <c r="O124" s="214">
        <f t="shared" si="52"/>
        <v>765216.29999999993</v>
      </c>
      <c r="P124" s="214">
        <f t="shared" si="53"/>
        <v>1031151.7</v>
      </c>
      <c r="Q124" s="667"/>
      <c r="R124" s="667"/>
    </row>
    <row r="125" spans="1:18" s="153" customFormat="1" ht="10.9" customHeight="1" x14ac:dyDescent="0.2">
      <c r="A125" s="1711" t="s">
        <v>1296</v>
      </c>
      <c r="B125" s="135" t="s">
        <v>547</v>
      </c>
      <c r="C125" s="270">
        <v>250809.7</v>
      </c>
      <c r="D125" s="270">
        <v>12244.6</v>
      </c>
      <c r="E125" s="270">
        <f t="shared" si="48"/>
        <v>263054.3</v>
      </c>
      <c r="F125" s="270">
        <v>6694.8</v>
      </c>
      <c r="G125" s="270">
        <v>87743.3</v>
      </c>
      <c r="H125" s="270">
        <f t="shared" si="49"/>
        <v>94438.1</v>
      </c>
      <c r="I125" s="270">
        <v>2152.6</v>
      </c>
      <c r="J125" s="270">
        <v>15524.7</v>
      </c>
      <c r="K125" s="270">
        <f t="shared" si="50"/>
        <v>17677.3</v>
      </c>
      <c r="L125" s="270">
        <f>4844.2+796381.3</f>
        <v>801225.5</v>
      </c>
      <c r="M125" s="270">
        <f t="shared" si="51"/>
        <v>913340.9</v>
      </c>
      <c r="N125" s="270">
        <v>-147694.39999999999</v>
      </c>
      <c r="O125" s="270">
        <f t="shared" si="52"/>
        <v>765646.5</v>
      </c>
      <c r="P125" s="270">
        <f t="shared" si="53"/>
        <v>1028700.8</v>
      </c>
      <c r="Q125" s="667"/>
      <c r="R125" s="667"/>
    </row>
    <row r="126" spans="1:18" s="153" customFormat="1" ht="10.9" customHeight="1" x14ac:dyDescent="0.2">
      <c r="A126" s="1711" t="s">
        <v>1296</v>
      </c>
      <c r="B126" s="292" t="s">
        <v>554</v>
      </c>
      <c r="C126" s="214">
        <v>251637.5</v>
      </c>
      <c r="D126" s="214">
        <v>11537.9</v>
      </c>
      <c r="E126" s="214">
        <f t="shared" si="48"/>
        <v>263175.40000000002</v>
      </c>
      <c r="F126" s="214">
        <v>8497.2999999999993</v>
      </c>
      <c r="G126" s="214">
        <v>83686.100000000006</v>
      </c>
      <c r="H126" s="214">
        <f t="shared" si="49"/>
        <v>92183.400000000009</v>
      </c>
      <c r="I126" s="214">
        <v>2154.9</v>
      </c>
      <c r="J126" s="214">
        <v>15876.5</v>
      </c>
      <c r="K126" s="214">
        <f t="shared" si="50"/>
        <v>18031.400000000001</v>
      </c>
      <c r="L126" s="214">
        <f>4848.8+807831</f>
        <v>812679.8</v>
      </c>
      <c r="M126" s="214">
        <f t="shared" si="51"/>
        <v>922894.60000000009</v>
      </c>
      <c r="N126" s="214">
        <v>-152848.20000000001</v>
      </c>
      <c r="O126" s="214">
        <f t="shared" si="52"/>
        <v>770046.40000000014</v>
      </c>
      <c r="P126" s="214">
        <f t="shared" si="53"/>
        <v>1033221.8000000002</v>
      </c>
      <c r="Q126" s="667"/>
      <c r="R126" s="667"/>
    </row>
    <row r="127" spans="1:18" s="153" customFormat="1" ht="10.9" customHeight="1" x14ac:dyDescent="0.2">
      <c r="A127" s="1711" t="s">
        <v>1296</v>
      </c>
      <c r="B127" s="135" t="s">
        <v>555</v>
      </c>
      <c r="C127" s="270">
        <v>252830</v>
      </c>
      <c r="D127" s="270">
        <v>9708.5</v>
      </c>
      <c r="E127" s="270">
        <f t="shared" si="48"/>
        <v>262538.5</v>
      </c>
      <c r="F127" s="270">
        <v>8979.1</v>
      </c>
      <c r="G127" s="270">
        <v>83624</v>
      </c>
      <c r="H127" s="270">
        <f t="shared" si="49"/>
        <v>92603.1</v>
      </c>
      <c r="I127" s="270">
        <v>2157.4</v>
      </c>
      <c r="J127" s="270">
        <v>15984.2</v>
      </c>
      <c r="K127" s="270">
        <f t="shared" si="50"/>
        <v>18141.600000000002</v>
      </c>
      <c r="L127" s="270">
        <f>4885.6+822058</f>
        <v>826943.6</v>
      </c>
      <c r="M127" s="270">
        <f t="shared" si="51"/>
        <v>937688.3</v>
      </c>
      <c r="N127" s="270">
        <v>-159861.6</v>
      </c>
      <c r="O127" s="270">
        <f t="shared" si="52"/>
        <v>777826.70000000007</v>
      </c>
      <c r="P127" s="270">
        <f t="shared" si="53"/>
        <v>1040365.2000000001</v>
      </c>
      <c r="Q127" s="667"/>
      <c r="R127" s="667"/>
    </row>
    <row r="128" spans="1:18" s="153" customFormat="1" ht="10.9" customHeight="1" x14ac:dyDescent="0.2">
      <c r="A128" s="1711" t="s">
        <v>1296</v>
      </c>
      <c r="B128" s="292" t="s">
        <v>548</v>
      </c>
      <c r="C128" s="214">
        <v>253497.7</v>
      </c>
      <c r="D128" s="214">
        <v>10526.1</v>
      </c>
      <c r="E128" s="214">
        <f t="shared" si="48"/>
        <v>264023.8</v>
      </c>
      <c r="F128" s="214">
        <v>9238.6</v>
      </c>
      <c r="G128" s="214">
        <v>78037.899999999994</v>
      </c>
      <c r="H128" s="214">
        <f t="shared" si="49"/>
        <v>87276.5</v>
      </c>
      <c r="I128" s="214">
        <v>2160</v>
      </c>
      <c r="J128" s="214">
        <v>16465.5</v>
      </c>
      <c r="K128" s="214">
        <f t="shared" si="50"/>
        <v>18625.5</v>
      </c>
      <c r="L128" s="214">
        <f>4986.5+841101</f>
        <v>846087.5</v>
      </c>
      <c r="M128" s="214">
        <f t="shared" si="51"/>
        <v>951989.5</v>
      </c>
      <c r="N128" s="214">
        <v>-160014.39999999999</v>
      </c>
      <c r="O128" s="214">
        <f t="shared" si="52"/>
        <v>791975.1</v>
      </c>
      <c r="P128" s="214">
        <f t="shared" si="53"/>
        <v>1055998.8999999999</v>
      </c>
      <c r="Q128" s="667"/>
      <c r="R128" s="667"/>
    </row>
    <row r="129" spans="1:18" s="153" customFormat="1" ht="10.9" customHeight="1" x14ac:dyDescent="0.2">
      <c r="A129" s="1711" t="s">
        <v>1296</v>
      </c>
      <c r="B129" s="135" t="s">
        <v>556</v>
      </c>
      <c r="C129" s="270">
        <v>253560.4</v>
      </c>
      <c r="D129" s="270">
        <v>9127.9</v>
      </c>
      <c r="E129" s="270">
        <f t="shared" si="48"/>
        <v>262688.3</v>
      </c>
      <c r="F129" s="270">
        <v>7367.2</v>
      </c>
      <c r="G129" s="270">
        <v>73666.2</v>
      </c>
      <c r="H129" s="270">
        <f t="shared" si="49"/>
        <v>81033.399999999994</v>
      </c>
      <c r="I129" s="270">
        <v>2208.4</v>
      </c>
      <c r="J129" s="270">
        <v>16186.8</v>
      </c>
      <c r="K129" s="270">
        <f t="shared" si="50"/>
        <v>18395.2</v>
      </c>
      <c r="L129" s="270">
        <f>4993.1+846421.8</f>
        <v>851414.9</v>
      </c>
      <c r="M129" s="270">
        <f t="shared" si="51"/>
        <v>950843.5</v>
      </c>
      <c r="N129" s="270">
        <v>-165469.6</v>
      </c>
      <c r="O129" s="270">
        <f t="shared" si="52"/>
        <v>785373.9</v>
      </c>
      <c r="P129" s="270">
        <f t="shared" si="53"/>
        <v>1048062.2</v>
      </c>
      <c r="Q129" s="667"/>
      <c r="R129" s="667"/>
    </row>
    <row r="130" spans="1:18" s="153" customFormat="1" ht="10.9" customHeight="1" x14ac:dyDescent="0.2">
      <c r="A130" s="1711" t="s">
        <v>1296</v>
      </c>
      <c r="B130" s="292" t="s">
        <v>557</v>
      </c>
      <c r="C130" s="214">
        <v>253570.9</v>
      </c>
      <c r="D130" s="214">
        <v>8786</v>
      </c>
      <c r="E130" s="214">
        <f t="shared" si="48"/>
        <v>262356.90000000002</v>
      </c>
      <c r="F130" s="214">
        <v>7078.4</v>
      </c>
      <c r="G130" s="214">
        <v>67990.899999999994</v>
      </c>
      <c r="H130" s="214">
        <f t="shared" si="49"/>
        <v>75069.299999999988</v>
      </c>
      <c r="I130" s="214">
        <v>2211.1</v>
      </c>
      <c r="J130" s="214">
        <v>16347.7</v>
      </c>
      <c r="K130" s="214">
        <f t="shared" si="50"/>
        <v>18558.8</v>
      </c>
      <c r="L130" s="214">
        <f>4920.7+857304.1</f>
        <v>862224.79999999993</v>
      </c>
      <c r="M130" s="214">
        <f t="shared" si="51"/>
        <v>955852.89999999991</v>
      </c>
      <c r="N130" s="214">
        <v>-166663</v>
      </c>
      <c r="O130" s="214">
        <f t="shared" si="52"/>
        <v>789189.89999999991</v>
      </c>
      <c r="P130" s="214">
        <f t="shared" si="53"/>
        <v>1051546.7999999998</v>
      </c>
      <c r="Q130" s="667"/>
      <c r="R130" s="667"/>
    </row>
    <row r="131" spans="1:18" s="153" customFormat="1" ht="10.9" customHeight="1" x14ac:dyDescent="0.2">
      <c r="A131" s="1711" t="s">
        <v>1296</v>
      </c>
      <c r="B131" s="135" t="s">
        <v>549</v>
      </c>
      <c r="C131" s="270">
        <v>252905.8</v>
      </c>
      <c r="D131" s="270">
        <v>10165.6</v>
      </c>
      <c r="E131" s="270">
        <f t="shared" si="48"/>
        <v>263071.39999999997</v>
      </c>
      <c r="F131" s="270">
        <v>10068.4</v>
      </c>
      <c r="G131" s="270">
        <v>64507.1</v>
      </c>
      <c r="H131" s="270">
        <f t="shared" si="49"/>
        <v>74575.5</v>
      </c>
      <c r="I131" s="270">
        <v>2213.9</v>
      </c>
      <c r="J131" s="270">
        <v>15984.5</v>
      </c>
      <c r="K131" s="270">
        <f t="shared" si="50"/>
        <v>18198.400000000001</v>
      </c>
      <c r="L131" s="270">
        <f>4958.9+866472.6</f>
        <v>871431.5</v>
      </c>
      <c r="M131" s="270">
        <f t="shared" si="51"/>
        <v>964205.4</v>
      </c>
      <c r="N131" s="270">
        <v>-173163.6</v>
      </c>
      <c r="O131" s="270">
        <f t="shared" si="52"/>
        <v>791041.8</v>
      </c>
      <c r="P131" s="270">
        <f t="shared" si="53"/>
        <v>1054113.2</v>
      </c>
      <c r="Q131" s="667"/>
      <c r="R131" s="667"/>
    </row>
    <row r="132" spans="1:18" s="153" customFormat="1" ht="10.9" customHeight="1" x14ac:dyDescent="0.2">
      <c r="A132" s="1711" t="s">
        <v>1296</v>
      </c>
      <c r="B132" s="292" t="s">
        <v>558</v>
      </c>
      <c r="C132" s="214">
        <v>251317</v>
      </c>
      <c r="D132" s="214">
        <v>7482.2</v>
      </c>
      <c r="E132" s="214">
        <f t="shared" si="48"/>
        <v>258799.2</v>
      </c>
      <c r="F132" s="214">
        <v>10370.6</v>
      </c>
      <c r="G132" s="214">
        <v>61258.3</v>
      </c>
      <c r="H132" s="214">
        <f t="shared" si="49"/>
        <v>71628.900000000009</v>
      </c>
      <c r="I132" s="214">
        <v>2342</v>
      </c>
      <c r="J132" s="214">
        <v>16992.3</v>
      </c>
      <c r="K132" s="214">
        <f t="shared" si="50"/>
        <v>19334.3</v>
      </c>
      <c r="L132" s="214">
        <f>5037.6+876473.2</f>
        <v>881510.79999999993</v>
      </c>
      <c r="M132" s="214">
        <f>H132+K132+L132</f>
        <v>972474</v>
      </c>
      <c r="N132" s="214">
        <v>-171805</v>
      </c>
      <c r="O132" s="214">
        <f>M132+N132</f>
        <v>800669</v>
      </c>
      <c r="P132" s="214">
        <f t="shared" si="53"/>
        <v>1059468.2</v>
      </c>
      <c r="Q132" s="667"/>
      <c r="R132" s="667"/>
    </row>
    <row r="133" spans="1:18" s="153" customFormat="1" ht="10.9" customHeight="1" x14ac:dyDescent="0.2">
      <c r="A133" s="1711" t="s">
        <v>1296</v>
      </c>
      <c r="B133" s="135" t="s">
        <v>559</v>
      </c>
      <c r="C133" s="270">
        <v>252375.2</v>
      </c>
      <c r="D133" s="270">
        <v>8685.9</v>
      </c>
      <c r="E133" s="270">
        <f t="shared" si="48"/>
        <v>261061.1</v>
      </c>
      <c r="F133" s="270">
        <v>10663.6</v>
      </c>
      <c r="G133" s="270">
        <v>66033.100000000006</v>
      </c>
      <c r="H133" s="270">
        <f t="shared" si="49"/>
        <v>76696.700000000012</v>
      </c>
      <c r="I133" s="270">
        <v>2385.4</v>
      </c>
      <c r="J133" s="270">
        <v>17421.900000000001</v>
      </c>
      <c r="K133" s="270">
        <f t="shared" si="50"/>
        <v>19807.300000000003</v>
      </c>
      <c r="L133" s="270">
        <f>5071.1+887332.3</f>
        <v>892403.4</v>
      </c>
      <c r="M133" s="270">
        <f>H133+K133+L133</f>
        <v>988907.4</v>
      </c>
      <c r="N133" s="270">
        <v>-171670.39999999999</v>
      </c>
      <c r="O133" s="270">
        <f>M133+N133</f>
        <v>817237</v>
      </c>
      <c r="P133" s="270">
        <f t="shared" si="53"/>
        <v>1078298.1000000001</v>
      </c>
      <c r="Q133" s="667"/>
      <c r="R133" s="667"/>
    </row>
    <row r="134" spans="1:18" s="153" customFormat="1" ht="10.9" customHeight="1" x14ac:dyDescent="0.2">
      <c r="A134" s="1711" t="s">
        <v>1296</v>
      </c>
      <c r="B134" s="292" t="s">
        <v>550</v>
      </c>
      <c r="C134" s="214">
        <v>253509.8</v>
      </c>
      <c r="D134" s="214">
        <v>11164.6</v>
      </c>
      <c r="E134" s="214">
        <f t="shared" si="48"/>
        <v>264674.39999999997</v>
      </c>
      <c r="F134" s="214">
        <v>22572.2</v>
      </c>
      <c r="G134" s="214">
        <v>72322.7</v>
      </c>
      <c r="H134" s="214">
        <f t="shared" si="49"/>
        <v>94894.9</v>
      </c>
      <c r="I134" s="214">
        <v>2367.8000000000002</v>
      </c>
      <c r="J134" s="214">
        <v>16832.3</v>
      </c>
      <c r="K134" s="214">
        <f t="shared" si="50"/>
        <v>19200.099999999999</v>
      </c>
      <c r="L134" s="214">
        <f>5146.2+902385.4</f>
        <v>907531.6</v>
      </c>
      <c r="M134" s="214">
        <f>H134+K134+L134</f>
        <v>1021626.6</v>
      </c>
      <c r="N134" s="214">
        <v>-176320</v>
      </c>
      <c r="O134" s="214">
        <f>M134+N134</f>
        <v>845306.6</v>
      </c>
      <c r="P134" s="214">
        <f t="shared" si="53"/>
        <v>1109981</v>
      </c>
      <c r="Q134" s="667"/>
      <c r="R134" s="667"/>
    </row>
    <row r="135" spans="1:18" s="153" customFormat="1" ht="10.9" customHeight="1" x14ac:dyDescent="0.2">
      <c r="A135" s="1711" t="s">
        <v>1404</v>
      </c>
      <c r="B135" s="135" t="s">
        <v>552</v>
      </c>
      <c r="C135" s="270">
        <v>251973.1</v>
      </c>
      <c r="D135" s="270">
        <v>11327.6</v>
      </c>
      <c r="E135" s="270">
        <f t="shared" si="48"/>
        <v>263300.7</v>
      </c>
      <c r="F135" s="270">
        <v>12131.7</v>
      </c>
      <c r="G135" s="270">
        <v>85050.8</v>
      </c>
      <c r="H135" s="270">
        <f t="shared" si="49"/>
        <v>97182.5</v>
      </c>
      <c r="I135" s="270">
        <v>2356.5</v>
      </c>
      <c r="J135" s="270">
        <v>17127.7</v>
      </c>
      <c r="K135" s="270">
        <f t="shared" si="50"/>
        <v>19484.2</v>
      </c>
      <c r="L135" s="270">
        <f>5096.9+896368.7</f>
        <v>901465.59999999998</v>
      </c>
      <c r="M135" s="270">
        <f t="shared" ref="M135:M146" si="54">H135+K135+L135</f>
        <v>1018132.2999999999</v>
      </c>
      <c r="N135" s="270">
        <v>-175272.3</v>
      </c>
      <c r="O135" s="270">
        <f t="shared" ref="O135:O146" si="55">M135+N135</f>
        <v>842860</v>
      </c>
      <c r="P135" s="270">
        <f t="shared" si="53"/>
        <v>1106160.7</v>
      </c>
      <c r="Q135" s="667"/>
      <c r="R135" s="667"/>
    </row>
    <row r="136" spans="1:18" s="153" customFormat="1" ht="10.9" customHeight="1" x14ac:dyDescent="0.2">
      <c r="A136" s="1711" t="s">
        <v>1404</v>
      </c>
      <c r="B136" s="292" t="s">
        <v>553</v>
      </c>
      <c r="C136" s="214">
        <v>254675.20000000001</v>
      </c>
      <c r="D136" s="214">
        <v>12613.9</v>
      </c>
      <c r="E136" s="214">
        <f t="shared" si="48"/>
        <v>267289.10000000003</v>
      </c>
      <c r="F136" s="214">
        <v>17116.900000000001</v>
      </c>
      <c r="G136" s="214">
        <v>84575.1</v>
      </c>
      <c r="H136" s="214">
        <f t="shared" si="49"/>
        <v>101692</v>
      </c>
      <c r="I136" s="214">
        <v>2359.9</v>
      </c>
      <c r="J136" s="214">
        <v>17066.900000000001</v>
      </c>
      <c r="K136" s="214">
        <f t="shared" si="50"/>
        <v>19426.800000000003</v>
      </c>
      <c r="L136" s="214">
        <f>5051.1+905114.9</f>
        <v>910166</v>
      </c>
      <c r="M136" s="214">
        <f t="shared" si="54"/>
        <v>1031284.8</v>
      </c>
      <c r="N136" s="214">
        <v>-174619.6</v>
      </c>
      <c r="O136" s="214">
        <f t="shared" si="55"/>
        <v>856665.20000000007</v>
      </c>
      <c r="P136" s="214">
        <f t="shared" si="53"/>
        <v>1123954.3</v>
      </c>
      <c r="Q136" s="667"/>
      <c r="R136" s="667"/>
    </row>
    <row r="137" spans="1:18" s="153" customFormat="1" ht="10.9" customHeight="1" x14ac:dyDescent="0.2">
      <c r="A137" s="1711" t="s">
        <v>1404</v>
      </c>
      <c r="B137" s="135" t="s">
        <v>547</v>
      </c>
      <c r="C137" s="270">
        <v>251729.4</v>
      </c>
      <c r="D137" s="270">
        <v>13507.3</v>
      </c>
      <c r="E137" s="270">
        <f t="shared" si="48"/>
        <v>265236.7</v>
      </c>
      <c r="F137" s="270">
        <v>10446.5</v>
      </c>
      <c r="G137" s="270">
        <v>85248.6</v>
      </c>
      <c r="H137" s="270">
        <f t="shared" si="49"/>
        <v>95695.1</v>
      </c>
      <c r="I137" s="270">
        <v>2363.1999999999998</v>
      </c>
      <c r="J137" s="270">
        <v>17268.900000000001</v>
      </c>
      <c r="K137" s="270">
        <f t="shared" si="50"/>
        <v>19632.100000000002</v>
      </c>
      <c r="L137" s="270">
        <f>5003.2+913742.4</f>
        <v>918745.59999999998</v>
      </c>
      <c r="M137" s="270">
        <f t="shared" si="54"/>
        <v>1034072.8</v>
      </c>
      <c r="N137" s="270">
        <v>-180414.9</v>
      </c>
      <c r="O137" s="270">
        <f t="shared" si="55"/>
        <v>853657.9</v>
      </c>
      <c r="P137" s="270">
        <f t="shared" si="53"/>
        <v>1118894.6000000001</v>
      </c>
      <c r="Q137" s="667"/>
      <c r="R137" s="667"/>
    </row>
    <row r="138" spans="1:18" s="153" customFormat="1" ht="10.9" customHeight="1" x14ac:dyDescent="0.2">
      <c r="A138" s="1711" t="s">
        <v>1404</v>
      </c>
      <c r="B138" s="292" t="s">
        <v>554</v>
      </c>
      <c r="C138" s="214">
        <v>248150.39999999999</v>
      </c>
      <c r="D138" s="214">
        <v>12242.9</v>
      </c>
      <c r="E138" s="214">
        <f t="shared" si="48"/>
        <v>260393.3</v>
      </c>
      <c r="F138" s="214">
        <v>14507.2</v>
      </c>
      <c r="G138" s="214">
        <v>81161.7</v>
      </c>
      <c r="H138" s="214">
        <f t="shared" si="49"/>
        <v>95668.9</v>
      </c>
      <c r="I138" s="214">
        <v>2366.6999999999998</v>
      </c>
      <c r="J138" s="214">
        <v>17861.599999999999</v>
      </c>
      <c r="K138" s="214">
        <f t="shared" si="50"/>
        <v>20228.3</v>
      </c>
      <c r="L138" s="214">
        <f>4969+927376</f>
        <v>932345</v>
      </c>
      <c r="M138" s="214">
        <f t="shared" si="54"/>
        <v>1048242.2</v>
      </c>
      <c r="N138" s="214">
        <v>-182810.5</v>
      </c>
      <c r="O138" s="214">
        <f t="shared" si="55"/>
        <v>865431.7</v>
      </c>
      <c r="P138" s="214">
        <f t="shared" si="53"/>
        <v>1125825</v>
      </c>
      <c r="Q138" s="667"/>
      <c r="R138" s="667"/>
    </row>
    <row r="139" spans="1:18" s="153" customFormat="1" ht="10.9" customHeight="1" x14ac:dyDescent="0.2">
      <c r="A139" s="1711" t="s">
        <v>1404</v>
      </c>
      <c r="B139" s="135" t="s">
        <v>555</v>
      </c>
      <c r="C139" s="270">
        <v>245304.3</v>
      </c>
      <c r="D139" s="270">
        <v>12402.6</v>
      </c>
      <c r="E139" s="270">
        <f t="shared" si="48"/>
        <v>257706.9</v>
      </c>
      <c r="F139" s="270">
        <v>15583.1</v>
      </c>
      <c r="G139" s="270">
        <v>82203.600000000006</v>
      </c>
      <c r="H139" s="270">
        <f t="shared" si="49"/>
        <v>97786.700000000012</v>
      </c>
      <c r="I139" s="270">
        <v>2370.1</v>
      </c>
      <c r="J139" s="270">
        <v>19224.5</v>
      </c>
      <c r="K139" s="270">
        <f t="shared" si="50"/>
        <v>21594.6</v>
      </c>
      <c r="L139" s="270">
        <f>4945+937848.5</f>
        <v>942793.5</v>
      </c>
      <c r="M139" s="270">
        <f t="shared" si="54"/>
        <v>1062174.8</v>
      </c>
      <c r="N139" s="270">
        <v>-188378.5</v>
      </c>
      <c r="O139" s="270">
        <f t="shared" si="55"/>
        <v>873796.3</v>
      </c>
      <c r="P139" s="270">
        <f t="shared" si="53"/>
        <v>1131503.2</v>
      </c>
      <c r="Q139" s="667"/>
      <c r="R139" s="667"/>
    </row>
    <row r="140" spans="1:18" s="153" customFormat="1" ht="10.9" customHeight="1" x14ac:dyDescent="0.2">
      <c r="A140" s="1711" t="s">
        <v>1404</v>
      </c>
      <c r="B140" s="292" t="s">
        <v>548</v>
      </c>
      <c r="C140" s="214">
        <v>247691.7</v>
      </c>
      <c r="D140" s="214">
        <v>17008.5</v>
      </c>
      <c r="E140" s="214">
        <f t="shared" si="48"/>
        <v>264700.2</v>
      </c>
      <c r="F140" s="214">
        <v>21067.4</v>
      </c>
      <c r="G140" s="214">
        <v>77084.7</v>
      </c>
      <c r="H140" s="214">
        <f t="shared" si="49"/>
        <v>98152.1</v>
      </c>
      <c r="I140" s="214">
        <v>2373.5</v>
      </c>
      <c r="J140" s="214">
        <v>20973.200000000001</v>
      </c>
      <c r="K140" s="214">
        <f t="shared" si="50"/>
        <v>23346.7</v>
      </c>
      <c r="L140" s="214">
        <f>4979+953872.2</f>
        <v>958851.2</v>
      </c>
      <c r="M140" s="214">
        <f t="shared" si="54"/>
        <v>1080350</v>
      </c>
      <c r="N140" s="214">
        <v>-189689.5</v>
      </c>
      <c r="O140" s="214">
        <f t="shared" si="55"/>
        <v>890660.5</v>
      </c>
      <c r="P140" s="214">
        <f t="shared" si="53"/>
        <v>1155360.7</v>
      </c>
      <c r="Q140" s="667"/>
      <c r="R140" s="667"/>
    </row>
    <row r="141" spans="1:18" s="153" customFormat="1" ht="10.9" customHeight="1" x14ac:dyDescent="0.2">
      <c r="A141" s="1711" t="s">
        <v>1404</v>
      </c>
      <c r="B141" s="135" t="s">
        <v>556</v>
      </c>
      <c r="C141" s="270">
        <v>245563.2</v>
      </c>
      <c r="D141" s="270">
        <v>13415.6</v>
      </c>
      <c r="E141" s="270">
        <f t="shared" si="48"/>
        <v>258978.80000000002</v>
      </c>
      <c r="F141" s="270">
        <v>17669.8</v>
      </c>
      <c r="G141" s="270">
        <v>81247.100000000006</v>
      </c>
      <c r="H141" s="270">
        <f t="shared" si="49"/>
        <v>98916.900000000009</v>
      </c>
      <c r="I141" s="270">
        <v>2347.6</v>
      </c>
      <c r="J141" s="270">
        <v>21763.200000000001</v>
      </c>
      <c r="K141" s="270">
        <f t="shared" si="50"/>
        <v>24110.799999999999</v>
      </c>
      <c r="L141" s="270">
        <f>4910.9+958897.1</f>
        <v>963808</v>
      </c>
      <c r="M141" s="270">
        <f t="shared" si="54"/>
        <v>1086835.7</v>
      </c>
      <c r="N141" s="270">
        <v>-191256.7</v>
      </c>
      <c r="O141" s="270">
        <f t="shared" si="55"/>
        <v>895579</v>
      </c>
      <c r="P141" s="270">
        <f t="shared" si="53"/>
        <v>1154557.8</v>
      </c>
      <c r="Q141" s="667"/>
      <c r="R141" s="667"/>
    </row>
    <row r="142" spans="1:18" s="153" customFormat="1" ht="10.9" customHeight="1" x14ac:dyDescent="0.2">
      <c r="A142" s="1711" t="s">
        <v>1404</v>
      </c>
      <c r="B142" s="292" t="s">
        <v>557</v>
      </c>
      <c r="C142" s="214">
        <v>250320.8</v>
      </c>
      <c r="D142" s="214">
        <v>15120.6</v>
      </c>
      <c r="E142" s="214">
        <f t="shared" si="48"/>
        <v>265441.39999999997</v>
      </c>
      <c r="F142" s="214">
        <v>13370.8</v>
      </c>
      <c r="G142" s="214">
        <v>79575.199999999997</v>
      </c>
      <c r="H142" s="214">
        <f t="shared" si="49"/>
        <v>92946</v>
      </c>
      <c r="I142" s="214">
        <v>2352.6</v>
      </c>
      <c r="J142" s="214">
        <v>21515.8</v>
      </c>
      <c r="K142" s="214">
        <f t="shared" si="50"/>
        <v>23868.399999999998</v>
      </c>
      <c r="L142" s="214">
        <f>4783.6+965565.1</f>
        <v>970348.7</v>
      </c>
      <c r="M142" s="214">
        <f t="shared" si="54"/>
        <v>1087163.0999999999</v>
      </c>
      <c r="N142" s="214">
        <v>-192031.7</v>
      </c>
      <c r="O142" s="214">
        <f t="shared" si="55"/>
        <v>895131.39999999991</v>
      </c>
      <c r="P142" s="214">
        <f t="shared" si="53"/>
        <v>1160572.7999999998</v>
      </c>
      <c r="Q142" s="667"/>
      <c r="R142" s="667"/>
    </row>
    <row r="143" spans="1:18" s="153" customFormat="1" ht="10.9" customHeight="1" x14ac:dyDescent="0.2">
      <c r="A143" s="1711" t="s">
        <v>1404</v>
      </c>
      <c r="B143" s="135" t="s">
        <v>549</v>
      </c>
      <c r="C143" s="270">
        <v>251391.3</v>
      </c>
      <c r="D143" s="270">
        <v>18081.8</v>
      </c>
      <c r="E143" s="270">
        <f t="shared" si="48"/>
        <v>269473.09999999998</v>
      </c>
      <c r="F143" s="270">
        <v>11760.6</v>
      </c>
      <c r="G143" s="270">
        <v>80751.399999999994</v>
      </c>
      <c r="H143" s="270">
        <f t="shared" si="49"/>
        <v>92512</v>
      </c>
      <c r="I143" s="270">
        <v>2354.3000000000002</v>
      </c>
      <c r="J143" s="270">
        <v>21707.7</v>
      </c>
      <c r="K143" s="270">
        <f t="shared" si="50"/>
        <v>24062</v>
      </c>
      <c r="L143" s="270">
        <f>4815+974871.1</f>
        <v>979686.1</v>
      </c>
      <c r="M143" s="270">
        <f t="shared" si="54"/>
        <v>1096260.1000000001</v>
      </c>
      <c r="N143" s="270">
        <v>-197153.8</v>
      </c>
      <c r="O143" s="270">
        <f t="shared" si="55"/>
        <v>899106.3</v>
      </c>
      <c r="P143" s="270">
        <f t="shared" si="53"/>
        <v>1168579.3999999999</v>
      </c>
      <c r="Q143" s="667"/>
      <c r="R143" s="667"/>
    </row>
    <row r="144" spans="1:18" s="153" customFormat="1" ht="10.9" customHeight="1" x14ac:dyDescent="0.2">
      <c r="A144" s="1711" t="s">
        <v>1404</v>
      </c>
      <c r="B144" s="292" t="s">
        <v>558</v>
      </c>
      <c r="C144" s="214">
        <v>249633.4</v>
      </c>
      <c r="D144" s="214">
        <v>13454.1</v>
      </c>
      <c r="E144" s="214">
        <f t="shared" si="48"/>
        <v>263087.5</v>
      </c>
      <c r="F144" s="214">
        <v>16694.900000000001</v>
      </c>
      <c r="G144" s="214">
        <v>76571.7</v>
      </c>
      <c r="H144" s="214">
        <f t="shared" si="49"/>
        <v>93266.6</v>
      </c>
      <c r="I144" s="214">
        <v>2328</v>
      </c>
      <c r="J144" s="214">
        <v>21373.4</v>
      </c>
      <c r="K144" s="214">
        <f t="shared" si="50"/>
        <v>23701.4</v>
      </c>
      <c r="L144" s="214">
        <f>4776.5+983152.7</f>
        <v>987929.2</v>
      </c>
      <c r="M144" s="214">
        <f t="shared" si="54"/>
        <v>1104897.2</v>
      </c>
      <c r="N144" s="214">
        <v>-197041.1</v>
      </c>
      <c r="O144" s="214">
        <f t="shared" si="55"/>
        <v>907856.1</v>
      </c>
      <c r="P144" s="214">
        <f t="shared" si="53"/>
        <v>1170943.6000000001</v>
      </c>
      <c r="Q144" s="667"/>
      <c r="R144" s="667"/>
    </row>
    <row r="145" spans="1:18" s="153" customFormat="1" ht="10.9" customHeight="1" x14ac:dyDescent="0.2">
      <c r="A145" s="1711" t="s">
        <v>1404</v>
      </c>
      <c r="B145" s="135" t="s">
        <v>559</v>
      </c>
      <c r="C145" s="270">
        <f>248731</f>
        <v>248731</v>
      </c>
      <c r="D145" s="270">
        <v>16078.8</v>
      </c>
      <c r="E145" s="270">
        <f t="shared" si="48"/>
        <v>264809.8</v>
      </c>
      <c r="F145" s="270">
        <v>33722.6</v>
      </c>
      <c r="G145" s="270">
        <v>79362.100000000006</v>
      </c>
      <c r="H145" s="270">
        <f t="shared" si="49"/>
        <v>113084.70000000001</v>
      </c>
      <c r="I145" s="270">
        <v>2382.3000000000002</v>
      </c>
      <c r="J145" s="270">
        <v>22023.4</v>
      </c>
      <c r="K145" s="270">
        <f t="shared" si="50"/>
        <v>24405.7</v>
      </c>
      <c r="L145" s="270">
        <f>4776.7+996141.5</f>
        <v>1000918.2</v>
      </c>
      <c r="M145" s="270">
        <f t="shared" si="54"/>
        <v>1138408.6000000001</v>
      </c>
      <c r="N145" s="270">
        <v>-198060.79999999999</v>
      </c>
      <c r="O145" s="270">
        <f t="shared" si="55"/>
        <v>940347.8</v>
      </c>
      <c r="P145" s="270">
        <f t="shared" si="53"/>
        <v>1205157.6000000001</v>
      </c>
      <c r="Q145" s="667"/>
      <c r="R145" s="667"/>
    </row>
    <row r="146" spans="1:18" s="153" customFormat="1" ht="10.9" customHeight="1" x14ac:dyDescent="0.2">
      <c r="A146" s="1711" t="s">
        <v>1404</v>
      </c>
      <c r="B146" s="292" t="s">
        <v>550</v>
      </c>
      <c r="C146" s="214">
        <v>257195.4</v>
      </c>
      <c r="D146" s="214">
        <v>15204.1</v>
      </c>
      <c r="E146" s="214">
        <f t="shared" si="48"/>
        <v>272399.5</v>
      </c>
      <c r="F146" s="214">
        <v>31189</v>
      </c>
      <c r="G146" s="214">
        <v>82084.399999999994</v>
      </c>
      <c r="H146" s="214">
        <f t="shared" si="49"/>
        <v>113273.4</v>
      </c>
      <c r="I146" s="214">
        <v>2380.4</v>
      </c>
      <c r="J146" s="214">
        <v>20975.200000000001</v>
      </c>
      <c r="K146" s="214">
        <f t="shared" si="50"/>
        <v>23355.600000000002</v>
      </c>
      <c r="L146" s="214">
        <f>4789.5+1005466.2</f>
        <v>1010255.7</v>
      </c>
      <c r="M146" s="214">
        <f t="shared" si="54"/>
        <v>1146884.7</v>
      </c>
      <c r="N146" s="214">
        <v>-199672.7</v>
      </c>
      <c r="O146" s="214">
        <f t="shared" si="55"/>
        <v>947212</v>
      </c>
      <c r="P146" s="214">
        <f t="shared" si="53"/>
        <v>1219611.5</v>
      </c>
      <c r="Q146" s="667"/>
      <c r="R146" s="667"/>
    </row>
    <row r="147" spans="1:18" s="153" customFormat="1" ht="10.9" customHeight="1" x14ac:dyDescent="0.2">
      <c r="A147" s="1711" t="s">
        <v>1484</v>
      </c>
      <c r="B147" s="135" t="s">
        <v>552</v>
      </c>
      <c r="C147" s="214">
        <v>255655.5</v>
      </c>
      <c r="D147" s="214">
        <v>17122.2</v>
      </c>
      <c r="E147" s="214">
        <f t="shared" ref="E147:E158" si="56">C147+D147</f>
        <v>272777.7</v>
      </c>
      <c r="F147" s="214">
        <v>29485.4</v>
      </c>
      <c r="G147" s="214">
        <v>100477.1</v>
      </c>
      <c r="H147" s="214">
        <f t="shared" ref="H147:H158" si="57">F147+G147</f>
        <v>129962.5</v>
      </c>
      <c r="I147" s="214">
        <v>2471.3000000000002</v>
      </c>
      <c r="J147" s="214">
        <v>21951.9</v>
      </c>
      <c r="K147" s="214">
        <f t="shared" ref="K147:K158" si="58">I147+J147</f>
        <v>24423.200000000001</v>
      </c>
      <c r="L147" s="214">
        <f>4805.1+998160.9</f>
        <v>1002966</v>
      </c>
      <c r="M147" s="214">
        <f t="shared" ref="M147:M158" si="59">H147+K147+L147</f>
        <v>1157351.7</v>
      </c>
      <c r="N147" s="214">
        <v>-200557</v>
      </c>
      <c r="O147" s="214">
        <f t="shared" ref="O147:O158" si="60">M147+N147</f>
        <v>956794.7</v>
      </c>
      <c r="P147" s="214">
        <f t="shared" ref="P147:P158" si="61">E147+O147</f>
        <v>1229572.3999999999</v>
      </c>
      <c r="Q147" s="667"/>
      <c r="R147" s="667"/>
    </row>
    <row r="148" spans="1:18" s="153" customFormat="1" ht="10.9" customHeight="1" x14ac:dyDescent="0.2">
      <c r="A148" s="1711" t="s">
        <v>1484</v>
      </c>
      <c r="B148" s="292" t="s">
        <v>553</v>
      </c>
      <c r="C148" s="270">
        <v>257546.7</v>
      </c>
      <c r="D148" s="270">
        <v>17047.7</v>
      </c>
      <c r="E148" s="270">
        <f t="shared" si="56"/>
        <v>274594.40000000002</v>
      </c>
      <c r="F148" s="270">
        <v>29929</v>
      </c>
      <c r="G148" s="270">
        <v>108448.7</v>
      </c>
      <c r="H148" s="270">
        <f t="shared" si="57"/>
        <v>138377.70000000001</v>
      </c>
      <c r="I148" s="270">
        <v>2475.1999999999998</v>
      </c>
      <c r="J148" s="270">
        <v>21927.3</v>
      </c>
      <c r="K148" s="270">
        <f t="shared" si="58"/>
        <v>24402.5</v>
      </c>
      <c r="L148" s="270">
        <f>4801.2+1002596.8</f>
        <v>1007398</v>
      </c>
      <c r="M148" s="270">
        <f t="shared" si="59"/>
        <v>1170178.2</v>
      </c>
      <c r="N148" s="270">
        <v>-198467.3</v>
      </c>
      <c r="O148" s="270">
        <f t="shared" si="60"/>
        <v>971710.89999999991</v>
      </c>
      <c r="P148" s="270">
        <f t="shared" si="61"/>
        <v>1246305.2999999998</v>
      </c>
      <c r="Q148" s="667"/>
      <c r="R148" s="667"/>
    </row>
    <row r="149" spans="1:18" s="153" customFormat="1" ht="10.9" customHeight="1" x14ac:dyDescent="0.2">
      <c r="A149" s="1711" t="s">
        <v>1484</v>
      </c>
      <c r="B149" s="135" t="s">
        <v>547</v>
      </c>
      <c r="C149" s="214">
        <v>254607.6</v>
      </c>
      <c r="D149" s="214">
        <v>16670.599999999999</v>
      </c>
      <c r="E149" s="214">
        <f t="shared" si="56"/>
        <v>271278.2</v>
      </c>
      <c r="F149" s="214">
        <v>28908.2</v>
      </c>
      <c r="G149" s="214">
        <v>111873.4</v>
      </c>
      <c r="H149" s="214">
        <f t="shared" si="57"/>
        <v>140781.6</v>
      </c>
      <c r="I149" s="214">
        <v>2480.8000000000002</v>
      </c>
      <c r="J149" s="214">
        <v>23266.2</v>
      </c>
      <c r="K149" s="214">
        <f t="shared" si="58"/>
        <v>25747</v>
      </c>
      <c r="L149" s="214">
        <f>4817.5+1011879.3</f>
        <v>1016696.8</v>
      </c>
      <c r="M149" s="214">
        <f t="shared" si="59"/>
        <v>1183225.4000000001</v>
      </c>
      <c r="N149" s="214">
        <v>-202622.7</v>
      </c>
      <c r="O149" s="214">
        <f t="shared" si="60"/>
        <v>980602.70000000019</v>
      </c>
      <c r="P149" s="214">
        <f t="shared" si="61"/>
        <v>1251880.9000000001</v>
      </c>
      <c r="Q149" s="667"/>
      <c r="R149" s="667"/>
    </row>
    <row r="150" spans="1:18" s="153" customFormat="1" ht="10.9" customHeight="1" x14ac:dyDescent="0.2">
      <c r="A150" s="1711" t="s">
        <v>1484</v>
      </c>
      <c r="B150" s="292" t="s">
        <v>554</v>
      </c>
      <c r="C150" s="270">
        <v>256007.2</v>
      </c>
      <c r="D150" s="270">
        <v>14238.6</v>
      </c>
      <c r="E150" s="270">
        <f t="shared" si="56"/>
        <v>270245.8</v>
      </c>
      <c r="F150" s="270">
        <v>33824.6</v>
      </c>
      <c r="G150" s="270">
        <v>113832.4</v>
      </c>
      <c r="H150" s="270">
        <f t="shared" si="57"/>
        <v>147657</v>
      </c>
      <c r="I150" s="270">
        <v>2483</v>
      </c>
      <c r="J150" s="270">
        <v>23364.799999999999</v>
      </c>
      <c r="K150" s="270">
        <f t="shared" si="58"/>
        <v>25847.8</v>
      </c>
      <c r="L150" s="270">
        <f>4815.3+1021143.1</f>
        <v>1025958.4</v>
      </c>
      <c r="M150" s="270">
        <f t="shared" si="59"/>
        <v>1199463.2</v>
      </c>
      <c r="N150" s="270">
        <v>-207897.8</v>
      </c>
      <c r="O150" s="270">
        <f t="shared" si="60"/>
        <v>991565.39999999991</v>
      </c>
      <c r="P150" s="270">
        <f t="shared" si="61"/>
        <v>1261811.2</v>
      </c>
      <c r="Q150" s="667"/>
      <c r="R150" s="667"/>
    </row>
    <row r="151" spans="1:18" s="153" customFormat="1" ht="10.9" customHeight="1" x14ac:dyDescent="0.2">
      <c r="A151" s="1711" t="s">
        <v>1484</v>
      </c>
      <c r="B151" s="135" t="s">
        <v>555</v>
      </c>
      <c r="C151" s="214">
        <v>255448.9</v>
      </c>
      <c r="D151" s="214">
        <v>14918.8</v>
      </c>
      <c r="E151" s="214">
        <f t="shared" si="56"/>
        <v>270367.7</v>
      </c>
      <c r="F151" s="214">
        <v>30168.5</v>
      </c>
      <c r="G151" s="214">
        <v>123267.8</v>
      </c>
      <c r="H151" s="214">
        <f t="shared" si="57"/>
        <v>153436.29999999999</v>
      </c>
      <c r="I151" s="214">
        <v>2587.1999999999998</v>
      </c>
      <c r="J151" s="214">
        <v>24363.7</v>
      </c>
      <c r="K151" s="214">
        <f t="shared" si="58"/>
        <v>26950.9</v>
      </c>
      <c r="L151" s="214">
        <f>4804.9+1031010.4</f>
        <v>1035815.3</v>
      </c>
      <c r="M151" s="214">
        <f t="shared" si="59"/>
        <v>1216202.5</v>
      </c>
      <c r="N151" s="214">
        <v>-211093.2</v>
      </c>
      <c r="O151" s="214">
        <f t="shared" si="60"/>
        <v>1005109.3</v>
      </c>
      <c r="P151" s="214">
        <f t="shared" si="61"/>
        <v>1275477</v>
      </c>
      <c r="Q151" s="667"/>
      <c r="R151" s="667"/>
    </row>
    <row r="152" spans="1:18" s="153" customFormat="1" ht="10.9" customHeight="1" x14ac:dyDescent="0.2">
      <c r="A152" s="1711" t="s">
        <v>1484</v>
      </c>
      <c r="B152" s="292" t="s">
        <v>548</v>
      </c>
      <c r="C152" s="270">
        <v>259113.4</v>
      </c>
      <c r="D152" s="270">
        <v>15013.1</v>
      </c>
      <c r="E152" s="270">
        <f t="shared" si="56"/>
        <v>274126.5</v>
      </c>
      <c r="F152" s="270">
        <v>34438.199999999997</v>
      </c>
      <c r="G152" s="270">
        <v>122422.6</v>
      </c>
      <c r="H152" s="270">
        <f t="shared" si="57"/>
        <v>156860.79999999999</v>
      </c>
      <c r="I152" s="270">
        <v>2593</v>
      </c>
      <c r="J152" s="270">
        <v>27992.7</v>
      </c>
      <c r="K152" s="270">
        <f t="shared" si="58"/>
        <v>30585.7</v>
      </c>
      <c r="L152" s="270">
        <f>4868.2+1048283.4</f>
        <v>1053151.6000000001</v>
      </c>
      <c r="M152" s="270">
        <f t="shared" si="59"/>
        <v>1240598.1000000001</v>
      </c>
      <c r="N152" s="270">
        <v>-220289.5</v>
      </c>
      <c r="O152" s="270">
        <f t="shared" si="60"/>
        <v>1020308.6000000001</v>
      </c>
      <c r="P152" s="270">
        <f t="shared" si="61"/>
        <v>1294435.1000000001</v>
      </c>
      <c r="Q152" s="667"/>
      <c r="R152" s="667"/>
    </row>
    <row r="153" spans="1:18" s="153" customFormat="1" ht="10.9" customHeight="1" x14ac:dyDescent="0.2">
      <c r="A153" s="1711" t="s">
        <v>1484</v>
      </c>
      <c r="B153" s="135" t="s">
        <v>556</v>
      </c>
      <c r="C153" s="214">
        <v>259738.6</v>
      </c>
      <c r="D153" s="214">
        <v>14611.3</v>
      </c>
      <c r="E153" s="214">
        <f t="shared" si="56"/>
        <v>274349.90000000002</v>
      </c>
      <c r="F153" s="214">
        <v>32763.8</v>
      </c>
      <c r="G153" s="214">
        <v>130491.3</v>
      </c>
      <c r="H153" s="214">
        <f t="shared" si="57"/>
        <v>163255.1</v>
      </c>
      <c r="I153" s="214">
        <v>2569</v>
      </c>
      <c r="J153" s="214">
        <v>27174.2</v>
      </c>
      <c r="K153" s="214">
        <f t="shared" si="58"/>
        <v>29743.200000000001</v>
      </c>
      <c r="L153" s="214">
        <f>4846.5+1047627.2</f>
        <v>1052473.7</v>
      </c>
      <c r="M153" s="214">
        <f t="shared" si="59"/>
        <v>1245472</v>
      </c>
      <c r="N153" s="214">
        <v>-222272</v>
      </c>
      <c r="O153" s="214">
        <f t="shared" si="60"/>
        <v>1023200</v>
      </c>
      <c r="P153" s="214">
        <f t="shared" si="61"/>
        <v>1297549.8999999999</v>
      </c>
      <c r="Q153" s="667"/>
      <c r="R153" s="667"/>
    </row>
    <row r="154" spans="1:18" s="153" customFormat="1" ht="10.9" customHeight="1" x14ac:dyDescent="0.2">
      <c r="A154" s="1711" t="s">
        <v>1484</v>
      </c>
      <c r="B154" s="292" t="s">
        <v>557</v>
      </c>
      <c r="C154" s="270">
        <v>260343.4</v>
      </c>
      <c r="D154" s="270">
        <v>17143.099999999999</v>
      </c>
      <c r="E154" s="270">
        <f t="shared" si="56"/>
        <v>277486.5</v>
      </c>
      <c r="F154" s="270">
        <v>26329.1</v>
      </c>
      <c r="G154" s="270">
        <v>135912.5</v>
      </c>
      <c r="H154" s="270">
        <f t="shared" si="57"/>
        <v>162241.60000000001</v>
      </c>
      <c r="I154" s="270">
        <v>2574.9</v>
      </c>
      <c r="J154" s="270">
        <v>27458.7</v>
      </c>
      <c r="K154" s="270">
        <f t="shared" si="58"/>
        <v>30033.600000000002</v>
      </c>
      <c r="L154" s="270">
        <f>4879.3+1054020.1</f>
        <v>1058899.4000000001</v>
      </c>
      <c r="M154" s="270">
        <f t="shared" si="59"/>
        <v>1251174.6000000001</v>
      </c>
      <c r="N154" s="270">
        <v>-222164.4</v>
      </c>
      <c r="O154" s="270">
        <f t="shared" si="60"/>
        <v>1029010.2000000001</v>
      </c>
      <c r="P154" s="270">
        <f t="shared" si="61"/>
        <v>1306496.7000000002</v>
      </c>
      <c r="Q154" s="667"/>
      <c r="R154" s="667"/>
    </row>
    <row r="155" spans="1:18" s="153" customFormat="1" ht="10.9" customHeight="1" x14ac:dyDescent="0.2">
      <c r="A155" s="1711" t="s">
        <v>1484</v>
      </c>
      <c r="B155" s="135" t="s">
        <v>549</v>
      </c>
      <c r="C155" s="214">
        <v>263114.5</v>
      </c>
      <c r="D155" s="214">
        <v>16128.2</v>
      </c>
      <c r="E155" s="214">
        <f t="shared" si="56"/>
        <v>279242.7</v>
      </c>
      <c r="F155" s="214">
        <v>22201</v>
      </c>
      <c r="G155" s="214">
        <v>111564.1</v>
      </c>
      <c r="H155" s="214">
        <f t="shared" si="57"/>
        <v>133765.1</v>
      </c>
      <c r="I155" s="214">
        <v>2577.5</v>
      </c>
      <c r="J155" s="214">
        <v>27563.8</v>
      </c>
      <c r="K155" s="214">
        <f t="shared" si="58"/>
        <v>30141.3</v>
      </c>
      <c r="L155" s="214">
        <f>4992.8+1061586.7</f>
        <v>1066579.5</v>
      </c>
      <c r="M155" s="214">
        <f t="shared" si="59"/>
        <v>1230485.8999999999</v>
      </c>
      <c r="N155" s="214">
        <v>-199060.1</v>
      </c>
      <c r="O155" s="214">
        <f t="shared" si="60"/>
        <v>1031425.7999999999</v>
      </c>
      <c r="P155" s="214">
        <f t="shared" si="61"/>
        <v>1310668.5</v>
      </c>
      <c r="Q155" s="667"/>
      <c r="R155" s="667"/>
    </row>
    <row r="156" spans="1:18" s="153" customFormat="1" ht="10.9" customHeight="1" x14ac:dyDescent="0.2">
      <c r="A156" s="1711" t="s">
        <v>1484</v>
      </c>
      <c r="B156" s="292" t="s">
        <v>558</v>
      </c>
      <c r="C156" s="270">
        <v>265600.7</v>
      </c>
      <c r="D156" s="270">
        <v>16859.099999999999</v>
      </c>
      <c r="E156" s="270">
        <f t="shared" si="56"/>
        <v>282459.8</v>
      </c>
      <c r="F156" s="270">
        <v>34797.800000000003</v>
      </c>
      <c r="G156" s="270">
        <v>133584.20000000001</v>
      </c>
      <c r="H156" s="270">
        <f t="shared" si="57"/>
        <v>168382</v>
      </c>
      <c r="I156" s="270">
        <v>2577.5</v>
      </c>
      <c r="J156" s="270">
        <v>27341.7</v>
      </c>
      <c r="K156" s="270">
        <f t="shared" si="58"/>
        <v>29919.200000000001</v>
      </c>
      <c r="L156" s="270">
        <f>5016.5+1070154.1</f>
        <v>1075170.6000000001</v>
      </c>
      <c r="M156" s="270">
        <f t="shared" si="59"/>
        <v>1273471.8</v>
      </c>
      <c r="N156" s="270">
        <v>-229866.1</v>
      </c>
      <c r="O156" s="270">
        <f t="shared" si="60"/>
        <v>1043605.7000000001</v>
      </c>
      <c r="P156" s="270">
        <f t="shared" si="61"/>
        <v>1326065.5</v>
      </c>
      <c r="Q156" s="667"/>
      <c r="R156" s="667"/>
    </row>
    <row r="157" spans="1:18" s="153" customFormat="1" ht="10.9" customHeight="1" x14ac:dyDescent="0.2">
      <c r="A157" s="1711" t="s">
        <v>1484</v>
      </c>
      <c r="B157" s="135" t="s">
        <v>559</v>
      </c>
      <c r="C157" s="214">
        <v>271808</v>
      </c>
      <c r="D157" s="214">
        <v>14629.3</v>
      </c>
      <c r="E157" s="214">
        <f t="shared" si="56"/>
        <v>286437.3</v>
      </c>
      <c r="F157" s="214">
        <v>31707.4</v>
      </c>
      <c r="G157" s="214">
        <v>130810.6</v>
      </c>
      <c r="H157" s="214">
        <f t="shared" si="57"/>
        <v>162518</v>
      </c>
      <c r="I157" s="214">
        <v>2566.3000000000002</v>
      </c>
      <c r="J157" s="214">
        <v>27285.4</v>
      </c>
      <c r="K157" s="214">
        <f t="shared" si="58"/>
        <v>29851.7</v>
      </c>
      <c r="L157" s="214">
        <f>5271.6+1084286</f>
        <v>1089557.6000000001</v>
      </c>
      <c r="M157" s="214">
        <f t="shared" si="59"/>
        <v>1281927.3</v>
      </c>
      <c r="N157" s="214">
        <v>-216733.6</v>
      </c>
      <c r="O157" s="214">
        <f t="shared" si="60"/>
        <v>1065193.7</v>
      </c>
      <c r="P157" s="214">
        <f t="shared" si="61"/>
        <v>1351631</v>
      </c>
      <c r="Q157" s="667"/>
      <c r="R157" s="667"/>
    </row>
    <row r="158" spans="1:18" s="153" customFormat="1" ht="10.9" customHeight="1" x14ac:dyDescent="0.2">
      <c r="A158" s="1711" t="s">
        <v>1484</v>
      </c>
      <c r="B158" s="292" t="s">
        <v>550</v>
      </c>
      <c r="C158" s="270">
        <v>286040.90000000002</v>
      </c>
      <c r="D158" s="270">
        <v>11295.3</v>
      </c>
      <c r="E158" s="270">
        <f t="shared" si="56"/>
        <v>297336.2</v>
      </c>
      <c r="F158" s="270">
        <v>42117.1</v>
      </c>
      <c r="G158" s="270">
        <v>139033.60000000001</v>
      </c>
      <c r="H158" s="270">
        <f t="shared" si="57"/>
        <v>181150.7</v>
      </c>
      <c r="I158" s="270">
        <v>2551.9</v>
      </c>
      <c r="J158" s="270">
        <v>26663.200000000001</v>
      </c>
      <c r="K158" s="270">
        <f t="shared" si="58"/>
        <v>29215.100000000002</v>
      </c>
      <c r="L158" s="270">
        <f>5342.5+1091925.4</f>
        <v>1097267.8999999999</v>
      </c>
      <c r="M158" s="270">
        <f t="shared" si="59"/>
        <v>1307633.7</v>
      </c>
      <c r="N158" s="270">
        <v>-231234.9</v>
      </c>
      <c r="O158" s="270">
        <f t="shared" si="60"/>
        <v>1076398.8</v>
      </c>
      <c r="P158" s="270">
        <f t="shared" si="61"/>
        <v>1373735</v>
      </c>
      <c r="Q158" s="667"/>
      <c r="R158" s="667"/>
    </row>
    <row r="159" spans="1:18" s="153" customFormat="1" ht="10.9" customHeight="1" x14ac:dyDescent="0.2">
      <c r="A159" s="1711" t="s">
        <v>1536</v>
      </c>
      <c r="B159" s="135" t="s">
        <v>552</v>
      </c>
      <c r="C159" s="270">
        <v>297266.40000000002</v>
      </c>
      <c r="D159" s="270">
        <v>13630.7</v>
      </c>
      <c r="E159" s="270">
        <f t="shared" ref="E159:E170" si="62">C159+D159</f>
        <v>310897.10000000003</v>
      </c>
      <c r="F159" s="270">
        <v>38923.9</v>
      </c>
      <c r="G159" s="270">
        <v>157771</v>
      </c>
      <c r="H159" s="270">
        <f t="shared" ref="H159:H170" si="63">F159+G159</f>
        <v>196694.9</v>
      </c>
      <c r="I159" s="270">
        <v>2502.6999999999998</v>
      </c>
      <c r="J159" s="270">
        <v>26555.599999999999</v>
      </c>
      <c r="K159" s="270">
        <f t="shared" ref="K159:K170" si="64">I159+J159</f>
        <v>29058.3</v>
      </c>
      <c r="L159" s="270">
        <f>5126.4+1090075.4</f>
        <v>1095201.7999999998</v>
      </c>
      <c r="M159" s="270">
        <f t="shared" ref="M159:M170" si="65">H159+K159+L159</f>
        <v>1320954.9999999998</v>
      </c>
      <c r="N159" s="270">
        <v>-226973.8</v>
      </c>
      <c r="O159" s="270">
        <f t="shared" ref="O159:O170" si="66">M159+N159</f>
        <v>1093981.1999999997</v>
      </c>
      <c r="P159" s="270">
        <f t="shared" ref="P159:P170" si="67">E159+O159</f>
        <v>1404878.2999999998</v>
      </c>
      <c r="Q159" s="667"/>
      <c r="R159" s="667"/>
    </row>
    <row r="160" spans="1:18" s="153" customFormat="1" ht="10.9" customHeight="1" x14ac:dyDescent="0.2">
      <c r="A160" s="1711" t="s">
        <v>1536</v>
      </c>
      <c r="B160" s="292" t="s">
        <v>553</v>
      </c>
      <c r="C160" s="214">
        <v>307680.5</v>
      </c>
      <c r="D160" s="214">
        <v>14569.5</v>
      </c>
      <c r="E160" s="214">
        <f t="shared" si="62"/>
        <v>322250</v>
      </c>
      <c r="F160" s="214">
        <v>22094.6</v>
      </c>
      <c r="G160" s="214">
        <v>173093.3</v>
      </c>
      <c r="H160" s="214">
        <f t="shared" si="63"/>
        <v>195187.9</v>
      </c>
      <c r="I160" s="214">
        <v>2581.6</v>
      </c>
      <c r="J160" s="214">
        <v>26954.400000000001</v>
      </c>
      <c r="K160" s="214">
        <f t="shared" si="64"/>
        <v>29536</v>
      </c>
      <c r="L160" s="214">
        <f>5042.8+1096632.9</f>
        <v>1101675.7</v>
      </c>
      <c r="M160" s="214">
        <f t="shared" si="65"/>
        <v>1326399.5999999999</v>
      </c>
      <c r="N160" s="214">
        <v>-233237.3</v>
      </c>
      <c r="O160" s="214">
        <f t="shared" si="66"/>
        <v>1093162.2999999998</v>
      </c>
      <c r="P160" s="214">
        <f t="shared" si="67"/>
        <v>1415412.2999999998</v>
      </c>
      <c r="Q160" s="667"/>
      <c r="R160" s="667"/>
    </row>
    <row r="161" spans="1:18" s="153" customFormat="1" ht="10.9" customHeight="1" x14ac:dyDescent="0.2">
      <c r="A161" s="1711" t="s">
        <v>1536</v>
      </c>
      <c r="B161" s="135" t="s">
        <v>547</v>
      </c>
      <c r="C161" s="270">
        <v>313613.3</v>
      </c>
      <c r="D161" s="270">
        <v>17544.3</v>
      </c>
      <c r="E161" s="270">
        <f t="shared" si="62"/>
        <v>331157.59999999998</v>
      </c>
      <c r="F161" s="270">
        <v>12186.7</v>
      </c>
      <c r="G161" s="270">
        <v>178311.9</v>
      </c>
      <c r="H161" s="270">
        <f t="shared" si="63"/>
        <v>190498.6</v>
      </c>
      <c r="I161" s="270">
        <v>2584.5</v>
      </c>
      <c r="J161" s="270">
        <v>26793.5</v>
      </c>
      <c r="K161" s="270">
        <f t="shared" si="64"/>
        <v>29378</v>
      </c>
      <c r="L161" s="270">
        <f>5039.2+1108043.1</f>
        <v>1113082.3</v>
      </c>
      <c r="M161" s="270">
        <f t="shared" si="65"/>
        <v>1332958.9000000001</v>
      </c>
      <c r="N161" s="270">
        <v>-237912</v>
      </c>
      <c r="O161" s="270">
        <f t="shared" si="66"/>
        <v>1095046.9000000001</v>
      </c>
      <c r="P161" s="270">
        <f t="shared" si="67"/>
        <v>1426204.5</v>
      </c>
      <c r="Q161" s="667"/>
      <c r="R161" s="667"/>
    </row>
    <row r="162" spans="1:18" s="153" customFormat="1" ht="10.9" customHeight="1" x14ac:dyDescent="0.2">
      <c r="A162" s="1711" t="s">
        <v>1536</v>
      </c>
      <c r="B162" s="292" t="s">
        <v>554</v>
      </c>
      <c r="C162" s="214">
        <v>322383.40000000002</v>
      </c>
      <c r="D162" s="214">
        <v>14543.2</v>
      </c>
      <c r="E162" s="214">
        <f t="shared" si="62"/>
        <v>336926.60000000003</v>
      </c>
      <c r="F162" s="214">
        <v>11533.9</v>
      </c>
      <c r="G162" s="214">
        <v>180073.2</v>
      </c>
      <c r="H162" s="214">
        <f t="shared" si="63"/>
        <v>191607.1</v>
      </c>
      <c r="I162" s="214">
        <v>2911.9</v>
      </c>
      <c r="J162" s="214">
        <v>27143.7</v>
      </c>
      <c r="K162" s="214">
        <f t="shared" si="64"/>
        <v>30055.600000000002</v>
      </c>
      <c r="L162" s="214">
        <f>5085.2+1109237.2</f>
        <v>1114322.3999999999</v>
      </c>
      <c r="M162" s="214">
        <f t="shared" si="65"/>
        <v>1335985.0999999999</v>
      </c>
      <c r="N162" s="214">
        <v>-233183.7</v>
      </c>
      <c r="O162" s="214">
        <f t="shared" si="66"/>
        <v>1102801.3999999999</v>
      </c>
      <c r="P162" s="214">
        <f t="shared" si="67"/>
        <v>1439728</v>
      </c>
      <c r="Q162" s="667"/>
      <c r="R162" s="667"/>
    </row>
    <row r="163" spans="1:18" s="153" customFormat="1" ht="10.9" customHeight="1" x14ac:dyDescent="0.2">
      <c r="A163" s="1711" t="s">
        <v>1536</v>
      </c>
      <c r="B163" s="135" t="s">
        <v>555</v>
      </c>
      <c r="C163" s="270">
        <v>330892.7</v>
      </c>
      <c r="D163" s="270">
        <v>14510.5</v>
      </c>
      <c r="E163" s="270">
        <f t="shared" si="62"/>
        <v>345403.2</v>
      </c>
      <c r="F163" s="270">
        <v>9855.7999999999993</v>
      </c>
      <c r="G163" s="270">
        <v>183290.2</v>
      </c>
      <c r="H163" s="270">
        <f t="shared" si="63"/>
        <v>193146</v>
      </c>
      <c r="I163" s="270">
        <v>2873.3</v>
      </c>
      <c r="J163" s="270">
        <v>27767.5</v>
      </c>
      <c r="K163" s="270">
        <f t="shared" si="64"/>
        <v>30640.799999999999</v>
      </c>
      <c r="L163" s="270">
        <f>5047.4+1115854.6</f>
        <v>1120902</v>
      </c>
      <c r="M163" s="270">
        <f t="shared" si="65"/>
        <v>1344688.8</v>
      </c>
      <c r="N163" s="270">
        <v>-236131.9</v>
      </c>
      <c r="O163" s="270">
        <f t="shared" si="66"/>
        <v>1108556.9000000001</v>
      </c>
      <c r="P163" s="270">
        <f t="shared" si="67"/>
        <v>1453960.1</v>
      </c>
      <c r="Q163" s="667"/>
      <c r="R163" s="667"/>
    </row>
    <row r="164" spans="1:18" s="153" customFormat="1" ht="10.9" customHeight="1" x14ac:dyDescent="0.2">
      <c r="A164" s="1711" t="s">
        <v>1536</v>
      </c>
      <c r="B164" s="292" t="s">
        <v>548</v>
      </c>
      <c r="C164" s="214">
        <v>341180.7</v>
      </c>
      <c r="D164" s="214">
        <v>15796.1</v>
      </c>
      <c r="E164" s="214">
        <f t="shared" si="62"/>
        <v>356976.8</v>
      </c>
      <c r="F164" s="214">
        <v>1313.5</v>
      </c>
      <c r="G164" s="214">
        <v>189969.1</v>
      </c>
      <c r="H164" s="214">
        <f t="shared" si="63"/>
        <v>191282.6</v>
      </c>
      <c r="I164" s="214">
        <v>2832.9</v>
      </c>
      <c r="J164" s="214">
        <v>28157</v>
      </c>
      <c r="K164" s="214">
        <f t="shared" si="64"/>
        <v>30989.9</v>
      </c>
      <c r="L164" s="214">
        <f>5329.2+1135973.8</f>
        <v>1141303</v>
      </c>
      <c r="M164" s="214">
        <f t="shared" si="65"/>
        <v>1363575.5</v>
      </c>
      <c r="N164" s="214">
        <v>-241867.8</v>
      </c>
      <c r="O164" s="214">
        <f t="shared" si="66"/>
        <v>1121707.7</v>
      </c>
      <c r="P164" s="214">
        <f t="shared" si="67"/>
        <v>1478684.5</v>
      </c>
      <c r="Q164" s="667"/>
      <c r="R164" s="667"/>
    </row>
    <row r="165" spans="1:18" s="153" customFormat="1" ht="10.9" customHeight="1" x14ac:dyDescent="0.2">
      <c r="A165" s="1711" t="s">
        <v>1536</v>
      </c>
      <c r="B165" s="135" t="s">
        <v>556</v>
      </c>
      <c r="C165" s="270">
        <v>343476.8</v>
      </c>
      <c r="D165" s="270">
        <v>15680.7</v>
      </c>
      <c r="E165" s="270">
        <f t="shared" si="62"/>
        <v>359157.5</v>
      </c>
      <c r="F165" s="270">
        <v>-206.2</v>
      </c>
      <c r="G165" s="270">
        <v>191567.2</v>
      </c>
      <c r="H165" s="270">
        <f t="shared" si="63"/>
        <v>191361</v>
      </c>
      <c r="I165" s="270">
        <v>3177.5</v>
      </c>
      <c r="J165" s="270">
        <v>27862.799999999999</v>
      </c>
      <c r="K165" s="270">
        <f t="shared" si="64"/>
        <v>31040.3</v>
      </c>
      <c r="L165" s="270">
        <f>5363.1+1134660.2</f>
        <v>1140023.3</v>
      </c>
      <c r="M165" s="270">
        <f t="shared" si="65"/>
        <v>1362424.6</v>
      </c>
      <c r="N165" s="270">
        <v>-249111.2</v>
      </c>
      <c r="O165" s="270">
        <f t="shared" si="66"/>
        <v>1113313.4000000001</v>
      </c>
      <c r="P165" s="270">
        <f t="shared" si="67"/>
        <v>1472470.9000000001</v>
      </c>
      <c r="Q165" s="667"/>
      <c r="R165" s="667"/>
    </row>
    <row r="166" spans="1:18" s="153" customFormat="1" ht="10.9" customHeight="1" x14ac:dyDescent="0.2">
      <c r="A166" s="1711" t="s">
        <v>1536</v>
      </c>
      <c r="B166" s="292" t="s">
        <v>557</v>
      </c>
      <c r="C166" s="214">
        <v>347148.6</v>
      </c>
      <c r="D166" s="214">
        <v>14582.4</v>
      </c>
      <c r="E166" s="214">
        <f t="shared" si="62"/>
        <v>361731</v>
      </c>
      <c r="F166" s="214">
        <v>-11316.8</v>
      </c>
      <c r="G166" s="214">
        <v>190828.3</v>
      </c>
      <c r="H166" s="214">
        <f t="shared" si="63"/>
        <v>179511.5</v>
      </c>
      <c r="I166" s="214">
        <v>3182.9</v>
      </c>
      <c r="J166" s="214">
        <v>28299.200000000001</v>
      </c>
      <c r="K166" s="214">
        <f t="shared" si="64"/>
        <v>31482.100000000002</v>
      </c>
      <c r="L166" s="214">
        <f>5375.3+1148135.3</f>
        <v>1153510.6000000001</v>
      </c>
      <c r="M166" s="214">
        <f t="shared" si="65"/>
        <v>1364504.2000000002</v>
      </c>
      <c r="N166" s="214">
        <v>-245302.1</v>
      </c>
      <c r="O166" s="214">
        <f t="shared" si="66"/>
        <v>1119202.1000000001</v>
      </c>
      <c r="P166" s="214">
        <f t="shared" si="67"/>
        <v>1480933.1</v>
      </c>
      <c r="Q166" s="667"/>
      <c r="R166" s="667"/>
    </row>
    <row r="167" spans="1:18" s="153" customFormat="1" ht="10.9" customHeight="1" x14ac:dyDescent="0.2">
      <c r="A167" s="1711" t="s">
        <v>1536</v>
      </c>
      <c r="B167" s="135" t="s">
        <v>549</v>
      </c>
      <c r="C167" s="270">
        <v>346841.2</v>
      </c>
      <c r="D167" s="270">
        <v>15356.7</v>
      </c>
      <c r="E167" s="270">
        <f t="shared" si="62"/>
        <v>362197.9</v>
      </c>
      <c r="F167" s="270">
        <v>-9799.1</v>
      </c>
      <c r="G167" s="270">
        <v>188710.9</v>
      </c>
      <c r="H167" s="270">
        <f t="shared" si="63"/>
        <v>178911.8</v>
      </c>
      <c r="I167" s="270">
        <v>3263.5</v>
      </c>
      <c r="J167" s="270">
        <v>28175</v>
      </c>
      <c r="K167" s="270">
        <f t="shared" si="64"/>
        <v>31438.5</v>
      </c>
      <c r="L167" s="270">
        <f>5459+1154924.4</f>
        <v>1160383.3999999999</v>
      </c>
      <c r="M167" s="270">
        <f t="shared" si="65"/>
        <v>1370733.7</v>
      </c>
      <c r="N167" s="270">
        <v>-249137.8</v>
      </c>
      <c r="O167" s="270">
        <f t="shared" si="66"/>
        <v>1121595.8999999999</v>
      </c>
      <c r="P167" s="270">
        <f t="shared" si="67"/>
        <v>1483793.7999999998</v>
      </c>
      <c r="Q167" s="667"/>
      <c r="R167" s="667"/>
    </row>
    <row r="168" spans="1:18" s="153" customFormat="1" ht="10.9" customHeight="1" x14ac:dyDescent="0.2">
      <c r="A168" s="1711" t="s">
        <v>1536</v>
      </c>
      <c r="B168" s="292" t="s">
        <v>558</v>
      </c>
      <c r="C168" s="214">
        <v>352524.2</v>
      </c>
      <c r="D168" s="214">
        <v>17183</v>
      </c>
      <c r="E168" s="214">
        <f t="shared" si="62"/>
        <v>369707.2</v>
      </c>
      <c r="F168" s="214">
        <v>-1952.8</v>
      </c>
      <c r="G168" s="214">
        <v>189120.9</v>
      </c>
      <c r="H168" s="214">
        <f t="shared" si="63"/>
        <v>187168.1</v>
      </c>
      <c r="I168" s="214">
        <v>3189.7</v>
      </c>
      <c r="J168" s="214">
        <v>27542.6</v>
      </c>
      <c r="K168" s="214">
        <f t="shared" si="64"/>
        <v>30732.3</v>
      </c>
      <c r="L168" s="214">
        <f>5517.9+1158813.5</f>
        <v>1164331.3999999999</v>
      </c>
      <c r="M168" s="214">
        <f t="shared" si="65"/>
        <v>1382231.7999999998</v>
      </c>
      <c r="N168" s="214">
        <v>-251497.5</v>
      </c>
      <c r="O168" s="214">
        <f t="shared" si="66"/>
        <v>1130734.2999999998</v>
      </c>
      <c r="P168" s="214">
        <f t="shared" si="67"/>
        <v>1500441.4999999998</v>
      </c>
      <c r="Q168" s="667"/>
      <c r="R168" s="667"/>
    </row>
    <row r="169" spans="1:18" s="153" customFormat="1" ht="10.9" customHeight="1" x14ac:dyDescent="0.2">
      <c r="A169" s="1711" t="s">
        <v>1536</v>
      </c>
      <c r="B169" s="135" t="s">
        <v>559</v>
      </c>
      <c r="C169" s="270">
        <v>361530.9</v>
      </c>
      <c r="D169" s="270">
        <v>16389.400000000001</v>
      </c>
      <c r="E169" s="270">
        <f t="shared" si="62"/>
        <v>377920.30000000005</v>
      </c>
      <c r="F169" s="270">
        <v>-482.4</v>
      </c>
      <c r="G169" s="270">
        <v>197961.1</v>
      </c>
      <c r="H169" s="270">
        <f t="shared" si="63"/>
        <v>197478.7</v>
      </c>
      <c r="I169" s="270">
        <v>3212.2</v>
      </c>
      <c r="J169" s="270">
        <v>27567.8</v>
      </c>
      <c r="K169" s="270">
        <f t="shared" si="64"/>
        <v>30780</v>
      </c>
      <c r="L169" s="270">
        <f>5516.2+1166292.7</f>
        <v>1171808.8999999999</v>
      </c>
      <c r="M169" s="270">
        <f t="shared" si="65"/>
        <v>1400067.5999999999</v>
      </c>
      <c r="N169" s="270">
        <v>-251712.5</v>
      </c>
      <c r="O169" s="270">
        <f t="shared" si="66"/>
        <v>1148355.0999999999</v>
      </c>
      <c r="P169" s="270">
        <f t="shared" si="67"/>
        <v>1526275.4</v>
      </c>
      <c r="Q169" s="667"/>
      <c r="R169" s="667"/>
    </row>
    <row r="170" spans="1:18" s="153" customFormat="1" ht="10.9" customHeight="1" x14ac:dyDescent="0.2">
      <c r="A170" s="1711" t="s">
        <v>1536</v>
      </c>
      <c r="B170" s="292" t="s">
        <v>550</v>
      </c>
      <c r="C170" s="214">
        <v>366917.3</v>
      </c>
      <c r="D170" s="214">
        <v>15420.2</v>
      </c>
      <c r="E170" s="214">
        <f t="shared" si="62"/>
        <v>382337.5</v>
      </c>
      <c r="F170" s="214">
        <v>17285.5</v>
      </c>
      <c r="G170" s="214">
        <v>203740.4</v>
      </c>
      <c r="H170" s="214">
        <f t="shared" si="63"/>
        <v>221025.9</v>
      </c>
      <c r="I170" s="214">
        <v>3218.1</v>
      </c>
      <c r="J170" s="214">
        <v>26799.7</v>
      </c>
      <c r="K170" s="214">
        <f t="shared" si="64"/>
        <v>30017.8</v>
      </c>
      <c r="L170" s="214">
        <f>5838.7+1183016.7</f>
        <v>1188855.3999999999</v>
      </c>
      <c r="M170" s="214">
        <f t="shared" si="65"/>
        <v>1439899.0999999999</v>
      </c>
      <c r="N170" s="214">
        <v>-261341.3</v>
      </c>
      <c r="O170" s="214">
        <f t="shared" si="66"/>
        <v>1178557.7999999998</v>
      </c>
      <c r="P170" s="214">
        <f t="shared" si="67"/>
        <v>1560895.2999999998</v>
      </c>
      <c r="Q170" s="667"/>
      <c r="R170" s="667"/>
    </row>
    <row r="171" spans="1:18" s="153" customFormat="1" ht="10.9" customHeight="1" x14ac:dyDescent="0.2">
      <c r="A171" s="1711" t="s">
        <v>1817</v>
      </c>
      <c r="B171" s="135" t="s">
        <v>552</v>
      </c>
      <c r="C171" s="270">
        <v>369407.2</v>
      </c>
      <c r="D171" s="270">
        <v>14441.4</v>
      </c>
      <c r="E171" s="270">
        <v>383848.60000000003</v>
      </c>
      <c r="F171" s="270">
        <v>12440.4</v>
      </c>
      <c r="G171" s="270">
        <v>216694.5</v>
      </c>
      <c r="H171" s="270">
        <v>229134.9</v>
      </c>
      <c r="I171" s="270">
        <v>3170.3</v>
      </c>
      <c r="J171" s="270">
        <v>26966.799999999999</v>
      </c>
      <c r="K171" s="270">
        <v>30137.1</v>
      </c>
      <c r="L171" s="270">
        <v>1187010.5999999999</v>
      </c>
      <c r="M171" s="270">
        <v>1446282.5999999999</v>
      </c>
      <c r="N171" s="270">
        <v>-252085.2</v>
      </c>
      <c r="O171" s="270">
        <v>1194197.3999999999</v>
      </c>
      <c r="P171" s="270">
        <v>1578046</v>
      </c>
      <c r="Q171" s="667"/>
      <c r="R171" s="667"/>
    </row>
    <row r="172" spans="1:18" s="153" customFormat="1" ht="10.9" customHeight="1" x14ac:dyDescent="0.2">
      <c r="A172" s="1711" t="s">
        <v>1817</v>
      </c>
      <c r="B172" s="292" t="s">
        <v>553</v>
      </c>
      <c r="C172" s="270">
        <v>370193.5</v>
      </c>
      <c r="D172" s="270">
        <v>17245.099999999999</v>
      </c>
      <c r="E172" s="270">
        <v>387438.6</v>
      </c>
      <c r="F172" s="270">
        <v>6278.9</v>
      </c>
      <c r="G172" s="270">
        <v>218233.4</v>
      </c>
      <c r="H172" s="270">
        <v>224512.3</v>
      </c>
      <c r="I172" s="270">
        <v>3347.7</v>
      </c>
      <c r="J172" s="270">
        <v>26879.599999999999</v>
      </c>
      <c r="K172" s="270">
        <v>30227.3</v>
      </c>
      <c r="L172" s="270">
        <v>1194391.4000000001</v>
      </c>
      <c r="M172" s="270">
        <v>1449131</v>
      </c>
      <c r="N172" s="270">
        <v>-257026.7</v>
      </c>
      <c r="O172" s="270">
        <v>1192104.3</v>
      </c>
      <c r="P172" s="270">
        <v>1579542.9</v>
      </c>
      <c r="Q172" s="667"/>
      <c r="R172" s="667"/>
    </row>
    <row r="173" spans="1:18" s="153" customFormat="1" ht="10.9" customHeight="1" x14ac:dyDescent="0.2">
      <c r="A173" s="1711" t="s">
        <v>1817</v>
      </c>
      <c r="B173" s="135" t="s">
        <v>547</v>
      </c>
      <c r="C173" s="270">
        <v>361730.3</v>
      </c>
      <c r="D173" s="270">
        <v>15858.6</v>
      </c>
      <c r="E173" s="270">
        <v>377588.89999999997</v>
      </c>
      <c r="F173" s="270">
        <v>7273.4</v>
      </c>
      <c r="G173" s="270">
        <v>220271.5</v>
      </c>
      <c r="H173" s="270">
        <v>227544.9</v>
      </c>
      <c r="I173" s="270">
        <v>3303.2</v>
      </c>
      <c r="J173" s="270">
        <v>27333</v>
      </c>
      <c r="K173" s="270">
        <v>30636.2</v>
      </c>
      <c r="L173" s="270">
        <v>1210722.0999999999</v>
      </c>
      <c r="M173" s="270">
        <v>1468903.2</v>
      </c>
      <c r="N173" s="270">
        <v>-260675.20000000001</v>
      </c>
      <c r="O173" s="270">
        <v>1208228</v>
      </c>
      <c r="P173" s="270">
        <v>1585816.9</v>
      </c>
      <c r="Q173" s="667"/>
      <c r="R173" s="667"/>
    </row>
    <row r="174" spans="1:18" s="153" customFormat="1" ht="10.9" customHeight="1" x14ac:dyDescent="0.2">
      <c r="A174" s="1711" t="s">
        <v>1817</v>
      </c>
      <c r="B174" s="292" t="s">
        <v>554</v>
      </c>
      <c r="C174" s="270">
        <v>358585.9</v>
      </c>
      <c r="D174" s="270">
        <v>18278.8</v>
      </c>
      <c r="E174" s="270">
        <v>376864.7</v>
      </c>
      <c r="F174" s="270">
        <v>8393.7000000000007</v>
      </c>
      <c r="G174" s="270">
        <v>222587.8</v>
      </c>
      <c r="H174" s="270">
        <v>230981.5</v>
      </c>
      <c r="I174" s="270">
        <v>3298.4</v>
      </c>
      <c r="J174" s="270">
        <v>28288.7</v>
      </c>
      <c r="K174" s="270">
        <v>31587.100000000002</v>
      </c>
      <c r="L174" s="270">
        <v>1219536.8</v>
      </c>
      <c r="M174" s="270">
        <v>1482105.4</v>
      </c>
      <c r="N174" s="270">
        <v>-264509.7</v>
      </c>
      <c r="O174" s="270">
        <v>1217595.7</v>
      </c>
      <c r="P174" s="270">
        <v>1594460.4</v>
      </c>
      <c r="Q174" s="667"/>
      <c r="R174" s="667"/>
    </row>
    <row r="175" spans="1:18" s="153" customFormat="1" ht="10.9" customHeight="1" x14ac:dyDescent="0.2">
      <c r="A175" s="1711" t="s">
        <v>1817</v>
      </c>
      <c r="B175" s="135" t="s">
        <v>555</v>
      </c>
      <c r="C175" s="270">
        <v>352218.6</v>
      </c>
      <c r="D175" s="270">
        <v>13243.3</v>
      </c>
      <c r="E175" s="270">
        <v>365461.89999999997</v>
      </c>
      <c r="F175" s="270">
        <v>17488.099999999999</v>
      </c>
      <c r="G175" s="270">
        <v>222594.1</v>
      </c>
      <c r="H175" s="270">
        <v>240082.2</v>
      </c>
      <c r="I175" s="270">
        <v>3267.9</v>
      </c>
      <c r="J175" s="270">
        <v>29814.400000000001</v>
      </c>
      <c r="K175" s="270">
        <v>33082.300000000003</v>
      </c>
      <c r="L175" s="270">
        <v>1234245.7</v>
      </c>
      <c r="M175" s="270">
        <v>1507410.2</v>
      </c>
      <c r="N175" s="270">
        <v>-270339.8</v>
      </c>
      <c r="O175" s="270">
        <v>1237070.3999999999</v>
      </c>
      <c r="P175" s="270">
        <v>1602532.2999999998</v>
      </c>
      <c r="Q175" s="667"/>
      <c r="R175" s="667"/>
    </row>
    <row r="176" spans="1:18" s="153" customFormat="1" ht="10.9" customHeight="1" x14ac:dyDescent="0.2">
      <c r="A176" s="1711" t="s">
        <v>1817</v>
      </c>
      <c r="B176" s="292" t="s">
        <v>548</v>
      </c>
      <c r="C176" s="270">
        <v>354607.3</v>
      </c>
      <c r="D176" s="270">
        <v>14548</v>
      </c>
      <c r="E176" s="270">
        <v>369155.3</v>
      </c>
      <c r="F176" s="270">
        <v>5463.5</v>
      </c>
      <c r="G176" s="270">
        <v>229080.6</v>
      </c>
      <c r="H176" s="270">
        <v>234544.1</v>
      </c>
      <c r="I176" s="270">
        <v>3146.3</v>
      </c>
      <c r="J176" s="270">
        <v>31250.1</v>
      </c>
      <c r="K176" s="270">
        <v>34396.400000000001</v>
      </c>
      <c r="L176" s="270">
        <v>1263247.5</v>
      </c>
      <c r="M176" s="270">
        <v>1532188</v>
      </c>
      <c r="N176" s="270">
        <v>-280708.3</v>
      </c>
      <c r="O176" s="270">
        <v>1251479.7</v>
      </c>
      <c r="P176" s="270">
        <v>1620635</v>
      </c>
      <c r="Q176" s="667"/>
      <c r="R176" s="667"/>
    </row>
    <row r="177" spans="1:18" s="153" customFormat="1" ht="10.9" customHeight="1" x14ac:dyDescent="0.2">
      <c r="A177" s="1711" t="s">
        <v>1817</v>
      </c>
      <c r="B177" s="135" t="s">
        <v>556</v>
      </c>
      <c r="C177" s="270">
        <v>351964.2</v>
      </c>
      <c r="D177" s="270">
        <v>13279.7</v>
      </c>
      <c r="E177" s="270">
        <v>365243.9</v>
      </c>
      <c r="F177" s="270">
        <v>9036.5</v>
      </c>
      <c r="G177" s="270">
        <v>223039.5</v>
      </c>
      <c r="H177" s="270">
        <v>232076</v>
      </c>
      <c r="I177" s="270">
        <v>3478.9</v>
      </c>
      <c r="J177" s="270">
        <v>32899.199999999997</v>
      </c>
      <c r="K177" s="270">
        <v>36378.1</v>
      </c>
      <c r="L177" s="270">
        <v>1266257.3999999999</v>
      </c>
      <c r="M177" s="270">
        <v>1534711.5</v>
      </c>
      <c r="N177" s="270">
        <v>-285835.09999999998</v>
      </c>
      <c r="O177" s="270">
        <v>1248876.3999999999</v>
      </c>
      <c r="P177" s="270">
        <v>1614120.2999999998</v>
      </c>
      <c r="Q177" s="667"/>
      <c r="R177" s="667"/>
    </row>
    <row r="178" spans="1:18" s="153" customFormat="1" ht="10.9" customHeight="1" x14ac:dyDescent="0.2">
      <c r="A178" s="1711" t="s">
        <v>1817</v>
      </c>
      <c r="B178" s="292" t="s">
        <v>557</v>
      </c>
      <c r="C178" s="270">
        <v>351813.1</v>
      </c>
      <c r="D178" s="270">
        <v>10853.3</v>
      </c>
      <c r="E178" s="270">
        <v>362666.39999999997</v>
      </c>
      <c r="F178" s="270">
        <v>8058.5</v>
      </c>
      <c r="G178" s="270">
        <v>223409.1</v>
      </c>
      <c r="H178" s="270">
        <v>231467.6</v>
      </c>
      <c r="I178" s="270">
        <v>3485.2</v>
      </c>
      <c r="J178" s="270">
        <v>32431.7</v>
      </c>
      <c r="K178" s="270">
        <v>35916.9</v>
      </c>
      <c r="L178" s="270">
        <v>1278855.9000000001</v>
      </c>
      <c r="M178" s="270">
        <v>1546240.4000000001</v>
      </c>
      <c r="N178" s="270">
        <v>-287970.09999999998</v>
      </c>
      <c r="O178" s="270">
        <v>1258270.3000000003</v>
      </c>
      <c r="P178" s="270">
        <v>1620936.7000000002</v>
      </c>
      <c r="Q178" s="667"/>
      <c r="R178" s="667"/>
    </row>
    <row r="179" spans="1:18" s="153" customFormat="1" ht="10.9" customHeight="1" x14ac:dyDescent="0.2">
      <c r="A179" s="1711" t="s">
        <v>1817</v>
      </c>
      <c r="B179" s="135" t="s">
        <v>549</v>
      </c>
      <c r="C179" s="270">
        <v>344756</v>
      </c>
      <c r="D179" s="270">
        <v>11645.3</v>
      </c>
      <c r="E179" s="270">
        <v>356401.3</v>
      </c>
      <c r="F179" s="270">
        <v>12804.3</v>
      </c>
      <c r="G179" s="270">
        <v>222689.2</v>
      </c>
      <c r="H179" s="270">
        <v>235493.5</v>
      </c>
      <c r="I179" s="270">
        <v>3488.5</v>
      </c>
      <c r="J179" s="270">
        <v>32290.3</v>
      </c>
      <c r="K179" s="270">
        <v>35778.800000000003</v>
      </c>
      <c r="L179" s="270">
        <v>1291438.6000000001</v>
      </c>
      <c r="M179" s="270">
        <v>1562710.9000000001</v>
      </c>
      <c r="N179" s="270">
        <v>-289205.90000000002</v>
      </c>
      <c r="O179" s="270">
        <v>1273505</v>
      </c>
      <c r="P179" s="270">
        <v>1629906.3</v>
      </c>
      <c r="Q179" s="667"/>
      <c r="R179" s="667"/>
    </row>
    <row r="180" spans="1:18" s="153" customFormat="1" ht="10.9" customHeight="1" x14ac:dyDescent="0.2">
      <c r="A180" s="1711" t="s">
        <v>1817</v>
      </c>
      <c r="B180" s="292" t="s">
        <v>558</v>
      </c>
      <c r="C180" s="270">
        <v>337440.8</v>
      </c>
      <c r="D180" s="270">
        <v>13395.8</v>
      </c>
      <c r="E180" s="270">
        <v>350836.6</v>
      </c>
      <c r="F180" s="270">
        <v>32555.3</v>
      </c>
      <c r="G180" s="270">
        <v>221973.9</v>
      </c>
      <c r="H180" s="270">
        <v>254529.19999999998</v>
      </c>
      <c r="I180" s="270">
        <v>3494.9</v>
      </c>
      <c r="J180" s="270">
        <v>32414.6</v>
      </c>
      <c r="K180" s="270">
        <v>35909.5</v>
      </c>
      <c r="L180" s="270">
        <v>1309630.7999999998</v>
      </c>
      <c r="M180" s="270">
        <v>1600069.4999999998</v>
      </c>
      <c r="N180" s="270">
        <v>-287201.40000000002</v>
      </c>
      <c r="O180" s="270">
        <v>1312868.0999999996</v>
      </c>
      <c r="P180" s="270">
        <v>1663704.6999999997</v>
      </c>
      <c r="Q180" s="667"/>
      <c r="R180" s="667"/>
    </row>
    <row r="181" spans="1:18" s="153" customFormat="1" ht="10.9" customHeight="1" x14ac:dyDescent="0.2">
      <c r="A181" s="1711" t="s">
        <v>2066</v>
      </c>
      <c r="B181" s="135" t="s">
        <v>559</v>
      </c>
      <c r="C181" s="270">
        <v>343397.9</v>
      </c>
      <c r="D181" s="270">
        <v>11397.9</v>
      </c>
      <c r="E181" s="270">
        <v>354795.80000000005</v>
      </c>
      <c r="F181" s="270">
        <v>28363.5</v>
      </c>
      <c r="G181" s="270">
        <v>222820.9</v>
      </c>
      <c r="H181" s="270">
        <v>251184.4</v>
      </c>
      <c r="I181" s="270">
        <v>3429.6</v>
      </c>
      <c r="J181" s="270">
        <v>33450.5</v>
      </c>
      <c r="K181" s="270">
        <v>36880.1</v>
      </c>
      <c r="L181" s="270">
        <v>1323482.3999999999</v>
      </c>
      <c r="M181" s="270">
        <v>1611546.9</v>
      </c>
      <c r="N181" s="270">
        <v>-303705.59999999998</v>
      </c>
      <c r="O181" s="270">
        <v>1307841.2999999998</v>
      </c>
      <c r="P181" s="270">
        <v>1662637.0999999999</v>
      </c>
      <c r="Q181" s="667"/>
      <c r="R181" s="667"/>
    </row>
    <row r="182" spans="1:18" s="153" customFormat="1" ht="10.9" customHeight="1" x14ac:dyDescent="0.2">
      <c r="A182" s="1711" t="s">
        <v>2066</v>
      </c>
      <c r="B182" s="292" t="s">
        <v>550</v>
      </c>
      <c r="C182" s="270">
        <v>347757.7</v>
      </c>
      <c r="D182" s="270">
        <v>16541.099999999999</v>
      </c>
      <c r="E182" s="270">
        <v>364298.8</v>
      </c>
      <c r="F182" s="270">
        <v>54930</v>
      </c>
      <c r="G182" s="270">
        <v>228384.5</v>
      </c>
      <c r="H182" s="270">
        <v>283314.5</v>
      </c>
      <c r="I182" s="270">
        <v>3435.6</v>
      </c>
      <c r="J182" s="270">
        <v>33763.300000000003</v>
      </c>
      <c r="K182" s="270">
        <v>37198.9</v>
      </c>
      <c r="L182" s="270">
        <v>1351235.5</v>
      </c>
      <c r="M182" s="270">
        <v>1671748.9</v>
      </c>
      <c r="N182" s="270">
        <v>-327925.40000000002</v>
      </c>
      <c r="O182" s="270">
        <v>1343823.5</v>
      </c>
      <c r="P182" s="270">
        <v>1708122.3</v>
      </c>
      <c r="Q182" s="667"/>
      <c r="R182" s="667"/>
    </row>
    <row r="183" spans="1:18" s="153" customFormat="1" ht="10.9" customHeight="1" x14ac:dyDescent="0.2">
      <c r="A183" s="1711" t="s">
        <v>2066</v>
      </c>
      <c r="B183" s="292" t="s">
        <v>552</v>
      </c>
      <c r="C183" s="270">
        <v>341807.3</v>
      </c>
      <c r="D183" s="270">
        <v>15759.5</v>
      </c>
      <c r="E183" s="270">
        <v>357566.8</v>
      </c>
      <c r="F183" s="270">
        <v>52719.199999999997</v>
      </c>
      <c r="G183" s="270">
        <v>229042.5</v>
      </c>
      <c r="H183" s="270">
        <v>281761.7</v>
      </c>
      <c r="I183" s="270">
        <v>3428.2</v>
      </c>
      <c r="J183" s="270">
        <v>34708</v>
      </c>
      <c r="K183" s="270">
        <v>38136.199999999997</v>
      </c>
      <c r="L183" s="270">
        <v>1352566.4000000001</v>
      </c>
      <c r="M183" s="270">
        <v>1672464.3000000003</v>
      </c>
      <c r="N183" s="270">
        <v>-322100.7</v>
      </c>
      <c r="O183" s="270">
        <v>1350363.6000000003</v>
      </c>
      <c r="P183" s="270">
        <v>1707930.4000000004</v>
      </c>
      <c r="Q183" s="667"/>
      <c r="R183" s="667"/>
    </row>
    <row r="184" spans="1:18" s="153" customFormat="1" ht="10.9" customHeight="1" x14ac:dyDescent="0.2">
      <c r="A184" s="1711" t="s">
        <v>2066</v>
      </c>
      <c r="B184" s="292" t="s">
        <v>553</v>
      </c>
      <c r="C184" s="270">
        <v>323765.90000000002</v>
      </c>
      <c r="D184" s="270">
        <v>16646.2</v>
      </c>
      <c r="E184" s="270">
        <v>340412.10000000003</v>
      </c>
      <c r="F184" s="270">
        <v>61832.1</v>
      </c>
      <c r="G184" s="270">
        <v>226595.3</v>
      </c>
      <c r="H184" s="270">
        <v>288427.39999999997</v>
      </c>
      <c r="I184" s="270">
        <v>3426.3</v>
      </c>
      <c r="J184" s="270">
        <v>35190.400000000001</v>
      </c>
      <c r="K184" s="270">
        <v>38616.700000000004</v>
      </c>
      <c r="L184" s="270">
        <v>1362477.9</v>
      </c>
      <c r="M184" s="270">
        <v>1689522</v>
      </c>
      <c r="N184" s="270">
        <v>-319120</v>
      </c>
      <c r="O184" s="270">
        <v>1370402</v>
      </c>
      <c r="P184" s="270">
        <v>1710814.1</v>
      </c>
      <c r="Q184" s="667"/>
      <c r="R184" s="667"/>
    </row>
    <row r="185" spans="1:18" s="153" customFormat="1" ht="10.9" customHeight="1" x14ac:dyDescent="0.2">
      <c r="A185" s="1711" t="s">
        <v>2066</v>
      </c>
      <c r="B185" s="135" t="s">
        <v>547</v>
      </c>
      <c r="C185" s="270">
        <v>319037.09999999998</v>
      </c>
      <c r="D185" s="270">
        <v>16403.7</v>
      </c>
      <c r="E185" s="270">
        <v>335440.8</v>
      </c>
      <c r="F185" s="270">
        <v>71663.399999999994</v>
      </c>
      <c r="G185" s="270">
        <v>220828.7</v>
      </c>
      <c r="H185" s="270">
        <v>292492.09999999998</v>
      </c>
      <c r="I185" s="270">
        <v>3632.8</v>
      </c>
      <c r="J185" s="270">
        <v>34534.699999999997</v>
      </c>
      <c r="K185" s="270">
        <v>38167.5</v>
      </c>
      <c r="L185" s="270">
        <v>1379413.2</v>
      </c>
      <c r="M185" s="270">
        <v>1710072.7999999998</v>
      </c>
      <c r="N185" s="270">
        <v>-322686.09999999998</v>
      </c>
      <c r="O185" s="270">
        <v>1387386.6999999997</v>
      </c>
      <c r="P185" s="270">
        <v>1722827.4999999998</v>
      </c>
      <c r="Q185" s="667"/>
      <c r="R185" s="667"/>
    </row>
    <row r="186" spans="1:18" s="153" customFormat="1" ht="10.9" customHeight="1" x14ac:dyDescent="0.2">
      <c r="A186" s="1711" t="s">
        <v>2066</v>
      </c>
      <c r="B186" s="292" t="s">
        <v>554</v>
      </c>
      <c r="C186" s="270">
        <v>309740.2</v>
      </c>
      <c r="D186" s="270">
        <v>16736.2</v>
      </c>
      <c r="E186" s="270">
        <v>326476.40000000002</v>
      </c>
      <c r="F186" s="270">
        <v>83478.7</v>
      </c>
      <c r="G186" s="270">
        <v>221666.6</v>
      </c>
      <c r="H186" s="270">
        <v>305145.3</v>
      </c>
      <c r="I186" s="270">
        <v>3631.7</v>
      </c>
      <c r="J186" s="270">
        <v>35160.5</v>
      </c>
      <c r="K186" s="270">
        <v>38792.199999999997</v>
      </c>
      <c r="L186" s="270">
        <v>1389148.4000000001</v>
      </c>
      <c r="M186" s="270">
        <v>1733085.9000000001</v>
      </c>
      <c r="N186" s="270">
        <v>-332793.09999999998</v>
      </c>
      <c r="O186" s="270">
        <v>1400292.8000000003</v>
      </c>
      <c r="P186" s="270">
        <v>1726769.2000000002</v>
      </c>
      <c r="Q186" s="667"/>
      <c r="R186" s="667"/>
    </row>
    <row r="187" spans="1:18" s="153" customFormat="1" ht="10.9" customHeight="1" x14ac:dyDescent="0.2">
      <c r="A187" s="1711" t="s">
        <v>2066</v>
      </c>
      <c r="B187" s="135" t="s">
        <v>555</v>
      </c>
      <c r="C187" s="270">
        <v>300465.40000000002</v>
      </c>
      <c r="D187" s="270">
        <v>18595.5</v>
      </c>
      <c r="E187" s="270">
        <v>319060.90000000002</v>
      </c>
      <c r="F187" s="270">
        <v>91786.4</v>
      </c>
      <c r="G187" s="270">
        <v>207446.3</v>
      </c>
      <c r="H187" s="270">
        <v>299232.69999999995</v>
      </c>
      <c r="I187" s="270">
        <v>3638.6</v>
      </c>
      <c r="J187" s="270">
        <v>35788.1</v>
      </c>
      <c r="K187" s="270">
        <v>39426.699999999997</v>
      </c>
      <c r="L187" s="270">
        <v>1406714.5</v>
      </c>
      <c r="M187" s="270">
        <v>1745373.9</v>
      </c>
      <c r="N187" s="270">
        <v>-323962.40000000002</v>
      </c>
      <c r="O187" s="270">
        <v>1421411.5</v>
      </c>
      <c r="P187" s="270">
        <v>1740472.4</v>
      </c>
      <c r="Q187" s="667"/>
      <c r="R187" s="667"/>
    </row>
    <row r="188" spans="1:18" s="153" customFormat="1" ht="10.9" customHeight="1" x14ac:dyDescent="0.2">
      <c r="A188" s="1711" t="s">
        <v>2066</v>
      </c>
      <c r="B188" s="292" t="s">
        <v>548</v>
      </c>
      <c r="C188" s="270">
        <v>297498.09999999998</v>
      </c>
      <c r="D188" s="270">
        <v>21899</v>
      </c>
      <c r="E188" s="270">
        <v>319397.09999999998</v>
      </c>
      <c r="F188" s="270">
        <v>105344.2</v>
      </c>
      <c r="G188" s="270">
        <v>188275.20000000001</v>
      </c>
      <c r="H188" s="270">
        <v>293619.40000000002</v>
      </c>
      <c r="I188" s="270">
        <v>3645.5</v>
      </c>
      <c r="J188" s="270">
        <v>38363.9</v>
      </c>
      <c r="K188" s="270">
        <v>42009.4</v>
      </c>
      <c r="L188" s="270">
        <v>1426133.6</v>
      </c>
      <c r="M188" s="270">
        <v>1761762.4000000001</v>
      </c>
      <c r="N188" s="270">
        <v>-323190.90000000002</v>
      </c>
      <c r="O188" s="270">
        <v>1438571.5</v>
      </c>
      <c r="P188" s="270">
        <v>1757968.6</v>
      </c>
      <c r="Q188" s="667"/>
      <c r="R188" s="667"/>
    </row>
    <row r="189" spans="1:18" s="153" customFormat="1" ht="10.9" customHeight="1" x14ac:dyDescent="0.2">
      <c r="A189" s="1711" t="s">
        <v>2066</v>
      </c>
      <c r="B189" s="135" t="s">
        <v>556</v>
      </c>
      <c r="C189" s="270">
        <v>290992.7</v>
      </c>
      <c r="D189" s="270">
        <v>23312.5</v>
      </c>
      <c r="E189" s="270">
        <v>314305.2</v>
      </c>
      <c r="F189" s="270">
        <v>107439.6</v>
      </c>
      <c r="G189" s="270">
        <v>196149.5</v>
      </c>
      <c r="H189" s="270">
        <v>303589.09999999998</v>
      </c>
      <c r="I189" s="270">
        <v>3614.9</v>
      </c>
      <c r="J189" s="270">
        <v>39949.1</v>
      </c>
      <c r="K189" s="270">
        <v>43564</v>
      </c>
      <c r="L189" s="270">
        <v>1426026.2</v>
      </c>
      <c r="M189" s="270">
        <v>1773179.2999999998</v>
      </c>
      <c r="N189" s="270">
        <v>-336043.9</v>
      </c>
      <c r="O189" s="270">
        <v>1437135.4</v>
      </c>
      <c r="P189" s="270">
        <v>1751440.5999999999</v>
      </c>
      <c r="Q189" s="667"/>
      <c r="R189" s="667"/>
    </row>
    <row r="190" spans="1:18" s="153" customFormat="1" ht="10.9" customHeight="1" x14ac:dyDescent="0.2">
      <c r="A190" s="1711" t="s">
        <v>2066</v>
      </c>
      <c r="B190" s="292" t="s">
        <v>557</v>
      </c>
      <c r="C190" s="270">
        <v>285063.40000000002</v>
      </c>
      <c r="D190" s="270">
        <v>27639.3</v>
      </c>
      <c r="E190" s="270">
        <v>312702.7</v>
      </c>
      <c r="F190" s="270">
        <v>108685.3</v>
      </c>
      <c r="G190" s="270">
        <v>201181.1</v>
      </c>
      <c r="H190" s="270">
        <v>309866.40000000002</v>
      </c>
      <c r="I190" s="270">
        <v>3620.2</v>
      </c>
      <c r="J190" s="270">
        <v>39629.4</v>
      </c>
      <c r="K190" s="270">
        <v>43249.599999999999</v>
      </c>
      <c r="L190" s="270">
        <v>1434069.2999999998</v>
      </c>
      <c r="M190" s="270">
        <v>1787185.2999999998</v>
      </c>
      <c r="N190" s="270">
        <v>-336856</v>
      </c>
      <c r="O190" s="270">
        <v>1450329.2999999998</v>
      </c>
      <c r="P190" s="270">
        <v>1763031.9999999998</v>
      </c>
      <c r="Q190" s="667"/>
      <c r="R190" s="667"/>
    </row>
    <row r="191" spans="1:18" s="153" customFormat="1" ht="10.9" customHeight="1" x14ac:dyDescent="0.2">
      <c r="A191" s="1711" t="s">
        <v>2066</v>
      </c>
      <c r="B191" s="135" t="s">
        <v>549</v>
      </c>
      <c r="C191" s="270">
        <v>282017.7</v>
      </c>
      <c r="D191" s="270">
        <v>27064.799999999999</v>
      </c>
      <c r="E191" s="270">
        <v>309082.5</v>
      </c>
      <c r="F191" s="270">
        <v>111798.3</v>
      </c>
      <c r="G191" s="270">
        <v>212763.6</v>
      </c>
      <c r="H191" s="270">
        <v>324561.90000000002</v>
      </c>
      <c r="I191" s="270">
        <v>3625.7</v>
      </c>
      <c r="J191" s="270">
        <v>40961.4</v>
      </c>
      <c r="K191" s="270">
        <v>44587.1</v>
      </c>
      <c r="L191" s="270">
        <v>1446808.3</v>
      </c>
      <c r="M191" s="270">
        <v>1815957.3</v>
      </c>
      <c r="N191" s="270">
        <v>-346380</v>
      </c>
      <c r="O191" s="270">
        <v>1469577.3</v>
      </c>
      <c r="P191" s="270">
        <v>1778659.8</v>
      </c>
      <c r="Q191" s="667"/>
      <c r="R191" s="667"/>
    </row>
    <row r="192" spans="1:18" s="153" customFormat="1" ht="10.9" customHeight="1" x14ac:dyDescent="0.2">
      <c r="A192" s="1711" t="s">
        <v>2066</v>
      </c>
      <c r="B192" s="292" t="s">
        <v>558</v>
      </c>
      <c r="C192" s="270">
        <v>275843.59999999998</v>
      </c>
      <c r="D192" s="270">
        <v>28367</v>
      </c>
      <c r="E192" s="270">
        <v>304210.59999999998</v>
      </c>
      <c r="F192" s="270">
        <v>136213.9</v>
      </c>
      <c r="G192" s="270">
        <v>218943.8</v>
      </c>
      <c r="H192" s="270">
        <v>355157.69999999995</v>
      </c>
      <c r="I192" s="270">
        <v>3882.7</v>
      </c>
      <c r="J192" s="270">
        <v>40388.699999999997</v>
      </c>
      <c r="K192" s="270">
        <v>44271.399999999994</v>
      </c>
      <c r="L192" s="270">
        <v>1457399.5</v>
      </c>
      <c r="M192" s="270">
        <v>1856828.6</v>
      </c>
      <c r="N192" s="270">
        <v>-348848.1</v>
      </c>
      <c r="O192" s="270">
        <v>1507980.5</v>
      </c>
      <c r="P192" s="270">
        <v>1812191.1</v>
      </c>
      <c r="Q192" s="667"/>
      <c r="R192" s="667"/>
    </row>
    <row r="193" spans="1:18" s="153" customFormat="1" ht="10.9" customHeight="1" x14ac:dyDescent="0.2">
      <c r="A193" s="1711" t="s">
        <v>2066</v>
      </c>
      <c r="B193" s="135" t="s">
        <v>559</v>
      </c>
      <c r="C193" s="270">
        <v>275075.40000000002</v>
      </c>
      <c r="D193" s="270">
        <v>25521.599999999999</v>
      </c>
      <c r="E193" s="270">
        <v>300597</v>
      </c>
      <c r="F193" s="270">
        <v>132882.4</v>
      </c>
      <c r="G193" s="270">
        <v>228303.7</v>
      </c>
      <c r="H193" s="270">
        <v>361186.1</v>
      </c>
      <c r="I193" s="270">
        <v>3886.5</v>
      </c>
      <c r="J193" s="270">
        <v>41065.199999999997</v>
      </c>
      <c r="K193" s="270">
        <v>44951.7</v>
      </c>
      <c r="L193" s="270">
        <v>1470323.6</v>
      </c>
      <c r="M193" s="270">
        <v>1876461.4000000001</v>
      </c>
      <c r="N193" s="270">
        <v>-357148.8</v>
      </c>
      <c r="O193" s="270">
        <v>1519312.6</v>
      </c>
      <c r="P193" s="270">
        <v>1819909.6</v>
      </c>
      <c r="Q193" s="667"/>
      <c r="R193" s="667"/>
    </row>
    <row r="194" spans="1:18" s="153" customFormat="1" ht="10.9" customHeight="1" x14ac:dyDescent="0.2">
      <c r="A194" s="1711" t="s">
        <v>2066</v>
      </c>
      <c r="B194" s="292" t="s">
        <v>550</v>
      </c>
      <c r="C194" s="270">
        <v>287497.5</v>
      </c>
      <c r="D194" s="270">
        <v>29230.799999999999</v>
      </c>
      <c r="E194" s="270">
        <v>316728.3</v>
      </c>
      <c r="F194" s="270">
        <v>157411.9</v>
      </c>
      <c r="G194" s="270">
        <v>229938</v>
      </c>
      <c r="H194" s="270">
        <v>387349.9</v>
      </c>
      <c r="I194" s="270">
        <v>3893.4</v>
      </c>
      <c r="J194" s="270">
        <v>41271.300000000003</v>
      </c>
      <c r="K194" s="270">
        <v>45164.700000000004</v>
      </c>
      <c r="L194" s="270">
        <v>1494254.6</v>
      </c>
      <c r="M194" s="270">
        <v>1926769.2000000002</v>
      </c>
      <c r="N194" s="270">
        <v>-356329.4</v>
      </c>
      <c r="O194" s="270">
        <v>1570439.8000000003</v>
      </c>
      <c r="P194" s="270">
        <v>1887168.1000000003</v>
      </c>
      <c r="Q194" s="667"/>
      <c r="R194" s="667"/>
    </row>
    <row r="195" spans="1:18" s="153" customFormat="1" ht="10.9" customHeight="1" x14ac:dyDescent="0.2">
      <c r="A195" s="1680" t="s">
        <v>2206</v>
      </c>
      <c r="B195" s="135" t="s">
        <v>552</v>
      </c>
      <c r="C195" s="214">
        <v>284091</v>
      </c>
      <c r="D195" s="214">
        <v>35034.6</v>
      </c>
      <c r="E195" s="214">
        <f t="shared" ref="E195:E226" si="68">C195+D195</f>
        <v>319125.59999999998</v>
      </c>
      <c r="F195" s="214">
        <v>147689</v>
      </c>
      <c r="G195" s="214">
        <v>241998.3</v>
      </c>
      <c r="H195" s="214">
        <f t="shared" ref="H195:H226" si="69">F195+G195</f>
        <v>389687.3</v>
      </c>
      <c r="I195" s="214">
        <v>3786.5</v>
      </c>
      <c r="J195" s="214">
        <v>41250.9</v>
      </c>
      <c r="K195" s="214">
        <f t="shared" ref="K195:K226" si="70">I195+J195</f>
        <v>45037.4</v>
      </c>
      <c r="L195" s="214">
        <f>7308.8+1478136.6</f>
        <v>1485445.4000000001</v>
      </c>
      <c r="M195" s="214">
        <f t="shared" ref="M195:M226" si="71">H195+K195+L195</f>
        <v>1920170.1</v>
      </c>
      <c r="N195" s="214">
        <v>-365045.9</v>
      </c>
      <c r="O195" s="214">
        <f t="shared" ref="O195:O206" si="72">M195+N195</f>
        <v>1555124.2000000002</v>
      </c>
      <c r="P195" s="214">
        <f t="shared" ref="P195:P206" si="73">E195+O195</f>
        <v>1874249.8000000003</v>
      </c>
      <c r="Q195" s="667"/>
      <c r="R195" s="667"/>
    </row>
    <row r="196" spans="1:18" s="153" customFormat="1" ht="10.9" customHeight="1" x14ac:dyDescent="0.2">
      <c r="A196" s="1680" t="s">
        <v>2206</v>
      </c>
      <c r="B196" s="292" t="s">
        <v>553</v>
      </c>
      <c r="C196" s="270">
        <v>272944.3</v>
      </c>
      <c r="D196" s="270">
        <v>33275.199999999997</v>
      </c>
      <c r="E196" s="270">
        <f t="shared" si="68"/>
        <v>306219.5</v>
      </c>
      <c r="F196" s="270">
        <v>135934.20000000001</v>
      </c>
      <c r="G196" s="270">
        <v>245945.5</v>
      </c>
      <c r="H196" s="270">
        <f t="shared" si="69"/>
        <v>381879.7</v>
      </c>
      <c r="I196" s="270">
        <v>3680.1</v>
      </c>
      <c r="J196" s="270">
        <v>41751.300000000003</v>
      </c>
      <c r="K196" s="270">
        <f t="shared" si="70"/>
        <v>45431.4</v>
      </c>
      <c r="L196" s="270">
        <f>7542+1487714.7</f>
        <v>1495256.7</v>
      </c>
      <c r="M196" s="270">
        <f t="shared" si="71"/>
        <v>1922567.8</v>
      </c>
      <c r="N196" s="270">
        <v>-351922.2</v>
      </c>
      <c r="O196" s="270">
        <f t="shared" si="72"/>
        <v>1570645.6</v>
      </c>
      <c r="P196" s="270">
        <f t="shared" si="73"/>
        <v>1876865.1</v>
      </c>
      <c r="Q196" s="667"/>
      <c r="R196" s="667"/>
    </row>
    <row r="197" spans="1:18" s="153" customFormat="1" ht="10.9" customHeight="1" x14ac:dyDescent="0.2">
      <c r="A197" s="1680" t="s">
        <v>2206</v>
      </c>
      <c r="B197" s="135" t="s">
        <v>547</v>
      </c>
      <c r="C197" s="214">
        <v>258977.5</v>
      </c>
      <c r="D197" s="214">
        <v>34340.5</v>
      </c>
      <c r="E197" s="214">
        <f t="shared" si="68"/>
        <v>293318</v>
      </c>
      <c r="F197" s="214">
        <v>129039.7</v>
      </c>
      <c r="G197" s="214">
        <v>241881.2</v>
      </c>
      <c r="H197" s="214">
        <f t="shared" si="69"/>
        <v>370920.9</v>
      </c>
      <c r="I197" s="214">
        <v>3928.4</v>
      </c>
      <c r="J197" s="214">
        <v>42667.5</v>
      </c>
      <c r="K197" s="214">
        <f t="shared" si="70"/>
        <v>46595.9</v>
      </c>
      <c r="L197" s="214">
        <f>7748.6+1505305.4</f>
        <v>1513054</v>
      </c>
      <c r="M197" s="214">
        <f t="shared" si="71"/>
        <v>1930570.8</v>
      </c>
      <c r="N197" s="214">
        <v>-346643</v>
      </c>
      <c r="O197" s="214">
        <f t="shared" si="72"/>
        <v>1583927.8</v>
      </c>
      <c r="P197" s="214">
        <f t="shared" si="73"/>
        <v>1877245.8</v>
      </c>
      <c r="Q197" s="667"/>
      <c r="R197" s="667"/>
    </row>
    <row r="198" spans="1:18" s="153" customFormat="1" ht="10.9" customHeight="1" x14ac:dyDescent="0.2">
      <c r="A198" s="1680" t="s">
        <v>2206</v>
      </c>
      <c r="B198" s="292" t="s">
        <v>554</v>
      </c>
      <c r="C198" s="270">
        <v>248074.3</v>
      </c>
      <c r="D198" s="270">
        <v>33027</v>
      </c>
      <c r="E198" s="270">
        <f t="shared" si="68"/>
        <v>281101.3</v>
      </c>
      <c r="F198" s="270">
        <v>127546.1</v>
      </c>
      <c r="G198" s="270">
        <v>240770.8</v>
      </c>
      <c r="H198" s="270">
        <f t="shared" si="69"/>
        <v>368316.9</v>
      </c>
      <c r="I198" s="270">
        <v>3934.3</v>
      </c>
      <c r="J198" s="270">
        <v>42863</v>
      </c>
      <c r="K198" s="270">
        <f t="shared" si="70"/>
        <v>46797.3</v>
      </c>
      <c r="L198" s="270">
        <f>9203.2+1520116.6</f>
        <v>1529319.8</v>
      </c>
      <c r="M198" s="270">
        <f t="shared" si="71"/>
        <v>1944434</v>
      </c>
      <c r="N198" s="270">
        <v>-342998.8</v>
      </c>
      <c r="O198" s="270">
        <f t="shared" si="72"/>
        <v>1601435.2</v>
      </c>
      <c r="P198" s="270">
        <f t="shared" si="73"/>
        <v>1882536.5</v>
      </c>
      <c r="Q198" s="667"/>
      <c r="R198" s="667"/>
    </row>
    <row r="199" spans="1:18" s="153" customFormat="1" ht="10.9" customHeight="1" x14ac:dyDescent="0.2">
      <c r="A199" s="1680" t="s">
        <v>2206</v>
      </c>
      <c r="B199" s="135" t="s">
        <v>555</v>
      </c>
      <c r="C199" s="214">
        <v>235600.5</v>
      </c>
      <c r="D199" s="214">
        <v>30070.799999999999</v>
      </c>
      <c r="E199" s="214">
        <f t="shared" si="68"/>
        <v>265671.3</v>
      </c>
      <c r="F199" s="214">
        <v>132232.70000000001</v>
      </c>
      <c r="G199" s="214">
        <v>231759.7</v>
      </c>
      <c r="H199" s="214">
        <f t="shared" si="69"/>
        <v>363992.4</v>
      </c>
      <c r="I199" s="214">
        <v>3943</v>
      </c>
      <c r="J199" s="214">
        <v>43719.3</v>
      </c>
      <c r="K199" s="214">
        <f t="shared" si="70"/>
        <v>47662.3</v>
      </c>
      <c r="L199" s="214">
        <f>9203+1536738.2</f>
        <v>1545941.2</v>
      </c>
      <c r="M199" s="214">
        <f t="shared" si="71"/>
        <v>1957595.9</v>
      </c>
      <c r="N199" s="214">
        <v>-333844.09999999998</v>
      </c>
      <c r="O199" s="214">
        <f t="shared" si="72"/>
        <v>1623751.7999999998</v>
      </c>
      <c r="P199" s="214">
        <f t="shared" si="73"/>
        <v>1889423.0999999999</v>
      </c>
      <c r="Q199" s="667"/>
      <c r="R199" s="667"/>
    </row>
    <row r="200" spans="1:18" s="153" customFormat="1" ht="10.9" customHeight="1" x14ac:dyDescent="0.2">
      <c r="A200" s="1680" t="s">
        <v>2206</v>
      </c>
      <c r="B200" s="292" t="s">
        <v>548</v>
      </c>
      <c r="C200" s="270">
        <v>248198.9</v>
      </c>
      <c r="D200" s="270">
        <v>29264.9</v>
      </c>
      <c r="E200" s="270">
        <f t="shared" si="68"/>
        <v>277463.8</v>
      </c>
      <c r="F200" s="270">
        <v>126706.8</v>
      </c>
      <c r="G200" s="270">
        <v>224951.6</v>
      </c>
      <c r="H200" s="270">
        <f t="shared" si="69"/>
        <v>351658.4</v>
      </c>
      <c r="I200" s="270">
        <v>4201.8999999999996</v>
      </c>
      <c r="J200" s="270">
        <v>44691.6</v>
      </c>
      <c r="K200" s="270">
        <f t="shared" si="70"/>
        <v>48893.5</v>
      </c>
      <c r="L200" s="270">
        <f>8390.5+1562279.9</f>
        <v>1570670.4</v>
      </c>
      <c r="M200" s="270">
        <f t="shared" si="71"/>
        <v>1971222.2999999998</v>
      </c>
      <c r="N200" s="270">
        <v>-339538.3</v>
      </c>
      <c r="O200" s="270">
        <f t="shared" si="72"/>
        <v>1631683.9999999998</v>
      </c>
      <c r="P200" s="270">
        <f t="shared" si="73"/>
        <v>1909147.7999999998</v>
      </c>
      <c r="Q200" s="667"/>
      <c r="R200" s="667"/>
    </row>
    <row r="201" spans="1:18" s="153" customFormat="1" ht="10.9" customHeight="1" x14ac:dyDescent="0.2">
      <c r="A201" s="1680" t="s">
        <v>2206</v>
      </c>
      <c r="B201" s="135" t="s">
        <v>556</v>
      </c>
      <c r="C201" s="214">
        <v>232550.2</v>
      </c>
      <c r="D201" s="214">
        <v>34239</v>
      </c>
      <c r="E201" s="214">
        <f t="shared" si="68"/>
        <v>266789.2</v>
      </c>
      <c r="F201" s="214">
        <v>125862.2</v>
      </c>
      <c r="G201" s="214">
        <v>241881.4</v>
      </c>
      <c r="H201" s="214">
        <f t="shared" si="69"/>
        <v>367743.6</v>
      </c>
      <c r="I201" s="214">
        <v>4173.6000000000004</v>
      </c>
      <c r="J201" s="214">
        <v>43567.9</v>
      </c>
      <c r="K201" s="214">
        <f t="shared" si="70"/>
        <v>47741.5</v>
      </c>
      <c r="L201" s="214">
        <f>8308.3+1559634.9</f>
        <v>1567943.2</v>
      </c>
      <c r="M201" s="214">
        <f t="shared" si="71"/>
        <v>1983428.2999999998</v>
      </c>
      <c r="N201" s="214">
        <v>-347337.2</v>
      </c>
      <c r="O201" s="214">
        <f t="shared" si="72"/>
        <v>1636091.0999999999</v>
      </c>
      <c r="P201" s="214">
        <f t="shared" si="73"/>
        <v>1902880.2999999998</v>
      </c>
      <c r="Q201" s="667"/>
      <c r="R201" s="667"/>
    </row>
    <row r="202" spans="1:18" s="153" customFormat="1" ht="10.9" customHeight="1" x14ac:dyDescent="0.2">
      <c r="A202" s="1680" t="s">
        <v>2206</v>
      </c>
      <c r="B202" s="292" t="s">
        <v>557</v>
      </c>
      <c r="C202" s="270">
        <v>229743.6</v>
      </c>
      <c r="D202" s="270">
        <v>32834.699999999997</v>
      </c>
      <c r="E202" s="270">
        <f t="shared" si="68"/>
        <v>262578.3</v>
      </c>
      <c r="F202" s="270">
        <v>123109.8</v>
      </c>
      <c r="G202" s="270">
        <v>256392.6</v>
      </c>
      <c r="H202" s="270">
        <f t="shared" si="69"/>
        <v>379502.4</v>
      </c>
      <c r="I202" s="270">
        <v>4182.5</v>
      </c>
      <c r="J202" s="270">
        <v>43487.4</v>
      </c>
      <c r="K202" s="270">
        <f t="shared" si="70"/>
        <v>47669.9</v>
      </c>
      <c r="L202" s="270">
        <f>8445.2+1568491.3</f>
        <v>1576936.5</v>
      </c>
      <c r="M202" s="270">
        <f t="shared" si="71"/>
        <v>2004108.8</v>
      </c>
      <c r="N202" s="270">
        <v>-346881.5</v>
      </c>
      <c r="O202" s="270">
        <f t="shared" si="72"/>
        <v>1657227.3</v>
      </c>
      <c r="P202" s="270">
        <f t="shared" si="73"/>
        <v>1919805.6</v>
      </c>
      <c r="Q202" s="667"/>
      <c r="R202" s="667"/>
    </row>
    <row r="203" spans="1:18" s="153" customFormat="1" ht="10.9" customHeight="1" x14ac:dyDescent="0.2">
      <c r="A203" s="1680" t="s">
        <v>2206</v>
      </c>
      <c r="B203" s="135" t="s">
        <v>549</v>
      </c>
      <c r="C203" s="214">
        <v>226890.9</v>
      </c>
      <c r="D203" s="214">
        <v>32545</v>
      </c>
      <c r="E203" s="214">
        <f t="shared" si="68"/>
        <v>259435.9</v>
      </c>
      <c r="F203" s="214">
        <v>127810.1</v>
      </c>
      <c r="G203" s="214">
        <v>262591.3</v>
      </c>
      <c r="H203" s="214">
        <f t="shared" si="69"/>
        <v>390401.4</v>
      </c>
      <c r="I203" s="214">
        <v>4186.8</v>
      </c>
      <c r="J203" s="214">
        <v>43330.9</v>
      </c>
      <c r="K203" s="214">
        <f t="shared" si="70"/>
        <v>47517.700000000004</v>
      </c>
      <c r="L203" s="214">
        <f>8529.7+1590000.1</f>
        <v>1598529.8</v>
      </c>
      <c r="M203" s="214">
        <f t="shared" si="71"/>
        <v>2036448.9000000001</v>
      </c>
      <c r="N203" s="214">
        <v>-358642.9</v>
      </c>
      <c r="O203" s="214">
        <f t="shared" si="72"/>
        <v>1677806</v>
      </c>
      <c r="P203" s="214">
        <f t="shared" si="73"/>
        <v>1937241.9</v>
      </c>
      <c r="Q203" s="667"/>
      <c r="R203" s="667"/>
    </row>
    <row r="204" spans="1:18" s="153" customFormat="1" ht="10.9" customHeight="1" x14ac:dyDescent="0.2">
      <c r="A204" s="1680" t="s">
        <v>2206</v>
      </c>
      <c r="B204" s="292" t="s">
        <v>558</v>
      </c>
      <c r="C204" s="270">
        <v>219734.5</v>
      </c>
      <c r="D204" s="270">
        <v>28363</v>
      </c>
      <c r="E204" s="270">
        <f t="shared" si="68"/>
        <v>248097.5</v>
      </c>
      <c r="F204" s="270">
        <v>137437.79999999999</v>
      </c>
      <c r="G204" s="270">
        <v>277715.40000000002</v>
      </c>
      <c r="H204" s="270">
        <f t="shared" si="69"/>
        <v>415153.2</v>
      </c>
      <c r="I204" s="270">
        <v>4194</v>
      </c>
      <c r="J204" s="270">
        <v>43648.3</v>
      </c>
      <c r="K204" s="270">
        <f t="shared" si="70"/>
        <v>47842.3</v>
      </c>
      <c r="L204" s="270">
        <f>8446.5+1593194.7</f>
        <v>1601641.2</v>
      </c>
      <c r="M204" s="270">
        <f t="shared" si="71"/>
        <v>2064636.7</v>
      </c>
      <c r="N204" s="270">
        <v>-365902.1</v>
      </c>
      <c r="O204" s="270">
        <f t="shared" si="72"/>
        <v>1698734.6</v>
      </c>
      <c r="P204" s="270">
        <f t="shared" si="73"/>
        <v>1946832.1</v>
      </c>
      <c r="Q204" s="667"/>
      <c r="R204" s="667"/>
    </row>
    <row r="205" spans="1:18" s="153" customFormat="1" ht="10.9" customHeight="1" x14ac:dyDescent="0.2">
      <c r="A205" s="1680" t="s">
        <v>2206</v>
      </c>
      <c r="B205" s="135" t="s">
        <v>559</v>
      </c>
      <c r="C205" s="214">
        <v>231124.4</v>
      </c>
      <c r="D205" s="214">
        <v>33176.1</v>
      </c>
      <c r="E205" s="214">
        <f t="shared" si="68"/>
        <v>264300.5</v>
      </c>
      <c r="F205" s="214">
        <v>141383.70000000001</v>
      </c>
      <c r="G205" s="214">
        <v>283125.5</v>
      </c>
      <c r="H205" s="214">
        <f t="shared" si="69"/>
        <v>424509.2</v>
      </c>
      <c r="I205" s="214">
        <v>4201.3</v>
      </c>
      <c r="J205" s="214">
        <v>44153.2</v>
      </c>
      <c r="K205" s="214">
        <f t="shared" si="70"/>
        <v>48354.5</v>
      </c>
      <c r="L205" s="214">
        <f>8753.2+1613704.9</f>
        <v>1622458.0999999999</v>
      </c>
      <c r="M205" s="214">
        <f t="shared" si="71"/>
        <v>2095321.7999999998</v>
      </c>
      <c r="N205" s="214">
        <v>-387817.8</v>
      </c>
      <c r="O205" s="214">
        <f t="shared" si="72"/>
        <v>1707503.9999999998</v>
      </c>
      <c r="P205" s="214">
        <f t="shared" si="73"/>
        <v>1971804.4999999998</v>
      </c>
      <c r="Q205" s="667"/>
      <c r="R205" s="667"/>
    </row>
    <row r="206" spans="1:18" s="153" customFormat="1" ht="10.9" customHeight="1" x14ac:dyDescent="0.2">
      <c r="A206" s="1680" t="s">
        <v>2206</v>
      </c>
      <c r="B206" s="292" t="s">
        <v>550</v>
      </c>
      <c r="C206" s="270">
        <v>245780.7</v>
      </c>
      <c r="D206" s="270">
        <v>45348.3</v>
      </c>
      <c r="E206" s="270">
        <f t="shared" si="68"/>
        <v>291129</v>
      </c>
      <c r="F206" s="270">
        <v>145932.20000000001</v>
      </c>
      <c r="G206" s="270">
        <v>278944.90000000002</v>
      </c>
      <c r="H206" s="270">
        <f t="shared" si="69"/>
        <v>424877.10000000003</v>
      </c>
      <c r="I206" s="270">
        <v>4208.5</v>
      </c>
      <c r="J206" s="270">
        <v>45210.6</v>
      </c>
      <c r="K206" s="270">
        <f t="shared" si="70"/>
        <v>49419.1</v>
      </c>
      <c r="L206" s="270">
        <f>8781.9+1632446.8</f>
        <v>1641228.7</v>
      </c>
      <c r="M206" s="270">
        <f t="shared" si="71"/>
        <v>2115524.9</v>
      </c>
      <c r="N206" s="270">
        <v>-373419.9</v>
      </c>
      <c r="O206" s="270">
        <f t="shared" si="72"/>
        <v>1742105</v>
      </c>
      <c r="P206" s="270">
        <f t="shared" si="73"/>
        <v>2033234</v>
      </c>
      <c r="Q206" s="667"/>
      <c r="R206" s="667"/>
    </row>
    <row r="207" spans="1:18" s="153" customFormat="1" ht="10.9" customHeight="1" x14ac:dyDescent="0.2">
      <c r="A207" s="778" t="s">
        <v>2478</v>
      </c>
      <c r="B207" s="292" t="s">
        <v>552</v>
      </c>
      <c r="C207" s="270">
        <v>238927.1</v>
      </c>
      <c r="D207" s="270">
        <v>44133.4</v>
      </c>
      <c r="E207" s="270">
        <f t="shared" si="68"/>
        <v>283060.5</v>
      </c>
      <c r="F207" s="270">
        <v>146699.6</v>
      </c>
      <c r="G207" s="270">
        <v>290888.8</v>
      </c>
      <c r="H207" s="270">
        <f t="shared" si="69"/>
        <v>437588.4</v>
      </c>
      <c r="I207" s="270">
        <v>4206.3</v>
      </c>
      <c r="J207" s="270">
        <v>45730.3</v>
      </c>
      <c r="K207" s="270">
        <f t="shared" si="70"/>
        <v>49936.600000000006</v>
      </c>
      <c r="L207" s="270">
        <f>8804.3+1627111.4</f>
        <v>1635915.7</v>
      </c>
      <c r="M207" s="270">
        <f t="shared" si="71"/>
        <v>2123440.7000000002</v>
      </c>
      <c r="N207" s="270">
        <v>-380276.7</v>
      </c>
      <c r="O207" s="270">
        <f t="shared" ref="O207:O214" si="74">M207+N207</f>
        <v>1743164.0000000002</v>
      </c>
      <c r="P207" s="270">
        <f t="shared" ref="P207:P214" si="75">E207+O207</f>
        <v>2026224.5000000002</v>
      </c>
      <c r="Q207" s="667"/>
      <c r="R207" s="667"/>
    </row>
    <row r="208" spans="1:18" s="153" customFormat="1" ht="10.9" customHeight="1" x14ac:dyDescent="0.2">
      <c r="A208" s="778" t="s">
        <v>2478</v>
      </c>
      <c r="B208" s="135" t="s">
        <v>553</v>
      </c>
      <c r="C208" s="214">
        <v>231618.7</v>
      </c>
      <c r="D208" s="214">
        <v>40573.1</v>
      </c>
      <c r="E208" s="214">
        <f t="shared" si="68"/>
        <v>272191.8</v>
      </c>
      <c r="F208" s="214">
        <v>127517.6</v>
      </c>
      <c r="G208" s="214">
        <v>298715.7</v>
      </c>
      <c r="H208" s="214">
        <f t="shared" si="69"/>
        <v>426233.30000000005</v>
      </c>
      <c r="I208" s="214">
        <v>3799.5</v>
      </c>
      <c r="J208" s="214">
        <v>45074.8</v>
      </c>
      <c r="K208" s="214">
        <f t="shared" si="70"/>
        <v>48874.3</v>
      </c>
      <c r="L208" s="214">
        <f>8681.3+1634021.3</f>
        <v>1642702.6</v>
      </c>
      <c r="M208" s="214">
        <f t="shared" si="71"/>
        <v>2117810.2000000002</v>
      </c>
      <c r="N208" s="214">
        <v>-365677.2</v>
      </c>
      <c r="O208" s="214">
        <f t="shared" si="74"/>
        <v>1752133.0000000002</v>
      </c>
      <c r="P208" s="214">
        <f t="shared" si="75"/>
        <v>2024324.8000000003</v>
      </c>
      <c r="Q208" s="667"/>
      <c r="R208" s="667"/>
    </row>
    <row r="209" spans="1:19" s="153" customFormat="1" ht="10.9" customHeight="1" x14ac:dyDescent="0.2">
      <c r="A209" s="778" t="s">
        <v>2478</v>
      </c>
      <c r="B209" s="292" t="s">
        <v>547</v>
      </c>
      <c r="C209" s="270">
        <v>231666.3</v>
      </c>
      <c r="D209" s="270">
        <v>33430.400000000001</v>
      </c>
      <c r="E209" s="270">
        <f t="shared" si="68"/>
        <v>265096.7</v>
      </c>
      <c r="F209" s="270">
        <v>103832.7</v>
      </c>
      <c r="G209" s="270">
        <v>302981.09999999998</v>
      </c>
      <c r="H209" s="270">
        <f t="shared" si="69"/>
        <v>406813.8</v>
      </c>
      <c r="I209" s="270">
        <v>3786.1</v>
      </c>
      <c r="J209" s="270">
        <v>43455.9</v>
      </c>
      <c r="K209" s="270">
        <f t="shared" si="70"/>
        <v>47242</v>
      </c>
      <c r="L209" s="270">
        <f>9289.2+1642954.9</f>
        <v>1652244.0999999999</v>
      </c>
      <c r="M209" s="270">
        <f t="shared" si="71"/>
        <v>2106299.9</v>
      </c>
      <c r="N209" s="270">
        <v>-346247.9</v>
      </c>
      <c r="O209" s="270">
        <f t="shared" si="74"/>
        <v>1760052</v>
      </c>
      <c r="P209" s="270">
        <f t="shared" si="75"/>
        <v>2025148.7</v>
      </c>
      <c r="Q209" s="667"/>
      <c r="R209" s="667"/>
    </row>
    <row r="210" spans="1:19" s="153" customFormat="1" ht="10.9" customHeight="1" x14ac:dyDescent="0.2">
      <c r="A210" s="778" t="s">
        <v>2478</v>
      </c>
      <c r="B210" s="135" t="s">
        <v>554</v>
      </c>
      <c r="C210" s="214">
        <v>228522.6</v>
      </c>
      <c r="D210" s="214">
        <v>21744.6</v>
      </c>
      <c r="E210" s="214">
        <f t="shared" si="68"/>
        <v>250267.2</v>
      </c>
      <c r="F210" s="214">
        <v>106212.1</v>
      </c>
      <c r="G210" s="214">
        <v>321060.2</v>
      </c>
      <c r="H210" s="214">
        <f t="shared" si="69"/>
        <v>427272.30000000005</v>
      </c>
      <c r="I210" s="214">
        <v>3789.7</v>
      </c>
      <c r="J210" s="214">
        <v>43684.5</v>
      </c>
      <c r="K210" s="214">
        <f t="shared" si="70"/>
        <v>47474.2</v>
      </c>
      <c r="L210" s="214">
        <f>8910.5+1647321.9</f>
        <v>1656232.4</v>
      </c>
      <c r="M210" s="214">
        <f t="shared" si="71"/>
        <v>2130978.9</v>
      </c>
      <c r="N210" s="214">
        <v>-347735.1</v>
      </c>
      <c r="O210" s="214">
        <f t="shared" si="74"/>
        <v>1783243.7999999998</v>
      </c>
      <c r="P210" s="214">
        <f t="shared" si="75"/>
        <v>2033510.9999999998</v>
      </c>
      <c r="Q210" s="667"/>
      <c r="R210" s="667"/>
    </row>
    <row r="211" spans="1:19" s="153" customFormat="1" ht="10.9" customHeight="1" x14ac:dyDescent="0.2">
      <c r="A211" s="778" t="s">
        <v>2478</v>
      </c>
      <c r="B211" s="292" t="s">
        <v>555</v>
      </c>
      <c r="C211" s="270">
        <v>223881.5</v>
      </c>
      <c r="D211" s="270">
        <v>22581.200000000001</v>
      </c>
      <c r="E211" s="270">
        <f t="shared" si="68"/>
        <v>246462.7</v>
      </c>
      <c r="F211" s="270">
        <v>107981.5</v>
      </c>
      <c r="G211" s="270">
        <v>330666</v>
      </c>
      <c r="H211" s="270">
        <f t="shared" si="69"/>
        <v>438647.5</v>
      </c>
      <c r="I211" s="270">
        <v>3796.2</v>
      </c>
      <c r="J211" s="270">
        <v>44065</v>
      </c>
      <c r="K211" s="270">
        <f t="shared" si="70"/>
        <v>47861.2</v>
      </c>
      <c r="L211" s="270">
        <f>9505.7+1654818.5</f>
        <v>1664324.2</v>
      </c>
      <c r="M211" s="270">
        <f t="shared" si="71"/>
        <v>2150832.9</v>
      </c>
      <c r="N211" s="270">
        <v>-356510.6</v>
      </c>
      <c r="O211" s="270">
        <f t="shared" si="74"/>
        <v>1794322.2999999998</v>
      </c>
      <c r="P211" s="270">
        <f t="shared" si="75"/>
        <v>2040784.9999999998</v>
      </c>
      <c r="Q211" s="667"/>
      <c r="R211" s="667"/>
    </row>
    <row r="212" spans="1:19" s="153" customFormat="1" ht="10.9" customHeight="1" x14ac:dyDescent="0.2">
      <c r="A212" s="778" t="s">
        <v>2478</v>
      </c>
      <c r="B212" s="135" t="s">
        <v>548</v>
      </c>
      <c r="C212" s="214">
        <v>235750.8</v>
      </c>
      <c r="D212" s="214">
        <v>19525.599999999999</v>
      </c>
      <c r="E212" s="214">
        <f t="shared" si="68"/>
        <v>255276.4</v>
      </c>
      <c r="F212" s="214">
        <v>89973.6</v>
      </c>
      <c r="G212" s="214">
        <v>325599.5</v>
      </c>
      <c r="H212" s="214">
        <f t="shared" si="69"/>
        <v>415573.1</v>
      </c>
      <c r="I212" s="214">
        <v>6903.5</v>
      </c>
      <c r="J212" s="214">
        <v>43426.2</v>
      </c>
      <c r="K212" s="214">
        <f t="shared" si="70"/>
        <v>50329.7</v>
      </c>
      <c r="L212" s="214">
        <f>9426.5+1675844.7</f>
        <v>1685271.2</v>
      </c>
      <c r="M212" s="214">
        <f t="shared" si="71"/>
        <v>2151174</v>
      </c>
      <c r="N212" s="214">
        <v>-352768.5</v>
      </c>
      <c r="O212" s="214">
        <f t="shared" si="74"/>
        <v>1798405.5</v>
      </c>
      <c r="P212" s="214">
        <f t="shared" si="75"/>
        <v>2053681.9</v>
      </c>
      <c r="Q212" s="667"/>
      <c r="R212" s="667"/>
    </row>
    <row r="213" spans="1:19" s="153" customFormat="1" ht="10.9" customHeight="1" x14ac:dyDescent="0.2">
      <c r="A213" s="778" t="s">
        <v>2478</v>
      </c>
      <c r="B213" s="292" t="s">
        <v>556</v>
      </c>
      <c r="C213" s="270">
        <v>238082.6</v>
      </c>
      <c r="D213" s="270">
        <v>21792.3</v>
      </c>
      <c r="E213" s="270">
        <f t="shared" si="68"/>
        <v>259874.9</v>
      </c>
      <c r="F213" s="270">
        <v>88103.8</v>
      </c>
      <c r="G213" s="270">
        <v>346257.5</v>
      </c>
      <c r="H213" s="270">
        <f t="shared" si="69"/>
        <v>434361.3</v>
      </c>
      <c r="I213" s="270">
        <v>7121.8</v>
      </c>
      <c r="J213" s="270">
        <v>43054.3</v>
      </c>
      <c r="K213" s="270">
        <f t="shared" si="70"/>
        <v>50176.100000000006</v>
      </c>
      <c r="L213" s="270">
        <f>9606.6+1670503.4</f>
        <v>1680110</v>
      </c>
      <c r="M213" s="270">
        <f t="shared" si="71"/>
        <v>2164647.4</v>
      </c>
      <c r="N213" s="270">
        <v>-368489.5</v>
      </c>
      <c r="O213" s="270">
        <f t="shared" si="74"/>
        <v>1796157.9</v>
      </c>
      <c r="P213" s="270">
        <f t="shared" si="75"/>
        <v>2056032.7999999998</v>
      </c>
      <c r="Q213" s="667"/>
      <c r="R213" s="667"/>
    </row>
    <row r="214" spans="1:19" s="153" customFormat="1" ht="10.9" customHeight="1" x14ac:dyDescent="0.2">
      <c r="A214" s="778" t="s">
        <v>2478</v>
      </c>
      <c r="B214" s="135" t="s">
        <v>557</v>
      </c>
      <c r="C214" s="214">
        <v>238118.39999999999</v>
      </c>
      <c r="D214" s="214">
        <v>26359.200000000001</v>
      </c>
      <c r="E214" s="214">
        <f t="shared" si="68"/>
        <v>264477.59999999998</v>
      </c>
      <c r="F214" s="214">
        <v>82947.7</v>
      </c>
      <c r="G214" s="214">
        <v>350943.3</v>
      </c>
      <c r="H214" s="214">
        <f t="shared" si="69"/>
        <v>433891</v>
      </c>
      <c r="I214" s="214">
        <v>7130.8</v>
      </c>
      <c r="J214" s="214">
        <v>43355.3</v>
      </c>
      <c r="K214" s="214">
        <f t="shared" si="70"/>
        <v>50486.100000000006</v>
      </c>
      <c r="L214" s="214">
        <f>(96886+16746951)/10</f>
        <v>1684383.7</v>
      </c>
      <c r="M214" s="214">
        <f t="shared" si="71"/>
        <v>2168760.7999999998</v>
      </c>
      <c r="N214" s="214">
        <v>-368578.1</v>
      </c>
      <c r="O214" s="214">
        <f t="shared" si="74"/>
        <v>1800182.6999999997</v>
      </c>
      <c r="P214" s="214">
        <f t="shared" si="75"/>
        <v>2064660.2999999998</v>
      </c>
      <c r="Q214" s="667"/>
      <c r="R214" s="667"/>
    </row>
    <row r="215" spans="1:19" s="153" customFormat="1" ht="10.9" customHeight="1" x14ac:dyDescent="0.2">
      <c r="A215" s="778" t="s">
        <v>2478</v>
      </c>
      <c r="B215" s="292" t="s">
        <v>549</v>
      </c>
      <c r="C215" s="270">
        <v>240274.2</v>
      </c>
      <c r="D215" s="270">
        <v>27254.6</v>
      </c>
      <c r="E215" s="270">
        <f t="shared" si="68"/>
        <v>267528.8</v>
      </c>
      <c r="F215" s="270">
        <v>100124.7</v>
      </c>
      <c r="G215" s="270">
        <v>354063.3</v>
      </c>
      <c r="H215" s="270">
        <f t="shared" si="69"/>
        <v>454188</v>
      </c>
      <c r="I215" s="270">
        <v>7135.2</v>
      </c>
      <c r="J215" s="270">
        <v>42884</v>
      </c>
      <c r="K215" s="270">
        <f t="shared" si="70"/>
        <v>50019.199999999997</v>
      </c>
      <c r="L215" s="270">
        <v>1719326.9</v>
      </c>
      <c r="M215" s="270">
        <f t="shared" si="71"/>
        <v>2223534.1</v>
      </c>
      <c r="N215" s="270">
        <v>-375970.9</v>
      </c>
      <c r="O215" s="270">
        <f t="shared" ref="O215:O216" si="76">M215+N215</f>
        <v>1847563.2000000002</v>
      </c>
      <c r="P215" s="270">
        <f t="shared" ref="P215:P216" si="77">E215+O215</f>
        <v>2115092</v>
      </c>
      <c r="Q215" s="667"/>
      <c r="R215" s="667"/>
    </row>
    <row r="216" spans="1:19" s="153" customFormat="1" ht="10.9" customHeight="1" x14ac:dyDescent="0.2">
      <c r="A216" s="778" t="s">
        <v>2478</v>
      </c>
      <c r="B216" s="135" t="s">
        <v>558</v>
      </c>
      <c r="C216" s="214">
        <v>251508.2</v>
      </c>
      <c r="D216" s="214">
        <v>27533.200000000001</v>
      </c>
      <c r="E216" s="214">
        <f t="shared" si="68"/>
        <v>279041.40000000002</v>
      </c>
      <c r="F216" s="214">
        <v>89111.6</v>
      </c>
      <c r="G216" s="214">
        <v>368328</v>
      </c>
      <c r="H216" s="214">
        <f t="shared" si="69"/>
        <v>457439.6</v>
      </c>
      <c r="I216" s="214">
        <v>7142.6</v>
      </c>
      <c r="J216" s="214">
        <v>43933.1</v>
      </c>
      <c r="K216" s="214">
        <f t="shared" si="70"/>
        <v>51075.7</v>
      </c>
      <c r="L216" s="214">
        <v>1721822.3</v>
      </c>
      <c r="M216" s="214">
        <f t="shared" si="71"/>
        <v>2230337.6</v>
      </c>
      <c r="N216" s="214">
        <v>-411395.6</v>
      </c>
      <c r="O216" s="214">
        <f t="shared" si="76"/>
        <v>1818942</v>
      </c>
      <c r="P216" s="214">
        <f t="shared" si="77"/>
        <v>2097983.4</v>
      </c>
      <c r="Q216" s="667"/>
      <c r="R216" s="667"/>
    </row>
    <row r="217" spans="1:19" s="153" customFormat="1" ht="10.9" customHeight="1" x14ac:dyDescent="0.2">
      <c r="A217" s="778" t="s">
        <v>2478</v>
      </c>
      <c r="B217" s="292" t="s">
        <v>559</v>
      </c>
      <c r="C217" s="270">
        <v>243726.7</v>
      </c>
      <c r="D217" s="270">
        <v>31957.200000000001</v>
      </c>
      <c r="E217" s="270">
        <f t="shared" si="68"/>
        <v>275683.90000000002</v>
      </c>
      <c r="F217" s="270">
        <v>92024.1</v>
      </c>
      <c r="G217" s="270">
        <v>378257.9</v>
      </c>
      <c r="H217" s="270">
        <f t="shared" si="69"/>
        <v>470282</v>
      </c>
      <c r="I217" s="270">
        <v>7150.2</v>
      </c>
      <c r="J217" s="270">
        <v>43813.1</v>
      </c>
      <c r="K217" s="270">
        <f t="shared" si="70"/>
        <v>50963.299999999996</v>
      </c>
      <c r="L217" s="270">
        <v>1738769.8</v>
      </c>
      <c r="M217" s="270">
        <f t="shared" si="71"/>
        <v>2260015.1</v>
      </c>
      <c r="N217" s="270">
        <v>-409348.4</v>
      </c>
      <c r="O217" s="270">
        <f t="shared" ref="O217" si="78">M217+N217</f>
        <v>1850666.7000000002</v>
      </c>
      <c r="P217" s="270">
        <f t="shared" ref="P217" si="79">E217+O217</f>
        <v>2126350.6</v>
      </c>
      <c r="Q217" s="667"/>
      <c r="R217" s="667"/>
    </row>
    <row r="218" spans="1:19" s="153" customFormat="1" ht="10.9" customHeight="1" x14ac:dyDescent="0.2">
      <c r="A218" s="778" t="s">
        <v>2478</v>
      </c>
      <c r="B218" s="135" t="s">
        <v>550</v>
      </c>
      <c r="C218" s="214">
        <v>293991.7</v>
      </c>
      <c r="D218" s="214">
        <v>22646.3</v>
      </c>
      <c r="E218" s="214">
        <f t="shared" si="68"/>
        <v>316638</v>
      </c>
      <c r="F218" s="214">
        <v>85426.8</v>
      </c>
      <c r="G218" s="214">
        <v>402751</v>
      </c>
      <c r="H218" s="214">
        <f t="shared" si="69"/>
        <v>488177.8</v>
      </c>
      <c r="I218" s="214">
        <v>7157.5</v>
      </c>
      <c r="J218" s="214">
        <v>41330.800000000003</v>
      </c>
      <c r="K218" s="214">
        <f t="shared" si="70"/>
        <v>48488.3</v>
      </c>
      <c r="L218" s="214">
        <f>9287.5+1738399.4</f>
        <v>1747686.9</v>
      </c>
      <c r="M218" s="214">
        <f t="shared" si="71"/>
        <v>2284353</v>
      </c>
      <c r="N218" s="214">
        <v>-426369.3</v>
      </c>
      <c r="O218" s="214">
        <f t="shared" ref="O218" si="80">M218+N218</f>
        <v>1857983.7</v>
      </c>
      <c r="P218" s="214">
        <f t="shared" ref="P218" si="81">E218+O218</f>
        <v>2174621.7000000002</v>
      </c>
      <c r="Q218" s="667"/>
      <c r="R218" s="667"/>
    </row>
    <row r="219" spans="1:19" s="153" customFormat="1" ht="10.9" customHeight="1" x14ac:dyDescent="0.2">
      <c r="A219" s="861" t="s">
        <v>2729</v>
      </c>
      <c r="B219" s="135" t="s">
        <v>552</v>
      </c>
      <c r="C219" s="214">
        <v>284285.5</v>
      </c>
      <c r="D219" s="214">
        <v>25789</v>
      </c>
      <c r="E219" s="214">
        <f t="shared" si="68"/>
        <v>310074.5</v>
      </c>
      <c r="F219" s="214">
        <v>86888.2</v>
      </c>
      <c r="G219" s="214">
        <v>414200.3</v>
      </c>
      <c r="H219" s="214">
        <f t="shared" si="69"/>
        <v>501088.5</v>
      </c>
      <c r="I219" s="214">
        <v>7671</v>
      </c>
      <c r="J219" s="214">
        <v>41072.400000000001</v>
      </c>
      <c r="K219" s="214">
        <f t="shared" si="70"/>
        <v>48743.4</v>
      </c>
      <c r="L219" s="214">
        <f>9258.2+1733376.2</f>
        <v>1742634.4</v>
      </c>
      <c r="M219" s="214">
        <f t="shared" si="71"/>
        <v>2292466.2999999998</v>
      </c>
      <c r="N219" s="214">
        <v>-434644.8</v>
      </c>
      <c r="O219" s="214">
        <f t="shared" ref="O219" si="82">M219+N219</f>
        <v>1857821.4999999998</v>
      </c>
      <c r="P219" s="214">
        <f t="shared" ref="P219" si="83">E219+O219</f>
        <v>2167896</v>
      </c>
      <c r="Q219" s="667"/>
      <c r="R219" s="667"/>
      <c r="S219" s="667"/>
    </row>
    <row r="220" spans="1:19" s="153" customFormat="1" ht="10.9" customHeight="1" x14ac:dyDescent="0.2">
      <c r="A220" s="861" t="s">
        <v>2729</v>
      </c>
      <c r="B220" s="292" t="s">
        <v>553</v>
      </c>
      <c r="C220" s="270">
        <v>289617.3</v>
      </c>
      <c r="D220" s="270">
        <v>27126</v>
      </c>
      <c r="E220" s="270">
        <f t="shared" si="68"/>
        <v>316743.3</v>
      </c>
      <c r="F220" s="270">
        <v>75256.899999999994</v>
      </c>
      <c r="G220" s="270">
        <v>421677.4</v>
      </c>
      <c r="H220" s="270">
        <f t="shared" si="69"/>
        <v>496934.30000000005</v>
      </c>
      <c r="I220" s="270">
        <v>7378.4</v>
      </c>
      <c r="J220" s="270">
        <v>41146.800000000003</v>
      </c>
      <c r="K220" s="270">
        <f t="shared" si="70"/>
        <v>48525.200000000004</v>
      </c>
      <c r="L220" s="270">
        <f>9046.1+1738048.6</f>
        <v>1747094.7000000002</v>
      </c>
      <c r="M220" s="270">
        <f t="shared" si="71"/>
        <v>2292554.2000000002</v>
      </c>
      <c r="N220" s="270">
        <v>-427532.4</v>
      </c>
      <c r="O220" s="270">
        <f t="shared" ref="O220:O221" si="84">M220+N220</f>
        <v>1865021.8000000003</v>
      </c>
      <c r="P220" s="270">
        <f t="shared" ref="P220:P225" si="85">E220+O220</f>
        <v>2181765.1</v>
      </c>
      <c r="Q220" s="667"/>
      <c r="R220" s="667"/>
      <c r="S220" s="667"/>
    </row>
    <row r="221" spans="1:19" s="153" customFormat="1" ht="10.9" customHeight="1" x14ac:dyDescent="0.2">
      <c r="A221" s="861" t="s">
        <v>2729</v>
      </c>
      <c r="B221" s="135" t="s">
        <v>547</v>
      </c>
      <c r="C221" s="214">
        <v>302125.59999999998</v>
      </c>
      <c r="D221" s="214">
        <v>14256.6</v>
      </c>
      <c r="E221" s="214">
        <f t="shared" si="68"/>
        <v>316382.19999999995</v>
      </c>
      <c r="F221" s="214">
        <v>80684.3</v>
      </c>
      <c r="G221" s="214">
        <v>436864.9</v>
      </c>
      <c r="H221" s="214">
        <f t="shared" si="69"/>
        <v>517549.2</v>
      </c>
      <c r="I221" s="214">
        <v>7375.7</v>
      </c>
      <c r="J221" s="214">
        <v>40141.599999999999</v>
      </c>
      <c r="K221" s="214">
        <f t="shared" si="70"/>
        <v>47517.299999999996</v>
      </c>
      <c r="L221" s="214">
        <f>8861.6+1747227.6</f>
        <v>1756089.2000000002</v>
      </c>
      <c r="M221" s="214">
        <f t="shared" si="71"/>
        <v>2321155.7000000002</v>
      </c>
      <c r="N221" s="214">
        <v>-447550.8</v>
      </c>
      <c r="O221" s="214">
        <f t="shared" si="84"/>
        <v>1873604.9000000001</v>
      </c>
      <c r="P221" s="214">
        <f t="shared" si="85"/>
        <v>2189987.1</v>
      </c>
      <c r="Q221" s="667"/>
      <c r="R221" s="667"/>
      <c r="S221" s="667"/>
    </row>
    <row r="222" spans="1:19" s="153" customFormat="1" ht="10.9" customHeight="1" x14ac:dyDescent="0.2">
      <c r="A222" s="861" t="s">
        <v>2729</v>
      </c>
      <c r="B222" s="292" t="s">
        <v>554</v>
      </c>
      <c r="C222" s="270">
        <v>305459.59999999998</v>
      </c>
      <c r="D222" s="270">
        <v>11470.2</v>
      </c>
      <c r="E222" s="270">
        <f t="shared" si="68"/>
        <v>316929.8</v>
      </c>
      <c r="F222" s="270">
        <v>80516.899999999994</v>
      </c>
      <c r="G222" s="270">
        <v>449761.9</v>
      </c>
      <c r="H222" s="270">
        <f t="shared" si="69"/>
        <v>530278.80000000005</v>
      </c>
      <c r="I222" s="270">
        <v>7383.1</v>
      </c>
      <c r="J222" s="270">
        <v>38832.400000000001</v>
      </c>
      <c r="K222" s="270">
        <f t="shared" si="70"/>
        <v>46215.5</v>
      </c>
      <c r="L222" s="270">
        <f>1751061.8+8329.2</f>
        <v>1759391</v>
      </c>
      <c r="M222" s="270">
        <f t="shared" si="71"/>
        <v>2335885.2999999998</v>
      </c>
      <c r="N222" s="270">
        <v>-457729.7</v>
      </c>
      <c r="O222" s="270">
        <f t="shared" ref="O222:O225" si="86">M222+N222</f>
        <v>1878155.5999999999</v>
      </c>
      <c r="P222" s="270">
        <f t="shared" si="85"/>
        <v>2195085.4</v>
      </c>
      <c r="Q222" s="667"/>
      <c r="R222" s="667"/>
      <c r="S222" s="667"/>
    </row>
    <row r="223" spans="1:19" s="153" customFormat="1" ht="10.9" customHeight="1" x14ac:dyDescent="0.2">
      <c r="A223" s="861" t="s">
        <v>2729</v>
      </c>
      <c r="B223" s="135" t="s">
        <v>555</v>
      </c>
      <c r="C223" s="214">
        <v>301884.2</v>
      </c>
      <c r="D223" s="214">
        <v>19172.8</v>
      </c>
      <c r="E223" s="214">
        <f t="shared" si="68"/>
        <v>321057</v>
      </c>
      <c r="F223" s="214">
        <v>98604.1</v>
      </c>
      <c r="G223" s="214">
        <v>455306.4</v>
      </c>
      <c r="H223" s="214">
        <f t="shared" si="69"/>
        <v>553910.5</v>
      </c>
      <c r="I223" s="214">
        <v>7390.4</v>
      </c>
      <c r="J223" s="214">
        <v>38262.6</v>
      </c>
      <c r="K223" s="214">
        <f t="shared" si="70"/>
        <v>45653</v>
      </c>
      <c r="L223" s="214">
        <f>1766076.2+8200.9</f>
        <v>1774277.0999999999</v>
      </c>
      <c r="M223" s="214">
        <f t="shared" si="71"/>
        <v>2373840.5999999996</v>
      </c>
      <c r="N223" s="214">
        <v>-472084.9</v>
      </c>
      <c r="O223" s="214">
        <f t="shared" si="86"/>
        <v>1901755.6999999997</v>
      </c>
      <c r="P223" s="214">
        <f t="shared" si="85"/>
        <v>2222812.6999999997</v>
      </c>
      <c r="Q223" s="667"/>
      <c r="R223" s="667"/>
      <c r="S223" s="667"/>
    </row>
    <row r="224" spans="1:19" ht="10.9" customHeight="1" x14ac:dyDescent="0.2">
      <c r="A224" s="861" t="s">
        <v>2729</v>
      </c>
      <c r="B224" s="292" t="s">
        <v>548</v>
      </c>
      <c r="C224" s="270">
        <v>317802.09999999998</v>
      </c>
      <c r="D224" s="270">
        <v>12212</v>
      </c>
      <c r="E224" s="270">
        <f t="shared" si="68"/>
        <v>330014.09999999998</v>
      </c>
      <c r="F224" s="270">
        <v>94976.7</v>
      </c>
      <c r="G224" s="270">
        <v>454349</v>
      </c>
      <c r="H224" s="270">
        <f t="shared" si="69"/>
        <v>549325.69999999995</v>
      </c>
      <c r="I224" s="270">
        <v>7372.8</v>
      </c>
      <c r="J224" s="270">
        <v>40245.1</v>
      </c>
      <c r="K224" s="270">
        <f t="shared" si="70"/>
        <v>47617.9</v>
      </c>
      <c r="L224" s="270">
        <f>1770972.3+17051.8</f>
        <v>1788024.1</v>
      </c>
      <c r="M224" s="270">
        <f t="shared" si="71"/>
        <v>2384967.7000000002</v>
      </c>
      <c r="N224" s="270">
        <v>-465097.2</v>
      </c>
      <c r="O224" s="270">
        <f t="shared" si="86"/>
        <v>1919870.5000000002</v>
      </c>
      <c r="P224" s="270">
        <f t="shared" si="85"/>
        <v>2249884.6</v>
      </c>
      <c r="Q224" s="667"/>
      <c r="R224" s="35"/>
      <c r="S224" s="667"/>
    </row>
    <row r="225" spans="1:19" ht="10.9" customHeight="1" x14ac:dyDescent="0.2">
      <c r="A225" s="861" t="s">
        <v>2729</v>
      </c>
      <c r="B225" s="135" t="s">
        <v>556</v>
      </c>
      <c r="C225" s="1513">
        <v>327284</v>
      </c>
      <c r="D225" s="1513">
        <v>14968.8</v>
      </c>
      <c r="E225" s="214">
        <f t="shared" si="68"/>
        <v>342252.79999999999</v>
      </c>
      <c r="F225" s="1513">
        <v>86457.9</v>
      </c>
      <c r="G225" s="1513">
        <v>476735.4</v>
      </c>
      <c r="H225" s="214">
        <f t="shared" si="69"/>
        <v>563193.30000000005</v>
      </c>
      <c r="I225" s="1513">
        <v>7621.1</v>
      </c>
      <c r="J225" s="1513">
        <v>40444.199999999997</v>
      </c>
      <c r="K225" s="214">
        <f t="shared" si="70"/>
        <v>48065.299999999996</v>
      </c>
      <c r="L225" s="1513">
        <v>1781471</v>
      </c>
      <c r="M225" s="214">
        <f t="shared" si="71"/>
        <v>2392729.6000000001</v>
      </c>
      <c r="N225" s="1513">
        <v>-484449</v>
      </c>
      <c r="O225" s="214">
        <f t="shared" si="86"/>
        <v>1908280.6</v>
      </c>
      <c r="P225" s="214">
        <f t="shared" si="85"/>
        <v>2250533.4</v>
      </c>
      <c r="S225" s="667"/>
    </row>
    <row r="226" spans="1:19" ht="10.9" customHeight="1" thickBot="1" x14ac:dyDescent="0.25">
      <c r="A226" s="861" t="s">
        <v>2729</v>
      </c>
      <c r="B226" s="1120" t="s">
        <v>557</v>
      </c>
      <c r="C226" s="1493">
        <v>342571.3</v>
      </c>
      <c r="D226" s="1493">
        <v>12304.1</v>
      </c>
      <c r="E226" s="1493">
        <f t="shared" si="68"/>
        <v>354875.39999999997</v>
      </c>
      <c r="F226" s="1493">
        <v>80916.600000000006</v>
      </c>
      <c r="G226" s="1493">
        <v>498615.5</v>
      </c>
      <c r="H226" s="1493">
        <f t="shared" si="69"/>
        <v>579532.1</v>
      </c>
      <c r="I226" s="1493">
        <v>7629.3</v>
      </c>
      <c r="J226" s="1493">
        <v>40631.800000000003</v>
      </c>
      <c r="K226" s="1493">
        <f t="shared" si="70"/>
        <v>48261.100000000006</v>
      </c>
      <c r="L226" s="1493">
        <v>1785976</v>
      </c>
      <c r="M226" s="1493">
        <f t="shared" si="71"/>
        <v>2413769.2000000002</v>
      </c>
      <c r="N226" s="1493">
        <v>-486779.1</v>
      </c>
      <c r="O226" s="1493">
        <f t="shared" ref="O226" si="87">M226+N226</f>
        <v>1926990.1</v>
      </c>
      <c r="P226" s="1493">
        <f t="shared" ref="P226" si="88">E226+O226</f>
        <v>2281865.5</v>
      </c>
      <c r="Q226" s="154"/>
      <c r="S226" s="667"/>
    </row>
    <row r="227" spans="1:19" x14ac:dyDescent="0.2">
      <c r="A227" s="516" t="s">
        <v>194</v>
      </c>
      <c r="B227" s="516"/>
      <c r="C227" s="2419" t="s">
        <v>2159</v>
      </c>
      <c r="D227" s="2419"/>
      <c r="E227" s="2419"/>
      <c r="F227" s="2419"/>
      <c r="G227" s="2419"/>
      <c r="H227" s="2419"/>
      <c r="I227" s="2419"/>
      <c r="J227" s="698" t="s">
        <v>3068</v>
      </c>
      <c r="K227" s="2419" t="s">
        <v>997</v>
      </c>
      <c r="L227" s="2419"/>
      <c r="M227" s="2419"/>
      <c r="N227" s="2419"/>
      <c r="O227" s="2419"/>
      <c r="P227" s="2419"/>
      <c r="Q227" s="452"/>
    </row>
    <row r="228" spans="1:19" x14ac:dyDescent="0.2">
      <c r="A228" s="34"/>
      <c r="B228" s="34"/>
      <c r="C228" s="2416" t="s">
        <v>1278</v>
      </c>
      <c r="D228" s="2416"/>
      <c r="E228" s="2416"/>
      <c r="F228" s="622"/>
      <c r="G228" s="1023"/>
      <c r="H228" s="1023" t="s">
        <v>1294</v>
      </c>
      <c r="I228" s="622"/>
      <c r="K228" s="2417" t="s">
        <v>1204</v>
      </c>
      <c r="L228" s="2417"/>
      <c r="M228" s="2417"/>
      <c r="N228" s="2417"/>
      <c r="O228" s="2417"/>
      <c r="P228" s="2417"/>
      <c r="Q228" s="154"/>
    </row>
    <row r="229" spans="1:19" x14ac:dyDescent="0.2">
      <c r="C229" s="1366"/>
      <c r="D229" s="1366"/>
      <c r="E229" s="1366"/>
      <c r="F229" s="1038"/>
      <c r="G229" s="1038"/>
      <c r="H229" s="1038"/>
      <c r="I229" s="1363"/>
      <c r="J229" s="42" t="s">
        <v>195</v>
      </c>
      <c r="K229" s="2418" t="s">
        <v>1205</v>
      </c>
      <c r="L229" s="2418"/>
      <c r="M229" s="2418"/>
      <c r="N229" s="2418"/>
      <c r="O229" s="2418"/>
      <c r="Q229" s="154"/>
    </row>
    <row r="230" spans="1:19" x14ac:dyDescent="0.2">
      <c r="G230" s="1038"/>
      <c r="H230" s="1038"/>
      <c r="K230" s="35"/>
      <c r="M230" s="35"/>
      <c r="N230" s="35"/>
      <c r="O230" s="35"/>
      <c r="P230" s="35"/>
      <c r="Q230" s="154"/>
    </row>
    <row r="231" spans="1:19" x14ac:dyDescent="0.2">
      <c r="D231" s="214"/>
      <c r="E231" s="214"/>
      <c r="F231" s="214"/>
      <c r="G231" s="1038"/>
      <c r="H231" s="1038"/>
      <c r="I231" s="35"/>
      <c r="J231" s="35"/>
      <c r="K231" s="35"/>
      <c r="L231" s="35"/>
      <c r="M231" s="35"/>
      <c r="N231" s="35"/>
      <c r="O231" s="35"/>
      <c r="P231" s="35"/>
    </row>
    <row r="232" spans="1:19" x14ac:dyDescent="0.2">
      <c r="D232" s="214"/>
      <c r="E232" s="214"/>
      <c r="F232" s="214"/>
      <c r="G232" s="214"/>
      <c r="H232" s="214"/>
      <c r="I232" s="35"/>
      <c r="J232" s="35"/>
      <c r="K232" s="35"/>
      <c r="N232" s="35"/>
      <c r="O232" s="35"/>
      <c r="P232" s="35"/>
    </row>
    <row r="233" spans="1:19" x14ac:dyDescent="0.2">
      <c r="F233" s="35"/>
      <c r="G233" s="1038"/>
      <c r="H233" s="1038"/>
      <c r="I233" s="35"/>
      <c r="J233" s="35"/>
      <c r="L233" s="35"/>
      <c r="M233" s="35"/>
      <c r="N233" s="35"/>
      <c r="O233" s="35"/>
      <c r="P233" s="35"/>
    </row>
    <row r="234" spans="1:19" x14ac:dyDescent="0.2"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</row>
    <row r="235" spans="1:19" x14ac:dyDescent="0.2"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</row>
    <row r="236" spans="1:19" x14ac:dyDescent="0.2"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</row>
    <row r="237" spans="1:19" x14ac:dyDescent="0.2">
      <c r="C237" s="35"/>
      <c r="E237" s="82"/>
      <c r="H237" s="1038"/>
      <c r="I237" s="35"/>
      <c r="J237" s="35"/>
      <c r="L237" s="35"/>
      <c r="M237" s="82"/>
      <c r="N237" s="82"/>
    </row>
    <row r="238" spans="1:19" x14ac:dyDescent="0.2">
      <c r="H238" s="1038"/>
      <c r="K238" s="35"/>
      <c r="L238" s="82"/>
      <c r="M238" s="35"/>
      <c r="N238" s="82"/>
    </row>
    <row r="239" spans="1:19" x14ac:dyDescent="0.2">
      <c r="H239" s="1038"/>
      <c r="K239" s="35"/>
    </row>
    <row r="240" spans="1:19" x14ac:dyDescent="0.2">
      <c r="H240" s="1038"/>
    </row>
    <row r="241" spans="3:16" x14ac:dyDescent="0.2">
      <c r="H241" s="1038"/>
      <c r="M241" s="35"/>
      <c r="N241" s="82"/>
    </row>
    <row r="242" spans="3:16" x14ac:dyDescent="0.2">
      <c r="H242" s="1038"/>
    </row>
    <row r="243" spans="3:16" x14ac:dyDescent="0.2">
      <c r="C243" s="35"/>
      <c r="D243" s="35"/>
      <c r="E243" s="35"/>
      <c r="F243" s="35"/>
      <c r="G243" s="35"/>
      <c r="H243" s="1038"/>
      <c r="I243" s="35"/>
      <c r="J243" s="35"/>
      <c r="K243" s="35"/>
      <c r="L243" s="35"/>
      <c r="M243" s="35"/>
      <c r="N243" s="35"/>
      <c r="O243" s="35"/>
      <c r="P243" s="35"/>
    </row>
    <row r="244" spans="3:16" x14ac:dyDescent="0.2">
      <c r="C244" s="35"/>
      <c r="D244" s="35"/>
      <c r="E244" s="35"/>
      <c r="F244" s="35"/>
      <c r="G244" s="35"/>
      <c r="H244" s="1038"/>
      <c r="I244" s="35"/>
      <c r="J244" s="35"/>
      <c r="K244" s="35"/>
      <c r="L244" s="35"/>
      <c r="M244" s="35"/>
      <c r="N244" s="35"/>
      <c r="O244" s="35"/>
      <c r="P244" s="35"/>
    </row>
    <row r="245" spans="3:16" x14ac:dyDescent="0.2">
      <c r="C245" s="35"/>
      <c r="D245" s="35"/>
      <c r="E245" s="35"/>
      <c r="F245" s="35"/>
      <c r="G245" s="35"/>
      <c r="H245" s="1038"/>
      <c r="I245" s="35"/>
      <c r="J245" s="35"/>
      <c r="K245" s="35"/>
      <c r="L245" s="35"/>
      <c r="M245" s="35"/>
      <c r="N245" s="35"/>
      <c r="O245" s="35"/>
      <c r="P245" s="35"/>
    </row>
    <row r="246" spans="3:16" x14ac:dyDescent="0.2">
      <c r="C246" s="35"/>
      <c r="D246" s="35"/>
      <c r="E246" s="35"/>
      <c r="F246" s="35"/>
      <c r="G246" s="35"/>
      <c r="H246" s="1038"/>
      <c r="I246" s="35"/>
      <c r="J246" s="35"/>
      <c r="K246" s="35"/>
      <c r="L246" s="35"/>
      <c r="M246" s="35"/>
      <c r="N246" s="35"/>
      <c r="O246" s="35"/>
      <c r="P246" s="35"/>
    </row>
    <row r="247" spans="3:16" x14ac:dyDescent="0.2">
      <c r="C247" s="35"/>
      <c r="D247" s="35"/>
      <c r="E247" s="35"/>
      <c r="F247" s="35"/>
      <c r="G247" s="35"/>
      <c r="H247" s="1038"/>
      <c r="I247" s="35"/>
      <c r="J247" s="35"/>
      <c r="K247" s="35"/>
      <c r="L247" s="35"/>
      <c r="M247" s="35"/>
      <c r="N247" s="35"/>
      <c r="O247" s="35"/>
      <c r="P247" s="35"/>
    </row>
    <row r="248" spans="3:16" x14ac:dyDescent="0.2">
      <c r="C248" s="35"/>
      <c r="D248" s="35"/>
      <c r="E248" s="35"/>
      <c r="F248" s="35"/>
      <c r="G248" s="35"/>
      <c r="H248" s="1038"/>
      <c r="I248" s="35"/>
      <c r="J248" s="35"/>
      <c r="K248" s="35"/>
      <c r="L248" s="35"/>
      <c r="M248" s="35"/>
      <c r="N248" s="35"/>
      <c r="O248" s="35"/>
      <c r="P248" s="35"/>
    </row>
    <row r="249" spans="3:16" x14ac:dyDescent="0.2">
      <c r="C249" s="35"/>
      <c r="D249" s="35"/>
      <c r="E249" s="35"/>
      <c r="F249" s="35"/>
      <c r="G249" s="35"/>
      <c r="H249" s="1038"/>
      <c r="I249" s="35"/>
      <c r="J249" s="35"/>
      <c r="K249" s="35"/>
      <c r="L249" s="35"/>
      <c r="M249" s="35"/>
      <c r="N249" s="35"/>
      <c r="O249" s="35"/>
      <c r="P249" s="35"/>
    </row>
    <row r="250" spans="3:16" x14ac:dyDescent="0.2">
      <c r="C250" s="35"/>
      <c r="D250" s="35"/>
      <c r="E250" s="35"/>
      <c r="F250" s="35"/>
      <c r="G250" s="35"/>
      <c r="H250" s="1038"/>
      <c r="I250" s="35"/>
      <c r="J250" s="35"/>
      <c r="K250" s="35"/>
      <c r="L250" s="35"/>
      <c r="M250" s="35"/>
      <c r="N250" s="35"/>
      <c r="O250" s="35"/>
      <c r="P250" s="35"/>
    </row>
    <row r="251" spans="3:16" x14ac:dyDescent="0.2">
      <c r="C251" s="35"/>
      <c r="D251" s="35"/>
      <c r="E251" s="35"/>
      <c r="F251" s="35"/>
      <c r="G251" s="35"/>
      <c r="H251" s="1038"/>
      <c r="I251" s="35"/>
      <c r="J251" s="35"/>
      <c r="K251" s="35"/>
      <c r="L251" s="35"/>
      <c r="M251" s="35"/>
      <c r="N251" s="35"/>
      <c r="O251" s="35"/>
      <c r="P251" s="35"/>
    </row>
    <row r="252" spans="3:16" x14ac:dyDescent="0.2"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</row>
    <row r="253" spans="3:16" x14ac:dyDescent="0.2"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</sheetData>
  <customSheetViews>
    <customSheetView guid="{A374FC54-96E3-45F0-9C12-8450400C12DF}" scale="170">
      <pane xSplit="1" ySplit="8" topLeftCell="D45" activePane="bottomRight" state="frozen"/>
      <selection pane="bottomRight" activeCell="L47" sqref="L47:L49"/>
      <pageMargins left="0.62992125984252001" right="0.511811023622047" top="0.261811024" bottom="0" header="0" footer="0.196850393700787"/>
      <pageSetup paperSize="132" firstPageNumber="12" orientation="portrait" useFirstPageNumber="1" r:id="rId1"/>
      <headerFooter alignWithMargins="0">
        <oddFooter>&amp;C&amp;"Times New Roman,Regular"&amp;8&amp;P</oddFooter>
      </headerFooter>
    </customSheetView>
  </customSheetViews>
  <mergeCells count="30">
    <mergeCell ref="C228:E228"/>
    <mergeCell ref="K228:P228"/>
    <mergeCell ref="K229:O229"/>
    <mergeCell ref="K227:P227"/>
    <mergeCell ref="C227:I227"/>
    <mergeCell ref="A1:D1"/>
    <mergeCell ref="F4:K4"/>
    <mergeCell ref="H6:H7"/>
    <mergeCell ref="E1:G1"/>
    <mergeCell ref="M4:M7"/>
    <mergeCell ref="F5:H5"/>
    <mergeCell ref="F6:F7"/>
    <mergeCell ref="G6:G7"/>
    <mergeCell ref="C3:E3"/>
    <mergeCell ref="E4:E7"/>
    <mergeCell ref="C4:C7"/>
    <mergeCell ref="I5:K5"/>
    <mergeCell ref="J3:L3"/>
    <mergeCell ref="A3:A8"/>
    <mergeCell ref="K6:K7"/>
    <mergeCell ref="D4:D7"/>
    <mergeCell ref="P3:P7"/>
    <mergeCell ref="H1:I1"/>
    <mergeCell ref="N3:N7"/>
    <mergeCell ref="J1:K1"/>
    <mergeCell ref="O3:O7"/>
    <mergeCell ref="L4:L7"/>
    <mergeCell ref="I6:I7"/>
    <mergeCell ref="J6:J7"/>
    <mergeCell ref="F3:I3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XFC254"/>
  <sheetViews>
    <sheetView zoomScale="130" zoomScaleNormal="130" workbookViewId="0">
      <pane xSplit="1" ySplit="5" topLeftCell="D6" activePane="bottomRight" state="frozen"/>
      <selection pane="topRight" activeCell="B1" sqref="B1"/>
      <selection pane="bottomLeft" activeCell="A6" sqref="A6"/>
      <selection pane="bottomRight" activeCell="M3" sqref="M3"/>
    </sheetView>
  </sheetViews>
  <sheetFormatPr defaultColWidth="9.140625" defaultRowHeight="12.75" x14ac:dyDescent="0.2"/>
  <cols>
    <col min="1" max="1" width="11.140625" style="160" customWidth="1"/>
    <col min="2" max="2" width="11.140625" style="410" customWidth="1"/>
    <col min="3" max="3" width="13.7109375" style="410" customWidth="1"/>
    <col min="4" max="4" width="12.85546875" style="410" customWidth="1"/>
    <col min="5" max="5" width="13" style="410" customWidth="1"/>
    <col min="6" max="6" width="13.42578125" style="410" customWidth="1"/>
    <col min="7" max="7" width="13" style="410" customWidth="1"/>
    <col min="8" max="9" width="12.7109375" style="410" customWidth="1"/>
    <col min="10" max="11" width="13.28515625" style="410" customWidth="1"/>
    <col min="12" max="12" width="14.42578125" style="410" customWidth="1"/>
    <col min="13" max="13" width="12.140625" style="410" customWidth="1"/>
    <col min="14" max="14" width="10.7109375" style="410" customWidth="1"/>
    <col min="15" max="15" width="11" style="410" customWidth="1"/>
    <col min="16" max="16384" width="9.140625" style="410"/>
  </cols>
  <sheetData>
    <row r="1" spans="1:15" s="155" customFormat="1" ht="15.75" x14ac:dyDescent="0.25">
      <c r="A1" s="160"/>
      <c r="E1" s="2431" t="s">
        <v>780</v>
      </c>
      <c r="F1" s="2431"/>
      <c r="G1" s="2431"/>
      <c r="H1" s="2433" t="s">
        <v>426</v>
      </c>
      <c r="I1" s="2433"/>
      <c r="J1" s="2433"/>
      <c r="L1" s="1688" t="s">
        <v>323</v>
      </c>
    </row>
    <row r="2" spans="1:15" s="157" customFormat="1" ht="10.5" customHeight="1" x14ac:dyDescent="0.25">
      <c r="A2" s="160"/>
      <c r="G2" s="1370"/>
      <c r="L2" s="1689" t="s">
        <v>214</v>
      </c>
      <c r="N2" s="155"/>
      <c r="O2" s="155"/>
    </row>
    <row r="3" spans="1:15" s="159" customFormat="1" ht="22.5" customHeight="1" x14ac:dyDescent="0.25">
      <c r="A3" s="2420" t="s">
        <v>885</v>
      </c>
      <c r="B3" s="2423" t="s">
        <v>3061</v>
      </c>
      <c r="C3" s="2429" t="s">
        <v>196</v>
      </c>
      <c r="D3" s="2429" t="s">
        <v>887</v>
      </c>
      <c r="E3" s="2432" t="s">
        <v>376</v>
      </c>
      <c r="F3" s="2432"/>
      <c r="G3" s="2432"/>
      <c r="H3" s="2432" t="s">
        <v>378</v>
      </c>
      <c r="I3" s="2432"/>
      <c r="J3" s="2432"/>
      <c r="K3" s="2429" t="s">
        <v>746</v>
      </c>
      <c r="L3" s="2429" t="s">
        <v>886</v>
      </c>
      <c r="N3" s="155"/>
      <c r="O3" s="155"/>
    </row>
    <row r="4" spans="1:15" s="159" customFormat="1" ht="22.5" customHeight="1" x14ac:dyDescent="0.25">
      <c r="A4" s="2421"/>
      <c r="B4" s="2424"/>
      <c r="C4" s="2429"/>
      <c r="D4" s="2429"/>
      <c r="E4" s="1720" t="s">
        <v>377</v>
      </c>
      <c r="F4" s="1720" t="s">
        <v>471</v>
      </c>
      <c r="G4" s="1720" t="s">
        <v>470</v>
      </c>
      <c r="H4" s="1720" t="s">
        <v>377</v>
      </c>
      <c r="I4" s="1720" t="s">
        <v>471</v>
      </c>
      <c r="J4" s="1720" t="s">
        <v>470</v>
      </c>
      <c r="K4" s="2429"/>
      <c r="L4" s="2429"/>
      <c r="N4" s="155"/>
      <c r="O4" s="155"/>
    </row>
    <row r="5" spans="1:15" s="159" customFormat="1" ht="22.5" customHeight="1" x14ac:dyDescent="0.25">
      <c r="A5" s="2422"/>
      <c r="B5" s="2425"/>
      <c r="C5" s="1727">
        <v>1</v>
      </c>
      <c r="D5" s="1727">
        <v>2</v>
      </c>
      <c r="E5" s="1720">
        <v>3</v>
      </c>
      <c r="F5" s="1720">
        <v>4</v>
      </c>
      <c r="G5" s="1720">
        <v>5</v>
      </c>
      <c r="H5" s="1720">
        <v>6</v>
      </c>
      <c r="I5" s="1720">
        <v>7</v>
      </c>
      <c r="J5" s="1720">
        <v>8</v>
      </c>
      <c r="K5" s="1727">
        <v>9</v>
      </c>
      <c r="L5" s="1727">
        <v>10</v>
      </c>
      <c r="N5" s="155"/>
      <c r="O5" s="155"/>
    </row>
    <row r="6" spans="1:15" s="2108" customFormat="1" ht="22.5" customHeight="1" x14ac:dyDescent="0.25">
      <c r="A6" s="2104"/>
      <c r="B6" s="2105"/>
      <c r="C6" s="2106"/>
      <c r="D6" s="2106"/>
      <c r="E6" s="2107"/>
      <c r="F6" s="2107"/>
      <c r="G6" s="2107"/>
      <c r="H6" s="2107"/>
      <c r="I6" s="2107"/>
      <c r="J6" s="2107"/>
      <c r="K6" s="2106"/>
      <c r="L6" s="2106"/>
      <c r="N6" s="2109"/>
      <c r="O6" s="2109"/>
    </row>
    <row r="7" spans="1:15" s="2108" customFormat="1" ht="22.5" customHeight="1" x14ac:dyDescent="0.25">
      <c r="A7" s="2104"/>
      <c r="B7" s="2105"/>
      <c r="C7" s="2106"/>
      <c r="D7" s="2106"/>
      <c r="E7" s="2107"/>
      <c r="F7" s="2107"/>
      <c r="G7" s="2107"/>
      <c r="H7" s="2107"/>
      <c r="I7" s="2107"/>
      <c r="J7" s="2107"/>
      <c r="K7" s="2106"/>
      <c r="L7" s="2106"/>
      <c r="N7" s="2109"/>
      <c r="O7" s="2109"/>
    </row>
    <row r="8" spans="1:15" s="2108" customFormat="1" ht="22.5" customHeight="1" x14ac:dyDescent="0.25">
      <c r="A8" s="2104"/>
      <c r="B8" s="2105"/>
      <c r="C8" s="2106"/>
      <c r="D8" s="2106"/>
      <c r="E8" s="2107"/>
      <c r="F8" s="2107"/>
      <c r="G8" s="2107"/>
      <c r="H8" s="2107"/>
      <c r="I8" s="2107"/>
      <c r="J8" s="2107"/>
      <c r="K8" s="2106"/>
      <c r="L8" s="2106"/>
      <c r="N8" s="2109"/>
      <c r="O8" s="2109"/>
    </row>
    <row r="9" spans="1:15" s="2108" customFormat="1" ht="22.5" customHeight="1" x14ac:dyDescent="0.25">
      <c r="A9" s="23" t="s">
        <v>545</v>
      </c>
      <c r="B9" s="8"/>
      <c r="C9" s="2071">
        <f>21948.8-50</f>
        <v>21898.799999999999</v>
      </c>
      <c r="D9" s="2037">
        <f>73.29+0.2</f>
        <v>73.490000000000009</v>
      </c>
      <c r="E9" s="2037">
        <v>2033.48</v>
      </c>
      <c r="F9" s="2037">
        <v>4100.6000000000004</v>
      </c>
      <c r="G9" s="2037">
        <v>6134.09</v>
      </c>
      <c r="H9" s="2037">
        <v>6910.91</v>
      </c>
      <c r="I9" s="2037">
        <v>63246.81</v>
      </c>
      <c r="J9" s="2037">
        <v>70157.73</v>
      </c>
      <c r="K9" s="2037">
        <v>28521.78</v>
      </c>
      <c r="L9" s="2037">
        <v>126785.9</v>
      </c>
      <c r="N9" s="2109"/>
      <c r="O9" s="2109"/>
    </row>
    <row r="10" spans="1:15" s="2108" customFormat="1" ht="22.5" customHeight="1" x14ac:dyDescent="0.25">
      <c r="A10" s="1436" t="s">
        <v>546</v>
      </c>
      <c r="B10" s="626"/>
      <c r="C10" s="2073">
        <f>25632.7-50</f>
        <v>25582.7</v>
      </c>
      <c r="D10" s="2110">
        <f>51.27+0.1</f>
        <v>51.370000000000005</v>
      </c>
      <c r="E10" s="2110">
        <v>2484.4499999999998</v>
      </c>
      <c r="F10" s="2110">
        <v>3777.62</v>
      </c>
      <c r="G10" s="2110">
        <v>6262.07</v>
      </c>
      <c r="H10" s="2110">
        <v>8703.4699999999993</v>
      </c>
      <c r="I10" s="2110">
        <v>76915.679999999993</v>
      </c>
      <c r="J10" s="2110">
        <v>85619.16</v>
      </c>
      <c r="K10" s="2110">
        <v>31321.98</v>
      </c>
      <c r="L10" s="2110">
        <v>148837.29999999999</v>
      </c>
      <c r="N10" s="2109"/>
      <c r="O10" s="2109"/>
    </row>
    <row r="11" spans="1:15" s="2108" customFormat="1" ht="22.5" customHeight="1" x14ac:dyDescent="0.25">
      <c r="A11" s="23" t="s">
        <v>551</v>
      </c>
      <c r="B11" s="8"/>
      <c r="C11" s="2071">
        <v>31624.1</v>
      </c>
      <c r="D11" s="2037">
        <v>36.17</v>
      </c>
      <c r="E11" s="2037">
        <v>2352.63</v>
      </c>
      <c r="F11" s="2037">
        <v>3881.33</v>
      </c>
      <c r="G11" s="2037">
        <v>6233.97</v>
      </c>
      <c r="H11" s="2037">
        <v>12756.69</v>
      </c>
      <c r="I11" s="2037">
        <v>94248.94</v>
      </c>
      <c r="J11" s="2037">
        <v>107005.64</v>
      </c>
      <c r="K11" s="2037">
        <v>34187.21</v>
      </c>
      <c r="L11" s="2037">
        <v>179087.1</v>
      </c>
      <c r="N11" s="2109"/>
      <c r="O11" s="2109"/>
    </row>
    <row r="12" spans="1:15" s="2108" customFormat="1" ht="22.5" customHeight="1" x14ac:dyDescent="0.25">
      <c r="A12" s="1436" t="s">
        <v>560</v>
      </c>
      <c r="B12" s="626"/>
      <c r="C12" s="2110">
        <v>36040</v>
      </c>
      <c r="D12" s="2110">
        <v>22.2</v>
      </c>
      <c r="E12" s="2110">
        <v>3411.63</v>
      </c>
      <c r="F12" s="2110">
        <v>5123.1400000000003</v>
      </c>
      <c r="G12" s="2110">
        <v>8534.77</v>
      </c>
      <c r="H12" s="2110">
        <v>14021.55</v>
      </c>
      <c r="I12" s="2110">
        <v>110174.46</v>
      </c>
      <c r="J12" s="2110">
        <v>124196.02</v>
      </c>
      <c r="K12" s="2110">
        <v>36879.480000000003</v>
      </c>
      <c r="L12" s="2110">
        <v>205672.5</v>
      </c>
      <c r="N12" s="2109"/>
      <c r="O12" s="2109"/>
    </row>
    <row r="13" spans="1:15" s="2108" customFormat="1" ht="22.5" customHeight="1" x14ac:dyDescent="0.25">
      <c r="A13" s="23" t="s">
        <v>325</v>
      </c>
      <c r="B13" s="8"/>
      <c r="C13" s="2037">
        <v>46909.1</v>
      </c>
      <c r="D13" s="2037">
        <v>18.8</v>
      </c>
      <c r="E13" s="2037">
        <v>3107.2</v>
      </c>
      <c r="F13" s="2037">
        <v>6192.5</v>
      </c>
      <c r="G13" s="2037">
        <v>9299.7000000000007</v>
      </c>
      <c r="H13" s="2037">
        <v>8506.2999999999993</v>
      </c>
      <c r="I13" s="2037">
        <v>142152.20000000001</v>
      </c>
      <c r="J13" s="2037">
        <v>150658.6</v>
      </c>
      <c r="K13" s="2037">
        <v>41791</v>
      </c>
      <c r="L13" s="2037">
        <v>248677.2</v>
      </c>
      <c r="N13" s="2109"/>
      <c r="O13" s="2109"/>
    </row>
    <row r="14" spans="1:15" s="2108" customFormat="1" ht="22.5" customHeight="1" x14ac:dyDescent="0.25">
      <c r="A14" s="1436" t="s">
        <v>85</v>
      </c>
      <c r="B14" s="626"/>
      <c r="C14" s="2073">
        <v>58185.2</v>
      </c>
      <c r="D14" s="2073">
        <v>15.4</v>
      </c>
      <c r="E14" s="2110">
        <v>3555.3</v>
      </c>
      <c r="F14" s="2073">
        <v>8210.1</v>
      </c>
      <c r="G14" s="2110">
        <v>11765.400000000001</v>
      </c>
      <c r="H14" s="2110">
        <v>8869</v>
      </c>
      <c r="I14" s="2073">
        <v>166223.4</v>
      </c>
      <c r="J14" s="2110">
        <v>175092.4</v>
      </c>
      <c r="K14" s="2110">
        <v>43494</v>
      </c>
      <c r="L14" s="2110">
        <v>288552.40000000002</v>
      </c>
      <c r="N14" s="2109"/>
      <c r="O14" s="2109"/>
    </row>
    <row r="15" spans="1:15" s="2108" customFormat="1" ht="22.5" customHeight="1" x14ac:dyDescent="0.25">
      <c r="A15" s="160" t="s">
        <v>81</v>
      </c>
      <c r="B15" s="154"/>
      <c r="C15" s="2072">
        <v>54392.3</v>
      </c>
      <c r="D15" s="2072">
        <v>12.3</v>
      </c>
      <c r="E15" s="2111">
        <v>4028.8</v>
      </c>
      <c r="F15" s="2072">
        <v>9474.7999999999993</v>
      </c>
      <c r="G15" s="2111">
        <v>13503.599999999999</v>
      </c>
      <c r="H15" s="2111">
        <v>11019.6</v>
      </c>
      <c r="I15" s="2072">
        <v>205147.3</v>
      </c>
      <c r="J15" s="2111">
        <v>216166.9</v>
      </c>
      <c r="K15" s="2111">
        <v>56138.400000000001</v>
      </c>
      <c r="L15" s="2111">
        <v>340213.5</v>
      </c>
      <c r="N15" s="2109"/>
      <c r="O15" s="2109"/>
    </row>
    <row r="16" spans="1:15" s="2108" customFormat="1" ht="22.5" customHeight="1" x14ac:dyDescent="0.25">
      <c r="A16" s="1436" t="s">
        <v>189</v>
      </c>
      <c r="B16" s="626"/>
      <c r="C16" s="2073">
        <v>73436.100000000006</v>
      </c>
      <c r="D16" s="2073">
        <v>9.4</v>
      </c>
      <c r="E16" s="2110">
        <v>4611.8999999999996</v>
      </c>
      <c r="F16" s="2073">
        <v>9681.2999999999993</v>
      </c>
      <c r="G16" s="2110">
        <v>14293.199999999999</v>
      </c>
      <c r="H16" s="2110">
        <v>14755.8</v>
      </c>
      <c r="I16" s="2073">
        <v>261545.2</v>
      </c>
      <c r="J16" s="2110">
        <v>276301</v>
      </c>
      <c r="K16" s="2110">
        <v>69486.2</v>
      </c>
      <c r="L16" s="2110">
        <v>433525.9</v>
      </c>
      <c r="N16" s="2109"/>
      <c r="O16" s="2109"/>
    </row>
    <row r="17" spans="1:16383" s="2108" customFormat="1" ht="22.5" customHeight="1" x14ac:dyDescent="0.25">
      <c r="A17" s="793" t="s">
        <v>696</v>
      </c>
      <c r="B17" s="9"/>
      <c r="C17" s="2034">
        <v>92027.9</v>
      </c>
      <c r="D17" s="2034">
        <v>5.8</v>
      </c>
      <c r="E17" s="2034">
        <v>5661.3</v>
      </c>
      <c r="F17" s="2034">
        <v>11158.6</v>
      </c>
      <c r="G17" s="2034">
        <v>16819.900000000001</v>
      </c>
      <c r="H17" s="2034">
        <v>12738.9</v>
      </c>
      <c r="I17" s="2034">
        <v>320176.8</v>
      </c>
      <c r="J17" s="2034">
        <v>332915.7</v>
      </c>
      <c r="K17" s="2034">
        <v>76566.100000000006</v>
      </c>
      <c r="L17" s="2112">
        <v>518335.4</v>
      </c>
      <c r="N17" s="2109"/>
      <c r="O17" s="2109"/>
    </row>
    <row r="18" spans="1:16383" s="2108" customFormat="1" ht="22.5" customHeight="1" x14ac:dyDescent="0.25">
      <c r="A18" s="2104" t="s">
        <v>804</v>
      </c>
      <c r="B18" s="2105"/>
      <c r="C18" s="2113">
        <v>110124.7</v>
      </c>
      <c r="D18" s="2113">
        <v>2.2999999999999998</v>
      </c>
      <c r="E18" s="2114">
        <v>3509.2</v>
      </c>
      <c r="F18" s="2114">
        <v>14227.8</v>
      </c>
      <c r="G18" s="2114">
        <v>17737</v>
      </c>
      <c r="H18" s="2114">
        <v>5943.6</v>
      </c>
      <c r="I18" s="2114">
        <v>354128.7</v>
      </c>
      <c r="J18" s="2114">
        <v>360072.3</v>
      </c>
      <c r="K18" s="2113">
        <v>83800.7</v>
      </c>
      <c r="L18" s="2113">
        <v>571737</v>
      </c>
      <c r="N18" s="2109"/>
      <c r="O18" s="2109"/>
    </row>
    <row r="19" spans="1:16383" ht="12.6" customHeight="1" x14ac:dyDescent="0.25">
      <c r="A19" s="211" t="s">
        <v>978</v>
      </c>
      <c r="B19" s="1036"/>
      <c r="C19" s="1922">
        <v>117529.4</v>
      </c>
      <c r="D19" s="1922">
        <v>0</v>
      </c>
      <c r="E19" s="1922">
        <v>5279.8</v>
      </c>
      <c r="F19" s="1922">
        <v>17064.3</v>
      </c>
      <c r="G19" s="1923">
        <v>22344.1</v>
      </c>
      <c r="H19" s="1922">
        <v>7457.2</v>
      </c>
      <c r="I19" s="1922">
        <v>396366.5</v>
      </c>
      <c r="J19" s="1923">
        <v>403823.7</v>
      </c>
      <c r="K19" s="1922">
        <v>94209.1</v>
      </c>
      <c r="L19" s="1923">
        <v>637906.29999999993</v>
      </c>
      <c r="N19" s="155"/>
      <c r="O19" s="155"/>
      <c r="P19" s="159"/>
      <c r="Q19" s="159"/>
    </row>
    <row r="20" spans="1:16383" s="331" customFormat="1" ht="12.6" customHeight="1" x14ac:dyDescent="0.25">
      <c r="A20" s="213" t="s">
        <v>1029</v>
      </c>
      <c r="B20" s="212"/>
      <c r="C20" s="1922">
        <v>110257.3</v>
      </c>
      <c r="D20" s="1922">
        <v>0</v>
      </c>
      <c r="E20" s="1922">
        <v>5366.6</v>
      </c>
      <c r="F20" s="1922">
        <v>21902.2</v>
      </c>
      <c r="G20" s="1922">
        <v>27268.799999999999</v>
      </c>
      <c r="H20" s="1922">
        <v>11303.2</v>
      </c>
      <c r="I20" s="1922">
        <v>447518.7</v>
      </c>
      <c r="J20" s="1922">
        <v>458821.8</v>
      </c>
      <c r="K20" s="1922">
        <v>105178.6</v>
      </c>
      <c r="L20" s="1922">
        <v>701526.5</v>
      </c>
      <c r="N20" s="155"/>
      <c r="O20" s="155"/>
      <c r="P20" s="471"/>
      <c r="Q20" s="471"/>
    </row>
    <row r="21" spans="1:16383" s="331" customFormat="1" ht="12.6" customHeight="1" x14ac:dyDescent="0.25">
      <c r="A21" s="269" t="s">
        <v>1150</v>
      </c>
      <c r="B21" s="268"/>
      <c r="C21" s="1924">
        <v>114219.6</v>
      </c>
      <c r="D21" s="1924">
        <v>0</v>
      </c>
      <c r="E21" s="1924">
        <v>6923.8</v>
      </c>
      <c r="F21" s="1924">
        <v>26923.7</v>
      </c>
      <c r="G21" s="1924">
        <v>33847.5</v>
      </c>
      <c r="H21" s="1924">
        <v>9127.2999999999993</v>
      </c>
      <c r="I21" s="1924">
        <v>531340.4</v>
      </c>
      <c r="J21" s="1924">
        <v>540467.70000000007</v>
      </c>
      <c r="K21" s="1924">
        <v>112745.2</v>
      </c>
      <c r="L21" s="1924">
        <v>801280</v>
      </c>
      <c r="N21" s="155"/>
      <c r="O21" s="155"/>
      <c r="P21" s="155"/>
      <c r="Q21" s="155"/>
    </row>
    <row r="22" spans="1:16383" s="331" customFormat="1" ht="12.6" customHeight="1" x14ac:dyDescent="0.25">
      <c r="A22" s="213" t="s">
        <v>1174</v>
      </c>
      <c r="B22" s="212"/>
      <c r="C22" s="1922">
        <v>97333.5</v>
      </c>
      <c r="D22" s="1922">
        <v>0</v>
      </c>
      <c r="E22" s="1922">
        <v>8161.5</v>
      </c>
      <c r="F22" s="1922">
        <v>33950.300000000003</v>
      </c>
      <c r="G22" s="1922">
        <v>42111.8</v>
      </c>
      <c r="H22" s="1922">
        <v>9118.7000000000007</v>
      </c>
      <c r="I22" s="1922">
        <v>612395</v>
      </c>
      <c r="J22" s="1922">
        <v>621513.69999999995</v>
      </c>
      <c r="K22" s="1922">
        <v>129711.2</v>
      </c>
      <c r="L22" s="1922">
        <v>890670.2</v>
      </c>
      <c r="N22" s="155"/>
      <c r="O22" s="155"/>
      <c r="P22" s="157"/>
      <c r="Q22" s="157"/>
    </row>
    <row r="23" spans="1:16383" s="331" customFormat="1" ht="12.6" customHeight="1" x14ac:dyDescent="0.25">
      <c r="A23" s="211" t="s">
        <v>1296</v>
      </c>
      <c r="B23" s="1036"/>
      <c r="C23" s="1922">
        <v>94894.9</v>
      </c>
      <c r="D23" s="1922">
        <v>0</v>
      </c>
      <c r="E23" s="1922">
        <v>8638.7999999999993</v>
      </c>
      <c r="F23" s="1922">
        <v>43216.2</v>
      </c>
      <c r="G23" s="1923">
        <v>51875.3</v>
      </c>
      <c r="H23" s="1922">
        <v>10561.3</v>
      </c>
      <c r="I23" s="1922">
        <v>714397</v>
      </c>
      <c r="J23" s="1923">
        <v>724958.3</v>
      </c>
      <c r="K23" s="1922">
        <v>149898.09999999995</v>
      </c>
      <c r="L23" s="1923">
        <v>1021626.6</v>
      </c>
      <c r="N23" s="155"/>
      <c r="O23" s="155"/>
      <c r="P23" s="159"/>
      <c r="Q23" s="159"/>
    </row>
    <row r="24" spans="1:16383" s="331" customFormat="1" ht="12.6" customHeight="1" x14ac:dyDescent="0.25">
      <c r="A24" s="213" t="s">
        <v>1404</v>
      </c>
      <c r="B24" s="212"/>
      <c r="C24" s="1922">
        <v>113273.4</v>
      </c>
      <c r="D24" s="1922">
        <v>0</v>
      </c>
      <c r="E24" s="1922">
        <v>10941.8</v>
      </c>
      <c r="F24" s="1922">
        <v>44526.6</v>
      </c>
      <c r="G24" s="1922">
        <v>55468.399999999994</v>
      </c>
      <c r="H24" s="1922">
        <v>12413.8</v>
      </c>
      <c r="I24" s="1922">
        <v>797858.7</v>
      </c>
      <c r="J24" s="1922">
        <v>810272.5</v>
      </c>
      <c r="K24" s="1922">
        <v>167870.4</v>
      </c>
      <c r="L24" s="1922">
        <v>1146884.7</v>
      </c>
      <c r="N24" s="155"/>
      <c r="O24" s="155"/>
      <c r="P24" s="159"/>
      <c r="Q24" s="159"/>
    </row>
    <row r="25" spans="1:16383" s="208" customFormat="1" ht="12.6" customHeight="1" x14ac:dyDescent="0.25">
      <c r="A25" s="269" t="s">
        <v>1484</v>
      </c>
      <c r="B25" s="268"/>
      <c r="C25" s="1924">
        <v>181150.7</v>
      </c>
      <c r="D25" s="1924">
        <v>0</v>
      </c>
      <c r="E25" s="1924">
        <v>11420.7</v>
      </c>
      <c r="F25" s="1924">
        <v>43383.4</v>
      </c>
      <c r="G25" s="1924">
        <v>54804.100000000006</v>
      </c>
      <c r="H25" s="1924">
        <v>17794.400000000001</v>
      </c>
      <c r="I25" s="1924">
        <v>875826.1</v>
      </c>
      <c r="J25" s="1924">
        <v>893620.5</v>
      </c>
      <c r="K25" s="1924">
        <v>178058.39999999991</v>
      </c>
      <c r="L25" s="1924">
        <v>1307633.7</v>
      </c>
      <c r="N25" s="155"/>
      <c r="O25" s="155"/>
      <c r="P25" s="471"/>
      <c r="Q25" s="471"/>
    </row>
    <row r="26" spans="1:16383" ht="12.6" customHeight="1" x14ac:dyDescent="0.25">
      <c r="A26" s="213" t="s">
        <v>1536</v>
      </c>
      <c r="B26" s="212"/>
      <c r="C26" s="1922">
        <v>221024.9</v>
      </c>
      <c r="D26" s="1922">
        <v>0</v>
      </c>
      <c r="E26" s="1922">
        <v>11686.7</v>
      </c>
      <c r="F26" s="1922">
        <v>44685.5</v>
      </c>
      <c r="G26" s="1922">
        <v>56372.2</v>
      </c>
      <c r="H26" s="1922">
        <v>18330.400000000001</v>
      </c>
      <c r="I26" s="1922">
        <v>944500.9</v>
      </c>
      <c r="J26" s="1922">
        <v>962831.3</v>
      </c>
      <c r="K26" s="1922">
        <v>199670.7</v>
      </c>
      <c r="L26" s="1922">
        <v>1439899.0999999999</v>
      </c>
      <c r="N26" s="155"/>
      <c r="O26" s="155"/>
      <c r="P26" s="155"/>
      <c r="Q26" s="155"/>
    </row>
    <row r="27" spans="1:16383" s="154" customFormat="1" ht="12.6" customHeight="1" x14ac:dyDescent="0.2">
      <c r="A27" s="275" t="s">
        <v>1817</v>
      </c>
      <c r="B27" s="372"/>
      <c r="C27" s="1924">
        <v>283314.5</v>
      </c>
      <c r="D27" s="1924">
        <v>0</v>
      </c>
      <c r="E27" s="1924">
        <v>11888.306285111861</v>
      </c>
      <c r="F27" s="1924">
        <v>46525.068338350975</v>
      </c>
      <c r="G27" s="1924">
        <v>58413.374623462834</v>
      </c>
      <c r="H27" s="1924">
        <v>25306.388915850399</v>
      </c>
      <c r="I27" s="1924">
        <v>1078354.71160969</v>
      </c>
      <c r="J27" s="1924">
        <v>1103661.1005255403</v>
      </c>
      <c r="K27" s="1924">
        <v>226359.92485099685</v>
      </c>
      <c r="L27" s="1924">
        <v>1671748.9</v>
      </c>
      <c r="M27" s="1438"/>
      <c r="N27" s="433"/>
      <c r="O27" s="433"/>
      <c r="P27" s="433"/>
      <c r="Q27" s="433"/>
      <c r="R27" s="433"/>
      <c r="S27" s="433"/>
      <c r="T27" s="433"/>
      <c r="U27" s="433"/>
      <c r="V27" s="433"/>
      <c r="W27" s="433"/>
      <c r="X27" s="1037"/>
      <c r="Y27" s="1438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1037"/>
      <c r="AK27" s="1438"/>
      <c r="AL27" s="433"/>
      <c r="AM27" s="433"/>
      <c r="AN27" s="433"/>
      <c r="AO27" s="433"/>
      <c r="AP27" s="433"/>
      <c r="AQ27" s="433"/>
      <c r="AR27" s="433"/>
      <c r="AS27" s="433"/>
      <c r="AT27" s="433"/>
      <c r="AU27" s="433"/>
      <c r="AV27" s="1037"/>
      <c r="AW27" s="1438"/>
      <c r="AX27" s="433"/>
      <c r="AY27" s="433"/>
      <c r="AZ27" s="433"/>
      <c r="BA27" s="433"/>
      <c r="BB27" s="433"/>
      <c r="BC27" s="433"/>
      <c r="BD27" s="433"/>
      <c r="BE27" s="433"/>
      <c r="BF27" s="433"/>
      <c r="BG27" s="433"/>
      <c r="BH27" s="1037"/>
      <c r="BI27" s="1438"/>
      <c r="BJ27" s="433"/>
      <c r="BK27" s="433"/>
      <c r="BL27" s="433"/>
      <c r="BM27" s="433"/>
      <c r="BN27" s="433"/>
      <c r="BO27" s="433"/>
      <c r="BP27" s="433"/>
      <c r="BQ27" s="433"/>
      <c r="BR27" s="433"/>
      <c r="BS27" s="433"/>
      <c r="BT27" s="1037"/>
      <c r="BU27" s="1438"/>
      <c r="BV27" s="433"/>
      <c r="BW27" s="433"/>
      <c r="BX27" s="433"/>
      <c r="BY27" s="433"/>
      <c r="BZ27" s="433"/>
      <c r="CA27" s="433"/>
      <c r="CB27" s="433"/>
      <c r="CC27" s="433"/>
      <c r="CD27" s="433"/>
      <c r="CE27" s="433"/>
      <c r="CF27" s="1037"/>
      <c r="CG27" s="1438"/>
      <c r="CH27" s="433"/>
      <c r="CI27" s="433"/>
      <c r="CJ27" s="433"/>
      <c r="CK27" s="433"/>
      <c r="CL27" s="433"/>
      <c r="CM27" s="433"/>
      <c r="CN27" s="433"/>
      <c r="CO27" s="433"/>
      <c r="CP27" s="433"/>
      <c r="CQ27" s="433"/>
      <c r="CR27" s="1037"/>
      <c r="CS27" s="1438"/>
      <c r="CT27" s="433"/>
      <c r="CU27" s="433"/>
      <c r="CV27" s="433"/>
      <c r="CW27" s="433"/>
      <c r="CX27" s="433"/>
      <c r="CY27" s="433"/>
      <c r="CZ27" s="433"/>
      <c r="DA27" s="433"/>
      <c r="DB27" s="433"/>
      <c r="DC27" s="433"/>
      <c r="DD27" s="1037"/>
      <c r="DE27" s="1438"/>
      <c r="DF27" s="433"/>
      <c r="DG27" s="433"/>
      <c r="DH27" s="433"/>
      <c r="DI27" s="433"/>
      <c r="DJ27" s="433"/>
      <c r="DK27" s="433"/>
      <c r="DL27" s="433"/>
      <c r="DM27" s="433"/>
      <c r="DN27" s="433"/>
      <c r="DO27" s="433"/>
      <c r="DP27" s="1037"/>
      <c r="DQ27" s="1438"/>
      <c r="DR27" s="433"/>
      <c r="DS27" s="433"/>
      <c r="DT27" s="433"/>
      <c r="DU27" s="433"/>
      <c r="DV27" s="433"/>
      <c r="DW27" s="433"/>
      <c r="DX27" s="433"/>
      <c r="DY27" s="433"/>
      <c r="DZ27" s="433"/>
      <c r="EA27" s="433"/>
      <c r="EB27" s="1037"/>
      <c r="EC27" s="1438"/>
      <c r="ED27" s="433"/>
      <c r="EE27" s="433"/>
      <c r="EF27" s="433"/>
      <c r="EG27" s="433"/>
      <c r="EH27" s="433"/>
      <c r="EI27" s="433"/>
      <c r="EJ27" s="433"/>
      <c r="EK27" s="433"/>
      <c r="EL27" s="433"/>
      <c r="EM27" s="433"/>
      <c r="EN27" s="1037"/>
      <c r="EO27" s="1438"/>
      <c r="EP27" s="433"/>
      <c r="EQ27" s="433"/>
      <c r="ER27" s="433"/>
      <c r="ES27" s="433"/>
      <c r="ET27" s="433"/>
      <c r="EU27" s="433"/>
      <c r="EV27" s="433"/>
      <c r="EW27" s="433"/>
      <c r="EX27" s="433"/>
      <c r="EY27" s="433"/>
      <c r="EZ27" s="1037"/>
      <c r="FA27" s="1438"/>
      <c r="FB27" s="433"/>
      <c r="FC27" s="433"/>
      <c r="FD27" s="433"/>
      <c r="FE27" s="433"/>
      <c r="FF27" s="433"/>
      <c r="FG27" s="433"/>
      <c r="FH27" s="433"/>
      <c r="FI27" s="433"/>
      <c r="FJ27" s="433"/>
      <c r="FK27" s="433"/>
      <c r="FL27" s="1037"/>
      <c r="FM27" s="1438"/>
      <c r="FN27" s="433"/>
      <c r="FO27" s="433"/>
      <c r="FP27" s="433"/>
      <c r="FQ27" s="433"/>
      <c r="FR27" s="433"/>
      <c r="FS27" s="433"/>
      <c r="FT27" s="433"/>
      <c r="FU27" s="433"/>
      <c r="FV27" s="433"/>
      <c r="FW27" s="433"/>
      <c r="FX27" s="1037"/>
      <c r="FY27" s="1438"/>
      <c r="FZ27" s="433"/>
      <c r="GA27" s="433"/>
      <c r="GB27" s="433"/>
      <c r="GC27" s="433"/>
      <c r="GD27" s="433"/>
      <c r="GE27" s="433"/>
      <c r="GF27" s="433"/>
      <c r="GG27" s="433"/>
      <c r="GH27" s="433"/>
      <c r="GI27" s="433"/>
      <c r="GJ27" s="1037"/>
      <c r="GK27" s="1438"/>
      <c r="GL27" s="433"/>
      <c r="GM27" s="433"/>
      <c r="GN27" s="433"/>
      <c r="GO27" s="433"/>
      <c r="GP27" s="433"/>
      <c r="GQ27" s="433"/>
      <c r="GR27" s="433"/>
      <c r="GS27" s="433"/>
      <c r="GT27" s="433"/>
      <c r="GU27" s="433"/>
      <c r="GV27" s="1037"/>
      <c r="GW27" s="1438"/>
      <c r="GX27" s="433"/>
      <c r="GY27" s="433"/>
      <c r="GZ27" s="433"/>
      <c r="HA27" s="433"/>
      <c r="HB27" s="433"/>
      <c r="HC27" s="433"/>
      <c r="HD27" s="433"/>
      <c r="HE27" s="433"/>
      <c r="HF27" s="433"/>
      <c r="HG27" s="433"/>
      <c r="HH27" s="1037"/>
      <c r="HI27" s="1438"/>
      <c r="HJ27" s="433"/>
      <c r="HK27" s="433"/>
      <c r="HL27" s="433"/>
      <c r="HM27" s="433"/>
      <c r="HN27" s="433"/>
      <c r="HO27" s="433"/>
      <c r="HP27" s="433"/>
      <c r="HQ27" s="433"/>
      <c r="HR27" s="433"/>
      <c r="HS27" s="433"/>
      <c r="HT27" s="1037"/>
      <c r="HU27" s="1438"/>
      <c r="HV27" s="433"/>
      <c r="HW27" s="433"/>
      <c r="HX27" s="433"/>
      <c r="HY27" s="433"/>
      <c r="HZ27" s="433"/>
      <c r="IA27" s="433"/>
      <c r="IB27" s="433"/>
      <c r="IC27" s="433"/>
      <c r="ID27" s="433"/>
      <c r="IE27" s="433"/>
      <c r="IF27" s="1037"/>
      <c r="IG27" s="1438"/>
      <c r="IH27" s="433"/>
      <c r="II27" s="433"/>
      <c r="IJ27" s="433"/>
      <c r="IK27" s="433"/>
      <c r="IL27" s="433"/>
      <c r="IM27" s="433"/>
      <c r="IN27" s="433"/>
      <c r="IO27" s="433"/>
      <c r="IP27" s="433"/>
      <c r="IQ27" s="433"/>
      <c r="IR27" s="1037"/>
      <c r="IS27" s="1438"/>
      <c r="IT27" s="433"/>
      <c r="IU27" s="433"/>
      <c r="IV27" s="433"/>
      <c r="IW27" s="433"/>
      <c r="IX27" s="433"/>
      <c r="IY27" s="433"/>
      <c r="IZ27" s="433"/>
      <c r="JA27" s="433"/>
      <c r="JB27" s="433"/>
      <c r="JC27" s="433"/>
      <c r="JD27" s="1037"/>
      <c r="JE27" s="1438"/>
      <c r="JF27" s="433"/>
      <c r="JG27" s="433"/>
      <c r="JH27" s="433"/>
      <c r="JI27" s="433"/>
      <c r="JJ27" s="433"/>
      <c r="JK27" s="433"/>
      <c r="JL27" s="433"/>
      <c r="JM27" s="433"/>
      <c r="JN27" s="433"/>
      <c r="JO27" s="433"/>
      <c r="JP27" s="1037"/>
      <c r="JQ27" s="1438"/>
      <c r="JR27" s="433"/>
      <c r="JS27" s="433"/>
      <c r="JT27" s="433"/>
      <c r="JU27" s="433"/>
      <c r="JV27" s="433"/>
      <c r="JW27" s="433"/>
      <c r="JX27" s="433"/>
      <c r="JY27" s="433"/>
      <c r="JZ27" s="433"/>
      <c r="KA27" s="433"/>
      <c r="KB27" s="1037"/>
      <c r="KC27" s="1438"/>
      <c r="KD27" s="433"/>
      <c r="KE27" s="433"/>
      <c r="KF27" s="433"/>
      <c r="KG27" s="433"/>
      <c r="KH27" s="433"/>
      <c r="KI27" s="433"/>
      <c r="KJ27" s="433"/>
      <c r="KK27" s="433"/>
      <c r="KL27" s="433"/>
      <c r="KM27" s="433"/>
      <c r="KN27" s="1037"/>
      <c r="KO27" s="1438"/>
      <c r="KP27" s="433"/>
      <c r="KQ27" s="433"/>
      <c r="KR27" s="433"/>
      <c r="KS27" s="433"/>
      <c r="KT27" s="433"/>
      <c r="KU27" s="433"/>
      <c r="KV27" s="433"/>
      <c r="KW27" s="433"/>
      <c r="KX27" s="433"/>
      <c r="KY27" s="433"/>
      <c r="KZ27" s="1037"/>
      <c r="LA27" s="1438"/>
      <c r="LB27" s="433"/>
      <c r="LC27" s="433"/>
      <c r="LD27" s="433"/>
      <c r="LE27" s="433"/>
      <c r="LF27" s="433"/>
      <c r="LG27" s="433"/>
      <c r="LH27" s="433"/>
      <c r="LI27" s="433"/>
      <c r="LJ27" s="433"/>
      <c r="LK27" s="433"/>
      <c r="LL27" s="1037"/>
      <c r="LM27" s="1438"/>
      <c r="LN27" s="433"/>
      <c r="LO27" s="433"/>
      <c r="LP27" s="433"/>
      <c r="LQ27" s="433"/>
      <c r="LR27" s="433"/>
      <c r="LS27" s="433"/>
      <c r="LT27" s="433"/>
      <c r="LU27" s="433"/>
      <c r="LV27" s="433"/>
      <c r="LW27" s="433"/>
      <c r="LX27" s="1037"/>
      <c r="LY27" s="1438"/>
      <c r="LZ27" s="433"/>
      <c r="MA27" s="433"/>
      <c r="MB27" s="433"/>
      <c r="MC27" s="433"/>
      <c r="MD27" s="433"/>
      <c r="ME27" s="433"/>
      <c r="MF27" s="433"/>
      <c r="MG27" s="433"/>
      <c r="MH27" s="433"/>
      <c r="MI27" s="433"/>
      <c r="MJ27" s="1037"/>
      <c r="MK27" s="1438"/>
      <c r="ML27" s="433"/>
      <c r="MM27" s="433"/>
      <c r="MN27" s="433"/>
      <c r="MO27" s="433"/>
      <c r="MP27" s="433"/>
      <c r="MQ27" s="433"/>
      <c r="MR27" s="433"/>
      <c r="MS27" s="433"/>
      <c r="MT27" s="433"/>
      <c r="MU27" s="433"/>
      <c r="MV27" s="1037"/>
      <c r="MW27" s="1438"/>
      <c r="MX27" s="433"/>
      <c r="MY27" s="433"/>
      <c r="MZ27" s="433"/>
      <c r="NA27" s="433"/>
      <c r="NB27" s="433"/>
      <c r="NC27" s="433"/>
      <c r="ND27" s="433"/>
      <c r="NE27" s="433"/>
      <c r="NF27" s="433"/>
      <c r="NG27" s="433"/>
      <c r="NH27" s="1037"/>
      <c r="NI27" s="1438"/>
      <c r="NJ27" s="433"/>
      <c r="NK27" s="433"/>
      <c r="NL27" s="433"/>
      <c r="NM27" s="433"/>
      <c r="NN27" s="433"/>
      <c r="NO27" s="433"/>
      <c r="NP27" s="433"/>
      <c r="NQ27" s="433"/>
      <c r="NR27" s="433"/>
      <c r="NS27" s="433"/>
      <c r="NT27" s="1037"/>
      <c r="NU27" s="1438"/>
      <c r="NV27" s="433"/>
      <c r="NW27" s="433"/>
      <c r="NX27" s="433"/>
      <c r="NY27" s="433"/>
      <c r="NZ27" s="433"/>
      <c r="OA27" s="433"/>
      <c r="OB27" s="433"/>
      <c r="OC27" s="433"/>
      <c r="OD27" s="433"/>
      <c r="OE27" s="433"/>
      <c r="OF27" s="1037"/>
      <c r="OG27" s="1438"/>
      <c r="OH27" s="433"/>
      <c r="OI27" s="433"/>
      <c r="OJ27" s="433"/>
      <c r="OK27" s="433"/>
      <c r="OL27" s="433"/>
      <c r="OM27" s="433"/>
      <c r="ON27" s="433"/>
      <c r="OO27" s="433"/>
      <c r="OP27" s="433"/>
      <c r="OQ27" s="433"/>
      <c r="OR27" s="1037"/>
      <c r="OS27" s="1438"/>
      <c r="OT27" s="433"/>
      <c r="OU27" s="433"/>
      <c r="OV27" s="433"/>
      <c r="OW27" s="433"/>
      <c r="OX27" s="433"/>
      <c r="OY27" s="433"/>
      <c r="OZ27" s="433"/>
      <c r="PA27" s="433"/>
      <c r="PB27" s="433"/>
      <c r="PC27" s="433"/>
      <c r="PD27" s="1037"/>
      <c r="PE27" s="1438"/>
      <c r="PF27" s="433"/>
      <c r="PG27" s="433"/>
      <c r="PH27" s="433"/>
      <c r="PI27" s="433"/>
      <c r="PJ27" s="433"/>
      <c r="PK27" s="433"/>
      <c r="PL27" s="433"/>
      <c r="PM27" s="433"/>
      <c r="PN27" s="433"/>
      <c r="PO27" s="433"/>
      <c r="PP27" s="1037"/>
      <c r="PQ27" s="1438"/>
      <c r="PR27" s="433"/>
      <c r="PS27" s="433"/>
      <c r="PT27" s="433"/>
      <c r="PU27" s="433"/>
      <c r="PV27" s="433"/>
      <c r="PW27" s="433"/>
      <c r="PX27" s="433"/>
      <c r="PY27" s="433"/>
      <c r="PZ27" s="433"/>
      <c r="QA27" s="433"/>
      <c r="QB27" s="1037"/>
      <c r="QC27" s="1438"/>
      <c r="QD27" s="433"/>
      <c r="QE27" s="433"/>
      <c r="QF27" s="433"/>
      <c r="QG27" s="433"/>
      <c r="QH27" s="433"/>
      <c r="QI27" s="433"/>
      <c r="QJ27" s="433"/>
      <c r="QK27" s="433"/>
      <c r="QL27" s="433"/>
      <c r="QM27" s="433"/>
      <c r="QN27" s="1037"/>
      <c r="QO27" s="1438"/>
      <c r="QP27" s="433"/>
      <c r="QQ27" s="433"/>
      <c r="QR27" s="433"/>
      <c r="QS27" s="433"/>
      <c r="QT27" s="433"/>
      <c r="QU27" s="433"/>
      <c r="QV27" s="433"/>
      <c r="QW27" s="433"/>
      <c r="QX27" s="433"/>
      <c r="QY27" s="433"/>
      <c r="QZ27" s="1037"/>
      <c r="RA27" s="1438"/>
      <c r="RB27" s="433"/>
      <c r="RC27" s="433"/>
      <c r="RD27" s="433"/>
      <c r="RE27" s="433"/>
      <c r="RF27" s="433"/>
      <c r="RG27" s="433"/>
      <c r="RH27" s="433"/>
      <c r="RI27" s="433"/>
      <c r="RJ27" s="433"/>
      <c r="RK27" s="433"/>
      <c r="RL27" s="1037"/>
      <c r="RM27" s="1438"/>
      <c r="RN27" s="433"/>
      <c r="RO27" s="433"/>
      <c r="RP27" s="433"/>
      <c r="RQ27" s="433"/>
      <c r="RR27" s="433"/>
      <c r="RS27" s="433"/>
      <c r="RT27" s="433"/>
      <c r="RU27" s="433"/>
      <c r="RV27" s="433"/>
      <c r="RW27" s="433"/>
      <c r="RX27" s="1037"/>
      <c r="RY27" s="1438"/>
      <c r="RZ27" s="433"/>
      <c r="SA27" s="433"/>
      <c r="SB27" s="433"/>
      <c r="SC27" s="433"/>
      <c r="SD27" s="433"/>
      <c r="SE27" s="433"/>
      <c r="SF27" s="433"/>
      <c r="SG27" s="433"/>
      <c r="SH27" s="433"/>
      <c r="SI27" s="433"/>
      <c r="SJ27" s="1037"/>
      <c r="SK27" s="1438"/>
      <c r="SL27" s="433"/>
      <c r="SM27" s="433"/>
      <c r="SN27" s="433"/>
      <c r="SO27" s="433"/>
      <c r="SP27" s="433"/>
      <c r="SQ27" s="433"/>
      <c r="SR27" s="433"/>
      <c r="SS27" s="433"/>
      <c r="ST27" s="433"/>
      <c r="SU27" s="433"/>
      <c r="SV27" s="1037"/>
      <c r="SW27" s="1438"/>
      <c r="SX27" s="433"/>
      <c r="SY27" s="433"/>
      <c r="SZ27" s="433"/>
      <c r="TA27" s="433"/>
      <c r="TB27" s="433"/>
      <c r="TC27" s="433"/>
      <c r="TD27" s="433"/>
      <c r="TE27" s="433"/>
      <c r="TF27" s="433"/>
      <c r="TG27" s="433"/>
      <c r="TH27" s="1037"/>
      <c r="TI27" s="1438"/>
      <c r="TJ27" s="433"/>
      <c r="TK27" s="433"/>
      <c r="TL27" s="433"/>
      <c r="TM27" s="433"/>
      <c r="TN27" s="433"/>
      <c r="TO27" s="433"/>
      <c r="TP27" s="433"/>
      <c r="TQ27" s="433"/>
      <c r="TR27" s="433"/>
      <c r="TS27" s="433"/>
      <c r="TT27" s="1037"/>
      <c r="TU27" s="1438"/>
      <c r="TV27" s="433"/>
      <c r="TW27" s="433"/>
      <c r="TX27" s="433"/>
      <c r="TY27" s="433"/>
      <c r="TZ27" s="433"/>
      <c r="UA27" s="433"/>
      <c r="UB27" s="433"/>
      <c r="UC27" s="433"/>
      <c r="UD27" s="433"/>
      <c r="UE27" s="433"/>
      <c r="UF27" s="1037"/>
      <c r="UG27" s="1438"/>
      <c r="UH27" s="433"/>
      <c r="UI27" s="433"/>
      <c r="UJ27" s="433"/>
      <c r="UK27" s="433"/>
      <c r="UL27" s="433"/>
      <c r="UM27" s="433"/>
      <c r="UN27" s="433"/>
      <c r="UO27" s="433"/>
      <c r="UP27" s="433"/>
      <c r="UQ27" s="433"/>
      <c r="UR27" s="1037"/>
      <c r="US27" s="1438"/>
      <c r="UT27" s="433"/>
      <c r="UU27" s="433"/>
      <c r="UV27" s="433"/>
      <c r="UW27" s="433"/>
      <c r="UX27" s="433"/>
      <c r="UY27" s="433"/>
      <c r="UZ27" s="433"/>
      <c r="VA27" s="433"/>
      <c r="VB27" s="433"/>
      <c r="VC27" s="433"/>
      <c r="VD27" s="1037"/>
      <c r="VE27" s="1438"/>
      <c r="VF27" s="433"/>
      <c r="VG27" s="433"/>
      <c r="VH27" s="433"/>
      <c r="VI27" s="433"/>
      <c r="VJ27" s="433"/>
      <c r="VK27" s="433"/>
      <c r="VL27" s="433"/>
      <c r="VM27" s="433"/>
      <c r="VN27" s="433"/>
      <c r="VO27" s="433"/>
      <c r="VP27" s="1037"/>
      <c r="VQ27" s="1438"/>
      <c r="VR27" s="433"/>
      <c r="VS27" s="433"/>
      <c r="VT27" s="433"/>
      <c r="VU27" s="433"/>
      <c r="VV27" s="433"/>
      <c r="VW27" s="433"/>
      <c r="VX27" s="433"/>
      <c r="VY27" s="433"/>
      <c r="VZ27" s="433"/>
      <c r="WA27" s="433"/>
      <c r="WB27" s="1037"/>
      <c r="WC27" s="1438"/>
      <c r="WD27" s="433"/>
      <c r="WE27" s="433"/>
      <c r="WF27" s="433"/>
      <c r="WG27" s="433"/>
      <c r="WH27" s="433"/>
      <c r="WI27" s="433"/>
      <c r="WJ27" s="433"/>
      <c r="WK27" s="433"/>
      <c r="WL27" s="433"/>
      <c r="WM27" s="433"/>
      <c r="WN27" s="1037"/>
      <c r="WO27" s="1438"/>
      <c r="WP27" s="433"/>
      <c r="WQ27" s="433"/>
      <c r="WR27" s="433"/>
      <c r="WS27" s="433"/>
      <c r="WT27" s="433"/>
      <c r="WU27" s="433"/>
      <c r="WV27" s="433"/>
      <c r="WW27" s="433"/>
      <c r="WX27" s="433"/>
      <c r="WY27" s="433"/>
      <c r="WZ27" s="1037"/>
      <c r="XA27" s="1438"/>
      <c r="XB27" s="433"/>
      <c r="XC27" s="433"/>
      <c r="XD27" s="433"/>
      <c r="XE27" s="433"/>
      <c r="XF27" s="433"/>
      <c r="XG27" s="433"/>
      <c r="XH27" s="433"/>
      <c r="XI27" s="433"/>
      <c r="XJ27" s="433"/>
      <c r="XK27" s="433"/>
      <c r="XL27" s="1037"/>
      <c r="XM27" s="1438"/>
      <c r="XN27" s="433"/>
      <c r="XO27" s="433"/>
      <c r="XP27" s="433"/>
      <c r="XQ27" s="433"/>
      <c r="XR27" s="433"/>
      <c r="XS27" s="433"/>
      <c r="XT27" s="433"/>
      <c r="XU27" s="433"/>
      <c r="XV27" s="433"/>
      <c r="XW27" s="433"/>
      <c r="XX27" s="1037"/>
      <c r="XY27" s="1438"/>
      <c r="XZ27" s="433"/>
      <c r="YA27" s="433"/>
      <c r="YB27" s="433"/>
      <c r="YC27" s="433"/>
      <c r="YD27" s="433"/>
      <c r="YE27" s="433"/>
      <c r="YF27" s="433"/>
      <c r="YG27" s="433"/>
      <c r="YH27" s="433"/>
      <c r="YI27" s="433"/>
      <c r="YJ27" s="1037"/>
      <c r="YK27" s="1438"/>
      <c r="YL27" s="433"/>
      <c r="YM27" s="433"/>
      <c r="YN27" s="433"/>
      <c r="YO27" s="433"/>
      <c r="YP27" s="433"/>
      <c r="YQ27" s="433"/>
      <c r="YR27" s="433"/>
      <c r="YS27" s="433"/>
      <c r="YT27" s="433"/>
      <c r="YU27" s="433"/>
      <c r="YV27" s="1037"/>
      <c r="YW27" s="1438"/>
      <c r="YX27" s="433"/>
      <c r="YY27" s="433"/>
      <c r="YZ27" s="433"/>
      <c r="ZA27" s="433"/>
      <c r="ZB27" s="433"/>
      <c r="ZC27" s="433"/>
      <c r="ZD27" s="433"/>
      <c r="ZE27" s="433"/>
      <c r="ZF27" s="433"/>
      <c r="ZG27" s="433"/>
      <c r="ZH27" s="1037"/>
      <c r="ZI27" s="1438"/>
      <c r="ZJ27" s="433"/>
      <c r="ZK27" s="433"/>
      <c r="ZL27" s="433"/>
      <c r="ZM27" s="433"/>
      <c r="ZN27" s="433"/>
      <c r="ZO27" s="433"/>
      <c r="ZP27" s="433"/>
      <c r="ZQ27" s="433"/>
      <c r="ZR27" s="433"/>
      <c r="ZS27" s="433"/>
      <c r="ZT27" s="1037"/>
      <c r="ZU27" s="1438"/>
      <c r="ZV27" s="433"/>
      <c r="ZW27" s="433"/>
      <c r="ZX27" s="433"/>
      <c r="ZY27" s="433"/>
      <c r="ZZ27" s="433"/>
      <c r="AAA27" s="433"/>
      <c r="AAB27" s="433"/>
      <c r="AAC27" s="433"/>
      <c r="AAD27" s="433"/>
      <c r="AAE27" s="433"/>
      <c r="AAF27" s="1037"/>
      <c r="AAG27" s="1438"/>
      <c r="AAH27" s="433"/>
      <c r="AAI27" s="433"/>
      <c r="AAJ27" s="433"/>
      <c r="AAK27" s="433"/>
      <c r="AAL27" s="433"/>
      <c r="AAM27" s="433"/>
      <c r="AAN27" s="433"/>
      <c r="AAO27" s="433"/>
      <c r="AAP27" s="433"/>
      <c r="AAQ27" s="433"/>
      <c r="AAR27" s="1037"/>
      <c r="AAS27" s="1438"/>
      <c r="AAT27" s="433"/>
      <c r="AAU27" s="433"/>
      <c r="AAV27" s="433"/>
      <c r="AAW27" s="433"/>
      <c r="AAX27" s="433"/>
      <c r="AAY27" s="433"/>
      <c r="AAZ27" s="433"/>
      <c r="ABA27" s="433"/>
      <c r="ABB27" s="433"/>
      <c r="ABC27" s="433"/>
      <c r="ABD27" s="1037"/>
      <c r="ABE27" s="1438"/>
      <c r="ABF27" s="433"/>
      <c r="ABG27" s="433"/>
      <c r="ABH27" s="433"/>
      <c r="ABI27" s="433"/>
      <c r="ABJ27" s="433"/>
      <c r="ABK27" s="433"/>
      <c r="ABL27" s="433"/>
      <c r="ABM27" s="433"/>
      <c r="ABN27" s="433"/>
      <c r="ABO27" s="433"/>
      <c r="ABP27" s="1037"/>
      <c r="ABQ27" s="1438"/>
      <c r="ABR27" s="433"/>
      <c r="ABS27" s="433"/>
      <c r="ABT27" s="433"/>
      <c r="ABU27" s="433"/>
      <c r="ABV27" s="433"/>
      <c r="ABW27" s="433"/>
      <c r="ABX27" s="433"/>
      <c r="ABY27" s="433"/>
      <c r="ABZ27" s="433"/>
      <c r="ACA27" s="433"/>
      <c r="ACB27" s="1037"/>
      <c r="ACC27" s="1438"/>
      <c r="ACD27" s="433"/>
      <c r="ACE27" s="433"/>
      <c r="ACF27" s="433"/>
      <c r="ACG27" s="433"/>
      <c r="ACH27" s="433"/>
      <c r="ACI27" s="433"/>
      <c r="ACJ27" s="433"/>
      <c r="ACK27" s="433"/>
      <c r="ACL27" s="433"/>
      <c r="ACM27" s="433"/>
      <c r="ACN27" s="1037"/>
      <c r="ACO27" s="1438"/>
      <c r="ACP27" s="433"/>
      <c r="ACQ27" s="433"/>
      <c r="ACR27" s="433"/>
      <c r="ACS27" s="433"/>
      <c r="ACT27" s="433"/>
      <c r="ACU27" s="433"/>
      <c r="ACV27" s="433"/>
      <c r="ACW27" s="433"/>
      <c r="ACX27" s="433"/>
      <c r="ACY27" s="433"/>
      <c r="ACZ27" s="1037"/>
      <c r="ADA27" s="1438"/>
      <c r="ADB27" s="433"/>
      <c r="ADC27" s="433"/>
      <c r="ADD27" s="433"/>
      <c r="ADE27" s="433"/>
      <c r="ADF27" s="433"/>
      <c r="ADG27" s="433"/>
      <c r="ADH27" s="433"/>
      <c r="ADI27" s="433"/>
      <c r="ADJ27" s="433"/>
      <c r="ADK27" s="433"/>
      <c r="ADL27" s="1037"/>
      <c r="ADM27" s="1438"/>
      <c r="ADN27" s="433"/>
      <c r="ADO27" s="433"/>
      <c r="ADP27" s="433"/>
      <c r="ADQ27" s="433"/>
      <c r="ADR27" s="433"/>
      <c r="ADS27" s="433"/>
      <c r="ADT27" s="433"/>
      <c r="ADU27" s="433"/>
      <c r="ADV27" s="433"/>
      <c r="ADW27" s="433"/>
      <c r="ADX27" s="1037"/>
      <c r="ADY27" s="1438"/>
      <c r="ADZ27" s="433"/>
      <c r="AEA27" s="433"/>
      <c r="AEB27" s="433"/>
      <c r="AEC27" s="433"/>
      <c r="AED27" s="433"/>
      <c r="AEE27" s="433"/>
      <c r="AEF27" s="433"/>
      <c r="AEG27" s="433"/>
      <c r="AEH27" s="433"/>
      <c r="AEI27" s="433"/>
      <c r="AEJ27" s="1037"/>
      <c r="AEK27" s="1438"/>
      <c r="AEL27" s="433"/>
      <c r="AEM27" s="433"/>
      <c r="AEN27" s="433"/>
      <c r="AEO27" s="433"/>
      <c r="AEP27" s="433"/>
      <c r="AEQ27" s="433"/>
      <c r="AER27" s="433"/>
      <c r="AES27" s="433"/>
      <c r="AET27" s="433"/>
      <c r="AEU27" s="433"/>
      <c r="AEV27" s="1037"/>
      <c r="AEW27" s="1438"/>
      <c r="AEX27" s="433"/>
      <c r="AEY27" s="433"/>
      <c r="AEZ27" s="433"/>
      <c r="AFA27" s="433"/>
      <c r="AFB27" s="433"/>
      <c r="AFC27" s="433"/>
      <c r="AFD27" s="433"/>
      <c r="AFE27" s="433"/>
      <c r="AFF27" s="433"/>
      <c r="AFG27" s="433"/>
      <c r="AFH27" s="1037"/>
      <c r="AFI27" s="1438"/>
      <c r="AFJ27" s="433"/>
      <c r="AFK27" s="433"/>
      <c r="AFL27" s="433"/>
      <c r="AFM27" s="433"/>
      <c r="AFN27" s="433"/>
      <c r="AFO27" s="433"/>
      <c r="AFP27" s="433"/>
      <c r="AFQ27" s="433"/>
      <c r="AFR27" s="433"/>
      <c r="AFS27" s="433"/>
      <c r="AFT27" s="1037"/>
      <c r="AFU27" s="1438"/>
      <c r="AFV27" s="433"/>
      <c r="AFW27" s="433"/>
      <c r="AFX27" s="433"/>
      <c r="AFY27" s="433"/>
      <c r="AFZ27" s="433"/>
      <c r="AGA27" s="433"/>
      <c r="AGB27" s="433"/>
      <c r="AGC27" s="433"/>
      <c r="AGD27" s="433"/>
      <c r="AGE27" s="433"/>
      <c r="AGF27" s="1037"/>
      <c r="AGG27" s="1438"/>
      <c r="AGH27" s="433"/>
      <c r="AGI27" s="433"/>
      <c r="AGJ27" s="433"/>
      <c r="AGK27" s="433"/>
      <c r="AGL27" s="433"/>
      <c r="AGM27" s="433"/>
      <c r="AGN27" s="433"/>
      <c r="AGO27" s="433"/>
      <c r="AGP27" s="433"/>
      <c r="AGQ27" s="433"/>
      <c r="AGR27" s="1037"/>
      <c r="AGS27" s="1438"/>
      <c r="AGT27" s="433"/>
      <c r="AGU27" s="433"/>
      <c r="AGV27" s="433"/>
      <c r="AGW27" s="433"/>
      <c r="AGX27" s="433"/>
      <c r="AGY27" s="433"/>
      <c r="AGZ27" s="433"/>
      <c r="AHA27" s="433"/>
      <c r="AHB27" s="433"/>
      <c r="AHC27" s="433"/>
      <c r="AHD27" s="1037"/>
      <c r="AHE27" s="1438"/>
      <c r="AHF27" s="433"/>
      <c r="AHG27" s="433"/>
      <c r="AHH27" s="433"/>
      <c r="AHI27" s="433"/>
      <c r="AHJ27" s="433"/>
      <c r="AHK27" s="433"/>
      <c r="AHL27" s="433"/>
      <c r="AHM27" s="433"/>
      <c r="AHN27" s="433"/>
      <c r="AHO27" s="433"/>
      <c r="AHP27" s="1037"/>
      <c r="AHQ27" s="1438"/>
      <c r="AHR27" s="433"/>
      <c r="AHS27" s="433"/>
      <c r="AHT27" s="433"/>
      <c r="AHU27" s="433"/>
      <c r="AHV27" s="433"/>
      <c r="AHW27" s="433"/>
      <c r="AHX27" s="433"/>
      <c r="AHY27" s="433"/>
      <c r="AHZ27" s="433"/>
      <c r="AIA27" s="433"/>
      <c r="AIB27" s="1037"/>
      <c r="AIC27" s="1438"/>
      <c r="AID27" s="433"/>
      <c r="AIE27" s="433"/>
      <c r="AIF27" s="433"/>
      <c r="AIG27" s="433"/>
      <c r="AIH27" s="433"/>
      <c r="AII27" s="433"/>
      <c r="AIJ27" s="433"/>
      <c r="AIK27" s="433"/>
      <c r="AIL27" s="433"/>
      <c r="AIM27" s="433"/>
      <c r="AIN27" s="1037"/>
      <c r="AIO27" s="1438"/>
      <c r="AIP27" s="433"/>
      <c r="AIQ27" s="433"/>
      <c r="AIR27" s="433"/>
      <c r="AIS27" s="433"/>
      <c r="AIT27" s="433"/>
      <c r="AIU27" s="433"/>
      <c r="AIV27" s="433"/>
      <c r="AIW27" s="433"/>
      <c r="AIX27" s="433"/>
      <c r="AIY27" s="433"/>
      <c r="AIZ27" s="1037"/>
      <c r="AJA27" s="1438"/>
      <c r="AJB27" s="433"/>
      <c r="AJC27" s="433"/>
      <c r="AJD27" s="433"/>
      <c r="AJE27" s="433"/>
      <c r="AJF27" s="433"/>
      <c r="AJG27" s="433"/>
      <c r="AJH27" s="433"/>
      <c r="AJI27" s="433"/>
      <c r="AJJ27" s="433"/>
      <c r="AJK27" s="433"/>
      <c r="AJL27" s="1037"/>
      <c r="AJM27" s="1438"/>
      <c r="AJN27" s="433"/>
      <c r="AJO27" s="433"/>
      <c r="AJP27" s="433"/>
      <c r="AJQ27" s="433"/>
      <c r="AJR27" s="433"/>
      <c r="AJS27" s="433"/>
      <c r="AJT27" s="433"/>
      <c r="AJU27" s="433"/>
      <c r="AJV27" s="433"/>
      <c r="AJW27" s="433"/>
      <c r="AJX27" s="1037"/>
      <c r="AJY27" s="1438"/>
      <c r="AJZ27" s="433"/>
      <c r="AKA27" s="433"/>
      <c r="AKB27" s="433"/>
      <c r="AKC27" s="433"/>
      <c r="AKD27" s="433"/>
      <c r="AKE27" s="433"/>
      <c r="AKF27" s="433"/>
      <c r="AKG27" s="433"/>
      <c r="AKH27" s="433"/>
      <c r="AKI27" s="433"/>
      <c r="AKJ27" s="1037"/>
      <c r="AKK27" s="1438"/>
      <c r="AKL27" s="433"/>
      <c r="AKM27" s="433"/>
      <c r="AKN27" s="433"/>
      <c r="AKO27" s="433"/>
      <c r="AKP27" s="433"/>
      <c r="AKQ27" s="433"/>
      <c r="AKR27" s="433"/>
      <c r="AKS27" s="433"/>
      <c r="AKT27" s="433"/>
      <c r="AKU27" s="433"/>
      <c r="AKV27" s="1037"/>
      <c r="AKW27" s="1438"/>
      <c r="AKX27" s="433"/>
      <c r="AKY27" s="433"/>
      <c r="AKZ27" s="433"/>
      <c r="ALA27" s="433"/>
      <c r="ALB27" s="433"/>
      <c r="ALC27" s="433"/>
      <c r="ALD27" s="433"/>
      <c r="ALE27" s="433"/>
      <c r="ALF27" s="433"/>
      <c r="ALG27" s="433"/>
      <c r="ALH27" s="1037"/>
      <c r="ALI27" s="1438"/>
      <c r="ALJ27" s="433"/>
      <c r="ALK27" s="433"/>
      <c r="ALL27" s="433"/>
      <c r="ALM27" s="433"/>
      <c r="ALN27" s="433"/>
      <c r="ALO27" s="433"/>
      <c r="ALP27" s="433"/>
      <c r="ALQ27" s="433"/>
      <c r="ALR27" s="433"/>
      <c r="ALS27" s="433"/>
      <c r="ALT27" s="1037"/>
      <c r="ALU27" s="1438"/>
      <c r="ALV27" s="433"/>
      <c r="ALW27" s="433"/>
      <c r="ALX27" s="433"/>
      <c r="ALY27" s="433"/>
      <c r="ALZ27" s="433"/>
      <c r="AMA27" s="433"/>
      <c r="AMB27" s="433"/>
      <c r="AMC27" s="433"/>
      <c r="AMD27" s="433"/>
      <c r="AME27" s="433"/>
      <c r="AMF27" s="1037"/>
      <c r="AMG27" s="1438"/>
      <c r="AMH27" s="433"/>
      <c r="AMI27" s="433"/>
      <c r="AMJ27" s="433"/>
      <c r="AMK27" s="433"/>
      <c r="AML27" s="433"/>
      <c r="AMM27" s="433"/>
      <c r="AMN27" s="433"/>
      <c r="AMO27" s="433"/>
      <c r="AMP27" s="433"/>
      <c r="AMQ27" s="433"/>
      <c r="AMR27" s="1037"/>
      <c r="AMS27" s="1438"/>
      <c r="AMT27" s="433"/>
      <c r="AMU27" s="433"/>
      <c r="AMV27" s="433"/>
      <c r="AMW27" s="433"/>
      <c r="AMX27" s="433"/>
      <c r="AMY27" s="433"/>
      <c r="AMZ27" s="433"/>
      <c r="ANA27" s="433"/>
      <c r="ANB27" s="433"/>
      <c r="ANC27" s="433"/>
      <c r="AND27" s="1037"/>
      <c r="ANE27" s="1438"/>
      <c r="ANF27" s="433"/>
      <c r="ANG27" s="433"/>
      <c r="ANH27" s="433"/>
      <c r="ANI27" s="433"/>
      <c r="ANJ27" s="433"/>
      <c r="ANK27" s="433"/>
      <c r="ANL27" s="433"/>
      <c r="ANM27" s="433"/>
      <c r="ANN27" s="433"/>
      <c r="ANO27" s="433"/>
      <c r="ANP27" s="1037"/>
      <c r="ANQ27" s="1438"/>
      <c r="ANR27" s="433"/>
      <c r="ANS27" s="433"/>
      <c r="ANT27" s="433"/>
      <c r="ANU27" s="433"/>
      <c r="ANV27" s="433"/>
      <c r="ANW27" s="433"/>
      <c r="ANX27" s="433"/>
      <c r="ANY27" s="433"/>
      <c r="ANZ27" s="433"/>
      <c r="AOA27" s="433"/>
      <c r="AOB27" s="1037"/>
      <c r="AOC27" s="1438"/>
      <c r="AOD27" s="433"/>
      <c r="AOE27" s="433"/>
      <c r="AOF27" s="433"/>
      <c r="AOG27" s="433"/>
      <c r="AOH27" s="433"/>
      <c r="AOI27" s="433"/>
      <c r="AOJ27" s="433"/>
      <c r="AOK27" s="433"/>
      <c r="AOL27" s="433"/>
      <c r="AOM27" s="433"/>
      <c r="AON27" s="1037"/>
      <c r="AOO27" s="1438"/>
      <c r="AOP27" s="433"/>
      <c r="AOQ27" s="433"/>
      <c r="AOR27" s="433"/>
      <c r="AOS27" s="433"/>
      <c r="AOT27" s="433"/>
      <c r="AOU27" s="433"/>
      <c r="AOV27" s="433"/>
      <c r="AOW27" s="433"/>
      <c r="AOX27" s="433"/>
      <c r="AOY27" s="433"/>
      <c r="AOZ27" s="1037"/>
      <c r="APA27" s="1438"/>
      <c r="APB27" s="433"/>
      <c r="APC27" s="433"/>
      <c r="APD27" s="433"/>
      <c r="APE27" s="433"/>
      <c r="APF27" s="433"/>
      <c r="APG27" s="433"/>
      <c r="APH27" s="433"/>
      <c r="API27" s="433"/>
      <c r="APJ27" s="433"/>
      <c r="APK27" s="433"/>
      <c r="APL27" s="1037"/>
      <c r="APM27" s="1438"/>
      <c r="APN27" s="433"/>
      <c r="APO27" s="433"/>
      <c r="APP27" s="433"/>
      <c r="APQ27" s="433"/>
      <c r="APR27" s="433"/>
      <c r="APS27" s="433"/>
      <c r="APT27" s="433"/>
      <c r="APU27" s="433"/>
      <c r="APV27" s="433"/>
      <c r="APW27" s="433"/>
      <c r="APX27" s="1037"/>
      <c r="APY27" s="1438"/>
      <c r="APZ27" s="433"/>
      <c r="AQA27" s="433"/>
      <c r="AQB27" s="433"/>
      <c r="AQC27" s="433"/>
      <c r="AQD27" s="433"/>
      <c r="AQE27" s="433"/>
      <c r="AQF27" s="433"/>
      <c r="AQG27" s="433"/>
      <c r="AQH27" s="433"/>
      <c r="AQI27" s="433"/>
      <c r="AQJ27" s="1037"/>
      <c r="AQK27" s="1438"/>
      <c r="AQL27" s="433"/>
      <c r="AQM27" s="433"/>
      <c r="AQN27" s="433"/>
      <c r="AQO27" s="433"/>
      <c r="AQP27" s="433"/>
      <c r="AQQ27" s="433"/>
      <c r="AQR27" s="433"/>
      <c r="AQS27" s="433"/>
      <c r="AQT27" s="433"/>
      <c r="AQU27" s="433"/>
      <c r="AQV27" s="1037"/>
      <c r="AQW27" s="1438"/>
      <c r="AQX27" s="433"/>
      <c r="AQY27" s="433"/>
      <c r="AQZ27" s="433"/>
      <c r="ARA27" s="433"/>
      <c r="ARB27" s="433"/>
      <c r="ARC27" s="433"/>
      <c r="ARD27" s="433"/>
      <c r="ARE27" s="433"/>
      <c r="ARF27" s="433"/>
      <c r="ARG27" s="433"/>
      <c r="ARH27" s="1037"/>
      <c r="ARI27" s="1438"/>
      <c r="ARJ27" s="433"/>
      <c r="ARK27" s="433"/>
      <c r="ARL27" s="433"/>
      <c r="ARM27" s="433"/>
      <c r="ARN27" s="433"/>
      <c r="ARO27" s="433"/>
      <c r="ARP27" s="433"/>
      <c r="ARQ27" s="433"/>
      <c r="ARR27" s="433"/>
      <c r="ARS27" s="433"/>
      <c r="ART27" s="1037"/>
      <c r="ARU27" s="1438"/>
      <c r="ARV27" s="433"/>
      <c r="ARW27" s="433"/>
      <c r="ARX27" s="433"/>
      <c r="ARY27" s="433"/>
      <c r="ARZ27" s="433"/>
      <c r="ASA27" s="433"/>
      <c r="ASB27" s="433"/>
      <c r="ASC27" s="433"/>
      <c r="ASD27" s="433"/>
      <c r="ASE27" s="433"/>
      <c r="ASF27" s="1037"/>
      <c r="ASG27" s="1438"/>
      <c r="ASH27" s="433"/>
      <c r="ASI27" s="433"/>
      <c r="ASJ27" s="433"/>
      <c r="ASK27" s="433"/>
      <c r="ASL27" s="433"/>
      <c r="ASM27" s="433"/>
      <c r="ASN27" s="433"/>
      <c r="ASO27" s="433"/>
      <c r="ASP27" s="433"/>
      <c r="ASQ27" s="433"/>
      <c r="ASR27" s="1037"/>
      <c r="ASS27" s="1438"/>
      <c r="AST27" s="433"/>
      <c r="ASU27" s="433"/>
      <c r="ASV27" s="433"/>
      <c r="ASW27" s="433"/>
      <c r="ASX27" s="433"/>
      <c r="ASY27" s="433"/>
      <c r="ASZ27" s="433"/>
      <c r="ATA27" s="433"/>
      <c r="ATB27" s="433"/>
      <c r="ATC27" s="433"/>
      <c r="ATD27" s="1037"/>
      <c r="ATE27" s="1438"/>
      <c r="ATF27" s="433"/>
      <c r="ATG27" s="433"/>
      <c r="ATH27" s="433"/>
      <c r="ATI27" s="433"/>
      <c r="ATJ27" s="433"/>
      <c r="ATK27" s="433"/>
      <c r="ATL27" s="433"/>
      <c r="ATM27" s="433"/>
      <c r="ATN27" s="433"/>
      <c r="ATO27" s="433"/>
      <c r="ATP27" s="1037"/>
      <c r="ATQ27" s="1438"/>
      <c r="ATR27" s="433"/>
      <c r="ATS27" s="433"/>
      <c r="ATT27" s="433"/>
      <c r="ATU27" s="433"/>
      <c r="ATV27" s="433"/>
      <c r="ATW27" s="433"/>
      <c r="ATX27" s="433"/>
      <c r="ATY27" s="433"/>
      <c r="ATZ27" s="433"/>
      <c r="AUA27" s="433"/>
      <c r="AUB27" s="1037"/>
      <c r="AUC27" s="1438"/>
      <c r="AUD27" s="433"/>
      <c r="AUE27" s="433"/>
      <c r="AUF27" s="433"/>
      <c r="AUG27" s="433"/>
      <c r="AUH27" s="433"/>
      <c r="AUI27" s="433"/>
      <c r="AUJ27" s="433"/>
      <c r="AUK27" s="433"/>
      <c r="AUL27" s="433"/>
      <c r="AUM27" s="433"/>
      <c r="AUN27" s="1037"/>
      <c r="AUO27" s="1438"/>
      <c r="AUP27" s="433"/>
      <c r="AUQ27" s="433"/>
      <c r="AUR27" s="433"/>
      <c r="AUS27" s="433"/>
      <c r="AUT27" s="433"/>
      <c r="AUU27" s="433"/>
      <c r="AUV27" s="433"/>
      <c r="AUW27" s="433"/>
      <c r="AUX27" s="433"/>
      <c r="AUY27" s="433"/>
      <c r="AUZ27" s="1037"/>
      <c r="AVA27" s="1438"/>
      <c r="AVB27" s="433"/>
      <c r="AVC27" s="433"/>
      <c r="AVD27" s="433"/>
      <c r="AVE27" s="433"/>
      <c r="AVF27" s="433"/>
      <c r="AVG27" s="433"/>
      <c r="AVH27" s="433"/>
      <c r="AVI27" s="433"/>
      <c r="AVJ27" s="433"/>
      <c r="AVK27" s="433"/>
      <c r="AVL27" s="1037"/>
      <c r="AVM27" s="1438"/>
      <c r="AVN27" s="433"/>
      <c r="AVO27" s="433"/>
      <c r="AVP27" s="433"/>
      <c r="AVQ27" s="433"/>
      <c r="AVR27" s="433"/>
      <c r="AVS27" s="433"/>
      <c r="AVT27" s="433"/>
      <c r="AVU27" s="433"/>
      <c r="AVV27" s="433"/>
      <c r="AVW27" s="433"/>
      <c r="AVX27" s="1037"/>
      <c r="AVY27" s="1438"/>
      <c r="AVZ27" s="433"/>
      <c r="AWA27" s="433"/>
      <c r="AWB27" s="433"/>
      <c r="AWC27" s="433"/>
      <c r="AWD27" s="433"/>
      <c r="AWE27" s="433"/>
      <c r="AWF27" s="433"/>
      <c r="AWG27" s="433"/>
      <c r="AWH27" s="433"/>
      <c r="AWI27" s="433"/>
      <c r="AWJ27" s="1037"/>
      <c r="AWK27" s="1438"/>
      <c r="AWL27" s="433"/>
      <c r="AWM27" s="433"/>
      <c r="AWN27" s="433"/>
      <c r="AWO27" s="433"/>
      <c r="AWP27" s="433"/>
      <c r="AWQ27" s="433"/>
      <c r="AWR27" s="433"/>
      <c r="AWS27" s="433"/>
      <c r="AWT27" s="433"/>
      <c r="AWU27" s="433"/>
      <c r="AWV27" s="1037"/>
      <c r="AWW27" s="1438"/>
      <c r="AWX27" s="433"/>
      <c r="AWY27" s="433"/>
      <c r="AWZ27" s="433"/>
      <c r="AXA27" s="433"/>
      <c r="AXB27" s="433"/>
      <c r="AXC27" s="433"/>
      <c r="AXD27" s="433"/>
      <c r="AXE27" s="433"/>
      <c r="AXF27" s="433"/>
      <c r="AXG27" s="433"/>
      <c r="AXH27" s="1037"/>
      <c r="AXI27" s="1438"/>
      <c r="AXJ27" s="433"/>
      <c r="AXK27" s="433"/>
      <c r="AXL27" s="433"/>
      <c r="AXM27" s="433"/>
      <c r="AXN27" s="433"/>
      <c r="AXO27" s="433"/>
      <c r="AXP27" s="433"/>
      <c r="AXQ27" s="433"/>
      <c r="AXR27" s="433"/>
      <c r="AXS27" s="433"/>
      <c r="AXT27" s="1037"/>
      <c r="AXU27" s="1438"/>
      <c r="AXV27" s="433"/>
      <c r="AXW27" s="433"/>
      <c r="AXX27" s="433"/>
      <c r="AXY27" s="433"/>
      <c r="AXZ27" s="433"/>
      <c r="AYA27" s="433"/>
      <c r="AYB27" s="433"/>
      <c r="AYC27" s="433"/>
      <c r="AYD27" s="433"/>
      <c r="AYE27" s="433"/>
      <c r="AYF27" s="1037"/>
      <c r="AYG27" s="1438"/>
      <c r="AYH27" s="433"/>
      <c r="AYI27" s="433"/>
      <c r="AYJ27" s="433"/>
      <c r="AYK27" s="433"/>
      <c r="AYL27" s="433"/>
      <c r="AYM27" s="433"/>
      <c r="AYN27" s="433"/>
      <c r="AYO27" s="433"/>
      <c r="AYP27" s="433"/>
      <c r="AYQ27" s="433"/>
      <c r="AYR27" s="1037"/>
      <c r="AYS27" s="1438"/>
      <c r="AYT27" s="433"/>
      <c r="AYU27" s="433"/>
      <c r="AYV27" s="433"/>
      <c r="AYW27" s="433"/>
      <c r="AYX27" s="433"/>
      <c r="AYY27" s="433"/>
      <c r="AYZ27" s="433"/>
      <c r="AZA27" s="433"/>
      <c r="AZB27" s="433"/>
      <c r="AZC27" s="433"/>
      <c r="AZD27" s="1037"/>
      <c r="AZE27" s="1438"/>
      <c r="AZF27" s="433"/>
      <c r="AZG27" s="433"/>
      <c r="AZH27" s="433"/>
      <c r="AZI27" s="433"/>
      <c r="AZJ27" s="433"/>
      <c r="AZK27" s="433"/>
      <c r="AZL27" s="433"/>
      <c r="AZM27" s="433"/>
      <c r="AZN27" s="433"/>
      <c r="AZO27" s="433"/>
      <c r="AZP27" s="1037"/>
      <c r="AZQ27" s="1438"/>
      <c r="AZR27" s="433"/>
      <c r="AZS27" s="433"/>
      <c r="AZT27" s="433"/>
      <c r="AZU27" s="433"/>
      <c r="AZV27" s="433"/>
      <c r="AZW27" s="433"/>
      <c r="AZX27" s="433"/>
      <c r="AZY27" s="433"/>
      <c r="AZZ27" s="433"/>
      <c r="BAA27" s="433"/>
      <c r="BAB27" s="1037"/>
      <c r="BAC27" s="1438"/>
      <c r="BAD27" s="433"/>
      <c r="BAE27" s="433"/>
      <c r="BAF27" s="433"/>
      <c r="BAG27" s="433"/>
      <c r="BAH27" s="433"/>
      <c r="BAI27" s="433"/>
      <c r="BAJ27" s="433"/>
      <c r="BAK27" s="433"/>
      <c r="BAL27" s="433"/>
      <c r="BAM27" s="433"/>
      <c r="BAN27" s="1037"/>
      <c r="BAO27" s="1438"/>
      <c r="BAP27" s="433"/>
      <c r="BAQ27" s="433"/>
      <c r="BAR27" s="433"/>
      <c r="BAS27" s="433"/>
      <c r="BAT27" s="433"/>
      <c r="BAU27" s="433"/>
      <c r="BAV27" s="433"/>
      <c r="BAW27" s="433"/>
      <c r="BAX27" s="433"/>
      <c r="BAY27" s="433"/>
      <c r="BAZ27" s="1037"/>
      <c r="BBA27" s="1438"/>
      <c r="BBB27" s="433"/>
      <c r="BBC27" s="433"/>
      <c r="BBD27" s="433"/>
      <c r="BBE27" s="433"/>
      <c r="BBF27" s="433"/>
      <c r="BBG27" s="433"/>
      <c r="BBH27" s="433"/>
      <c r="BBI27" s="433"/>
      <c r="BBJ27" s="433"/>
      <c r="BBK27" s="433"/>
      <c r="BBL27" s="1037"/>
      <c r="BBM27" s="1438"/>
      <c r="BBN27" s="433"/>
      <c r="BBO27" s="433"/>
      <c r="BBP27" s="433"/>
      <c r="BBQ27" s="433"/>
      <c r="BBR27" s="433"/>
      <c r="BBS27" s="433"/>
      <c r="BBT27" s="433"/>
      <c r="BBU27" s="433"/>
      <c r="BBV27" s="433"/>
      <c r="BBW27" s="433"/>
      <c r="BBX27" s="1037"/>
      <c r="BBY27" s="1438"/>
      <c r="BBZ27" s="433"/>
      <c r="BCA27" s="433"/>
      <c r="BCB27" s="433"/>
      <c r="BCC27" s="433"/>
      <c r="BCD27" s="433"/>
      <c r="BCE27" s="433"/>
      <c r="BCF27" s="433"/>
      <c r="BCG27" s="433"/>
      <c r="BCH27" s="433"/>
      <c r="BCI27" s="433"/>
      <c r="BCJ27" s="1037"/>
      <c r="BCK27" s="1438"/>
      <c r="BCL27" s="433"/>
      <c r="BCM27" s="433"/>
      <c r="BCN27" s="433"/>
      <c r="BCO27" s="433"/>
      <c r="BCP27" s="433"/>
      <c r="BCQ27" s="433"/>
      <c r="BCR27" s="433"/>
      <c r="BCS27" s="433"/>
      <c r="BCT27" s="433"/>
      <c r="BCU27" s="433"/>
      <c r="BCV27" s="1037"/>
      <c r="BCW27" s="1438"/>
      <c r="BCX27" s="433"/>
      <c r="BCY27" s="433"/>
      <c r="BCZ27" s="433"/>
      <c r="BDA27" s="433"/>
      <c r="BDB27" s="433"/>
      <c r="BDC27" s="433"/>
      <c r="BDD27" s="433"/>
      <c r="BDE27" s="433"/>
      <c r="BDF27" s="433"/>
      <c r="BDG27" s="433"/>
      <c r="BDH27" s="1037"/>
      <c r="BDI27" s="1438"/>
      <c r="BDJ27" s="433"/>
      <c r="BDK27" s="433"/>
      <c r="BDL27" s="433"/>
      <c r="BDM27" s="433"/>
      <c r="BDN27" s="433"/>
      <c r="BDO27" s="433"/>
      <c r="BDP27" s="433"/>
      <c r="BDQ27" s="433"/>
      <c r="BDR27" s="433"/>
      <c r="BDS27" s="433"/>
      <c r="BDT27" s="1037"/>
      <c r="BDU27" s="1438"/>
      <c r="BDV27" s="433"/>
      <c r="BDW27" s="433"/>
      <c r="BDX27" s="433"/>
      <c r="BDY27" s="433"/>
      <c r="BDZ27" s="433"/>
      <c r="BEA27" s="433"/>
      <c r="BEB27" s="433"/>
      <c r="BEC27" s="433"/>
      <c r="BED27" s="433"/>
      <c r="BEE27" s="433"/>
      <c r="BEF27" s="1037"/>
      <c r="BEG27" s="1438"/>
      <c r="BEH27" s="433"/>
      <c r="BEI27" s="433"/>
      <c r="BEJ27" s="433"/>
      <c r="BEK27" s="433"/>
      <c r="BEL27" s="433"/>
      <c r="BEM27" s="433"/>
      <c r="BEN27" s="433"/>
      <c r="BEO27" s="433"/>
      <c r="BEP27" s="433"/>
      <c r="BEQ27" s="433"/>
      <c r="BER27" s="1037"/>
      <c r="BES27" s="1438"/>
      <c r="BET27" s="433"/>
      <c r="BEU27" s="433"/>
      <c r="BEV27" s="433"/>
      <c r="BEW27" s="433"/>
      <c r="BEX27" s="433"/>
      <c r="BEY27" s="433"/>
      <c r="BEZ27" s="433"/>
      <c r="BFA27" s="433"/>
      <c r="BFB27" s="433"/>
      <c r="BFC27" s="433"/>
      <c r="BFD27" s="1037"/>
      <c r="BFE27" s="1438"/>
      <c r="BFF27" s="433"/>
      <c r="BFG27" s="433"/>
      <c r="BFH27" s="433"/>
      <c r="BFI27" s="433"/>
      <c r="BFJ27" s="433"/>
      <c r="BFK27" s="433"/>
      <c r="BFL27" s="433"/>
      <c r="BFM27" s="433"/>
      <c r="BFN27" s="433"/>
      <c r="BFO27" s="433"/>
      <c r="BFP27" s="1037"/>
      <c r="BFQ27" s="1438"/>
      <c r="BFR27" s="433"/>
      <c r="BFS27" s="433"/>
      <c r="BFT27" s="433"/>
      <c r="BFU27" s="433"/>
      <c r="BFV27" s="433"/>
      <c r="BFW27" s="433"/>
      <c r="BFX27" s="433"/>
      <c r="BFY27" s="433"/>
      <c r="BFZ27" s="433"/>
      <c r="BGA27" s="433"/>
      <c r="BGB27" s="1037"/>
      <c r="BGC27" s="1438"/>
      <c r="BGD27" s="433"/>
      <c r="BGE27" s="433"/>
      <c r="BGF27" s="433"/>
      <c r="BGG27" s="433"/>
      <c r="BGH27" s="433"/>
      <c r="BGI27" s="433"/>
      <c r="BGJ27" s="433"/>
      <c r="BGK27" s="433"/>
      <c r="BGL27" s="433"/>
      <c r="BGM27" s="433"/>
      <c r="BGN27" s="1037"/>
      <c r="BGO27" s="1438"/>
      <c r="BGP27" s="433"/>
      <c r="BGQ27" s="433"/>
      <c r="BGR27" s="433"/>
      <c r="BGS27" s="433"/>
      <c r="BGT27" s="433"/>
      <c r="BGU27" s="433"/>
      <c r="BGV27" s="433"/>
      <c r="BGW27" s="433"/>
      <c r="BGX27" s="433"/>
      <c r="BGY27" s="433"/>
      <c r="BGZ27" s="1037"/>
      <c r="BHA27" s="1438"/>
      <c r="BHB27" s="433"/>
      <c r="BHC27" s="433"/>
      <c r="BHD27" s="433"/>
      <c r="BHE27" s="433"/>
      <c r="BHF27" s="433"/>
      <c r="BHG27" s="433"/>
      <c r="BHH27" s="433"/>
      <c r="BHI27" s="433"/>
      <c r="BHJ27" s="433"/>
      <c r="BHK27" s="433"/>
      <c r="BHL27" s="1037"/>
      <c r="BHM27" s="1438"/>
      <c r="BHN27" s="433"/>
      <c r="BHO27" s="433"/>
      <c r="BHP27" s="433"/>
      <c r="BHQ27" s="433"/>
      <c r="BHR27" s="433"/>
      <c r="BHS27" s="433"/>
      <c r="BHT27" s="433"/>
      <c r="BHU27" s="433"/>
      <c r="BHV27" s="433"/>
      <c r="BHW27" s="433"/>
      <c r="BHX27" s="1037"/>
      <c r="BHY27" s="1438"/>
      <c r="BHZ27" s="433"/>
      <c r="BIA27" s="433"/>
      <c r="BIB27" s="433"/>
      <c r="BIC27" s="433"/>
      <c r="BID27" s="433"/>
      <c r="BIE27" s="433"/>
      <c r="BIF27" s="433"/>
      <c r="BIG27" s="433"/>
      <c r="BIH27" s="433"/>
      <c r="BII27" s="433"/>
      <c r="BIJ27" s="1037"/>
      <c r="BIK27" s="1438"/>
      <c r="BIL27" s="433"/>
      <c r="BIM27" s="433"/>
      <c r="BIN27" s="433"/>
      <c r="BIO27" s="433"/>
      <c r="BIP27" s="433"/>
      <c r="BIQ27" s="433"/>
      <c r="BIR27" s="433"/>
      <c r="BIS27" s="433"/>
      <c r="BIT27" s="433"/>
      <c r="BIU27" s="433"/>
      <c r="BIV27" s="1037"/>
      <c r="BIW27" s="1438"/>
      <c r="BIX27" s="433"/>
      <c r="BIY27" s="433"/>
      <c r="BIZ27" s="433"/>
      <c r="BJA27" s="433"/>
      <c r="BJB27" s="433"/>
      <c r="BJC27" s="433"/>
      <c r="BJD27" s="433"/>
      <c r="BJE27" s="433"/>
      <c r="BJF27" s="433"/>
      <c r="BJG27" s="433"/>
      <c r="BJH27" s="1037"/>
      <c r="BJI27" s="1438"/>
      <c r="BJJ27" s="433"/>
      <c r="BJK27" s="433"/>
      <c r="BJL27" s="433"/>
      <c r="BJM27" s="433"/>
      <c r="BJN27" s="433"/>
      <c r="BJO27" s="433"/>
      <c r="BJP27" s="433"/>
      <c r="BJQ27" s="433"/>
      <c r="BJR27" s="433"/>
      <c r="BJS27" s="433"/>
      <c r="BJT27" s="1037"/>
      <c r="BJU27" s="1438"/>
      <c r="BJV27" s="433"/>
      <c r="BJW27" s="433"/>
      <c r="BJX27" s="433"/>
      <c r="BJY27" s="433"/>
      <c r="BJZ27" s="433"/>
      <c r="BKA27" s="433"/>
      <c r="BKB27" s="433"/>
      <c r="BKC27" s="433"/>
      <c r="BKD27" s="433"/>
      <c r="BKE27" s="433"/>
      <c r="BKF27" s="1037"/>
      <c r="BKG27" s="1438"/>
      <c r="BKH27" s="433"/>
      <c r="BKI27" s="433"/>
      <c r="BKJ27" s="433"/>
      <c r="BKK27" s="433"/>
      <c r="BKL27" s="433"/>
      <c r="BKM27" s="433"/>
      <c r="BKN27" s="433"/>
      <c r="BKO27" s="433"/>
      <c r="BKP27" s="433"/>
      <c r="BKQ27" s="433"/>
      <c r="BKR27" s="1037"/>
      <c r="BKS27" s="1438"/>
      <c r="BKT27" s="433"/>
      <c r="BKU27" s="433"/>
      <c r="BKV27" s="433"/>
      <c r="BKW27" s="433"/>
      <c r="BKX27" s="433"/>
      <c r="BKY27" s="433"/>
      <c r="BKZ27" s="433"/>
      <c r="BLA27" s="433"/>
      <c r="BLB27" s="433"/>
      <c r="BLC27" s="433"/>
      <c r="BLD27" s="1037"/>
      <c r="BLE27" s="1438"/>
      <c r="BLF27" s="433"/>
      <c r="BLG27" s="433"/>
      <c r="BLH27" s="433"/>
      <c r="BLI27" s="433"/>
      <c r="BLJ27" s="433"/>
      <c r="BLK27" s="433"/>
      <c r="BLL27" s="433"/>
      <c r="BLM27" s="433"/>
      <c r="BLN27" s="433"/>
      <c r="BLO27" s="433"/>
      <c r="BLP27" s="1037"/>
      <c r="BLQ27" s="1438"/>
      <c r="BLR27" s="433"/>
      <c r="BLS27" s="433"/>
      <c r="BLT27" s="433"/>
      <c r="BLU27" s="433"/>
      <c r="BLV27" s="433"/>
      <c r="BLW27" s="433"/>
      <c r="BLX27" s="433"/>
      <c r="BLY27" s="433"/>
      <c r="BLZ27" s="433"/>
      <c r="BMA27" s="433"/>
      <c r="BMB27" s="1037"/>
      <c r="BMC27" s="1438"/>
      <c r="BMD27" s="433"/>
      <c r="BME27" s="433"/>
      <c r="BMF27" s="433"/>
      <c r="BMG27" s="433"/>
      <c r="BMH27" s="433"/>
      <c r="BMI27" s="433"/>
      <c r="BMJ27" s="433"/>
      <c r="BMK27" s="433"/>
      <c r="BML27" s="433"/>
      <c r="BMM27" s="433"/>
      <c r="BMN27" s="1037"/>
      <c r="BMO27" s="1438"/>
      <c r="BMP27" s="433"/>
      <c r="BMQ27" s="433"/>
      <c r="BMR27" s="433"/>
      <c r="BMS27" s="433"/>
      <c r="BMT27" s="433"/>
      <c r="BMU27" s="433"/>
      <c r="BMV27" s="433"/>
      <c r="BMW27" s="433"/>
      <c r="BMX27" s="433"/>
      <c r="BMY27" s="433"/>
      <c r="BMZ27" s="1037"/>
      <c r="BNA27" s="1438"/>
      <c r="BNB27" s="433"/>
      <c r="BNC27" s="433"/>
      <c r="BND27" s="433"/>
      <c r="BNE27" s="433"/>
      <c r="BNF27" s="433"/>
      <c r="BNG27" s="433"/>
      <c r="BNH27" s="433"/>
      <c r="BNI27" s="433"/>
      <c r="BNJ27" s="433"/>
      <c r="BNK27" s="433"/>
      <c r="BNL27" s="1037"/>
      <c r="BNM27" s="1438"/>
      <c r="BNN27" s="433"/>
      <c r="BNO27" s="433"/>
      <c r="BNP27" s="433"/>
      <c r="BNQ27" s="433"/>
      <c r="BNR27" s="433"/>
      <c r="BNS27" s="433"/>
      <c r="BNT27" s="433"/>
      <c r="BNU27" s="433"/>
      <c r="BNV27" s="433"/>
      <c r="BNW27" s="433"/>
      <c r="BNX27" s="1037"/>
      <c r="BNY27" s="1438"/>
      <c r="BNZ27" s="433"/>
      <c r="BOA27" s="433"/>
      <c r="BOB27" s="433"/>
      <c r="BOC27" s="433"/>
      <c r="BOD27" s="433"/>
      <c r="BOE27" s="433"/>
      <c r="BOF27" s="433"/>
      <c r="BOG27" s="433"/>
      <c r="BOH27" s="433"/>
      <c r="BOI27" s="433"/>
      <c r="BOJ27" s="1037"/>
      <c r="BOK27" s="1438"/>
      <c r="BOL27" s="433"/>
      <c r="BOM27" s="433"/>
      <c r="BON27" s="433"/>
      <c r="BOO27" s="433"/>
      <c r="BOP27" s="433"/>
      <c r="BOQ27" s="433"/>
      <c r="BOR27" s="433"/>
      <c r="BOS27" s="433"/>
      <c r="BOT27" s="433"/>
      <c r="BOU27" s="433"/>
      <c r="BOV27" s="1037"/>
      <c r="BOW27" s="1438"/>
      <c r="BOX27" s="433"/>
      <c r="BOY27" s="433"/>
      <c r="BOZ27" s="433"/>
      <c r="BPA27" s="433"/>
      <c r="BPB27" s="433"/>
      <c r="BPC27" s="433"/>
      <c r="BPD27" s="433"/>
      <c r="BPE27" s="433"/>
      <c r="BPF27" s="433"/>
      <c r="BPG27" s="433"/>
      <c r="BPH27" s="1037"/>
      <c r="BPI27" s="1438"/>
      <c r="BPJ27" s="433"/>
      <c r="BPK27" s="433"/>
      <c r="BPL27" s="433"/>
      <c r="BPM27" s="433"/>
      <c r="BPN27" s="433"/>
      <c r="BPO27" s="433"/>
      <c r="BPP27" s="433"/>
      <c r="BPQ27" s="433"/>
      <c r="BPR27" s="433"/>
      <c r="BPS27" s="433"/>
      <c r="BPT27" s="1037"/>
      <c r="BPU27" s="1438"/>
      <c r="BPV27" s="433"/>
      <c r="BPW27" s="433"/>
      <c r="BPX27" s="433"/>
      <c r="BPY27" s="433"/>
      <c r="BPZ27" s="433"/>
      <c r="BQA27" s="433"/>
      <c r="BQB27" s="433"/>
      <c r="BQC27" s="433"/>
      <c r="BQD27" s="433"/>
      <c r="BQE27" s="433"/>
      <c r="BQF27" s="1037"/>
      <c r="BQG27" s="1438"/>
      <c r="BQH27" s="433"/>
      <c r="BQI27" s="433"/>
      <c r="BQJ27" s="433"/>
      <c r="BQK27" s="433"/>
      <c r="BQL27" s="433"/>
      <c r="BQM27" s="433"/>
      <c r="BQN27" s="433"/>
      <c r="BQO27" s="433"/>
      <c r="BQP27" s="433"/>
      <c r="BQQ27" s="433"/>
      <c r="BQR27" s="1037"/>
      <c r="BQS27" s="1438"/>
      <c r="BQT27" s="433"/>
      <c r="BQU27" s="433"/>
      <c r="BQV27" s="433"/>
      <c r="BQW27" s="433"/>
      <c r="BQX27" s="433"/>
      <c r="BQY27" s="433"/>
      <c r="BQZ27" s="433"/>
      <c r="BRA27" s="433"/>
      <c r="BRB27" s="433"/>
      <c r="BRC27" s="433"/>
      <c r="BRD27" s="1037"/>
      <c r="BRE27" s="1438"/>
      <c r="BRF27" s="433"/>
      <c r="BRG27" s="433"/>
      <c r="BRH27" s="433"/>
      <c r="BRI27" s="433"/>
      <c r="BRJ27" s="433"/>
      <c r="BRK27" s="433"/>
      <c r="BRL27" s="433"/>
      <c r="BRM27" s="433"/>
      <c r="BRN27" s="433"/>
      <c r="BRO27" s="433"/>
      <c r="BRP27" s="1037"/>
      <c r="BRQ27" s="1438"/>
      <c r="BRR27" s="433"/>
      <c r="BRS27" s="433"/>
      <c r="BRT27" s="433"/>
      <c r="BRU27" s="433"/>
      <c r="BRV27" s="433"/>
      <c r="BRW27" s="433"/>
      <c r="BRX27" s="433"/>
      <c r="BRY27" s="433"/>
      <c r="BRZ27" s="433"/>
      <c r="BSA27" s="433"/>
      <c r="BSB27" s="1037"/>
      <c r="BSC27" s="1438"/>
      <c r="BSD27" s="433"/>
      <c r="BSE27" s="433"/>
      <c r="BSF27" s="433"/>
      <c r="BSG27" s="433"/>
      <c r="BSH27" s="433"/>
      <c r="BSI27" s="433"/>
      <c r="BSJ27" s="433"/>
      <c r="BSK27" s="433"/>
      <c r="BSL27" s="433"/>
      <c r="BSM27" s="433"/>
      <c r="BSN27" s="1037"/>
      <c r="BSO27" s="1438"/>
      <c r="BSP27" s="433"/>
      <c r="BSQ27" s="433"/>
      <c r="BSR27" s="433"/>
      <c r="BSS27" s="433"/>
      <c r="BST27" s="433"/>
      <c r="BSU27" s="433"/>
      <c r="BSV27" s="433"/>
      <c r="BSW27" s="433"/>
      <c r="BSX27" s="433"/>
      <c r="BSY27" s="433"/>
      <c r="BSZ27" s="1037"/>
      <c r="BTA27" s="1438"/>
      <c r="BTB27" s="433"/>
      <c r="BTC27" s="433"/>
      <c r="BTD27" s="433"/>
      <c r="BTE27" s="433"/>
      <c r="BTF27" s="433"/>
      <c r="BTG27" s="433"/>
      <c r="BTH27" s="433"/>
      <c r="BTI27" s="433"/>
      <c r="BTJ27" s="433"/>
      <c r="BTK27" s="433"/>
      <c r="BTL27" s="1037"/>
      <c r="BTM27" s="1438"/>
      <c r="BTN27" s="433"/>
      <c r="BTO27" s="433"/>
      <c r="BTP27" s="433"/>
      <c r="BTQ27" s="433"/>
      <c r="BTR27" s="433"/>
      <c r="BTS27" s="433"/>
      <c r="BTT27" s="433"/>
      <c r="BTU27" s="433"/>
      <c r="BTV27" s="433"/>
      <c r="BTW27" s="433"/>
      <c r="BTX27" s="1037"/>
      <c r="BTY27" s="1438"/>
      <c r="BTZ27" s="433"/>
      <c r="BUA27" s="433"/>
      <c r="BUB27" s="433"/>
      <c r="BUC27" s="433"/>
      <c r="BUD27" s="433"/>
      <c r="BUE27" s="433"/>
      <c r="BUF27" s="433"/>
      <c r="BUG27" s="433"/>
      <c r="BUH27" s="433"/>
      <c r="BUI27" s="433"/>
      <c r="BUJ27" s="1037"/>
      <c r="BUK27" s="1438"/>
      <c r="BUL27" s="433"/>
      <c r="BUM27" s="433"/>
      <c r="BUN27" s="433"/>
      <c r="BUO27" s="433"/>
      <c r="BUP27" s="433"/>
      <c r="BUQ27" s="433"/>
      <c r="BUR27" s="433"/>
      <c r="BUS27" s="433"/>
      <c r="BUT27" s="433"/>
      <c r="BUU27" s="433"/>
      <c r="BUV27" s="1037"/>
      <c r="BUW27" s="1438"/>
      <c r="BUX27" s="433"/>
      <c r="BUY27" s="433"/>
      <c r="BUZ27" s="433"/>
      <c r="BVA27" s="433"/>
      <c r="BVB27" s="433"/>
      <c r="BVC27" s="433"/>
      <c r="BVD27" s="433"/>
      <c r="BVE27" s="433"/>
      <c r="BVF27" s="433"/>
      <c r="BVG27" s="433"/>
      <c r="BVH27" s="1037"/>
      <c r="BVI27" s="1438"/>
      <c r="BVJ27" s="433"/>
      <c r="BVK27" s="433"/>
      <c r="BVL27" s="433"/>
      <c r="BVM27" s="433"/>
      <c r="BVN27" s="433"/>
      <c r="BVO27" s="433"/>
      <c r="BVP27" s="433"/>
      <c r="BVQ27" s="433"/>
      <c r="BVR27" s="433"/>
      <c r="BVS27" s="433"/>
      <c r="BVT27" s="1037"/>
      <c r="BVU27" s="1438"/>
      <c r="BVV27" s="433"/>
      <c r="BVW27" s="433"/>
      <c r="BVX27" s="433"/>
      <c r="BVY27" s="433"/>
      <c r="BVZ27" s="433"/>
      <c r="BWA27" s="433"/>
      <c r="BWB27" s="433"/>
      <c r="BWC27" s="433"/>
      <c r="BWD27" s="433"/>
      <c r="BWE27" s="433"/>
      <c r="BWF27" s="1037"/>
      <c r="BWG27" s="1438"/>
      <c r="BWH27" s="433"/>
      <c r="BWI27" s="433"/>
      <c r="BWJ27" s="433"/>
      <c r="BWK27" s="433"/>
      <c r="BWL27" s="433"/>
      <c r="BWM27" s="433"/>
      <c r="BWN27" s="433"/>
      <c r="BWO27" s="433"/>
      <c r="BWP27" s="433"/>
      <c r="BWQ27" s="433"/>
      <c r="BWR27" s="1037"/>
      <c r="BWS27" s="1438"/>
      <c r="BWT27" s="433"/>
      <c r="BWU27" s="433"/>
      <c r="BWV27" s="433"/>
      <c r="BWW27" s="433"/>
      <c r="BWX27" s="433"/>
      <c r="BWY27" s="433"/>
      <c r="BWZ27" s="433"/>
      <c r="BXA27" s="433"/>
      <c r="BXB27" s="433"/>
      <c r="BXC27" s="433"/>
      <c r="BXD27" s="1037"/>
      <c r="BXE27" s="1438"/>
      <c r="BXF27" s="433"/>
      <c r="BXG27" s="433"/>
      <c r="BXH27" s="433"/>
      <c r="BXI27" s="433"/>
      <c r="BXJ27" s="433"/>
      <c r="BXK27" s="433"/>
      <c r="BXL27" s="433"/>
      <c r="BXM27" s="433"/>
      <c r="BXN27" s="433"/>
      <c r="BXO27" s="433"/>
      <c r="BXP27" s="1037"/>
      <c r="BXQ27" s="1438"/>
      <c r="BXR27" s="433"/>
      <c r="BXS27" s="433"/>
      <c r="BXT27" s="433"/>
      <c r="BXU27" s="433"/>
      <c r="BXV27" s="433"/>
      <c r="BXW27" s="433"/>
      <c r="BXX27" s="433"/>
      <c r="BXY27" s="433"/>
      <c r="BXZ27" s="433"/>
      <c r="BYA27" s="433"/>
      <c r="BYB27" s="1037"/>
      <c r="BYC27" s="1438"/>
      <c r="BYD27" s="433"/>
      <c r="BYE27" s="433"/>
      <c r="BYF27" s="433"/>
      <c r="BYG27" s="433"/>
      <c r="BYH27" s="433"/>
      <c r="BYI27" s="433"/>
      <c r="BYJ27" s="433"/>
      <c r="BYK27" s="433"/>
      <c r="BYL27" s="433"/>
      <c r="BYM27" s="433"/>
      <c r="BYN27" s="1037"/>
      <c r="BYO27" s="1438"/>
      <c r="BYP27" s="433"/>
      <c r="BYQ27" s="433"/>
      <c r="BYR27" s="433"/>
      <c r="BYS27" s="433"/>
      <c r="BYT27" s="433"/>
      <c r="BYU27" s="433"/>
      <c r="BYV27" s="433"/>
      <c r="BYW27" s="433"/>
      <c r="BYX27" s="433"/>
      <c r="BYY27" s="433"/>
      <c r="BYZ27" s="1037"/>
      <c r="BZA27" s="1438"/>
      <c r="BZB27" s="433"/>
      <c r="BZC27" s="433"/>
      <c r="BZD27" s="433"/>
      <c r="BZE27" s="433"/>
      <c r="BZF27" s="433"/>
      <c r="BZG27" s="433"/>
      <c r="BZH27" s="433"/>
      <c r="BZI27" s="433"/>
      <c r="BZJ27" s="433"/>
      <c r="BZK27" s="433"/>
      <c r="BZL27" s="1037"/>
      <c r="BZM27" s="1438"/>
      <c r="BZN27" s="433"/>
      <c r="BZO27" s="433"/>
      <c r="BZP27" s="433"/>
      <c r="BZQ27" s="433"/>
      <c r="BZR27" s="433"/>
      <c r="BZS27" s="433"/>
      <c r="BZT27" s="433"/>
      <c r="BZU27" s="433"/>
      <c r="BZV27" s="433"/>
      <c r="BZW27" s="433"/>
      <c r="BZX27" s="1037"/>
      <c r="BZY27" s="1438"/>
      <c r="BZZ27" s="433"/>
      <c r="CAA27" s="433"/>
      <c r="CAB27" s="433"/>
      <c r="CAC27" s="433"/>
      <c r="CAD27" s="433"/>
      <c r="CAE27" s="433"/>
      <c r="CAF27" s="433"/>
      <c r="CAG27" s="433"/>
      <c r="CAH27" s="433"/>
      <c r="CAI27" s="433"/>
      <c r="CAJ27" s="1037"/>
      <c r="CAK27" s="1438"/>
      <c r="CAL27" s="433"/>
      <c r="CAM27" s="433"/>
      <c r="CAN27" s="433"/>
      <c r="CAO27" s="433"/>
      <c r="CAP27" s="433"/>
      <c r="CAQ27" s="433"/>
      <c r="CAR27" s="433"/>
      <c r="CAS27" s="433"/>
      <c r="CAT27" s="433"/>
      <c r="CAU27" s="433"/>
      <c r="CAV27" s="1037"/>
      <c r="CAW27" s="1438"/>
      <c r="CAX27" s="433"/>
      <c r="CAY27" s="433"/>
      <c r="CAZ27" s="433"/>
      <c r="CBA27" s="433"/>
      <c r="CBB27" s="433"/>
      <c r="CBC27" s="433"/>
      <c r="CBD27" s="433"/>
      <c r="CBE27" s="433"/>
      <c r="CBF27" s="433"/>
      <c r="CBG27" s="433"/>
      <c r="CBH27" s="1037"/>
      <c r="CBI27" s="1438"/>
      <c r="CBJ27" s="433"/>
      <c r="CBK27" s="433"/>
      <c r="CBL27" s="433"/>
      <c r="CBM27" s="433"/>
      <c r="CBN27" s="433"/>
      <c r="CBO27" s="433"/>
      <c r="CBP27" s="433"/>
      <c r="CBQ27" s="433"/>
      <c r="CBR27" s="433"/>
      <c r="CBS27" s="433"/>
      <c r="CBT27" s="1037"/>
      <c r="CBU27" s="1438"/>
      <c r="CBV27" s="433"/>
      <c r="CBW27" s="433"/>
      <c r="CBX27" s="433"/>
      <c r="CBY27" s="433"/>
      <c r="CBZ27" s="433"/>
      <c r="CCA27" s="433"/>
      <c r="CCB27" s="433"/>
      <c r="CCC27" s="433"/>
      <c r="CCD27" s="433"/>
      <c r="CCE27" s="433"/>
      <c r="CCF27" s="1037"/>
      <c r="CCG27" s="1438"/>
      <c r="CCH27" s="433"/>
      <c r="CCI27" s="433"/>
      <c r="CCJ27" s="433"/>
      <c r="CCK27" s="433"/>
      <c r="CCL27" s="433"/>
      <c r="CCM27" s="433"/>
      <c r="CCN27" s="433"/>
      <c r="CCO27" s="433"/>
      <c r="CCP27" s="433"/>
      <c r="CCQ27" s="433"/>
      <c r="CCR27" s="1037"/>
      <c r="CCS27" s="1438"/>
      <c r="CCT27" s="433"/>
      <c r="CCU27" s="433"/>
      <c r="CCV27" s="433"/>
      <c r="CCW27" s="433"/>
      <c r="CCX27" s="433"/>
      <c r="CCY27" s="433"/>
      <c r="CCZ27" s="433"/>
      <c r="CDA27" s="433"/>
      <c r="CDB27" s="433"/>
      <c r="CDC27" s="433"/>
      <c r="CDD27" s="1037"/>
      <c r="CDE27" s="1438"/>
      <c r="CDF27" s="433"/>
      <c r="CDG27" s="433"/>
      <c r="CDH27" s="433"/>
      <c r="CDI27" s="433"/>
      <c r="CDJ27" s="433"/>
      <c r="CDK27" s="433"/>
      <c r="CDL27" s="433"/>
      <c r="CDM27" s="433"/>
      <c r="CDN27" s="433"/>
      <c r="CDO27" s="433"/>
      <c r="CDP27" s="1037"/>
      <c r="CDQ27" s="1438"/>
      <c r="CDR27" s="433"/>
      <c r="CDS27" s="433"/>
      <c r="CDT27" s="433"/>
      <c r="CDU27" s="433"/>
      <c r="CDV27" s="433"/>
      <c r="CDW27" s="433"/>
      <c r="CDX27" s="433"/>
      <c r="CDY27" s="433"/>
      <c r="CDZ27" s="433"/>
      <c r="CEA27" s="433"/>
      <c r="CEB27" s="1037"/>
      <c r="CEC27" s="1438"/>
      <c r="CED27" s="433"/>
      <c r="CEE27" s="433"/>
      <c r="CEF27" s="433"/>
      <c r="CEG27" s="433"/>
      <c r="CEH27" s="433"/>
      <c r="CEI27" s="433"/>
      <c r="CEJ27" s="433"/>
      <c r="CEK27" s="433"/>
      <c r="CEL27" s="433"/>
      <c r="CEM27" s="433"/>
      <c r="CEN27" s="1037"/>
      <c r="CEO27" s="1438"/>
      <c r="CEP27" s="433"/>
      <c r="CEQ27" s="433"/>
      <c r="CER27" s="433"/>
      <c r="CES27" s="433"/>
      <c r="CET27" s="433"/>
      <c r="CEU27" s="433"/>
      <c r="CEV27" s="433"/>
      <c r="CEW27" s="433"/>
      <c r="CEX27" s="433"/>
      <c r="CEY27" s="433"/>
      <c r="CEZ27" s="1037"/>
      <c r="CFA27" s="1438"/>
      <c r="CFB27" s="433"/>
      <c r="CFC27" s="433"/>
      <c r="CFD27" s="433"/>
      <c r="CFE27" s="433"/>
      <c r="CFF27" s="433"/>
      <c r="CFG27" s="433"/>
      <c r="CFH27" s="433"/>
      <c r="CFI27" s="433"/>
      <c r="CFJ27" s="433"/>
      <c r="CFK27" s="433"/>
      <c r="CFL27" s="1037"/>
      <c r="CFM27" s="1438"/>
      <c r="CFN27" s="433"/>
      <c r="CFO27" s="433"/>
      <c r="CFP27" s="433"/>
      <c r="CFQ27" s="433"/>
      <c r="CFR27" s="433"/>
      <c r="CFS27" s="433"/>
      <c r="CFT27" s="433"/>
      <c r="CFU27" s="433"/>
      <c r="CFV27" s="433"/>
      <c r="CFW27" s="433"/>
      <c r="CFX27" s="1037"/>
      <c r="CFY27" s="1438"/>
      <c r="CFZ27" s="433"/>
      <c r="CGA27" s="433"/>
      <c r="CGB27" s="433"/>
      <c r="CGC27" s="433"/>
      <c r="CGD27" s="433"/>
      <c r="CGE27" s="433"/>
      <c r="CGF27" s="433"/>
      <c r="CGG27" s="433"/>
      <c r="CGH27" s="433"/>
      <c r="CGI27" s="433"/>
      <c r="CGJ27" s="1037"/>
      <c r="CGK27" s="1438"/>
      <c r="CGL27" s="433"/>
      <c r="CGM27" s="433"/>
      <c r="CGN27" s="433"/>
      <c r="CGO27" s="433"/>
      <c r="CGP27" s="433"/>
      <c r="CGQ27" s="433"/>
      <c r="CGR27" s="433"/>
      <c r="CGS27" s="433"/>
      <c r="CGT27" s="433"/>
      <c r="CGU27" s="433"/>
      <c r="CGV27" s="1037"/>
      <c r="CGW27" s="1438"/>
      <c r="CGX27" s="433"/>
      <c r="CGY27" s="433"/>
      <c r="CGZ27" s="433"/>
      <c r="CHA27" s="433"/>
      <c r="CHB27" s="433"/>
      <c r="CHC27" s="433"/>
      <c r="CHD27" s="433"/>
      <c r="CHE27" s="433"/>
      <c r="CHF27" s="433"/>
      <c r="CHG27" s="433"/>
      <c r="CHH27" s="1037"/>
      <c r="CHI27" s="1438"/>
      <c r="CHJ27" s="433"/>
      <c r="CHK27" s="433"/>
      <c r="CHL27" s="433"/>
      <c r="CHM27" s="433"/>
      <c r="CHN27" s="433"/>
      <c r="CHO27" s="433"/>
      <c r="CHP27" s="433"/>
      <c r="CHQ27" s="433"/>
      <c r="CHR27" s="433"/>
      <c r="CHS27" s="433"/>
      <c r="CHT27" s="1037"/>
      <c r="CHU27" s="1438"/>
      <c r="CHV27" s="433"/>
      <c r="CHW27" s="433"/>
      <c r="CHX27" s="433"/>
      <c r="CHY27" s="433"/>
      <c r="CHZ27" s="433"/>
      <c r="CIA27" s="433"/>
      <c r="CIB27" s="433"/>
      <c r="CIC27" s="433"/>
      <c r="CID27" s="433"/>
      <c r="CIE27" s="433"/>
      <c r="CIF27" s="1037"/>
      <c r="CIG27" s="1438"/>
      <c r="CIH27" s="433"/>
      <c r="CII27" s="433"/>
      <c r="CIJ27" s="433"/>
      <c r="CIK27" s="433"/>
      <c r="CIL27" s="433"/>
      <c r="CIM27" s="433"/>
      <c r="CIN27" s="433"/>
      <c r="CIO27" s="433"/>
      <c r="CIP27" s="433"/>
      <c r="CIQ27" s="433"/>
      <c r="CIR27" s="1037"/>
      <c r="CIS27" s="1438"/>
      <c r="CIT27" s="433"/>
      <c r="CIU27" s="433"/>
      <c r="CIV27" s="433"/>
      <c r="CIW27" s="433"/>
      <c r="CIX27" s="433"/>
      <c r="CIY27" s="433"/>
      <c r="CIZ27" s="433"/>
      <c r="CJA27" s="433"/>
      <c r="CJB27" s="433"/>
      <c r="CJC27" s="433"/>
      <c r="CJD27" s="1037"/>
      <c r="CJE27" s="1438"/>
      <c r="CJF27" s="433"/>
      <c r="CJG27" s="433"/>
      <c r="CJH27" s="433"/>
      <c r="CJI27" s="433"/>
      <c r="CJJ27" s="433"/>
      <c r="CJK27" s="433"/>
      <c r="CJL27" s="433"/>
      <c r="CJM27" s="433"/>
      <c r="CJN27" s="433"/>
      <c r="CJO27" s="433"/>
      <c r="CJP27" s="1037"/>
      <c r="CJQ27" s="1438"/>
      <c r="CJR27" s="433"/>
      <c r="CJS27" s="433"/>
      <c r="CJT27" s="433"/>
      <c r="CJU27" s="433"/>
      <c r="CJV27" s="433"/>
      <c r="CJW27" s="433"/>
      <c r="CJX27" s="433"/>
      <c r="CJY27" s="433"/>
      <c r="CJZ27" s="433"/>
      <c r="CKA27" s="433"/>
      <c r="CKB27" s="1037"/>
      <c r="CKC27" s="1438"/>
      <c r="CKD27" s="433"/>
      <c r="CKE27" s="433"/>
      <c r="CKF27" s="433"/>
      <c r="CKG27" s="433"/>
      <c r="CKH27" s="433"/>
      <c r="CKI27" s="433"/>
      <c r="CKJ27" s="433"/>
      <c r="CKK27" s="433"/>
      <c r="CKL27" s="433"/>
      <c r="CKM27" s="433"/>
      <c r="CKN27" s="1037"/>
      <c r="CKO27" s="1438"/>
      <c r="CKP27" s="433"/>
      <c r="CKQ27" s="433"/>
      <c r="CKR27" s="433"/>
      <c r="CKS27" s="433"/>
      <c r="CKT27" s="433"/>
      <c r="CKU27" s="433"/>
      <c r="CKV27" s="433"/>
      <c r="CKW27" s="433"/>
      <c r="CKX27" s="433"/>
      <c r="CKY27" s="433"/>
      <c r="CKZ27" s="1037"/>
      <c r="CLA27" s="1438"/>
      <c r="CLB27" s="433"/>
      <c r="CLC27" s="433"/>
      <c r="CLD27" s="433"/>
      <c r="CLE27" s="433"/>
      <c r="CLF27" s="433"/>
      <c r="CLG27" s="433"/>
      <c r="CLH27" s="433"/>
      <c r="CLI27" s="433"/>
      <c r="CLJ27" s="433"/>
      <c r="CLK27" s="433"/>
      <c r="CLL27" s="1037"/>
      <c r="CLM27" s="1438"/>
      <c r="CLN27" s="433"/>
      <c r="CLO27" s="433"/>
      <c r="CLP27" s="433"/>
      <c r="CLQ27" s="433"/>
      <c r="CLR27" s="433"/>
      <c r="CLS27" s="433"/>
      <c r="CLT27" s="433"/>
      <c r="CLU27" s="433"/>
      <c r="CLV27" s="433"/>
      <c r="CLW27" s="433"/>
      <c r="CLX27" s="1037"/>
      <c r="CLY27" s="1438"/>
      <c r="CLZ27" s="433"/>
      <c r="CMA27" s="433"/>
      <c r="CMB27" s="433"/>
      <c r="CMC27" s="433"/>
      <c r="CMD27" s="433"/>
      <c r="CME27" s="433"/>
      <c r="CMF27" s="433"/>
      <c r="CMG27" s="433"/>
      <c r="CMH27" s="433"/>
      <c r="CMI27" s="433"/>
      <c r="CMJ27" s="1037"/>
      <c r="CMK27" s="1438"/>
      <c r="CML27" s="433"/>
      <c r="CMM27" s="433"/>
      <c r="CMN27" s="433"/>
      <c r="CMO27" s="433"/>
      <c r="CMP27" s="433"/>
      <c r="CMQ27" s="433"/>
      <c r="CMR27" s="433"/>
      <c r="CMS27" s="433"/>
      <c r="CMT27" s="433"/>
      <c r="CMU27" s="433"/>
      <c r="CMV27" s="1037"/>
      <c r="CMW27" s="1438"/>
      <c r="CMX27" s="433"/>
      <c r="CMY27" s="433"/>
      <c r="CMZ27" s="433"/>
      <c r="CNA27" s="433"/>
      <c r="CNB27" s="433"/>
      <c r="CNC27" s="433"/>
      <c r="CND27" s="433"/>
      <c r="CNE27" s="433"/>
      <c r="CNF27" s="433"/>
      <c r="CNG27" s="433"/>
      <c r="CNH27" s="1037"/>
      <c r="CNI27" s="1438"/>
      <c r="CNJ27" s="433"/>
      <c r="CNK27" s="433"/>
      <c r="CNL27" s="433"/>
      <c r="CNM27" s="433"/>
      <c r="CNN27" s="433"/>
      <c r="CNO27" s="433"/>
      <c r="CNP27" s="433"/>
      <c r="CNQ27" s="433"/>
      <c r="CNR27" s="433"/>
      <c r="CNS27" s="433"/>
      <c r="CNT27" s="1037"/>
      <c r="CNU27" s="1438"/>
      <c r="CNV27" s="433"/>
      <c r="CNW27" s="433"/>
      <c r="CNX27" s="433"/>
      <c r="CNY27" s="433"/>
      <c r="CNZ27" s="433"/>
      <c r="COA27" s="433"/>
      <c r="COB27" s="433"/>
      <c r="COC27" s="433"/>
      <c r="COD27" s="433"/>
      <c r="COE27" s="433"/>
      <c r="COF27" s="1037"/>
      <c r="COG27" s="1438"/>
      <c r="COH27" s="433"/>
      <c r="COI27" s="433"/>
      <c r="COJ27" s="433"/>
      <c r="COK27" s="433"/>
      <c r="COL27" s="433"/>
      <c r="COM27" s="433"/>
      <c r="CON27" s="433"/>
      <c r="COO27" s="433"/>
      <c r="COP27" s="433"/>
      <c r="COQ27" s="433"/>
      <c r="COR27" s="1037"/>
      <c r="COS27" s="1438"/>
      <c r="COT27" s="433"/>
      <c r="COU27" s="433"/>
      <c r="COV27" s="433"/>
      <c r="COW27" s="433"/>
      <c r="COX27" s="433"/>
      <c r="COY27" s="433"/>
      <c r="COZ27" s="433"/>
      <c r="CPA27" s="433"/>
      <c r="CPB27" s="433"/>
      <c r="CPC27" s="433"/>
      <c r="CPD27" s="1037"/>
      <c r="CPE27" s="1438"/>
      <c r="CPF27" s="433"/>
      <c r="CPG27" s="433"/>
      <c r="CPH27" s="433"/>
      <c r="CPI27" s="433"/>
      <c r="CPJ27" s="433"/>
      <c r="CPK27" s="433"/>
      <c r="CPL27" s="433"/>
      <c r="CPM27" s="433"/>
      <c r="CPN27" s="433"/>
      <c r="CPO27" s="433"/>
      <c r="CPP27" s="1037"/>
      <c r="CPQ27" s="1438"/>
      <c r="CPR27" s="433"/>
      <c r="CPS27" s="433"/>
      <c r="CPT27" s="433"/>
      <c r="CPU27" s="433"/>
      <c r="CPV27" s="433"/>
      <c r="CPW27" s="433"/>
      <c r="CPX27" s="433"/>
      <c r="CPY27" s="433"/>
      <c r="CPZ27" s="433"/>
      <c r="CQA27" s="433"/>
      <c r="CQB27" s="1037"/>
      <c r="CQC27" s="1438"/>
      <c r="CQD27" s="433"/>
      <c r="CQE27" s="433"/>
      <c r="CQF27" s="433"/>
      <c r="CQG27" s="433"/>
      <c r="CQH27" s="433"/>
      <c r="CQI27" s="433"/>
      <c r="CQJ27" s="433"/>
      <c r="CQK27" s="433"/>
      <c r="CQL27" s="433"/>
      <c r="CQM27" s="433"/>
      <c r="CQN27" s="1037"/>
      <c r="CQO27" s="1438"/>
      <c r="CQP27" s="433"/>
      <c r="CQQ27" s="433"/>
      <c r="CQR27" s="433"/>
      <c r="CQS27" s="433"/>
      <c r="CQT27" s="433"/>
      <c r="CQU27" s="433"/>
      <c r="CQV27" s="433"/>
      <c r="CQW27" s="433"/>
      <c r="CQX27" s="433"/>
      <c r="CQY27" s="433"/>
      <c r="CQZ27" s="1037"/>
      <c r="CRA27" s="1438"/>
      <c r="CRB27" s="433"/>
      <c r="CRC27" s="433"/>
      <c r="CRD27" s="433"/>
      <c r="CRE27" s="433"/>
      <c r="CRF27" s="433"/>
      <c r="CRG27" s="433"/>
      <c r="CRH27" s="433"/>
      <c r="CRI27" s="433"/>
      <c r="CRJ27" s="433"/>
      <c r="CRK27" s="433"/>
      <c r="CRL27" s="1037"/>
      <c r="CRM27" s="1438"/>
      <c r="CRN27" s="433"/>
      <c r="CRO27" s="433"/>
      <c r="CRP27" s="433"/>
      <c r="CRQ27" s="433"/>
      <c r="CRR27" s="433"/>
      <c r="CRS27" s="433"/>
      <c r="CRT27" s="433"/>
      <c r="CRU27" s="433"/>
      <c r="CRV27" s="433"/>
      <c r="CRW27" s="433"/>
      <c r="CRX27" s="1037"/>
      <c r="CRY27" s="1438"/>
      <c r="CRZ27" s="433"/>
      <c r="CSA27" s="433"/>
      <c r="CSB27" s="433"/>
      <c r="CSC27" s="433"/>
      <c r="CSD27" s="433"/>
      <c r="CSE27" s="433"/>
      <c r="CSF27" s="433"/>
      <c r="CSG27" s="433"/>
      <c r="CSH27" s="433"/>
      <c r="CSI27" s="433"/>
      <c r="CSJ27" s="1037"/>
      <c r="CSK27" s="1438"/>
      <c r="CSL27" s="433"/>
      <c r="CSM27" s="433"/>
      <c r="CSN27" s="433"/>
      <c r="CSO27" s="433"/>
      <c r="CSP27" s="433"/>
      <c r="CSQ27" s="433"/>
      <c r="CSR27" s="433"/>
      <c r="CSS27" s="433"/>
      <c r="CST27" s="433"/>
      <c r="CSU27" s="433"/>
      <c r="CSV27" s="1037"/>
      <c r="CSW27" s="1438"/>
      <c r="CSX27" s="433"/>
      <c r="CSY27" s="433"/>
      <c r="CSZ27" s="433"/>
      <c r="CTA27" s="433"/>
      <c r="CTB27" s="433"/>
      <c r="CTC27" s="433"/>
      <c r="CTD27" s="433"/>
      <c r="CTE27" s="433"/>
      <c r="CTF27" s="433"/>
      <c r="CTG27" s="433"/>
      <c r="CTH27" s="1037"/>
      <c r="CTI27" s="1438"/>
      <c r="CTJ27" s="433"/>
      <c r="CTK27" s="433"/>
      <c r="CTL27" s="433"/>
      <c r="CTM27" s="433"/>
      <c r="CTN27" s="433"/>
      <c r="CTO27" s="433"/>
      <c r="CTP27" s="433"/>
      <c r="CTQ27" s="433"/>
      <c r="CTR27" s="433"/>
      <c r="CTS27" s="433"/>
      <c r="CTT27" s="1037"/>
      <c r="CTU27" s="1438"/>
      <c r="CTV27" s="433"/>
      <c r="CTW27" s="433"/>
      <c r="CTX27" s="433"/>
      <c r="CTY27" s="433"/>
      <c r="CTZ27" s="433"/>
      <c r="CUA27" s="433"/>
      <c r="CUB27" s="433"/>
      <c r="CUC27" s="433"/>
      <c r="CUD27" s="433"/>
      <c r="CUE27" s="433"/>
      <c r="CUF27" s="1037"/>
      <c r="CUG27" s="1438"/>
      <c r="CUH27" s="433"/>
      <c r="CUI27" s="433"/>
      <c r="CUJ27" s="433"/>
      <c r="CUK27" s="433"/>
      <c r="CUL27" s="433"/>
      <c r="CUM27" s="433"/>
      <c r="CUN27" s="433"/>
      <c r="CUO27" s="433"/>
      <c r="CUP27" s="433"/>
      <c r="CUQ27" s="433"/>
      <c r="CUR27" s="1037"/>
      <c r="CUS27" s="1438"/>
      <c r="CUT27" s="433"/>
      <c r="CUU27" s="433"/>
      <c r="CUV27" s="433"/>
      <c r="CUW27" s="433"/>
      <c r="CUX27" s="433"/>
      <c r="CUY27" s="433"/>
      <c r="CUZ27" s="433"/>
      <c r="CVA27" s="433"/>
      <c r="CVB27" s="433"/>
      <c r="CVC27" s="433"/>
      <c r="CVD27" s="1037"/>
      <c r="CVE27" s="1438"/>
      <c r="CVF27" s="433"/>
      <c r="CVG27" s="433"/>
      <c r="CVH27" s="433"/>
      <c r="CVI27" s="433"/>
      <c r="CVJ27" s="433"/>
      <c r="CVK27" s="433"/>
      <c r="CVL27" s="433"/>
      <c r="CVM27" s="433"/>
      <c r="CVN27" s="433"/>
      <c r="CVO27" s="433"/>
      <c r="CVP27" s="1037"/>
      <c r="CVQ27" s="1438"/>
      <c r="CVR27" s="433"/>
      <c r="CVS27" s="433"/>
      <c r="CVT27" s="433"/>
      <c r="CVU27" s="433"/>
      <c r="CVV27" s="433"/>
      <c r="CVW27" s="433"/>
      <c r="CVX27" s="433"/>
      <c r="CVY27" s="433"/>
      <c r="CVZ27" s="433"/>
      <c r="CWA27" s="433"/>
      <c r="CWB27" s="1037"/>
      <c r="CWC27" s="1438"/>
      <c r="CWD27" s="433"/>
      <c r="CWE27" s="433"/>
      <c r="CWF27" s="433"/>
      <c r="CWG27" s="433"/>
      <c r="CWH27" s="433"/>
      <c r="CWI27" s="433"/>
      <c r="CWJ27" s="433"/>
      <c r="CWK27" s="433"/>
      <c r="CWL27" s="433"/>
      <c r="CWM27" s="433"/>
      <c r="CWN27" s="1037"/>
      <c r="CWO27" s="1438"/>
      <c r="CWP27" s="433"/>
      <c r="CWQ27" s="433"/>
      <c r="CWR27" s="433"/>
      <c r="CWS27" s="433"/>
      <c r="CWT27" s="433"/>
      <c r="CWU27" s="433"/>
      <c r="CWV27" s="433"/>
      <c r="CWW27" s="433"/>
      <c r="CWX27" s="433"/>
      <c r="CWY27" s="433"/>
      <c r="CWZ27" s="1037"/>
      <c r="CXA27" s="1438"/>
      <c r="CXB27" s="433"/>
      <c r="CXC27" s="433"/>
      <c r="CXD27" s="433"/>
      <c r="CXE27" s="433"/>
      <c r="CXF27" s="433"/>
      <c r="CXG27" s="433"/>
      <c r="CXH27" s="433"/>
      <c r="CXI27" s="433"/>
      <c r="CXJ27" s="433"/>
      <c r="CXK27" s="433"/>
      <c r="CXL27" s="1037"/>
      <c r="CXM27" s="1438"/>
      <c r="CXN27" s="433"/>
      <c r="CXO27" s="433"/>
      <c r="CXP27" s="433"/>
      <c r="CXQ27" s="433"/>
      <c r="CXR27" s="433"/>
      <c r="CXS27" s="433"/>
      <c r="CXT27" s="433"/>
      <c r="CXU27" s="433"/>
      <c r="CXV27" s="433"/>
      <c r="CXW27" s="433"/>
      <c r="CXX27" s="1037"/>
      <c r="CXY27" s="1438"/>
      <c r="CXZ27" s="433"/>
      <c r="CYA27" s="433"/>
      <c r="CYB27" s="433"/>
      <c r="CYC27" s="433"/>
      <c r="CYD27" s="433"/>
      <c r="CYE27" s="433"/>
      <c r="CYF27" s="433"/>
      <c r="CYG27" s="433"/>
      <c r="CYH27" s="433"/>
      <c r="CYI27" s="433"/>
      <c r="CYJ27" s="1037"/>
      <c r="CYK27" s="1438"/>
      <c r="CYL27" s="433"/>
      <c r="CYM27" s="433"/>
      <c r="CYN27" s="433"/>
      <c r="CYO27" s="433"/>
      <c r="CYP27" s="433"/>
      <c r="CYQ27" s="433"/>
      <c r="CYR27" s="433"/>
      <c r="CYS27" s="433"/>
      <c r="CYT27" s="433"/>
      <c r="CYU27" s="433"/>
      <c r="CYV27" s="1037"/>
      <c r="CYW27" s="1438"/>
      <c r="CYX27" s="433"/>
      <c r="CYY27" s="433"/>
      <c r="CYZ27" s="433"/>
      <c r="CZA27" s="433"/>
      <c r="CZB27" s="433"/>
      <c r="CZC27" s="433"/>
      <c r="CZD27" s="433"/>
      <c r="CZE27" s="433"/>
      <c r="CZF27" s="433"/>
      <c r="CZG27" s="433"/>
      <c r="CZH27" s="1037"/>
      <c r="CZI27" s="1438"/>
      <c r="CZJ27" s="433"/>
      <c r="CZK27" s="433"/>
      <c r="CZL27" s="433"/>
      <c r="CZM27" s="433"/>
      <c r="CZN27" s="433"/>
      <c r="CZO27" s="433"/>
      <c r="CZP27" s="433"/>
      <c r="CZQ27" s="433"/>
      <c r="CZR27" s="433"/>
      <c r="CZS27" s="433"/>
      <c r="CZT27" s="1037"/>
      <c r="CZU27" s="1438"/>
      <c r="CZV27" s="433"/>
      <c r="CZW27" s="433"/>
      <c r="CZX27" s="433"/>
      <c r="CZY27" s="433"/>
      <c r="CZZ27" s="433"/>
      <c r="DAA27" s="433"/>
      <c r="DAB27" s="433"/>
      <c r="DAC27" s="433"/>
      <c r="DAD27" s="433"/>
      <c r="DAE27" s="433"/>
      <c r="DAF27" s="1037"/>
      <c r="DAG27" s="1438"/>
      <c r="DAH27" s="433"/>
      <c r="DAI27" s="433"/>
      <c r="DAJ27" s="433"/>
      <c r="DAK27" s="433"/>
      <c r="DAL27" s="433"/>
      <c r="DAM27" s="433"/>
      <c r="DAN27" s="433"/>
      <c r="DAO27" s="433"/>
      <c r="DAP27" s="433"/>
      <c r="DAQ27" s="433"/>
      <c r="DAR27" s="1037"/>
      <c r="DAS27" s="1438"/>
      <c r="DAT27" s="433"/>
      <c r="DAU27" s="433"/>
      <c r="DAV27" s="433"/>
      <c r="DAW27" s="433"/>
      <c r="DAX27" s="433"/>
      <c r="DAY27" s="433"/>
      <c r="DAZ27" s="433"/>
      <c r="DBA27" s="433"/>
      <c r="DBB27" s="433"/>
      <c r="DBC27" s="433"/>
      <c r="DBD27" s="1037"/>
      <c r="DBE27" s="1438"/>
      <c r="DBF27" s="433"/>
      <c r="DBG27" s="433"/>
      <c r="DBH27" s="433"/>
      <c r="DBI27" s="433"/>
      <c r="DBJ27" s="433"/>
      <c r="DBK27" s="433"/>
      <c r="DBL27" s="433"/>
      <c r="DBM27" s="433"/>
      <c r="DBN27" s="433"/>
      <c r="DBO27" s="433"/>
      <c r="DBP27" s="1037"/>
      <c r="DBQ27" s="1438"/>
      <c r="DBR27" s="433"/>
      <c r="DBS27" s="433"/>
      <c r="DBT27" s="433"/>
      <c r="DBU27" s="433"/>
      <c r="DBV27" s="433"/>
      <c r="DBW27" s="433"/>
      <c r="DBX27" s="433"/>
      <c r="DBY27" s="433"/>
      <c r="DBZ27" s="433"/>
      <c r="DCA27" s="433"/>
      <c r="DCB27" s="1037"/>
      <c r="DCC27" s="1438"/>
      <c r="DCD27" s="433"/>
      <c r="DCE27" s="433"/>
      <c r="DCF27" s="433"/>
      <c r="DCG27" s="433"/>
      <c r="DCH27" s="433"/>
      <c r="DCI27" s="433"/>
      <c r="DCJ27" s="433"/>
      <c r="DCK27" s="433"/>
      <c r="DCL27" s="433"/>
      <c r="DCM27" s="433"/>
      <c r="DCN27" s="1037"/>
      <c r="DCO27" s="1438"/>
      <c r="DCP27" s="433"/>
      <c r="DCQ27" s="433"/>
      <c r="DCR27" s="433"/>
      <c r="DCS27" s="433"/>
      <c r="DCT27" s="433"/>
      <c r="DCU27" s="433"/>
      <c r="DCV27" s="433"/>
      <c r="DCW27" s="433"/>
      <c r="DCX27" s="433"/>
      <c r="DCY27" s="433"/>
      <c r="DCZ27" s="1037"/>
      <c r="DDA27" s="1438"/>
      <c r="DDB27" s="433"/>
      <c r="DDC27" s="433"/>
      <c r="DDD27" s="433"/>
      <c r="DDE27" s="433"/>
      <c r="DDF27" s="433"/>
      <c r="DDG27" s="433"/>
      <c r="DDH27" s="433"/>
      <c r="DDI27" s="433"/>
      <c r="DDJ27" s="433"/>
      <c r="DDK27" s="433"/>
      <c r="DDL27" s="1037"/>
      <c r="DDM27" s="1438"/>
      <c r="DDN27" s="433"/>
      <c r="DDO27" s="433"/>
      <c r="DDP27" s="433"/>
      <c r="DDQ27" s="433"/>
      <c r="DDR27" s="433"/>
      <c r="DDS27" s="433"/>
      <c r="DDT27" s="433"/>
      <c r="DDU27" s="433"/>
      <c r="DDV27" s="433"/>
      <c r="DDW27" s="433"/>
      <c r="DDX27" s="1037"/>
      <c r="DDY27" s="1438"/>
      <c r="DDZ27" s="433"/>
      <c r="DEA27" s="433"/>
      <c r="DEB27" s="433"/>
      <c r="DEC27" s="433"/>
      <c r="DED27" s="433"/>
      <c r="DEE27" s="433"/>
      <c r="DEF27" s="433"/>
      <c r="DEG27" s="433"/>
      <c r="DEH27" s="433"/>
      <c r="DEI27" s="433"/>
      <c r="DEJ27" s="1037"/>
      <c r="DEK27" s="1438"/>
      <c r="DEL27" s="433"/>
      <c r="DEM27" s="433"/>
      <c r="DEN27" s="433"/>
      <c r="DEO27" s="433"/>
      <c r="DEP27" s="433"/>
      <c r="DEQ27" s="433"/>
      <c r="DER27" s="433"/>
      <c r="DES27" s="433"/>
      <c r="DET27" s="433"/>
      <c r="DEU27" s="433"/>
      <c r="DEV27" s="1037"/>
      <c r="DEW27" s="1438"/>
      <c r="DEX27" s="433"/>
      <c r="DEY27" s="433"/>
      <c r="DEZ27" s="433"/>
      <c r="DFA27" s="433"/>
      <c r="DFB27" s="433"/>
      <c r="DFC27" s="433"/>
      <c r="DFD27" s="433"/>
      <c r="DFE27" s="433"/>
      <c r="DFF27" s="433"/>
      <c r="DFG27" s="433"/>
      <c r="DFH27" s="1037"/>
      <c r="DFI27" s="1438"/>
      <c r="DFJ27" s="433"/>
      <c r="DFK27" s="433"/>
      <c r="DFL27" s="433"/>
      <c r="DFM27" s="433"/>
      <c r="DFN27" s="433"/>
      <c r="DFO27" s="433"/>
      <c r="DFP27" s="433"/>
      <c r="DFQ27" s="433"/>
      <c r="DFR27" s="433"/>
      <c r="DFS27" s="433"/>
      <c r="DFT27" s="1037"/>
      <c r="DFU27" s="1438"/>
      <c r="DFV27" s="433"/>
      <c r="DFW27" s="433"/>
      <c r="DFX27" s="433"/>
      <c r="DFY27" s="433"/>
      <c r="DFZ27" s="433"/>
      <c r="DGA27" s="433"/>
      <c r="DGB27" s="433"/>
      <c r="DGC27" s="433"/>
      <c r="DGD27" s="433"/>
      <c r="DGE27" s="433"/>
      <c r="DGF27" s="1037"/>
      <c r="DGG27" s="1438"/>
      <c r="DGH27" s="433"/>
      <c r="DGI27" s="433"/>
      <c r="DGJ27" s="433"/>
      <c r="DGK27" s="433"/>
      <c r="DGL27" s="433"/>
      <c r="DGM27" s="433"/>
      <c r="DGN27" s="433"/>
      <c r="DGO27" s="433"/>
      <c r="DGP27" s="433"/>
      <c r="DGQ27" s="433"/>
      <c r="DGR27" s="1037"/>
      <c r="DGS27" s="1438"/>
      <c r="DGT27" s="433"/>
      <c r="DGU27" s="433"/>
      <c r="DGV27" s="433"/>
      <c r="DGW27" s="433"/>
      <c r="DGX27" s="433"/>
      <c r="DGY27" s="433"/>
      <c r="DGZ27" s="433"/>
      <c r="DHA27" s="433"/>
      <c r="DHB27" s="433"/>
      <c r="DHC27" s="433"/>
      <c r="DHD27" s="1037"/>
      <c r="DHE27" s="1438"/>
      <c r="DHF27" s="433"/>
      <c r="DHG27" s="433"/>
      <c r="DHH27" s="433"/>
      <c r="DHI27" s="433"/>
      <c r="DHJ27" s="433"/>
      <c r="DHK27" s="433"/>
      <c r="DHL27" s="433"/>
      <c r="DHM27" s="433"/>
      <c r="DHN27" s="433"/>
      <c r="DHO27" s="433"/>
      <c r="DHP27" s="1037"/>
      <c r="DHQ27" s="1438"/>
      <c r="DHR27" s="433"/>
      <c r="DHS27" s="433"/>
      <c r="DHT27" s="433"/>
      <c r="DHU27" s="433"/>
      <c r="DHV27" s="433"/>
      <c r="DHW27" s="433"/>
      <c r="DHX27" s="433"/>
      <c r="DHY27" s="433"/>
      <c r="DHZ27" s="433"/>
      <c r="DIA27" s="433"/>
      <c r="DIB27" s="1037"/>
      <c r="DIC27" s="1438"/>
      <c r="DID27" s="433"/>
      <c r="DIE27" s="433"/>
      <c r="DIF27" s="433"/>
      <c r="DIG27" s="433"/>
      <c r="DIH27" s="433"/>
      <c r="DII27" s="433"/>
      <c r="DIJ27" s="433"/>
      <c r="DIK27" s="433"/>
      <c r="DIL27" s="433"/>
      <c r="DIM27" s="433"/>
      <c r="DIN27" s="1037"/>
      <c r="DIO27" s="1438"/>
      <c r="DIP27" s="433"/>
      <c r="DIQ27" s="433"/>
      <c r="DIR27" s="433"/>
      <c r="DIS27" s="433"/>
      <c r="DIT27" s="433"/>
      <c r="DIU27" s="433"/>
      <c r="DIV27" s="433"/>
      <c r="DIW27" s="433"/>
      <c r="DIX27" s="433"/>
      <c r="DIY27" s="433"/>
      <c r="DIZ27" s="1037"/>
      <c r="DJA27" s="1438"/>
      <c r="DJB27" s="433"/>
      <c r="DJC27" s="433"/>
      <c r="DJD27" s="433"/>
      <c r="DJE27" s="433"/>
      <c r="DJF27" s="433"/>
      <c r="DJG27" s="433"/>
      <c r="DJH27" s="433"/>
      <c r="DJI27" s="433"/>
      <c r="DJJ27" s="433"/>
      <c r="DJK27" s="433"/>
      <c r="DJL27" s="1037"/>
      <c r="DJM27" s="1438"/>
      <c r="DJN27" s="433"/>
      <c r="DJO27" s="433"/>
      <c r="DJP27" s="433"/>
      <c r="DJQ27" s="433"/>
      <c r="DJR27" s="433"/>
      <c r="DJS27" s="433"/>
      <c r="DJT27" s="433"/>
      <c r="DJU27" s="433"/>
      <c r="DJV27" s="433"/>
      <c r="DJW27" s="433"/>
      <c r="DJX27" s="1037"/>
      <c r="DJY27" s="1438"/>
      <c r="DJZ27" s="433"/>
      <c r="DKA27" s="433"/>
      <c r="DKB27" s="433"/>
      <c r="DKC27" s="433"/>
      <c r="DKD27" s="433"/>
      <c r="DKE27" s="433"/>
      <c r="DKF27" s="433"/>
      <c r="DKG27" s="433"/>
      <c r="DKH27" s="433"/>
      <c r="DKI27" s="433"/>
      <c r="DKJ27" s="1037"/>
      <c r="DKK27" s="1438"/>
      <c r="DKL27" s="433"/>
      <c r="DKM27" s="433"/>
      <c r="DKN27" s="433"/>
      <c r="DKO27" s="433"/>
      <c r="DKP27" s="433"/>
      <c r="DKQ27" s="433"/>
      <c r="DKR27" s="433"/>
      <c r="DKS27" s="433"/>
      <c r="DKT27" s="433"/>
      <c r="DKU27" s="433"/>
      <c r="DKV27" s="1037"/>
      <c r="DKW27" s="1438"/>
      <c r="DKX27" s="433"/>
      <c r="DKY27" s="433"/>
      <c r="DKZ27" s="433"/>
      <c r="DLA27" s="433"/>
      <c r="DLB27" s="433"/>
      <c r="DLC27" s="433"/>
      <c r="DLD27" s="433"/>
      <c r="DLE27" s="433"/>
      <c r="DLF27" s="433"/>
      <c r="DLG27" s="433"/>
      <c r="DLH27" s="1037"/>
      <c r="DLI27" s="1438"/>
      <c r="DLJ27" s="433"/>
      <c r="DLK27" s="433"/>
      <c r="DLL27" s="433"/>
      <c r="DLM27" s="433"/>
      <c r="DLN27" s="433"/>
      <c r="DLO27" s="433"/>
      <c r="DLP27" s="433"/>
      <c r="DLQ27" s="433"/>
      <c r="DLR27" s="433"/>
      <c r="DLS27" s="433"/>
      <c r="DLT27" s="1037"/>
      <c r="DLU27" s="1438"/>
      <c r="DLV27" s="433"/>
      <c r="DLW27" s="433"/>
      <c r="DLX27" s="433"/>
      <c r="DLY27" s="433"/>
      <c r="DLZ27" s="433"/>
      <c r="DMA27" s="433"/>
      <c r="DMB27" s="433"/>
      <c r="DMC27" s="433"/>
      <c r="DMD27" s="433"/>
      <c r="DME27" s="433"/>
      <c r="DMF27" s="1037"/>
      <c r="DMG27" s="1438"/>
      <c r="DMH27" s="433"/>
      <c r="DMI27" s="433"/>
      <c r="DMJ27" s="433"/>
      <c r="DMK27" s="433"/>
      <c r="DML27" s="433"/>
      <c r="DMM27" s="433"/>
      <c r="DMN27" s="433"/>
      <c r="DMO27" s="433"/>
      <c r="DMP27" s="433"/>
      <c r="DMQ27" s="433"/>
      <c r="DMR27" s="1037"/>
      <c r="DMS27" s="1438"/>
      <c r="DMT27" s="433"/>
      <c r="DMU27" s="433"/>
      <c r="DMV27" s="433"/>
      <c r="DMW27" s="433"/>
      <c r="DMX27" s="433"/>
      <c r="DMY27" s="433"/>
      <c r="DMZ27" s="433"/>
      <c r="DNA27" s="433"/>
      <c r="DNB27" s="433"/>
      <c r="DNC27" s="433"/>
      <c r="DND27" s="1037"/>
      <c r="DNE27" s="1438"/>
      <c r="DNF27" s="433"/>
      <c r="DNG27" s="433"/>
      <c r="DNH27" s="433"/>
      <c r="DNI27" s="433"/>
      <c r="DNJ27" s="433"/>
      <c r="DNK27" s="433"/>
      <c r="DNL27" s="433"/>
      <c r="DNM27" s="433"/>
      <c r="DNN27" s="433"/>
      <c r="DNO27" s="433"/>
      <c r="DNP27" s="1037"/>
      <c r="DNQ27" s="1438"/>
      <c r="DNR27" s="433"/>
      <c r="DNS27" s="433"/>
      <c r="DNT27" s="433"/>
      <c r="DNU27" s="433"/>
      <c r="DNV27" s="433"/>
      <c r="DNW27" s="433"/>
      <c r="DNX27" s="433"/>
      <c r="DNY27" s="433"/>
      <c r="DNZ27" s="433"/>
      <c r="DOA27" s="433"/>
      <c r="DOB27" s="1037"/>
      <c r="DOC27" s="1438"/>
      <c r="DOD27" s="433"/>
      <c r="DOE27" s="433"/>
      <c r="DOF27" s="433"/>
      <c r="DOG27" s="433"/>
      <c r="DOH27" s="433"/>
      <c r="DOI27" s="433"/>
      <c r="DOJ27" s="433"/>
      <c r="DOK27" s="433"/>
      <c r="DOL27" s="433"/>
      <c r="DOM27" s="433"/>
      <c r="DON27" s="1037"/>
      <c r="DOO27" s="1438"/>
      <c r="DOP27" s="433"/>
      <c r="DOQ27" s="433"/>
      <c r="DOR27" s="433"/>
      <c r="DOS27" s="433"/>
      <c r="DOT27" s="433"/>
      <c r="DOU27" s="433"/>
      <c r="DOV27" s="433"/>
      <c r="DOW27" s="433"/>
      <c r="DOX27" s="433"/>
      <c r="DOY27" s="433"/>
      <c r="DOZ27" s="1037"/>
      <c r="DPA27" s="1438"/>
      <c r="DPB27" s="433"/>
      <c r="DPC27" s="433"/>
      <c r="DPD27" s="433"/>
      <c r="DPE27" s="433"/>
      <c r="DPF27" s="433"/>
      <c r="DPG27" s="433"/>
      <c r="DPH27" s="433"/>
      <c r="DPI27" s="433"/>
      <c r="DPJ27" s="433"/>
      <c r="DPK27" s="433"/>
      <c r="DPL27" s="1037"/>
      <c r="DPM27" s="1438"/>
      <c r="DPN27" s="433"/>
      <c r="DPO27" s="433"/>
      <c r="DPP27" s="433"/>
      <c r="DPQ27" s="433"/>
      <c r="DPR27" s="433"/>
      <c r="DPS27" s="433"/>
      <c r="DPT27" s="433"/>
      <c r="DPU27" s="433"/>
      <c r="DPV27" s="433"/>
      <c r="DPW27" s="433"/>
      <c r="DPX27" s="1037"/>
      <c r="DPY27" s="1438"/>
      <c r="DPZ27" s="433"/>
      <c r="DQA27" s="433"/>
      <c r="DQB27" s="433"/>
      <c r="DQC27" s="433"/>
      <c r="DQD27" s="433"/>
      <c r="DQE27" s="433"/>
      <c r="DQF27" s="433"/>
      <c r="DQG27" s="433"/>
      <c r="DQH27" s="433"/>
      <c r="DQI27" s="433"/>
      <c r="DQJ27" s="1037"/>
      <c r="DQK27" s="1438"/>
      <c r="DQL27" s="433"/>
      <c r="DQM27" s="433"/>
      <c r="DQN27" s="433"/>
      <c r="DQO27" s="433"/>
      <c r="DQP27" s="433"/>
      <c r="DQQ27" s="433"/>
      <c r="DQR27" s="433"/>
      <c r="DQS27" s="433"/>
      <c r="DQT27" s="433"/>
      <c r="DQU27" s="433"/>
      <c r="DQV27" s="1037"/>
      <c r="DQW27" s="1438"/>
      <c r="DQX27" s="433"/>
      <c r="DQY27" s="433"/>
      <c r="DQZ27" s="433"/>
      <c r="DRA27" s="433"/>
      <c r="DRB27" s="433"/>
      <c r="DRC27" s="433"/>
      <c r="DRD27" s="433"/>
      <c r="DRE27" s="433"/>
      <c r="DRF27" s="433"/>
      <c r="DRG27" s="433"/>
      <c r="DRH27" s="1037"/>
      <c r="DRI27" s="1438"/>
      <c r="DRJ27" s="433"/>
      <c r="DRK27" s="433"/>
      <c r="DRL27" s="433"/>
      <c r="DRM27" s="433"/>
      <c r="DRN27" s="433"/>
      <c r="DRO27" s="433"/>
      <c r="DRP27" s="433"/>
      <c r="DRQ27" s="433"/>
      <c r="DRR27" s="433"/>
      <c r="DRS27" s="433"/>
      <c r="DRT27" s="1037"/>
      <c r="DRU27" s="1438"/>
      <c r="DRV27" s="433"/>
      <c r="DRW27" s="433"/>
      <c r="DRX27" s="433"/>
      <c r="DRY27" s="433"/>
      <c r="DRZ27" s="433"/>
      <c r="DSA27" s="433"/>
      <c r="DSB27" s="433"/>
      <c r="DSC27" s="433"/>
      <c r="DSD27" s="433"/>
      <c r="DSE27" s="433"/>
      <c r="DSF27" s="1037"/>
      <c r="DSG27" s="1438"/>
      <c r="DSH27" s="433"/>
      <c r="DSI27" s="433"/>
      <c r="DSJ27" s="433"/>
      <c r="DSK27" s="433"/>
      <c r="DSL27" s="433"/>
      <c r="DSM27" s="433"/>
      <c r="DSN27" s="433"/>
      <c r="DSO27" s="433"/>
      <c r="DSP27" s="433"/>
      <c r="DSQ27" s="433"/>
      <c r="DSR27" s="1037"/>
      <c r="DSS27" s="1438"/>
      <c r="DST27" s="433"/>
      <c r="DSU27" s="433"/>
      <c r="DSV27" s="433"/>
      <c r="DSW27" s="433"/>
      <c r="DSX27" s="433"/>
      <c r="DSY27" s="433"/>
      <c r="DSZ27" s="433"/>
      <c r="DTA27" s="433"/>
      <c r="DTB27" s="433"/>
      <c r="DTC27" s="433"/>
      <c r="DTD27" s="1037"/>
      <c r="DTE27" s="1438"/>
      <c r="DTF27" s="433"/>
      <c r="DTG27" s="433"/>
      <c r="DTH27" s="433"/>
      <c r="DTI27" s="433"/>
      <c r="DTJ27" s="433"/>
      <c r="DTK27" s="433"/>
      <c r="DTL27" s="433"/>
      <c r="DTM27" s="433"/>
      <c r="DTN27" s="433"/>
      <c r="DTO27" s="433"/>
      <c r="DTP27" s="1037"/>
      <c r="DTQ27" s="1438"/>
      <c r="DTR27" s="433"/>
      <c r="DTS27" s="433"/>
      <c r="DTT27" s="433"/>
      <c r="DTU27" s="433"/>
      <c r="DTV27" s="433"/>
      <c r="DTW27" s="433"/>
      <c r="DTX27" s="433"/>
      <c r="DTY27" s="433"/>
      <c r="DTZ27" s="433"/>
      <c r="DUA27" s="433"/>
      <c r="DUB27" s="1037"/>
      <c r="DUC27" s="1438"/>
      <c r="DUD27" s="433"/>
      <c r="DUE27" s="433"/>
      <c r="DUF27" s="433"/>
      <c r="DUG27" s="433"/>
      <c r="DUH27" s="433"/>
      <c r="DUI27" s="433"/>
      <c r="DUJ27" s="433"/>
      <c r="DUK27" s="433"/>
      <c r="DUL27" s="433"/>
      <c r="DUM27" s="433"/>
      <c r="DUN27" s="1037"/>
      <c r="DUO27" s="1438"/>
      <c r="DUP27" s="433"/>
      <c r="DUQ27" s="433"/>
      <c r="DUR27" s="433"/>
      <c r="DUS27" s="433"/>
      <c r="DUT27" s="433"/>
      <c r="DUU27" s="433"/>
      <c r="DUV27" s="433"/>
      <c r="DUW27" s="433"/>
      <c r="DUX27" s="433"/>
      <c r="DUY27" s="433"/>
      <c r="DUZ27" s="1037"/>
      <c r="DVA27" s="1438"/>
      <c r="DVB27" s="433"/>
      <c r="DVC27" s="433"/>
      <c r="DVD27" s="433"/>
      <c r="DVE27" s="433"/>
      <c r="DVF27" s="433"/>
      <c r="DVG27" s="433"/>
      <c r="DVH27" s="433"/>
      <c r="DVI27" s="433"/>
      <c r="DVJ27" s="433"/>
      <c r="DVK27" s="433"/>
      <c r="DVL27" s="1037"/>
      <c r="DVM27" s="1438"/>
      <c r="DVN27" s="433"/>
      <c r="DVO27" s="433"/>
      <c r="DVP27" s="433"/>
      <c r="DVQ27" s="433"/>
      <c r="DVR27" s="433"/>
      <c r="DVS27" s="433"/>
      <c r="DVT27" s="433"/>
      <c r="DVU27" s="433"/>
      <c r="DVV27" s="433"/>
      <c r="DVW27" s="433"/>
      <c r="DVX27" s="1037"/>
      <c r="DVY27" s="1438"/>
      <c r="DVZ27" s="433"/>
      <c r="DWA27" s="433"/>
      <c r="DWB27" s="433"/>
      <c r="DWC27" s="433"/>
      <c r="DWD27" s="433"/>
      <c r="DWE27" s="433"/>
      <c r="DWF27" s="433"/>
      <c r="DWG27" s="433"/>
      <c r="DWH27" s="433"/>
      <c r="DWI27" s="433"/>
      <c r="DWJ27" s="1037"/>
      <c r="DWK27" s="1438"/>
      <c r="DWL27" s="433"/>
      <c r="DWM27" s="433"/>
      <c r="DWN27" s="433"/>
      <c r="DWO27" s="433"/>
      <c r="DWP27" s="433"/>
      <c r="DWQ27" s="433"/>
      <c r="DWR27" s="433"/>
      <c r="DWS27" s="433"/>
      <c r="DWT27" s="433"/>
      <c r="DWU27" s="433"/>
      <c r="DWV27" s="1037"/>
      <c r="DWW27" s="1438"/>
      <c r="DWX27" s="433"/>
      <c r="DWY27" s="433"/>
      <c r="DWZ27" s="433"/>
      <c r="DXA27" s="433"/>
      <c r="DXB27" s="433"/>
      <c r="DXC27" s="433"/>
      <c r="DXD27" s="433"/>
      <c r="DXE27" s="433"/>
      <c r="DXF27" s="433"/>
      <c r="DXG27" s="433"/>
      <c r="DXH27" s="1037"/>
      <c r="DXI27" s="1438"/>
      <c r="DXJ27" s="433"/>
      <c r="DXK27" s="433"/>
      <c r="DXL27" s="433"/>
      <c r="DXM27" s="433"/>
      <c r="DXN27" s="433"/>
      <c r="DXO27" s="433"/>
      <c r="DXP27" s="433"/>
      <c r="DXQ27" s="433"/>
      <c r="DXR27" s="433"/>
      <c r="DXS27" s="433"/>
      <c r="DXT27" s="1037"/>
      <c r="DXU27" s="1438"/>
      <c r="DXV27" s="433"/>
      <c r="DXW27" s="433"/>
      <c r="DXX27" s="433"/>
      <c r="DXY27" s="433"/>
      <c r="DXZ27" s="433"/>
      <c r="DYA27" s="433"/>
      <c r="DYB27" s="433"/>
      <c r="DYC27" s="433"/>
      <c r="DYD27" s="433"/>
      <c r="DYE27" s="433"/>
      <c r="DYF27" s="1037"/>
      <c r="DYG27" s="1438"/>
      <c r="DYH27" s="433"/>
      <c r="DYI27" s="433"/>
      <c r="DYJ27" s="433"/>
      <c r="DYK27" s="433"/>
      <c r="DYL27" s="433"/>
      <c r="DYM27" s="433"/>
      <c r="DYN27" s="433"/>
      <c r="DYO27" s="433"/>
      <c r="DYP27" s="433"/>
      <c r="DYQ27" s="433"/>
      <c r="DYR27" s="1037"/>
      <c r="DYS27" s="1438"/>
      <c r="DYT27" s="433"/>
      <c r="DYU27" s="433"/>
      <c r="DYV27" s="433"/>
      <c r="DYW27" s="433"/>
      <c r="DYX27" s="433"/>
      <c r="DYY27" s="433"/>
      <c r="DYZ27" s="433"/>
      <c r="DZA27" s="433"/>
      <c r="DZB27" s="433"/>
      <c r="DZC27" s="433"/>
      <c r="DZD27" s="1037"/>
      <c r="DZE27" s="1438"/>
      <c r="DZF27" s="433"/>
      <c r="DZG27" s="433"/>
      <c r="DZH27" s="433"/>
      <c r="DZI27" s="433"/>
      <c r="DZJ27" s="433"/>
      <c r="DZK27" s="433"/>
      <c r="DZL27" s="433"/>
      <c r="DZM27" s="433"/>
      <c r="DZN27" s="433"/>
      <c r="DZO27" s="433"/>
      <c r="DZP27" s="1037"/>
      <c r="DZQ27" s="1438"/>
      <c r="DZR27" s="433"/>
      <c r="DZS27" s="433"/>
      <c r="DZT27" s="433"/>
      <c r="DZU27" s="433"/>
      <c r="DZV27" s="433"/>
      <c r="DZW27" s="433"/>
      <c r="DZX27" s="433"/>
      <c r="DZY27" s="433"/>
      <c r="DZZ27" s="433"/>
      <c r="EAA27" s="433"/>
      <c r="EAB27" s="1037"/>
      <c r="EAC27" s="1438"/>
      <c r="EAD27" s="433"/>
      <c r="EAE27" s="433"/>
      <c r="EAF27" s="433"/>
      <c r="EAG27" s="433"/>
      <c r="EAH27" s="433"/>
      <c r="EAI27" s="433"/>
      <c r="EAJ27" s="433"/>
      <c r="EAK27" s="433"/>
      <c r="EAL27" s="433"/>
      <c r="EAM27" s="433"/>
      <c r="EAN27" s="1037"/>
      <c r="EAO27" s="1438"/>
      <c r="EAP27" s="433"/>
      <c r="EAQ27" s="433"/>
      <c r="EAR27" s="433"/>
      <c r="EAS27" s="433"/>
      <c r="EAT27" s="433"/>
      <c r="EAU27" s="433"/>
      <c r="EAV27" s="433"/>
      <c r="EAW27" s="433"/>
      <c r="EAX27" s="433"/>
      <c r="EAY27" s="433"/>
      <c r="EAZ27" s="1037"/>
      <c r="EBA27" s="1438"/>
      <c r="EBB27" s="433"/>
      <c r="EBC27" s="433"/>
      <c r="EBD27" s="433"/>
      <c r="EBE27" s="433"/>
      <c r="EBF27" s="433"/>
      <c r="EBG27" s="433"/>
      <c r="EBH27" s="433"/>
      <c r="EBI27" s="433"/>
      <c r="EBJ27" s="433"/>
      <c r="EBK27" s="433"/>
      <c r="EBL27" s="1037"/>
      <c r="EBM27" s="1438"/>
      <c r="EBN27" s="433"/>
      <c r="EBO27" s="433"/>
      <c r="EBP27" s="433"/>
      <c r="EBQ27" s="433"/>
      <c r="EBR27" s="433"/>
      <c r="EBS27" s="433"/>
      <c r="EBT27" s="433"/>
      <c r="EBU27" s="433"/>
      <c r="EBV27" s="433"/>
      <c r="EBW27" s="433"/>
      <c r="EBX27" s="1037"/>
      <c r="EBY27" s="1438"/>
      <c r="EBZ27" s="433"/>
      <c r="ECA27" s="433"/>
      <c r="ECB27" s="433"/>
      <c r="ECC27" s="433"/>
      <c r="ECD27" s="433"/>
      <c r="ECE27" s="433"/>
      <c r="ECF27" s="433"/>
      <c r="ECG27" s="433"/>
      <c r="ECH27" s="433"/>
      <c r="ECI27" s="433"/>
      <c r="ECJ27" s="1037"/>
      <c r="ECK27" s="1438"/>
      <c r="ECL27" s="433"/>
      <c r="ECM27" s="433"/>
      <c r="ECN27" s="433"/>
      <c r="ECO27" s="433"/>
      <c r="ECP27" s="433"/>
      <c r="ECQ27" s="433"/>
      <c r="ECR27" s="433"/>
      <c r="ECS27" s="433"/>
      <c r="ECT27" s="433"/>
      <c r="ECU27" s="433"/>
      <c r="ECV27" s="1037"/>
      <c r="ECW27" s="1438"/>
      <c r="ECX27" s="433"/>
      <c r="ECY27" s="433"/>
      <c r="ECZ27" s="433"/>
      <c r="EDA27" s="433"/>
      <c r="EDB27" s="433"/>
      <c r="EDC27" s="433"/>
      <c r="EDD27" s="433"/>
      <c r="EDE27" s="433"/>
      <c r="EDF27" s="433"/>
      <c r="EDG27" s="433"/>
      <c r="EDH27" s="1037"/>
      <c r="EDI27" s="1438"/>
      <c r="EDJ27" s="433"/>
      <c r="EDK27" s="433"/>
      <c r="EDL27" s="433"/>
      <c r="EDM27" s="433"/>
      <c r="EDN27" s="433"/>
      <c r="EDO27" s="433"/>
      <c r="EDP27" s="433"/>
      <c r="EDQ27" s="433"/>
      <c r="EDR27" s="433"/>
      <c r="EDS27" s="433"/>
      <c r="EDT27" s="1037"/>
      <c r="EDU27" s="1438"/>
      <c r="EDV27" s="433"/>
      <c r="EDW27" s="433"/>
      <c r="EDX27" s="433"/>
      <c r="EDY27" s="433"/>
      <c r="EDZ27" s="433"/>
      <c r="EEA27" s="433"/>
      <c r="EEB27" s="433"/>
      <c r="EEC27" s="433"/>
      <c r="EED27" s="433"/>
      <c r="EEE27" s="433"/>
      <c r="EEF27" s="1037"/>
      <c r="EEG27" s="1438"/>
      <c r="EEH27" s="433"/>
      <c r="EEI27" s="433"/>
      <c r="EEJ27" s="433"/>
      <c r="EEK27" s="433"/>
      <c r="EEL27" s="433"/>
      <c r="EEM27" s="433"/>
      <c r="EEN27" s="433"/>
      <c r="EEO27" s="433"/>
      <c r="EEP27" s="433"/>
      <c r="EEQ27" s="433"/>
      <c r="EER27" s="1037"/>
      <c r="EES27" s="1438"/>
      <c r="EET27" s="433"/>
      <c r="EEU27" s="433"/>
      <c r="EEV27" s="433"/>
      <c r="EEW27" s="433"/>
      <c r="EEX27" s="433"/>
      <c r="EEY27" s="433"/>
      <c r="EEZ27" s="433"/>
      <c r="EFA27" s="433"/>
      <c r="EFB27" s="433"/>
      <c r="EFC27" s="433"/>
      <c r="EFD27" s="1037"/>
      <c r="EFE27" s="1438"/>
      <c r="EFF27" s="433"/>
      <c r="EFG27" s="433"/>
      <c r="EFH27" s="433"/>
      <c r="EFI27" s="433"/>
      <c r="EFJ27" s="433"/>
      <c r="EFK27" s="433"/>
      <c r="EFL27" s="433"/>
      <c r="EFM27" s="433"/>
      <c r="EFN27" s="433"/>
      <c r="EFO27" s="433"/>
      <c r="EFP27" s="1037"/>
      <c r="EFQ27" s="1438"/>
      <c r="EFR27" s="433"/>
      <c r="EFS27" s="433"/>
      <c r="EFT27" s="433"/>
      <c r="EFU27" s="433"/>
      <c r="EFV27" s="433"/>
      <c r="EFW27" s="433"/>
      <c r="EFX27" s="433"/>
      <c r="EFY27" s="433"/>
      <c r="EFZ27" s="433"/>
      <c r="EGA27" s="433"/>
      <c r="EGB27" s="1037"/>
      <c r="EGC27" s="1438"/>
      <c r="EGD27" s="433"/>
      <c r="EGE27" s="433"/>
      <c r="EGF27" s="433"/>
      <c r="EGG27" s="433"/>
      <c r="EGH27" s="433"/>
      <c r="EGI27" s="433"/>
      <c r="EGJ27" s="433"/>
      <c r="EGK27" s="433"/>
      <c r="EGL27" s="433"/>
      <c r="EGM27" s="433"/>
      <c r="EGN27" s="1037"/>
      <c r="EGO27" s="1438"/>
      <c r="EGP27" s="433"/>
      <c r="EGQ27" s="433"/>
      <c r="EGR27" s="433"/>
      <c r="EGS27" s="433"/>
      <c r="EGT27" s="433"/>
      <c r="EGU27" s="433"/>
      <c r="EGV27" s="433"/>
      <c r="EGW27" s="433"/>
      <c r="EGX27" s="433"/>
      <c r="EGY27" s="433"/>
      <c r="EGZ27" s="1037"/>
      <c r="EHA27" s="1438"/>
      <c r="EHB27" s="433"/>
      <c r="EHC27" s="433"/>
      <c r="EHD27" s="433"/>
      <c r="EHE27" s="433"/>
      <c r="EHF27" s="433"/>
      <c r="EHG27" s="433"/>
      <c r="EHH27" s="433"/>
      <c r="EHI27" s="433"/>
      <c r="EHJ27" s="433"/>
      <c r="EHK27" s="433"/>
      <c r="EHL27" s="1037"/>
      <c r="EHM27" s="1438"/>
      <c r="EHN27" s="433"/>
      <c r="EHO27" s="433"/>
      <c r="EHP27" s="433"/>
      <c r="EHQ27" s="433"/>
      <c r="EHR27" s="433"/>
      <c r="EHS27" s="433"/>
      <c r="EHT27" s="433"/>
      <c r="EHU27" s="433"/>
      <c r="EHV27" s="433"/>
      <c r="EHW27" s="433"/>
      <c r="EHX27" s="1037"/>
      <c r="EHY27" s="1438"/>
      <c r="EHZ27" s="433"/>
      <c r="EIA27" s="433"/>
      <c r="EIB27" s="433"/>
      <c r="EIC27" s="433"/>
      <c r="EID27" s="433"/>
      <c r="EIE27" s="433"/>
      <c r="EIF27" s="433"/>
      <c r="EIG27" s="433"/>
      <c r="EIH27" s="433"/>
      <c r="EII27" s="433"/>
      <c r="EIJ27" s="1037"/>
      <c r="EIK27" s="1438"/>
      <c r="EIL27" s="433"/>
      <c r="EIM27" s="433"/>
      <c r="EIN27" s="433"/>
      <c r="EIO27" s="433"/>
      <c r="EIP27" s="433"/>
      <c r="EIQ27" s="433"/>
      <c r="EIR27" s="433"/>
      <c r="EIS27" s="433"/>
      <c r="EIT27" s="433"/>
      <c r="EIU27" s="433"/>
      <c r="EIV27" s="1037"/>
      <c r="EIW27" s="1438"/>
      <c r="EIX27" s="433"/>
      <c r="EIY27" s="433"/>
      <c r="EIZ27" s="433"/>
      <c r="EJA27" s="433"/>
      <c r="EJB27" s="433"/>
      <c r="EJC27" s="433"/>
      <c r="EJD27" s="433"/>
      <c r="EJE27" s="433"/>
      <c r="EJF27" s="433"/>
      <c r="EJG27" s="433"/>
      <c r="EJH27" s="1037"/>
      <c r="EJI27" s="1438"/>
      <c r="EJJ27" s="433"/>
      <c r="EJK27" s="433"/>
      <c r="EJL27" s="433"/>
      <c r="EJM27" s="433"/>
      <c r="EJN27" s="433"/>
      <c r="EJO27" s="433"/>
      <c r="EJP27" s="433"/>
      <c r="EJQ27" s="433"/>
      <c r="EJR27" s="433"/>
      <c r="EJS27" s="433"/>
      <c r="EJT27" s="1037"/>
      <c r="EJU27" s="1438"/>
      <c r="EJV27" s="433"/>
      <c r="EJW27" s="433"/>
      <c r="EJX27" s="433"/>
      <c r="EJY27" s="433"/>
      <c r="EJZ27" s="433"/>
      <c r="EKA27" s="433"/>
      <c r="EKB27" s="433"/>
      <c r="EKC27" s="433"/>
      <c r="EKD27" s="433"/>
      <c r="EKE27" s="433"/>
      <c r="EKF27" s="1037"/>
      <c r="EKG27" s="1438"/>
      <c r="EKH27" s="433"/>
      <c r="EKI27" s="433"/>
      <c r="EKJ27" s="433"/>
      <c r="EKK27" s="433"/>
      <c r="EKL27" s="433"/>
      <c r="EKM27" s="433"/>
      <c r="EKN27" s="433"/>
      <c r="EKO27" s="433"/>
      <c r="EKP27" s="433"/>
      <c r="EKQ27" s="433"/>
      <c r="EKR27" s="1037"/>
      <c r="EKS27" s="1438"/>
      <c r="EKT27" s="433"/>
      <c r="EKU27" s="433"/>
      <c r="EKV27" s="433"/>
      <c r="EKW27" s="433"/>
      <c r="EKX27" s="433"/>
      <c r="EKY27" s="433"/>
      <c r="EKZ27" s="433"/>
      <c r="ELA27" s="433"/>
      <c r="ELB27" s="433"/>
      <c r="ELC27" s="433"/>
      <c r="ELD27" s="1037"/>
      <c r="ELE27" s="1438"/>
      <c r="ELF27" s="433"/>
      <c r="ELG27" s="433"/>
      <c r="ELH27" s="433"/>
      <c r="ELI27" s="433"/>
      <c r="ELJ27" s="433"/>
      <c r="ELK27" s="433"/>
      <c r="ELL27" s="433"/>
      <c r="ELM27" s="433"/>
      <c r="ELN27" s="433"/>
      <c r="ELO27" s="433"/>
      <c r="ELP27" s="1037"/>
      <c r="ELQ27" s="1438"/>
      <c r="ELR27" s="433"/>
      <c r="ELS27" s="433"/>
      <c r="ELT27" s="433"/>
      <c r="ELU27" s="433"/>
      <c r="ELV27" s="433"/>
      <c r="ELW27" s="433"/>
      <c r="ELX27" s="433"/>
      <c r="ELY27" s="433"/>
      <c r="ELZ27" s="433"/>
      <c r="EMA27" s="433"/>
      <c r="EMB27" s="1037"/>
      <c r="EMC27" s="1438"/>
      <c r="EMD27" s="433"/>
      <c r="EME27" s="433"/>
      <c r="EMF27" s="433"/>
      <c r="EMG27" s="433"/>
      <c r="EMH27" s="433"/>
      <c r="EMI27" s="433"/>
      <c r="EMJ27" s="433"/>
      <c r="EMK27" s="433"/>
      <c r="EML27" s="433"/>
      <c r="EMM27" s="433"/>
      <c r="EMN27" s="1037"/>
      <c r="EMO27" s="1438"/>
      <c r="EMP27" s="433"/>
      <c r="EMQ27" s="433"/>
      <c r="EMR27" s="433"/>
      <c r="EMS27" s="433"/>
      <c r="EMT27" s="433"/>
      <c r="EMU27" s="433"/>
      <c r="EMV27" s="433"/>
      <c r="EMW27" s="433"/>
      <c r="EMX27" s="433"/>
      <c r="EMY27" s="433"/>
      <c r="EMZ27" s="1037"/>
      <c r="ENA27" s="1438"/>
      <c r="ENB27" s="433"/>
      <c r="ENC27" s="433"/>
      <c r="END27" s="433"/>
      <c r="ENE27" s="433"/>
      <c r="ENF27" s="433"/>
      <c r="ENG27" s="433"/>
      <c r="ENH27" s="433"/>
      <c r="ENI27" s="433"/>
      <c r="ENJ27" s="433"/>
      <c r="ENK27" s="433"/>
      <c r="ENL27" s="1037"/>
      <c r="ENM27" s="1438"/>
      <c r="ENN27" s="433"/>
      <c r="ENO27" s="433"/>
      <c r="ENP27" s="433"/>
      <c r="ENQ27" s="433"/>
      <c r="ENR27" s="433"/>
      <c r="ENS27" s="433"/>
      <c r="ENT27" s="433"/>
      <c r="ENU27" s="433"/>
      <c r="ENV27" s="433"/>
      <c r="ENW27" s="433"/>
      <c r="ENX27" s="1037"/>
      <c r="ENY27" s="1438"/>
      <c r="ENZ27" s="433"/>
      <c r="EOA27" s="433"/>
      <c r="EOB27" s="433"/>
      <c r="EOC27" s="433"/>
      <c r="EOD27" s="433"/>
      <c r="EOE27" s="433"/>
      <c r="EOF27" s="433"/>
      <c r="EOG27" s="433"/>
      <c r="EOH27" s="433"/>
      <c r="EOI27" s="433"/>
      <c r="EOJ27" s="1037"/>
      <c r="EOK27" s="1438"/>
      <c r="EOL27" s="433"/>
      <c r="EOM27" s="433"/>
      <c r="EON27" s="433"/>
      <c r="EOO27" s="433"/>
      <c r="EOP27" s="433"/>
      <c r="EOQ27" s="433"/>
      <c r="EOR27" s="433"/>
      <c r="EOS27" s="433"/>
      <c r="EOT27" s="433"/>
      <c r="EOU27" s="433"/>
      <c r="EOV27" s="1037"/>
      <c r="EOW27" s="1438"/>
      <c r="EOX27" s="433"/>
      <c r="EOY27" s="433"/>
      <c r="EOZ27" s="433"/>
      <c r="EPA27" s="433"/>
      <c r="EPB27" s="433"/>
      <c r="EPC27" s="433"/>
      <c r="EPD27" s="433"/>
      <c r="EPE27" s="433"/>
      <c r="EPF27" s="433"/>
      <c r="EPG27" s="433"/>
      <c r="EPH27" s="1037"/>
      <c r="EPI27" s="1438"/>
      <c r="EPJ27" s="433"/>
      <c r="EPK27" s="433"/>
      <c r="EPL27" s="433"/>
      <c r="EPM27" s="433"/>
      <c r="EPN27" s="433"/>
      <c r="EPO27" s="433"/>
      <c r="EPP27" s="433"/>
      <c r="EPQ27" s="433"/>
      <c r="EPR27" s="433"/>
      <c r="EPS27" s="433"/>
      <c r="EPT27" s="1037"/>
      <c r="EPU27" s="1438"/>
      <c r="EPV27" s="433"/>
      <c r="EPW27" s="433"/>
      <c r="EPX27" s="433"/>
      <c r="EPY27" s="433"/>
      <c r="EPZ27" s="433"/>
      <c r="EQA27" s="433"/>
      <c r="EQB27" s="433"/>
      <c r="EQC27" s="433"/>
      <c r="EQD27" s="433"/>
      <c r="EQE27" s="433"/>
      <c r="EQF27" s="1037"/>
      <c r="EQG27" s="1438"/>
      <c r="EQH27" s="433"/>
      <c r="EQI27" s="433"/>
      <c r="EQJ27" s="433"/>
      <c r="EQK27" s="433"/>
      <c r="EQL27" s="433"/>
      <c r="EQM27" s="433"/>
      <c r="EQN27" s="433"/>
      <c r="EQO27" s="433"/>
      <c r="EQP27" s="433"/>
      <c r="EQQ27" s="433"/>
      <c r="EQR27" s="1037"/>
      <c r="EQS27" s="1438"/>
      <c r="EQT27" s="433"/>
      <c r="EQU27" s="433"/>
      <c r="EQV27" s="433"/>
      <c r="EQW27" s="433"/>
      <c r="EQX27" s="433"/>
      <c r="EQY27" s="433"/>
      <c r="EQZ27" s="433"/>
      <c r="ERA27" s="433"/>
      <c r="ERB27" s="433"/>
      <c r="ERC27" s="433"/>
      <c r="ERD27" s="1037"/>
      <c r="ERE27" s="1438"/>
      <c r="ERF27" s="433"/>
      <c r="ERG27" s="433"/>
      <c r="ERH27" s="433"/>
      <c r="ERI27" s="433"/>
      <c r="ERJ27" s="433"/>
      <c r="ERK27" s="433"/>
      <c r="ERL27" s="433"/>
      <c r="ERM27" s="433"/>
      <c r="ERN27" s="433"/>
      <c r="ERO27" s="433"/>
      <c r="ERP27" s="1037"/>
      <c r="ERQ27" s="1438"/>
      <c r="ERR27" s="433"/>
      <c r="ERS27" s="433"/>
      <c r="ERT27" s="433"/>
      <c r="ERU27" s="433"/>
      <c r="ERV27" s="433"/>
      <c r="ERW27" s="433"/>
      <c r="ERX27" s="433"/>
      <c r="ERY27" s="433"/>
      <c r="ERZ27" s="433"/>
      <c r="ESA27" s="433"/>
      <c r="ESB27" s="1037"/>
      <c r="ESC27" s="1438"/>
      <c r="ESD27" s="433"/>
      <c r="ESE27" s="433"/>
      <c r="ESF27" s="433"/>
      <c r="ESG27" s="433"/>
      <c r="ESH27" s="433"/>
      <c r="ESI27" s="433"/>
      <c r="ESJ27" s="433"/>
      <c r="ESK27" s="433"/>
      <c r="ESL27" s="433"/>
      <c r="ESM27" s="433"/>
      <c r="ESN27" s="1037"/>
      <c r="ESO27" s="1438"/>
      <c r="ESP27" s="433"/>
      <c r="ESQ27" s="433"/>
      <c r="ESR27" s="433"/>
      <c r="ESS27" s="433"/>
      <c r="EST27" s="433"/>
      <c r="ESU27" s="433"/>
      <c r="ESV27" s="433"/>
      <c r="ESW27" s="433"/>
      <c r="ESX27" s="433"/>
      <c r="ESY27" s="433"/>
      <c r="ESZ27" s="1037"/>
      <c r="ETA27" s="1438"/>
      <c r="ETB27" s="433"/>
      <c r="ETC27" s="433"/>
      <c r="ETD27" s="433"/>
      <c r="ETE27" s="433"/>
      <c r="ETF27" s="433"/>
      <c r="ETG27" s="433"/>
      <c r="ETH27" s="433"/>
      <c r="ETI27" s="433"/>
      <c r="ETJ27" s="433"/>
      <c r="ETK27" s="433"/>
      <c r="ETL27" s="1037"/>
      <c r="ETM27" s="1438"/>
      <c r="ETN27" s="433"/>
      <c r="ETO27" s="433"/>
      <c r="ETP27" s="433"/>
      <c r="ETQ27" s="433"/>
      <c r="ETR27" s="433"/>
      <c r="ETS27" s="433"/>
      <c r="ETT27" s="433"/>
      <c r="ETU27" s="433"/>
      <c r="ETV27" s="433"/>
      <c r="ETW27" s="433"/>
      <c r="ETX27" s="1037"/>
      <c r="ETY27" s="1438"/>
      <c r="ETZ27" s="433"/>
      <c r="EUA27" s="433"/>
      <c r="EUB27" s="433"/>
      <c r="EUC27" s="433"/>
      <c r="EUD27" s="433"/>
      <c r="EUE27" s="433"/>
      <c r="EUF27" s="433"/>
      <c r="EUG27" s="433"/>
      <c r="EUH27" s="433"/>
      <c r="EUI27" s="433"/>
      <c r="EUJ27" s="1037"/>
      <c r="EUK27" s="1438"/>
      <c r="EUL27" s="433"/>
      <c r="EUM27" s="433"/>
      <c r="EUN27" s="433"/>
      <c r="EUO27" s="433"/>
      <c r="EUP27" s="433"/>
      <c r="EUQ27" s="433"/>
      <c r="EUR27" s="433"/>
      <c r="EUS27" s="433"/>
      <c r="EUT27" s="433"/>
      <c r="EUU27" s="433"/>
      <c r="EUV27" s="1037"/>
      <c r="EUW27" s="1438"/>
      <c r="EUX27" s="433"/>
      <c r="EUY27" s="433"/>
      <c r="EUZ27" s="433"/>
      <c r="EVA27" s="433"/>
      <c r="EVB27" s="433"/>
      <c r="EVC27" s="433"/>
      <c r="EVD27" s="433"/>
      <c r="EVE27" s="433"/>
      <c r="EVF27" s="433"/>
      <c r="EVG27" s="433"/>
      <c r="EVH27" s="1037"/>
      <c r="EVI27" s="1438"/>
      <c r="EVJ27" s="433"/>
      <c r="EVK27" s="433"/>
      <c r="EVL27" s="433"/>
      <c r="EVM27" s="433"/>
      <c r="EVN27" s="433"/>
      <c r="EVO27" s="433"/>
      <c r="EVP27" s="433"/>
      <c r="EVQ27" s="433"/>
      <c r="EVR27" s="433"/>
      <c r="EVS27" s="433"/>
      <c r="EVT27" s="1037"/>
      <c r="EVU27" s="1438"/>
      <c r="EVV27" s="433"/>
      <c r="EVW27" s="433"/>
      <c r="EVX27" s="433"/>
      <c r="EVY27" s="433"/>
      <c r="EVZ27" s="433"/>
      <c r="EWA27" s="433"/>
      <c r="EWB27" s="433"/>
      <c r="EWC27" s="433"/>
      <c r="EWD27" s="433"/>
      <c r="EWE27" s="433"/>
      <c r="EWF27" s="1037"/>
      <c r="EWG27" s="1438"/>
      <c r="EWH27" s="433"/>
      <c r="EWI27" s="433"/>
      <c r="EWJ27" s="433"/>
      <c r="EWK27" s="433"/>
      <c r="EWL27" s="433"/>
      <c r="EWM27" s="433"/>
      <c r="EWN27" s="433"/>
      <c r="EWO27" s="433"/>
      <c r="EWP27" s="433"/>
      <c r="EWQ27" s="433"/>
      <c r="EWR27" s="1037"/>
      <c r="EWS27" s="1438"/>
      <c r="EWT27" s="433"/>
      <c r="EWU27" s="433"/>
      <c r="EWV27" s="433"/>
      <c r="EWW27" s="433"/>
      <c r="EWX27" s="433"/>
      <c r="EWY27" s="433"/>
      <c r="EWZ27" s="433"/>
      <c r="EXA27" s="433"/>
      <c r="EXB27" s="433"/>
      <c r="EXC27" s="433"/>
      <c r="EXD27" s="1037"/>
      <c r="EXE27" s="1438"/>
      <c r="EXF27" s="433"/>
      <c r="EXG27" s="433"/>
      <c r="EXH27" s="433"/>
      <c r="EXI27" s="433"/>
      <c r="EXJ27" s="433"/>
      <c r="EXK27" s="433"/>
      <c r="EXL27" s="433"/>
      <c r="EXM27" s="433"/>
      <c r="EXN27" s="433"/>
      <c r="EXO27" s="433"/>
      <c r="EXP27" s="1037"/>
      <c r="EXQ27" s="1438"/>
      <c r="EXR27" s="433"/>
      <c r="EXS27" s="433"/>
      <c r="EXT27" s="433"/>
      <c r="EXU27" s="433"/>
      <c r="EXV27" s="433"/>
      <c r="EXW27" s="433"/>
      <c r="EXX27" s="433"/>
      <c r="EXY27" s="433"/>
      <c r="EXZ27" s="433"/>
      <c r="EYA27" s="433"/>
      <c r="EYB27" s="1037"/>
      <c r="EYC27" s="1438"/>
      <c r="EYD27" s="433"/>
      <c r="EYE27" s="433"/>
      <c r="EYF27" s="433"/>
      <c r="EYG27" s="433"/>
      <c r="EYH27" s="433"/>
      <c r="EYI27" s="433"/>
      <c r="EYJ27" s="433"/>
      <c r="EYK27" s="433"/>
      <c r="EYL27" s="433"/>
      <c r="EYM27" s="433"/>
      <c r="EYN27" s="1037"/>
      <c r="EYO27" s="1438"/>
      <c r="EYP27" s="433"/>
      <c r="EYQ27" s="433"/>
      <c r="EYR27" s="433"/>
      <c r="EYS27" s="433"/>
      <c r="EYT27" s="433"/>
      <c r="EYU27" s="433"/>
      <c r="EYV27" s="433"/>
      <c r="EYW27" s="433"/>
      <c r="EYX27" s="433"/>
      <c r="EYY27" s="433"/>
      <c r="EYZ27" s="1037"/>
      <c r="EZA27" s="1438"/>
      <c r="EZB27" s="433"/>
      <c r="EZC27" s="433"/>
      <c r="EZD27" s="433"/>
      <c r="EZE27" s="433"/>
      <c r="EZF27" s="433"/>
      <c r="EZG27" s="433"/>
      <c r="EZH27" s="433"/>
      <c r="EZI27" s="433"/>
      <c r="EZJ27" s="433"/>
      <c r="EZK27" s="433"/>
      <c r="EZL27" s="1037"/>
      <c r="EZM27" s="1438"/>
      <c r="EZN27" s="433"/>
      <c r="EZO27" s="433"/>
      <c r="EZP27" s="433"/>
      <c r="EZQ27" s="433"/>
      <c r="EZR27" s="433"/>
      <c r="EZS27" s="433"/>
      <c r="EZT27" s="433"/>
      <c r="EZU27" s="433"/>
      <c r="EZV27" s="433"/>
      <c r="EZW27" s="433"/>
      <c r="EZX27" s="1037"/>
      <c r="EZY27" s="1438"/>
      <c r="EZZ27" s="433"/>
      <c r="FAA27" s="433"/>
      <c r="FAB27" s="433"/>
      <c r="FAC27" s="433"/>
      <c r="FAD27" s="433"/>
      <c r="FAE27" s="433"/>
      <c r="FAF27" s="433"/>
      <c r="FAG27" s="433"/>
      <c r="FAH27" s="433"/>
      <c r="FAI27" s="433"/>
      <c r="FAJ27" s="1037"/>
      <c r="FAK27" s="1438"/>
      <c r="FAL27" s="433"/>
      <c r="FAM27" s="433"/>
      <c r="FAN27" s="433"/>
      <c r="FAO27" s="433"/>
      <c r="FAP27" s="433"/>
      <c r="FAQ27" s="433"/>
      <c r="FAR27" s="433"/>
      <c r="FAS27" s="433"/>
      <c r="FAT27" s="433"/>
      <c r="FAU27" s="433"/>
      <c r="FAV27" s="1037"/>
      <c r="FAW27" s="1438"/>
      <c r="FAX27" s="433"/>
      <c r="FAY27" s="433"/>
      <c r="FAZ27" s="433"/>
      <c r="FBA27" s="433"/>
      <c r="FBB27" s="433"/>
      <c r="FBC27" s="433"/>
      <c r="FBD27" s="433"/>
      <c r="FBE27" s="433"/>
      <c r="FBF27" s="433"/>
      <c r="FBG27" s="433"/>
      <c r="FBH27" s="1037"/>
      <c r="FBI27" s="1438"/>
      <c r="FBJ27" s="433"/>
      <c r="FBK27" s="433"/>
      <c r="FBL27" s="433"/>
      <c r="FBM27" s="433"/>
      <c r="FBN27" s="433"/>
      <c r="FBO27" s="433"/>
      <c r="FBP27" s="433"/>
      <c r="FBQ27" s="433"/>
      <c r="FBR27" s="433"/>
      <c r="FBS27" s="433"/>
      <c r="FBT27" s="1037"/>
      <c r="FBU27" s="1438"/>
      <c r="FBV27" s="433"/>
      <c r="FBW27" s="433"/>
      <c r="FBX27" s="433"/>
      <c r="FBY27" s="433"/>
      <c r="FBZ27" s="433"/>
      <c r="FCA27" s="433"/>
      <c r="FCB27" s="433"/>
      <c r="FCC27" s="433"/>
      <c r="FCD27" s="433"/>
      <c r="FCE27" s="433"/>
      <c r="FCF27" s="1037"/>
      <c r="FCG27" s="1438"/>
      <c r="FCH27" s="433"/>
      <c r="FCI27" s="433"/>
      <c r="FCJ27" s="433"/>
      <c r="FCK27" s="433"/>
      <c r="FCL27" s="433"/>
      <c r="FCM27" s="433"/>
      <c r="FCN27" s="433"/>
      <c r="FCO27" s="433"/>
      <c r="FCP27" s="433"/>
      <c r="FCQ27" s="433"/>
      <c r="FCR27" s="1037"/>
      <c r="FCS27" s="1438"/>
      <c r="FCT27" s="433"/>
      <c r="FCU27" s="433"/>
      <c r="FCV27" s="433"/>
      <c r="FCW27" s="433"/>
      <c r="FCX27" s="433"/>
      <c r="FCY27" s="433"/>
      <c r="FCZ27" s="433"/>
      <c r="FDA27" s="433"/>
      <c r="FDB27" s="433"/>
      <c r="FDC27" s="433"/>
      <c r="FDD27" s="1037"/>
      <c r="FDE27" s="1438"/>
      <c r="FDF27" s="433"/>
      <c r="FDG27" s="433"/>
      <c r="FDH27" s="433"/>
      <c r="FDI27" s="433"/>
      <c r="FDJ27" s="433"/>
      <c r="FDK27" s="433"/>
      <c r="FDL27" s="433"/>
      <c r="FDM27" s="433"/>
      <c r="FDN27" s="433"/>
      <c r="FDO27" s="433"/>
      <c r="FDP27" s="1037"/>
      <c r="FDQ27" s="1438"/>
      <c r="FDR27" s="433"/>
      <c r="FDS27" s="433"/>
      <c r="FDT27" s="433"/>
      <c r="FDU27" s="433"/>
      <c r="FDV27" s="433"/>
      <c r="FDW27" s="433"/>
      <c r="FDX27" s="433"/>
      <c r="FDY27" s="433"/>
      <c r="FDZ27" s="433"/>
      <c r="FEA27" s="433"/>
      <c r="FEB27" s="1037"/>
      <c r="FEC27" s="1438"/>
      <c r="FED27" s="433"/>
      <c r="FEE27" s="433"/>
      <c r="FEF27" s="433"/>
      <c r="FEG27" s="433"/>
      <c r="FEH27" s="433"/>
      <c r="FEI27" s="433"/>
      <c r="FEJ27" s="433"/>
      <c r="FEK27" s="433"/>
      <c r="FEL27" s="433"/>
      <c r="FEM27" s="433"/>
      <c r="FEN27" s="1037"/>
      <c r="FEO27" s="1438"/>
      <c r="FEP27" s="433"/>
      <c r="FEQ27" s="433"/>
      <c r="FER27" s="433"/>
      <c r="FES27" s="433"/>
      <c r="FET27" s="433"/>
      <c r="FEU27" s="433"/>
      <c r="FEV27" s="433"/>
      <c r="FEW27" s="433"/>
      <c r="FEX27" s="433"/>
      <c r="FEY27" s="433"/>
      <c r="FEZ27" s="1037"/>
      <c r="FFA27" s="1438"/>
      <c r="FFB27" s="433"/>
      <c r="FFC27" s="433"/>
      <c r="FFD27" s="433"/>
      <c r="FFE27" s="433"/>
      <c r="FFF27" s="433"/>
      <c r="FFG27" s="433"/>
      <c r="FFH27" s="433"/>
      <c r="FFI27" s="433"/>
      <c r="FFJ27" s="433"/>
      <c r="FFK27" s="433"/>
      <c r="FFL27" s="1037"/>
      <c r="FFM27" s="1438"/>
      <c r="FFN27" s="433"/>
      <c r="FFO27" s="433"/>
      <c r="FFP27" s="433"/>
      <c r="FFQ27" s="433"/>
      <c r="FFR27" s="433"/>
      <c r="FFS27" s="433"/>
      <c r="FFT27" s="433"/>
      <c r="FFU27" s="433"/>
      <c r="FFV27" s="433"/>
      <c r="FFW27" s="433"/>
      <c r="FFX27" s="1037"/>
      <c r="FFY27" s="1438"/>
      <c r="FFZ27" s="433"/>
      <c r="FGA27" s="433"/>
      <c r="FGB27" s="433"/>
      <c r="FGC27" s="433"/>
      <c r="FGD27" s="433"/>
      <c r="FGE27" s="433"/>
      <c r="FGF27" s="433"/>
      <c r="FGG27" s="433"/>
      <c r="FGH27" s="433"/>
      <c r="FGI27" s="433"/>
      <c r="FGJ27" s="1037"/>
      <c r="FGK27" s="1438"/>
      <c r="FGL27" s="433"/>
      <c r="FGM27" s="433"/>
      <c r="FGN27" s="433"/>
      <c r="FGO27" s="433"/>
      <c r="FGP27" s="433"/>
      <c r="FGQ27" s="433"/>
      <c r="FGR27" s="433"/>
      <c r="FGS27" s="433"/>
      <c r="FGT27" s="433"/>
      <c r="FGU27" s="433"/>
      <c r="FGV27" s="1037"/>
      <c r="FGW27" s="1438"/>
      <c r="FGX27" s="433"/>
      <c r="FGY27" s="433"/>
      <c r="FGZ27" s="433"/>
      <c r="FHA27" s="433"/>
      <c r="FHB27" s="433"/>
      <c r="FHC27" s="433"/>
      <c r="FHD27" s="433"/>
      <c r="FHE27" s="433"/>
      <c r="FHF27" s="433"/>
      <c r="FHG27" s="433"/>
      <c r="FHH27" s="1037"/>
      <c r="FHI27" s="1438"/>
      <c r="FHJ27" s="433"/>
      <c r="FHK27" s="433"/>
      <c r="FHL27" s="433"/>
      <c r="FHM27" s="433"/>
      <c r="FHN27" s="433"/>
      <c r="FHO27" s="433"/>
      <c r="FHP27" s="433"/>
      <c r="FHQ27" s="433"/>
      <c r="FHR27" s="433"/>
      <c r="FHS27" s="433"/>
      <c r="FHT27" s="1037"/>
      <c r="FHU27" s="1438"/>
      <c r="FHV27" s="433"/>
      <c r="FHW27" s="433"/>
      <c r="FHX27" s="433"/>
      <c r="FHY27" s="433"/>
      <c r="FHZ27" s="433"/>
      <c r="FIA27" s="433"/>
      <c r="FIB27" s="433"/>
      <c r="FIC27" s="433"/>
      <c r="FID27" s="433"/>
      <c r="FIE27" s="433"/>
      <c r="FIF27" s="1037"/>
      <c r="FIG27" s="1438"/>
      <c r="FIH27" s="433"/>
      <c r="FII27" s="433"/>
      <c r="FIJ27" s="433"/>
      <c r="FIK27" s="433"/>
      <c r="FIL27" s="433"/>
      <c r="FIM27" s="433"/>
      <c r="FIN27" s="433"/>
      <c r="FIO27" s="433"/>
      <c r="FIP27" s="433"/>
      <c r="FIQ27" s="433"/>
      <c r="FIR27" s="1037"/>
      <c r="FIS27" s="1438"/>
      <c r="FIT27" s="433"/>
      <c r="FIU27" s="433"/>
      <c r="FIV27" s="433"/>
      <c r="FIW27" s="433"/>
      <c r="FIX27" s="433"/>
      <c r="FIY27" s="433"/>
      <c r="FIZ27" s="433"/>
      <c r="FJA27" s="433"/>
      <c r="FJB27" s="433"/>
      <c r="FJC27" s="433"/>
      <c r="FJD27" s="1037"/>
      <c r="FJE27" s="1438"/>
      <c r="FJF27" s="433"/>
      <c r="FJG27" s="433"/>
      <c r="FJH27" s="433"/>
      <c r="FJI27" s="433"/>
      <c r="FJJ27" s="433"/>
      <c r="FJK27" s="433"/>
      <c r="FJL27" s="433"/>
      <c r="FJM27" s="433"/>
      <c r="FJN27" s="433"/>
      <c r="FJO27" s="433"/>
      <c r="FJP27" s="1037"/>
      <c r="FJQ27" s="1438"/>
      <c r="FJR27" s="433"/>
      <c r="FJS27" s="433"/>
      <c r="FJT27" s="433"/>
      <c r="FJU27" s="433"/>
      <c r="FJV27" s="433"/>
      <c r="FJW27" s="433"/>
      <c r="FJX27" s="433"/>
      <c r="FJY27" s="433"/>
      <c r="FJZ27" s="433"/>
      <c r="FKA27" s="433"/>
      <c r="FKB27" s="1037"/>
      <c r="FKC27" s="1438"/>
      <c r="FKD27" s="433"/>
      <c r="FKE27" s="433"/>
      <c r="FKF27" s="433"/>
      <c r="FKG27" s="433"/>
      <c r="FKH27" s="433"/>
      <c r="FKI27" s="433"/>
      <c r="FKJ27" s="433"/>
      <c r="FKK27" s="433"/>
      <c r="FKL27" s="433"/>
      <c r="FKM27" s="433"/>
      <c r="FKN27" s="1037"/>
      <c r="FKO27" s="1438"/>
      <c r="FKP27" s="433"/>
      <c r="FKQ27" s="433"/>
      <c r="FKR27" s="433"/>
      <c r="FKS27" s="433"/>
      <c r="FKT27" s="433"/>
      <c r="FKU27" s="433"/>
      <c r="FKV27" s="433"/>
      <c r="FKW27" s="433"/>
      <c r="FKX27" s="433"/>
      <c r="FKY27" s="433"/>
      <c r="FKZ27" s="1037"/>
      <c r="FLA27" s="1438"/>
      <c r="FLB27" s="433"/>
      <c r="FLC27" s="433"/>
      <c r="FLD27" s="433"/>
      <c r="FLE27" s="433"/>
      <c r="FLF27" s="433"/>
      <c r="FLG27" s="433"/>
      <c r="FLH27" s="433"/>
      <c r="FLI27" s="433"/>
      <c r="FLJ27" s="433"/>
      <c r="FLK27" s="433"/>
      <c r="FLL27" s="1037"/>
      <c r="FLM27" s="1438"/>
      <c r="FLN27" s="433"/>
      <c r="FLO27" s="433"/>
      <c r="FLP27" s="433"/>
      <c r="FLQ27" s="433"/>
      <c r="FLR27" s="433"/>
      <c r="FLS27" s="433"/>
      <c r="FLT27" s="433"/>
      <c r="FLU27" s="433"/>
      <c r="FLV27" s="433"/>
      <c r="FLW27" s="433"/>
      <c r="FLX27" s="1037"/>
      <c r="FLY27" s="1438"/>
      <c r="FLZ27" s="433"/>
      <c r="FMA27" s="433"/>
      <c r="FMB27" s="433"/>
      <c r="FMC27" s="433"/>
      <c r="FMD27" s="433"/>
      <c r="FME27" s="433"/>
      <c r="FMF27" s="433"/>
      <c r="FMG27" s="433"/>
      <c r="FMH27" s="433"/>
      <c r="FMI27" s="433"/>
      <c r="FMJ27" s="1037"/>
      <c r="FMK27" s="1438"/>
      <c r="FML27" s="433"/>
      <c r="FMM27" s="433"/>
      <c r="FMN27" s="433"/>
      <c r="FMO27" s="433"/>
      <c r="FMP27" s="433"/>
      <c r="FMQ27" s="433"/>
      <c r="FMR27" s="433"/>
      <c r="FMS27" s="433"/>
      <c r="FMT27" s="433"/>
      <c r="FMU27" s="433"/>
      <c r="FMV27" s="1037"/>
      <c r="FMW27" s="1438"/>
      <c r="FMX27" s="433"/>
      <c r="FMY27" s="433"/>
      <c r="FMZ27" s="433"/>
      <c r="FNA27" s="433"/>
      <c r="FNB27" s="433"/>
      <c r="FNC27" s="433"/>
      <c r="FND27" s="433"/>
      <c r="FNE27" s="433"/>
      <c r="FNF27" s="433"/>
      <c r="FNG27" s="433"/>
      <c r="FNH27" s="1037"/>
      <c r="FNI27" s="1438"/>
      <c r="FNJ27" s="433"/>
      <c r="FNK27" s="433"/>
      <c r="FNL27" s="433"/>
      <c r="FNM27" s="433"/>
      <c r="FNN27" s="433"/>
      <c r="FNO27" s="433"/>
      <c r="FNP27" s="433"/>
      <c r="FNQ27" s="433"/>
      <c r="FNR27" s="433"/>
      <c r="FNS27" s="433"/>
      <c r="FNT27" s="1037"/>
      <c r="FNU27" s="1438"/>
      <c r="FNV27" s="433"/>
      <c r="FNW27" s="433"/>
      <c r="FNX27" s="433"/>
      <c r="FNY27" s="433"/>
      <c r="FNZ27" s="433"/>
      <c r="FOA27" s="433"/>
      <c r="FOB27" s="433"/>
      <c r="FOC27" s="433"/>
      <c r="FOD27" s="433"/>
      <c r="FOE27" s="433"/>
      <c r="FOF27" s="1037"/>
      <c r="FOG27" s="1438"/>
      <c r="FOH27" s="433"/>
      <c r="FOI27" s="433"/>
      <c r="FOJ27" s="433"/>
      <c r="FOK27" s="433"/>
      <c r="FOL27" s="433"/>
      <c r="FOM27" s="433"/>
      <c r="FON27" s="433"/>
      <c r="FOO27" s="433"/>
      <c r="FOP27" s="433"/>
      <c r="FOQ27" s="433"/>
      <c r="FOR27" s="1037"/>
      <c r="FOS27" s="1438"/>
      <c r="FOT27" s="433"/>
      <c r="FOU27" s="433"/>
      <c r="FOV27" s="433"/>
      <c r="FOW27" s="433"/>
      <c r="FOX27" s="433"/>
      <c r="FOY27" s="433"/>
      <c r="FOZ27" s="433"/>
      <c r="FPA27" s="433"/>
      <c r="FPB27" s="433"/>
      <c r="FPC27" s="433"/>
      <c r="FPD27" s="1037"/>
      <c r="FPE27" s="1438"/>
      <c r="FPF27" s="433"/>
      <c r="FPG27" s="433"/>
      <c r="FPH27" s="433"/>
      <c r="FPI27" s="433"/>
      <c r="FPJ27" s="433"/>
      <c r="FPK27" s="433"/>
      <c r="FPL27" s="433"/>
      <c r="FPM27" s="433"/>
      <c r="FPN27" s="433"/>
      <c r="FPO27" s="433"/>
      <c r="FPP27" s="1037"/>
      <c r="FPQ27" s="1438"/>
      <c r="FPR27" s="433"/>
      <c r="FPS27" s="433"/>
      <c r="FPT27" s="433"/>
      <c r="FPU27" s="433"/>
      <c r="FPV27" s="433"/>
      <c r="FPW27" s="433"/>
      <c r="FPX27" s="433"/>
      <c r="FPY27" s="433"/>
      <c r="FPZ27" s="433"/>
      <c r="FQA27" s="433"/>
      <c r="FQB27" s="1037"/>
      <c r="FQC27" s="1438"/>
      <c r="FQD27" s="433"/>
      <c r="FQE27" s="433"/>
      <c r="FQF27" s="433"/>
      <c r="FQG27" s="433"/>
      <c r="FQH27" s="433"/>
      <c r="FQI27" s="433"/>
      <c r="FQJ27" s="433"/>
      <c r="FQK27" s="433"/>
      <c r="FQL27" s="433"/>
      <c r="FQM27" s="433"/>
      <c r="FQN27" s="1037"/>
      <c r="FQO27" s="1438"/>
      <c r="FQP27" s="433"/>
      <c r="FQQ27" s="433"/>
      <c r="FQR27" s="433"/>
      <c r="FQS27" s="433"/>
      <c r="FQT27" s="433"/>
      <c r="FQU27" s="433"/>
      <c r="FQV27" s="433"/>
      <c r="FQW27" s="433"/>
      <c r="FQX27" s="433"/>
      <c r="FQY27" s="433"/>
      <c r="FQZ27" s="1037"/>
      <c r="FRA27" s="1438"/>
      <c r="FRB27" s="433"/>
      <c r="FRC27" s="433"/>
      <c r="FRD27" s="433"/>
      <c r="FRE27" s="433"/>
      <c r="FRF27" s="433"/>
      <c r="FRG27" s="433"/>
      <c r="FRH27" s="433"/>
      <c r="FRI27" s="433"/>
      <c r="FRJ27" s="433"/>
      <c r="FRK27" s="433"/>
      <c r="FRL27" s="1037"/>
      <c r="FRM27" s="1438"/>
      <c r="FRN27" s="433"/>
      <c r="FRO27" s="433"/>
      <c r="FRP27" s="433"/>
      <c r="FRQ27" s="433"/>
      <c r="FRR27" s="433"/>
      <c r="FRS27" s="433"/>
      <c r="FRT27" s="433"/>
      <c r="FRU27" s="433"/>
      <c r="FRV27" s="433"/>
      <c r="FRW27" s="433"/>
      <c r="FRX27" s="1037"/>
      <c r="FRY27" s="1438"/>
      <c r="FRZ27" s="433"/>
      <c r="FSA27" s="433"/>
      <c r="FSB27" s="433"/>
      <c r="FSC27" s="433"/>
      <c r="FSD27" s="433"/>
      <c r="FSE27" s="433"/>
      <c r="FSF27" s="433"/>
      <c r="FSG27" s="433"/>
      <c r="FSH27" s="433"/>
      <c r="FSI27" s="433"/>
      <c r="FSJ27" s="1037"/>
      <c r="FSK27" s="1438"/>
      <c r="FSL27" s="433"/>
      <c r="FSM27" s="433"/>
      <c r="FSN27" s="433"/>
      <c r="FSO27" s="433"/>
      <c r="FSP27" s="433"/>
      <c r="FSQ27" s="433"/>
      <c r="FSR27" s="433"/>
      <c r="FSS27" s="433"/>
      <c r="FST27" s="433"/>
      <c r="FSU27" s="433"/>
      <c r="FSV27" s="1037"/>
      <c r="FSW27" s="1438"/>
      <c r="FSX27" s="433"/>
      <c r="FSY27" s="433"/>
      <c r="FSZ27" s="433"/>
      <c r="FTA27" s="433"/>
      <c r="FTB27" s="433"/>
      <c r="FTC27" s="433"/>
      <c r="FTD27" s="433"/>
      <c r="FTE27" s="433"/>
      <c r="FTF27" s="433"/>
      <c r="FTG27" s="433"/>
      <c r="FTH27" s="1037"/>
      <c r="FTI27" s="1438"/>
      <c r="FTJ27" s="433"/>
      <c r="FTK27" s="433"/>
      <c r="FTL27" s="433"/>
      <c r="FTM27" s="433"/>
      <c r="FTN27" s="433"/>
      <c r="FTO27" s="433"/>
      <c r="FTP27" s="433"/>
      <c r="FTQ27" s="433"/>
      <c r="FTR27" s="433"/>
      <c r="FTS27" s="433"/>
      <c r="FTT27" s="1037"/>
      <c r="FTU27" s="1438"/>
      <c r="FTV27" s="433"/>
      <c r="FTW27" s="433"/>
      <c r="FTX27" s="433"/>
      <c r="FTY27" s="433"/>
      <c r="FTZ27" s="433"/>
      <c r="FUA27" s="433"/>
      <c r="FUB27" s="433"/>
      <c r="FUC27" s="433"/>
      <c r="FUD27" s="433"/>
      <c r="FUE27" s="433"/>
      <c r="FUF27" s="1037"/>
      <c r="FUG27" s="1438"/>
      <c r="FUH27" s="433"/>
      <c r="FUI27" s="433"/>
      <c r="FUJ27" s="433"/>
      <c r="FUK27" s="433"/>
      <c r="FUL27" s="433"/>
      <c r="FUM27" s="433"/>
      <c r="FUN27" s="433"/>
      <c r="FUO27" s="433"/>
      <c r="FUP27" s="433"/>
      <c r="FUQ27" s="433"/>
      <c r="FUR27" s="1037"/>
      <c r="FUS27" s="1438"/>
      <c r="FUT27" s="433"/>
      <c r="FUU27" s="433"/>
      <c r="FUV27" s="433"/>
      <c r="FUW27" s="433"/>
      <c r="FUX27" s="433"/>
      <c r="FUY27" s="433"/>
      <c r="FUZ27" s="433"/>
      <c r="FVA27" s="433"/>
      <c r="FVB27" s="433"/>
      <c r="FVC27" s="433"/>
      <c r="FVD27" s="1037"/>
      <c r="FVE27" s="1438"/>
      <c r="FVF27" s="433"/>
      <c r="FVG27" s="433"/>
      <c r="FVH27" s="433"/>
      <c r="FVI27" s="433"/>
      <c r="FVJ27" s="433"/>
      <c r="FVK27" s="433"/>
      <c r="FVL27" s="433"/>
      <c r="FVM27" s="433"/>
      <c r="FVN27" s="433"/>
      <c r="FVO27" s="433"/>
      <c r="FVP27" s="1037"/>
      <c r="FVQ27" s="1438"/>
      <c r="FVR27" s="433"/>
      <c r="FVS27" s="433"/>
      <c r="FVT27" s="433"/>
      <c r="FVU27" s="433"/>
      <c r="FVV27" s="433"/>
      <c r="FVW27" s="433"/>
      <c r="FVX27" s="433"/>
      <c r="FVY27" s="433"/>
      <c r="FVZ27" s="433"/>
      <c r="FWA27" s="433"/>
      <c r="FWB27" s="1037"/>
      <c r="FWC27" s="1438"/>
      <c r="FWD27" s="433"/>
      <c r="FWE27" s="433"/>
      <c r="FWF27" s="433"/>
      <c r="FWG27" s="433"/>
      <c r="FWH27" s="433"/>
      <c r="FWI27" s="433"/>
      <c r="FWJ27" s="433"/>
      <c r="FWK27" s="433"/>
      <c r="FWL27" s="433"/>
      <c r="FWM27" s="433"/>
      <c r="FWN27" s="1037"/>
      <c r="FWO27" s="1438"/>
      <c r="FWP27" s="433"/>
      <c r="FWQ27" s="433"/>
      <c r="FWR27" s="433"/>
      <c r="FWS27" s="433"/>
      <c r="FWT27" s="433"/>
      <c r="FWU27" s="433"/>
      <c r="FWV27" s="433"/>
      <c r="FWW27" s="433"/>
      <c r="FWX27" s="433"/>
      <c r="FWY27" s="433"/>
      <c r="FWZ27" s="1037"/>
      <c r="FXA27" s="1438"/>
      <c r="FXB27" s="433"/>
      <c r="FXC27" s="433"/>
      <c r="FXD27" s="433"/>
      <c r="FXE27" s="433"/>
      <c r="FXF27" s="433"/>
      <c r="FXG27" s="433"/>
      <c r="FXH27" s="433"/>
      <c r="FXI27" s="433"/>
      <c r="FXJ27" s="433"/>
      <c r="FXK27" s="433"/>
      <c r="FXL27" s="1037"/>
      <c r="FXM27" s="1438"/>
      <c r="FXN27" s="433"/>
      <c r="FXO27" s="433"/>
      <c r="FXP27" s="433"/>
      <c r="FXQ27" s="433"/>
      <c r="FXR27" s="433"/>
      <c r="FXS27" s="433"/>
      <c r="FXT27" s="433"/>
      <c r="FXU27" s="433"/>
      <c r="FXV27" s="433"/>
      <c r="FXW27" s="433"/>
      <c r="FXX27" s="1037"/>
      <c r="FXY27" s="1438"/>
      <c r="FXZ27" s="433"/>
      <c r="FYA27" s="433"/>
      <c r="FYB27" s="433"/>
      <c r="FYC27" s="433"/>
      <c r="FYD27" s="433"/>
      <c r="FYE27" s="433"/>
      <c r="FYF27" s="433"/>
      <c r="FYG27" s="433"/>
      <c r="FYH27" s="433"/>
      <c r="FYI27" s="433"/>
      <c r="FYJ27" s="1037"/>
      <c r="FYK27" s="1438"/>
      <c r="FYL27" s="433"/>
      <c r="FYM27" s="433"/>
      <c r="FYN27" s="433"/>
      <c r="FYO27" s="433"/>
      <c r="FYP27" s="433"/>
      <c r="FYQ27" s="433"/>
      <c r="FYR27" s="433"/>
      <c r="FYS27" s="433"/>
      <c r="FYT27" s="433"/>
      <c r="FYU27" s="433"/>
      <c r="FYV27" s="1037"/>
      <c r="FYW27" s="1438"/>
      <c r="FYX27" s="433"/>
      <c r="FYY27" s="433"/>
      <c r="FYZ27" s="433"/>
      <c r="FZA27" s="433"/>
      <c r="FZB27" s="433"/>
      <c r="FZC27" s="433"/>
      <c r="FZD27" s="433"/>
      <c r="FZE27" s="433"/>
      <c r="FZF27" s="433"/>
      <c r="FZG27" s="433"/>
      <c r="FZH27" s="1037"/>
      <c r="FZI27" s="1438"/>
      <c r="FZJ27" s="433"/>
      <c r="FZK27" s="433"/>
      <c r="FZL27" s="433"/>
      <c r="FZM27" s="433"/>
      <c r="FZN27" s="433"/>
      <c r="FZO27" s="433"/>
      <c r="FZP27" s="433"/>
      <c r="FZQ27" s="433"/>
      <c r="FZR27" s="433"/>
      <c r="FZS27" s="433"/>
      <c r="FZT27" s="1037"/>
      <c r="FZU27" s="1438"/>
      <c r="FZV27" s="433"/>
      <c r="FZW27" s="433"/>
      <c r="FZX27" s="433"/>
      <c r="FZY27" s="433"/>
      <c r="FZZ27" s="433"/>
      <c r="GAA27" s="433"/>
      <c r="GAB27" s="433"/>
      <c r="GAC27" s="433"/>
      <c r="GAD27" s="433"/>
      <c r="GAE27" s="433"/>
      <c r="GAF27" s="1037"/>
      <c r="GAG27" s="1438"/>
      <c r="GAH27" s="433"/>
      <c r="GAI27" s="433"/>
      <c r="GAJ27" s="433"/>
      <c r="GAK27" s="433"/>
      <c r="GAL27" s="433"/>
      <c r="GAM27" s="433"/>
      <c r="GAN27" s="433"/>
      <c r="GAO27" s="433"/>
      <c r="GAP27" s="433"/>
      <c r="GAQ27" s="433"/>
      <c r="GAR27" s="1037"/>
      <c r="GAS27" s="1438"/>
      <c r="GAT27" s="433"/>
      <c r="GAU27" s="433"/>
      <c r="GAV27" s="433"/>
      <c r="GAW27" s="433"/>
      <c r="GAX27" s="433"/>
      <c r="GAY27" s="433"/>
      <c r="GAZ27" s="433"/>
      <c r="GBA27" s="433"/>
      <c r="GBB27" s="433"/>
      <c r="GBC27" s="433"/>
      <c r="GBD27" s="1037"/>
      <c r="GBE27" s="1438"/>
      <c r="GBF27" s="433"/>
      <c r="GBG27" s="433"/>
      <c r="GBH27" s="433"/>
      <c r="GBI27" s="433"/>
      <c r="GBJ27" s="433"/>
      <c r="GBK27" s="433"/>
      <c r="GBL27" s="433"/>
      <c r="GBM27" s="433"/>
      <c r="GBN27" s="433"/>
      <c r="GBO27" s="433"/>
      <c r="GBP27" s="1037"/>
      <c r="GBQ27" s="1438"/>
      <c r="GBR27" s="433"/>
      <c r="GBS27" s="433"/>
      <c r="GBT27" s="433"/>
      <c r="GBU27" s="433"/>
      <c r="GBV27" s="433"/>
      <c r="GBW27" s="433"/>
      <c r="GBX27" s="433"/>
      <c r="GBY27" s="433"/>
      <c r="GBZ27" s="433"/>
      <c r="GCA27" s="433"/>
      <c r="GCB27" s="1037"/>
      <c r="GCC27" s="1438"/>
      <c r="GCD27" s="433"/>
      <c r="GCE27" s="433"/>
      <c r="GCF27" s="433"/>
      <c r="GCG27" s="433"/>
      <c r="GCH27" s="433"/>
      <c r="GCI27" s="433"/>
      <c r="GCJ27" s="433"/>
      <c r="GCK27" s="433"/>
      <c r="GCL27" s="433"/>
      <c r="GCM27" s="433"/>
      <c r="GCN27" s="1037"/>
      <c r="GCO27" s="1438"/>
      <c r="GCP27" s="433"/>
      <c r="GCQ27" s="433"/>
      <c r="GCR27" s="433"/>
      <c r="GCS27" s="433"/>
      <c r="GCT27" s="433"/>
      <c r="GCU27" s="433"/>
      <c r="GCV27" s="433"/>
      <c r="GCW27" s="433"/>
      <c r="GCX27" s="433"/>
      <c r="GCY27" s="433"/>
      <c r="GCZ27" s="1037"/>
      <c r="GDA27" s="1438"/>
      <c r="GDB27" s="433"/>
      <c r="GDC27" s="433"/>
      <c r="GDD27" s="433"/>
      <c r="GDE27" s="433"/>
      <c r="GDF27" s="433"/>
      <c r="GDG27" s="433"/>
      <c r="GDH27" s="433"/>
      <c r="GDI27" s="433"/>
      <c r="GDJ27" s="433"/>
      <c r="GDK27" s="433"/>
      <c r="GDL27" s="1037"/>
      <c r="GDM27" s="1438"/>
      <c r="GDN27" s="433"/>
      <c r="GDO27" s="433"/>
      <c r="GDP27" s="433"/>
      <c r="GDQ27" s="433"/>
      <c r="GDR27" s="433"/>
      <c r="GDS27" s="433"/>
      <c r="GDT27" s="433"/>
      <c r="GDU27" s="433"/>
      <c r="GDV27" s="433"/>
      <c r="GDW27" s="433"/>
      <c r="GDX27" s="1037"/>
      <c r="GDY27" s="1438"/>
      <c r="GDZ27" s="433"/>
      <c r="GEA27" s="433"/>
      <c r="GEB27" s="433"/>
      <c r="GEC27" s="433"/>
      <c r="GED27" s="433"/>
      <c r="GEE27" s="433"/>
      <c r="GEF27" s="433"/>
      <c r="GEG27" s="433"/>
      <c r="GEH27" s="433"/>
      <c r="GEI27" s="433"/>
      <c r="GEJ27" s="1037"/>
      <c r="GEK27" s="1438"/>
      <c r="GEL27" s="433"/>
      <c r="GEM27" s="433"/>
      <c r="GEN27" s="433"/>
      <c r="GEO27" s="433"/>
      <c r="GEP27" s="433"/>
      <c r="GEQ27" s="433"/>
      <c r="GER27" s="433"/>
      <c r="GES27" s="433"/>
      <c r="GET27" s="433"/>
      <c r="GEU27" s="433"/>
      <c r="GEV27" s="1037"/>
      <c r="GEW27" s="1438"/>
      <c r="GEX27" s="433"/>
      <c r="GEY27" s="433"/>
      <c r="GEZ27" s="433"/>
      <c r="GFA27" s="433"/>
      <c r="GFB27" s="433"/>
      <c r="GFC27" s="433"/>
      <c r="GFD27" s="433"/>
      <c r="GFE27" s="433"/>
      <c r="GFF27" s="433"/>
      <c r="GFG27" s="433"/>
      <c r="GFH27" s="1037"/>
      <c r="GFI27" s="1438"/>
      <c r="GFJ27" s="433"/>
      <c r="GFK27" s="433"/>
      <c r="GFL27" s="433"/>
      <c r="GFM27" s="433"/>
      <c r="GFN27" s="433"/>
      <c r="GFO27" s="433"/>
      <c r="GFP27" s="433"/>
      <c r="GFQ27" s="433"/>
      <c r="GFR27" s="433"/>
      <c r="GFS27" s="433"/>
      <c r="GFT27" s="1037"/>
      <c r="GFU27" s="1438"/>
      <c r="GFV27" s="433"/>
      <c r="GFW27" s="433"/>
      <c r="GFX27" s="433"/>
      <c r="GFY27" s="433"/>
      <c r="GFZ27" s="433"/>
      <c r="GGA27" s="433"/>
      <c r="GGB27" s="433"/>
      <c r="GGC27" s="433"/>
      <c r="GGD27" s="433"/>
      <c r="GGE27" s="433"/>
      <c r="GGF27" s="1037"/>
      <c r="GGG27" s="1438"/>
      <c r="GGH27" s="433"/>
      <c r="GGI27" s="433"/>
      <c r="GGJ27" s="433"/>
      <c r="GGK27" s="433"/>
      <c r="GGL27" s="433"/>
      <c r="GGM27" s="433"/>
      <c r="GGN27" s="433"/>
      <c r="GGO27" s="433"/>
      <c r="GGP27" s="433"/>
      <c r="GGQ27" s="433"/>
      <c r="GGR27" s="1037"/>
      <c r="GGS27" s="1438"/>
      <c r="GGT27" s="433"/>
      <c r="GGU27" s="433"/>
      <c r="GGV27" s="433"/>
      <c r="GGW27" s="433"/>
      <c r="GGX27" s="433"/>
      <c r="GGY27" s="433"/>
      <c r="GGZ27" s="433"/>
      <c r="GHA27" s="433"/>
      <c r="GHB27" s="433"/>
      <c r="GHC27" s="433"/>
      <c r="GHD27" s="1037"/>
      <c r="GHE27" s="1438"/>
      <c r="GHF27" s="433"/>
      <c r="GHG27" s="433"/>
      <c r="GHH27" s="433"/>
      <c r="GHI27" s="433"/>
      <c r="GHJ27" s="433"/>
      <c r="GHK27" s="433"/>
      <c r="GHL27" s="433"/>
      <c r="GHM27" s="433"/>
      <c r="GHN27" s="433"/>
      <c r="GHO27" s="433"/>
      <c r="GHP27" s="1037"/>
      <c r="GHQ27" s="1438"/>
      <c r="GHR27" s="433"/>
      <c r="GHS27" s="433"/>
      <c r="GHT27" s="433"/>
      <c r="GHU27" s="433"/>
      <c r="GHV27" s="433"/>
      <c r="GHW27" s="433"/>
      <c r="GHX27" s="433"/>
      <c r="GHY27" s="433"/>
      <c r="GHZ27" s="433"/>
      <c r="GIA27" s="433"/>
      <c r="GIB27" s="1037"/>
      <c r="GIC27" s="1438"/>
      <c r="GID27" s="433"/>
      <c r="GIE27" s="433"/>
      <c r="GIF27" s="433"/>
      <c r="GIG27" s="433"/>
      <c r="GIH27" s="433"/>
      <c r="GII27" s="433"/>
      <c r="GIJ27" s="433"/>
      <c r="GIK27" s="433"/>
      <c r="GIL27" s="433"/>
      <c r="GIM27" s="433"/>
      <c r="GIN27" s="1037"/>
      <c r="GIO27" s="1438"/>
      <c r="GIP27" s="433"/>
      <c r="GIQ27" s="433"/>
      <c r="GIR27" s="433"/>
      <c r="GIS27" s="433"/>
      <c r="GIT27" s="433"/>
      <c r="GIU27" s="433"/>
      <c r="GIV27" s="433"/>
      <c r="GIW27" s="433"/>
      <c r="GIX27" s="433"/>
      <c r="GIY27" s="433"/>
      <c r="GIZ27" s="1037"/>
      <c r="GJA27" s="1438"/>
      <c r="GJB27" s="433"/>
      <c r="GJC27" s="433"/>
      <c r="GJD27" s="433"/>
      <c r="GJE27" s="433"/>
      <c r="GJF27" s="433"/>
      <c r="GJG27" s="433"/>
      <c r="GJH27" s="433"/>
      <c r="GJI27" s="433"/>
      <c r="GJJ27" s="433"/>
      <c r="GJK27" s="433"/>
      <c r="GJL27" s="1037"/>
      <c r="GJM27" s="1438"/>
      <c r="GJN27" s="433"/>
      <c r="GJO27" s="433"/>
      <c r="GJP27" s="433"/>
      <c r="GJQ27" s="433"/>
      <c r="GJR27" s="433"/>
      <c r="GJS27" s="433"/>
      <c r="GJT27" s="433"/>
      <c r="GJU27" s="433"/>
      <c r="GJV27" s="433"/>
      <c r="GJW27" s="433"/>
      <c r="GJX27" s="1037"/>
      <c r="GJY27" s="1438"/>
      <c r="GJZ27" s="433"/>
      <c r="GKA27" s="433"/>
      <c r="GKB27" s="433"/>
      <c r="GKC27" s="433"/>
      <c r="GKD27" s="433"/>
      <c r="GKE27" s="433"/>
      <c r="GKF27" s="433"/>
      <c r="GKG27" s="433"/>
      <c r="GKH27" s="433"/>
      <c r="GKI27" s="433"/>
      <c r="GKJ27" s="1037"/>
      <c r="GKK27" s="1438"/>
      <c r="GKL27" s="433"/>
      <c r="GKM27" s="433"/>
      <c r="GKN27" s="433"/>
      <c r="GKO27" s="433"/>
      <c r="GKP27" s="433"/>
      <c r="GKQ27" s="433"/>
      <c r="GKR27" s="433"/>
      <c r="GKS27" s="433"/>
      <c r="GKT27" s="433"/>
      <c r="GKU27" s="433"/>
      <c r="GKV27" s="1037"/>
      <c r="GKW27" s="1438"/>
      <c r="GKX27" s="433"/>
      <c r="GKY27" s="433"/>
      <c r="GKZ27" s="433"/>
      <c r="GLA27" s="433"/>
      <c r="GLB27" s="433"/>
      <c r="GLC27" s="433"/>
      <c r="GLD27" s="433"/>
      <c r="GLE27" s="433"/>
      <c r="GLF27" s="433"/>
      <c r="GLG27" s="433"/>
      <c r="GLH27" s="1037"/>
      <c r="GLI27" s="1438"/>
      <c r="GLJ27" s="433"/>
      <c r="GLK27" s="433"/>
      <c r="GLL27" s="433"/>
      <c r="GLM27" s="433"/>
      <c r="GLN27" s="433"/>
      <c r="GLO27" s="433"/>
      <c r="GLP27" s="433"/>
      <c r="GLQ27" s="433"/>
      <c r="GLR27" s="433"/>
      <c r="GLS27" s="433"/>
      <c r="GLT27" s="1037"/>
      <c r="GLU27" s="1438"/>
      <c r="GLV27" s="433"/>
      <c r="GLW27" s="433"/>
      <c r="GLX27" s="433"/>
      <c r="GLY27" s="433"/>
      <c r="GLZ27" s="433"/>
      <c r="GMA27" s="433"/>
      <c r="GMB27" s="433"/>
      <c r="GMC27" s="433"/>
      <c r="GMD27" s="433"/>
      <c r="GME27" s="433"/>
      <c r="GMF27" s="1037"/>
      <c r="GMG27" s="1438"/>
      <c r="GMH27" s="433"/>
      <c r="GMI27" s="433"/>
      <c r="GMJ27" s="433"/>
      <c r="GMK27" s="433"/>
      <c r="GML27" s="433"/>
      <c r="GMM27" s="433"/>
      <c r="GMN27" s="433"/>
      <c r="GMO27" s="433"/>
      <c r="GMP27" s="433"/>
      <c r="GMQ27" s="433"/>
      <c r="GMR27" s="1037"/>
      <c r="GMS27" s="1438"/>
      <c r="GMT27" s="433"/>
      <c r="GMU27" s="433"/>
      <c r="GMV27" s="433"/>
      <c r="GMW27" s="433"/>
      <c r="GMX27" s="433"/>
      <c r="GMY27" s="433"/>
      <c r="GMZ27" s="433"/>
      <c r="GNA27" s="433"/>
      <c r="GNB27" s="433"/>
      <c r="GNC27" s="433"/>
      <c r="GND27" s="1037"/>
      <c r="GNE27" s="1438"/>
      <c r="GNF27" s="433"/>
      <c r="GNG27" s="433"/>
      <c r="GNH27" s="433"/>
      <c r="GNI27" s="433"/>
      <c r="GNJ27" s="433"/>
      <c r="GNK27" s="433"/>
      <c r="GNL27" s="433"/>
      <c r="GNM27" s="433"/>
      <c r="GNN27" s="433"/>
      <c r="GNO27" s="433"/>
      <c r="GNP27" s="1037"/>
      <c r="GNQ27" s="1438"/>
      <c r="GNR27" s="433"/>
      <c r="GNS27" s="433"/>
      <c r="GNT27" s="433"/>
      <c r="GNU27" s="433"/>
      <c r="GNV27" s="433"/>
      <c r="GNW27" s="433"/>
      <c r="GNX27" s="433"/>
      <c r="GNY27" s="433"/>
      <c r="GNZ27" s="433"/>
      <c r="GOA27" s="433"/>
      <c r="GOB27" s="1037"/>
      <c r="GOC27" s="1438"/>
      <c r="GOD27" s="433"/>
      <c r="GOE27" s="433"/>
      <c r="GOF27" s="433"/>
      <c r="GOG27" s="433"/>
      <c r="GOH27" s="433"/>
      <c r="GOI27" s="433"/>
      <c r="GOJ27" s="433"/>
      <c r="GOK27" s="433"/>
      <c r="GOL27" s="433"/>
      <c r="GOM27" s="433"/>
      <c r="GON27" s="1037"/>
      <c r="GOO27" s="1438"/>
      <c r="GOP27" s="433"/>
      <c r="GOQ27" s="433"/>
      <c r="GOR27" s="433"/>
      <c r="GOS27" s="433"/>
      <c r="GOT27" s="433"/>
      <c r="GOU27" s="433"/>
      <c r="GOV27" s="433"/>
      <c r="GOW27" s="433"/>
      <c r="GOX27" s="433"/>
      <c r="GOY27" s="433"/>
      <c r="GOZ27" s="1037"/>
      <c r="GPA27" s="1438"/>
      <c r="GPB27" s="433"/>
      <c r="GPC27" s="433"/>
      <c r="GPD27" s="433"/>
      <c r="GPE27" s="433"/>
      <c r="GPF27" s="433"/>
      <c r="GPG27" s="433"/>
      <c r="GPH27" s="433"/>
      <c r="GPI27" s="433"/>
      <c r="GPJ27" s="433"/>
      <c r="GPK27" s="433"/>
      <c r="GPL27" s="1037"/>
      <c r="GPM27" s="1438"/>
      <c r="GPN27" s="433"/>
      <c r="GPO27" s="433"/>
      <c r="GPP27" s="433"/>
      <c r="GPQ27" s="433"/>
      <c r="GPR27" s="433"/>
      <c r="GPS27" s="433"/>
      <c r="GPT27" s="433"/>
      <c r="GPU27" s="433"/>
      <c r="GPV27" s="433"/>
      <c r="GPW27" s="433"/>
      <c r="GPX27" s="1037"/>
      <c r="GPY27" s="1438"/>
      <c r="GPZ27" s="433"/>
      <c r="GQA27" s="433"/>
      <c r="GQB27" s="433"/>
      <c r="GQC27" s="433"/>
      <c r="GQD27" s="433"/>
      <c r="GQE27" s="433"/>
      <c r="GQF27" s="433"/>
      <c r="GQG27" s="433"/>
      <c r="GQH27" s="433"/>
      <c r="GQI27" s="433"/>
      <c r="GQJ27" s="1037"/>
      <c r="GQK27" s="1438"/>
      <c r="GQL27" s="433"/>
      <c r="GQM27" s="433"/>
      <c r="GQN27" s="433"/>
      <c r="GQO27" s="433"/>
      <c r="GQP27" s="433"/>
      <c r="GQQ27" s="433"/>
      <c r="GQR27" s="433"/>
      <c r="GQS27" s="433"/>
      <c r="GQT27" s="433"/>
      <c r="GQU27" s="433"/>
      <c r="GQV27" s="1037"/>
      <c r="GQW27" s="1438"/>
      <c r="GQX27" s="433"/>
      <c r="GQY27" s="433"/>
      <c r="GQZ27" s="433"/>
      <c r="GRA27" s="433"/>
      <c r="GRB27" s="433"/>
      <c r="GRC27" s="433"/>
      <c r="GRD27" s="433"/>
      <c r="GRE27" s="433"/>
      <c r="GRF27" s="433"/>
      <c r="GRG27" s="433"/>
      <c r="GRH27" s="1037"/>
      <c r="GRI27" s="1438"/>
      <c r="GRJ27" s="433"/>
      <c r="GRK27" s="433"/>
      <c r="GRL27" s="433"/>
      <c r="GRM27" s="433"/>
      <c r="GRN27" s="433"/>
      <c r="GRO27" s="433"/>
      <c r="GRP27" s="433"/>
      <c r="GRQ27" s="433"/>
      <c r="GRR27" s="433"/>
      <c r="GRS27" s="433"/>
      <c r="GRT27" s="1037"/>
      <c r="GRU27" s="1438"/>
      <c r="GRV27" s="433"/>
      <c r="GRW27" s="433"/>
      <c r="GRX27" s="433"/>
      <c r="GRY27" s="433"/>
      <c r="GRZ27" s="433"/>
      <c r="GSA27" s="433"/>
      <c r="GSB27" s="433"/>
      <c r="GSC27" s="433"/>
      <c r="GSD27" s="433"/>
      <c r="GSE27" s="433"/>
      <c r="GSF27" s="1037"/>
      <c r="GSG27" s="1438"/>
      <c r="GSH27" s="433"/>
      <c r="GSI27" s="433"/>
      <c r="GSJ27" s="433"/>
      <c r="GSK27" s="433"/>
      <c r="GSL27" s="433"/>
      <c r="GSM27" s="433"/>
      <c r="GSN27" s="433"/>
      <c r="GSO27" s="433"/>
      <c r="GSP27" s="433"/>
      <c r="GSQ27" s="433"/>
      <c r="GSR27" s="1037"/>
      <c r="GSS27" s="1438"/>
      <c r="GST27" s="433"/>
      <c r="GSU27" s="433"/>
      <c r="GSV27" s="433"/>
      <c r="GSW27" s="433"/>
      <c r="GSX27" s="433"/>
      <c r="GSY27" s="433"/>
      <c r="GSZ27" s="433"/>
      <c r="GTA27" s="433"/>
      <c r="GTB27" s="433"/>
      <c r="GTC27" s="433"/>
      <c r="GTD27" s="1037"/>
      <c r="GTE27" s="1438"/>
      <c r="GTF27" s="433"/>
      <c r="GTG27" s="433"/>
      <c r="GTH27" s="433"/>
      <c r="GTI27" s="433"/>
      <c r="GTJ27" s="433"/>
      <c r="GTK27" s="433"/>
      <c r="GTL27" s="433"/>
      <c r="GTM27" s="433"/>
      <c r="GTN27" s="433"/>
      <c r="GTO27" s="433"/>
      <c r="GTP27" s="1037"/>
      <c r="GTQ27" s="1438"/>
      <c r="GTR27" s="433"/>
      <c r="GTS27" s="433"/>
      <c r="GTT27" s="433"/>
      <c r="GTU27" s="433"/>
      <c r="GTV27" s="433"/>
      <c r="GTW27" s="433"/>
      <c r="GTX27" s="433"/>
      <c r="GTY27" s="433"/>
      <c r="GTZ27" s="433"/>
      <c r="GUA27" s="433"/>
      <c r="GUB27" s="1037"/>
      <c r="GUC27" s="1438"/>
      <c r="GUD27" s="433"/>
      <c r="GUE27" s="433"/>
      <c r="GUF27" s="433"/>
      <c r="GUG27" s="433"/>
      <c r="GUH27" s="433"/>
      <c r="GUI27" s="433"/>
      <c r="GUJ27" s="433"/>
      <c r="GUK27" s="433"/>
      <c r="GUL27" s="433"/>
      <c r="GUM27" s="433"/>
      <c r="GUN27" s="1037"/>
      <c r="GUO27" s="1438"/>
      <c r="GUP27" s="433"/>
      <c r="GUQ27" s="433"/>
      <c r="GUR27" s="433"/>
      <c r="GUS27" s="433"/>
      <c r="GUT27" s="433"/>
      <c r="GUU27" s="433"/>
      <c r="GUV27" s="433"/>
      <c r="GUW27" s="433"/>
      <c r="GUX27" s="433"/>
      <c r="GUY27" s="433"/>
      <c r="GUZ27" s="1037"/>
      <c r="GVA27" s="1438"/>
      <c r="GVB27" s="433"/>
      <c r="GVC27" s="433"/>
      <c r="GVD27" s="433"/>
      <c r="GVE27" s="433"/>
      <c r="GVF27" s="433"/>
      <c r="GVG27" s="433"/>
      <c r="GVH27" s="433"/>
      <c r="GVI27" s="433"/>
      <c r="GVJ27" s="433"/>
      <c r="GVK27" s="433"/>
      <c r="GVL27" s="1037"/>
      <c r="GVM27" s="1438"/>
      <c r="GVN27" s="433"/>
      <c r="GVO27" s="433"/>
      <c r="GVP27" s="433"/>
      <c r="GVQ27" s="433"/>
      <c r="GVR27" s="433"/>
      <c r="GVS27" s="433"/>
      <c r="GVT27" s="433"/>
      <c r="GVU27" s="433"/>
      <c r="GVV27" s="433"/>
      <c r="GVW27" s="433"/>
      <c r="GVX27" s="1037"/>
      <c r="GVY27" s="1438"/>
      <c r="GVZ27" s="433"/>
      <c r="GWA27" s="433"/>
      <c r="GWB27" s="433"/>
      <c r="GWC27" s="433"/>
      <c r="GWD27" s="433"/>
      <c r="GWE27" s="433"/>
      <c r="GWF27" s="433"/>
      <c r="GWG27" s="433"/>
      <c r="GWH27" s="433"/>
      <c r="GWI27" s="433"/>
      <c r="GWJ27" s="1037"/>
      <c r="GWK27" s="1438"/>
      <c r="GWL27" s="433"/>
      <c r="GWM27" s="433"/>
      <c r="GWN27" s="433"/>
      <c r="GWO27" s="433"/>
      <c r="GWP27" s="433"/>
      <c r="GWQ27" s="433"/>
      <c r="GWR27" s="433"/>
      <c r="GWS27" s="433"/>
      <c r="GWT27" s="433"/>
      <c r="GWU27" s="433"/>
      <c r="GWV27" s="1037"/>
      <c r="GWW27" s="1438"/>
      <c r="GWX27" s="433"/>
      <c r="GWY27" s="433"/>
      <c r="GWZ27" s="433"/>
      <c r="GXA27" s="433"/>
      <c r="GXB27" s="433"/>
      <c r="GXC27" s="433"/>
      <c r="GXD27" s="433"/>
      <c r="GXE27" s="433"/>
      <c r="GXF27" s="433"/>
      <c r="GXG27" s="433"/>
      <c r="GXH27" s="1037"/>
      <c r="GXI27" s="1438"/>
      <c r="GXJ27" s="433"/>
      <c r="GXK27" s="433"/>
      <c r="GXL27" s="433"/>
      <c r="GXM27" s="433"/>
      <c r="GXN27" s="433"/>
      <c r="GXO27" s="433"/>
      <c r="GXP27" s="433"/>
      <c r="GXQ27" s="433"/>
      <c r="GXR27" s="433"/>
      <c r="GXS27" s="433"/>
      <c r="GXT27" s="1037"/>
      <c r="GXU27" s="1438"/>
      <c r="GXV27" s="433"/>
      <c r="GXW27" s="433"/>
      <c r="GXX27" s="433"/>
      <c r="GXY27" s="433"/>
      <c r="GXZ27" s="433"/>
      <c r="GYA27" s="433"/>
      <c r="GYB27" s="433"/>
      <c r="GYC27" s="433"/>
      <c r="GYD27" s="433"/>
      <c r="GYE27" s="433"/>
      <c r="GYF27" s="1037"/>
      <c r="GYG27" s="1438"/>
      <c r="GYH27" s="433"/>
      <c r="GYI27" s="433"/>
      <c r="GYJ27" s="433"/>
      <c r="GYK27" s="433"/>
      <c r="GYL27" s="433"/>
      <c r="GYM27" s="433"/>
      <c r="GYN27" s="433"/>
      <c r="GYO27" s="433"/>
      <c r="GYP27" s="433"/>
      <c r="GYQ27" s="433"/>
      <c r="GYR27" s="1037"/>
      <c r="GYS27" s="1438"/>
      <c r="GYT27" s="433"/>
      <c r="GYU27" s="433"/>
      <c r="GYV27" s="433"/>
      <c r="GYW27" s="433"/>
      <c r="GYX27" s="433"/>
      <c r="GYY27" s="433"/>
      <c r="GYZ27" s="433"/>
      <c r="GZA27" s="433"/>
      <c r="GZB27" s="433"/>
      <c r="GZC27" s="433"/>
      <c r="GZD27" s="1037"/>
      <c r="GZE27" s="1438"/>
      <c r="GZF27" s="433"/>
      <c r="GZG27" s="433"/>
      <c r="GZH27" s="433"/>
      <c r="GZI27" s="433"/>
      <c r="GZJ27" s="433"/>
      <c r="GZK27" s="433"/>
      <c r="GZL27" s="433"/>
      <c r="GZM27" s="433"/>
      <c r="GZN27" s="433"/>
      <c r="GZO27" s="433"/>
      <c r="GZP27" s="1037"/>
      <c r="GZQ27" s="1438"/>
      <c r="GZR27" s="433"/>
      <c r="GZS27" s="433"/>
      <c r="GZT27" s="433"/>
      <c r="GZU27" s="433"/>
      <c r="GZV27" s="433"/>
      <c r="GZW27" s="433"/>
      <c r="GZX27" s="433"/>
      <c r="GZY27" s="433"/>
      <c r="GZZ27" s="433"/>
      <c r="HAA27" s="433"/>
      <c r="HAB27" s="1037"/>
      <c r="HAC27" s="1438"/>
      <c r="HAD27" s="433"/>
      <c r="HAE27" s="433"/>
      <c r="HAF27" s="433"/>
      <c r="HAG27" s="433"/>
      <c r="HAH27" s="433"/>
      <c r="HAI27" s="433"/>
      <c r="HAJ27" s="433"/>
      <c r="HAK27" s="433"/>
      <c r="HAL27" s="433"/>
      <c r="HAM27" s="433"/>
      <c r="HAN27" s="1037"/>
      <c r="HAO27" s="1438"/>
      <c r="HAP27" s="433"/>
      <c r="HAQ27" s="433"/>
      <c r="HAR27" s="433"/>
      <c r="HAS27" s="433"/>
      <c r="HAT27" s="433"/>
      <c r="HAU27" s="433"/>
      <c r="HAV27" s="433"/>
      <c r="HAW27" s="433"/>
      <c r="HAX27" s="433"/>
      <c r="HAY27" s="433"/>
      <c r="HAZ27" s="1037"/>
      <c r="HBA27" s="1438"/>
      <c r="HBB27" s="433"/>
      <c r="HBC27" s="433"/>
      <c r="HBD27" s="433"/>
      <c r="HBE27" s="433"/>
      <c r="HBF27" s="433"/>
      <c r="HBG27" s="433"/>
      <c r="HBH27" s="433"/>
      <c r="HBI27" s="433"/>
      <c r="HBJ27" s="433"/>
      <c r="HBK27" s="433"/>
      <c r="HBL27" s="1037"/>
      <c r="HBM27" s="1438"/>
      <c r="HBN27" s="433"/>
      <c r="HBO27" s="433"/>
      <c r="HBP27" s="433"/>
      <c r="HBQ27" s="433"/>
      <c r="HBR27" s="433"/>
      <c r="HBS27" s="433"/>
      <c r="HBT27" s="433"/>
      <c r="HBU27" s="433"/>
      <c r="HBV27" s="433"/>
      <c r="HBW27" s="433"/>
      <c r="HBX27" s="1037"/>
      <c r="HBY27" s="1438"/>
      <c r="HBZ27" s="433"/>
      <c r="HCA27" s="433"/>
      <c r="HCB27" s="433"/>
      <c r="HCC27" s="433"/>
      <c r="HCD27" s="433"/>
      <c r="HCE27" s="433"/>
      <c r="HCF27" s="433"/>
      <c r="HCG27" s="433"/>
      <c r="HCH27" s="433"/>
      <c r="HCI27" s="433"/>
      <c r="HCJ27" s="1037"/>
      <c r="HCK27" s="1438"/>
      <c r="HCL27" s="433"/>
      <c r="HCM27" s="433"/>
      <c r="HCN27" s="433"/>
      <c r="HCO27" s="433"/>
      <c r="HCP27" s="433"/>
      <c r="HCQ27" s="433"/>
      <c r="HCR27" s="433"/>
      <c r="HCS27" s="433"/>
      <c r="HCT27" s="433"/>
      <c r="HCU27" s="433"/>
      <c r="HCV27" s="1037"/>
      <c r="HCW27" s="1438"/>
      <c r="HCX27" s="433"/>
      <c r="HCY27" s="433"/>
      <c r="HCZ27" s="433"/>
      <c r="HDA27" s="433"/>
      <c r="HDB27" s="433"/>
      <c r="HDC27" s="433"/>
      <c r="HDD27" s="433"/>
      <c r="HDE27" s="433"/>
      <c r="HDF27" s="433"/>
      <c r="HDG27" s="433"/>
      <c r="HDH27" s="1037"/>
      <c r="HDI27" s="1438"/>
      <c r="HDJ27" s="433"/>
      <c r="HDK27" s="433"/>
      <c r="HDL27" s="433"/>
      <c r="HDM27" s="433"/>
      <c r="HDN27" s="433"/>
      <c r="HDO27" s="433"/>
      <c r="HDP27" s="433"/>
      <c r="HDQ27" s="433"/>
      <c r="HDR27" s="433"/>
      <c r="HDS27" s="433"/>
      <c r="HDT27" s="1037"/>
      <c r="HDU27" s="1438"/>
      <c r="HDV27" s="433"/>
      <c r="HDW27" s="433"/>
      <c r="HDX27" s="433"/>
      <c r="HDY27" s="433"/>
      <c r="HDZ27" s="433"/>
      <c r="HEA27" s="433"/>
      <c r="HEB27" s="433"/>
      <c r="HEC27" s="433"/>
      <c r="HED27" s="433"/>
      <c r="HEE27" s="433"/>
      <c r="HEF27" s="1037"/>
      <c r="HEG27" s="1438"/>
      <c r="HEH27" s="433"/>
      <c r="HEI27" s="433"/>
      <c r="HEJ27" s="433"/>
      <c r="HEK27" s="433"/>
      <c r="HEL27" s="433"/>
      <c r="HEM27" s="433"/>
      <c r="HEN27" s="433"/>
      <c r="HEO27" s="433"/>
      <c r="HEP27" s="433"/>
      <c r="HEQ27" s="433"/>
      <c r="HER27" s="1037"/>
      <c r="HES27" s="1438"/>
      <c r="HET27" s="433"/>
      <c r="HEU27" s="433"/>
      <c r="HEV27" s="433"/>
      <c r="HEW27" s="433"/>
      <c r="HEX27" s="433"/>
      <c r="HEY27" s="433"/>
      <c r="HEZ27" s="433"/>
      <c r="HFA27" s="433"/>
      <c r="HFB27" s="433"/>
      <c r="HFC27" s="433"/>
      <c r="HFD27" s="1037"/>
      <c r="HFE27" s="1438"/>
      <c r="HFF27" s="433"/>
      <c r="HFG27" s="433"/>
      <c r="HFH27" s="433"/>
      <c r="HFI27" s="433"/>
      <c r="HFJ27" s="433"/>
      <c r="HFK27" s="433"/>
      <c r="HFL27" s="433"/>
      <c r="HFM27" s="433"/>
      <c r="HFN27" s="433"/>
      <c r="HFO27" s="433"/>
      <c r="HFP27" s="1037"/>
      <c r="HFQ27" s="1438"/>
      <c r="HFR27" s="433"/>
      <c r="HFS27" s="433"/>
      <c r="HFT27" s="433"/>
      <c r="HFU27" s="433"/>
      <c r="HFV27" s="433"/>
      <c r="HFW27" s="433"/>
      <c r="HFX27" s="433"/>
      <c r="HFY27" s="433"/>
      <c r="HFZ27" s="433"/>
      <c r="HGA27" s="433"/>
      <c r="HGB27" s="1037"/>
      <c r="HGC27" s="1438"/>
      <c r="HGD27" s="433"/>
      <c r="HGE27" s="433"/>
      <c r="HGF27" s="433"/>
      <c r="HGG27" s="433"/>
      <c r="HGH27" s="433"/>
      <c r="HGI27" s="433"/>
      <c r="HGJ27" s="433"/>
      <c r="HGK27" s="433"/>
      <c r="HGL27" s="433"/>
      <c r="HGM27" s="433"/>
      <c r="HGN27" s="1037"/>
      <c r="HGO27" s="1438"/>
      <c r="HGP27" s="433"/>
      <c r="HGQ27" s="433"/>
      <c r="HGR27" s="433"/>
      <c r="HGS27" s="433"/>
      <c r="HGT27" s="433"/>
      <c r="HGU27" s="433"/>
      <c r="HGV27" s="433"/>
      <c r="HGW27" s="433"/>
      <c r="HGX27" s="433"/>
      <c r="HGY27" s="433"/>
      <c r="HGZ27" s="1037"/>
      <c r="HHA27" s="1438"/>
      <c r="HHB27" s="433"/>
      <c r="HHC27" s="433"/>
      <c r="HHD27" s="433"/>
      <c r="HHE27" s="433"/>
      <c r="HHF27" s="433"/>
      <c r="HHG27" s="433"/>
      <c r="HHH27" s="433"/>
      <c r="HHI27" s="433"/>
      <c r="HHJ27" s="433"/>
      <c r="HHK27" s="433"/>
      <c r="HHL27" s="1037"/>
      <c r="HHM27" s="1438"/>
      <c r="HHN27" s="433"/>
      <c r="HHO27" s="433"/>
      <c r="HHP27" s="433"/>
      <c r="HHQ27" s="433"/>
      <c r="HHR27" s="433"/>
      <c r="HHS27" s="433"/>
      <c r="HHT27" s="433"/>
      <c r="HHU27" s="433"/>
      <c r="HHV27" s="433"/>
      <c r="HHW27" s="433"/>
      <c r="HHX27" s="1037"/>
      <c r="HHY27" s="1438"/>
      <c r="HHZ27" s="433"/>
      <c r="HIA27" s="433"/>
      <c r="HIB27" s="433"/>
      <c r="HIC27" s="433"/>
      <c r="HID27" s="433"/>
      <c r="HIE27" s="433"/>
      <c r="HIF27" s="433"/>
      <c r="HIG27" s="433"/>
      <c r="HIH27" s="433"/>
      <c r="HII27" s="433"/>
      <c r="HIJ27" s="1037"/>
      <c r="HIK27" s="1438"/>
      <c r="HIL27" s="433"/>
      <c r="HIM27" s="433"/>
      <c r="HIN27" s="433"/>
      <c r="HIO27" s="433"/>
      <c r="HIP27" s="433"/>
      <c r="HIQ27" s="433"/>
      <c r="HIR27" s="433"/>
      <c r="HIS27" s="433"/>
      <c r="HIT27" s="433"/>
      <c r="HIU27" s="433"/>
      <c r="HIV27" s="1037"/>
      <c r="HIW27" s="1438"/>
      <c r="HIX27" s="433"/>
      <c r="HIY27" s="433"/>
      <c r="HIZ27" s="433"/>
      <c r="HJA27" s="433"/>
      <c r="HJB27" s="433"/>
      <c r="HJC27" s="433"/>
      <c r="HJD27" s="433"/>
      <c r="HJE27" s="433"/>
      <c r="HJF27" s="433"/>
      <c r="HJG27" s="433"/>
      <c r="HJH27" s="1037"/>
      <c r="HJI27" s="1438"/>
      <c r="HJJ27" s="433"/>
      <c r="HJK27" s="433"/>
      <c r="HJL27" s="433"/>
      <c r="HJM27" s="433"/>
      <c r="HJN27" s="433"/>
      <c r="HJO27" s="433"/>
      <c r="HJP27" s="433"/>
      <c r="HJQ27" s="433"/>
      <c r="HJR27" s="433"/>
      <c r="HJS27" s="433"/>
      <c r="HJT27" s="1037"/>
      <c r="HJU27" s="1438"/>
      <c r="HJV27" s="433"/>
      <c r="HJW27" s="433"/>
      <c r="HJX27" s="433"/>
      <c r="HJY27" s="433"/>
      <c r="HJZ27" s="433"/>
      <c r="HKA27" s="433"/>
      <c r="HKB27" s="433"/>
      <c r="HKC27" s="433"/>
      <c r="HKD27" s="433"/>
      <c r="HKE27" s="433"/>
      <c r="HKF27" s="1037"/>
      <c r="HKG27" s="1438"/>
      <c r="HKH27" s="433"/>
      <c r="HKI27" s="433"/>
      <c r="HKJ27" s="433"/>
      <c r="HKK27" s="433"/>
      <c r="HKL27" s="433"/>
      <c r="HKM27" s="433"/>
      <c r="HKN27" s="433"/>
      <c r="HKO27" s="433"/>
      <c r="HKP27" s="433"/>
      <c r="HKQ27" s="433"/>
      <c r="HKR27" s="1037"/>
      <c r="HKS27" s="1438"/>
      <c r="HKT27" s="433"/>
      <c r="HKU27" s="433"/>
      <c r="HKV27" s="433"/>
      <c r="HKW27" s="433"/>
      <c r="HKX27" s="433"/>
      <c r="HKY27" s="433"/>
      <c r="HKZ27" s="433"/>
      <c r="HLA27" s="433"/>
      <c r="HLB27" s="433"/>
      <c r="HLC27" s="433"/>
      <c r="HLD27" s="1037"/>
      <c r="HLE27" s="1438"/>
      <c r="HLF27" s="433"/>
      <c r="HLG27" s="433"/>
      <c r="HLH27" s="433"/>
      <c r="HLI27" s="433"/>
      <c r="HLJ27" s="433"/>
      <c r="HLK27" s="433"/>
      <c r="HLL27" s="433"/>
      <c r="HLM27" s="433"/>
      <c r="HLN27" s="433"/>
      <c r="HLO27" s="433"/>
      <c r="HLP27" s="1037"/>
      <c r="HLQ27" s="1438"/>
      <c r="HLR27" s="433"/>
      <c r="HLS27" s="433"/>
      <c r="HLT27" s="433"/>
      <c r="HLU27" s="433"/>
      <c r="HLV27" s="433"/>
      <c r="HLW27" s="433"/>
      <c r="HLX27" s="433"/>
      <c r="HLY27" s="433"/>
      <c r="HLZ27" s="433"/>
      <c r="HMA27" s="433"/>
      <c r="HMB27" s="1037"/>
      <c r="HMC27" s="1438"/>
      <c r="HMD27" s="433"/>
      <c r="HME27" s="433"/>
      <c r="HMF27" s="433"/>
      <c r="HMG27" s="433"/>
      <c r="HMH27" s="433"/>
      <c r="HMI27" s="433"/>
      <c r="HMJ27" s="433"/>
      <c r="HMK27" s="433"/>
      <c r="HML27" s="433"/>
      <c r="HMM27" s="433"/>
      <c r="HMN27" s="1037"/>
      <c r="HMO27" s="1438"/>
      <c r="HMP27" s="433"/>
      <c r="HMQ27" s="433"/>
      <c r="HMR27" s="433"/>
      <c r="HMS27" s="433"/>
      <c r="HMT27" s="433"/>
      <c r="HMU27" s="433"/>
      <c r="HMV27" s="433"/>
      <c r="HMW27" s="433"/>
      <c r="HMX27" s="433"/>
      <c r="HMY27" s="433"/>
      <c r="HMZ27" s="1037"/>
      <c r="HNA27" s="1438"/>
      <c r="HNB27" s="433"/>
      <c r="HNC27" s="433"/>
      <c r="HND27" s="433"/>
      <c r="HNE27" s="433"/>
      <c r="HNF27" s="433"/>
      <c r="HNG27" s="433"/>
      <c r="HNH27" s="433"/>
      <c r="HNI27" s="433"/>
      <c r="HNJ27" s="433"/>
      <c r="HNK27" s="433"/>
      <c r="HNL27" s="1037"/>
      <c r="HNM27" s="1438"/>
      <c r="HNN27" s="433"/>
      <c r="HNO27" s="433"/>
      <c r="HNP27" s="433"/>
      <c r="HNQ27" s="433"/>
      <c r="HNR27" s="433"/>
      <c r="HNS27" s="433"/>
      <c r="HNT27" s="433"/>
      <c r="HNU27" s="433"/>
      <c r="HNV27" s="433"/>
      <c r="HNW27" s="433"/>
      <c r="HNX27" s="1037"/>
      <c r="HNY27" s="1438"/>
      <c r="HNZ27" s="433"/>
      <c r="HOA27" s="433"/>
      <c r="HOB27" s="433"/>
      <c r="HOC27" s="433"/>
      <c r="HOD27" s="433"/>
      <c r="HOE27" s="433"/>
      <c r="HOF27" s="433"/>
      <c r="HOG27" s="433"/>
      <c r="HOH27" s="433"/>
      <c r="HOI27" s="433"/>
      <c r="HOJ27" s="1037"/>
      <c r="HOK27" s="1438"/>
      <c r="HOL27" s="433"/>
      <c r="HOM27" s="433"/>
      <c r="HON27" s="433"/>
      <c r="HOO27" s="433"/>
      <c r="HOP27" s="433"/>
      <c r="HOQ27" s="433"/>
      <c r="HOR27" s="433"/>
      <c r="HOS27" s="433"/>
      <c r="HOT27" s="433"/>
      <c r="HOU27" s="433"/>
      <c r="HOV27" s="1037"/>
      <c r="HOW27" s="1438"/>
      <c r="HOX27" s="433"/>
      <c r="HOY27" s="433"/>
      <c r="HOZ27" s="433"/>
      <c r="HPA27" s="433"/>
      <c r="HPB27" s="433"/>
      <c r="HPC27" s="433"/>
      <c r="HPD27" s="433"/>
      <c r="HPE27" s="433"/>
      <c r="HPF27" s="433"/>
      <c r="HPG27" s="433"/>
      <c r="HPH27" s="1037"/>
      <c r="HPI27" s="1438"/>
      <c r="HPJ27" s="433"/>
      <c r="HPK27" s="433"/>
      <c r="HPL27" s="433"/>
      <c r="HPM27" s="433"/>
      <c r="HPN27" s="433"/>
      <c r="HPO27" s="433"/>
      <c r="HPP27" s="433"/>
      <c r="HPQ27" s="433"/>
      <c r="HPR27" s="433"/>
      <c r="HPS27" s="433"/>
      <c r="HPT27" s="1037"/>
      <c r="HPU27" s="1438"/>
      <c r="HPV27" s="433"/>
      <c r="HPW27" s="433"/>
      <c r="HPX27" s="433"/>
      <c r="HPY27" s="433"/>
      <c r="HPZ27" s="433"/>
      <c r="HQA27" s="433"/>
      <c r="HQB27" s="433"/>
      <c r="HQC27" s="433"/>
      <c r="HQD27" s="433"/>
      <c r="HQE27" s="433"/>
      <c r="HQF27" s="1037"/>
      <c r="HQG27" s="1438"/>
      <c r="HQH27" s="433"/>
      <c r="HQI27" s="433"/>
      <c r="HQJ27" s="433"/>
      <c r="HQK27" s="433"/>
      <c r="HQL27" s="433"/>
      <c r="HQM27" s="433"/>
      <c r="HQN27" s="433"/>
      <c r="HQO27" s="433"/>
      <c r="HQP27" s="433"/>
      <c r="HQQ27" s="433"/>
      <c r="HQR27" s="1037"/>
      <c r="HQS27" s="1438"/>
      <c r="HQT27" s="433"/>
      <c r="HQU27" s="433"/>
      <c r="HQV27" s="433"/>
      <c r="HQW27" s="433"/>
      <c r="HQX27" s="433"/>
      <c r="HQY27" s="433"/>
      <c r="HQZ27" s="433"/>
      <c r="HRA27" s="433"/>
      <c r="HRB27" s="433"/>
      <c r="HRC27" s="433"/>
      <c r="HRD27" s="1037"/>
      <c r="HRE27" s="1438"/>
      <c r="HRF27" s="433"/>
      <c r="HRG27" s="433"/>
      <c r="HRH27" s="433"/>
      <c r="HRI27" s="433"/>
      <c r="HRJ27" s="433"/>
      <c r="HRK27" s="433"/>
      <c r="HRL27" s="433"/>
      <c r="HRM27" s="433"/>
      <c r="HRN27" s="433"/>
      <c r="HRO27" s="433"/>
      <c r="HRP27" s="1037"/>
      <c r="HRQ27" s="1438"/>
      <c r="HRR27" s="433"/>
      <c r="HRS27" s="433"/>
      <c r="HRT27" s="433"/>
      <c r="HRU27" s="433"/>
      <c r="HRV27" s="433"/>
      <c r="HRW27" s="433"/>
      <c r="HRX27" s="433"/>
      <c r="HRY27" s="433"/>
      <c r="HRZ27" s="433"/>
      <c r="HSA27" s="433"/>
      <c r="HSB27" s="1037"/>
      <c r="HSC27" s="1438"/>
      <c r="HSD27" s="433"/>
      <c r="HSE27" s="433"/>
      <c r="HSF27" s="433"/>
      <c r="HSG27" s="433"/>
      <c r="HSH27" s="433"/>
      <c r="HSI27" s="433"/>
      <c r="HSJ27" s="433"/>
      <c r="HSK27" s="433"/>
      <c r="HSL27" s="433"/>
      <c r="HSM27" s="433"/>
      <c r="HSN27" s="1037"/>
      <c r="HSO27" s="1438"/>
      <c r="HSP27" s="433"/>
      <c r="HSQ27" s="433"/>
      <c r="HSR27" s="433"/>
      <c r="HSS27" s="433"/>
      <c r="HST27" s="433"/>
      <c r="HSU27" s="433"/>
      <c r="HSV27" s="433"/>
      <c r="HSW27" s="433"/>
      <c r="HSX27" s="433"/>
      <c r="HSY27" s="433"/>
      <c r="HSZ27" s="1037"/>
      <c r="HTA27" s="1438"/>
      <c r="HTB27" s="433"/>
      <c r="HTC27" s="433"/>
      <c r="HTD27" s="433"/>
      <c r="HTE27" s="433"/>
      <c r="HTF27" s="433"/>
      <c r="HTG27" s="433"/>
      <c r="HTH27" s="433"/>
      <c r="HTI27" s="433"/>
      <c r="HTJ27" s="433"/>
      <c r="HTK27" s="433"/>
      <c r="HTL27" s="1037"/>
      <c r="HTM27" s="1438"/>
      <c r="HTN27" s="433"/>
      <c r="HTO27" s="433"/>
      <c r="HTP27" s="433"/>
      <c r="HTQ27" s="433"/>
      <c r="HTR27" s="433"/>
      <c r="HTS27" s="433"/>
      <c r="HTT27" s="433"/>
      <c r="HTU27" s="433"/>
      <c r="HTV27" s="433"/>
      <c r="HTW27" s="433"/>
      <c r="HTX27" s="1037"/>
      <c r="HTY27" s="1438"/>
      <c r="HTZ27" s="433"/>
      <c r="HUA27" s="433"/>
      <c r="HUB27" s="433"/>
      <c r="HUC27" s="433"/>
      <c r="HUD27" s="433"/>
      <c r="HUE27" s="433"/>
      <c r="HUF27" s="433"/>
      <c r="HUG27" s="433"/>
      <c r="HUH27" s="433"/>
      <c r="HUI27" s="433"/>
      <c r="HUJ27" s="1037"/>
      <c r="HUK27" s="1438"/>
      <c r="HUL27" s="433"/>
      <c r="HUM27" s="433"/>
      <c r="HUN27" s="433"/>
      <c r="HUO27" s="433"/>
      <c r="HUP27" s="433"/>
      <c r="HUQ27" s="433"/>
      <c r="HUR27" s="433"/>
      <c r="HUS27" s="433"/>
      <c r="HUT27" s="433"/>
      <c r="HUU27" s="433"/>
      <c r="HUV27" s="1037"/>
      <c r="HUW27" s="1438"/>
      <c r="HUX27" s="433"/>
      <c r="HUY27" s="433"/>
      <c r="HUZ27" s="433"/>
      <c r="HVA27" s="433"/>
      <c r="HVB27" s="433"/>
      <c r="HVC27" s="433"/>
      <c r="HVD27" s="433"/>
      <c r="HVE27" s="433"/>
      <c r="HVF27" s="433"/>
      <c r="HVG27" s="433"/>
      <c r="HVH27" s="1037"/>
      <c r="HVI27" s="1438"/>
      <c r="HVJ27" s="433"/>
      <c r="HVK27" s="433"/>
      <c r="HVL27" s="433"/>
      <c r="HVM27" s="433"/>
      <c r="HVN27" s="433"/>
      <c r="HVO27" s="433"/>
      <c r="HVP27" s="433"/>
      <c r="HVQ27" s="433"/>
      <c r="HVR27" s="433"/>
      <c r="HVS27" s="433"/>
      <c r="HVT27" s="1037"/>
      <c r="HVU27" s="1438"/>
      <c r="HVV27" s="433"/>
      <c r="HVW27" s="433"/>
      <c r="HVX27" s="433"/>
      <c r="HVY27" s="433"/>
      <c r="HVZ27" s="433"/>
      <c r="HWA27" s="433"/>
      <c r="HWB27" s="433"/>
      <c r="HWC27" s="433"/>
      <c r="HWD27" s="433"/>
      <c r="HWE27" s="433"/>
      <c r="HWF27" s="1037"/>
      <c r="HWG27" s="1438"/>
      <c r="HWH27" s="433"/>
      <c r="HWI27" s="433"/>
      <c r="HWJ27" s="433"/>
      <c r="HWK27" s="433"/>
      <c r="HWL27" s="433"/>
      <c r="HWM27" s="433"/>
      <c r="HWN27" s="433"/>
      <c r="HWO27" s="433"/>
      <c r="HWP27" s="433"/>
      <c r="HWQ27" s="433"/>
      <c r="HWR27" s="1037"/>
      <c r="HWS27" s="1438"/>
      <c r="HWT27" s="433"/>
      <c r="HWU27" s="433"/>
      <c r="HWV27" s="433"/>
      <c r="HWW27" s="433"/>
      <c r="HWX27" s="433"/>
      <c r="HWY27" s="433"/>
      <c r="HWZ27" s="433"/>
      <c r="HXA27" s="433"/>
      <c r="HXB27" s="433"/>
      <c r="HXC27" s="433"/>
      <c r="HXD27" s="1037"/>
      <c r="HXE27" s="1438"/>
      <c r="HXF27" s="433"/>
      <c r="HXG27" s="433"/>
      <c r="HXH27" s="433"/>
      <c r="HXI27" s="433"/>
      <c r="HXJ27" s="433"/>
      <c r="HXK27" s="433"/>
      <c r="HXL27" s="433"/>
      <c r="HXM27" s="433"/>
      <c r="HXN27" s="433"/>
      <c r="HXO27" s="433"/>
      <c r="HXP27" s="1037"/>
      <c r="HXQ27" s="1438"/>
      <c r="HXR27" s="433"/>
      <c r="HXS27" s="433"/>
      <c r="HXT27" s="433"/>
      <c r="HXU27" s="433"/>
      <c r="HXV27" s="433"/>
      <c r="HXW27" s="433"/>
      <c r="HXX27" s="433"/>
      <c r="HXY27" s="433"/>
      <c r="HXZ27" s="433"/>
      <c r="HYA27" s="433"/>
      <c r="HYB27" s="1037"/>
      <c r="HYC27" s="1438"/>
      <c r="HYD27" s="433"/>
      <c r="HYE27" s="433"/>
      <c r="HYF27" s="433"/>
      <c r="HYG27" s="433"/>
      <c r="HYH27" s="433"/>
      <c r="HYI27" s="433"/>
      <c r="HYJ27" s="433"/>
      <c r="HYK27" s="433"/>
      <c r="HYL27" s="433"/>
      <c r="HYM27" s="433"/>
      <c r="HYN27" s="1037"/>
      <c r="HYO27" s="1438"/>
      <c r="HYP27" s="433"/>
      <c r="HYQ27" s="433"/>
      <c r="HYR27" s="433"/>
      <c r="HYS27" s="433"/>
      <c r="HYT27" s="433"/>
      <c r="HYU27" s="433"/>
      <c r="HYV27" s="433"/>
      <c r="HYW27" s="433"/>
      <c r="HYX27" s="433"/>
      <c r="HYY27" s="433"/>
      <c r="HYZ27" s="1037"/>
      <c r="HZA27" s="1438"/>
      <c r="HZB27" s="433"/>
      <c r="HZC27" s="433"/>
      <c r="HZD27" s="433"/>
      <c r="HZE27" s="433"/>
      <c r="HZF27" s="433"/>
      <c r="HZG27" s="433"/>
      <c r="HZH27" s="433"/>
      <c r="HZI27" s="433"/>
      <c r="HZJ27" s="433"/>
      <c r="HZK27" s="433"/>
      <c r="HZL27" s="1037"/>
      <c r="HZM27" s="1438"/>
      <c r="HZN27" s="433"/>
      <c r="HZO27" s="433"/>
      <c r="HZP27" s="433"/>
      <c r="HZQ27" s="433"/>
      <c r="HZR27" s="433"/>
      <c r="HZS27" s="433"/>
      <c r="HZT27" s="433"/>
      <c r="HZU27" s="433"/>
      <c r="HZV27" s="433"/>
      <c r="HZW27" s="433"/>
      <c r="HZX27" s="1037"/>
      <c r="HZY27" s="1438"/>
      <c r="HZZ27" s="433"/>
      <c r="IAA27" s="433"/>
      <c r="IAB27" s="433"/>
      <c r="IAC27" s="433"/>
      <c r="IAD27" s="433"/>
      <c r="IAE27" s="433"/>
      <c r="IAF27" s="433"/>
      <c r="IAG27" s="433"/>
      <c r="IAH27" s="433"/>
      <c r="IAI27" s="433"/>
      <c r="IAJ27" s="1037"/>
      <c r="IAK27" s="1438"/>
      <c r="IAL27" s="433"/>
      <c r="IAM27" s="433"/>
      <c r="IAN27" s="433"/>
      <c r="IAO27" s="433"/>
      <c r="IAP27" s="433"/>
      <c r="IAQ27" s="433"/>
      <c r="IAR27" s="433"/>
      <c r="IAS27" s="433"/>
      <c r="IAT27" s="433"/>
      <c r="IAU27" s="433"/>
      <c r="IAV27" s="1037"/>
      <c r="IAW27" s="1438"/>
      <c r="IAX27" s="433"/>
      <c r="IAY27" s="433"/>
      <c r="IAZ27" s="433"/>
      <c r="IBA27" s="433"/>
      <c r="IBB27" s="433"/>
      <c r="IBC27" s="433"/>
      <c r="IBD27" s="433"/>
      <c r="IBE27" s="433"/>
      <c r="IBF27" s="433"/>
      <c r="IBG27" s="433"/>
      <c r="IBH27" s="1037"/>
      <c r="IBI27" s="1438"/>
      <c r="IBJ27" s="433"/>
      <c r="IBK27" s="433"/>
      <c r="IBL27" s="433"/>
      <c r="IBM27" s="433"/>
      <c r="IBN27" s="433"/>
      <c r="IBO27" s="433"/>
      <c r="IBP27" s="433"/>
      <c r="IBQ27" s="433"/>
      <c r="IBR27" s="433"/>
      <c r="IBS27" s="433"/>
      <c r="IBT27" s="1037"/>
      <c r="IBU27" s="1438"/>
      <c r="IBV27" s="433"/>
      <c r="IBW27" s="433"/>
      <c r="IBX27" s="433"/>
      <c r="IBY27" s="433"/>
      <c r="IBZ27" s="433"/>
      <c r="ICA27" s="433"/>
      <c r="ICB27" s="433"/>
      <c r="ICC27" s="433"/>
      <c r="ICD27" s="433"/>
      <c r="ICE27" s="433"/>
      <c r="ICF27" s="1037"/>
      <c r="ICG27" s="1438"/>
      <c r="ICH27" s="433"/>
      <c r="ICI27" s="433"/>
      <c r="ICJ27" s="433"/>
      <c r="ICK27" s="433"/>
      <c r="ICL27" s="433"/>
      <c r="ICM27" s="433"/>
      <c r="ICN27" s="433"/>
      <c r="ICO27" s="433"/>
      <c r="ICP27" s="433"/>
      <c r="ICQ27" s="433"/>
      <c r="ICR27" s="1037"/>
      <c r="ICS27" s="1438"/>
      <c r="ICT27" s="433"/>
      <c r="ICU27" s="433"/>
      <c r="ICV27" s="433"/>
      <c r="ICW27" s="433"/>
      <c r="ICX27" s="433"/>
      <c r="ICY27" s="433"/>
      <c r="ICZ27" s="433"/>
      <c r="IDA27" s="433"/>
      <c r="IDB27" s="433"/>
      <c r="IDC27" s="433"/>
      <c r="IDD27" s="1037"/>
      <c r="IDE27" s="1438"/>
      <c r="IDF27" s="433"/>
      <c r="IDG27" s="433"/>
      <c r="IDH27" s="433"/>
      <c r="IDI27" s="433"/>
      <c r="IDJ27" s="433"/>
      <c r="IDK27" s="433"/>
      <c r="IDL27" s="433"/>
      <c r="IDM27" s="433"/>
      <c r="IDN27" s="433"/>
      <c r="IDO27" s="433"/>
      <c r="IDP27" s="1037"/>
      <c r="IDQ27" s="1438"/>
      <c r="IDR27" s="433"/>
      <c r="IDS27" s="433"/>
      <c r="IDT27" s="433"/>
      <c r="IDU27" s="433"/>
      <c r="IDV27" s="433"/>
      <c r="IDW27" s="433"/>
      <c r="IDX27" s="433"/>
      <c r="IDY27" s="433"/>
      <c r="IDZ27" s="433"/>
      <c r="IEA27" s="433"/>
      <c r="IEB27" s="1037"/>
      <c r="IEC27" s="1438"/>
      <c r="IED27" s="433"/>
      <c r="IEE27" s="433"/>
      <c r="IEF27" s="433"/>
      <c r="IEG27" s="433"/>
      <c r="IEH27" s="433"/>
      <c r="IEI27" s="433"/>
      <c r="IEJ27" s="433"/>
      <c r="IEK27" s="433"/>
      <c r="IEL27" s="433"/>
      <c r="IEM27" s="433"/>
      <c r="IEN27" s="1037"/>
      <c r="IEO27" s="1438"/>
      <c r="IEP27" s="433"/>
      <c r="IEQ27" s="433"/>
      <c r="IER27" s="433"/>
      <c r="IES27" s="433"/>
      <c r="IET27" s="433"/>
      <c r="IEU27" s="433"/>
      <c r="IEV27" s="433"/>
      <c r="IEW27" s="433"/>
      <c r="IEX27" s="433"/>
      <c r="IEY27" s="433"/>
      <c r="IEZ27" s="1037"/>
      <c r="IFA27" s="1438"/>
      <c r="IFB27" s="433"/>
      <c r="IFC27" s="433"/>
      <c r="IFD27" s="433"/>
      <c r="IFE27" s="433"/>
      <c r="IFF27" s="433"/>
      <c r="IFG27" s="433"/>
      <c r="IFH27" s="433"/>
      <c r="IFI27" s="433"/>
      <c r="IFJ27" s="433"/>
      <c r="IFK27" s="433"/>
      <c r="IFL27" s="1037"/>
      <c r="IFM27" s="1438"/>
      <c r="IFN27" s="433"/>
      <c r="IFO27" s="433"/>
      <c r="IFP27" s="433"/>
      <c r="IFQ27" s="433"/>
      <c r="IFR27" s="433"/>
      <c r="IFS27" s="433"/>
      <c r="IFT27" s="433"/>
      <c r="IFU27" s="433"/>
      <c r="IFV27" s="433"/>
      <c r="IFW27" s="433"/>
      <c r="IFX27" s="1037"/>
      <c r="IFY27" s="1438"/>
      <c r="IFZ27" s="433"/>
      <c r="IGA27" s="433"/>
      <c r="IGB27" s="433"/>
      <c r="IGC27" s="433"/>
      <c r="IGD27" s="433"/>
      <c r="IGE27" s="433"/>
      <c r="IGF27" s="433"/>
      <c r="IGG27" s="433"/>
      <c r="IGH27" s="433"/>
      <c r="IGI27" s="433"/>
      <c r="IGJ27" s="1037"/>
      <c r="IGK27" s="1438"/>
      <c r="IGL27" s="433"/>
      <c r="IGM27" s="433"/>
      <c r="IGN27" s="433"/>
      <c r="IGO27" s="433"/>
      <c r="IGP27" s="433"/>
      <c r="IGQ27" s="433"/>
      <c r="IGR27" s="433"/>
      <c r="IGS27" s="433"/>
      <c r="IGT27" s="433"/>
      <c r="IGU27" s="433"/>
      <c r="IGV27" s="1037"/>
      <c r="IGW27" s="1438"/>
      <c r="IGX27" s="433"/>
      <c r="IGY27" s="433"/>
      <c r="IGZ27" s="433"/>
      <c r="IHA27" s="433"/>
      <c r="IHB27" s="433"/>
      <c r="IHC27" s="433"/>
      <c r="IHD27" s="433"/>
      <c r="IHE27" s="433"/>
      <c r="IHF27" s="433"/>
      <c r="IHG27" s="433"/>
      <c r="IHH27" s="1037"/>
      <c r="IHI27" s="1438"/>
      <c r="IHJ27" s="433"/>
      <c r="IHK27" s="433"/>
      <c r="IHL27" s="433"/>
      <c r="IHM27" s="433"/>
      <c r="IHN27" s="433"/>
      <c r="IHO27" s="433"/>
      <c r="IHP27" s="433"/>
      <c r="IHQ27" s="433"/>
      <c r="IHR27" s="433"/>
      <c r="IHS27" s="433"/>
      <c r="IHT27" s="1037"/>
      <c r="IHU27" s="1438"/>
      <c r="IHV27" s="433"/>
      <c r="IHW27" s="433"/>
      <c r="IHX27" s="433"/>
      <c r="IHY27" s="433"/>
      <c r="IHZ27" s="433"/>
      <c r="IIA27" s="433"/>
      <c r="IIB27" s="433"/>
      <c r="IIC27" s="433"/>
      <c r="IID27" s="433"/>
      <c r="IIE27" s="433"/>
      <c r="IIF27" s="1037"/>
      <c r="IIG27" s="1438"/>
      <c r="IIH27" s="433"/>
      <c r="III27" s="433"/>
      <c r="IIJ27" s="433"/>
      <c r="IIK27" s="433"/>
      <c r="IIL27" s="433"/>
      <c r="IIM27" s="433"/>
      <c r="IIN27" s="433"/>
      <c r="IIO27" s="433"/>
      <c r="IIP27" s="433"/>
      <c r="IIQ27" s="433"/>
      <c r="IIR27" s="1037"/>
      <c r="IIS27" s="1438"/>
      <c r="IIT27" s="433"/>
      <c r="IIU27" s="433"/>
      <c r="IIV27" s="433"/>
      <c r="IIW27" s="433"/>
      <c r="IIX27" s="433"/>
      <c r="IIY27" s="433"/>
      <c r="IIZ27" s="433"/>
      <c r="IJA27" s="433"/>
      <c r="IJB27" s="433"/>
      <c r="IJC27" s="433"/>
      <c r="IJD27" s="1037"/>
      <c r="IJE27" s="1438"/>
      <c r="IJF27" s="433"/>
      <c r="IJG27" s="433"/>
      <c r="IJH27" s="433"/>
      <c r="IJI27" s="433"/>
      <c r="IJJ27" s="433"/>
      <c r="IJK27" s="433"/>
      <c r="IJL27" s="433"/>
      <c r="IJM27" s="433"/>
      <c r="IJN27" s="433"/>
      <c r="IJO27" s="433"/>
      <c r="IJP27" s="1037"/>
      <c r="IJQ27" s="1438"/>
      <c r="IJR27" s="433"/>
      <c r="IJS27" s="433"/>
      <c r="IJT27" s="433"/>
      <c r="IJU27" s="433"/>
      <c r="IJV27" s="433"/>
      <c r="IJW27" s="433"/>
      <c r="IJX27" s="433"/>
      <c r="IJY27" s="433"/>
      <c r="IJZ27" s="433"/>
      <c r="IKA27" s="433"/>
      <c r="IKB27" s="1037"/>
      <c r="IKC27" s="1438"/>
      <c r="IKD27" s="433"/>
      <c r="IKE27" s="433"/>
      <c r="IKF27" s="433"/>
      <c r="IKG27" s="433"/>
      <c r="IKH27" s="433"/>
      <c r="IKI27" s="433"/>
      <c r="IKJ27" s="433"/>
      <c r="IKK27" s="433"/>
      <c r="IKL27" s="433"/>
      <c r="IKM27" s="433"/>
      <c r="IKN27" s="1037"/>
      <c r="IKO27" s="1438"/>
      <c r="IKP27" s="433"/>
      <c r="IKQ27" s="433"/>
      <c r="IKR27" s="433"/>
      <c r="IKS27" s="433"/>
      <c r="IKT27" s="433"/>
      <c r="IKU27" s="433"/>
      <c r="IKV27" s="433"/>
      <c r="IKW27" s="433"/>
      <c r="IKX27" s="433"/>
      <c r="IKY27" s="433"/>
      <c r="IKZ27" s="1037"/>
      <c r="ILA27" s="1438"/>
      <c r="ILB27" s="433"/>
      <c r="ILC27" s="433"/>
      <c r="ILD27" s="433"/>
      <c r="ILE27" s="433"/>
      <c r="ILF27" s="433"/>
      <c r="ILG27" s="433"/>
      <c r="ILH27" s="433"/>
      <c r="ILI27" s="433"/>
      <c r="ILJ27" s="433"/>
      <c r="ILK27" s="433"/>
      <c r="ILL27" s="1037"/>
      <c r="ILM27" s="1438"/>
      <c r="ILN27" s="433"/>
      <c r="ILO27" s="433"/>
      <c r="ILP27" s="433"/>
      <c r="ILQ27" s="433"/>
      <c r="ILR27" s="433"/>
      <c r="ILS27" s="433"/>
      <c r="ILT27" s="433"/>
      <c r="ILU27" s="433"/>
      <c r="ILV27" s="433"/>
      <c r="ILW27" s="433"/>
      <c r="ILX27" s="1037"/>
      <c r="ILY27" s="1438"/>
      <c r="ILZ27" s="433"/>
      <c r="IMA27" s="433"/>
      <c r="IMB27" s="433"/>
      <c r="IMC27" s="433"/>
      <c r="IMD27" s="433"/>
      <c r="IME27" s="433"/>
      <c r="IMF27" s="433"/>
      <c r="IMG27" s="433"/>
      <c r="IMH27" s="433"/>
      <c r="IMI27" s="433"/>
      <c r="IMJ27" s="1037"/>
      <c r="IMK27" s="1438"/>
      <c r="IML27" s="433"/>
      <c r="IMM27" s="433"/>
      <c r="IMN27" s="433"/>
      <c r="IMO27" s="433"/>
      <c r="IMP27" s="433"/>
      <c r="IMQ27" s="433"/>
      <c r="IMR27" s="433"/>
      <c r="IMS27" s="433"/>
      <c r="IMT27" s="433"/>
      <c r="IMU27" s="433"/>
      <c r="IMV27" s="1037"/>
      <c r="IMW27" s="1438"/>
      <c r="IMX27" s="433"/>
      <c r="IMY27" s="433"/>
      <c r="IMZ27" s="433"/>
      <c r="INA27" s="433"/>
      <c r="INB27" s="433"/>
      <c r="INC27" s="433"/>
      <c r="IND27" s="433"/>
      <c r="INE27" s="433"/>
      <c r="INF27" s="433"/>
      <c r="ING27" s="433"/>
      <c r="INH27" s="1037"/>
      <c r="INI27" s="1438"/>
      <c r="INJ27" s="433"/>
      <c r="INK27" s="433"/>
      <c r="INL27" s="433"/>
      <c r="INM27" s="433"/>
      <c r="INN27" s="433"/>
      <c r="INO27" s="433"/>
      <c r="INP27" s="433"/>
      <c r="INQ27" s="433"/>
      <c r="INR27" s="433"/>
      <c r="INS27" s="433"/>
      <c r="INT27" s="1037"/>
      <c r="INU27" s="1438"/>
      <c r="INV27" s="433"/>
      <c r="INW27" s="433"/>
      <c r="INX27" s="433"/>
      <c r="INY27" s="433"/>
      <c r="INZ27" s="433"/>
      <c r="IOA27" s="433"/>
      <c r="IOB27" s="433"/>
      <c r="IOC27" s="433"/>
      <c r="IOD27" s="433"/>
      <c r="IOE27" s="433"/>
      <c r="IOF27" s="1037"/>
      <c r="IOG27" s="1438"/>
      <c r="IOH27" s="433"/>
      <c r="IOI27" s="433"/>
      <c r="IOJ27" s="433"/>
      <c r="IOK27" s="433"/>
      <c r="IOL27" s="433"/>
      <c r="IOM27" s="433"/>
      <c r="ION27" s="433"/>
      <c r="IOO27" s="433"/>
      <c r="IOP27" s="433"/>
      <c r="IOQ27" s="433"/>
      <c r="IOR27" s="1037"/>
      <c r="IOS27" s="1438"/>
      <c r="IOT27" s="433"/>
      <c r="IOU27" s="433"/>
      <c r="IOV27" s="433"/>
      <c r="IOW27" s="433"/>
      <c r="IOX27" s="433"/>
      <c r="IOY27" s="433"/>
      <c r="IOZ27" s="433"/>
      <c r="IPA27" s="433"/>
      <c r="IPB27" s="433"/>
      <c r="IPC27" s="433"/>
      <c r="IPD27" s="1037"/>
      <c r="IPE27" s="1438"/>
      <c r="IPF27" s="433"/>
      <c r="IPG27" s="433"/>
      <c r="IPH27" s="433"/>
      <c r="IPI27" s="433"/>
      <c r="IPJ27" s="433"/>
      <c r="IPK27" s="433"/>
      <c r="IPL27" s="433"/>
      <c r="IPM27" s="433"/>
      <c r="IPN27" s="433"/>
      <c r="IPO27" s="433"/>
      <c r="IPP27" s="1037"/>
      <c r="IPQ27" s="1438"/>
      <c r="IPR27" s="433"/>
      <c r="IPS27" s="433"/>
      <c r="IPT27" s="433"/>
      <c r="IPU27" s="433"/>
      <c r="IPV27" s="433"/>
      <c r="IPW27" s="433"/>
      <c r="IPX27" s="433"/>
      <c r="IPY27" s="433"/>
      <c r="IPZ27" s="433"/>
      <c r="IQA27" s="433"/>
      <c r="IQB27" s="1037"/>
      <c r="IQC27" s="1438"/>
      <c r="IQD27" s="433"/>
      <c r="IQE27" s="433"/>
      <c r="IQF27" s="433"/>
      <c r="IQG27" s="433"/>
      <c r="IQH27" s="433"/>
      <c r="IQI27" s="433"/>
      <c r="IQJ27" s="433"/>
      <c r="IQK27" s="433"/>
      <c r="IQL27" s="433"/>
      <c r="IQM27" s="433"/>
      <c r="IQN27" s="1037"/>
      <c r="IQO27" s="1438"/>
      <c r="IQP27" s="433"/>
      <c r="IQQ27" s="433"/>
      <c r="IQR27" s="433"/>
      <c r="IQS27" s="433"/>
      <c r="IQT27" s="433"/>
      <c r="IQU27" s="433"/>
      <c r="IQV27" s="433"/>
      <c r="IQW27" s="433"/>
      <c r="IQX27" s="433"/>
      <c r="IQY27" s="433"/>
      <c r="IQZ27" s="1037"/>
      <c r="IRA27" s="1438"/>
      <c r="IRB27" s="433"/>
      <c r="IRC27" s="433"/>
      <c r="IRD27" s="433"/>
      <c r="IRE27" s="433"/>
      <c r="IRF27" s="433"/>
      <c r="IRG27" s="433"/>
      <c r="IRH27" s="433"/>
      <c r="IRI27" s="433"/>
      <c r="IRJ27" s="433"/>
      <c r="IRK27" s="433"/>
      <c r="IRL27" s="1037"/>
      <c r="IRM27" s="1438"/>
      <c r="IRN27" s="433"/>
      <c r="IRO27" s="433"/>
      <c r="IRP27" s="433"/>
      <c r="IRQ27" s="433"/>
      <c r="IRR27" s="433"/>
      <c r="IRS27" s="433"/>
      <c r="IRT27" s="433"/>
      <c r="IRU27" s="433"/>
      <c r="IRV27" s="433"/>
      <c r="IRW27" s="433"/>
      <c r="IRX27" s="1037"/>
      <c r="IRY27" s="1438"/>
      <c r="IRZ27" s="433"/>
      <c r="ISA27" s="433"/>
      <c r="ISB27" s="433"/>
      <c r="ISC27" s="433"/>
      <c r="ISD27" s="433"/>
      <c r="ISE27" s="433"/>
      <c r="ISF27" s="433"/>
      <c r="ISG27" s="433"/>
      <c r="ISH27" s="433"/>
      <c r="ISI27" s="433"/>
      <c r="ISJ27" s="1037"/>
      <c r="ISK27" s="1438"/>
      <c r="ISL27" s="433"/>
      <c r="ISM27" s="433"/>
      <c r="ISN27" s="433"/>
      <c r="ISO27" s="433"/>
      <c r="ISP27" s="433"/>
      <c r="ISQ27" s="433"/>
      <c r="ISR27" s="433"/>
      <c r="ISS27" s="433"/>
      <c r="IST27" s="433"/>
      <c r="ISU27" s="433"/>
      <c r="ISV27" s="1037"/>
      <c r="ISW27" s="1438"/>
      <c r="ISX27" s="433"/>
      <c r="ISY27" s="433"/>
      <c r="ISZ27" s="433"/>
      <c r="ITA27" s="433"/>
      <c r="ITB27" s="433"/>
      <c r="ITC27" s="433"/>
      <c r="ITD27" s="433"/>
      <c r="ITE27" s="433"/>
      <c r="ITF27" s="433"/>
      <c r="ITG27" s="433"/>
      <c r="ITH27" s="1037"/>
      <c r="ITI27" s="1438"/>
      <c r="ITJ27" s="433"/>
      <c r="ITK27" s="433"/>
      <c r="ITL27" s="433"/>
      <c r="ITM27" s="433"/>
      <c r="ITN27" s="433"/>
      <c r="ITO27" s="433"/>
      <c r="ITP27" s="433"/>
      <c r="ITQ27" s="433"/>
      <c r="ITR27" s="433"/>
      <c r="ITS27" s="433"/>
      <c r="ITT27" s="1037"/>
      <c r="ITU27" s="1438"/>
      <c r="ITV27" s="433"/>
      <c r="ITW27" s="433"/>
      <c r="ITX27" s="433"/>
      <c r="ITY27" s="433"/>
      <c r="ITZ27" s="433"/>
      <c r="IUA27" s="433"/>
      <c r="IUB27" s="433"/>
      <c r="IUC27" s="433"/>
      <c r="IUD27" s="433"/>
      <c r="IUE27" s="433"/>
      <c r="IUF27" s="1037"/>
      <c r="IUG27" s="1438"/>
      <c r="IUH27" s="433"/>
      <c r="IUI27" s="433"/>
      <c r="IUJ27" s="433"/>
      <c r="IUK27" s="433"/>
      <c r="IUL27" s="433"/>
      <c r="IUM27" s="433"/>
      <c r="IUN27" s="433"/>
      <c r="IUO27" s="433"/>
      <c r="IUP27" s="433"/>
      <c r="IUQ27" s="433"/>
      <c r="IUR27" s="1037"/>
      <c r="IUS27" s="1438"/>
      <c r="IUT27" s="433"/>
      <c r="IUU27" s="433"/>
      <c r="IUV27" s="433"/>
      <c r="IUW27" s="433"/>
      <c r="IUX27" s="433"/>
      <c r="IUY27" s="433"/>
      <c r="IUZ27" s="433"/>
      <c r="IVA27" s="433"/>
      <c r="IVB27" s="433"/>
      <c r="IVC27" s="433"/>
      <c r="IVD27" s="1037"/>
      <c r="IVE27" s="1438"/>
      <c r="IVF27" s="433"/>
      <c r="IVG27" s="433"/>
      <c r="IVH27" s="433"/>
      <c r="IVI27" s="433"/>
      <c r="IVJ27" s="433"/>
      <c r="IVK27" s="433"/>
      <c r="IVL27" s="433"/>
      <c r="IVM27" s="433"/>
      <c r="IVN27" s="433"/>
      <c r="IVO27" s="433"/>
      <c r="IVP27" s="1037"/>
      <c r="IVQ27" s="1438"/>
      <c r="IVR27" s="433"/>
      <c r="IVS27" s="433"/>
      <c r="IVT27" s="433"/>
      <c r="IVU27" s="433"/>
      <c r="IVV27" s="433"/>
      <c r="IVW27" s="433"/>
      <c r="IVX27" s="433"/>
      <c r="IVY27" s="433"/>
      <c r="IVZ27" s="433"/>
      <c r="IWA27" s="433"/>
      <c r="IWB27" s="1037"/>
      <c r="IWC27" s="1438"/>
      <c r="IWD27" s="433"/>
      <c r="IWE27" s="433"/>
      <c r="IWF27" s="433"/>
      <c r="IWG27" s="433"/>
      <c r="IWH27" s="433"/>
      <c r="IWI27" s="433"/>
      <c r="IWJ27" s="433"/>
      <c r="IWK27" s="433"/>
      <c r="IWL27" s="433"/>
      <c r="IWM27" s="433"/>
      <c r="IWN27" s="1037"/>
      <c r="IWO27" s="1438"/>
      <c r="IWP27" s="433"/>
      <c r="IWQ27" s="433"/>
      <c r="IWR27" s="433"/>
      <c r="IWS27" s="433"/>
      <c r="IWT27" s="433"/>
      <c r="IWU27" s="433"/>
      <c r="IWV27" s="433"/>
      <c r="IWW27" s="433"/>
      <c r="IWX27" s="433"/>
      <c r="IWY27" s="433"/>
      <c r="IWZ27" s="1037"/>
      <c r="IXA27" s="1438"/>
      <c r="IXB27" s="433"/>
      <c r="IXC27" s="433"/>
      <c r="IXD27" s="433"/>
      <c r="IXE27" s="433"/>
      <c r="IXF27" s="433"/>
      <c r="IXG27" s="433"/>
      <c r="IXH27" s="433"/>
      <c r="IXI27" s="433"/>
      <c r="IXJ27" s="433"/>
      <c r="IXK27" s="433"/>
      <c r="IXL27" s="1037"/>
      <c r="IXM27" s="1438"/>
      <c r="IXN27" s="433"/>
      <c r="IXO27" s="433"/>
      <c r="IXP27" s="433"/>
      <c r="IXQ27" s="433"/>
      <c r="IXR27" s="433"/>
      <c r="IXS27" s="433"/>
      <c r="IXT27" s="433"/>
      <c r="IXU27" s="433"/>
      <c r="IXV27" s="433"/>
      <c r="IXW27" s="433"/>
      <c r="IXX27" s="1037"/>
      <c r="IXY27" s="1438"/>
      <c r="IXZ27" s="433"/>
      <c r="IYA27" s="433"/>
      <c r="IYB27" s="433"/>
      <c r="IYC27" s="433"/>
      <c r="IYD27" s="433"/>
      <c r="IYE27" s="433"/>
      <c r="IYF27" s="433"/>
      <c r="IYG27" s="433"/>
      <c r="IYH27" s="433"/>
      <c r="IYI27" s="433"/>
      <c r="IYJ27" s="1037"/>
      <c r="IYK27" s="1438"/>
      <c r="IYL27" s="433"/>
      <c r="IYM27" s="433"/>
      <c r="IYN27" s="433"/>
      <c r="IYO27" s="433"/>
      <c r="IYP27" s="433"/>
      <c r="IYQ27" s="433"/>
      <c r="IYR27" s="433"/>
      <c r="IYS27" s="433"/>
      <c r="IYT27" s="433"/>
      <c r="IYU27" s="433"/>
      <c r="IYV27" s="1037"/>
      <c r="IYW27" s="1438"/>
      <c r="IYX27" s="433"/>
      <c r="IYY27" s="433"/>
      <c r="IYZ27" s="433"/>
      <c r="IZA27" s="433"/>
      <c r="IZB27" s="433"/>
      <c r="IZC27" s="433"/>
      <c r="IZD27" s="433"/>
      <c r="IZE27" s="433"/>
      <c r="IZF27" s="433"/>
      <c r="IZG27" s="433"/>
      <c r="IZH27" s="1037"/>
      <c r="IZI27" s="1438"/>
      <c r="IZJ27" s="433"/>
      <c r="IZK27" s="433"/>
      <c r="IZL27" s="433"/>
      <c r="IZM27" s="433"/>
      <c r="IZN27" s="433"/>
      <c r="IZO27" s="433"/>
      <c r="IZP27" s="433"/>
      <c r="IZQ27" s="433"/>
      <c r="IZR27" s="433"/>
      <c r="IZS27" s="433"/>
      <c r="IZT27" s="1037"/>
      <c r="IZU27" s="1438"/>
      <c r="IZV27" s="433"/>
      <c r="IZW27" s="433"/>
      <c r="IZX27" s="433"/>
      <c r="IZY27" s="433"/>
      <c r="IZZ27" s="433"/>
      <c r="JAA27" s="433"/>
      <c r="JAB27" s="433"/>
      <c r="JAC27" s="433"/>
      <c r="JAD27" s="433"/>
      <c r="JAE27" s="433"/>
      <c r="JAF27" s="1037"/>
      <c r="JAG27" s="1438"/>
      <c r="JAH27" s="433"/>
      <c r="JAI27" s="433"/>
      <c r="JAJ27" s="433"/>
      <c r="JAK27" s="433"/>
      <c r="JAL27" s="433"/>
      <c r="JAM27" s="433"/>
      <c r="JAN27" s="433"/>
      <c r="JAO27" s="433"/>
      <c r="JAP27" s="433"/>
      <c r="JAQ27" s="433"/>
      <c r="JAR27" s="1037"/>
      <c r="JAS27" s="1438"/>
      <c r="JAT27" s="433"/>
      <c r="JAU27" s="433"/>
      <c r="JAV27" s="433"/>
      <c r="JAW27" s="433"/>
      <c r="JAX27" s="433"/>
      <c r="JAY27" s="433"/>
      <c r="JAZ27" s="433"/>
      <c r="JBA27" s="433"/>
      <c r="JBB27" s="433"/>
      <c r="JBC27" s="433"/>
      <c r="JBD27" s="1037"/>
      <c r="JBE27" s="1438"/>
      <c r="JBF27" s="433"/>
      <c r="JBG27" s="433"/>
      <c r="JBH27" s="433"/>
      <c r="JBI27" s="433"/>
      <c r="JBJ27" s="433"/>
      <c r="JBK27" s="433"/>
      <c r="JBL27" s="433"/>
      <c r="JBM27" s="433"/>
      <c r="JBN27" s="433"/>
      <c r="JBO27" s="433"/>
      <c r="JBP27" s="1037"/>
      <c r="JBQ27" s="1438"/>
      <c r="JBR27" s="433"/>
      <c r="JBS27" s="433"/>
      <c r="JBT27" s="433"/>
      <c r="JBU27" s="433"/>
      <c r="JBV27" s="433"/>
      <c r="JBW27" s="433"/>
      <c r="JBX27" s="433"/>
      <c r="JBY27" s="433"/>
      <c r="JBZ27" s="433"/>
      <c r="JCA27" s="433"/>
      <c r="JCB27" s="1037"/>
      <c r="JCC27" s="1438"/>
      <c r="JCD27" s="433"/>
      <c r="JCE27" s="433"/>
      <c r="JCF27" s="433"/>
      <c r="JCG27" s="433"/>
      <c r="JCH27" s="433"/>
      <c r="JCI27" s="433"/>
      <c r="JCJ27" s="433"/>
      <c r="JCK27" s="433"/>
      <c r="JCL27" s="433"/>
      <c r="JCM27" s="433"/>
      <c r="JCN27" s="1037"/>
      <c r="JCO27" s="1438"/>
      <c r="JCP27" s="433"/>
      <c r="JCQ27" s="433"/>
      <c r="JCR27" s="433"/>
      <c r="JCS27" s="433"/>
      <c r="JCT27" s="433"/>
      <c r="JCU27" s="433"/>
      <c r="JCV27" s="433"/>
      <c r="JCW27" s="433"/>
      <c r="JCX27" s="433"/>
      <c r="JCY27" s="433"/>
      <c r="JCZ27" s="1037"/>
      <c r="JDA27" s="1438"/>
      <c r="JDB27" s="433"/>
      <c r="JDC27" s="433"/>
      <c r="JDD27" s="433"/>
      <c r="JDE27" s="433"/>
      <c r="JDF27" s="433"/>
      <c r="JDG27" s="433"/>
      <c r="JDH27" s="433"/>
      <c r="JDI27" s="433"/>
      <c r="JDJ27" s="433"/>
      <c r="JDK27" s="433"/>
      <c r="JDL27" s="1037"/>
      <c r="JDM27" s="1438"/>
      <c r="JDN27" s="433"/>
      <c r="JDO27" s="433"/>
      <c r="JDP27" s="433"/>
      <c r="JDQ27" s="433"/>
      <c r="JDR27" s="433"/>
      <c r="JDS27" s="433"/>
      <c r="JDT27" s="433"/>
      <c r="JDU27" s="433"/>
      <c r="JDV27" s="433"/>
      <c r="JDW27" s="433"/>
      <c r="JDX27" s="1037"/>
      <c r="JDY27" s="1438"/>
      <c r="JDZ27" s="433"/>
      <c r="JEA27" s="433"/>
      <c r="JEB27" s="433"/>
      <c r="JEC27" s="433"/>
      <c r="JED27" s="433"/>
      <c r="JEE27" s="433"/>
      <c r="JEF27" s="433"/>
      <c r="JEG27" s="433"/>
      <c r="JEH27" s="433"/>
      <c r="JEI27" s="433"/>
      <c r="JEJ27" s="1037"/>
      <c r="JEK27" s="1438"/>
      <c r="JEL27" s="433"/>
      <c r="JEM27" s="433"/>
      <c r="JEN27" s="433"/>
      <c r="JEO27" s="433"/>
      <c r="JEP27" s="433"/>
      <c r="JEQ27" s="433"/>
      <c r="JER27" s="433"/>
      <c r="JES27" s="433"/>
      <c r="JET27" s="433"/>
      <c r="JEU27" s="433"/>
      <c r="JEV27" s="1037"/>
      <c r="JEW27" s="1438"/>
      <c r="JEX27" s="433"/>
      <c r="JEY27" s="433"/>
      <c r="JEZ27" s="433"/>
      <c r="JFA27" s="433"/>
      <c r="JFB27" s="433"/>
      <c r="JFC27" s="433"/>
      <c r="JFD27" s="433"/>
      <c r="JFE27" s="433"/>
      <c r="JFF27" s="433"/>
      <c r="JFG27" s="433"/>
      <c r="JFH27" s="1037"/>
      <c r="JFI27" s="1438"/>
      <c r="JFJ27" s="433"/>
      <c r="JFK27" s="433"/>
      <c r="JFL27" s="433"/>
      <c r="JFM27" s="433"/>
      <c r="JFN27" s="433"/>
      <c r="JFO27" s="433"/>
      <c r="JFP27" s="433"/>
      <c r="JFQ27" s="433"/>
      <c r="JFR27" s="433"/>
      <c r="JFS27" s="433"/>
      <c r="JFT27" s="1037"/>
      <c r="JFU27" s="1438"/>
      <c r="JFV27" s="433"/>
      <c r="JFW27" s="433"/>
      <c r="JFX27" s="433"/>
      <c r="JFY27" s="433"/>
      <c r="JFZ27" s="433"/>
      <c r="JGA27" s="433"/>
      <c r="JGB27" s="433"/>
      <c r="JGC27" s="433"/>
      <c r="JGD27" s="433"/>
      <c r="JGE27" s="433"/>
      <c r="JGF27" s="1037"/>
      <c r="JGG27" s="1438"/>
      <c r="JGH27" s="433"/>
      <c r="JGI27" s="433"/>
      <c r="JGJ27" s="433"/>
      <c r="JGK27" s="433"/>
      <c r="JGL27" s="433"/>
      <c r="JGM27" s="433"/>
      <c r="JGN27" s="433"/>
      <c r="JGO27" s="433"/>
      <c r="JGP27" s="433"/>
      <c r="JGQ27" s="433"/>
      <c r="JGR27" s="1037"/>
      <c r="JGS27" s="1438"/>
      <c r="JGT27" s="433"/>
      <c r="JGU27" s="433"/>
      <c r="JGV27" s="433"/>
      <c r="JGW27" s="433"/>
      <c r="JGX27" s="433"/>
      <c r="JGY27" s="433"/>
      <c r="JGZ27" s="433"/>
      <c r="JHA27" s="433"/>
      <c r="JHB27" s="433"/>
      <c r="JHC27" s="433"/>
      <c r="JHD27" s="1037"/>
      <c r="JHE27" s="1438"/>
      <c r="JHF27" s="433"/>
      <c r="JHG27" s="433"/>
      <c r="JHH27" s="433"/>
      <c r="JHI27" s="433"/>
      <c r="JHJ27" s="433"/>
      <c r="JHK27" s="433"/>
      <c r="JHL27" s="433"/>
      <c r="JHM27" s="433"/>
      <c r="JHN27" s="433"/>
      <c r="JHO27" s="433"/>
      <c r="JHP27" s="1037"/>
      <c r="JHQ27" s="1438"/>
      <c r="JHR27" s="433"/>
      <c r="JHS27" s="433"/>
      <c r="JHT27" s="433"/>
      <c r="JHU27" s="433"/>
      <c r="JHV27" s="433"/>
      <c r="JHW27" s="433"/>
      <c r="JHX27" s="433"/>
      <c r="JHY27" s="433"/>
      <c r="JHZ27" s="433"/>
      <c r="JIA27" s="433"/>
      <c r="JIB27" s="1037"/>
      <c r="JIC27" s="1438"/>
      <c r="JID27" s="433"/>
      <c r="JIE27" s="433"/>
      <c r="JIF27" s="433"/>
      <c r="JIG27" s="433"/>
      <c r="JIH27" s="433"/>
      <c r="JII27" s="433"/>
      <c r="JIJ27" s="433"/>
      <c r="JIK27" s="433"/>
      <c r="JIL27" s="433"/>
      <c r="JIM27" s="433"/>
      <c r="JIN27" s="1037"/>
      <c r="JIO27" s="1438"/>
      <c r="JIP27" s="433"/>
      <c r="JIQ27" s="433"/>
      <c r="JIR27" s="433"/>
      <c r="JIS27" s="433"/>
      <c r="JIT27" s="433"/>
      <c r="JIU27" s="433"/>
      <c r="JIV27" s="433"/>
      <c r="JIW27" s="433"/>
      <c r="JIX27" s="433"/>
      <c r="JIY27" s="433"/>
      <c r="JIZ27" s="1037"/>
      <c r="JJA27" s="1438"/>
      <c r="JJB27" s="433"/>
      <c r="JJC27" s="433"/>
      <c r="JJD27" s="433"/>
      <c r="JJE27" s="433"/>
      <c r="JJF27" s="433"/>
      <c r="JJG27" s="433"/>
      <c r="JJH27" s="433"/>
      <c r="JJI27" s="433"/>
      <c r="JJJ27" s="433"/>
      <c r="JJK27" s="433"/>
      <c r="JJL27" s="1037"/>
      <c r="JJM27" s="1438"/>
      <c r="JJN27" s="433"/>
      <c r="JJO27" s="433"/>
      <c r="JJP27" s="433"/>
      <c r="JJQ27" s="433"/>
      <c r="JJR27" s="433"/>
      <c r="JJS27" s="433"/>
      <c r="JJT27" s="433"/>
      <c r="JJU27" s="433"/>
      <c r="JJV27" s="433"/>
      <c r="JJW27" s="433"/>
      <c r="JJX27" s="1037"/>
      <c r="JJY27" s="1438"/>
      <c r="JJZ27" s="433"/>
      <c r="JKA27" s="433"/>
      <c r="JKB27" s="433"/>
      <c r="JKC27" s="433"/>
      <c r="JKD27" s="433"/>
      <c r="JKE27" s="433"/>
      <c r="JKF27" s="433"/>
      <c r="JKG27" s="433"/>
      <c r="JKH27" s="433"/>
      <c r="JKI27" s="433"/>
      <c r="JKJ27" s="1037"/>
      <c r="JKK27" s="1438"/>
      <c r="JKL27" s="433"/>
      <c r="JKM27" s="433"/>
      <c r="JKN27" s="433"/>
      <c r="JKO27" s="433"/>
      <c r="JKP27" s="433"/>
      <c r="JKQ27" s="433"/>
      <c r="JKR27" s="433"/>
      <c r="JKS27" s="433"/>
      <c r="JKT27" s="433"/>
      <c r="JKU27" s="433"/>
      <c r="JKV27" s="1037"/>
      <c r="JKW27" s="1438"/>
      <c r="JKX27" s="433"/>
      <c r="JKY27" s="433"/>
      <c r="JKZ27" s="433"/>
      <c r="JLA27" s="433"/>
      <c r="JLB27" s="433"/>
      <c r="JLC27" s="433"/>
      <c r="JLD27" s="433"/>
      <c r="JLE27" s="433"/>
      <c r="JLF27" s="433"/>
      <c r="JLG27" s="433"/>
      <c r="JLH27" s="1037"/>
      <c r="JLI27" s="1438"/>
      <c r="JLJ27" s="433"/>
      <c r="JLK27" s="433"/>
      <c r="JLL27" s="433"/>
      <c r="JLM27" s="433"/>
      <c r="JLN27" s="433"/>
      <c r="JLO27" s="433"/>
      <c r="JLP27" s="433"/>
      <c r="JLQ27" s="433"/>
      <c r="JLR27" s="433"/>
      <c r="JLS27" s="433"/>
      <c r="JLT27" s="1037"/>
      <c r="JLU27" s="1438"/>
      <c r="JLV27" s="433"/>
      <c r="JLW27" s="433"/>
      <c r="JLX27" s="433"/>
      <c r="JLY27" s="433"/>
      <c r="JLZ27" s="433"/>
      <c r="JMA27" s="433"/>
      <c r="JMB27" s="433"/>
      <c r="JMC27" s="433"/>
      <c r="JMD27" s="433"/>
      <c r="JME27" s="433"/>
      <c r="JMF27" s="1037"/>
      <c r="JMG27" s="1438"/>
      <c r="JMH27" s="433"/>
      <c r="JMI27" s="433"/>
      <c r="JMJ27" s="433"/>
      <c r="JMK27" s="433"/>
      <c r="JML27" s="433"/>
      <c r="JMM27" s="433"/>
      <c r="JMN27" s="433"/>
      <c r="JMO27" s="433"/>
      <c r="JMP27" s="433"/>
      <c r="JMQ27" s="433"/>
      <c r="JMR27" s="1037"/>
      <c r="JMS27" s="1438"/>
      <c r="JMT27" s="433"/>
      <c r="JMU27" s="433"/>
      <c r="JMV27" s="433"/>
      <c r="JMW27" s="433"/>
      <c r="JMX27" s="433"/>
      <c r="JMY27" s="433"/>
      <c r="JMZ27" s="433"/>
      <c r="JNA27" s="433"/>
      <c r="JNB27" s="433"/>
      <c r="JNC27" s="433"/>
      <c r="JND27" s="1037"/>
      <c r="JNE27" s="1438"/>
      <c r="JNF27" s="433"/>
      <c r="JNG27" s="433"/>
      <c r="JNH27" s="433"/>
      <c r="JNI27" s="433"/>
      <c r="JNJ27" s="433"/>
      <c r="JNK27" s="433"/>
      <c r="JNL27" s="433"/>
      <c r="JNM27" s="433"/>
      <c r="JNN27" s="433"/>
      <c r="JNO27" s="433"/>
      <c r="JNP27" s="1037"/>
      <c r="JNQ27" s="1438"/>
      <c r="JNR27" s="433"/>
      <c r="JNS27" s="433"/>
      <c r="JNT27" s="433"/>
      <c r="JNU27" s="433"/>
      <c r="JNV27" s="433"/>
      <c r="JNW27" s="433"/>
      <c r="JNX27" s="433"/>
      <c r="JNY27" s="433"/>
      <c r="JNZ27" s="433"/>
      <c r="JOA27" s="433"/>
      <c r="JOB27" s="1037"/>
      <c r="JOC27" s="1438"/>
      <c r="JOD27" s="433"/>
      <c r="JOE27" s="433"/>
      <c r="JOF27" s="433"/>
      <c r="JOG27" s="433"/>
      <c r="JOH27" s="433"/>
      <c r="JOI27" s="433"/>
      <c r="JOJ27" s="433"/>
      <c r="JOK27" s="433"/>
      <c r="JOL27" s="433"/>
      <c r="JOM27" s="433"/>
      <c r="JON27" s="1037"/>
      <c r="JOO27" s="1438"/>
      <c r="JOP27" s="433"/>
      <c r="JOQ27" s="433"/>
      <c r="JOR27" s="433"/>
      <c r="JOS27" s="433"/>
      <c r="JOT27" s="433"/>
      <c r="JOU27" s="433"/>
      <c r="JOV27" s="433"/>
      <c r="JOW27" s="433"/>
      <c r="JOX27" s="433"/>
      <c r="JOY27" s="433"/>
      <c r="JOZ27" s="1037"/>
      <c r="JPA27" s="1438"/>
      <c r="JPB27" s="433"/>
      <c r="JPC27" s="433"/>
      <c r="JPD27" s="433"/>
      <c r="JPE27" s="433"/>
      <c r="JPF27" s="433"/>
      <c r="JPG27" s="433"/>
      <c r="JPH27" s="433"/>
      <c r="JPI27" s="433"/>
      <c r="JPJ27" s="433"/>
      <c r="JPK27" s="433"/>
      <c r="JPL27" s="1037"/>
      <c r="JPM27" s="1438"/>
      <c r="JPN27" s="433"/>
      <c r="JPO27" s="433"/>
      <c r="JPP27" s="433"/>
      <c r="JPQ27" s="433"/>
      <c r="JPR27" s="433"/>
      <c r="JPS27" s="433"/>
      <c r="JPT27" s="433"/>
      <c r="JPU27" s="433"/>
      <c r="JPV27" s="433"/>
      <c r="JPW27" s="433"/>
      <c r="JPX27" s="1037"/>
      <c r="JPY27" s="1438"/>
      <c r="JPZ27" s="433"/>
      <c r="JQA27" s="433"/>
      <c r="JQB27" s="433"/>
      <c r="JQC27" s="433"/>
      <c r="JQD27" s="433"/>
      <c r="JQE27" s="433"/>
      <c r="JQF27" s="433"/>
      <c r="JQG27" s="433"/>
      <c r="JQH27" s="433"/>
      <c r="JQI27" s="433"/>
      <c r="JQJ27" s="1037"/>
      <c r="JQK27" s="1438"/>
      <c r="JQL27" s="433"/>
      <c r="JQM27" s="433"/>
      <c r="JQN27" s="433"/>
      <c r="JQO27" s="433"/>
      <c r="JQP27" s="433"/>
      <c r="JQQ27" s="433"/>
      <c r="JQR27" s="433"/>
      <c r="JQS27" s="433"/>
      <c r="JQT27" s="433"/>
      <c r="JQU27" s="433"/>
      <c r="JQV27" s="1037"/>
      <c r="JQW27" s="1438"/>
      <c r="JQX27" s="433"/>
      <c r="JQY27" s="433"/>
      <c r="JQZ27" s="433"/>
      <c r="JRA27" s="433"/>
      <c r="JRB27" s="433"/>
      <c r="JRC27" s="433"/>
      <c r="JRD27" s="433"/>
      <c r="JRE27" s="433"/>
      <c r="JRF27" s="433"/>
      <c r="JRG27" s="433"/>
      <c r="JRH27" s="1037"/>
      <c r="JRI27" s="1438"/>
      <c r="JRJ27" s="433"/>
      <c r="JRK27" s="433"/>
      <c r="JRL27" s="433"/>
      <c r="JRM27" s="433"/>
      <c r="JRN27" s="433"/>
      <c r="JRO27" s="433"/>
      <c r="JRP27" s="433"/>
      <c r="JRQ27" s="433"/>
      <c r="JRR27" s="433"/>
      <c r="JRS27" s="433"/>
      <c r="JRT27" s="1037"/>
      <c r="JRU27" s="1438"/>
      <c r="JRV27" s="433"/>
      <c r="JRW27" s="433"/>
      <c r="JRX27" s="433"/>
      <c r="JRY27" s="433"/>
      <c r="JRZ27" s="433"/>
      <c r="JSA27" s="433"/>
      <c r="JSB27" s="433"/>
      <c r="JSC27" s="433"/>
      <c r="JSD27" s="433"/>
      <c r="JSE27" s="433"/>
      <c r="JSF27" s="1037"/>
      <c r="JSG27" s="1438"/>
      <c r="JSH27" s="433"/>
      <c r="JSI27" s="433"/>
      <c r="JSJ27" s="433"/>
      <c r="JSK27" s="433"/>
      <c r="JSL27" s="433"/>
      <c r="JSM27" s="433"/>
      <c r="JSN27" s="433"/>
      <c r="JSO27" s="433"/>
      <c r="JSP27" s="433"/>
      <c r="JSQ27" s="433"/>
      <c r="JSR27" s="1037"/>
      <c r="JSS27" s="1438"/>
      <c r="JST27" s="433"/>
      <c r="JSU27" s="433"/>
      <c r="JSV27" s="433"/>
      <c r="JSW27" s="433"/>
      <c r="JSX27" s="433"/>
      <c r="JSY27" s="433"/>
      <c r="JSZ27" s="433"/>
      <c r="JTA27" s="433"/>
      <c r="JTB27" s="433"/>
      <c r="JTC27" s="433"/>
      <c r="JTD27" s="1037"/>
      <c r="JTE27" s="1438"/>
      <c r="JTF27" s="433"/>
      <c r="JTG27" s="433"/>
      <c r="JTH27" s="433"/>
      <c r="JTI27" s="433"/>
      <c r="JTJ27" s="433"/>
      <c r="JTK27" s="433"/>
      <c r="JTL27" s="433"/>
      <c r="JTM27" s="433"/>
      <c r="JTN27" s="433"/>
      <c r="JTO27" s="433"/>
      <c r="JTP27" s="1037"/>
      <c r="JTQ27" s="1438"/>
      <c r="JTR27" s="433"/>
      <c r="JTS27" s="433"/>
      <c r="JTT27" s="433"/>
      <c r="JTU27" s="433"/>
      <c r="JTV27" s="433"/>
      <c r="JTW27" s="433"/>
      <c r="JTX27" s="433"/>
      <c r="JTY27" s="433"/>
      <c r="JTZ27" s="433"/>
      <c r="JUA27" s="433"/>
      <c r="JUB27" s="1037"/>
      <c r="JUC27" s="1438"/>
      <c r="JUD27" s="433"/>
      <c r="JUE27" s="433"/>
      <c r="JUF27" s="433"/>
      <c r="JUG27" s="433"/>
      <c r="JUH27" s="433"/>
      <c r="JUI27" s="433"/>
      <c r="JUJ27" s="433"/>
      <c r="JUK27" s="433"/>
      <c r="JUL27" s="433"/>
      <c r="JUM27" s="433"/>
      <c r="JUN27" s="1037"/>
      <c r="JUO27" s="1438"/>
      <c r="JUP27" s="433"/>
      <c r="JUQ27" s="433"/>
      <c r="JUR27" s="433"/>
      <c r="JUS27" s="433"/>
      <c r="JUT27" s="433"/>
      <c r="JUU27" s="433"/>
      <c r="JUV27" s="433"/>
      <c r="JUW27" s="433"/>
      <c r="JUX27" s="433"/>
      <c r="JUY27" s="433"/>
      <c r="JUZ27" s="1037"/>
      <c r="JVA27" s="1438"/>
      <c r="JVB27" s="433"/>
      <c r="JVC27" s="433"/>
      <c r="JVD27" s="433"/>
      <c r="JVE27" s="433"/>
      <c r="JVF27" s="433"/>
      <c r="JVG27" s="433"/>
      <c r="JVH27" s="433"/>
      <c r="JVI27" s="433"/>
      <c r="JVJ27" s="433"/>
      <c r="JVK27" s="433"/>
      <c r="JVL27" s="1037"/>
      <c r="JVM27" s="1438"/>
      <c r="JVN27" s="433"/>
      <c r="JVO27" s="433"/>
      <c r="JVP27" s="433"/>
      <c r="JVQ27" s="433"/>
      <c r="JVR27" s="433"/>
      <c r="JVS27" s="433"/>
      <c r="JVT27" s="433"/>
      <c r="JVU27" s="433"/>
      <c r="JVV27" s="433"/>
      <c r="JVW27" s="433"/>
      <c r="JVX27" s="1037"/>
      <c r="JVY27" s="1438"/>
      <c r="JVZ27" s="433"/>
      <c r="JWA27" s="433"/>
      <c r="JWB27" s="433"/>
      <c r="JWC27" s="433"/>
      <c r="JWD27" s="433"/>
      <c r="JWE27" s="433"/>
      <c r="JWF27" s="433"/>
      <c r="JWG27" s="433"/>
      <c r="JWH27" s="433"/>
      <c r="JWI27" s="433"/>
      <c r="JWJ27" s="1037"/>
      <c r="JWK27" s="1438"/>
      <c r="JWL27" s="433"/>
      <c r="JWM27" s="433"/>
      <c r="JWN27" s="433"/>
      <c r="JWO27" s="433"/>
      <c r="JWP27" s="433"/>
      <c r="JWQ27" s="433"/>
      <c r="JWR27" s="433"/>
      <c r="JWS27" s="433"/>
      <c r="JWT27" s="433"/>
      <c r="JWU27" s="433"/>
      <c r="JWV27" s="1037"/>
      <c r="JWW27" s="1438"/>
      <c r="JWX27" s="433"/>
      <c r="JWY27" s="433"/>
      <c r="JWZ27" s="433"/>
      <c r="JXA27" s="433"/>
      <c r="JXB27" s="433"/>
      <c r="JXC27" s="433"/>
      <c r="JXD27" s="433"/>
      <c r="JXE27" s="433"/>
      <c r="JXF27" s="433"/>
      <c r="JXG27" s="433"/>
      <c r="JXH27" s="1037"/>
      <c r="JXI27" s="1438"/>
      <c r="JXJ27" s="433"/>
      <c r="JXK27" s="433"/>
      <c r="JXL27" s="433"/>
      <c r="JXM27" s="433"/>
      <c r="JXN27" s="433"/>
      <c r="JXO27" s="433"/>
      <c r="JXP27" s="433"/>
      <c r="JXQ27" s="433"/>
      <c r="JXR27" s="433"/>
      <c r="JXS27" s="433"/>
      <c r="JXT27" s="1037"/>
      <c r="JXU27" s="1438"/>
      <c r="JXV27" s="433"/>
      <c r="JXW27" s="433"/>
      <c r="JXX27" s="433"/>
      <c r="JXY27" s="433"/>
      <c r="JXZ27" s="433"/>
      <c r="JYA27" s="433"/>
      <c r="JYB27" s="433"/>
      <c r="JYC27" s="433"/>
      <c r="JYD27" s="433"/>
      <c r="JYE27" s="433"/>
      <c r="JYF27" s="1037"/>
      <c r="JYG27" s="1438"/>
      <c r="JYH27" s="433"/>
      <c r="JYI27" s="433"/>
      <c r="JYJ27" s="433"/>
      <c r="JYK27" s="433"/>
      <c r="JYL27" s="433"/>
      <c r="JYM27" s="433"/>
      <c r="JYN27" s="433"/>
      <c r="JYO27" s="433"/>
      <c r="JYP27" s="433"/>
      <c r="JYQ27" s="433"/>
      <c r="JYR27" s="1037"/>
      <c r="JYS27" s="1438"/>
      <c r="JYT27" s="433"/>
      <c r="JYU27" s="433"/>
      <c r="JYV27" s="433"/>
      <c r="JYW27" s="433"/>
      <c r="JYX27" s="433"/>
      <c r="JYY27" s="433"/>
      <c r="JYZ27" s="433"/>
      <c r="JZA27" s="433"/>
      <c r="JZB27" s="433"/>
      <c r="JZC27" s="433"/>
      <c r="JZD27" s="1037"/>
      <c r="JZE27" s="1438"/>
      <c r="JZF27" s="433"/>
      <c r="JZG27" s="433"/>
      <c r="JZH27" s="433"/>
      <c r="JZI27" s="433"/>
      <c r="JZJ27" s="433"/>
      <c r="JZK27" s="433"/>
      <c r="JZL27" s="433"/>
      <c r="JZM27" s="433"/>
      <c r="JZN27" s="433"/>
      <c r="JZO27" s="433"/>
      <c r="JZP27" s="1037"/>
      <c r="JZQ27" s="1438"/>
      <c r="JZR27" s="433"/>
      <c r="JZS27" s="433"/>
      <c r="JZT27" s="433"/>
      <c r="JZU27" s="433"/>
      <c r="JZV27" s="433"/>
      <c r="JZW27" s="433"/>
      <c r="JZX27" s="433"/>
      <c r="JZY27" s="433"/>
      <c r="JZZ27" s="433"/>
      <c r="KAA27" s="433"/>
      <c r="KAB27" s="1037"/>
      <c r="KAC27" s="1438"/>
      <c r="KAD27" s="433"/>
      <c r="KAE27" s="433"/>
      <c r="KAF27" s="433"/>
      <c r="KAG27" s="433"/>
      <c r="KAH27" s="433"/>
      <c r="KAI27" s="433"/>
      <c r="KAJ27" s="433"/>
      <c r="KAK27" s="433"/>
      <c r="KAL27" s="433"/>
      <c r="KAM27" s="433"/>
      <c r="KAN27" s="1037"/>
      <c r="KAO27" s="1438"/>
      <c r="KAP27" s="433"/>
      <c r="KAQ27" s="433"/>
      <c r="KAR27" s="433"/>
      <c r="KAS27" s="433"/>
      <c r="KAT27" s="433"/>
      <c r="KAU27" s="433"/>
      <c r="KAV27" s="433"/>
      <c r="KAW27" s="433"/>
      <c r="KAX27" s="433"/>
      <c r="KAY27" s="433"/>
      <c r="KAZ27" s="1037"/>
      <c r="KBA27" s="1438"/>
      <c r="KBB27" s="433"/>
      <c r="KBC27" s="433"/>
      <c r="KBD27" s="433"/>
      <c r="KBE27" s="433"/>
      <c r="KBF27" s="433"/>
      <c r="KBG27" s="433"/>
      <c r="KBH27" s="433"/>
      <c r="KBI27" s="433"/>
      <c r="KBJ27" s="433"/>
      <c r="KBK27" s="433"/>
      <c r="KBL27" s="1037"/>
      <c r="KBM27" s="1438"/>
      <c r="KBN27" s="433"/>
      <c r="KBO27" s="433"/>
      <c r="KBP27" s="433"/>
      <c r="KBQ27" s="433"/>
      <c r="KBR27" s="433"/>
      <c r="KBS27" s="433"/>
      <c r="KBT27" s="433"/>
      <c r="KBU27" s="433"/>
      <c r="KBV27" s="433"/>
      <c r="KBW27" s="433"/>
      <c r="KBX27" s="1037"/>
      <c r="KBY27" s="1438"/>
      <c r="KBZ27" s="433"/>
      <c r="KCA27" s="433"/>
      <c r="KCB27" s="433"/>
      <c r="KCC27" s="433"/>
      <c r="KCD27" s="433"/>
      <c r="KCE27" s="433"/>
      <c r="KCF27" s="433"/>
      <c r="KCG27" s="433"/>
      <c r="KCH27" s="433"/>
      <c r="KCI27" s="433"/>
      <c r="KCJ27" s="1037"/>
      <c r="KCK27" s="1438"/>
      <c r="KCL27" s="433"/>
      <c r="KCM27" s="433"/>
      <c r="KCN27" s="433"/>
      <c r="KCO27" s="433"/>
      <c r="KCP27" s="433"/>
      <c r="KCQ27" s="433"/>
      <c r="KCR27" s="433"/>
      <c r="KCS27" s="433"/>
      <c r="KCT27" s="433"/>
      <c r="KCU27" s="433"/>
      <c r="KCV27" s="1037"/>
      <c r="KCW27" s="1438"/>
      <c r="KCX27" s="433"/>
      <c r="KCY27" s="433"/>
      <c r="KCZ27" s="433"/>
      <c r="KDA27" s="433"/>
      <c r="KDB27" s="433"/>
      <c r="KDC27" s="433"/>
      <c r="KDD27" s="433"/>
      <c r="KDE27" s="433"/>
      <c r="KDF27" s="433"/>
      <c r="KDG27" s="433"/>
      <c r="KDH27" s="1037"/>
      <c r="KDI27" s="1438"/>
      <c r="KDJ27" s="433"/>
      <c r="KDK27" s="433"/>
      <c r="KDL27" s="433"/>
      <c r="KDM27" s="433"/>
      <c r="KDN27" s="433"/>
      <c r="KDO27" s="433"/>
      <c r="KDP27" s="433"/>
      <c r="KDQ27" s="433"/>
      <c r="KDR27" s="433"/>
      <c r="KDS27" s="433"/>
      <c r="KDT27" s="1037"/>
      <c r="KDU27" s="1438"/>
      <c r="KDV27" s="433"/>
      <c r="KDW27" s="433"/>
      <c r="KDX27" s="433"/>
      <c r="KDY27" s="433"/>
      <c r="KDZ27" s="433"/>
      <c r="KEA27" s="433"/>
      <c r="KEB27" s="433"/>
      <c r="KEC27" s="433"/>
      <c r="KED27" s="433"/>
      <c r="KEE27" s="433"/>
      <c r="KEF27" s="1037"/>
      <c r="KEG27" s="1438"/>
      <c r="KEH27" s="433"/>
      <c r="KEI27" s="433"/>
      <c r="KEJ27" s="433"/>
      <c r="KEK27" s="433"/>
      <c r="KEL27" s="433"/>
      <c r="KEM27" s="433"/>
      <c r="KEN27" s="433"/>
      <c r="KEO27" s="433"/>
      <c r="KEP27" s="433"/>
      <c r="KEQ27" s="433"/>
      <c r="KER27" s="1037"/>
      <c r="KES27" s="1438"/>
      <c r="KET27" s="433"/>
      <c r="KEU27" s="433"/>
      <c r="KEV27" s="433"/>
      <c r="KEW27" s="433"/>
      <c r="KEX27" s="433"/>
      <c r="KEY27" s="433"/>
      <c r="KEZ27" s="433"/>
      <c r="KFA27" s="433"/>
      <c r="KFB27" s="433"/>
      <c r="KFC27" s="433"/>
      <c r="KFD27" s="1037"/>
      <c r="KFE27" s="1438"/>
      <c r="KFF27" s="433"/>
      <c r="KFG27" s="433"/>
      <c r="KFH27" s="433"/>
      <c r="KFI27" s="433"/>
      <c r="KFJ27" s="433"/>
      <c r="KFK27" s="433"/>
      <c r="KFL27" s="433"/>
      <c r="KFM27" s="433"/>
      <c r="KFN27" s="433"/>
      <c r="KFO27" s="433"/>
      <c r="KFP27" s="1037"/>
      <c r="KFQ27" s="1438"/>
      <c r="KFR27" s="433"/>
      <c r="KFS27" s="433"/>
      <c r="KFT27" s="433"/>
      <c r="KFU27" s="433"/>
      <c r="KFV27" s="433"/>
      <c r="KFW27" s="433"/>
      <c r="KFX27" s="433"/>
      <c r="KFY27" s="433"/>
      <c r="KFZ27" s="433"/>
      <c r="KGA27" s="433"/>
      <c r="KGB27" s="1037"/>
      <c r="KGC27" s="1438"/>
      <c r="KGD27" s="433"/>
      <c r="KGE27" s="433"/>
      <c r="KGF27" s="433"/>
      <c r="KGG27" s="433"/>
      <c r="KGH27" s="433"/>
      <c r="KGI27" s="433"/>
      <c r="KGJ27" s="433"/>
      <c r="KGK27" s="433"/>
      <c r="KGL27" s="433"/>
      <c r="KGM27" s="433"/>
      <c r="KGN27" s="1037"/>
      <c r="KGO27" s="1438"/>
      <c r="KGP27" s="433"/>
      <c r="KGQ27" s="433"/>
      <c r="KGR27" s="433"/>
      <c r="KGS27" s="433"/>
      <c r="KGT27" s="433"/>
      <c r="KGU27" s="433"/>
      <c r="KGV27" s="433"/>
      <c r="KGW27" s="433"/>
      <c r="KGX27" s="433"/>
      <c r="KGY27" s="433"/>
      <c r="KGZ27" s="1037"/>
      <c r="KHA27" s="1438"/>
      <c r="KHB27" s="433"/>
      <c r="KHC27" s="433"/>
      <c r="KHD27" s="433"/>
      <c r="KHE27" s="433"/>
      <c r="KHF27" s="433"/>
      <c r="KHG27" s="433"/>
      <c r="KHH27" s="433"/>
      <c r="KHI27" s="433"/>
      <c r="KHJ27" s="433"/>
      <c r="KHK27" s="433"/>
      <c r="KHL27" s="1037"/>
      <c r="KHM27" s="1438"/>
      <c r="KHN27" s="433"/>
      <c r="KHO27" s="433"/>
      <c r="KHP27" s="433"/>
      <c r="KHQ27" s="433"/>
      <c r="KHR27" s="433"/>
      <c r="KHS27" s="433"/>
      <c r="KHT27" s="433"/>
      <c r="KHU27" s="433"/>
      <c r="KHV27" s="433"/>
      <c r="KHW27" s="433"/>
      <c r="KHX27" s="1037"/>
      <c r="KHY27" s="1438"/>
      <c r="KHZ27" s="433"/>
      <c r="KIA27" s="433"/>
      <c r="KIB27" s="433"/>
      <c r="KIC27" s="433"/>
      <c r="KID27" s="433"/>
      <c r="KIE27" s="433"/>
      <c r="KIF27" s="433"/>
      <c r="KIG27" s="433"/>
      <c r="KIH27" s="433"/>
      <c r="KII27" s="433"/>
      <c r="KIJ27" s="1037"/>
      <c r="KIK27" s="1438"/>
      <c r="KIL27" s="433"/>
      <c r="KIM27" s="433"/>
      <c r="KIN27" s="433"/>
      <c r="KIO27" s="433"/>
      <c r="KIP27" s="433"/>
      <c r="KIQ27" s="433"/>
      <c r="KIR27" s="433"/>
      <c r="KIS27" s="433"/>
      <c r="KIT27" s="433"/>
      <c r="KIU27" s="433"/>
      <c r="KIV27" s="1037"/>
      <c r="KIW27" s="1438"/>
      <c r="KIX27" s="433"/>
      <c r="KIY27" s="433"/>
      <c r="KIZ27" s="433"/>
      <c r="KJA27" s="433"/>
      <c r="KJB27" s="433"/>
      <c r="KJC27" s="433"/>
      <c r="KJD27" s="433"/>
      <c r="KJE27" s="433"/>
      <c r="KJF27" s="433"/>
      <c r="KJG27" s="433"/>
      <c r="KJH27" s="1037"/>
      <c r="KJI27" s="1438"/>
      <c r="KJJ27" s="433"/>
      <c r="KJK27" s="433"/>
      <c r="KJL27" s="433"/>
      <c r="KJM27" s="433"/>
      <c r="KJN27" s="433"/>
      <c r="KJO27" s="433"/>
      <c r="KJP27" s="433"/>
      <c r="KJQ27" s="433"/>
      <c r="KJR27" s="433"/>
      <c r="KJS27" s="433"/>
      <c r="KJT27" s="1037"/>
      <c r="KJU27" s="1438"/>
      <c r="KJV27" s="433"/>
      <c r="KJW27" s="433"/>
      <c r="KJX27" s="433"/>
      <c r="KJY27" s="433"/>
      <c r="KJZ27" s="433"/>
      <c r="KKA27" s="433"/>
      <c r="KKB27" s="433"/>
      <c r="KKC27" s="433"/>
      <c r="KKD27" s="433"/>
      <c r="KKE27" s="433"/>
      <c r="KKF27" s="1037"/>
      <c r="KKG27" s="1438"/>
      <c r="KKH27" s="433"/>
      <c r="KKI27" s="433"/>
      <c r="KKJ27" s="433"/>
      <c r="KKK27" s="433"/>
      <c r="KKL27" s="433"/>
      <c r="KKM27" s="433"/>
      <c r="KKN27" s="433"/>
      <c r="KKO27" s="433"/>
      <c r="KKP27" s="433"/>
      <c r="KKQ27" s="433"/>
      <c r="KKR27" s="1037"/>
      <c r="KKS27" s="1438"/>
      <c r="KKT27" s="433"/>
      <c r="KKU27" s="433"/>
      <c r="KKV27" s="433"/>
      <c r="KKW27" s="433"/>
      <c r="KKX27" s="433"/>
      <c r="KKY27" s="433"/>
      <c r="KKZ27" s="433"/>
      <c r="KLA27" s="433"/>
      <c r="KLB27" s="433"/>
      <c r="KLC27" s="433"/>
      <c r="KLD27" s="1037"/>
      <c r="KLE27" s="1438"/>
      <c r="KLF27" s="433"/>
      <c r="KLG27" s="433"/>
      <c r="KLH27" s="433"/>
      <c r="KLI27" s="433"/>
      <c r="KLJ27" s="433"/>
      <c r="KLK27" s="433"/>
      <c r="KLL27" s="433"/>
      <c r="KLM27" s="433"/>
      <c r="KLN27" s="433"/>
      <c r="KLO27" s="433"/>
      <c r="KLP27" s="1037"/>
      <c r="KLQ27" s="1438"/>
      <c r="KLR27" s="433"/>
      <c r="KLS27" s="433"/>
      <c r="KLT27" s="433"/>
      <c r="KLU27" s="433"/>
      <c r="KLV27" s="433"/>
      <c r="KLW27" s="433"/>
      <c r="KLX27" s="433"/>
      <c r="KLY27" s="433"/>
      <c r="KLZ27" s="433"/>
      <c r="KMA27" s="433"/>
      <c r="KMB27" s="1037"/>
      <c r="KMC27" s="1438"/>
      <c r="KMD27" s="433"/>
      <c r="KME27" s="433"/>
      <c r="KMF27" s="433"/>
      <c r="KMG27" s="433"/>
      <c r="KMH27" s="433"/>
      <c r="KMI27" s="433"/>
      <c r="KMJ27" s="433"/>
      <c r="KMK27" s="433"/>
      <c r="KML27" s="433"/>
      <c r="KMM27" s="433"/>
      <c r="KMN27" s="1037"/>
      <c r="KMO27" s="1438"/>
      <c r="KMP27" s="433"/>
      <c r="KMQ27" s="433"/>
      <c r="KMR27" s="433"/>
      <c r="KMS27" s="433"/>
      <c r="KMT27" s="433"/>
      <c r="KMU27" s="433"/>
      <c r="KMV27" s="433"/>
      <c r="KMW27" s="433"/>
      <c r="KMX27" s="433"/>
      <c r="KMY27" s="433"/>
      <c r="KMZ27" s="1037"/>
      <c r="KNA27" s="1438"/>
      <c r="KNB27" s="433"/>
      <c r="KNC27" s="433"/>
      <c r="KND27" s="433"/>
      <c r="KNE27" s="433"/>
      <c r="KNF27" s="433"/>
      <c r="KNG27" s="433"/>
      <c r="KNH27" s="433"/>
      <c r="KNI27" s="433"/>
      <c r="KNJ27" s="433"/>
      <c r="KNK27" s="433"/>
      <c r="KNL27" s="1037"/>
      <c r="KNM27" s="1438"/>
      <c r="KNN27" s="433"/>
      <c r="KNO27" s="433"/>
      <c r="KNP27" s="433"/>
      <c r="KNQ27" s="433"/>
      <c r="KNR27" s="433"/>
      <c r="KNS27" s="433"/>
      <c r="KNT27" s="433"/>
      <c r="KNU27" s="433"/>
      <c r="KNV27" s="433"/>
      <c r="KNW27" s="433"/>
      <c r="KNX27" s="1037"/>
      <c r="KNY27" s="1438"/>
      <c r="KNZ27" s="433"/>
      <c r="KOA27" s="433"/>
      <c r="KOB27" s="433"/>
      <c r="KOC27" s="433"/>
      <c r="KOD27" s="433"/>
      <c r="KOE27" s="433"/>
      <c r="KOF27" s="433"/>
      <c r="KOG27" s="433"/>
      <c r="KOH27" s="433"/>
      <c r="KOI27" s="433"/>
      <c r="KOJ27" s="1037"/>
      <c r="KOK27" s="1438"/>
      <c r="KOL27" s="433"/>
      <c r="KOM27" s="433"/>
      <c r="KON27" s="433"/>
      <c r="KOO27" s="433"/>
      <c r="KOP27" s="433"/>
      <c r="KOQ27" s="433"/>
      <c r="KOR27" s="433"/>
      <c r="KOS27" s="433"/>
      <c r="KOT27" s="433"/>
      <c r="KOU27" s="433"/>
      <c r="KOV27" s="1037"/>
      <c r="KOW27" s="1438"/>
      <c r="KOX27" s="433"/>
      <c r="KOY27" s="433"/>
      <c r="KOZ27" s="433"/>
      <c r="KPA27" s="433"/>
      <c r="KPB27" s="433"/>
      <c r="KPC27" s="433"/>
      <c r="KPD27" s="433"/>
      <c r="KPE27" s="433"/>
      <c r="KPF27" s="433"/>
      <c r="KPG27" s="433"/>
      <c r="KPH27" s="1037"/>
      <c r="KPI27" s="1438"/>
      <c r="KPJ27" s="433"/>
      <c r="KPK27" s="433"/>
      <c r="KPL27" s="433"/>
      <c r="KPM27" s="433"/>
      <c r="KPN27" s="433"/>
      <c r="KPO27" s="433"/>
      <c r="KPP27" s="433"/>
      <c r="KPQ27" s="433"/>
      <c r="KPR27" s="433"/>
      <c r="KPS27" s="433"/>
      <c r="KPT27" s="1037"/>
      <c r="KPU27" s="1438"/>
      <c r="KPV27" s="433"/>
      <c r="KPW27" s="433"/>
      <c r="KPX27" s="433"/>
      <c r="KPY27" s="433"/>
      <c r="KPZ27" s="433"/>
      <c r="KQA27" s="433"/>
      <c r="KQB27" s="433"/>
      <c r="KQC27" s="433"/>
      <c r="KQD27" s="433"/>
      <c r="KQE27" s="433"/>
      <c r="KQF27" s="1037"/>
      <c r="KQG27" s="1438"/>
      <c r="KQH27" s="433"/>
      <c r="KQI27" s="433"/>
      <c r="KQJ27" s="433"/>
      <c r="KQK27" s="433"/>
      <c r="KQL27" s="433"/>
      <c r="KQM27" s="433"/>
      <c r="KQN27" s="433"/>
      <c r="KQO27" s="433"/>
      <c r="KQP27" s="433"/>
      <c r="KQQ27" s="433"/>
      <c r="KQR27" s="1037"/>
      <c r="KQS27" s="1438"/>
      <c r="KQT27" s="433"/>
      <c r="KQU27" s="433"/>
      <c r="KQV27" s="433"/>
      <c r="KQW27" s="433"/>
      <c r="KQX27" s="433"/>
      <c r="KQY27" s="433"/>
      <c r="KQZ27" s="433"/>
      <c r="KRA27" s="433"/>
      <c r="KRB27" s="433"/>
      <c r="KRC27" s="433"/>
      <c r="KRD27" s="1037"/>
      <c r="KRE27" s="1438"/>
      <c r="KRF27" s="433"/>
      <c r="KRG27" s="433"/>
      <c r="KRH27" s="433"/>
      <c r="KRI27" s="433"/>
      <c r="KRJ27" s="433"/>
      <c r="KRK27" s="433"/>
      <c r="KRL27" s="433"/>
      <c r="KRM27" s="433"/>
      <c r="KRN27" s="433"/>
      <c r="KRO27" s="433"/>
      <c r="KRP27" s="1037"/>
      <c r="KRQ27" s="1438"/>
      <c r="KRR27" s="433"/>
      <c r="KRS27" s="433"/>
      <c r="KRT27" s="433"/>
      <c r="KRU27" s="433"/>
      <c r="KRV27" s="433"/>
      <c r="KRW27" s="433"/>
      <c r="KRX27" s="433"/>
      <c r="KRY27" s="433"/>
      <c r="KRZ27" s="433"/>
      <c r="KSA27" s="433"/>
      <c r="KSB27" s="1037"/>
      <c r="KSC27" s="1438"/>
      <c r="KSD27" s="433"/>
      <c r="KSE27" s="433"/>
      <c r="KSF27" s="433"/>
      <c r="KSG27" s="433"/>
      <c r="KSH27" s="433"/>
      <c r="KSI27" s="433"/>
      <c r="KSJ27" s="433"/>
      <c r="KSK27" s="433"/>
      <c r="KSL27" s="433"/>
      <c r="KSM27" s="433"/>
      <c r="KSN27" s="1037"/>
      <c r="KSO27" s="1438"/>
      <c r="KSP27" s="433"/>
      <c r="KSQ27" s="433"/>
      <c r="KSR27" s="433"/>
      <c r="KSS27" s="433"/>
      <c r="KST27" s="433"/>
      <c r="KSU27" s="433"/>
      <c r="KSV27" s="433"/>
      <c r="KSW27" s="433"/>
      <c r="KSX27" s="433"/>
      <c r="KSY27" s="433"/>
      <c r="KSZ27" s="1037"/>
      <c r="KTA27" s="1438"/>
      <c r="KTB27" s="433"/>
      <c r="KTC27" s="433"/>
      <c r="KTD27" s="433"/>
      <c r="KTE27" s="433"/>
      <c r="KTF27" s="433"/>
      <c r="KTG27" s="433"/>
      <c r="KTH27" s="433"/>
      <c r="KTI27" s="433"/>
      <c r="KTJ27" s="433"/>
      <c r="KTK27" s="433"/>
      <c r="KTL27" s="1037"/>
      <c r="KTM27" s="1438"/>
      <c r="KTN27" s="433"/>
      <c r="KTO27" s="433"/>
      <c r="KTP27" s="433"/>
      <c r="KTQ27" s="433"/>
      <c r="KTR27" s="433"/>
      <c r="KTS27" s="433"/>
      <c r="KTT27" s="433"/>
      <c r="KTU27" s="433"/>
      <c r="KTV27" s="433"/>
      <c r="KTW27" s="433"/>
      <c r="KTX27" s="1037"/>
      <c r="KTY27" s="1438"/>
      <c r="KTZ27" s="433"/>
      <c r="KUA27" s="433"/>
      <c r="KUB27" s="433"/>
      <c r="KUC27" s="433"/>
      <c r="KUD27" s="433"/>
      <c r="KUE27" s="433"/>
      <c r="KUF27" s="433"/>
      <c r="KUG27" s="433"/>
      <c r="KUH27" s="433"/>
      <c r="KUI27" s="433"/>
      <c r="KUJ27" s="1037"/>
      <c r="KUK27" s="1438"/>
      <c r="KUL27" s="433"/>
      <c r="KUM27" s="433"/>
      <c r="KUN27" s="433"/>
      <c r="KUO27" s="433"/>
      <c r="KUP27" s="433"/>
      <c r="KUQ27" s="433"/>
      <c r="KUR27" s="433"/>
      <c r="KUS27" s="433"/>
      <c r="KUT27" s="433"/>
      <c r="KUU27" s="433"/>
      <c r="KUV27" s="1037"/>
      <c r="KUW27" s="1438"/>
      <c r="KUX27" s="433"/>
      <c r="KUY27" s="433"/>
      <c r="KUZ27" s="433"/>
      <c r="KVA27" s="433"/>
      <c r="KVB27" s="433"/>
      <c r="KVC27" s="433"/>
      <c r="KVD27" s="433"/>
      <c r="KVE27" s="433"/>
      <c r="KVF27" s="433"/>
      <c r="KVG27" s="433"/>
      <c r="KVH27" s="1037"/>
      <c r="KVI27" s="1438"/>
      <c r="KVJ27" s="433"/>
      <c r="KVK27" s="433"/>
      <c r="KVL27" s="433"/>
      <c r="KVM27" s="433"/>
      <c r="KVN27" s="433"/>
      <c r="KVO27" s="433"/>
      <c r="KVP27" s="433"/>
      <c r="KVQ27" s="433"/>
      <c r="KVR27" s="433"/>
      <c r="KVS27" s="433"/>
      <c r="KVT27" s="1037"/>
      <c r="KVU27" s="1438"/>
      <c r="KVV27" s="433"/>
      <c r="KVW27" s="433"/>
      <c r="KVX27" s="433"/>
      <c r="KVY27" s="433"/>
      <c r="KVZ27" s="433"/>
      <c r="KWA27" s="433"/>
      <c r="KWB27" s="433"/>
      <c r="KWC27" s="433"/>
      <c r="KWD27" s="433"/>
      <c r="KWE27" s="433"/>
      <c r="KWF27" s="1037"/>
      <c r="KWG27" s="1438"/>
      <c r="KWH27" s="433"/>
      <c r="KWI27" s="433"/>
      <c r="KWJ27" s="433"/>
      <c r="KWK27" s="433"/>
      <c r="KWL27" s="433"/>
      <c r="KWM27" s="433"/>
      <c r="KWN27" s="433"/>
      <c r="KWO27" s="433"/>
      <c r="KWP27" s="433"/>
      <c r="KWQ27" s="433"/>
      <c r="KWR27" s="1037"/>
      <c r="KWS27" s="1438"/>
      <c r="KWT27" s="433"/>
      <c r="KWU27" s="433"/>
      <c r="KWV27" s="433"/>
      <c r="KWW27" s="433"/>
      <c r="KWX27" s="433"/>
      <c r="KWY27" s="433"/>
      <c r="KWZ27" s="433"/>
      <c r="KXA27" s="433"/>
      <c r="KXB27" s="433"/>
      <c r="KXC27" s="433"/>
      <c r="KXD27" s="1037"/>
      <c r="KXE27" s="1438"/>
      <c r="KXF27" s="433"/>
      <c r="KXG27" s="433"/>
      <c r="KXH27" s="433"/>
      <c r="KXI27" s="433"/>
      <c r="KXJ27" s="433"/>
      <c r="KXK27" s="433"/>
      <c r="KXL27" s="433"/>
      <c r="KXM27" s="433"/>
      <c r="KXN27" s="433"/>
      <c r="KXO27" s="433"/>
      <c r="KXP27" s="1037"/>
      <c r="KXQ27" s="1438"/>
      <c r="KXR27" s="433"/>
      <c r="KXS27" s="433"/>
      <c r="KXT27" s="433"/>
      <c r="KXU27" s="433"/>
      <c r="KXV27" s="433"/>
      <c r="KXW27" s="433"/>
      <c r="KXX27" s="433"/>
      <c r="KXY27" s="433"/>
      <c r="KXZ27" s="433"/>
      <c r="KYA27" s="433"/>
      <c r="KYB27" s="1037"/>
      <c r="KYC27" s="1438"/>
      <c r="KYD27" s="433"/>
      <c r="KYE27" s="433"/>
      <c r="KYF27" s="433"/>
      <c r="KYG27" s="433"/>
      <c r="KYH27" s="433"/>
      <c r="KYI27" s="433"/>
      <c r="KYJ27" s="433"/>
      <c r="KYK27" s="433"/>
      <c r="KYL27" s="433"/>
      <c r="KYM27" s="433"/>
      <c r="KYN27" s="1037"/>
      <c r="KYO27" s="1438"/>
      <c r="KYP27" s="433"/>
      <c r="KYQ27" s="433"/>
      <c r="KYR27" s="433"/>
      <c r="KYS27" s="433"/>
      <c r="KYT27" s="433"/>
      <c r="KYU27" s="433"/>
      <c r="KYV27" s="433"/>
      <c r="KYW27" s="433"/>
      <c r="KYX27" s="433"/>
      <c r="KYY27" s="433"/>
      <c r="KYZ27" s="1037"/>
      <c r="KZA27" s="1438"/>
      <c r="KZB27" s="433"/>
      <c r="KZC27" s="433"/>
      <c r="KZD27" s="433"/>
      <c r="KZE27" s="433"/>
      <c r="KZF27" s="433"/>
      <c r="KZG27" s="433"/>
      <c r="KZH27" s="433"/>
      <c r="KZI27" s="433"/>
      <c r="KZJ27" s="433"/>
      <c r="KZK27" s="433"/>
      <c r="KZL27" s="1037"/>
      <c r="KZM27" s="1438"/>
      <c r="KZN27" s="433"/>
      <c r="KZO27" s="433"/>
      <c r="KZP27" s="433"/>
      <c r="KZQ27" s="433"/>
      <c r="KZR27" s="433"/>
      <c r="KZS27" s="433"/>
      <c r="KZT27" s="433"/>
      <c r="KZU27" s="433"/>
      <c r="KZV27" s="433"/>
      <c r="KZW27" s="433"/>
      <c r="KZX27" s="1037"/>
      <c r="KZY27" s="1438"/>
      <c r="KZZ27" s="433"/>
      <c r="LAA27" s="433"/>
      <c r="LAB27" s="433"/>
      <c r="LAC27" s="433"/>
      <c r="LAD27" s="433"/>
      <c r="LAE27" s="433"/>
      <c r="LAF27" s="433"/>
      <c r="LAG27" s="433"/>
      <c r="LAH27" s="433"/>
      <c r="LAI27" s="433"/>
      <c r="LAJ27" s="1037"/>
      <c r="LAK27" s="1438"/>
      <c r="LAL27" s="433"/>
      <c r="LAM27" s="433"/>
      <c r="LAN27" s="433"/>
      <c r="LAO27" s="433"/>
      <c r="LAP27" s="433"/>
      <c r="LAQ27" s="433"/>
      <c r="LAR27" s="433"/>
      <c r="LAS27" s="433"/>
      <c r="LAT27" s="433"/>
      <c r="LAU27" s="433"/>
      <c r="LAV27" s="1037"/>
      <c r="LAW27" s="1438"/>
      <c r="LAX27" s="433"/>
      <c r="LAY27" s="433"/>
      <c r="LAZ27" s="433"/>
      <c r="LBA27" s="433"/>
      <c r="LBB27" s="433"/>
      <c r="LBC27" s="433"/>
      <c r="LBD27" s="433"/>
      <c r="LBE27" s="433"/>
      <c r="LBF27" s="433"/>
      <c r="LBG27" s="433"/>
      <c r="LBH27" s="1037"/>
      <c r="LBI27" s="1438"/>
      <c r="LBJ27" s="433"/>
      <c r="LBK27" s="433"/>
      <c r="LBL27" s="433"/>
      <c r="LBM27" s="433"/>
      <c r="LBN27" s="433"/>
      <c r="LBO27" s="433"/>
      <c r="LBP27" s="433"/>
      <c r="LBQ27" s="433"/>
      <c r="LBR27" s="433"/>
      <c r="LBS27" s="433"/>
      <c r="LBT27" s="1037"/>
      <c r="LBU27" s="1438"/>
      <c r="LBV27" s="433"/>
      <c r="LBW27" s="433"/>
      <c r="LBX27" s="433"/>
      <c r="LBY27" s="433"/>
      <c r="LBZ27" s="433"/>
      <c r="LCA27" s="433"/>
      <c r="LCB27" s="433"/>
      <c r="LCC27" s="433"/>
      <c r="LCD27" s="433"/>
      <c r="LCE27" s="433"/>
      <c r="LCF27" s="1037"/>
      <c r="LCG27" s="1438"/>
      <c r="LCH27" s="433"/>
      <c r="LCI27" s="433"/>
      <c r="LCJ27" s="433"/>
      <c r="LCK27" s="433"/>
      <c r="LCL27" s="433"/>
      <c r="LCM27" s="433"/>
      <c r="LCN27" s="433"/>
      <c r="LCO27" s="433"/>
      <c r="LCP27" s="433"/>
      <c r="LCQ27" s="433"/>
      <c r="LCR27" s="1037"/>
      <c r="LCS27" s="1438"/>
      <c r="LCT27" s="433"/>
      <c r="LCU27" s="433"/>
      <c r="LCV27" s="433"/>
      <c r="LCW27" s="433"/>
      <c r="LCX27" s="433"/>
      <c r="LCY27" s="433"/>
      <c r="LCZ27" s="433"/>
      <c r="LDA27" s="433"/>
      <c r="LDB27" s="433"/>
      <c r="LDC27" s="433"/>
      <c r="LDD27" s="1037"/>
      <c r="LDE27" s="1438"/>
      <c r="LDF27" s="433"/>
      <c r="LDG27" s="433"/>
      <c r="LDH27" s="433"/>
      <c r="LDI27" s="433"/>
      <c r="LDJ27" s="433"/>
      <c r="LDK27" s="433"/>
      <c r="LDL27" s="433"/>
      <c r="LDM27" s="433"/>
      <c r="LDN27" s="433"/>
      <c r="LDO27" s="433"/>
      <c r="LDP27" s="1037"/>
      <c r="LDQ27" s="1438"/>
      <c r="LDR27" s="433"/>
      <c r="LDS27" s="433"/>
      <c r="LDT27" s="433"/>
      <c r="LDU27" s="433"/>
      <c r="LDV27" s="433"/>
      <c r="LDW27" s="433"/>
      <c r="LDX27" s="433"/>
      <c r="LDY27" s="433"/>
      <c r="LDZ27" s="433"/>
      <c r="LEA27" s="433"/>
      <c r="LEB27" s="1037"/>
      <c r="LEC27" s="1438"/>
      <c r="LED27" s="433"/>
      <c r="LEE27" s="433"/>
      <c r="LEF27" s="433"/>
      <c r="LEG27" s="433"/>
      <c r="LEH27" s="433"/>
      <c r="LEI27" s="433"/>
      <c r="LEJ27" s="433"/>
      <c r="LEK27" s="433"/>
      <c r="LEL27" s="433"/>
      <c r="LEM27" s="433"/>
      <c r="LEN27" s="1037"/>
      <c r="LEO27" s="1438"/>
      <c r="LEP27" s="433"/>
      <c r="LEQ27" s="433"/>
      <c r="LER27" s="433"/>
      <c r="LES27" s="433"/>
      <c r="LET27" s="433"/>
      <c r="LEU27" s="433"/>
      <c r="LEV27" s="433"/>
      <c r="LEW27" s="433"/>
      <c r="LEX27" s="433"/>
      <c r="LEY27" s="433"/>
      <c r="LEZ27" s="1037"/>
      <c r="LFA27" s="1438"/>
      <c r="LFB27" s="433"/>
      <c r="LFC27" s="433"/>
      <c r="LFD27" s="433"/>
      <c r="LFE27" s="433"/>
      <c r="LFF27" s="433"/>
      <c r="LFG27" s="433"/>
      <c r="LFH27" s="433"/>
      <c r="LFI27" s="433"/>
      <c r="LFJ27" s="433"/>
      <c r="LFK27" s="433"/>
      <c r="LFL27" s="1037"/>
      <c r="LFM27" s="1438"/>
      <c r="LFN27" s="433"/>
      <c r="LFO27" s="433"/>
      <c r="LFP27" s="433"/>
      <c r="LFQ27" s="433"/>
      <c r="LFR27" s="433"/>
      <c r="LFS27" s="433"/>
      <c r="LFT27" s="433"/>
      <c r="LFU27" s="433"/>
      <c r="LFV27" s="433"/>
      <c r="LFW27" s="433"/>
      <c r="LFX27" s="1037"/>
      <c r="LFY27" s="1438"/>
      <c r="LFZ27" s="433"/>
      <c r="LGA27" s="433"/>
      <c r="LGB27" s="433"/>
      <c r="LGC27" s="433"/>
      <c r="LGD27" s="433"/>
      <c r="LGE27" s="433"/>
      <c r="LGF27" s="433"/>
      <c r="LGG27" s="433"/>
      <c r="LGH27" s="433"/>
      <c r="LGI27" s="433"/>
      <c r="LGJ27" s="1037"/>
      <c r="LGK27" s="1438"/>
      <c r="LGL27" s="433"/>
      <c r="LGM27" s="433"/>
      <c r="LGN27" s="433"/>
      <c r="LGO27" s="433"/>
      <c r="LGP27" s="433"/>
      <c r="LGQ27" s="433"/>
      <c r="LGR27" s="433"/>
      <c r="LGS27" s="433"/>
      <c r="LGT27" s="433"/>
      <c r="LGU27" s="433"/>
      <c r="LGV27" s="1037"/>
      <c r="LGW27" s="1438"/>
      <c r="LGX27" s="433"/>
      <c r="LGY27" s="433"/>
      <c r="LGZ27" s="433"/>
      <c r="LHA27" s="433"/>
      <c r="LHB27" s="433"/>
      <c r="LHC27" s="433"/>
      <c r="LHD27" s="433"/>
      <c r="LHE27" s="433"/>
      <c r="LHF27" s="433"/>
      <c r="LHG27" s="433"/>
      <c r="LHH27" s="1037"/>
      <c r="LHI27" s="1438"/>
      <c r="LHJ27" s="433"/>
      <c r="LHK27" s="433"/>
      <c r="LHL27" s="433"/>
      <c r="LHM27" s="433"/>
      <c r="LHN27" s="433"/>
      <c r="LHO27" s="433"/>
      <c r="LHP27" s="433"/>
      <c r="LHQ27" s="433"/>
      <c r="LHR27" s="433"/>
      <c r="LHS27" s="433"/>
      <c r="LHT27" s="1037"/>
      <c r="LHU27" s="1438"/>
      <c r="LHV27" s="433"/>
      <c r="LHW27" s="433"/>
      <c r="LHX27" s="433"/>
      <c r="LHY27" s="433"/>
      <c r="LHZ27" s="433"/>
      <c r="LIA27" s="433"/>
      <c r="LIB27" s="433"/>
      <c r="LIC27" s="433"/>
      <c r="LID27" s="433"/>
      <c r="LIE27" s="433"/>
      <c r="LIF27" s="1037"/>
      <c r="LIG27" s="1438"/>
      <c r="LIH27" s="433"/>
      <c r="LII27" s="433"/>
      <c r="LIJ27" s="433"/>
      <c r="LIK27" s="433"/>
      <c r="LIL27" s="433"/>
      <c r="LIM27" s="433"/>
      <c r="LIN27" s="433"/>
      <c r="LIO27" s="433"/>
      <c r="LIP27" s="433"/>
      <c r="LIQ27" s="433"/>
      <c r="LIR27" s="1037"/>
      <c r="LIS27" s="1438"/>
      <c r="LIT27" s="433"/>
      <c r="LIU27" s="433"/>
      <c r="LIV27" s="433"/>
      <c r="LIW27" s="433"/>
      <c r="LIX27" s="433"/>
      <c r="LIY27" s="433"/>
      <c r="LIZ27" s="433"/>
      <c r="LJA27" s="433"/>
      <c r="LJB27" s="433"/>
      <c r="LJC27" s="433"/>
      <c r="LJD27" s="1037"/>
      <c r="LJE27" s="1438"/>
      <c r="LJF27" s="433"/>
      <c r="LJG27" s="433"/>
      <c r="LJH27" s="433"/>
      <c r="LJI27" s="433"/>
      <c r="LJJ27" s="433"/>
      <c r="LJK27" s="433"/>
      <c r="LJL27" s="433"/>
      <c r="LJM27" s="433"/>
      <c r="LJN27" s="433"/>
      <c r="LJO27" s="433"/>
      <c r="LJP27" s="1037"/>
      <c r="LJQ27" s="1438"/>
      <c r="LJR27" s="433"/>
      <c r="LJS27" s="433"/>
      <c r="LJT27" s="433"/>
      <c r="LJU27" s="433"/>
      <c r="LJV27" s="433"/>
      <c r="LJW27" s="433"/>
      <c r="LJX27" s="433"/>
      <c r="LJY27" s="433"/>
      <c r="LJZ27" s="433"/>
      <c r="LKA27" s="433"/>
      <c r="LKB27" s="1037"/>
      <c r="LKC27" s="1438"/>
      <c r="LKD27" s="433"/>
      <c r="LKE27" s="433"/>
      <c r="LKF27" s="433"/>
      <c r="LKG27" s="433"/>
      <c r="LKH27" s="433"/>
      <c r="LKI27" s="433"/>
      <c r="LKJ27" s="433"/>
      <c r="LKK27" s="433"/>
      <c r="LKL27" s="433"/>
      <c r="LKM27" s="433"/>
      <c r="LKN27" s="1037"/>
      <c r="LKO27" s="1438"/>
      <c r="LKP27" s="433"/>
      <c r="LKQ27" s="433"/>
      <c r="LKR27" s="433"/>
      <c r="LKS27" s="433"/>
      <c r="LKT27" s="433"/>
      <c r="LKU27" s="433"/>
      <c r="LKV27" s="433"/>
      <c r="LKW27" s="433"/>
      <c r="LKX27" s="433"/>
      <c r="LKY27" s="433"/>
      <c r="LKZ27" s="1037"/>
      <c r="LLA27" s="1438"/>
      <c r="LLB27" s="433"/>
      <c r="LLC27" s="433"/>
      <c r="LLD27" s="433"/>
      <c r="LLE27" s="433"/>
      <c r="LLF27" s="433"/>
      <c r="LLG27" s="433"/>
      <c r="LLH27" s="433"/>
      <c r="LLI27" s="433"/>
      <c r="LLJ27" s="433"/>
      <c r="LLK27" s="433"/>
      <c r="LLL27" s="1037"/>
      <c r="LLM27" s="1438"/>
      <c r="LLN27" s="433"/>
      <c r="LLO27" s="433"/>
      <c r="LLP27" s="433"/>
      <c r="LLQ27" s="433"/>
      <c r="LLR27" s="433"/>
      <c r="LLS27" s="433"/>
      <c r="LLT27" s="433"/>
      <c r="LLU27" s="433"/>
      <c r="LLV27" s="433"/>
      <c r="LLW27" s="433"/>
      <c r="LLX27" s="1037"/>
      <c r="LLY27" s="1438"/>
      <c r="LLZ27" s="433"/>
      <c r="LMA27" s="433"/>
      <c r="LMB27" s="433"/>
      <c r="LMC27" s="433"/>
      <c r="LMD27" s="433"/>
      <c r="LME27" s="433"/>
      <c r="LMF27" s="433"/>
      <c r="LMG27" s="433"/>
      <c r="LMH27" s="433"/>
      <c r="LMI27" s="433"/>
      <c r="LMJ27" s="1037"/>
      <c r="LMK27" s="1438"/>
      <c r="LML27" s="433"/>
      <c r="LMM27" s="433"/>
      <c r="LMN27" s="433"/>
      <c r="LMO27" s="433"/>
      <c r="LMP27" s="433"/>
      <c r="LMQ27" s="433"/>
      <c r="LMR27" s="433"/>
      <c r="LMS27" s="433"/>
      <c r="LMT27" s="433"/>
      <c r="LMU27" s="433"/>
      <c r="LMV27" s="1037"/>
      <c r="LMW27" s="1438"/>
      <c r="LMX27" s="433"/>
      <c r="LMY27" s="433"/>
      <c r="LMZ27" s="433"/>
      <c r="LNA27" s="433"/>
      <c r="LNB27" s="433"/>
      <c r="LNC27" s="433"/>
      <c r="LND27" s="433"/>
      <c r="LNE27" s="433"/>
      <c r="LNF27" s="433"/>
      <c r="LNG27" s="433"/>
      <c r="LNH27" s="1037"/>
      <c r="LNI27" s="1438"/>
      <c r="LNJ27" s="433"/>
      <c r="LNK27" s="433"/>
      <c r="LNL27" s="433"/>
      <c r="LNM27" s="433"/>
      <c r="LNN27" s="433"/>
      <c r="LNO27" s="433"/>
      <c r="LNP27" s="433"/>
      <c r="LNQ27" s="433"/>
      <c r="LNR27" s="433"/>
      <c r="LNS27" s="433"/>
      <c r="LNT27" s="1037"/>
      <c r="LNU27" s="1438"/>
      <c r="LNV27" s="433"/>
      <c r="LNW27" s="433"/>
      <c r="LNX27" s="433"/>
      <c r="LNY27" s="433"/>
      <c r="LNZ27" s="433"/>
      <c r="LOA27" s="433"/>
      <c r="LOB27" s="433"/>
      <c r="LOC27" s="433"/>
      <c r="LOD27" s="433"/>
      <c r="LOE27" s="433"/>
      <c r="LOF27" s="1037"/>
      <c r="LOG27" s="1438"/>
      <c r="LOH27" s="433"/>
      <c r="LOI27" s="433"/>
      <c r="LOJ27" s="433"/>
      <c r="LOK27" s="433"/>
      <c r="LOL27" s="433"/>
      <c r="LOM27" s="433"/>
      <c r="LON27" s="433"/>
      <c r="LOO27" s="433"/>
      <c r="LOP27" s="433"/>
      <c r="LOQ27" s="433"/>
      <c r="LOR27" s="1037"/>
      <c r="LOS27" s="1438"/>
      <c r="LOT27" s="433"/>
      <c r="LOU27" s="433"/>
      <c r="LOV27" s="433"/>
      <c r="LOW27" s="433"/>
      <c r="LOX27" s="433"/>
      <c r="LOY27" s="433"/>
      <c r="LOZ27" s="433"/>
      <c r="LPA27" s="433"/>
      <c r="LPB27" s="433"/>
      <c r="LPC27" s="433"/>
      <c r="LPD27" s="1037"/>
      <c r="LPE27" s="1438"/>
      <c r="LPF27" s="433"/>
      <c r="LPG27" s="433"/>
      <c r="LPH27" s="433"/>
      <c r="LPI27" s="433"/>
      <c r="LPJ27" s="433"/>
      <c r="LPK27" s="433"/>
      <c r="LPL27" s="433"/>
      <c r="LPM27" s="433"/>
      <c r="LPN27" s="433"/>
      <c r="LPO27" s="433"/>
      <c r="LPP27" s="1037"/>
      <c r="LPQ27" s="1438"/>
      <c r="LPR27" s="433"/>
      <c r="LPS27" s="433"/>
      <c r="LPT27" s="433"/>
      <c r="LPU27" s="433"/>
      <c r="LPV27" s="433"/>
      <c r="LPW27" s="433"/>
      <c r="LPX27" s="433"/>
      <c r="LPY27" s="433"/>
      <c r="LPZ27" s="433"/>
      <c r="LQA27" s="433"/>
      <c r="LQB27" s="1037"/>
      <c r="LQC27" s="1438"/>
      <c r="LQD27" s="433"/>
      <c r="LQE27" s="433"/>
      <c r="LQF27" s="433"/>
      <c r="LQG27" s="433"/>
      <c r="LQH27" s="433"/>
      <c r="LQI27" s="433"/>
      <c r="LQJ27" s="433"/>
      <c r="LQK27" s="433"/>
      <c r="LQL27" s="433"/>
      <c r="LQM27" s="433"/>
      <c r="LQN27" s="1037"/>
      <c r="LQO27" s="1438"/>
      <c r="LQP27" s="433"/>
      <c r="LQQ27" s="433"/>
      <c r="LQR27" s="433"/>
      <c r="LQS27" s="433"/>
      <c r="LQT27" s="433"/>
      <c r="LQU27" s="433"/>
      <c r="LQV27" s="433"/>
      <c r="LQW27" s="433"/>
      <c r="LQX27" s="433"/>
      <c r="LQY27" s="433"/>
      <c r="LQZ27" s="1037"/>
      <c r="LRA27" s="1438"/>
      <c r="LRB27" s="433"/>
      <c r="LRC27" s="433"/>
      <c r="LRD27" s="433"/>
      <c r="LRE27" s="433"/>
      <c r="LRF27" s="433"/>
      <c r="LRG27" s="433"/>
      <c r="LRH27" s="433"/>
      <c r="LRI27" s="433"/>
      <c r="LRJ27" s="433"/>
      <c r="LRK27" s="433"/>
      <c r="LRL27" s="1037"/>
      <c r="LRM27" s="1438"/>
      <c r="LRN27" s="433"/>
      <c r="LRO27" s="433"/>
      <c r="LRP27" s="433"/>
      <c r="LRQ27" s="433"/>
      <c r="LRR27" s="433"/>
      <c r="LRS27" s="433"/>
      <c r="LRT27" s="433"/>
      <c r="LRU27" s="433"/>
      <c r="LRV27" s="433"/>
      <c r="LRW27" s="433"/>
      <c r="LRX27" s="1037"/>
      <c r="LRY27" s="1438"/>
      <c r="LRZ27" s="433"/>
      <c r="LSA27" s="433"/>
      <c r="LSB27" s="433"/>
      <c r="LSC27" s="433"/>
      <c r="LSD27" s="433"/>
      <c r="LSE27" s="433"/>
      <c r="LSF27" s="433"/>
      <c r="LSG27" s="433"/>
      <c r="LSH27" s="433"/>
      <c r="LSI27" s="433"/>
      <c r="LSJ27" s="1037"/>
      <c r="LSK27" s="1438"/>
      <c r="LSL27" s="433"/>
      <c r="LSM27" s="433"/>
      <c r="LSN27" s="433"/>
      <c r="LSO27" s="433"/>
      <c r="LSP27" s="433"/>
      <c r="LSQ27" s="433"/>
      <c r="LSR27" s="433"/>
      <c r="LSS27" s="433"/>
      <c r="LST27" s="433"/>
      <c r="LSU27" s="433"/>
      <c r="LSV27" s="1037"/>
      <c r="LSW27" s="1438"/>
      <c r="LSX27" s="433"/>
      <c r="LSY27" s="433"/>
      <c r="LSZ27" s="433"/>
      <c r="LTA27" s="433"/>
      <c r="LTB27" s="433"/>
      <c r="LTC27" s="433"/>
      <c r="LTD27" s="433"/>
      <c r="LTE27" s="433"/>
      <c r="LTF27" s="433"/>
      <c r="LTG27" s="433"/>
      <c r="LTH27" s="1037"/>
      <c r="LTI27" s="1438"/>
      <c r="LTJ27" s="433"/>
      <c r="LTK27" s="433"/>
      <c r="LTL27" s="433"/>
      <c r="LTM27" s="433"/>
      <c r="LTN27" s="433"/>
      <c r="LTO27" s="433"/>
      <c r="LTP27" s="433"/>
      <c r="LTQ27" s="433"/>
      <c r="LTR27" s="433"/>
      <c r="LTS27" s="433"/>
      <c r="LTT27" s="1037"/>
      <c r="LTU27" s="1438"/>
      <c r="LTV27" s="433"/>
      <c r="LTW27" s="433"/>
      <c r="LTX27" s="433"/>
      <c r="LTY27" s="433"/>
      <c r="LTZ27" s="433"/>
      <c r="LUA27" s="433"/>
      <c r="LUB27" s="433"/>
      <c r="LUC27" s="433"/>
      <c r="LUD27" s="433"/>
      <c r="LUE27" s="433"/>
      <c r="LUF27" s="1037"/>
      <c r="LUG27" s="1438"/>
      <c r="LUH27" s="433"/>
      <c r="LUI27" s="433"/>
      <c r="LUJ27" s="433"/>
      <c r="LUK27" s="433"/>
      <c r="LUL27" s="433"/>
      <c r="LUM27" s="433"/>
      <c r="LUN27" s="433"/>
      <c r="LUO27" s="433"/>
      <c r="LUP27" s="433"/>
      <c r="LUQ27" s="433"/>
      <c r="LUR27" s="1037"/>
      <c r="LUS27" s="1438"/>
      <c r="LUT27" s="433"/>
      <c r="LUU27" s="433"/>
      <c r="LUV27" s="433"/>
      <c r="LUW27" s="433"/>
      <c r="LUX27" s="433"/>
      <c r="LUY27" s="433"/>
      <c r="LUZ27" s="433"/>
      <c r="LVA27" s="433"/>
      <c r="LVB27" s="433"/>
      <c r="LVC27" s="433"/>
      <c r="LVD27" s="1037"/>
      <c r="LVE27" s="1438"/>
      <c r="LVF27" s="433"/>
      <c r="LVG27" s="433"/>
      <c r="LVH27" s="433"/>
      <c r="LVI27" s="433"/>
      <c r="LVJ27" s="433"/>
      <c r="LVK27" s="433"/>
      <c r="LVL27" s="433"/>
      <c r="LVM27" s="433"/>
      <c r="LVN27" s="433"/>
      <c r="LVO27" s="433"/>
      <c r="LVP27" s="1037"/>
      <c r="LVQ27" s="1438"/>
      <c r="LVR27" s="433"/>
      <c r="LVS27" s="433"/>
      <c r="LVT27" s="433"/>
      <c r="LVU27" s="433"/>
      <c r="LVV27" s="433"/>
      <c r="LVW27" s="433"/>
      <c r="LVX27" s="433"/>
      <c r="LVY27" s="433"/>
      <c r="LVZ27" s="433"/>
      <c r="LWA27" s="433"/>
      <c r="LWB27" s="1037"/>
      <c r="LWC27" s="1438"/>
      <c r="LWD27" s="433"/>
      <c r="LWE27" s="433"/>
      <c r="LWF27" s="433"/>
      <c r="LWG27" s="433"/>
      <c r="LWH27" s="433"/>
      <c r="LWI27" s="433"/>
      <c r="LWJ27" s="433"/>
      <c r="LWK27" s="433"/>
      <c r="LWL27" s="433"/>
      <c r="LWM27" s="433"/>
      <c r="LWN27" s="1037"/>
      <c r="LWO27" s="1438"/>
      <c r="LWP27" s="433"/>
      <c r="LWQ27" s="433"/>
      <c r="LWR27" s="433"/>
      <c r="LWS27" s="433"/>
      <c r="LWT27" s="433"/>
      <c r="LWU27" s="433"/>
      <c r="LWV27" s="433"/>
      <c r="LWW27" s="433"/>
      <c r="LWX27" s="433"/>
      <c r="LWY27" s="433"/>
      <c r="LWZ27" s="1037"/>
      <c r="LXA27" s="1438"/>
      <c r="LXB27" s="433"/>
      <c r="LXC27" s="433"/>
      <c r="LXD27" s="433"/>
      <c r="LXE27" s="433"/>
      <c r="LXF27" s="433"/>
      <c r="LXG27" s="433"/>
      <c r="LXH27" s="433"/>
      <c r="LXI27" s="433"/>
      <c r="LXJ27" s="433"/>
      <c r="LXK27" s="433"/>
      <c r="LXL27" s="1037"/>
      <c r="LXM27" s="1438"/>
      <c r="LXN27" s="433"/>
      <c r="LXO27" s="433"/>
      <c r="LXP27" s="433"/>
      <c r="LXQ27" s="433"/>
      <c r="LXR27" s="433"/>
      <c r="LXS27" s="433"/>
      <c r="LXT27" s="433"/>
      <c r="LXU27" s="433"/>
      <c r="LXV27" s="433"/>
      <c r="LXW27" s="433"/>
      <c r="LXX27" s="1037"/>
      <c r="LXY27" s="1438"/>
      <c r="LXZ27" s="433"/>
      <c r="LYA27" s="433"/>
      <c r="LYB27" s="433"/>
      <c r="LYC27" s="433"/>
      <c r="LYD27" s="433"/>
      <c r="LYE27" s="433"/>
      <c r="LYF27" s="433"/>
      <c r="LYG27" s="433"/>
      <c r="LYH27" s="433"/>
      <c r="LYI27" s="433"/>
      <c r="LYJ27" s="1037"/>
      <c r="LYK27" s="1438"/>
      <c r="LYL27" s="433"/>
      <c r="LYM27" s="433"/>
      <c r="LYN27" s="433"/>
      <c r="LYO27" s="433"/>
      <c r="LYP27" s="433"/>
      <c r="LYQ27" s="433"/>
      <c r="LYR27" s="433"/>
      <c r="LYS27" s="433"/>
      <c r="LYT27" s="433"/>
      <c r="LYU27" s="433"/>
      <c r="LYV27" s="1037"/>
      <c r="LYW27" s="1438"/>
      <c r="LYX27" s="433"/>
      <c r="LYY27" s="433"/>
      <c r="LYZ27" s="433"/>
      <c r="LZA27" s="433"/>
      <c r="LZB27" s="433"/>
      <c r="LZC27" s="433"/>
      <c r="LZD27" s="433"/>
      <c r="LZE27" s="433"/>
      <c r="LZF27" s="433"/>
      <c r="LZG27" s="433"/>
      <c r="LZH27" s="1037"/>
      <c r="LZI27" s="1438"/>
      <c r="LZJ27" s="433"/>
      <c r="LZK27" s="433"/>
      <c r="LZL27" s="433"/>
      <c r="LZM27" s="433"/>
      <c r="LZN27" s="433"/>
      <c r="LZO27" s="433"/>
      <c r="LZP27" s="433"/>
      <c r="LZQ27" s="433"/>
      <c r="LZR27" s="433"/>
      <c r="LZS27" s="433"/>
      <c r="LZT27" s="1037"/>
      <c r="LZU27" s="1438"/>
      <c r="LZV27" s="433"/>
      <c r="LZW27" s="433"/>
      <c r="LZX27" s="433"/>
      <c r="LZY27" s="433"/>
      <c r="LZZ27" s="433"/>
      <c r="MAA27" s="433"/>
      <c r="MAB27" s="433"/>
      <c r="MAC27" s="433"/>
      <c r="MAD27" s="433"/>
      <c r="MAE27" s="433"/>
      <c r="MAF27" s="1037"/>
      <c r="MAG27" s="1438"/>
      <c r="MAH27" s="433"/>
      <c r="MAI27" s="433"/>
      <c r="MAJ27" s="433"/>
      <c r="MAK27" s="433"/>
      <c r="MAL27" s="433"/>
      <c r="MAM27" s="433"/>
      <c r="MAN27" s="433"/>
      <c r="MAO27" s="433"/>
      <c r="MAP27" s="433"/>
      <c r="MAQ27" s="433"/>
      <c r="MAR27" s="1037"/>
      <c r="MAS27" s="1438"/>
      <c r="MAT27" s="433"/>
      <c r="MAU27" s="433"/>
      <c r="MAV27" s="433"/>
      <c r="MAW27" s="433"/>
      <c r="MAX27" s="433"/>
      <c r="MAY27" s="433"/>
      <c r="MAZ27" s="433"/>
      <c r="MBA27" s="433"/>
      <c r="MBB27" s="433"/>
      <c r="MBC27" s="433"/>
      <c r="MBD27" s="1037"/>
      <c r="MBE27" s="1438"/>
      <c r="MBF27" s="433"/>
      <c r="MBG27" s="433"/>
      <c r="MBH27" s="433"/>
      <c r="MBI27" s="433"/>
      <c r="MBJ27" s="433"/>
      <c r="MBK27" s="433"/>
      <c r="MBL27" s="433"/>
      <c r="MBM27" s="433"/>
      <c r="MBN27" s="433"/>
      <c r="MBO27" s="433"/>
      <c r="MBP27" s="1037"/>
      <c r="MBQ27" s="1438"/>
      <c r="MBR27" s="433"/>
      <c r="MBS27" s="433"/>
      <c r="MBT27" s="433"/>
      <c r="MBU27" s="433"/>
      <c r="MBV27" s="433"/>
      <c r="MBW27" s="433"/>
      <c r="MBX27" s="433"/>
      <c r="MBY27" s="433"/>
      <c r="MBZ27" s="433"/>
      <c r="MCA27" s="433"/>
      <c r="MCB27" s="1037"/>
      <c r="MCC27" s="1438"/>
      <c r="MCD27" s="433"/>
      <c r="MCE27" s="433"/>
      <c r="MCF27" s="433"/>
      <c r="MCG27" s="433"/>
      <c r="MCH27" s="433"/>
      <c r="MCI27" s="433"/>
      <c r="MCJ27" s="433"/>
      <c r="MCK27" s="433"/>
      <c r="MCL27" s="433"/>
      <c r="MCM27" s="433"/>
      <c r="MCN27" s="1037"/>
      <c r="MCO27" s="1438"/>
      <c r="MCP27" s="433"/>
      <c r="MCQ27" s="433"/>
      <c r="MCR27" s="433"/>
      <c r="MCS27" s="433"/>
      <c r="MCT27" s="433"/>
      <c r="MCU27" s="433"/>
      <c r="MCV27" s="433"/>
      <c r="MCW27" s="433"/>
      <c r="MCX27" s="433"/>
      <c r="MCY27" s="433"/>
      <c r="MCZ27" s="1037"/>
      <c r="MDA27" s="1438"/>
      <c r="MDB27" s="433"/>
      <c r="MDC27" s="433"/>
      <c r="MDD27" s="433"/>
      <c r="MDE27" s="433"/>
      <c r="MDF27" s="433"/>
      <c r="MDG27" s="433"/>
      <c r="MDH27" s="433"/>
      <c r="MDI27" s="433"/>
      <c r="MDJ27" s="433"/>
      <c r="MDK27" s="433"/>
      <c r="MDL27" s="1037"/>
      <c r="MDM27" s="1438"/>
      <c r="MDN27" s="433"/>
      <c r="MDO27" s="433"/>
      <c r="MDP27" s="433"/>
      <c r="MDQ27" s="433"/>
      <c r="MDR27" s="433"/>
      <c r="MDS27" s="433"/>
      <c r="MDT27" s="433"/>
      <c r="MDU27" s="433"/>
      <c r="MDV27" s="433"/>
      <c r="MDW27" s="433"/>
      <c r="MDX27" s="1037"/>
      <c r="MDY27" s="1438"/>
      <c r="MDZ27" s="433"/>
      <c r="MEA27" s="433"/>
      <c r="MEB27" s="433"/>
      <c r="MEC27" s="433"/>
      <c r="MED27" s="433"/>
      <c r="MEE27" s="433"/>
      <c r="MEF27" s="433"/>
      <c r="MEG27" s="433"/>
      <c r="MEH27" s="433"/>
      <c r="MEI27" s="433"/>
      <c r="MEJ27" s="1037"/>
      <c r="MEK27" s="1438"/>
      <c r="MEL27" s="433"/>
      <c r="MEM27" s="433"/>
      <c r="MEN27" s="433"/>
      <c r="MEO27" s="433"/>
      <c r="MEP27" s="433"/>
      <c r="MEQ27" s="433"/>
      <c r="MER27" s="433"/>
      <c r="MES27" s="433"/>
      <c r="MET27" s="433"/>
      <c r="MEU27" s="433"/>
      <c r="MEV27" s="1037"/>
      <c r="MEW27" s="1438"/>
      <c r="MEX27" s="433"/>
      <c r="MEY27" s="433"/>
      <c r="MEZ27" s="433"/>
      <c r="MFA27" s="433"/>
      <c r="MFB27" s="433"/>
      <c r="MFC27" s="433"/>
      <c r="MFD27" s="433"/>
      <c r="MFE27" s="433"/>
      <c r="MFF27" s="433"/>
      <c r="MFG27" s="433"/>
      <c r="MFH27" s="1037"/>
      <c r="MFI27" s="1438"/>
      <c r="MFJ27" s="433"/>
      <c r="MFK27" s="433"/>
      <c r="MFL27" s="433"/>
      <c r="MFM27" s="433"/>
      <c r="MFN27" s="433"/>
      <c r="MFO27" s="433"/>
      <c r="MFP27" s="433"/>
      <c r="MFQ27" s="433"/>
      <c r="MFR27" s="433"/>
      <c r="MFS27" s="433"/>
      <c r="MFT27" s="1037"/>
      <c r="MFU27" s="1438"/>
      <c r="MFV27" s="433"/>
      <c r="MFW27" s="433"/>
      <c r="MFX27" s="433"/>
      <c r="MFY27" s="433"/>
      <c r="MFZ27" s="433"/>
      <c r="MGA27" s="433"/>
      <c r="MGB27" s="433"/>
      <c r="MGC27" s="433"/>
      <c r="MGD27" s="433"/>
      <c r="MGE27" s="433"/>
      <c r="MGF27" s="1037"/>
      <c r="MGG27" s="1438"/>
      <c r="MGH27" s="433"/>
      <c r="MGI27" s="433"/>
      <c r="MGJ27" s="433"/>
      <c r="MGK27" s="433"/>
      <c r="MGL27" s="433"/>
      <c r="MGM27" s="433"/>
      <c r="MGN27" s="433"/>
      <c r="MGO27" s="433"/>
      <c r="MGP27" s="433"/>
      <c r="MGQ27" s="433"/>
      <c r="MGR27" s="1037"/>
      <c r="MGS27" s="1438"/>
      <c r="MGT27" s="433"/>
      <c r="MGU27" s="433"/>
      <c r="MGV27" s="433"/>
      <c r="MGW27" s="433"/>
      <c r="MGX27" s="433"/>
      <c r="MGY27" s="433"/>
      <c r="MGZ27" s="433"/>
      <c r="MHA27" s="433"/>
      <c r="MHB27" s="433"/>
      <c r="MHC27" s="433"/>
      <c r="MHD27" s="1037"/>
      <c r="MHE27" s="1438"/>
      <c r="MHF27" s="433"/>
      <c r="MHG27" s="433"/>
      <c r="MHH27" s="433"/>
      <c r="MHI27" s="433"/>
      <c r="MHJ27" s="433"/>
      <c r="MHK27" s="433"/>
      <c r="MHL27" s="433"/>
      <c r="MHM27" s="433"/>
      <c r="MHN27" s="433"/>
      <c r="MHO27" s="433"/>
      <c r="MHP27" s="1037"/>
      <c r="MHQ27" s="1438"/>
      <c r="MHR27" s="433"/>
      <c r="MHS27" s="433"/>
      <c r="MHT27" s="433"/>
      <c r="MHU27" s="433"/>
      <c r="MHV27" s="433"/>
      <c r="MHW27" s="433"/>
      <c r="MHX27" s="433"/>
      <c r="MHY27" s="433"/>
      <c r="MHZ27" s="433"/>
      <c r="MIA27" s="433"/>
      <c r="MIB27" s="1037"/>
      <c r="MIC27" s="1438"/>
      <c r="MID27" s="433"/>
      <c r="MIE27" s="433"/>
      <c r="MIF27" s="433"/>
      <c r="MIG27" s="433"/>
      <c r="MIH27" s="433"/>
      <c r="MII27" s="433"/>
      <c r="MIJ27" s="433"/>
      <c r="MIK27" s="433"/>
      <c r="MIL27" s="433"/>
      <c r="MIM27" s="433"/>
      <c r="MIN27" s="1037"/>
      <c r="MIO27" s="1438"/>
      <c r="MIP27" s="433"/>
      <c r="MIQ27" s="433"/>
      <c r="MIR27" s="433"/>
      <c r="MIS27" s="433"/>
      <c r="MIT27" s="433"/>
      <c r="MIU27" s="433"/>
      <c r="MIV27" s="433"/>
      <c r="MIW27" s="433"/>
      <c r="MIX27" s="433"/>
      <c r="MIY27" s="433"/>
      <c r="MIZ27" s="1037"/>
      <c r="MJA27" s="1438"/>
      <c r="MJB27" s="433"/>
      <c r="MJC27" s="433"/>
      <c r="MJD27" s="433"/>
      <c r="MJE27" s="433"/>
      <c r="MJF27" s="433"/>
      <c r="MJG27" s="433"/>
      <c r="MJH27" s="433"/>
      <c r="MJI27" s="433"/>
      <c r="MJJ27" s="433"/>
      <c r="MJK27" s="433"/>
      <c r="MJL27" s="1037"/>
      <c r="MJM27" s="1438"/>
      <c r="MJN27" s="433"/>
      <c r="MJO27" s="433"/>
      <c r="MJP27" s="433"/>
      <c r="MJQ27" s="433"/>
      <c r="MJR27" s="433"/>
      <c r="MJS27" s="433"/>
      <c r="MJT27" s="433"/>
      <c r="MJU27" s="433"/>
      <c r="MJV27" s="433"/>
      <c r="MJW27" s="433"/>
      <c r="MJX27" s="1037"/>
      <c r="MJY27" s="1438"/>
      <c r="MJZ27" s="433"/>
      <c r="MKA27" s="433"/>
      <c r="MKB27" s="433"/>
      <c r="MKC27" s="433"/>
      <c r="MKD27" s="433"/>
      <c r="MKE27" s="433"/>
      <c r="MKF27" s="433"/>
      <c r="MKG27" s="433"/>
      <c r="MKH27" s="433"/>
      <c r="MKI27" s="433"/>
      <c r="MKJ27" s="1037"/>
      <c r="MKK27" s="1438"/>
      <c r="MKL27" s="433"/>
      <c r="MKM27" s="433"/>
      <c r="MKN27" s="433"/>
      <c r="MKO27" s="433"/>
      <c r="MKP27" s="433"/>
      <c r="MKQ27" s="433"/>
      <c r="MKR27" s="433"/>
      <c r="MKS27" s="433"/>
      <c r="MKT27" s="433"/>
      <c r="MKU27" s="433"/>
      <c r="MKV27" s="1037"/>
      <c r="MKW27" s="1438"/>
      <c r="MKX27" s="433"/>
      <c r="MKY27" s="433"/>
      <c r="MKZ27" s="433"/>
      <c r="MLA27" s="433"/>
      <c r="MLB27" s="433"/>
      <c r="MLC27" s="433"/>
      <c r="MLD27" s="433"/>
      <c r="MLE27" s="433"/>
      <c r="MLF27" s="433"/>
      <c r="MLG27" s="433"/>
      <c r="MLH27" s="1037"/>
      <c r="MLI27" s="1438"/>
      <c r="MLJ27" s="433"/>
      <c r="MLK27" s="433"/>
      <c r="MLL27" s="433"/>
      <c r="MLM27" s="433"/>
      <c r="MLN27" s="433"/>
      <c r="MLO27" s="433"/>
      <c r="MLP27" s="433"/>
      <c r="MLQ27" s="433"/>
      <c r="MLR27" s="433"/>
      <c r="MLS27" s="433"/>
      <c r="MLT27" s="1037"/>
      <c r="MLU27" s="1438"/>
      <c r="MLV27" s="433"/>
      <c r="MLW27" s="433"/>
      <c r="MLX27" s="433"/>
      <c r="MLY27" s="433"/>
      <c r="MLZ27" s="433"/>
      <c r="MMA27" s="433"/>
      <c r="MMB27" s="433"/>
      <c r="MMC27" s="433"/>
      <c r="MMD27" s="433"/>
      <c r="MME27" s="433"/>
      <c r="MMF27" s="1037"/>
      <c r="MMG27" s="1438"/>
      <c r="MMH27" s="433"/>
      <c r="MMI27" s="433"/>
      <c r="MMJ27" s="433"/>
      <c r="MMK27" s="433"/>
      <c r="MML27" s="433"/>
      <c r="MMM27" s="433"/>
      <c r="MMN27" s="433"/>
      <c r="MMO27" s="433"/>
      <c r="MMP27" s="433"/>
      <c r="MMQ27" s="433"/>
      <c r="MMR27" s="1037"/>
      <c r="MMS27" s="1438"/>
      <c r="MMT27" s="433"/>
      <c r="MMU27" s="433"/>
      <c r="MMV27" s="433"/>
      <c r="MMW27" s="433"/>
      <c r="MMX27" s="433"/>
      <c r="MMY27" s="433"/>
      <c r="MMZ27" s="433"/>
      <c r="MNA27" s="433"/>
      <c r="MNB27" s="433"/>
      <c r="MNC27" s="433"/>
      <c r="MND27" s="1037"/>
      <c r="MNE27" s="1438"/>
      <c r="MNF27" s="433"/>
      <c r="MNG27" s="433"/>
      <c r="MNH27" s="433"/>
      <c r="MNI27" s="433"/>
      <c r="MNJ27" s="433"/>
      <c r="MNK27" s="433"/>
      <c r="MNL27" s="433"/>
      <c r="MNM27" s="433"/>
      <c r="MNN27" s="433"/>
      <c r="MNO27" s="433"/>
      <c r="MNP27" s="1037"/>
      <c r="MNQ27" s="1438"/>
      <c r="MNR27" s="433"/>
      <c r="MNS27" s="433"/>
      <c r="MNT27" s="433"/>
      <c r="MNU27" s="433"/>
      <c r="MNV27" s="433"/>
      <c r="MNW27" s="433"/>
      <c r="MNX27" s="433"/>
      <c r="MNY27" s="433"/>
      <c r="MNZ27" s="433"/>
      <c r="MOA27" s="433"/>
      <c r="MOB27" s="1037"/>
      <c r="MOC27" s="1438"/>
      <c r="MOD27" s="433"/>
      <c r="MOE27" s="433"/>
      <c r="MOF27" s="433"/>
      <c r="MOG27" s="433"/>
      <c r="MOH27" s="433"/>
      <c r="MOI27" s="433"/>
      <c r="MOJ27" s="433"/>
      <c r="MOK27" s="433"/>
      <c r="MOL27" s="433"/>
      <c r="MOM27" s="433"/>
      <c r="MON27" s="1037"/>
      <c r="MOO27" s="1438"/>
      <c r="MOP27" s="433"/>
      <c r="MOQ27" s="433"/>
      <c r="MOR27" s="433"/>
      <c r="MOS27" s="433"/>
      <c r="MOT27" s="433"/>
      <c r="MOU27" s="433"/>
      <c r="MOV27" s="433"/>
      <c r="MOW27" s="433"/>
      <c r="MOX27" s="433"/>
      <c r="MOY27" s="433"/>
      <c r="MOZ27" s="1037"/>
      <c r="MPA27" s="1438"/>
      <c r="MPB27" s="433"/>
      <c r="MPC27" s="433"/>
      <c r="MPD27" s="433"/>
      <c r="MPE27" s="433"/>
      <c r="MPF27" s="433"/>
      <c r="MPG27" s="433"/>
      <c r="MPH27" s="433"/>
      <c r="MPI27" s="433"/>
      <c r="MPJ27" s="433"/>
      <c r="MPK27" s="433"/>
      <c r="MPL27" s="1037"/>
      <c r="MPM27" s="1438"/>
      <c r="MPN27" s="433"/>
      <c r="MPO27" s="433"/>
      <c r="MPP27" s="433"/>
      <c r="MPQ27" s="433"/>
      <c r="MPR27" s="433"/>
      <c r="MPS27" s="433"/>
      <c r="MPT27" s="433"/>
      <c r="MPU27" s="433"/>
      <c r="MPV27" s="433"/>
      <c r="MPW27" s="433"/>
      <c r="MPX27" s="1037"/>
      <c r="MPY27" s="1438"/>
      <c r="MPZ27" s="433"/>
      <c r="MQA27" s="433"/>
      <c r="MQB27" s="433"/>
      <c r="MQC27" s="433"/>
      <c r="MQD27" s="433"/>
      <c r="MQE27" s="433"/>
      <c r="MQF27" s="433"/>
      <c r="MQG27" s="433"/>
      <c r="MQH27" s="433"/>
      <c r="MQI27" s="433"/>
      <c r="MQJ27" s="1037"/>
      <c r="MQK27" s="1438"/>
      <c r="MQL27" s="433"/>
      <c r="MQM27" s="433"/>
      <c r="MQN27" s="433"/>
      <c r="MQO27" s="433"/>
      <c r="MQP27" s="433"/>
      <c r="MQQ27" s="433"/>
      <c r="MQR27" s="433"/>
      <c r="MQS27" s="433"/>
      <c r="MQT27" s="433"/>
      <c r="MQU27" s="433"/>
      <c r="MQV27" s="1037"/>
      <c r="MQW27" s="1438"/>
      <c r="MQX27" s="433"/>
      <c r="MQY27" s="433"/>
      <c r="MQZ27" s="433"/>
      <c r="MRA27" s="433"/>
      <c r="MRB27" s="433"/>
      <c r="MRC27" s="433"/>
      <c r="MRD27" s="433"/>
      <c r="MRE27" s="433"/>
      <c r="MRF27" s="433"/>
      <c r="MRG27" s="433"/>
      <c r="MRH27" s="1037"/>
      <c r="MRI27" s="1438"/>
      <c r="MRJ27" s="433"/>
      <c r="MRK27" s="433"/>
      <c r="MRL27" s="433"/>
      <c r="MRM27" s="433"/>
      <c r="MRN27" s="433"/>
      <c r="MRO27" s="433"/>
      <c r="MRP27" s="433"/>
      <c r="MRQ27" s="433"/>
      <c r="MRR27" s="433"/>
      <c r="MRS27" s="433"/>
      <c r="MRT27" s="1037"/>
      <c r="MRU27" s="1438"/>
      <c r="MRV27" s="433"/>
      <c r="MRW27" s="433"/>
      <c r="MRX27" s="433"/>
      <c r="MRY27" s="433"/>
      <c r="MRZ27" s="433"/>
      <c r="MSA27" s="433"/>
      <c r="MSB27" s="433"/>
      <c r="MSC27" s="433"/>
      <c r="MSD27" s="433"/>
      <c r="MSE27" s="433"/>
      <c r="MSF27" s="1037"/>
      <c r="MSG27" s="1438"/>
      <c r="MSH27" s="433"/>
      <c r="MSI27" s="433"/>
      <c r="MSJ27" s="433"/>
      <c r="MSK27" s="433"/>
      <c r="MSL27" s="433"/>
      <c r="MSM27" s="433"/>
      <c r="MSN27" s="433"/>
      <c r="MSO27" s="433"/>
      <c r="MSP27" s="433"/>
      <c r="MSQ27" s="433"/>
      <c r="MSR27" s="1037"/>
      <c r="MSS27" s="1438"/>
      <c r="MST27" s="433"/>
      <c r="MSU27" s="433"/>
      <c r="MSV27" s="433"/>
      <c r="MSW27" s="433"/>
      <c r="MSX27" s="433"/>
      <c r="MSY27" s="433"/>
      <c r="MSZ27" s="433"/>
      <c r="MTA27" s="433"/>
      <c r="MTB27" s="433"/>
      <c r="MTC27" s="433"/>
      <c r="MTD27" s="1037"/>
      <c r="MTE27" s="1438"/>
      <c r="MTF27" s="433"/>
      <c r="MTG27" s="433"/>
      <c r="MTH27" s="433"/>
      <c r="MTI27" s="433"/>
      <c r="MTJ27" s="433"/>
      <c r="MTK27" s="433"/>
      <c r="MTL27" s="433"/>
      <c r="MTM27" s="433"/>
      <c r="MTN27" s="433"/>
      <c r="MTO27" s="433"/>
      <c r="MTP27" s="1037"/>
      <c r="MTQ27" s="1438"/>
      <c r="MTR27" s="433"/>
      <c r="MTS27" s="433"/>
      <c r="MTT27" s="433"/>
      <c r="MTU27" s="433"/>
      <c r="MTV27" s="433"/>
      <c r="MTW27" s="433"/>
      <c r="MTX27" s="433"/>
      <c r="MTY27" s="433"/>
      <c r="MTZ27" s="433"/>
      <c r="MUA27" s="433"/>
      <c r="MUB27" s="1037"/>
      <c r="MUC27" s="1438"/>
      <c r="MUD27" s="433"/>
      <c r="MUE27" s="433"/>
      <c r="MUF27" s="433"/>
      <c r="MUG27" s="433"/>
      <c r="MUH27" s="433"/>
      <c r="MUI27" s="433"/>
      <c r="MUJ27" s="433"/>
      <c r="MUK27" s="433"/>
      <c r="MUL27" s="433"/>
      <c r="MUM27" s="433"/>
      <c r="MUN27" s="1037"/>
      <c r="MUO27" s="1438"/>
      <c r="MUP27" s="433"/>
      <c r="MUQ27" s="433"/>
      <c r="MUR27" s="433"/>
      <c r="MUS27" s="433"/>
      <c r="MUT27" s="433"/>
      <c r="MUU27" s="433"/>
      <c r="MUV27" s="433"/>
      <c r="MUW27" s="433"/>
      <c r="MUX27" s="433"/>
      <c r="MUY27" s="433"/>
      <c r="MUZ27" s="1037"/>
      <c r="MVA27" s="1438"/>
      <c r="MVB27" s="433"/>
      <c r="MVC27" s="433"/>
      <c r="MVD27" s="433"/>
      <c r="MVE27" s="433"/>
      <c r="MVF27" s="433"/>
      <c r="MVG27" s="433"/>
      <c r="MVH27" s="433"/>
      <c r="MVI27" s="433"/>
      <c r="MVJ27" s="433"/>
      <c r="MVK27" s="433"/>
      <c r="MVL27" s="1037"/>
      <c r="MVM27" s="1438"/>
      <c r="MVN27" s="433"/>
      <c r="MVO27" s="433"/>
      <c r="MVP27" s="433"/>
      <c r="MVQ27" s="433"/>
      <c r="MVR27" s="433"/>
      <c r="MVS27" s="433"/>
      <c r="MVT27" s="433"/>
      <c r="MVU27" s="433"/>
      <c r="MVV27" s="433"/>
      <c r="MVW27" s="433"/>
      <c r="MVX27" s="1037"/>
      <c r="MVY27" s="1438"/>
      <c r="MVZ27" s="433"/>
      <c r="MWA27" s="433"/>
      <c r="MWB27" s="433"/>
      <c r="MWC27" s="433"/>
      <c r="MWD27" s="433"/>
      <c r="MWE27" s="433"/>
      <c r="MWF27" s="433"/>
      <c r="MWG27" s="433"/>
      <c r="MWH27" s="433"/>
      <c r="MWI27" s="433"/>
      <c r="MWJ27" s="1037"/>
      <c r="MWK27" s="1438"/>
      <c r="MWL27" s="433"/>
      <c r="MWM27" s="433"/>
      <c r="MWN27" s="433"/>
      <c r="MWO27" s="433"/>
      <c r="MWP27" s="433"/>
      <c r="MWQ27" s="433"/>
      <c r="MWR27" s="433"/>
      <c r="MWS27" s="433"/>
      <c r="MWT27" s="433"/>
      <c r="MWU27" s="433"/>
      <c r="MWV27" s="1037"/>
      <c r="MWW27" s="1438"/>
      <c r="MWX27" s="433"/>
      <c r="MWY27" s="433"/>
      <c r="MWZ27" s="433"/>
      <c r="MXA27" s="433"/>
      <c r="MXB27" s="433"/>
      <c r="MXC27" s="433"/>
      <c r="MXD27" s="433"/>
      <c r="MXE27" s="433"/>
      <c r="MXF27" s="433"/>
      <c r="MXG27" s="433"/>
      <c r="MXH27" s="1037"/>
      <c r="MXI27" s="1438"/>
      <c r="MXJ27" s="433"/>
      <c r="MXK27" s="433"/>
      <c r="MXL27" s="433"/>
      <c r="MXM27" s="433"/>
      <c r="MXN27" s="433"/>
      <c r="MXO27" s="433"/>
      <c r="MXP27" s="433"/>
      <c r="MXQ27" s="433"/>
      <c r="MXR27" s="433"/>
      <c r="MXS27" s="433"/>
      <c r="MXT27" s="1037"/>
      <c r="MXU27" s="1438"/>
      <c r="MXV27" s="433"/>
      <c r="MXW27" s="433"/>
      <c r="MXX27" s="433"/>
      <c r="MXY27" s="433"/>
      <c r="MXZ27" s="433"/>
      <c r="MYA27" s="433"/>
      <c r="MYB27" s="433"/>
      <c r="MYC27" s="433"/>
      <c r="MYD27" s="433"/>
      <c r="MYE27" s="433"/>
      <c r="MYF27" s="1037"/>
      <c r="MYG27" s="1438"/>
      <c r="MYH27" s="433"/>
      <c r="MYI27" s="433"/>
      <c r="MYJ27" s="433"/>
      <c r="MYK27" s="433"/>
      <c r="MYL27" s="433"/>
      <c r="MYM27" s="433"/>
      <c r="MYN27" s="433"/>
      <c r="MYO27" s="433"/>
      <c r="MYP27" s="433"/>
      <c r="MYQ27" s="433"/>
      <c r="MYR27" s="1037"/>
      <c r="MYS27" s="1438"/>
      <c r="MYT27" s="433"/>
      <c r="MYU27" s="433"/>
      <c r="MYV27" s="433"/>
      <c r="MYW27" s="433"/>
      <c r="MYX27" s="433"/>
      <c r="MYY27" s="433"/>
      <c r="MYZ27" s="433"/>
      <c r="MZA27" s="433"/>
      <c r="MZB27" s="433"/>
      <c r="MZC27" s="433"/>
      <c r="MZD27" s="1037"/>
      <c r="MZE27" s="1438"/>
      <c r="MZF27" s="433"/>
      <c r="MZG27" s="433"/>
      <c r="MZH27" s="433"/>
      <c r="MZI27" s="433"/>
      <c r="MZJ27" s="433"/>
      <c r="MZK27" s="433"/>
      <c r="MZL27" s="433"/>
      <c r="MZM27" s="433"/>
      <c r="MZN27" s="433"/>
      <c r="MZO27" s="433"/>
      <c r="MZP27" s="1037"/>
      <c r="MZQ27" s="1438"/>
      <c r="MZR27" s="433"/>
      <c r="MZS27" s="433"/>
      <c r="MZT27" s="433"/>
      <c r="MZU27" s="433"/>
      <c r="MZV27" s="433"/>
      <c r="MZW27" s="433"/>
      <c r="MZX27" s="433"/>
      <c r="MZY27" s="433"/>
      <c r="MZZ27" s="433"/>
      <c r="NAA27" s="433"/>
      <c r="NAB27" s="1037"/>
      <c r="NAC27" s="1438"/>
      <c r="NAD27" s="433"/>
      <c r="NAE27" s="433"/>
      <c r="NAF27" s="433"/>
      <c r="NAG27" s="433"/>
      <c r="NAH27" s="433"/>
      <c r="NAI27" s="433"/>
      <c r="NAJ27" s="433"/>
      <c r="NAK27" s="433"/>
      <c r="NAL27" s="433"/>
      <c r="NAM27" s="433"/>
      <c r="NAN27" s="1037"/>
      <c r="NAO27" s="1438"/>
      <c r="NAP27" s="433"/>
      <c r="NAQ27" s="433"/>
      <c r="NAR27" s="433"/>
      <c r="NAS27" s="433"/>
      <c r="NAT27" s="433"/>
      <c r="NAU27" s="433"/>
      <c r="NAV27" s="433"/>
      <c r="NAW27" s="433"/>
      <c r="NAX27" s="433"/>
      <c r="NAY27" s="433"/>
      <c r="NAZ27" s="1037"/>
      <c r="NBA27" s="1438"/>
      <c r="NBB27" s="433"/>
      <c r="NBC27" s="433"/>
      <c r="NBD27" s="433"/>
      <c r="NBE27" s="433"/>
      <c r="NBF27" s="433"/>
      <c r="NBG27" s="433"/>
      <c r="NBH27" s="433"/>
      <c r="NBI27" s="433"/>
      <c r="NBJ27" s="433"/>
      <c r="NBK27" s="433"/>
      <c r="NBL27" s="1037"/>
      <c r="NBM27" s="1438"/>
      <c r="NBN27" s="433"/>
      <c r="NBO27" s="433"/>
      <c r="NBP27" s="433"/>
      <c r="NBQ27" s="433"/>
      <c r="NBR27" s="433"/>
      <c r="NBS27" s="433"/>
      <c r="NBT27" s="433"/>
      <c r="NBU27" s="433"/>
      <c r="NBV27" s="433"/>
      <c r="NBW27" s="433"/>
      <c r="NBX27" s="1037"/>
      <c r="NBY27" s="1438"/>
      <c r="NBZ27" s="433"/>
      <c r="NCA27" s="433"/>
      <c r="NCB27" s="433"/>
      <c r="NCC27" s="433"/>
      <c r="NCD27" s="433"/>
      <c r="NCE27" s="433"/>
      <c r="NCF27" s="433"/>
      <c r="NCG27" s="433"/>
      <c r="NCH27" s="433"/>
      <c r="NCI27" s="433"/>
      <c r="NCJ27" s="1037"/>
      <c r="NCK27" s="1438"/>
      <c r="NCL27" s="433"/>
      <c r="NCM27" s="433"/>
      <c r="NCN27" s="433"/>
      <c r="NCO27" s="433"/>
      <c r="NCP27" s="433"/>
      <c r="NCQ27" s="433"/>
      <c r="NCR27" s="433"/>
      <c r="NCS27" s="433"/>
      <c r="NCT27" s="433"/>
      <c r="NCU27" s="433"/>
      <c r="NCV27" s="1037"/>
      <c r="NCW27" s="1438"/>
      <c r="NCX27" s="433"/>
      <c r="NCY27" s="433"/>
      <c r="NCZ27" s="433"/>
      <c r="NDA27" s="433"/>
      <c r="NDB27" s="433"/>
      <c r="NDC27" s="433"/>
      <c r="NDD27" s="433"/>
      <c r="NDE27" s="433"/>
      <c r="NDF27" s="433"/>
      <c r="NDG27" s="433"/>
      <c r="NDH27" s="1037"/>
      <c r="NDI27" s="1438"/>
      <c r="NDJ27" s="433"/>
      <c r="NDK27" s="433"/>
      <c r="NDL27" s="433"/>
      <c r="NDM27" s="433"/>
      <c r="NDN27" s="433"/>
      <c r="NDO27" s="433"/>
      <c r="NDP27" s="433"/>
      <c r="NDQ27" s="433"/>
      <c r="NDR27" s="433"/>
      <c r="NDS27" s="433"/>
      <c r="NDT27" s="1037"/>
      <c r="NDU27" s="1438"/>
      <c r="NDV27" s="433"/>
      <c r="NDW27" s="433"/>
      <c r="NDX27" s="433"/>
      <c r="NDY27" s="433"/>
      <c r="NDZ27" s="433"/>
      <c r="NEA27" s="433"/>
      <c r="NEB27" s="433"/>
      <c r="NEC27" s="433"/>
      <c r="NED27" s="433"/>
      <c r="NEE27" s="433"/>
      <c r="NEF27" s="1037"/>
      <c r="NEG27" s="1438"/>
      <c r="NEH27" s="433"/>
      <c r="NEI27" s="433"/>
      <c r="NEJ27" s="433"/>
      <c r="NEK27" s="433"/>
      <c r="NEL27" s="433"/>
      <c r="NEM27" s="433"/>
      <c r="NEN27" s="433"/>
      <c r="NEO27" s="433"/>
      <c r="NEP27" s="433"/>
      <c r="NEQ27" s="433"/>
      <c r="NER27" s="1037"/>
      <c r="NES27" s="1438"/>
      <c r="NET27" s="433"/>
      <c r="NEU27" s="433"/>
      <c r="NEV27" s="433"/>
      <c r="NEW27" s="433"/>
      <c r="NEX27" s="433"/>
      <c r="NEY27" s="433"/>
      <c r="NEZ27" s="433"/>
      <c r="NFA27" s="433"/>
      <c r="NFB27" s="433"/>
      <c r="NFC27" s="433"/>
      <c r="NFD27" s="1037"/>
      <c r="NFE27" s="1438"/>
      <c r="NFF27" s="433"/>
      <c r="NFG27" s="433"/>
      <c r="NFH27" s="433"/>
      <c r="NFI27" s="433"/>
      <c r="NFJ27" s="433"/>
      <c r="NFK27" s="433"/>
      <c r="NFL27" s="433"/>
      <c r="NFM27" s="433"/>
      <c r="NFN27" s="433"/>
      <c r="NFO27" s="433"/>
      <c r="NFP27" s="1037"/>
      <c r="NFQ27" s="1438"/>
      <c r="NFR27" s="433"/>
      <c r="NFS27" s="433"/>
      <c r="NFT27" s="433"/>
      <c r="NFU27" s="433"/>
      <c r="NFV27" s="433"/>
      <c r="NFW27" s="433"/>
      <c r="NFX27" s="433"/>
      <c r="NFY27" s="433"/>
      <c r="NFZ27" s="433"/>
      <c r="NGA27" s="433"/>
      <c r="NGB27" s="1037"/>
      <c r="NGC27" s="1438"/>
      <c r="NGD27" s="433"/>
      <c r="NGE27" s="433"/>
      <c r="NGF27" s="433"/>
      <c r="NGG27" s="433"/>
      <c r="NGH27" s="433"/>
      <c r="NGI27" s="433"/>
      <c r="NGJ27" s="433"/>
      <c r="NGK27" s="433"/>
      <c r="NGL27" s="433"/>
      <c r="NGM27" s="433"/>
      <c r="NGN27" s="1037"/>
      <c r="NGO27" s="1438"/>
      <c r="NGP27" s="433"/>
      <c r="NGQ27" s="433"/>
      <c r="NGR27" s="433"/>
      <c r="NGS27" s="433"/>
      <c r="NGT27" s="433"/>
      <c r="NGU27" s="433"/>
      <c r="NGV27" s="433"/>
      <c r="NGW27" s="433"/>
      <c r="NGX27" s="433"/>
      <c r="NGY27" s="433"/>
      <c r="NGZ27" s="1037"/>
      <c r="NHA27" s="1438"/>
      <c r="NHB27" s="433"/>
      <c r="NHC27" s="433"/>
      <c r="NHD27" s="433"/>
      <c r="NHE27" s="433"/>
      <c r="NHF27" s="433"/>
      <c r="NHG27" s="433"/>
      <c r="NHH27" s="433"/>
      <c r="NHI27" s="433"/>
      <c r="NHJ27" s="433"/>
      <c r="NHK27" s="433"/>
      <c r="NHL27" s="1037"/>
      <c r="NHM27" s="1438"/>
      <c r="NHN27" s="433"/>
      <c r="NHO27" s="433"/>
      <c r="NHP27" s="433"/>
      <c r="NHQ27" s="433"/>
      <c r="NHR27" s="433"/>
      <c r="NHS27" s="433"/>
      <c r="NHT27" s="433"/>
      <c r="NHU27" s="433"/>
      <c r="NHV27" s="433"/>
      <c r="NHW27" s="433"/>
      <c r="NHX27" s="1037"/>
      <c r="NHY27" s="1438"/>
      <c r="NHZ27" s="433"/>
      <c r="NIA27" s="433"/>
      <c r="NIB27" s="433"/>
      <c r="NIC27" s="433"/>
      <c r="NID27" s="433"/>
      <c r="NIE27" s="433"/>
      <c r="NIF27" s="433"/>
      <c r="NIG27" s="433"/>
      <c r="NIH27" s="433"/>
      <c r="NII27" s="433"/>
      <c r="NIJ27" s="1037"/>
      <c r="NIK27" s="1438"/>
      <c r="NIL27" s="433"/>
      <c r="NIM27" s="433"/>
      <c r="NIN27" s="433"/>
      <c r="NIO27" s="433"/>
      <c r="NIP27" s="433"/>
      <c r="NIQ27" s="433"/>
      <c r="NIR27" s="433"/>
      <c r="NIS27" s="433"/>
      <c r="NIT27" s="433"/>
      <c r="NIU27" s="433"/>
      <c r="NIV27" s="1037"/>
      <c r="NIW27" s="1438"/>
      <c r="NIX27" s="433"/>
      <c r="NIY27" s="433"/>
      <c r="NIZ27" s="433"/>
      <c r="NJA27" s="433"/>
      <c r="NJB27" s="433"/>
      <c r="NJC27" s="433"/>
      <c r="NJD27" s="433"/>
      <c r="NJE27" s="433"/>
      <c r="NJF27" s="433"/>
      <c r="NJG27" s="433"/>
      <c r="NJH27" s="1037"/>
      <c r="NJI27" s="1438"/>
      <c r="NJJ27" s="433"/>
      <c r="NJK27" s="433"/>
      <c r="NJL27" s="433"/>
      <c r="NJM27" s="433"/>
      <c r="NJN27" s="433"/>
      <c r="NJO27" s="433"/>
      <c r="NJP27" s="433"/>
      <c r="NJQ27" s="433"/>
      <c r="NJR27" s="433"/>
      <c r="NJS27" s="433"/>
      <c r="NJT27" s="1037"/>
      <c r="NJU27" s="1438"/>
      <c r="NJV27" s="433"/>
      <c r="NJW27" s="433"/>
      <c r="NJX27" s="433"/>
      <c r="NJY27" s="433"/>
      <c r="NJZ27" s="433"/>
      <c r="NKA27" s="433"/>
      <c r="NKB27" s="433"/>
      <c r="NKC27" s="433"/>
      <c r="NKD27" s="433"/>
      <c r="NKE27" s="433"/>
      <c r="NKF27" s="1037"/>
      <c r="NKG27" s="1438"/>
      <c r="NKH27" s="433"/>
      <c r="NKI27" s="433"/>
      <c r="NKJ27" s="433"/>
      <c r="NKK27" s="433"/>
      <c r="NKL27" s="433"/>
      <c r="NKM27" s="433"/>
      <c r="NKN27" s="433"/>
      <c r="NKO27" s="433"/>
      <c r="NKP27" s="433"/>
      <c r="NKQ27" s="433"/>
      <c r="NKR27" s="1037"/>
      <c r="NKS27" s="1438"/>
      <c r="NKT27" s="433"/>
      <c r="NKU27" s="433"/>
      <c r="NKV27" s="433"/>
      <c r="NKW27" s="433"/>
      <c r="NKX27" s="433"/>
      <c r="NKY27" s="433"/>
      <c r="NKZ27" s="433"/>
      <c r="NLA27" s="433"/>
      <c r="NLB27" s="433"/>
      <c r="NLC27" s="433"/>
      <c r="NLD27" s="1037"/>
      <c r="NLE27" s="1438"/>
      <c r="NLF27" s="433"/>
      <c r="NLG27" s="433"/>
      <c r="NLH27" s="433"/>
      <c r="NLI27" s="433"/>
      <c r="NLJ27" s="433"/>
      <c r="NLK27" s="433"/>
      <c r="NLL27" s="433"/>
      <c r="NLM27" s="433"/>
      <c r="NLN27" s="433"/>
      <c r="NLO27" s="433"/>
      <c r="NLP27" s="1037"/>
      <c r="NLQ27" s="1438"/>
      <c r="NLR27" s="433"/>
      <c r="NLS27" s="433"/>
      <c r="NLT27" s="433"/>
      <c r="NLU27" s="433"/>
      <c r="NLV27" s="433"/>
      <c r="NLW27" s="433"/>
      <c r="NLX27" s="433"/>
      <c r="NLY27" s="433"/>
      <c r="NLZ27" s="433"/>
      <c r="NMA27" s="433"/>
      <c r="NMB27" s="1037"/>
      <c r="NMC27" s="1438"/>
      <c r="NMD27" s="433"/>
      <c r="NME27" s="433"/>
      <c r="NMF27" s="433"/>
      <c r="NMG27" s="433"/>
      <c r="NMH27" s="433"/>
      <c r="NMI27" s="433"/>
      <c r="NMJ27" s="433"/>
      <c r="NMK27" s="433"/>
      <c r="NML27" s="433"/>
      <c r="NMM27" s="433"/>
      <c r="NMN27" s="1037"/>
      <c r="NMO27" s="1438"/>
      <c r="NMP27" s="433"/>
      <c r="NMQ27" s="433"/>
      <c r="NMR27" s="433"/>
      <c r="NMS27" s="433"/>
      <c r="NMT27" s="433"/>
      <c r="NMU27" s="433"/>
      <c r="NMV27" s="433"/>
      <c r="NMW27" s="433"/>
      <c r="NMX27" s="433"/>
      <c r="NMY27" s="433"/>
      <c r="NMZ27" s="1037"/>
      <c r="NNA27" s="1438"/>
      <c r="NNB27" s="433"/>
      <c r="NNC27" s="433"/>
      <c r="NND27" s="433"/>
      <c r="NNE27" s="433"/>
      <c r="NNF27" s="433"/>
      <c r="NNG27" s="433"/>
      <c r="NNH27" s="433"/>
      <c r="NNI27" s="433"/>
      <c r="NNJ27" s="433"/>
      <c r="NNK27" s="433"/>
      <c r="NNL27" s="1037"/>
      <c r="NNM27" s="1438"/>
      <c r="NNN27" s="433"/>
      <c r="NNO27" s="433"/>
      <c r="NNP27" s="433"/>
      <c r="NNQ27" s="433"/>
      <c r="NNR27" s="433"/>
      <c r="NNS27" s="433"/>
      <c r="NNT27" s="433"/>
      <c r="NNU27" s="433"/>
      <c r="NNV27" s="433"/>
      <c r="NNW27" s="433"/>
      <c r="NNX27" s="1037"/>
      <c r="NNY27" s="1438"/>
      <c r="NNZ27" s="433"/>
      <c r="NOA27" s="433"/>
      <c r="NOB27" s="433"/>
      <c r="NOC27" s="433"/>
      <c r="NOD27" s="433"/>
      <c r="NOE27" s="433"/>
      <c r="NOF27" s="433"/>
      <c r="NOG27" s="433"/>
      <c r="NOH27" s="433"/>
      <c r="NOI27" s="433"/>
      <c r="NOJ27" s="1037"/>
      <c r="NOK27" s="1438"/>
      <c r="NOL27" s="433"/>
      <c r="NOM27" s="433"/>
      <c r="NON27" s="433"/>
      <c r="NOO27" s="433"/>
      <c r="NOP27" s="433"/>
      <c r="NOQ27" s="433"/>
      <c r="NOR27" s="433"/>
      <c r="NOS27" s="433"/>
      <c r="NOT27" s="433"/>
      <c r="NOU27" s="433"/>
      <c r="NOV27" s="1037"/>
      <c r="NOW27" s="1438"/>
      <c r="NOX27" s="433"/>
      <c r="NOY27" s="433"/>
      <c r="NOZ27" s="433"/>
      <c r="NPA27" s="433"/>
      <c r="NPB27" s="433"/>
      <c r="NPC27" s="433"/>
      <c r="NPD27" s="433"/>
      <c r="NPE27" s="433"/>
      <c r="NPF27" s="433"/>
      <c r="NPG27" s="433"/>
      <c r="NPH27" s="1037"/>
      <c r="NPI27" s="1438"/>
      <c r="NPJ27" s="433"/>
      <c r="NPK27" s="433"/>
      <c r="NPL27" s="433"/>
      <c r="NPM27" s="433"/>
      <c r="NPN27" s="433"/>
      <c r="NPO27" s="433"/>
      <c r="NPP27" s="433"/>
      <c r="NPQ27" s="433"/>
      <c r="NPR27" s="433"/>
      <c r="NPS27" s="433"/>
      <c r="NPT27" s="1037"/>
      <c r="NPU27" s="1438"/>
      <c r="NPV27" s="433"/>
      <c r="NPW27" s="433"/>
      <c r="NPX27" s="433"/>
      <c r="NPY27" s="433"/>
      <c r="NPZ27" s="433"/>
      <c r="NQA27" s="433"/>
      <c r="NQB27" s="433"/>
      <c r="NQC27" s="433"/>
      <c r="NQD27" s="433"/>
      <c r="NQE27" s="433"/>
      <c r="NQF27" s="1037"/>
      <c r="NQG27" s="1438"/>
      <c r="NQH27" s="433"/>
      <c r="NQI27" s="433"/>
      <c r="NQJ27" s="433"/>
      <c r="NQK27" s="433"/>
      <c r="NQL27" s="433"/>
      <c r="NQM27" s="433"/>
      <c r="NQN27" s="433"/>
      <c r="NQO27" s="433"/>
      <c r="NQP27" s="433"/>
      <c r="NQQ27" s="433"/>
      <c r="NQR27" s="1037"/>
      <c r="NQS27" s="1438"/>
      <c r="NQT27" s="433"/>
      <c r="NQU27" s="433"/>
      <c r="NQV27" s="433"/>
      <c r="NQW27" s="433"/>
      <c r="NQX27" s="433"/>
      <c r="NQY27" s="433"/>
      <c r="NQZ27" s="433"/>
      <c r="NRA27" s="433"/>
      <c r="NRB27" s="433"/>
      <c r="NRC27" s="433"/>
      <c r="NRD27" s="1037"/>
      <c r="NRE27" s="1438"/>
      <c r="NRF27" s="433"/>
      <c r="NRG27" s="433"/>
      <c r="NRH27" s="433"/>
      <c r="NRI27" s="433"/>
      <c r="NRJ27" s="433"/>
      <c r="NRK27" s="433"/>
      <c r="NRL27" s="433"/>
      <c r="NRM27" s="433"/>
      <c r="NRN27" s="433"/>
      <c r="NRO27" s="433"/>
      <c r="NRP27" s="1037"/>
      <c r="NRQ27" s="1438"/>
      <c r="NRR27" s="433"/>
      <c r="NRS27" s="433"/>
      <c r="NRT27" s="433"/>
      <c r="NRU27" s="433"/>
      <c r="NRV27" s="433"/>
      <c r="NRW27" s="433"/>
      <c r="NRX27" s="433"/>
      <c r="NRY27" s="433"/>
      <c r="NRZ27" s="433"/>
      <c r="NSA27" s="433"/>
      <c r="NSB27" s="1037"/>
      <c r="NSC27" s="1438"/>
      <c r="NSD27" s="433"/>
      <c r="NSE27" s="433"/>
      <c r="NSF27" s="433"/>
      <c r="NSG27" s="433"/>
      <c r="NSH27" s="433"/>
      <c r="NSI27" s="433"/>
      <c r="NSJ27" s="433"/>
      <c r="NSK27" s="433"/>
      <c r="NSL27" s="433"/>
      <c r="NSM27" s="433"/>
      <c r="NSN27" s="1037"/>
      <c r="NSO27" s="1438"/>
      <c r="NSP27" s="433"/>
      <c r="NSQ27" s="433"/>
      <c r="NSR27" s="433"/>
      <c r="NSS27" s="433"/>
      <c r="NST27" s="433"/>
      <c r="NSU27" s="433"/>
      <c r="NSV27" s="433"/>
      <c r="NSW27" s="433"/>
      <c r="NSX27" s="433"/>
      <c r="NSY27" s="433"/>
      <c r="NSZ27" s="1037"/>
      <c r="NTA27" s="1438"/>
      <c r="NTB27" s="433"/>
      <c r="NTC27" s="433"/>
      <c r="NTD27" s="433"/>
      <c r="NTE27" s="433"/>
      <c r="NTF27" s="433"/>
      <c r="NTG27" s="433"/>
      <c r="NTH27" s="433"/>
      <c r="NTI27" s="433"/>
      <c r="NTJ27" s="433"/>
      <c r="NTK27" s="433"/>
      <c r="NTL27" s="1037"/>
      <c r="NTM27" s="1438"/>
      <c r="NTN27" s="433"/>
      <c r="NTO27" s="433"/>
      <c r="NTP27" s="433"/>
      <c r="NTQ27" s="433"/>
      <c r="NTR27" s="433"/>
      <c r="NTS27" s="433"/>
      <c r="NTT27" s="433"/>
      <c r="NTU27" s="433"/>
      <c r="NTV27" s="433"/>
      <c r="NTW27" s="433"/>
      <c r="NTX27" s="1037"/>
      <c r="NTY27" s="1438"/>
      <c r="NTZ27" s="433"/>
      <c r="NUA27" s="433"/>
      <c r="NUB27" s="433"/>
      <c r="NUC27" s="433"/>
      <c r="NUD27" s="433"/>
      <c r="NUE27" s="433"/>
      <c r="NUF27" s="433"/>
      <c r="NUG27" s="433"/>
      <c r="NUH27" s="433"/>
      <c r="NUI27" s="433"/>
      <c r="NUJ27" s="1037"/>
      <c r="NUK27" s="1438"/>
      <c r="NUL27" s="433"/>
      <c r="NUM27" s="433"/>
      <c r="NUN27" s="433"/>
      <c r="NUO27" s="433"/>
      <c r="NUP27" s="433"/>
      <c r="NUQ27" s="433"/>
      <c r="NUR27" s="433"/>
      <c r="NUS27" s="433"/>
      <c r="NUT27" s="433"/>
      <c r="NUU27" s="433"/>
      <c r="NUV27" s="1037"/>
      <c r="NUW27" s="1438"/>
      <c r="NUX27" s="433"/>
      <c r="NUY27" s="433"/>
      <c r="NUZ27" s="433"/>
      <c r="NVA27" s="433"/>
      <c r="NVB27" s="433"/>
      <c r="NVC27" s="433"/>
      <c r="NVD27" s="433"/>
      <c r="NVE27" s="433"/>
      <c r="NVF27" s="433"/>
      <c r="NVG27" s="433"/>
      <c r="NVH27" s="1037"/>
      <c r="NVI27" s="1438"/>
      <c r="NVJ27" s="433"/>
      <c r="NVK27" s="433"/>
      <c r="NVL27" s="433"/>
      <c r="NVM27" s="433"/>
      <c r="NVN27" s="433"/>
      <c r="NVO27" s="433"/>
      <c r="NVP27" s="433"/>
      <c r="NVQ27" s="433"/>
      <c r="NVR27" s="433"/>
      <c r="NVS27" s="433"/>
      <c r="NVT27" s="1037"/>
      <c r="NVU27" s="1438"/>
      <c r="NVV27" s="433"/>
      <c r="NVW27" s="433"/>
      <c r="NVX27" s="433"/>
      <c r="NVY27" s="433"/>
      <c r="NVZ27" s="433"/>
      <c r="NWA27" s="433"/>
      <c r="NWB27" s="433"/>
      <c r="NWC27" s="433"/>
      <c r="NWD27" s="433"/>
      <c r="NWE27" s="433"/>
      <c r="NWF27" s="1037"/>
      <c r="NWG27" s="1438"/>
      <c r="NWH27" s="433"/>
      <c r="NWI27" s="433"/>
      <c r="NWJ27" s="433"/>
      <c r="NWK27" s="433"/>
      <c r="NWL27" s="433"/>
      <c r="NWM27" s="433"/>
      <c r="NWN27" s="433"/>
      <c r="NWO27" s="433"/>
      <c r="NWP27" s="433"/>
      <c r="NWQ27" s="433"/>
      <c r="NWR27" s="1037"/>
      <c r="NWS27" s="1438"/>
      <c r="NWT27" s="433"/>
      <c r="NWU27" s="433"/>
      <c r="NWV27" s="433"/>
      <c r="NWW27" s="433"/>
      <c r="NWX27" s="433"/>
      <c r="NWY27" s="433"/>
      <c r="NWZ27" s="433"/>
      <c r="NXA27" s="433"/>
      <c r="NXB27" s="433"/>
      <c r="NXC27" s="433"/>
      <c r="NXD27" s="1037"/>
      <c r="NXE27" s="1438"/>
      <c r="NXF27" s="433"/>
      <c r="NXG27" s="433"/>
      <c r="NXH27" s="433"/>
      <c r="NXI27" s="433"/>
      <c r="NXJ27" s="433"/>
      <c r="NXK27" s="433"/>
      <c r="NXL27" s="433"/>
      <c r="NXM27" s="433"/>
      <c r="NXN27" s="433"/>
      <c r="NXO27" s="433"/>
      <c r="NXP27" s="1037"/>
      <c r="NXQ27" s="1438"/>
      <c r="NXR27" s="433"/>
      <c r="NXS27" s="433"/>
      <c r="NXT27" s="433"/>
      <c r="NXU27" s="433"/>
      <c r="NXV27" s="433"/>
      <c r="NXW27" s="433"/>
      <c r="NXX27" s="433"/>
      <c r="NXY27" s="433"/>
      <c r="NXZ27" s="433"/>
      <c r="NYA27" s="433"/>
      <c r="NYB27" s="1037"/>
      <c r="NYC27" s="1438"/>
      <c r="NYD27" s="433"/>
      <c r="NYE27" s="433"/>
      <c r="NYF27" s="433"/>
      <c r="NYG27" s="433"/>
      <c r="NYH27" s="433"/>
      <c r="NYI27" s="433"/>
      <c r="NYJ27" s="433"/>
      <c r="NYK27" s="433"/>
      <c r="NYL27" s="433"/>
      <c r="NYM27" s="433"/>
      <c r="NYN27" s="1037"/>
      <c r="NYO27" s="1438"/>
      <c r="NYP27" s="433"/>
      <c r="NYQ27" s="433"/>
      <c r="NYR27" s="433"/>
      <c r="NYS27" s="433"/>
      <c r="NYT27" s="433"/>
      <c r="NYU27" s="433"/>
      <c r="NYV27" s="433"/>
      <c r="NYW27" s="433"/>
      <c r="NYX27" s="433"/>
      <c r="NYY27" s="433"/>
      <c r="NYZ27" s="1037"/>
      <c r="NZA27" s="1438"/>
      <c r="NZB27" s="433"/>
      <c r="NZC27" s="433"/>
      <c r="NZD27" s="433"/>
      <c r="NZE27" s="433"/>
      <c r="NZF27" s="433"/>
      <c r="NZG27" s="433"/>
      <c r="NZH27" s="433"/>
      <c r="NZI27" s="433"/>
      <c r="NZJ27" s="433"/>
      <c r="NZK27" s="433"/>
      <c r="NZL27" s="1037"/>
      <c r="NZM27" s="1438"/>
      <c r="NZN27" s="433"/>
      <c r="NZO27" s="433"/>
      <c r="NZP27" s="433"/>
      <c r="NZQ27" s="433"/>
      <c r="NZR27" s="433"/>
      <c r="NZS27" s="433"/>
      <c r="NZT27" s="433"/>
      <c r="NZU27" s="433"/>
      <c r="NZV27" s="433"/>
      <c r="NZW27" s="433"/>
      <c r="NZX27" s="1037"/>
      <c r="NZY27" s="1438"/>
      <c r="NZZ27" s="433"/>
      <c r="OAA27" s="433"/>
      <c r="OAB27" s="433"/>
      <c r="OAC27" s="433"/>
      <c r="OAD27" s="433"/>
      <c r="OAE27" s="433"/>
      <c r="OAF27" s="433"/>
      <c r="OAG27" s="433"/>
      <c r="OAH27" s="433"/>
      <c r="OAI27" s="433"/>
      <c r="OAJ27" s="1037"/>
      <c r="OAK27" s="1438"/>
      <c r="OAL27" s="433"/>
      <c r="OAM27" s="433"/>
      <c r="OAN27" s="433"/>
      <c r="OAO27" s="433"/>
      <c r="OAP27" s="433"/>
      <c r="OAQ27" s="433"/>
      <c r="OAR27" s="433"/>
      <c r="OAS27" s="433"/>
      <c r="OAT27" s="433"/>
      <c r="OAU27" s="433"/>
      <c r="OAV27" s="1037"/>
      <c r="OAW27" s="1438"/>
      <c r="OAX27" s="433"/>
      <c r="OAY27" s="433"/>
      <c r="OAZ27" s="433"/>
      <c r="OBA27" s="433"/>
      <c r="OBB27" s="433"/>
      <c r="OBC27" s="433"/>
      <c r="OBD27" s="433"/>
      <c r="OBE27" s="433"/>
      <c r="OBF27" s="433"/>
      <c r="OBG27" s="433"/>
      <c r="OBH27" s="1037"/>
      <c r="OBI27" s="1438"/>
      <c r="OBJ27" s="433"/>
      <c r="OBK27" s="433"/>
      <c r="OBL27" s="433"/>
      <c r="OBM27" s="433"/>
      <c r="OBN27" s="433"/>
      <c r="OBO27" s="433"/>
      <c r="OBP27" s="433"/>
      <c r="OBQ27" s="433"/>
      <c r="OBR27" s="433"/>
      <c r="OBS27" s="433"/>
      <c r="OBT27" s="1037"/>
      <c r="OBU27" s="1438"/>
      <c r="OBV27" s="433"/>
      <c r="OBW27" s="433"/>
      <c r="OBX27" s="433"/>
      <c r="OBY27" s="433"/>
      <c r="OBZ27" s="433"/>
      <c r="OCA27" s="433"/>
      <c r="OCB27" s="433"/>
      <c r="OCC27" s="433"/>
      <c r="OCD27" s="433"/>
      <c r="OCE27" s="433"/>
      <c r="OCF27" s="1037"/>
      <c r="OCG27" s="1438"/>
      <c r="OCH27" s="433"/>
      <c r="OCI27" s="433"/>
      <c r="OCJ27" s="433"/>
      <c r="OCK27" s="433"/>
      <c r="OCL27" s="433"/>
      <c r="OCM27" s="433"/>
      <c r="OCN27" s="433"/>
      <c r="OCO27" s="433"/>
      <c r="OCP27" s="433"/>
      <c r="OCQ27" s="433"/>
      <c r="OCR27" s="1037"/>
      <c r="OCS27" s="1438"/>
      <c r="OCT27" s="433"/>
      <c r="OCU27" s="433"/>
      <c r="OCV27" s="433"/>
      <c r="OCW27" s="433"/>
      <c r="OCX27" s="433"/>
      <c r="OCY27" s="433"/>
      <c r="OCZ27" s="433"/>
      <c r="ODA27" s="433"/>
      <c r="ODB27" s="433"/>
      <c r="ODC27" s="433"/>
      <c r="ODD27" s="1037"/>
      <c r="ODE27" s="1438"/>
      <c r="ODF27" s="433"/>
      <c r="ODG27" s="433"/>
      <c r="ODH27" s="433"/>
      <c r="ODI27" s="433"/>
      <c r="ODJ27" s="433"/>
      <c r="ODK27" s="433"/>
      <c r="ODL27" s="433"/>
      <c r="ODM27" s="433"/>
      <c r="ODN27" s="433"/>
      <c r="ODO27" s="433"/>
      <c r="ODP27" s="1037"/>
      <c r="ODQ27" s="1438"/>
      <c r="ODR27" s="433"/>
      <c r="ODS27" s="433"/>
      <c r="ODT27" s="433"/>
      <c r="ODU27" s="433"/>
      <c r="ODV27" s="433"/>
      <c r="ODW27" s="433"/>
      <c r="ODX27" s="433"/>
      <c r="ODY27" s="433"/>
      <c r="ODZ27" s="433"/>
      <c r="OEA27" s="433"/>
      <c r="OEB27" s="1037"/>
      <c r="OEC27" s="1438"/>
      <c r="OED27" s="433"/>
      <c r="OEE27" s="433"/>
      <c r="OEF27" s="433"/>
      <c r="OEG27" s="433"/>
      <c r="OEH27" s="433"/>
      <c r="OEI27" s="433"/>
      <c r="OEJ27" s="433"/>
      <c r="OEK27" s="433"/>
      <c r="OEL27" s="433"/>
      <c r="OEM27" s="433"/>
      <c r="OEN27" s="1037"/>
      <c r="OEO27" s="1438"/>
      <c r="OEP27" s="433"/>
      <c r="OEQ27" s="433"/>
      <c r="OER27" s="433"/>
      <c r="OES27" s="433"/>
      <c r="OET27" s="433"/>
      <c r="OEU27" s="433"/>
      <c r="OEV27" s="433"/>
      <c r="OEW27" s="433"/>
      <c r="OEX27" s="433"/>
      <c r="OEY27" s="433"/>
      <c r="OEZ27" s="1037"/>
      <c r="OFA27" s="1438"/>
      <c r="OFB27" s="433"/>
      <c r="OFC27" s="433"/>
      <c r="OFD27" s="433"/>
      <c r="OFE27" s="433"/>
      <c r="OFF27" s="433"/>
      <c r="OFG27" s="433"/>
      <c r="OFH27" s="433"/>
      <c r="OFI27" s="433"/>
      <c r="OFJ27" s="433"/>
      <c r="OFK27" s="433"/>
      <c r="OFL27" s="1037"/>
      <c r="OFM27" s="1438"/>
      <c r="OFN27" s="433"/>
      <c r="OFO27" s="433"/>
      <c r="OFP27" s="433"/>
      <c r="OFQ27" s="433"/>
      <c r="OFR27" s="433"/>
      <c r="OFS27" s="433"/>
      <c r="OFT27" s="433"/>
      <c r="OFU27" s="433"/>
      <c r="OFV27" s="433"/>
      <c r="OFW27" s="433"/>
      <c r="OFX27" s="1037"/>
      <c r="OFY27" s="1438"/>
      <c r="OFZ27" s="433"/>
      <c r="OGA27" s="433"/>
      <c r="OGB27" s="433"/>
      <c r="OGC27" s="433"/>
      <c r="OGD27" s="433"/>
      <c r="OGE27" s="433"/>
      <c r="OGF27" s="433"/>
      <c r="OGG27" s="433"/>
      <c r="OGH27" s="433"/>
      <c r="OGI27" s="433"/>
      <c r="OGJ27" s="1037"/>
      <c r="OGK27" s="1438"/>
      <c r="OGL27" s="433"/>
      <c r="OGM27" s="433"/>
      <c r="OGN27" s="433"/>
      <c r="OGO27" s="433"/>
      <c r="OGP27" s="433"/>
      <c r="OGQ27" s="433"/>
      <c r="OGR27" s="433"/>
      <c r="OGS27" s="433"/>
      <c r="OGT27" s="433"/>
      <c r="OGU27" s="433"/>
      <c r="OGV27" s="1037"/>
      <c r="OGW27" s="1438"/>
      <c r="OGX27" s="433"/>
      <c r="OGY27" s="433"/>
      <c r="OGZ27" s="433"/>
      <c r="OHA27" s="433"/>
      <c r="OHB27" s="433"/>
      <c r="OHC27" s="433"/>
      <c r="OHD27" s="433"/>
      <c r="OHE27" s="433"/>
      <c r="OHF27" s="433"/>
      <c r="OHG27" s="433"/>
      <c r="OHH27" s="1037"/>
      <c r="OHI27" s="1438"/>
      <c r="OHJ27" s="433"/>
      <c r="OHK27" s="433"/>
      <c r="OHL27" s="433"/>
      <c r="OHM27" s="433"/>
      <c r="OHN27" s="433"/>
      <c r="OHO27" s="433"/>
      <c r="OHP27" s="433"/>
      <c r="OHQ27" s="433"/>
      <c r="OHR27" s="433"/>
      <c r="OHS27" s="433"/>
      <c r="OHT27" s="1037"/>
      <c r="OHU27" s="1438"/>
      <c r="OHV27" s="433"/>
      <c r="OHW27" s="433"/>
      <c r="OHX27" s="433"/>
      <c r="OHY27" s="433"/>
      <c r="OHZ27" s="433"/>
      <c r="OIA27" s="433"/>
      <c r="OIB27" s="433"/>
      <c r="OIC27" s="433"/>
      <c r="OID27" s="433"/>
      <c r="OIE27" s="433"/>
      <c r="OIF27" s="1037"/>
      <c r="OIG27" s="1438"/>
      <c r="OIH27" s="433"/>
      <c r="OII27" s="433"/>
      <c r="OIJ27" s="433"/>
      <c r="OIK27" s="433"/>
      <c r="OIL27" s="433"/>
      <c r="OIM27" s="433"/>
      <c r="OIN27" s="433"/>
      <c r="OIO27" s="433"/>
      <c r="OIP27" s="433"/>
      <c r="OIQ27" s="433"/>
      <c r="OIR27" s="1037"/>
      <c r="OIS27" s="1438"/>
      <c r="OIT27" s="433"/>
      <c r="OIU27" s="433"/>
      <c r="OIV27" s="433"/>
      <c r="OIW27" s="433"/>
      <c r="OIX27" s="433"/>
      <c r="OIY27" s="433"/>
      <c r="OIZ27" s="433"/>
      <c r="OJA27" s="433"/>
      <c r="OJB27" s="433"/>
      <c r="OJC27" s="433"/>
      <c r="OJD27" s="1037"/>
      <c r="OJE27" s="1438"/>
      <c r="OJF27" s="433"/>
      <c r="OJG27" s="433"/>
      <c r="OJH27" s="433"/>
      <c r="OJI27" s="433"/>
      <c r="OJJ27" s="433"/>
      <c r="OJK27" s="433"/>
      <c r="OJL27" s="433"/>
      <c r="OJM27" s="433"/>
      <c r="OJN27" s="433"/>
      <c r="OJO27" s="433"/>
      <c r="OJP27" s="1037"/>
      <c r="OJQ27" s="1438"/>
      <c r="OJR27" s="433"/>
      <c r="OJS27" s="433"/>
      <c r="OJT27" s="433"/>
      <c r="OJU27" s="433"/>
      <c r="OJV27" s="433"/>
      <c r="OJW27" s="433"/>
      <c r="OJX27" s="433"/>
      <c r="OJY27" s="433"/>
      <c r="OJZ27" s="433"/>
      <c r="OKA27" s="433"/>
      <c r="OKB27" s="1037"/>
      <c r="OKC27" s="1438"/>
      <c r="OKD27" s="433"/>
      <c r="OKE27" s="433"/>
      <c r="OKF27" s="433"/>
      <c r="OKG27" s="433"/>
      <c r="OKH27" s="433"/>
      <c r="OKI27" s="433"/>
      <c r="OKJ27" s="433"/>
      <c r="OKK27" s="433"/>
      <c r="OKL27" s="433"/>
      <c r="OKM27" s="433"/>
      <c r="OKN27" s="1037"/>
      <c r="OKO27" s="1438"/>
      <c r="OKP27" s="433"/>
      <c r="OKQ27" s="433"/>
      <c r="OKR27" s="433"/>
      <c r="OKS27" s="433"/>
      <c r="OKT27" s="433"/>
      <c r="OKU27" s="433"/>
      <c r="OKV27" s="433"/>
      <c r="OKW27" s="433"/>
      <c r="OKX27" s="433"/>
      <c r="OKY27" s="433"/>
      <c r="OKZ27" s="1037"/>
      <c r="OLA27" s="1438"/>
      <c r="OLB27" s="433"/>
      <c r="OLC27" s="433"/>
      <c r="OLD27" s="433"/>
      <c r="OLE27" s="433"/>
      <c r="OLF27" s="433"/>
      <c r="OLG27" s="433"/>
      <c r="OLH27" s="433"/>
      <c r="OLI27" s="433"/>
      <c r="OLJ27" s="433"/>
      <c r="OLK27" s="433"/>
      <c r="OLL27" s="1037"/>
      <c r="OLM27" s="1438"/>
      <c r="OLN27" s="433"/>
      <c r="OLO27" s="433"/>
      <c r="OLP27" s="433"/>
      <c r="OLQ27" s="433"/>
      <c r="OLR27" s="433"/>
      <c r="OLS27" s="433"/>
      <c r="OLT27" s="433"/>
      <c r="OLU27" s="433"/>
      <c r="OLV27" s="433"/>
      <c r="OLW27" s="433"/>
      <c r="OLX27" s="1037"/>
      <c r="OLY27" s="1438"/>
      <c r="OLZ27" s="433"/>
      <c r="OMA27" s="433"/>
      <c r="OMB27" s="433"/>
      <c r="OMC27" s="433"/>
      <c r="OMD27" s="433"/>
      <c r="OME27" s="433"/>
      <c r="OMF27" s="433"/>
      <c r="OMG27" s="433"/>
      <c r="OMH27" s="433"/>
      <c r="OMI27" s="433"/>
      <c r="OMJ27" s="1037"/>
      <c r="OMK27" s="1438"/>
      <c r="OML27" s="433"/>
      <c r="OMM27" s="433"/>
      <c r="OMN27" s="433"/>
      <c r="OMO27" s="433"/>
      <c r="OMP27" s="433"/>
      <c r="OMQ27" s="433"/>
      <c r="OMR27" s="433"/>
      <c r="OMS27" s="433"/>
      <c r="OMT27" s="433"/>
      <c r="OMU27" s="433"/>
      <c r="OMV27" s="1037"/>
      <c r="OMW27" s="1438"/>
      <c r="OMX27" s="433"/>
      <c r="OMY27" s="433"/>
      <c r="OMZ27" s="433"/>
      <c r="ONA27" s="433"/>
      <c r="ONB27" s="433"/>
      <c r="ONC27" s="433"/>
      <c r="OND27" s="433"/>
      <c r="ONE27" s="433"/>
      <c r="ONF27" s="433"/>
      <c r="ONG27" s="433"/>
      <c r="ONH27" s="1037"/>
      <c r="ONI27" s="1438"/>
      <c r="ONJ27" s="433"/>
      <c r="ONK27" s="433"/>
      <c r="ONL27" s="433"/>
      <c r="ONM27" s="433"/>
      <c r="ONN27" s="433"/>
      <c r="ONO27" s="433"/>
      <c r="ONP27" s="433"/>
      <c r="ONQ27" s="433"/>
      <c r="ONR27" s="433"/>
      <c r="ONS27" s="433"/>
      <c r="ONT27" s="1037"/>
      <c r="ONU27" s="1438"/>
      <c r="ONV27" s="433"/>
      <c r="ONW27" s="433"/>
      <c r="ONX27" s="433"/>
      <c r="ONY27" s="433"/>
      <c r="ONZ27" s="433"/>
      <c r="OOA27" s="433"/>
      <c r="OOB27" s="433"/>
      <c r="OOC27" s="433"/>
      <c r="OOD27" s="433"/>
      <c r="OOE27" s="433"/>
      <c r="OOF27" s="1037"/>
      <c r="OOG27" s="1438"/>
      <c r="OOH27" s="433"/>
      <c r="OOI27" s="433"/>
      <c r="OOJ27" s="433"/>
      <c r="OOK27" s="433"/>
      <c r="OOL27" s="433"/>
      <c r="OOM27" s="433"/>
      <c r="OON27" s="433"/>
      <c r="OOO27" s="433"/>
      <c r="OOP27" s="433"/>
      <c r="OOQ27" s="433"/>
      <c r="OOR27" s="1037"/>
      <c r="OOS27" s="1438"/>
      <c r="OOT27" s="433"/>
      <c r="OOU27" s="433"/>
      <c r="OOV27" s="433"/>
      <c r="OOW27" s="433"/>
      <c r="OOX27" s="433"/>
      <c r="OOY27" s="433"/>
      <c r="OOZ27" s="433"/>
      <c r="OPA27" s="433"/>
      <c r="OPB27" s="433"/>
      <c r="OPC27" s="433"/>
      <c r="OPD27" s="1037"/>
      <c r="OPE27" s="1438"/>
      <c r="OPF27" s="433"/>
      <c r="OPG27" s="433"/>
      <c r="OPH27" s="433"/>
      <c r="OPI27" s="433"/>
      <c r="OPJ27" s="433"/>
      <c r="OPK27" s="433"/>
      <c r="OPL27" s="433"/>
      <c r="OPM27" s="433"/>
      <c r="OPN27" s="433"/>
      <c r="OPO27" s="433"/>
      <c r="OPP27" s="1037"/>
      <c r="OPQ27" s="1438"/>
      <c r="OPR27" s="433"/>
      <c r="OPS27" s="433"/>
      <c r="OPT27" s="433"/>
      <c r="OPU27" s="433"/>
      <c r="OPV27" s="433"/>
      <c r="OPW27" s="433"/>
      <c r="OPX27" s="433"/>
      <c r="OPY27" s="433"/>
      <c r="OPZ27" s="433"/>
      <c r="OQA27" s="433"/>
      <c r="OQB27" s="1037"/>
      <c r="OQC27" s="1438"/>
      <c r="OQD27" s="433"/>
      <c r="OQE27" s="433"/>
      <c r="OQF27" s="433"/>
      <c r="OQG27" s="433"/>
      <c r="OQH27" s="433"/>
      <c r="OQI27" s="433"/>
      <c r="OQJ27" s="433"/>
      <c r="OQK27" s="433"/>
      <c r="OQL27" s="433"/>
      <c r="OQM27" s="433"/>
      <c r="OQN27" s="1037"/>
      <c r="OQO27" s="1438"/>
      <c r="OQP27" s="433"/>
      <c r="OQQ27" s="433"/>
      <c r="OQR27" s="433"/>
      <c r="OQS27" s="433"/>
      <c r="OQT27" s="433"/>
      <c r="OQU27" s="433"/>
      <c r="OQV27" s="433"/>
      <c r="OQW27" s="433"/>
      <c r="OQX27" s="433"/>
      <c r="OQY27" s="433"/>
      <c r="OQZ27" s="1037"/>
      <c r="ORA27" s="1438"/>
      <c r="ORB27" s="433"/>
      <c r="ORC27" s="433"/>
      <c r="ORD27" s="433"/>
      <c r="ORE27" s="433"/>
      <c r="ORF27" s="433"/>
      <c r="ORG27" s="433"/>
      <c r="ORH27" s="433"/>
      <c r="ORI27" s="433"/>
      <c r="ORJ27" s="433"/>
      <c r="ORK27" s="433"/>
      <c r="ORL27" s="1037"/>
      <c r="ORM27" s="1438"/>
      <c r="ORN27" s="433"/>
      <c r="ORO27" s="433"/>
      <c r="ORP27" s="433"/>
      <c r="ORQ27" s="433"/>
      <c r="ORR27" s="433"/>
      <c r="ORS27" s="433"/>
      <c r="ORT27" s="433"/>
      <c r="ORU27" s="433"/>
      <c r="ORV27" s="433"/>
      <c r="ORW27" s="433"/>
      <c r="ORX27" s="1037"/>
      <c r="ORY27" s="1438"/>
      <c r="ORZ27" s="433"/>
      <c r="OSA27" s="433"/>
      <c r="OSB27" s="433"/>
      <c r="OSC27" s="433"/>
      <c r="OSD27" s="433"/>
      <c r="OSE27" s="433"/>
      <c r="OSF27" s="433"/>
      <c r="OSG27" s="433"/>
      <c r="OSH27" s="433"/>
      <c r="OSI27" s="433"/>
      <c r="OSJ27" s="1037"/>
      <c r="OSK27" s="1438"/>
      <c r="OSL27" s="433"/>
      <c r="OSM27" s="433"/>
      <c r="OSN27" s="433"/>
      <c r="OSO27" s="433"/>
      <c r="OSP27" s="433"/>
      <c r="OSQ27" s="433"/>
      <c r="OSR27" s="433"/>
      <c r="OSS27" s="433"/>
      <c r="OST27" s="433"/>
      <c r="OSU27" s="433"/>
      <c r="OSV27" s="1037"/>
      <c r="OSW27" s="1438"/>
      <c r="OSX27" s="433"/>
      <c r="OSY27" s="433"/>
      <c r="OSZ27" s="433"/>
      <c r="OTA27" s="433"/>
      <c r="OTB27" s="433"/>
      <c r="OTC27" s="433"/>
      <c r="OTD27" s="433"/>
      <c r="OTE27" s="433"/>
      <c r="OTF27" s="433"/>
      <c r="OTG27" s="433"/>
      <c r="OTH27" s="1037"/>
      <c r="OTI27" s="1438"/>
      <c r="OTJ27" s="433"/>
      <c r="OTK27" s="433"/>
      <c r="OTL27" s="433"/>
      <c r="OTM27" s="433"/>
      <c r="OTN27" s="433"/>
      <c r="OTO27" s="433"/>
      <c r="OTP27" s="433"/>
      <c r="OTQ27" s="433"/>
      <c r="OTR27" s="433"/>
      <c r="OTS27" s="433"/>
      <c r="OTT27" s="1037"/>
      <c r="OTU27" s="1438"/>
      <c r="OTV27" s="433"/>
      <c r="OTW27" s="433"/>
      <c r="OTX27" s="433"/>
      <c r="OTY27" s="433"/>
      <c r="OTZ27" s="433"/>
      <c r="OUA27" s="433"/>
      <c r="OUB27" s="433"/>
      <c r="OUC27" s="433"/>
      <c r="OUD27" s="433"/>
      <c r="OUE27" s="433"/>
      <c r="OUF27" s="1037"/>
      <c r="OUG27" s="1438"/>
      <c r="OUH27" s="433"/>
      <c r="OUI27" s="433"/>
      <c r="OUJ27" s="433"/>
      <c r="OUK27" s="433"/>
      <c r="OUL27" s="433"/>
      <c r="OUM27" s="433"/>
      <c r="OUN27" s="433"/>
      <c r="OUO27" s="433"/>
      <c r="OUP27" s="433"/>
      <c r="OUQ27" s="433"/>
      <c r="OUR27" s="1037"/>
      <c r="OUS27" s="1438"/>
      <c r="OUT27" s="433"/>
      <c r="OUU27" s="433"/>
      <c r="OUV27" s="433"/>
      <c r="OUW27" s="433"/>
      <c r="OUX27" s="433"/>
      <c r="OUY27" s="433"/>
      <c r="OUZ27" s="433"/>
      <c r="OVA27" s="433"/>
      <c r="OVB27" s="433"/>
      <c r="OVC27" s="433"/>
      <c r="OVD27" s="1037"/>
      <c r="OVE27" s="1438"/>
      <c r="OVF27" s="433"/>
      <c r="OVG27" s="433"/>
      <c r="OVH27" s="433"/>
      <c r="OVI27" s="433"/>
      <c r="OVJ27" s="433"/>
      <c r="OVK27" s="433"/>
      <c r="OVL27" s="433"/>
      <c r="OVM27" s="433"/>
      <c r="OVN27" s="433"/>
      <c r="OVO27" s="433"/>
      <c r="OVP27" s="1037"/>
      <c r="OVQ27" s="1438"/>
      <c r="OVR27" s="433"/>
      <c r="OVS27" s="433"/>
      <c r="OVT27" s="433"/>
      <c r="OVU27" s="433"/>
      <c r="OVV27" s="433"/>
      <c r="OVW27" s="433"/>
      <c r="OVX27" s="433"/>
      <c r="OVY27" s="433"/>
      <c r="OVZ27" s="433"/>
      <c r="OWA27" s="433"/>
      <c r="OWB27" s="1037"/>
      <c r="OWC27" s="1438"/>
      <c r="OWD27" s="433"/>
      <c r="OWE27" s="433"/>
      <c r="OWF27" s="433"/>
      <c r="OWG27" s="433"/>
      <c r="OWH27" s="433"/>
      <c r="OWI27" s="433"/>
      <c r="OWJ27" s="433"/>
      <c r="OWK27" s="433"/>
      <c r="OWL27" s="433"/>
      <c r="OWM27" s="433"/>
      <c r="OWN27" s="1037"/>
      <c r="OWO27" s="1438"/>
      <c r="OWP27" s="433"/>
      <c r="OWQ27" s="433"/>
      <c r="OWR27" s="433"/>
      <c r="OWS27" s="433"/>
      <c r="OWT27" s="433"/>
      <c r="OWU27" s="433"/>
      <c r="OWV27" s="433"/>
      <c r="OWW27" s="433"/>
      <c r="OWX27" s="433"/>
      <c r="OWY27" s="433"/>
      <c r="OWZ27" s="1037"/>
      <c r="OXA27" s="1438"/>
      <c r="OXB27" s="433"/>
      <c r="OXC27" s="433"/>
      <c r="OXD27" s="433"/>
      <c r="OXE27" s="433"/>
      <c r="OXF27" s="433"/>
      <c r="OXG27" s="433"/>
      <c r="OXH27" s="433"/>
      <c r="OXI27" s="433"/>
      <c r="OXJ27" s="433"/>
      <c r="OXK27" s="433"/>
      <c r="OXL27" s="1037"/>
      <c r="OXM27" s="1438"/>
      <c r="OXN27" s="433"/>
      <c r="OXO27" s="433"/>
      <c r="OXP27" s="433"/>
      <c r="OXQ27" s="433"/>
      <c r="OXR27" s="433"/>
      <c r="OXS27" s="433"/>
      <c r="OXT27" s="433"/>
      <c r="OXU27" s="433"/>
      <c r="OXV27" s="433"/>
      <c r="OXW27" s="433"/>
      <c r="OXX27" s="1037"/>
      <c r="OXY27" s="1438"/>
      <c r="OXZ27" s="433"/>
      <c r="OYA27" s="433"/>
      <c r="OYB27" s="433"/>
      <c r="OYC27" s="433"/>
      <c r="OYD27" s="433"/>
      <c r="OYE27" s="433"/>
      <c r="OYF27" s="433"/>
      <c r="OYG27" s="433"/>
      <c r="OYH27" s="433"/>
      <c r="OYI27" s="433"/>
      <c r="OYJ27" s="1037"/>
      <c r="OYK27" s="1438"/>
      <c r="OYL27" s="433"/>
      <c r="OYM27" s="433"/>
      <c r="OYN27" s="433"/>
      <c r="OYO27" s="433"/>
      <c r="OYP27" s="433"/>
      <c r="OYQ27" s="433"/>
      <c r="OYR27" s="433"/>
      <c r="OYS27" s="433"/>
      <c r="OYT27" s="433"/>
      <c r="OYU27" s="433"/>
      <c r="OYV27" s="1037"/>
      <c r="OYW27" s="1438"/>
      <c r="OYX27" s="433"/>
      <c r="OYY27" s="433"/>
      <c r="OYZ27" s="433"/>
      <c r="OZA27" s="433"/>
      <c r="OZB27" s="433"/>
      <c r="OZC27" s="433"/>
      <c r="OZD27" s="433"/>
      <c r="OZE27" s="433"/>
      <c r="OZF27" s="433"/>
      <c r="OZG27" s="433"/>
      <c r="OZH27" s="1037"/>
      <c r="OZI27" s="1438"/>
      <c r="OZJ27" s="433"/>
      <c r="OZK27" s="433"/>
      <c r="OZL27" s="433"/>
      <c r="OZM27" s="433"/>
      <c r="OZN27" s="433"/>
      <c r="OZO27" s="433"/>
      <c r="OZP27" s="433"/>
      <c r="OZQ27" s="433"/>
      <c r="OZR27" s="433"/>
      <c r="OZS27" s="433"/>
      <c r="OZT27" s="1037"/>
      <c r="OZU27" s="1438"/>
      <c r="OZV27" s="433"/>
      <c r="OZW27" s="433"/>
      <c r="OZX27" s="433"/>
      <c r="OZY27" s="433"/>
      <c r="OZZ27" s="433"/>
      <c r="PAA27" s="433"/>
      <c r="PAB27" s="433"/>
      <c r="PAC27" s="433"/>
      <c r="PAD27" s="433"/>
      <c r="PAE27" s="433"/>
      <c r="PAF27" s="1037"/>
      <c r="PAG27" s="1438"/>
      <c r="PAH27" s="433"/>
      <c r="PAI27" s="433"/>
      <c r="PAJ27" s="433"/>
      <c r="PAK27" s="433"/>
      <c r="PAL27" s="433"/>
      <c r="PAM27" s="433"/>
      <c r="PAN27" s="433"/>
      <c r="PAO27" s="433"/>
      <c r="PAP27" s="433"/>
      <c r="PAQ27" s="433"/>
      <c r="PAR27" s="1037"/>
      <c r="PAS27" s="1438"/>
      <c r="PAT27" s="433"/>
      <c r="PAU27" s="433"/>
      <c r="PAV27" s="433"/>
      <c r="PAW27" s="433"/>
      <c r="PAX27" s="433"/>
      <c r="PAY27" s="433"/>
      <c r="PAZ27" s="433"/>
      <c r="PBA27" s="433"/>
      <c r="PBB27" s="433"/>
      <c r="PBC27" s="433"/>
      <c r="PBD27" s="1037"/>
      <c r="PBE27" s="1438"/>
      <c r="PBF27" s="433"/>
      <c r="PBG27" s="433"/>
      <c r="PBH27" s="433"/>
      <c r="PBI27" s="433"/>
      <c r="PBJ27" s="433"/>
      <c r="PBK27" s="433"/>
      <c r="PBL27" s="433"/>
      <c r="PBM27" s="433"/>
      <c r="PBN27" s="433"/>
      <c r="PBO27" s="433"/>
      <c r="PBP27" s="1037"/>
      <c r="PBQ27" s="1438"/>
      <c r="PBR27" s="433"/>
      <c r="PBS27" s="433"/>
      <c r="PBT27" s="433"/>
      <c r="PBU27" s="433"/>
      <c r="PBV27" s="433"/>
      <c r="PBW27" s="433"/>
      <c r="PBX27" s="433"/>
      <c r="PBY27" s="433"/>
      <c r="PBZ27" s="433"/>
      <c r="PCA27" s="433"/>
      <c r="PCB27" s="1037"/>
      <c r="PCC27" s="1438"/>
      <c r="PCD27" s="433"/>
      <c r="PCE27" s="433"/>
      <c r="PCF27" s="433"/>
      <c r="PCG27" s="433"/>
      <c r="PCH27" s="433"/>
      <c r="PCI27" s="433"/>
      <c r="PCJ27" s="433"/>
      <c r="PCK27" s="433"/>
      <c r="PCL27" s="433"/>
      <c r="PCM27" s="433"/>
      <c r="PCN27" s="1037"/>
      <c r="PCO27" s="1438"/>
      <c r="PCP27" s="433"/>
      <c r="PCQ27" s="433"/>
      <c r="PCR27" s="433"/>
      <c r="PCS27" s="433"/>
      <c r="PCT27" s="433"/>
      <c r="PCU27" s="433"/>
      <c r="PCV27" s="433"/>
      <c r="PCW27" s="433"/>
      <c r="PCX27" s="433"/>
      <c r="PCY27" s="433"/>
      <c r="PCZ27" s="1037"/>
      <c r="PDA27" s="1438"/>
      <c r="PDB27" s="433"/>
      <c r="PDC27" s="433"/>
      <c r="PDD27" s="433"/>
      <c r="PDE27" s="433"/>
      <c r="PDF27" s="433"/>
      <c r="PDG27" s="433"/>
      <c r="PDH27" s="433"/>
      <c r="PDI27" s="433"/>
      <c r="PDJ27" s="433"/>
      <c r="PDK27" s="433"/>
      <c r="PDL27" s="1037"/>
      <c r="PDM27" s="1438"/>
      <c r="PDN27" s="433"/>
      <c r="PDO27" s="433"/>
      <c r="PDP27" s="433"/>
      <c r="PDQ27" s="433"/>
      <c r="PDR27" s="433"/>
      <c r="PDS27" s="433"/>
      <c r="PDT27" s="433"/>
      <c r="PDU27" s="433"/>
      <c r="PDV27" s="433"/>
      <c r="PDW27" s="433"/>
      <c r="PDX27" s="1037"/>
      <c r="PDY27" s="1438"/>
      <c r="PDZ27" s="433"/>
      <c r="PEA27" s="433"/>
      <c r="PEB27" s="433"/>
      <c r="PEC27" s="433"/>
      <c r="PED27" s="433"/>
      <c r="PEE27" s="433"/>
      <c r="PEF27" s="433"/>
      <c r="PEG27" s="433"/>
      <c r="PEH27" s="433"/>
      <c r="PEI27" s="433"/>
      <c r="PEJ27" s="1037"/>
      <c r="PEK27" s="1438"/>
      <c r="PEL27" s="433"/>
      <c r="PEM27" s="433"/>
      <c r="PEN27" s="433"/>
      <c r="PEO27" s="433"/>
      <c r="PEP27" s="433"/>
      <c r="PEQ27" s="433"/>
      <c r="PER27" s="433"/>
      <c r="PES27" s="433"/>
      <c r="PET27" s="433"/>
      <c r="PEU27" s="433"/>
      <c r="PEV27" s="1037"/>
      <c r="PEW27" s="1438"/>
      <c r="PEX27" s="433"/>
      <c r="PEY27" s="433"/>
      <c r="PEZ27" s="433"/>
      <c r="PFA27" s="433"/>
      <c r="PFB27" s="433"/>
      <c r="PFC27" s="433"/>
      <c r="PFD27" s="433"/>
      <c r="PFE27" s="433"/>
      <c r="PFF27" s="433"/>
      <c r="PFG27" s="433"/>
      <c r="PFH27" s="1037"/>
      <c r="PFI27" s="1438"/>
      <c r="PFJ27" s="433"/>
      <c r="PFK27" s="433"/>
      <c r="PFL27" s="433"/>
      <c r="PFM27" s="433"/>
      <c r="PFN27" s="433"/>
      <c r="PFO27" s="433"/>
      <c r="PFP27" s="433"/>
      <c r="PFQ27" s="433"/>
      <c r="PFR27" s="433"/>
      <c r="PFS27" s="433"/>
      <c r="PFT27" s="1037"/>
      <c r="PFU27" s="1438"/>
      <c r="PFV27" s="433"/>
      <c r="PFW27" s="433"/>
      <c r="PFX27" s="433"/>
      <c r="PFY27" s="433"/>
      <c r="PFZ27" s="433"/>
      <c r="PGA27" s="433"/>
      <c r="PGB27" s="433"/>
      <c r="PGC27" s="433"/>
      <c r="PGD27" s="433"/>
      <c r="PGE27" s="433"/>
      <c r="PGF27" s="1037"/>
      <c r="PGG27" s="1438"/>
      <c r="PGH27" s="433"/>
      <c r="PGI27" s="433"/>
      <c r="PGJ27" s="433"/>
      <c r="PGK27" s="433"/>
      <c r="PGL27" s="433"/>
      <c r="PGM27" s="433"/>
      <c r="PGN27" s="433"/>
      <c r="PGO27" s="433"/>
      <c r="PGP27" s="433"/>
      <c r="PGQ27" s="433"/>
      <c r="PGR27" s="1037"/>
      <c r="PGS27" s="1438"/>
      <c r="PGT27" s="433"/>
      <c r="PGU27" s="433"/>
      <c r="PGV27" s="433"/>
      <c r="PGW27" s="433"/>
      <c r="PGX27" s="433"/>
      <c r="PGY27" s="433"/>
      <c r="PGZ27" s="433"/>
      <c r="PHA27" s="433"/>
      <c r="PHB27" s="433"/>
      <c r="PHC27" s="433"/>
      <c r="PHD27" s="1037"/>
      <c r="PHE27" s="1438"/>
      <c r="PHF27" s="433"/>
      <c r="PHG27" s="433"/>
      <c r="PHH27" s="433"/>
      <c r="PHI27" s="433"/>
      <c r="PHJ27" s="433"/>
      <c r="PHK27" s="433"/>
      <c r="PHL27" s="433"/>
      <c r="PHM27" s="433"/>
      <c r="PHN27" s="433"/>
      <c r="PHO27" s="433"/>
      <c r="PHP27" s="1037"/>
      <c r="PHQ27" s="1438"/>
      <c r="PHR27" s="433"/>
      <c r="PHS27" s="433"/>
      <c r="PHT27" s="433"/>
      <c r="PHU27" s="433"/>
      <c r="PHV27" s="433"/>
      <c r="PHW27" s="433"/>
      <c r="PHX27" s="433"/>
      <c r="PHY27" s="433"/>
      <c r="PHZ27" s="433"/>
      <c r="PIA27" s="433"/>
      <c r="PIB27" s="1037"/>
      <c r="PIC27" s="1438"/>
      <c r="PID27" s="433"/>
      <c r="PIE27" s="433"/>
      <c r="PIF27" s="433"/>
      <c r="PIG27" s="433"/>
      <c r="PIH27" s="433"/>
      <c r="PII27" s="433"/>
      <c r="PIJ27" s="433"/>
      <c r="PIK27" s="433"/>
      <c r="PIL27" s="433"/>
      <c r="PIM27" s="433"/>
      <c r="PIN27" s="1037"/>
      <c r="PIO27" s="1438"/>
      <c r="PIP27" s="433"/>
      <c r="PIQ27" s="433"/>
      <c r="PIR27" s="433"/>
      <c r="PIS27" s="433"/>
      <c r="PIT27" s="433"/>
      <c r="PIU27" s="433"/>
      <c r="PIV27" s="433"/>
      <c r="PIW27" s="433"/>
      <c r="PIX27" s="433"/>
      <c r="PIY27" s="433"/>
      <c r="PIZ27" s="1037"/>
      <c r="PJA27" s="1438"/>
      <c r="PJB27" s="433"/>
      <c r="PJC27" s="433"/>
      <c r="PJD27" s="433"/>
      <c r="PJE27" s="433"/>
      <c r="PJF27" s="433"/>
      <c r="PJG27" s="433"/>
      <c r="PJH27" s="433"/>
      <c r="PJI27" s="433"/>
      <c r="PJJ27" s="433"/>
      <c r="PJK27" s="433"/>
      <c r="PJL27" s="1037"/>
      <c r="PJM27" s="1438"/>
      <c r="PJN27" s="433"/>
      <c r="PJO27" s="433"/>
      <c r="PJP27" s="433"/>
      <c r="PJQ27" s="433"/>
      <c r="PJR27" s="433"/>
      <c r="PJS27" s="433"/>
      <c r="PJT27" s="433"/>
      <c r="PJU27" s="433"/>
      <c r="PJV27" s="433"/>
      <c r="PJW27" s="433"/>
      <c r="PJX27" s="1037"/>
      <c r="PJY27" s="1438"/>
      <c r="PJZ27" s="433"/>
      <c r="PKA27" s="433"/>
      <c r="PKB27" s="433"/>
      <c r="PKC27" s="433"/>
      <c r="PKD27" s="433"/>
      <c r="PKE27" s="433"/>
      <c r="PKF27" s="433"/>
      <c r="PKG27" s="433"/>
      <c r="PKH27" s="433"/>
      <c r="PKI27" s="433"/>
      <c r="PKJ27" s="1037"/>
      <c r="PKK27" s="1438"/>
      <c r="PKL27" s="433"/>
      <c r="PKM27" s="433"/>
      <c r="PKN27" s="433"/>
      <c r="PKO27" s="433"/>
      <c r="PKP27" s="433"/>
      <c r="PKQ27" s="433"/>
      <c r="PKR27" s="433"/>
      <c r="PKS27" s="433"/>
      <c r="PKT27" s="433"/>
      <c r="PKU27" s="433"/>
      <c r="PKV27" s="1037"/>
      <c r="PKW27" s="1438"/>
      <c r="PKX27" s="433"/>
      <c r="PKY27" s="433"/>
      <c r="PKZ27" s="433"/>
      <c r="PLA27" s="433"/>
      <c r="PLB27" s="433"/>
      <c r="PLC27" s="433"/>
      <c r="PLD27" s="433"/>
      <c r="PLE27" s="433"/>
      <c r="PLF27" s="433"/>
      <c r="PLG27" s="433"/>
      <c r="PLH27" s="1037"/>
      <c r="PLI27" s="1438"/>
      <c r="PLJ27" s="433"/>
      <c r="PLK27" s="433"/>
      <c r="PLL27" s="433"/>
      <c r="PLM27" s="433"/>
      <c r="PLN27" s="433"/>
      <c r="PLO27" s="433"/>
      <c r="PLP27" s="433"/>
      <c r="PLQ27" s="433"/>
      <c r="PLR27" s="433"/>
      <c r="PLS27" s="433"/>
      <c r="PLT27" s="1037"/>
      <c r="PLU27" s="1438"/>
      <c r="PLV27" s="433"/>
      <c r="PLW27" s="433"/>
      <c r="PLX27" s="433"/>
      <c r="PLY27" s="433"/>
      <c r="PLZ27" s="433"/>
      <c r="PMA27" s="433"/>
      <c r="PMB27" s="433"/>
      <c r="PMC27" s="433"/>
      <c r="PMD27" s="433"/>
      <c r="PME27" s="433"/>
      <c r="PMF27" s="1037"/>
      <c r="PMG27" s="1438"/>
      <c r="PMH27" s="433"/>
      <c r="PMI27" s="433"/>
      <c r="PMJ27" s="433"/>
      <c r="PMK27" s="433"/>
      <c r="PML27" s="433"/>
      <c r="PMM27" s="433"/>
      <c r="PMN27" s="433"/>
      <c r="PMO27" s="433"/>
      <c r="PMP27" s="433"/>
      <c r="PMQ27" s="433"/>
      <c r="PMR27" s="1037"/>
      <c r="PMS27" s="1438"/>
      <c r="PMT27" s="433"/>
      <c r="PMU27" s="433"/>
      <c r="PMV27" s="433"/>
      <c r="PMW27" s="433"/>
      <c r="PMX27" s="433"/>
      <c r="PMY27" s="433"/>
      <c r="PMZ27" s="433"/>
      <c r="PNA27" s="433"/>
      <c r="PNB27" s="433"/>
      <c r="PNC27" s="433"/>
      <c r="PND27" s="1037"/>
      <c r="PNE27" s="1438"/>
      <c r="PNF27" s="433"/>
      <c r="PNG27" s="433"/>
      <c r="PNH27" s="433"/>
      <c r="PNI27" s="433"/>
      <c r="PNJ27" s="433"/>
      <c r="PNK27" s="433"/>
      <c r="PNL27" s="433"/>
      <c r="PNM27" s="433"/>
      <c r="PNN27" s="433"/>
      <c r="PNO27" s="433"/>
      <c r="PNP27" s="1037"/>
      <c r="PNQ27" s="1438"/>
      <c r="PNR27" s="433"/>
      <c r="PNS27" s="433"/>
      <c r="PNT27" s="433"/>
      <c r="PNU27" s="433"/>
      <c r="PNV27" s="433"/>
      <c r="PNW27" s="433"/>
      <c r="PNX27" s="433"/>
      <c r="PNY27" s="433"/>
      <c r="PNZ27" s="433"/>
      <c r="POA27" s="433"/>
      <c r="POB27" s="1037"/>
      <c r="POC27" s="1438"/>
      <c r="POD27" s="433"/>
      <c r="POE27" s="433"/>
      <c r="POF27" s="433"/>
      <c r="POG27" s="433"/>
      <c r="POH27" s="433"/>
      <c r="POI27" s="433"/>
      <c r="POJ27" s="433"/>
      <c r="POK27" s="433"/>
      <c r="POL27" s="433"/>
      <c r="POM27" s="433"/>
      <c r="PON27" s="1037"/>
      <c r="POO27" s="1438"/>
      <c r="POP27" s="433"/>
      <c r="POQ27" s="433"/>
      <c r="POR27" s="433"/>
      <c r="POS27" s="433"/>
      <c r="POT27" s="433"/>
      <c r="POU27" s="433"/>
      <c r="POV27" s="433"/>
      <c r="POW27" s="433"/>
      <c r="POX27" s="433"/>
      <c r="POY27" s="433"/>
      <c r="POZ27" s="1037"/>
      <c r="PPA27" s="1438"/>
      <c r="PPB27" s="433"/>
      <c r="PPC27" s="433"/>
      <c r="PPD27" s="433"/>
      <c r="PPE27" s="433"/>
      <c r="PPF27" s="433"/>
      <c r="PPG27" s="433"/>
      <c r="PPH27" s="433"/>
      <c r="PPI27" s="433"/>
      <c r="PPJ27" s="433"/>
      <c r="PPK27" s="433"/>
      <c r="PPL27" s="1037"/>
      <c r="PPM27" s="1438"/>
      <c r="PPN27" s="433"/>
      <c r="PPO27" s="433"/>
      <c r="PPP27" s="433"/>
      <c r="PPQ27" s="433"/>
      <c r="PPR27" s="433"/>
      <c r="PPS27" s="433"/>
      <c r="PPT27" s="433"/>
      <c r="PPU27" s="433"/>
      <c r="PPV27" s="433"/>
      <c r="PPW27" s="433"/>
      <c r="PPX27" s="1037"/>
      <c r="PPY27" s="1438"/>
      <c r="PPZ27" s="433"/>
      <c r="PQA27" s="433"/>
      <c r="PQB27" s="433"/>
      <c r="PQC27" s="433"/>
      <c r="PQD27" s="433"/>
      <c r="PQE27" s="433"/>
      <c r="PQF27" s="433"/>
      <c r="PQG27" s="433"/>
      <c r="PQH27" s="433"/>
      <c r="PQI27" s="433"/>
      <c r="PQJ27" s="1037"/>
      <c r="PQK27" s="1438"/>
      <c r="PQL27" s="433"/>
      <c r="PQM27" s="433"/>
      <c r="PQN27" s="433"/>
      <c r="PQO27" s="433"/>
      <c r="PQP27" s="433"/>
      <c r="PQQ27" s="433"/>
      <c r="PQR27" s="433"/>
      <c r="PQS27" s="433"/>
      <c r="PQT27" s="433"/>
      <c r="PQU27" s="433"/>
      <c r="PQV27" s="1037"/>
      <c r="PQW27" s="1438"/>
      <c r="PQX27" s="433"/>
      <c r="PQY27" s="433"/>
      <c r="PQZ27" s="433"/>
      <c r="PRA27" s="433"/>
      <c r="PRB27" s="433"/>
      <c r="PRC27" s="433"/>
      <c r="PRD27" s="433"/>
      <c r="PRE27" s="433"/>
      <c r="PRF27" s="433"/>
      <c r="PRG27" s="433"/>
      <c r="PRH27" s="1037"/>
      <c r="PRI27" s="1438"/>
      <c r="PRJ27" s="433"/>
      <c r="PRK27" s="433"/>
      <c r="PRL27" s="433"/>
      <c r="PRM27" s="433"/>
      <c r="PRN27" s="433"/>
      <c r="PRO27" s="433"/>
      <c r="PRP27" s="433"/>
      <c r="PRQ27" s="433"/>
      <c r="PRR27" s="433"/>
      <c r="PRS27" s="433"/>
      <c r="PRT27" s="1037"/>
      <c r="PRU27" s="1438"/>
      <c r="PRV27" s="433"/>
      <c r="PRW27" s="433"/>
      <c r="PRX27" s="433"/>
      <c r="PRY27" s="433"/>
      <c r="PRZ27" s="433"/>
      <c r="PSA27" s="433"/>
      <c r="PSB27" s="433"/>
      <c r="PSC27" s="433"/>
      <c r="PSD27" s="433"/>
      <c r="PSE27" s="433"/>
      <c r="PSF27" s="1037"/>
      <c r="PSG27" s="1438"/>
      <c r="PSH27" s="433"/>
      <c r="PSI27" s="433"/>
      <c r="PSJ27" s="433"/>
      <c r="PSK27" s="433"/>
      <c r="PSL27" s="433"/>
      <c r="PSM27" s="433"/>
      <c r="PSN27" s="433"/>
      <c r="PSO27" s="433"/>
      <c r="PSP27" s="433"/>
      <c r="PSQ27" s="433"/>
      <c r="PSR27" s="1037"/>
      <c r="PSS27" s="1438"/>
      <c r="PST27" s="433"/>
      <c r="PSU27" s="433"/>
      <c r="PSV27" s="433"/>
      <c r="PSW27" s="433"/>
      <c r="PSX27" s="433"/>
      <c r="PSY27" s="433"/>
      <c r="PSZ27" s="433"/>
      <c r="PTA27" s="433"/>
      <c r="PTB27" s="433"/>
      <c r="PTC27" s="433"/>
      <c r="PTD27" s="1037"/>
      <c r="PTE27" s="1438"/>
      <c r="PTF27" s="433"/>
      <c r="PTG27" s="433"/>
      <c r="PTH27" s="433"/>
      <c r="PTI27" s="433"/>
      <c r="PTJ27" s="433"/>
      <c r="PTK27" s="433"/>
      <c r="PTL27" s="433"/>
      <c r="PTM27" s="433"/>
      <c r="PTN27" s="433"/>
      <c r="PTO27" s="433"/>
      <c r="PTP27" s="1037"/>
      <c r="PTQ27" s="1438"/>
      <c r="PTR27" s="433"/>
      <c r="PTS27" s="433"/>
      <c r="PTT27" s="433"/>
      <c r="PTU27" s="433"/>
      <c r="PTV27" s="433"/>
      <c r="PTW27" s="433"/>
      <c r="PTX27" s="433"/>
      <c r="PTY27" s="433"/>
      <c r="PTZ27" s="433"/>
      <c r="PUA27" s="433"/>
      <c r="PUB27" s="1037"/>
      <c r="PUC27" s="1438"/>
      <c r="PUD27" s="433"/>
      <c r="PUE27" s="433"/>
      <c r="PUF27" s="433"/>
      <c r="PUG27" s="433"/>
      <c r="PUH27" s="433"/>
      <c r="PUI27" s="433"/>
      <c r="PUJ27" s="433"/>
      <c r="PUK27" s="433"/>
      <c r="PUL27" s="433"/>
      <c r="PUM27" s="433"/>
      <c r="PUN27" s="1037"/>
      <c r="PUO27" s="1438"/>
      <c r="PUP27" s="433"/>
      <c r="PUQ27" s="433"/>
      <c r="PUR27" s="433"/>
      <c r="PUS27" s="433"/>
      <c r="PUT27" s="433"/>
      <c r="PUU27" s="433"/>
      <c r="PUV27" s="433"/>
      <c r="PUW27" s="433"/>
      <c r="PUX27" s="433"/>
      <c r="PUY27" s="433"/>
      <c r="PUZ27" s="1037"/>
      <c r="PVA27" s="1438"/>
      <c r="PVB27" s="433"/>
      <c r="PVC27" s="433"/>
      <c r="PVD27" s="433"/>
      <c r="PVE27" s="433"/>
      <c r="PVF27" s="433"/>
      <c r="PVG27" s="433"/>
      <c r="PVH27" s="433"/>
      <c r="PVI27" s="433"/>
      <c r="PVJ27" s="433"/>
      <c r="PVK27" s="433"/>
      <c r="PVL27" s="1037"/>
      <c r="PVM27" s="1438"/>
      <c r="PVN27" s="433"/>
      <c r="PVO27" s="433"/>
      <c r="PVP27" s="433"/>
      <c r="PVQ27" s="433"/>
      <c r="PVR27" s="433"/>
      <c r="PVS27" s="433"/>
      <c r="PVT27" s="433"/>
      <c r="PVU27" s="433"/>
      <c r="PVV27" s="433"/>
      <c r="PVW27" s="433"/>
      <c r="PVX27" s="1037"/>
      <c r="PVY27" s="1438"/>
      <c r="PVZ27" s="433"/>
      <c r="PWA27" s="433"/>
      <c r="PWB27" s="433"/>
      <c r="PWC27" s="433"/>
      <c r="PWD27" s="433"/>
      <c r="PWE27" s="433"/>
      <c r="PWF27" s="433"/>
      <c r="PWG27" s="433"/>
      <c r="PWH27" s="433"/>
      <c r="PWI27" s="433"/>
      <c r="PWJ27" s="1037"/>
      <c r="PWK27" s="1438"/>
      <c r="PWL27" s="433"/>
      <c r="PWM27" s="433"/>
      <c r="PWN27" s="433"/>
      <c r="PWO27" s="433"/>
      <c r="PWP27" s="433"/>
      <c r="PWQ27" s="433"/>
      <c r="PWR27" s="433"/>
      <c r="PWS27" s="433"/>
      <c r="PWT27" s="433"/>
      <c r="PWU27" s="433"/>
      <c r="PWV27" s="1037"/>
      <c r="PWW27" s="1438"/>
      <c r="PWX27" s="433"/>
      <c r="PWY27" s="433"/>
      <c r="PWZ27" s="433"/>
      <c r="PXA27" s="433"/>
      <c r="PXB27" s="433"/>
      <c r="PXC27" s="433"/>
      <c r="PXD27" s="433"/>
      <c r="PXE27" s="433"/>
      <c r="PXF27" s="433"/>
      <c r="PXG27" s="433"/>
      <c r="PXH27" s="1037"/>
      <c r="PXI27" s="1438"/>
      <c r="PXJ27" s="433"/>
      <c r="PXK27" s="433"/>
      <c r="PXL27" s="433"/>
      <c r="PXM27" s="433"/>
      <c r="PXN27" s="433"/>
      <c r="PXO27" s="433"/>
      <c r="PXP27" s="433"/>
      <c r="PXQ27" s="433"/>
      <c r="PXR27" s="433"/>
      <c r="PXS27" s="433"/>
      <c r="PXT27" s="1037"/>
      <c r="PXU27" s="1438"/>
      <c r="PXV27" s="433"/>
      <c r="PXW27" s="433"/>
      <c r="PXX27" s="433"/>
      <c r="PXY27" s="433"/>
      <c r="PXZ27" s="433"/>
      <c r="PYA27" s="433"/>
      <c r="PYB27" s="433"/>
      <c r="PYC27" s="433"/>
      <c r="PYD27" s="433"/>
      <c r="PYE27" s="433"/>
      <c r="PYF27" s="1037"/>
      <c r="PYG27" s="1438"/>
      <c r="PYH27" s="433"/>
      <c r="PYI27" s="433"/>
      <c r="PYJ27" s="433"/>
      <c r="PYK27" s="433"/>
      <c r="PYL27" s="433"/>
      <c r="PYM27" s="433"/>
      <c r="PYN27" s="433"/>
      <c r="PYO27" s="433"/>
      <c r="PYP27" s="433"/>
      <c r="PYQ27" s="433"/>
      <c r="PYR27" s="1037"/>
      <c r="PYS27" s="1438"/>
      <c r="PYT27" s="433"/>
      <c r="PYU27" s="433"/>
      <c r="PYV27" s="433"/>
      <c r="PYW27" s="433"/>
      <c r="PYX27" s="433"/>
      <c r="PYY27" s="433"/>
      <c r="PYZ27" s="433"/>
      <c r="PZA27" s="433"/>
      <c r="PZB27" s="433"/>
      <c r="PZC27" s="433"/>
      <c r="PZD27" s="1037"/>
      <c r="PZE27" s="1438"/>
      <c r="PZF27" s="433"/>
      <c r="PZG27" s="433"/>
      <c r="PZH27" s="433"/>
      <c r="PZI27" s="433"/>
      <c r="PZJ27" s="433"/>
      <c r="PZK27" s="433"/>
      <c r="PZL27" s="433"/>
      <c r="PZM27" s="433"/>
      <c r="PZN27" s="433"/>
      <c r="PZO27" s="433"/>
      <c r="PZP27" s="1037"/>
      <c r="PZQ27" s="1438"/>
      <c r="PZR27" s="433"/>
      <c r="PZS27" s="433"/>
      <c r="PZT27" s="433"/>
      <c r="PZU27" s="433"/>
      <c r="PZV27" s="433"/>
      <c r="PZW27" s="433"/>
      <c r="PZX27" s="433"/>
      <c r="PZY27" s="433"/>
      <c r="PZZ27" s="433"/>
      <c r="QAA27" s="433"/>
      <c r="QAB27" s="1037"/>
      <c r="QAC27" s="1438"/>
      <c r="QAD27" s="433"/>
      <c r="QAE27" s="433"/>
      <c r="QAF27" s="433"/>
      <c r="QAG27" s="433"/>
      <c r="QAH27" s="433"/>
      <c r="QAI27" s="433"/>
      <c r="QAJ27" s="433"/>
      <c r="QAK27" s="433"/>
      <c r="QAL27" s="433"/>
      <c r="QAM27" s="433"/>
      <c r="QAN27" s="1037"/>
      <c r="QAO27" s="1438"/>
      <c r="QAP27" s="433"/>
      <c r="QAQ27" s="433"/>
      <c r="QAR27" s="433"/>
      <c r="QAS27" s="433"/>
      <c r="QAT27" s="433"/>
      <c r="QAU27" s="433"/>
      <c r="QAV27" s="433"/>
      <c r="QAW27" s="433"/>
      <c r="QAX27" s="433"/>
      <c r="QAY27" s="433"/>
      <c r="QAZ27" s="1037"/>
      <c r="QBA27" s="1438"/>
      <c r="QBB27" s="433"/>
      <c r="QBC27" s="433"/>
      <c r="QBD27" s="433"/>
      <c r="QBE27" s="433"/>
      <c r="QBF27" s="433"/>
      <c r="QBG27" s="433"/>
      <c r="QBH27" s="433"/>
      <c r="QBI27" s="433"/>
      <c r="QBJ27" s="433"/>
      <c r="QBK27" s="433"/>
      <c r="QBL27" s="1037"/>
      <c r="QBM27" s="1438"/>
      <c r="QBN27" s="433"/>
      <c r="QBO27" s="433"/>
      <c r="QBP27" s="433"/>
      <c r="QBQ27" s="433"/>
      <c r="QBR27" s="433"/>
      <c r="QBS27" s="433"/>
      <c r="QBT27" s="433"/>
      <c r="QBU27" s="433"/>
      <c r="QBV27" s="433"/>
      <c r="QBW27" s="433"/>
      <c r="QBX27" s="1037"/>
      <c r="QBY27" s="1438"/>
      <c r="QBZ27" s="433"/>
      <c r="QCA27" s="433"/>
      <c r="QCB27" s="433"/>
      <c r="QCC27" s="433"/>
      <c r="QCD27" s="433"/>
      <c r="QCE27" s="433"/>
      <c r="QCF27" s="433"/>
      <c r="QCG27" s="433"/>
      <c r="QCH27" s="433"/>
      <c r="QCI27" s="433"/>
      <c r="QCJ27" s="1037"/>
      <c r="QCK27" s="1438"/>
      <c r="QCL27" s="433"/>
      <c r="QCM27" s="433"/>
      <c r="QCN27" s="433"/>
      <c r="QCO27" s="433"/>
      <c r="QCP27" s="433"/>
      <c r="QCQ27" s="433"/>
      <c r="QCR27" s="433"/>
      <c r="QCS27" s="433"/>
      <c r="QCT27" s="433"/>
      <c r="QCU27" s="433"/>
      <c r="QCV27" s="1037"/>
      <c r="QCW27" s="1438"/>
      <c r="QCX27" s="433"/>
      <c r="QCY27" s="433"/>
      <c r="QCZ27" s="433"/>
      <c r="QDA27" s="433"/>
      <c r="QDB27" s="433"/>
      <c r="QDC27" s="433"/>
      <c r="QDD27" s="433"/>
      <c r="QDE27" s="433"/>
      <c r="QDF27" s="433"/>
      <c r="QDG27" s="433"/>
      <c r="QDH27" s="1037"/>
      <c r="QDI27" s="1438"/>
      <c r="QDJ27" s="433"/>
      <c r="QDK27" s="433"/>
      <c r="QDL27" s="433"/>
      <c r="QDM27" s="433"/>
      <c r="QDN27" s="433"/>
      <c r="QDO27" s="433"/>
      <c r="QDP27" s="433"/>
      <c r="QDQ27" s="433"/>
      <c r="QDR27" s="433"/>
      <c r="QDS27" s="433"/>
      <c r="QDT27" s="1037"/>
      <c r="QDU27" s="1438"/>
      <c r="QDV27" s="433"/>
      <c r="QDW27" s="433"/>
      <c r="QDX27" s="433"/>
      <c r="QDY27" s="433"/>
      <c r="QDZ27" s="433"/>
      <c r="QEA27" s="433"/>
      <c r="QEB27" s="433"/>
      <c r="QEC27" s="433"/>
      <c r="QED27" s="433"/>
      <c r="QEE27" s="433"/>
      <c r="QEF27" s="1037"/>
      <c r="QEG27" s="1438"/>
      <c r="QEH27" s="433"/>
      <c r="QEI27" s="433"/>
      <c r="QEJ27" s="433"/>
      <c r="QEK27" s="433"/>
      <c r="QEL27" s="433"/>
      <c r="QEM27" s="433"/>
      <c r="QEN27" s="433"/>
      <c r="QEO27" s="433"/>
      <c r="QEP27" s="433"/>
      <c r="QEQ27" s="433"/>
      <c r="QER27" s="1037"/>
      <c r="QES27" s="1438"/>
      <c r="QET27" s="433"/>
      <c r="QEU27" s="433"/>
      <c r="QEV27" s="433"/>
      <c r="QEW27" s="433"/>
      <c r="QEX27" s="433"/>
      <c r="QEY27" s="433"/>
      <c r="QEZ27" s="433"/>
      <c r="QFA27" s="433"/>
      <c r="QFB27" s="433"/>
      <c r="QFC27" s="433"/>
      <c r="QFD27" s="1037"/>
      <c r="QFE27" s="1438"/>
      <c r="QFF27" s="433"/>
      <c r="QFG27" s="433"/>
      <c r="QFH27" s="433"/>
      <c r="QFI27" s="433"/>
      <c r="QFJ27" s="433"/>
      <c r="QFK27" s="433"/>
      <c r="QFL27" s="433"/>
      <c r="QFM27" s="433"/>
      <c r="QFN27" s="433"/>
      <c r="QFO27" s="433"/>
      <c r="QFP27" s="1037"/>
      <c r="QFQ27" s="1438"/>
      <c r="QFR27" s="433"/>
      <c r="QFS27" s="433"/>
      <c r="QFT27" s="433"/>
      <c r="QFU27" s="433"/>
      <c r="QFV27" s="433"/>
      <c r="QFW27" s="433"/>
      <c r="QFX27" s="433"/>
      <c r="QFY27" s="433"/>
      <c r="QFZ27" s="433"/>
      <c r="QGA27" s="433"/>
      <c r="QGB27" s="1037"/>
      <c r="QGC27" s="1438"/>
      <c r="QGD27" s="433"/>
      <c r="QGE27" s="433"/>
      <c r="QGF27" s="433"/>
      <c r="QGG27" s="433"/>
      <c r="QGH27" s="433"/>
      <c r="QGI27" s="433"/>
      <c r="QGJ27" s="433"/>
      <c r="QGK27" s="433"/>
      <c r="QGL27" s="433"/>
      <c r="QGM27" s="433"/>
      <c r="QGN27" s="1037"/>
      <c r="QGO27" s="1438"/>
      <c r="QGP27" s="433"/>
      <c r="QGQ27" s="433"/>
      <c r="QGR27" s="433"/>
      <c r="QGS27" s="433"/>
      <c r="QGT27" s="433"/>
      <c r="QGU27" s="433"/>
      <c r="QGV27" s="433"/>
      <c r="QGW27" s="433"/>
      <c r="QGX27" s="433"/>
      <c r="QGY27" s="433"/>
      <c r="QGZ27" s="1037"/>
      <c r="QHA27" s="1438"/>
      <c r="QHB27" s="433"/>
      <c r="QHC27" s="433"/>
      <c r="QHD27" s="433"/>
      <c r="QHE27" s="433"/>
      <c r="QHF27" s="433"/>
      <c r="QHG27" s="433"/>
      <c r="QHH27" s="433"/>
      <c r="QHI27" s="433"/>
      <c r="QHJ27" s="433"/>
      <c r="QHK27" s="433"/>
      <c r="QHL27" s="1037"/>
      <c r="QHM27" s="1438"/>
      <c r="QHN27" s="433"/>
      <c r="QHO27" s="433"/>
      <c r="QHP27" s="433"/>
      <c r="QHQ27" s="433"/>
      <c r="QHR27" s="433"/>
      <c r="QHS27" s="433"/>
      <c r="QHT27" s="433"/>
      <c r="QHU27" s="433"/>
      <c r="QHV27" s="433"/>
      <c r="QHW27" s="433"/>
      <c r="QHX27" s="1037"/>
      <c r="QHY27" s="1438"/>
      <c r="QHZ27" s="433"/>
      <c r="QIA27" s="433"/>
      <c r="QIB27" s="433"/>
      <c r="QIC27" s="433"/>
      <c r="QID27" s="433"/>
      <c r="QIE27" s="433"/>
      <c r="QIF27" s="433"/>
      <c r="QIG27" s="433"/>
      <c r="QIH27" s="433"/>
      <c r="QII27" s="433"/>
      <c r="QIJ27" s="1037"/>
      <c r="QIK27" s="1438"/>
      <c r="QIL27" s="433"/>
      <c r="QIM27" s="433"/>
      <c r="QIN27" s="433"/>
      <c r="QIO27" s="433"/>
      <c r="QIP27" s="433"/>
      <c r="QIQ27" s="433"/>
      <c r="QIR27" s="433"/>
      <c r="QIS27" s="433"/>
      <c r="QIT27" s="433"/>
      <c r="QIU27" s="433"/>
      <c r="QIV27" s="1037"/>
      <c r="QIW27" s="1438"/>
      <c r="QIX27" s="433"/>
      <c r="QIY27" s="433"/>
      <c r="QIZ27" s="433"/>
      <c r="QJA27" s="433"/>
      <c r="QJB27" s="433"/>
      <c r="QJC27" s="433"/>
      <c r="QJD27" s="433"/>
      <c r="QJE27" s="433"/>
      <c r="QJF27" s="433"/>
      <c r="QJG27" s="433"/>
      <c r="QJH27" s="1037"/>
      <c r="QJI27" s="1438"/>
      <c r="QJJ27" s="433"/>
      <c r="QJK27" s="433"/>
      <c r="QJL27" s="433"/>
      <c r="QJM27" s="433"/>
      <c r="QJN27" s="433"/>
      <c r="QJO27" s="433"/>
      <c r="QJP27" s="433"/>
      <c r="QJQ27" s="433"/>
      <c r="QJR27" s="433"/>
      <c r="QJS27" s="433"/>
      <c r="QJT27" s="1037"/>
      <c r="QJU27" s="1438"/>
      <c r="QJV27" s="433"/>
      <c r="QJW27" s="433"/>
      <c r="QJX27" s="433"/>
      <c r="QJY27" s="433"/>
      <c r="QJZ27" s="433"/>
      <c r="QKA27" s="433"/>
      <c r="QKB27" s="433"/>
      <c r="QKC27" s="433"/>
      <c r="QKD27" s="433"/>
      <c r="QKE27" s="433"/>
      <c r="QKF27" s="1037"/>
      <c r="QKG27" s="1438"/>
      <c r="QKH27" s="433"/>
      <c r="QKI27" s="433"/>
      <c r="QKJ27" s="433"/>
      <c r="QKK27" s="433"/>
      <c r="QKL27" s="433"/>
      <c r="QKM27" s="433"/>
      <c r="QKN27" s="433"/>
      <c r="QKO27" s="433"/>
      <c r="QKP27" s="433"/>
      <c r="QKQ27" s="433"/>
      <c r="QKR27" s="1037"/>
      <c r="QKS27" s="1438"/>
      <c r="QKT27" s="433"/>
      <c r="QKU27" s="433"/>
      <c r="QKV27" s="433"/>
      <c r="QKW27" s="433"/>
      <c r="QKX27" s="433"/>
      <c r="QKY27" s="433"/>
      <c r="QKZ27" s="433"/>
      <c r="QLA27" s="433"/>
      <c r="QLB27" s="433"/>
      <c r="QLC27" s="433"/>
      <c r="QLD27" s="1037"/>
      <c r="QLE27" s="1438"/>
      <c r="QLF27" s="433"/>
      <c r="QLG27" s="433"/>
      <c r="QLH27" s="433"/>
      <c r="QLI27" s="433"/>
      <c r="QLJ27" s="433"/>
      <c r="QLK27" s="433"/>
      <c r="QLL27" s="433"/>
      <c r="QLM27" s="433"/>
      <c r="QLN27" s="433"/>
      <c r="QLO27" s="433"/>
      <c r="QLP27" s="1037"/>
      <c r="QLQ27" s="1438"/>
      <c r="QLR27" s="433"/>
      <c r="QLS27" s="433"/>
      <c r="QLT27" s="433"/>
      <c r="QLU27" s="433"/>
      <c r="QLV27" s="433"/>
      <c r="QLW27" s="433"/>
      <c r="QLX27" s="433"/>
      <c r="QLY27" s="433"/>
      <c r="QLZ27" s="433"/>
      <c r="QMA27" s="433"/>
      <c r="QMB27" s="1037"/>
      <c r="QMC27" s="1438"/>
      <c r="QMD27" s="433"/>
      <c r="QME27" s="433"/>
      <c r="QMF27" s="433"/>
      <c r="QMG27" s="433"/>
      <c r="QMH27" s="433"/>
      <c r="QMI27" s="433"/>
      <c r="QMJ27" s="433"/>
      <c r="QMK27" s="433"/>
      <c r="QML27" s="433"/>
      <c r="QMM27" s="433"/>
      <c r="QMN27" s="1037"/>
      <c r="QMO27" s="1438"/>
      <c r="QMP27" s="433"/>
      <c r="QMQ27" s="433"/>
      <c r="QMR27" s="433"/>
      <c r="QMS27" s="433"/>
      <c r="QMT27" s="433"/>
      <c r="QMU27" s="433"/>
      <c r="QMV27" s="433"/>
      <c r="QMW27" s="433"/>
      <c r="QMX27" s="433"/>
      <c r="QMY27" s="433"/>
      <c r="QMZ27" s="1037"/>
      <c r="QNA27" s="1438"/>
      <c r="QNB27" s="433"/>
      <c r="QNC27" s="433"/>
      <c r="QND27" s="433"/>
      <c r="QNE27" s="433"/>
      <c r="QNF27" s="433"/>
      <c r="QNG27" s="433"/>
      <c r="QNH27" s="433"/>
      <c r="QNI27" s="433"/>
      <c r="QNJ27" s="433"/>
      <c r="QNK27" s="433"/>
      <c r="QNL27" s="1037"/>
      <c r="QNM27" s="1438"/>
      <c r="QNN27" s="433"/>
      <c r="QNO27" s="433"/>
      <c r="QNP27" s="433"/>
      <c r="QNQ27" s="433"/>
      <c r="QNR27" s="433"/>
      <c r="QNS27" s="433"/>
      <c r="QNT27" s="433"/>
      <c r="QNU27" s="433"/>
      <c r="QNV27" s="433"/>
      <c r="QNW27" s="433"/>
      <c r="QNX27" s="1037"/>
      <c r="QNY27" s="1438"/>
      <c r="QNZ27" s="433"/>
      <c r="QOA27" s="433"/>
      <c r="QOB27" s="433"/>
      <c r="QOC27" s="433"/>
      <c r="QOD27" s="433"/>
      <c r="QOE27" s="433"/>
      <c r="QOF27" s="433"/>
      <c r="QOG27" s="433"/>
      <c r="QOH27" s="433"/>
      <c r="QOI27" s="433"/>
      <c r="QOJ27" s="1037"/>
      <c r="QOK27" s="1438"/>
      <c r="QOL27" s="433"/>
      <c r="QOM27" s="433"/>
      <c r="QON27" s="433"/>
      <c r="QOO27" s="433"/>
      <c r="QOP27" s="433"/>
      <c r="QOQ27" s="433"/>
      <c r="QOR27" s="433"/>
      <c r="QOS27" s="433"/>
      <c r="QOT27" s="433"/>
      <c r="QOU27" s="433"/>
      <c r="QOV27" s="1037"/>
      <c r="QOW27" s="1438"/>
      <c r="QOX27" s="433"/>
      <c r="QOY27" s="433"/>
      <c r="QOZ27" s="433"/>
      <c r="QPA27" s="433"/>
      <c r="QPB27" s="433"/>
      <c r="QPC27" s="433"/>
      <c r="QPD27" s="433"/>
      <c r="QPE27" s="433"/>
      <c r="QPF27" s="433"/>
      <c r="QPG27" s="433"/>
      <c r="QPH27" s="1037"/>
      <c r="QPI27" s="1438"/>
      <c r="QPJ27" s="433"/>
      <c r="QPK27" s="433"/>
      <c r="QPL27" s="433"/>
      <c r="QPM27" s="433"/>
      <c r="QPN27" s="433"/>
      <c r="QPO27" s="433"/>
      <c r="QPP27" s="433"/>
      <c r="QPQ27" s="433"/>
      <c r="QPR27" s="433"/>
      <c r="QPS27" s="433"/>
      <c r="QPT27" s="1037"/>
      <c r="QPU27" s="1438"/>
      <c r="QPV27" s="433"/>
      <c r="QPW27" s="433"/>
      <c r="QPX27" s="433"/>
      <c r="QPY27" s="433"/>
      <c r="QPZ27" s="433"/>
      <c r="QQA27" s="433"/>
      <c r="QQB27" s="433"/>
      <c r="QQC27" s="433"/>
      <c r="QQD27" s="433"/>
      <c r="QQE27" s="433"/>
      <c r="QQF27" s="1037"/>
      <c r="QQG27" s="1438"/>
      <c r="QQH27" s="433"/>
      <c r="QQI27" s="433"/>
      <c r="QQJ27" s="433"/>
      <c r="QQK27" s="433"/>
      <c r="QQL27" s="433"/>
      <c r="QQM27" s="433"/>
      <c r="QQN27" s="433"/>
      <c r="QQO27" s="433"/>
      <c r="QQP27" s="433"/>
      <c r="QQQ27" s="433"/>
      <c r="QQR27" s="1037"/>
      <c r="QQS27" s="1438"/>
      <c r="QQT27" s="433"/>
      <c r="QQU27" s="433"/>
      <c r="QQV27" s="433"/>
      <c r="QQW27" s="433"/>
      <c r="QQX27" s="433"/>
      <c r="QQY27" s="433"/>
      <c r="QQZ27" s="433"/>
      <c r="QRA27" s="433"/>
      <c r="QRB27" s="433"/>
      <c r="QRC27" s="433"/>
      <c r="QRD27" s="1037"/>
      <c r="QRE27" s="1438"/>
      <c r="QRF27" s="433"/>
      <c r="QRG27" s="433"/>
      <c r="QRH27" s="433"/>
      <c r="QRI27" s="433"/>
      <c r="QRJ27" s="433"/>
      <c r="QRK27" s="433"/>
      <c r="QRL27" s="433"/>
      <c r="QRM27" s="433"/>
      <c r="QRN27" s="433"/>
      <c r="QRO27" s="433"/>
      <c r="QRP27" s="1037"/>
      <c r="QRQ27" s="1438"/>
      <c r="QRR27" s="433"/>
      <c r="QRS27" s="433"/>
      <c r="QRT27" s="433"/>
      <c r="QRU27" s="433"/>
      <c r="QRV27" s="433"/>
      <c r="QRW27" s="433"/>
      <c r="QRX27" s="433"/>
      <c r="QRY27" s="433"/>
      <c r="QRZ27" s="433"/>
      <c r="QSA27" s="433"/>
      <c r="QSB27" s="1037"/>
      <c r="QSC27" s="1438"/>
      <c r="QSD27" s="433"/>
      <c r="QSE27" s="433"/>
      <c r="QSF27" s="433"/>
      <c r="QSG27" s="433"/>
      <c r="QSH27" s="433"/>
      <c r="QSI27" s="433"/>
      <c r="QSJ27" s="433"/>
      <c r="QSK27" s="433"/>
      <c r="QSL27" s="433"/>
      <c r="QSM27" s="433"/>
      <c r="QSN27" s="1037"/>
      <c r="QSO27" s="1438"/>
      <c r="QSP27" s="433"/>
      <c r="QSQ27" s="433"/>
      <c r="QSR27" s="433"/>
      <c r="QSS27" s="433"/>
      <c r="QST27" s="433"/>
      <c r="QSU27" s="433"/>
      <c r="QSV27" s="433"/>
      <c r="QSW27" s="433"/>
      <c r="QSX27" s="433"/>
      <c r="QSY27" s="433"/>
      <c r="QSZ27" s="1037"/>
      <c r="QTA27" s="1438"/>
      <c r="QTB27" s="433"/>
      <c r="QTC27" s="433"/>
      <c r="QTD27" s="433"/>
      <c r="QTE27" s="433"/>
      <c r="QTF27" s="433"/>
      <c r="QTG27" s="433"/>
      <c r="QTH27" s="433"/>
      <c r="QTI27" s="433"/>
      <c r="QTJ27" s="433"/>
      <c r="QTK27" s="433"/>
      <c r="QTL27" s="1037"/>
      <c r="QTM27" s="1438"/>
      <c r="QTN27" s="433"/>
      <c r="QTO27" s="433"/>
      <c r="QTP27" s="433"/>
      <c r="QTQ27" s="433"/>
      <c r="QTR27" s="433"/>
      <c r="QTS27" s="433"/>
      <c r="QTT27" s="433"/>
      <c r="QTU27" s="433"/>
      <c r="QTV27" s="433"/>
      <c r="QTW27" s="433"/>
      <c r="QTX27" s="1037"/>
      <c r="QTY27" s="1438"/>
      <c r="QTZ27" s="433"/>
      <c r="QUA27" s="433"/>
      <c r="QUB27" s="433"/>
      <c r="QUC27" s="433"/>
      <c r="QUD27" s="433"/>
      <c r="QUE27" s="433"/>
      <c r="QUF27" s="433"/>
      <c r="QUG27" s="433"/>
      <c r="QUH27" s="433"/>
      <c r="QUI27" s="433"/>
      <c r="QUJ27" s="1037"/>
      <c r="QUK27" s="1438"/>
      <c r="QUL27" s="433"/>
      <c r="QUM27" s="433"/>
      <c r="QUN27" s="433"/>
      <c r="QUO27" s="433"/>
      <c r="QUP27" s="433"/>
      <c r="QUQ27" s="433"/>
      <c r="QUR27" s="433"/>
      <c r="QUS27" s="433"/>
      <c r="QUT27" s="433"/>
      <c r="QUU27" s="433"/>
      <c r="QUV27" s="1037"/>
      <c r="QUW27" s="1438"/>
      <c r="QUX27" s="433"/>
      <c r="QUY27" s="433"/>
      <c r="QUZ27" s="433"/>
      <c r="QVA27" s="433"/>
      <c r="QVB27" s="433"/>
      <c r="QVC27" s="433"/>
      <c r="QVD27" s="433"/>
      <c r="QVE27" s="433"/>
      <c r="QVF27" s="433"/>
      <c r="QVG27" s="433"/>
      <c r="QVH27" s="1037"/>
      <c r="QVI27" s="1438"/>
      <c r="QVJ27" s="433"/>
      <c r="QVK27" s="433"/>
      <c r="QVL27" s="433"/>
      <c r="QVM27" s="433"/>
      <c r="QVN27" s="433"/>
      <c r="QVO27" s="433"/>
      <c r="QVP27" s="433"/>
      <c r="QVQ27" s="433"/>
      <c r="QVR27" s="433"/>
      <c r="QVS27" s="433"/>
      <c r="QVT27" s="1037"/>
      <c r="QVU27" s="1438"/>
      <c r="QVV27" s="433"/>
      <c r="QVW27" s="433"/>
      <c r="QVX27" s="433"/>
      <c r="QVY27" s="433"/>
      <c r="QVZ27" s="433"/>
      <c r="QWA27" s="433"/>
      <c r="QWB27" s="433"/>
      <c r="QWC27" s="433"/>
      <c r="QWD27" s="433"/>
      <c r="QWE27" s="433"/>
      <c r="QWF27" s="1037"/>
      <c r="QWG27" s="1438"/>
      <c r="QWH27" s="433"/>
      <c r="QWI27" s="433"/>
      <c r="QWJ27" s="433"/>
      <c r="QWK27" s="433"/>
      <c r="QWL27" s="433"/>
      <c r="QWM27" s="433"/>
      <c r="QWN27" s="433"/>
      <c r="QWO27" s="433"/>
      <c r="QWP27" s="433"/>
      <c r="QWQ27" s="433"/>
      <c r="QWR27" s="1037"/>
      <c r="QWS27" s="1438"/>
      <c r="QWT27" s="433"/>
      <c r="QWU27" s="433"/>
      <c r="QWV27" s="433"/>
      <c r="QWW27" s="433"/>
      <c r="QWX27" s="433"/>
      <c r="QWY27" s="433"/>
      <c r="QWZ27" s="433"/>
      <c r="QXA27" s="433"/>
      <c r="QXB27" s="433"/>
      <c r="QXC27" s="433"/>
      <c r="QXD27" s="1037"/>
      <c r="QXE27" s="1438"/>
      <c r="QXF27" s="433"/>
      <c r="QXG27" s="433"/>
      <c r="QXH27" s="433"/>
      <c r="QXI27" s="433"/>
      <c r="QXJ27" s="433"/>
      <c r="QXK27" s="433"/>
      <c r="QXL27" s="433"/>
      <c r="QXM27" s="433"/>
      <c r="QXN27" s="433"/>
      <c r="QXO27" s="433"/>
      <c r="QXP27" s="1037"/>
      <c r="QXQ27" s="1438"/>
      <c r="QXR27" s="433"/>
      <c r="QXS27" s="433"/>
      <c r="QXT27" s="433"/>
      <c r="QXU27" s="433"/>
      <c r="QXV27" s="433"/>
      <c r="QXW27" s="433"/>
      <c r="QXX27" s="433"/>
      <c r="QXY27" s="433"/>
      <c r="QXZ27" s="433"/>
      <c r="QYA27" s="433"/>
      <c r="QYB27" s="1037"/>
      <c r="QYC27" s="1438"/>
      <c r="QYD27" s="433"/>
      <c r="QYE27" s="433"/>
      <c r="QYF27" s="433"/>
      <c r="QYG27" s="433"/>
      <c r="QYH27" s="433"/>
      <c r="QYI27" s="433"/>
      <c r="QYJ27" s="433"/>
      <c r="QYK27" s="433"/>
      <c r="QYL27" s="433"/>
      <c r="QYM27" s="433"/>
      <c r="QYN27" s="1037"/>
      <c r="QYO27" s="1438"/>
      <c r="QYP27" s="433"/>
      <c r="QYQ27" s="433"/>
      <c r="QYR27" s="433"/>
      <c r="QYS27" s="433"/>
      <c r="QYT27" s="433"/>
      <c r="QYU27" s="433"/>
      <c r="QYV27" s="433"/>
      <c r="QYW27" s="433"/>
      <c r="QYX27" s="433"/>
      <c r="QYY27" s="433"/>
      <c r="QYZ27" s="1037"/>
      <c r="QZA27" s="1438"/>
      <c r="QZB27" s="433"/>
      <c r="QZC27" s="433"/>
      <c r="QZD27" s="433"/>
      <c r="QZE27" s="433"/>
      <c r="QZF27" s="433"/>
      <c r="QZG27" s="433"/>
      <c r="QZH27" s="433"/>
      <c r="QZI27" s="433"/>
      <c r="QZJ27" s="433"/>
      <c r="QZK27" s="433"/>
      <c r="QZL27" s="1037"/>
      <c r="QZM27" s="1438"/>
      <c r="QZN27" s="433"/>
      <c r="QZO27" s="433"/>
      <c r="QZP27" s="433"/>
      <c r="QZQ27" s="433"/>
      <c r="QZR27" s="433"/>
      <c r="QZS27" s="433"/>
      <c r="QZT27" s="433"/>
      <c r="QZU27" s="433"/>
      <c r="QZV27" s="433"/>
      <c r="QZW27" s="433"/>
      <c r="QZX27" s="1037"/>
      <c r="QZY27" s="1438"/>
      <c r="QZZ27" s="433"/>
      <c r="RAA27" s="433"/>
      <c r="RAB27" s="433"/>
      <c r="RAC27" s="433"/>
      <c r="RAD27" s="433"/>
      <c r="RAE27" s="433"/>
      <c r="RAF27" s="433"/>
      <c r="RAG27" s="433"/>
      <c r="RAH27" s="433"/>
      <c r="RAI27" s="433"/>
      <c r="RAJ27" s="1037"/>
      <c r="RAK27" s="1438"/>
      <c r="RAL27" s="433"/>
      <c r="RAM27" s="433"/>
      <c r="RAN27" s="433"/>
      <c r="RAO27" s="433"/>
      <c r="RAP27" s="433"/>
      <c r="RAQ27" s="433"/>
      <c r="RAR27" s="433"/>
      <c r="RAS27" s="433"/>
      <c r="RAT27" s="433"/>
      <c r="RAU27" s="433"/>
      <c r="RAV27" s="1037"/>
      <c r="RAW27" s="1438"/>
      <c r="RAX27" s="433"/>
      <c r="RAY27" s="433"/>
      <c r="RAZ27" s="433"/>
      <c r="RBA27" s="433"/>
      <c r="RBB27" s="433"/>
      <c r="RBC27" s="433"/>
      <c r="RBD27" s="433"/>
      <c r="RBE27" s="433"/>
      <c r="RBF27" s="433"/>
      <c r="RBG27" s="433"/>
      <c r="RBH27" s="1037"/>
      <c r="RBI27" s="1438"/>
      <c r="RBJ27" s="433"/>
      <c r="RBK27" s="433"/>
      <c r="RBL27" s="433"/>
      <c r="RBM27" s="433"/>
      <c r="RBN27" s="433"/>
      <c r="RBO27" s="433"/>
      <c r="RBP27" s="433"/>
      <c r="RBQ27" s="433"/>
      <c r="RBR27" s="433"/>
      <c r="RBS27" s="433"/>
      <c r="RBT27" s="1037"/>
      <c r="RBU27" s="1438"/>
      <c r="RBV27" s="433"/>
      <c r="RBW27" s="433"/>
      <c r="RBX27" s="433"/>
      <c r="RBY27" s="433"/>
      <c r="RBZ27" s="433"/>
      <c r="RCA27" s="433"/>
      <c r="RCB27" s="433"/>
      <c r="RCC27" s="433"/>
      <c r="RCD27" s="433"/>
      <c r="RCE27" s="433"/>
      <c r="RCF27" s="1037"/>
      <c r="RCG27" s="1438"/>
      <c r="RCH27" s="433"/>
      <c r="RCI27" s="433"/>
      <c r="RCJ27" s="433"/>
      <c r="RCK27" s="433"/>
      <c r="RCL27" s="433"/>
      <c r="RCM27" s="433"/>
      <c r="RCN27" s="433"/>
      <c r="RCO27" s="433"/>
      <c r="RCP27" s="433"/>
      <c r="RCQ27" s="433"/>
      <c r="RCR27" s="1037"/>
      <c r="RCS27" s="1438"/>
      <c r="RCT27" s="433"/>
      <c r="RCU27" s="433"/>
      <c r="RCV27" s="433"/>
      <c r="RCW27" s="433"/>
      <c r="RCX27" s="433"/>
      <c r="RCY27" s="433"/>
      <c r="RCZ27" s="433"/>
      <c r="RDA27" s="433"/>
      <c r="RDB27" s="433"/>
      <c r="RDC27" s="433"/>
      <c r="RDD27" s="1037"/>
      <c r="RDE27" s="1438"/>
      <c r="RDF27" s="433"/>
      <c r="RDG27" s="433"/>
      <c r="RDH27" s="433"/>
      <c r="RDI27" s="433"/>
      <c r="RDJ27" s="433"/>
      <c r="RDK27" s="433"/>
      <c r="RDL27" s="433"/>
      <c r="RDM27" s="433"/>
      <c r="RDN27" s="433"/>
      <c r="RDO27" s="433"/>
      <c r="RDP27" s="1037"/>
      <c r="RDQ27" s="1438"/>
      <c r="RDR27" s="433"/>
      <c r="RDS27" s="433"/>
      <c r="RDT27" s="433"/>
      <c r="RDU27" s="433"/>
      <c r="RDV27" s="433"/>
      <c r="RDW27" s="433"/>
      <c r="RDX27" s="433"/>
      <c r="RDY27" s="433"/>
      <c r="RDZ27" s="433"/>
      <c r="REA27" s="433"/>
      <c r="REB27" s="1037"/>
      <c r="REC27" s="1438"/>
      <c r="RED27" s="433"/>
      <c r="REE27" s="433"/>
      <c r="REF27" s="433"/>
      <c r="REG27" s="433"/>
      <c r="REH27" s="433"/>
      <c r="REI27" s="433"/>
      <c r="REJ27" s="433"/>
      <c r="REK27" s="433"/>
      <c r="REL27" s="433"/>
      <c r="REM27" s="433"/>
      <c r="REN27" s="1037"/>
      <c r="REO27" s="1438"/>
      <c r="REP27" s="433"/>
      <c r="REQ27" s="433"/>
      <c r="RER27" s="433"/>
      <c r="RES27" s="433"/>
      <c r="RET27" s="433"/>
      <c r="REU27" s="433"/>
      <c r="REV27" s="433"/>
      <c r="REW27" s="433"/>
      <c r="REX27" s="433"/>
      <c r="REY27" s="433"/>
      <c r="REZ27" s="1037"/>
      <c r="RFA27" s="1438"/>
      <c r="RFB27" s="433"/>
      <c r="RFC27" s="433"/>
      <c r="RFD27" s="433"/>
      <c r="RFE27" s="433"/>
      <c r="RFF27" s="433"/>
      <c r="RFG27" s="433"/>
      <c r="RFH27" s="433"/>
      <c r="RFI27" s="433"/>
      <c r="RFJ27" s="433"/>
      <c r="RFK27" s="433"/>
      <c r="RFL27" s="1037"/>
      <c r="RFM27" s="1438"/>
      <c r="RFN27" s="433"/>
      <c r="RFO27" s="433"/>
      <c r="RFP27" s="433"/>
      <c r="RFQ27" s="433"/>
      <c r="RFR27" s="433"/>
      <c r="RFS27" s="433"/>
      <c r="RFT27" s="433"/>
      <c r="RFU27" s="433"/>
      <c r="RFV27" s="433"/>
      <c r="RFW27" s="433"/>
      <c r="RFX27" s="1037"/>
      <c r="RFY27" s="1438"/>
      <c r="RFZ27" s="433"/>
      <c r="RGA27" s="433"/>
      <c r="RGB27" s="433"/>
      <c r="RGC27" s="433"/>
      <c r="RGD27" s="433"/>
      <c r="RGE27" s="433"/>
      <c r="RGF27" s="433"/>
      <c r="RGG27" s="433"/>
      <c r="RGH27" s="433"/>
      <c r="RGI27" s="433"/>
      <c r="RGJ27" s="1037"/>
      <c r="RGK27" s="1438"/>
      <c r="RGL27" s="433"/>
      <c r="RGM27" s="433"/>
      <c r="RGN27" s="433"/>
      <c r="RGO27" s="433"/>
      <c r="RGP27" s="433"/>
      <c r="RGQ27" s="433"/>
      <c r="RGR27" s="433"/>
      <c r="RGS27" s="433"/>
      <c r="RGT27" s="433"/>
      <c r="RGU27" s="433"/>
      <c r="RGV27" s="1037"/>
      <c r="RGW27" s="1438"/>
      <c r="RGX27" s="433"/>
      <c r="RGY27" s="433"/>
      <c r="RGZ27" s="433"/>
      <c r="RHA27" s="433"/>
      <c r="RHB27" s="433"/>
      <c r="RHC27" s="433"/>
      <c r="RHD27" s="433"/>
      <c r="RHE27" s="433"/>
      <c r="RHF27" s="433"/>
      <c r="RHG27" s="433"/>
      <c r="RHH27" s="1037"/>
      <c r="RHI27" s="1438"/>
      <c r="RHJ27" s="433"/>
      <c r="RHK27" s="433"/>
      <c r="RHL27" s="433"/>
      <c r="RHM27" s="433"/>
      <c r="RHN27" s="433"/>
      <c r="RHO27" s="433"/>
      <c r="RHP27" s="433"/>
      <c r="RHQ27" s="433"/>
      <c r="RHR27" s="433"/>
      <c r="RHS27" s="433"/>
      <c r="RHT27" s="1037"/>
      <c r="RHU27" s="1438"/>
      <c r="RHV27" s="433"/>
      <c r="RHW27" s="433"/>
      <c r="RHX27" s="433"/>
      <c r="RHY27" s="433"/>
      <c r="RHZ27" s="433"/>
      <c r="RIA27" s="433"/>
      <c r="RIB27" s="433"/>
      <c r="RIC27" s="433"/>
      <c r="RID27" s="433"/>
      <c r="RIE27" s="433"/>
      <c r="RIF27" s="1037"/>
      <c r="RIG27" s="1438"/>
      <c r="RIH27" s="433"/>
      <c r="RII27" s="433"/>
      <c r="RIJ27" s="433"/>
      <c r="RIK27" s="433"/>
      <c r="RIL27" s="433"/>
      <c r="RIM27" s="433"/>
      <c r="RIN27" s="433"/>
      <c r="RIO27" s="433"/>
      <c r="RIP27" s="433"/>
      <c r="RIQ27" s="433"/>
      <c r="RIR27" s="1037"/>
      <c r="RIS27" s="1438"/>
      <c r="RIT27" s="433"/>
      <c r="RIU27" s="433"/>
      <c r="RIV27" s="433"/>
      <c r="RIW27" s="433"/>
      <c r="RIX27" s="433"/>
      <c r="RIY27" s="433"/>
      <c r="RIZ27" s="433"/>
      <c r="RJA27" s="433"/>
      <c r="RJB27" s="433"/>
      <c r="RJC27" s="433"/>
      <c r="RJD27" s="1037"/>
      <c r="RJE27" s="1438"/>
      <c r="RJF27" s="433"/>
      <c r="RJG27" s="433"/>
      <c r="RJH27" s="433"/>
      <c r="RJI27" s="433"/>
      <c r="RJJ27" s="433"/>
      <c r="RJK27" s="433"/>
      <c r="RJL27" s="433"/>
      <c r="RJM27" s="433"/>
      <c r="RJN27" s="433"/>
      <c r="RJO27" s="433"/>
      <c r="RJP27" s="1037"/>
      <c r="RJQ27" s="1438"/>
      <c r="RJR27" s="433"/>
      <c r="RJS27" s="433"/>
      <c r="RJT27" s="433"/>
      <c r="RJU27" s="433"/>
      <c r="RJV27" s="433"/>
      <c r="RJW27" s="433"/>
      <c r="RJX27" s="433"/>
      <c r="RJY27" s="433"/>
      <c r="RJZ27" s="433"/>
      <c r="RKA27" s="433"/>
      <c r="RKB27" s="1037"/>
      <c r="RKC27" s="1438"/>
      <c r="RKD27" s="433"/>
      <c r="RKE27" s="433"/>
      <c r="RKF27" s="433"/>
      <c r="RKG27" s="433"/>
      <c r="RKH27" s="433"/>
      <c r="RKI27" s="433"/>
      <c r="RKJ27" s="433"/>
      <c r="RKK27" s="433"/>
      <c r="RKL27" s="433"/>
      <c r="RKM27" s="433"/>
      <c r="RKN27" s="1037"/>
      <c r="RKO27" s="1438"/>
      <c r="RKP27" s="433"/>
      <c r="RKQ27" s="433"/>
      <c r="RKR27" s="433"/>
      <c r="RKS27" s="433"/>
      <c r="RKT27" s="433"/>
      <c r="RKU27" s="433"/>
      <c r="RKV27" s="433"/>
      <c r="RKW27" s="433"/>
      <c r="RKX27" s="433"/>
      <c r="RKY27" s="433"/>
      <c r="RKZ27" s="1037"/>
      <c r="RLA27" s="1438"/>
      <c r="RLB27" s="433"/>
      <c r="RLC27" s="433"/>
      <c r="RLD27" s="433"/>
      <c r="RLE27" s="433"/>
      <c r="RLF27" s="433"/>
      <c r="RLG27" s="433"/>
      <c r="RLH27" s="433"/>
      <c r="RLI27" s="433"/>
      <c r="RLJ27" s="433"/>
      <c r="RLK27" s="433"/>
      <c r="RLL27" s="1037"/>
      <c r="RLM27" s="1438"/>
      <c r="RLN27" s="433"/>
      <c r="RLO27" s="433"/>
      <c r="RLP27" s="433"/>
      <c r="RLQ27" s="433"/>
      <c r="RLR27" s="433"/>
      <c r="RLS27" s="433"/>
      <c r="RLT27" s="433"/>
      <c r="RLU27" s="433"/>
      <c r="RLV27" s="433"/>
      <c r="RLW27" s="433"/>
      <c r="RLX27" s="1037"/>
      <c r="RLY27" s="1438"/>
      <c r="RLZ27" s="433"/>
      <c r="RMA27" s="433"/>
      <c r="RMB27" s="433"/>
      <c r="RMC27" s="433"/>
      <c r="RMD27" s="433"/>
      <c r="RME27" s="433"/>
      <c r="RMF27" s="433"/>
      <c r="RMG27" s="433"/>
      <c r="RMH27" s="433"/>
      <c r="RMI27" s="433"/>
      <c r="RMJ27" s="1037"/>
      <c r="RMK27" s="1438"/>
      <c r="RML27" s="433"/>
      <c r="RMM27" s="433"/>
      <c r="RMN27" s="433"/>
      <c r="RMO27" s="433"/>
      <c r="RMP27" s="433"/>
      <c r="RMQ27" s="433"/>
      <c r="RMR27" s="433"/>
      <c r="RMS27" s="433"/>
      <c r="RMT27" s="433"/>
      <c r="RMU27" s="433"/>
      <c r="RMV27" s="1037"/>
      <c r="RMW27" s="1438"/>
      <c r="RMX27" s="433"/>
      <c r="RMY27" s="433"/>
      <c r="RMZ27" s="433"/>
      <c r="RNA27" s="433"/>
      <c r="RNB27" s="433"/>
      <c r="RNC27" s="433"/>
      <c r="RND27" s="433"/>
      <c r="RNE27" s="433"/>
      <c r="RNF27" s="433"/>
      <c r="RNG27" s="433"/>
      <c r="RNH27" s="1037"/>
      <c r="RNI27" s="1438"/>
      <c r="RNJ27" s="433"/>
      <c r="RNK27" s="433"/>
      <c r="RNL27" s="433"/>
      <c r="RNM27" s="433"/>
      <c r="RNN27" s="433"/>
      <c r="RNO27" s="433"/>
      <c r="RNP27" s="433"/>
      <c r="RNQ27" s="433"/>
      <c r="RNR27" s="433"/>
      <c r="RNS27" s="433"/>
      <c r="RNT27" s="1037"/>
      <c r="RNU27" s="1438"/>
      <c r="RNV27" s="433"/>
      <c r="RNW27" s="433"/>
      <c r="RNX27" s="433"/>
      <c r="RNY27" s="433"/>
      <c r="RNZ27" s="433"/>
      <c r="ROA27" s="433"/>
      <c r="ROB27" s="433"/>
      <c r="ROC27" s="433"/>
      <c r="ROD27" s="433"/>
      <c r="ROE27" s="433"/>
      <c r="ROF27" s="1037"/>
      <c r="ROG27" s="1438"/>
      <c r="ROH27" s="433"/>
      <c r="ROI27" s="433"/>
      <c r="ROJ27" s="433"/>
      <c r="ROK27" s="433"/>
      <c r="ROL27" s="433"/>
      <c r="ROM27" s="433"/>
      <c r="RON27" s="433"/>
      <c r="ROO27" s="433"/>
      <c r="ROP27" s="433"/>
      <c r="ROQ27" s="433"/>
      <c r="ROR27" s="1037"/>
      <c r="ROS27" s="1438"/>
      <c r="ROT27" s="433"/>
      <c r="ROU27" s="433"/>
      <c r="ROV27" s="433"/>
      <c r="ROW27" s="433"/>
      <c r="ROX27" s="433"/>
      <c r="ROY27" s="433"/>
      <c r="ROZ27" s="433"/>
      <c r="RPA27" s="433"/>
      <c r="RPB27" s="433"/>
      <c r="RPC27" s="433"/>
      <c r="RPD27" s="1037"/>
      <c r="RPE27" s="1438"/>
      <c r="RPF27" s="433"/>
      <c r="RPG27" s="433"/>
      <c r="RPH27" s="433"/>
      <c r="RPI27" s="433"/>
      <c r="RPJ27" s="433"/>
      <c r="RPK27" s="433"/>
      <c r="RPL27" s="433"/>
      <c r="RPM27" s="433"/>
      <c r="RPN27" s="433"/>
      <c r="RPO27" s="433"/>
      <c r="RPP27" s="1037"/>
      <c r="RPQ27" s="1438"/>
      <c r="RPR27" s="433"/>
      <c r="RPS27" s="433"/>
      <c r="RPT27" s="433"/>
      <c r="RPU27" s="433"/>
      <c r="RPV27" s="433"/>
      <c r="RPW27" s="433"/>
      <c r="RPX27" s="433"/>
      <c r="RPY27" s="433"/>
      <c r="RPZ27" s="433"/>
      <c r="RQA27" s="433"/>
      <c r="RQB27" s="1037"/>
      <c r="RQC27" s="1438"/>
      <c r="RQD27" s="433"/>
      <c r="RQE27" s="433"/>
      <c r="RQF27" s="433"/>
      <c r="RQG27" s="433"/>
      <c r="RQH27" s="433"/>
      <c r="RQI27" s="433"/>
      <c r="RQJ27" s="433"/>
      <c r="RQK27" s="433"/>
      <c r="RQL27" s="433"/>
      <c r="RQM27" s="433"/>
      <c r="RQN27" s="1037"/>
      <c r="RQO27" s="1438"/>
      <c r="RQP27" s="433"/>
      <c r="RQQ27" s="433"/>
      <c r="RQR27" s="433"/>
      <c r="RQS27" s="433"/>
      <c r="RQT27" s="433"/>
      <c r="RQU27" s="433"/>
      <c r="RQV27" s="433"/>
      <c r="RQW27" s="433"/>
      <c r="RQX27" s="433"/>
      <c r="RQY27" s="433"/>
      <c r="RQZ27" s="1037"/>
      <c r="RRA27" s="1438"/>
      <c r="RRB27" s="433"/>
      <c r="RRC27" s="433"/>
      <c r="RRD27" s="433"/>
      <c r="RRE27" s="433"/>
      <c r="RRF27" s="433"/>
      <c r="RRG27" s="433"/>
      <c r="RRH27" s="433"/>
      <c r="RRI27" s="433"/>
      <c r="RRJ27" s="433"/>
      <c r="RRK27" s="433"/>
      <c r="RRL27" s="1037"/>
      <c r="RRM27" s="1438"/>
      <c r="RRN27" s="433"/>
      <c r="RRO27" s="433"/>
      <c r="RRP27" s="433"/>
      <c r="RRQ27" s="433"/>
      <c r="RRR27" s="433"/>
      <c r="RRS27" s="433"/>
      <c r="RRT27" s="433"/>
      <c r="RRU27" s="433"/>
      <c r="RRV27" s="433"/>
      <c r="RRW27" s="433"/>
      <c r="RRX27" s="1037"/>
      <c r="RRY27" s="1438"/>
      <c r="RRZ27" s="433"/>
      <c r="RSA27" s="433"/>
      <c r="RSB27" s="433"/>
      <c r="RSC27" s="433"/>
      <c r="RSD27" s="433"/>
      <c r="RSE27" s="433"/>
      <c r="RSF27" s="433"/>
      <c r="RSG27" s="433"/>
      <c r="RSH27" s="433"/>
      <c r="RSI27" s="433"/>
      <c r="RSJ27" s="1037"/>
      <c r="RSK27" s="1438"/>
      <c r="RSL27" s="433"/>
      <c r="RSM27" s="433"/>
      <c r="RSN27" s="433"/>
      <c r="RSO27" s="433"/>
      <c r="RSP27" s="433"/>
      <c r="RSQ27" s="433"/>
      <c r="RSR27" s="433"/>
      <c r="RSS27" s="433"/>
      <c r="RST27" s="433"/>
      <c r="RSU27" s="433"/>
      <c r="RSV27" s="1037"/>
      <c r="RSW27" s="1438"/>
      <c r="RSX27" s="433"/>
      <c r="RSY27" s="433"/>
      <c r="RSZ27" s="433"/>
      <c r="RTA27" s="433"/>
      <c r="RTB27" s="433"/>
      <c r="RTC27" s="433"/>
      <c r="RTD27" s="433"/>
      <c r="RTE27" s="433"/>
      <c r="RTF27" s="433"/>
      <c r="RTG27" s="433"/>
      <c r="RTH27" s="1037"/>
      <c r="RTI27" s="1438"/>
      <c r="RTJ27" s="433"/>
      <c r="RTK27" s="433"/>
      <c r="RTL27" s="433"/>
      <c r="RTM27" s="433"/>
      <c r="RTN27" s="433"/>
      <c r="RTO27" s="433"/>
      <c r="RTP27" s="433"/>
      <c r="RTQ27" s="433"/>
      <c r="RTR27" s="433"/>
      <c r="RTS27" s="433"/>
      <c r="RTT27" s="1037"/>
      <c r="RTU27" s="1438"/>
      <c r="RTV27" s="433"/>
      <c r="RTW27" s="433"/>
      <c r="RTX27" s="433"/>
      <c r="RTY27" s="433"/>
      <c r="RTZ27" s="433"/>
      <c r="RUA27" s="433"/>
      <c r="RUB27" s="433"/>
      <c r="RUC27" s="433"/>
      <c r="RUD27" s="433"/>
      <c r="RUE27" s="433"/>
      <c r="RUF27" s="1037"/>
      <c r="RUG27" s="1438"/>
      <c r="RUH27" s="433"/>
      <c r="RUI27" s="433"/>
      <c r="RUJ27" s="433"/>
      <c r="RUK27" s="433"/>
      <c r="RUL27" s="433"/>
      <c r="RUM27" s="433"/>
      <c r="RUN27" s="433"/>
      <c r="RUO27" s="433"/>
      <c r="RUP27" s="433"/>
      <c r="RUQ27" s="433"/>
      <c r="RUR27" s="1037"/>
      <c r="RUS27" s="1438"/>
      <c r="RUT27" s="433"/>
      <c r="RUU27" s="433"/>
      <c r="RUV27" s="433"/>
      <c r="RUW27" s="433"/>
      <c r="RUX27" s="433"/>
      <c r="RUY27" s="433"/>
      <c r="RUZ27" s="433"/>
      <c r="RVA27" s="433"/>
      <c r="RVB27" s="433"/>
      <c r="RVC27" s="433"/>
      <c r="RVD27" s="1037"/>
      <c r="RVE27" s="1438"/>
      <c r="RVF27" s="433"/>
      <c r="RVG27" s="433"/>
      <c r="RVH27" s="433"/>
      <c r="RVI27" s="433"/>
      <c r="RVJ27" s="433"/>
      <c r="RVK27" s="433"/>
      <c r="RVL27" s="433"/>
      <c r="RVM27" s="433"/>
      <c r="RVN27" s="433"/>
      <c r="RVO27" s="433"/>
      <c r="RVP27" s="1037"/>
      <c r="RVQ27" s="1438"/>
      <c r="RVR27" s="433"/>
      <c r="RVS27" s="433"/>
      <c r="RVT27" s="433"/>
      <c r="RVU27" s="433"/>
      <c r="RVV27" s="433"/>
      <c r="RVW27" s="433"/>
      <c r="RVX27" s="433"/>
      <c r="RVY27" s="433"/>
      <c r="RVZ27" s="433"/>
      <c r="RWA27" s="433"/>
      <c r="RWB27" s="1037"/>
      <c r="RWC27" s="1438"/>
      <c r="RWD27" s="433"/>
      <c r="RWE27" s="433"/>
      <c r="RWF27" s="433"/>
      <c r="RWG27" s="433"/>
      <c r="RWH27" s="433"/>
      <c r="RWI27" s="433"/>
      <c r="RWJ27" s="433"/>
      <c r="RWK27" s="433"/>
      <c r="RWL27" s="433"/>
      <c r="RWM27" s="433"/>
      <c r="RWN27" s="1037"/>
      <c r="RWO27" s="1438"/>
      <c r="RWP27" s="433"/>
      <c r="RWQ27" s="433"/>
      <c r="RWR27" s="433"/>
      <c r="RWS27" s="433"/>
      <c r="RWT27" s="433"/>
      <c r="RWU27" s="433"/>
      <c r="RWV27" s="433"/>
      <c r="RWW27" s="433"/>
      <c r="RWX27" s="433"/>
      <c r="RWY27" s="433"/>
      <c r="RWZ27" s="1037"/>
      <c r="RXA27" s="1438"/>
      <c r="RXB27" s="433"/>
      <c r="RXC27" s="433"/>
      <c r="RXD27" s="433"/>
      <c r="RXE27" s="433"/>
      <c r="RXF27" s="433"/>
      <c r="RXG27" s="433"/>
      <c r="RXH27" s="433"/>
      <c r="RXI27" s="433"/>
      <c r="RXJ27" s="433"/>
      <c r="RXK27" s="433"/>
      <c r="RXL27" s="1037"/>
      <c r="RXM27" s="1438"/>
      <c r="RXN27" s="433"/>
      <c r="RXO27" s="433"/>
      <c r="RXP27" s="433"/>
      <c r="RXQ27" s="433"/>
      <c r="RXR27" s="433"/>
      <c r="RXS27" s="433"/>
      <c r="RXT27" s="433"/>
      <c r="RXU27" s="433"/>
      <c r="RXV27" s="433"/>
      <c r="RXW27" s="433"/>
      <c r="RXX27" s="1037"/>
      <c r="RXY27" s="1438"/>
      <c r="RXZ27" s="433"/>
      <c r="RYA27" s="433"/>
      <c r="RYB27" s="433"/>
      <c r="RYC27" s="433"/>
      <c r="RYD27" s="433"/>
      <c r="RYE27" s="433"/>
      <c r="RYF27" s="433"/>
      <c r="RYG27" s="433"/>
      <c r="RYH27" s="433"/>
      <c r="RYI27" s="433"/>
      <c r="RYJ27" s="1037"/>
      <c r="RYK27" s="1438"/>
      <c r="RYL27" s="433"/>
      <c r="RYM27" s="433"/>
      <c r="RYN27" s="433"/>
      <c r="RYO27" s="433"/>
      <c r="RYP27" s="433"/>
      <c r="RYQ27" s="433"/>
      <c r="RYR27" s="433"/>
      <c r="RYS27" s="433"/>
      <c r="RYT27" s="433"/>
      <c r="RYU27" s="433"/>
      <c r="RYV27" s="1037"/>
      <c r="RYW27" s="1438"/>
      <c r="RYX27" s="433"/>
      <c r="RYY27" s="433"/>
      <c r="RYZ27" s="433"/>
      <c r="RZA27" s="433"/>
      <c r="RZB27" s="433"/>
      <c r="RZC27" s="433"/>
      <c r="RZD27" s="433"/>
      <c r="RZE27" s="433"/>
      <c r="RZF27" s="433"/>
      <c r="RZG27" s="433"/>
      <c r="RZH27" s="1037"/>
      <c r="RZI27" s="1438"/>
      <c r="RZJ27" s="433"/>
      <c r="RZK27" s="433"/>
      <c r="RZL27" s="433"/>
      <c r="RZM27" s="433"/>
      <c r="RZN27" s="433"/>
      <c r="RZO27" s="433"/>
      <c r="RZP27" s="433"/>
      <c r="RZQ27" s="433"/>
      <c r="RZR27" s="433"/>
      <c r="RZS27" s="433"/>
      <c r="RZT27" s="1037"/>
      <c r="RZU27" s="1438"/>
      <c r="RZV27" s="433"/>
      <c r="RZW27" s="433"/>
      <c r="RZX27" s="433"/>
      <c r="RZY27" s="433"/>
      <c r="RZZ27" s="433"/>
      <c r="SAA27" s="433"/>
      <c r="SAB27" s="433"/>
      <c r="SAC27" s="433"/>
      <c r="SAD27" s="433"/>
      <c r="SAE27" s="433"/>
      <c r="SAF27" s="1037"/>
      <c r="SAG27" s="1438"/>
      <c r="SAH27" s="433"/>
      <c r="SAI27" s="433"/>
      <c r="SAJ27" s="433"/>
      <c r="SAK27" s="433"/>
      <c r="SAL27" s="433"/>
      <c r="SAM27" s="433"/>
      <c r="SAN27" s="433"/>
      <c r="SAO27" s="433"/>
      <c r="SAP27" s="433"/>
      <c r="SAQ27" s="433"/>
      <c r="SAR27" s="1037"/>
      <c r="SAS27" s="1438"/>
      <c r="SAT27" s="433"/>
      <c r="SAU27" s="433"/>
      <c r="SAV27" s="433"/>
      <c r="SAW27" s="433"/>
      <c r="SAX27" s="433"/>
      <c r="SAY27" s="433"/>
      <c r="SAZ27" s="433"/>
      <c r="SBA27" s="433"/>
      <c r="SBB27" s="433"/>
      <c r="SBC27" s="433"/>
      <c r="SBD27" s="1037"/>
      <c r="SBE27" s="1438"/>
      <c r="SBF27" s="433"/>
      <c r="SBG27" s="433"/>
      <c r="SBH27" s="433"/>
      <c r="SBI27" s="433"/>
      <c r="SBJ27" s="433"/>
      <c r="SBK27" s="433"/>
      <c r="SBL27" s="433"/>
      <c r="SBM27" s="433"/>
      <c r="SBN27" s="433"/>
      <c r="SBO27" s="433"/>
      <c r="SBP27" s="1037"/>
      <c r="SBQ27" s="1438"/>
      <c r="SBR27" s="433"/>
      <c r="SBS27" s="433"/>
      <c r="SBT27" s="433"/>
      <c r="SBU27" s="433"/>
      <c r="SBV27" s="433"/>
      <c r="SBW27" s="433"/>
      <c r="SBX27" s="433"/>
      <c r="SBY27" s="433"/>
      <c r="SBZ27" s="433"/>
      <c r="SCA27" s="433"/>
      <c r="SCB27" s="1037"/>
      <c r="SCC27" s="1438"/>
      <c r="SCD27" s="433"/>
      <c r="SCE27" s="433"/>
      <c r="SCF27" s="433"/>
      <c r="SCG27" s="433"/>
      <c r="SCH27" s="433"/>
      <c r="SCI27" s="433"/>
      <c r="SCJ27" s="433"/>
      <c r="SCK27" s="433"/>
      <c r="SCL27" s="433"/>
      <c r="SCM27" s="433"/>
      <c r="SCN27" s="1037"/>
      <c r="SCO27" s="1438"/>
      <c r="SCP27" s="433"/>
      <c r="SCQ27" s="433"/>
      <c r="SCR27" s="433"/>
      <c r="SCS27" s="433"/>
      <c r="SCT27" s="433"/>
      <c r="SCU27" s="433"/>
      <c r="SCV27" s="433"/>
      <c r="SCW27" s="433"/>
      <c r="SCX27" s="433"/>
      <c r="SCY27" s="433"/>
      <c r="SCZ27" s="1037"/>
      <c r="SDA27" s="1438"/>
      <c r="SDB27" s="433"/>
      <c r="SDC27" s="433"/>
      <c r="SDD27" s="433"/>
      <c r="SDE27" s="433"/>
      <c r="SDF27" s="433"/>
      <c r="SDG27" s="433"/>
      <c r="SDH27" s="433"/>
      <c r="SDI27" s="433"/>
      <c r="SDJ27" s="433"/>
      <c r="SDK27" s="433"/>
      <c r="SDL27" s="1037"/>
      <c r="SDM27" s="1438"/>
      <c r="SDN27" s="433"/>
      <c r="SDO27" s="433"/>
      <c r="SDP27" s="433"/>
      <c r="SDQ27" s="433"/>
      <c r="SDR27" s="433"/>
      <c r="SDS27" s="433"/>
      <c r="SDT27" s="433"/>
      <c r="SDU27" s="433"/>
      <c r="SDV27" s="433"/>
      <c r="SDW27" s="433"/>
      <c r="SDX27" s="1037"/>
      <c r="SDY27" s="1438"/>
      <c r="SDZ27" s="433"/>
      <c r="SEA27" s="433"/>
      <c r="SEB27" s="433"/>
      <c r="SEC27" s="433"/>
      <c r="SED27" s="433"/>
      <c r="SEE27" s="433"/>
      <c r="SEF27" s="433"/>
      <c r="SEG27" s="433"/>
      <c r="SEH27" s="433"/>
      <c r="SEI27" s="433"/>
      <c r="SEJ27" s="1037"/>
      <c r="SEK27" s="1438"/>
      <c r="SEL27" s="433"/>
      <c r="SEM27" s="433"/>
      <c r="SEN27" s="433"/>
      <c r="SEO27" s="433"/>
      <c r="SEP27" s="433"/>
      <c r="SEQ27" s="433"/>
      <c r="SER27" s="433"/>
      <c r="SES27" s="433"/>
      <c r="SET27" s="433"/>
      <c r="SEU27" s="433"/>
      <c r="SEV27" s="1037"/>
      <c r="SEW27" s="1438"/>
      <c r="SEX27" s="433"/>
      <c r="SEY27" s="433"/>
      <c r="SEZ27" s="433"/>
      <c r="SFA27" s="433"/>
      <c r="SFB27" s="433"/>
      <c r="SFC27" s="433"/>
      <c r="SFD27" s="433"/>
      <c r="SFE27" s="433"/>
      <c r="SFF27" s="433"/>
      <c r="SFG27" s="433"/>
      <c r="SFH27" s="1037"/>
      <c r="SFI27" s="1438"/>
      <c r="SFJ27" s="433"/>
      <c r="SFK27" s="433"/>
      <c r="SFL27" s="433"/>
      <c r="SFM27" s="433"/>
      <c r="SFN27" s="433"/>
      <c r="SFO27" s="433"/>
      <c r="SFP27" s="433"/>
      <c r="SFQ27" s="433"/>
      <c r="SFR27" s="433"/>
      <c r="SFS27" s="433"/>
      <c r="SFT27" s="1037"/>
      <c r="SFU27" s="1438"/>
      <c r="SFV27" s="433"/>
      <c r="SFW27" s="433"/>
      <c r="SFX27" s="433"/>
      <c r="SFY27" s="433"/>
      <c r="SFZ27" s="433"/>
      <c r="SGA27" s="433"/>
      <c r="SGB27" s="433"/>
      <c r="SGC27" s="433"/>
      <c r="SGD27" s="433"/>
      <c r="SGE27" s="433"/>
      <c r="SGF27" s="1037"/>
      <c r="SGG27" s="1438"/>
      <c r="SGH27" s="433"/>
      <c r="SGI27" s="433"/>
      <c r="SGJ27" s="433"/>
      <c r="SGK27" s="433"/>
      <c r="SGL27" s="433"/>
      <c r="SGM27" s="433"/>
      <c r="SGN27" s="433"/>
      <c r="SGO27" s="433"/>
      <c r="SGP27" s="433"/>
      <c r="SGQ27" s="433"/>
      <c r="SGR27" s="1037"/>
      <c r="SGS27" s="1438"/>
      <c r="SGT27" s="433"/>
      <c r="SGU27" s="433"/>
      <c r="SGV27" s="433"/>
      <c r="SGW27" s="433"/>
      <c r="SGX27" s="433"/>
      <c r="SGY27" s="433"/>
      <c r="SGZ27" s="433"/>
      <c r="SHA27" s="433"/>
      <c r="SHB27" s="433"/>
      <c r="SHC27" s="433"/>
      <c r="SHD27" s="1037"/>
      <c r="SHE27" s="1438"/>
      <c r="SHF27" s="433"/>
      <c r="SHG27" s="433"/>
      <c r="SHH27" s="433"/>
      <c r="SHI27" s="433"/>
      <c r="SHJ27" s="433"/>
      <c r="SHK27" s="433"/>
      <c r="SHL27" s="433"/>
      <c r="SHM27" s="433"/>
      <c r="SHN27" s="433"/>
      <c r="SHO27" s="433"/>
      <c r="SHP27" s="1037"/>
      <c r="SHQ27" s="1438"/>
      <c r="SHR27" s="433"/>
      <c r="SHS27" s="433"/>
      <c r="SHT27" s="433"/>
      <c r="SHU27" s="433"/>
      <c r="SHV27" s="433"/>
      <c r="SHW27" s="433"/>
      <c r="SHX27" s="433"/>
      <c r="SHY27" s="433"/>
      <c r="SHZ27" s="433"/>
      <c r="SIA27" s="433"/>
      <c r="SIB27" s="1037"/>
      <c r="SIC27" s="1438"/>
      <c r="SID27" s="433"/>
      <c r="SIE27" s="433"/>
      <c r="SIF27" s="433"/>
      <c r="SIG27" s="433"/>
      <c r="SIH27" s="433"/>
      <c r="SII27" s="433"/>
      <c r="SIJ27" s="433"/>
      <c r="SIK27" s="433"/>
      <c r="SIL27" s="433"/>
      <c r="SIM27" s="433"/>
      <c r="SIN27" s="1037"/>
      <c r="SIO27" s="1438"/>
      <c r="SIP27" s="433"/>
      <c r="SIQ27" s="433"/>
      <c r="SIR27" s="433"/>
      <c r="SIS27" s="433"/>
      <c r="SIT27" s="433"/>
      <c r="SIU27" s="433"/>
      <c r="SIV27" s="433"/>
      <c r="SIW27" s="433"/>
      <c r="SIX27" s="433"/>
      <c r="SIY27" s="433"/>
      <c r="SIZ27" s="1037"/>
      <c r="SJA27" s="1438"/>
      <c r="SJB27" s="433"/>
      <c r="SJC27" s="433"/>
      <c r="SJD27" s="433"/>
      <c r="SJE27" s="433"/>
      <c r="SJF27" s="433"/>
      <c r="SJG27" s="433"/>
      <c r="SJH27" s="433"/>
      <c r="SJI27" s="433"/>
      <c r="SJJ27" s="433"/>
      <c r="SJK27" s="433"/>
      <c r="SJL27" s="1037"/>
      <c r="SJM27" s="1438"/>
      <c r="SJN27" s="433"/>
      <c r="SJO27" s="433"/>
      <c r="SJP27" s="433"/>
      <c r="SJQ27" s="433"/>
      <c r="SJR27" s="433"/>
      <c r="SJS27" s="433"/>
      <c r="SJT27" s="433"/>
      <c r="SJU27" s="433"/>
      <c r="SJV27" s="433"/>
      <c r="SJW27" s="433"/>
      <c r="SJX27" s="1037"/>
      <c r="SJY27" s="1438"/>
      <c r="SJZ27" s="433"/>
      <c r="SKA27" s="433"/>
      <c r="SKB27" s="433"/>
      <c r="SKC27" s="433"/>
      <c r="SKD27" s="433"/>
      <c r="SKE27" s="433"/>
      <c r="SKF27" s="433"/>
      <c r="SKG27" s="433"/>
      <c r="SKH27" s="433"/>
      <c r="SKI27" s="433"/>
      <c r="SKJ27" s="1037"/>
      <c r="SKK27" s="1438"/>
      <c r="SKL27" s="433"/>
      <c r="SKM27" s="433"/>
      <c r="SKN27" s="433"/>
      <c r="SKO27" s="433"/>
      <c r="SKP27" s="433"/>
      <c r="SKQ27" s="433"/>
      <c r="SKR27" s="433"/>
      <c r="SKS27" s="433"/>
      <c r="SKT27" s="433"/>
      <c r="SKU27" s="433"/>
      <c r="SKV27" s="1037"/>
      <c r="SKW27" s="1438"/>
      <c r="SKX27" s="433"/>
      <c r="SKY27" s="433"/>
      <c r="SKZ27" s="433"/>
      <c r="SLA27" s="433"/>
      <c r="SLB27" s="433"/>
      <c r="SLC27" s="433"/>
      <c r="SLD27" s="433"/>
      <c r="SLE27" s="433"/>
      <c r="SLF27" s="433"/>
      <c r="SLG27" s="433"/>
      <c r="SLH27" s="1037"/>
      <c r="SLI27" s="1438"/>
      <c r="SLJ27" s="433"/>
      <c r="SLK27" s="433"/>
      <c r="SLL27" s="433"/>
      <c r="SLM27" s="433"/>
      <c r="SLN27" s="433"/>
      <c r="SLO27" s="433"/>
      <c r="SLP27" s="433"/>
      <c r="SLQ27" s="433"/>
      <c r="SLR27" s="433"/>
      <c r="SLS27" s="433"/>
      <c r="SLT27" s="1037"/>
      <c r="SLU27" s="1438"/>
      <c r="SLV27" s="433"/>
      <c r="SLW27" s="433"/>
      <c r="SLX27" s="433"/>
      <c r="SLY27" s="433"/>
      <c r="SLZ27" s="433"/>
      <c r="SMA27" s="433"/>
      <c r="SMB27" s="433"/>
      <c r="SMC27" s="433"/>
      <c r="SMD27" s="433"/>
      <c r="SME27" s="433"/>
      <c r="SMF27" s="1037"/>
      <c r="SMG27" s="1438"/>
      <c r="SMH27" s="433"/>
      <c r="SMI27" s="433"/>
      <c r="SMJ27" s="433"/>
      <c r="SMK27" s="433"/>
      <c r="SML27" s="433"/>
      <c r="SMM27" s="433"/>
      <c r="SMN27" s="433"/>
      <c r="SMO27" s="433"/>
      <c r="SMP27" s="433"/>
      <c r="SMQ27" s="433"/>
      <c r="SMR27" s="1037"/>
      <c r="SMS27" s="1438"/>
      <c r="SMT27" s="433"/>
      <c r="SMU27" s="433"/>
      <c r="SMV27" s="433"/>
      <c r="SMW27" s="433"/>
      <c r="SMX27" s="433"/>
      <c r="SMY27" s="433"/>
      <c r="SMZ27" s="433"/>
      <c r="SNA27" s="433"/>
      <c r="SNB27" s="433"/>
      <c r="SNC27" s="433"/>
      <c r="SND27" s="1037"/>
      <c r="SNE27" s="1438"/>
      <c r="SNF27" s="433"/>
      <c r="SNG27" s="433"/>
      <c r="SNH27" s="433"/>
      <c r="SNI27" s="433"/>
      <c r="SNJ27" s="433"/>
      <c r="SNK27" s="433"/>
      <c r="SNL27" s="433"/>
      <c r="SNM27" s="433"/>
      <c r="SNN27" s="433"/>
      <c r="SNO27" s="433"/>
      <c r="SNP27" s="1037"/>
      <c r="SNQ27" s="1438"/>
      <c r="SNR27" s="433"/>
      <c r="SNS27" s="433"/>
      <c r="SNT27" s="433"/>
      <c r="SNU27" s="433"/>
      <c r="SNV27" s="433"/>
      <c r="SNW27" s="433"/>
      <c r="SNX27" s="433"/>
      <c r="SNY27" s="433"/>
      <c r="SNZ27" s="433"/>
      <c r="SOA27" s="433"/>
      <c r="SOB27" s="1037"/>
      <c r="SOC27" s="1438"/>
      <c r="SOD27" s="433"/>
      <c r="SOE27" s="433"/>
      <c r="SOF27" s="433"/>
      <c r="SOG27" s="433"/>
      <c r="SOH27" s="433"/>
      <c r="SOI27" s="433"/>
      <c r="SOJ27" s="433"/>
      <c r="SOK27" s="433"/>
      <c r="SOL27" s="433"/>
      <c r="SOM27" s="433"/>
      <c r="SON27" s="1037"/>
      <c r="SOO27" s="1438"/>
      <c r="SOP27" s="433"/>
      <c r="SOQ27" s="433"/>
      <c r="SOR27" s="433"/>
      <c r="SOS27" s="433"/>
      <c r="SOT27" s="433"/>
      <c r="SOU27" s="433"/>
      <c r="SOV27" s="433"/>
      <c r="SOW27" s="433"/>
      <c r="SOX27" s="433"/>
      <c r="SOY27" s="433"/>
      <c r="SOZ27" s="1037"/>
      <c r="SPA27" s="1438"/>
      <c r="SPB27" s="433"/>
      <c r="SPC27" s="433"/>
      <c r="SPD27" s="433"/>
      <c r="SPE27" s="433"/>
      <c r="SPF27" s="433"/>
      <c r="SPG27" s="433"/>
      <c r="SPH27" s="433"/>
      <c r="SPI27" s="433"/>
      <c r="SPJ27" s="433"/>
      <c r="SPK27" s="433"/>
      <c r="SPL27" s="1037"/>
      <c r="SPM27" s="1438"/>
      <c r="SPN27" s="433"/>
      <c r="SPO27" s="433"/>
      <c r="SPP27" s="433"/>
      <c r="SPQ27" s="433"/>
      <c r="SPR27" s="433"/>
      <c r="SPS27" s="433"/>
      <c r="SPT27" s="433"/>
      <c r="SPU27" s="433"/>
      <c r="SPV27" s="433"/>
      <c r="SPW27" s="433"/>
      <c r="SPX27" s="1037"/>
      <c r="SPY27" s="1438"/>
      <c r="SPZ27" s="433"/>
      <c r="SQA27" s="433"/>
      <c r="SQB27" s="433"/>
      <c r="SQC27" s="433"/>
      <c r="SQD27" s="433"/>
      <c r="SQE27" s="433"/>
      <c r="SQF27" s="433"/>
      <c r="SQG27" s="433"/>
      <c r="SQH27" s="433"/>
      <c r="SQI27" s="433"/>
      <c r="SQJ27" s="1037"/>
      <c r="SQK27" s="1438"/>
      <c r="SQL27" s="433"/>
      <c r="SQM27" s="433"/>
      <c r="SQN27" s="433"/>
      <c r="SQO27" s="433"/>
      <c r="SQP27" s="433"/>
      <c r="SQQ27" s="433"/>
      <c r="SQR27" s="433"/>
      <c r="SQS27" s="433"/>
      <c r="SQT27" s="433"/>
      <c r="SQU27" s="433"/>
      <c r="SQV27" s="1037"/>
      <c r="SQW27" s="1438"/>
      <c r="SQX27" s="433"/>
      <c r="SQY27" s="433"/>
      <c r="SQZ27" s="433"/>
      <c r="SRA27" s="433"/>
      <c r="SRB27" s="433"/>
      <c r="SRC27" s="433"/>
      <c r="SRD27" s="433"/>
      <c r="SRE27" s="433"/>
      <c r="SRF27" s="433"/>
      <c r="SRG27" s="433"/>
      <c r="SRH27" s="1037"/>
      <c r="SRI27" s="1438"/>
      <c r="SRJ27" s="433"/>
      <c r="SRK27" s="433"/>
      <c r="SRL27" s="433"/>
      <c r="SRM27" s="433"/>
      <c r="SRN27" s="433"/>
      <c r="SRO27" s="433"/>
      <c r="SRP27" s="433"/>
      <c r="SRQ27" s="433"/>
      <c r="SRR27" s="433"/>
      <c r="SRS27" s="433"/>
      <c r="SRT27" s="1037"/>
      <c r="SRU27" s="1438"/>
      <c r="SRV27" s="433"/>
      <c r="SRW27" s="433"/>
      <c r="SRX27" s="433"/>
      <c r="SRY27" s="433"/>
      <c r="SRZ27" s="433"/>
      <c r="SSA27" s="433"/>
      <c r="SSB27" s="433"/>
      <c r="SSC27" s="433"/>
      <c r="SSD27" s="433"/>
      <c r="SSE27" s="433"/>
      <c r="SSF27" s="1037"/>
      <c r="SSG27" s="1438"/>
      <c r="SSH27" s="433"/>
      <c r="SSI27" s="433"/>
      <c r="SSJ27" s="433"/>
      <c r="SSK27" s="433"/>
      <c r="SSL27" s="433"/>
      <c r="SSM27" s="433"/>
      <c r="SSN27" s="433"/>
      <c r="SSO27" s="433"/>
      <c r="SSP27" s="433"/>
      <c r="SSQ27" s="433"/>
      <c r="SSR27" s="1037"/>
      <c r="SSS27" s="1438"/>
      <c r="SST27" s="433"/>
      <c r="SSU27" s="433"/>
      <c r="SSV27" s="433"/>
      <c r="SSW27" s="433"/>
      <c r="SSX27" s="433"/>
      <c r="SSY27" s="433"/>
      <c r="SSZ27" s="433"/>
      <c r="STA27" s="433"/>
      <c r="STB27" s="433"/>
      <c r="STC27" s="433"/>
      <c r="STD27" s="1037"/>
      <c r="STE27" s="1438"/>
      <c r="STF27" s="433"/>
      <c r="STG27" s="433"/>
      <c r="STH27" s="433"/>
      <c r="STI27" s="433"/>
      <c r="STJ27" s="433"/>
      <c r="STK27" s="433"/>
      <c r="STL27" s="433"/>
      <c r="STM27" s="433"/>
      <c r="STN27" s="433"/>
      <c r="STO27" s="433"/>
      <c r="STP27" s="1037"/>
      <c r="STQ27" s="1438"/>
      <c r="STR27" s="433"/>
      <c r="STS27" s="433"/>
      <c r="STT27" s="433"/>
      <c r="STU27" s="433"/>
      <c r="STV27" s="433"/>
      <c r="STW27" s="433"/>
      <c r="STX27" s="433"/>
      <c r="STY27" s="433"/>
      <c r="STZ27" s="433"/>
      <c r="SUA27" s="433"/>
      <c r="SUB27" s="1037"/>
      <c r="SUC27" s="1438"/>
      <c r="SUD27" s="433"/>
      <c r="SUE27" s="433"/>
      <c r="SUF27" s="433"/>
      <c r="SUG27" s="433"/>
      <c r="SUH27" s="433"/>
      <c r="SUI27" s="433"/>
      <c r="SUJ27" s="433"/>
      <c r="SUK27" s="433"/>
      <c r="SUL27" s="433"/>
      <c r="SUM27" s="433"/>
      <c r="SUN27" s="1037"/>
      <c r="SUO27" s="1438"/>
      <c r="SUP27" s="433"/>
      <c r="SUQ27" s="433"/>
      <c r="SUR27" s="433"/>
      <c r="SUS27" s="433"/>
      <c r="SUT27" s="433"/>
      <c r="SUU27" s="433"/>
      <c r="SUV27" s="433"/>
      <c r="SUW27" s="433"/>
      <c r="SUX27" s="433"/>
      <c r="SUY27" s="433"/>
      <c r="SUZ27" s="1037"/>
      <c r="SVA27" s="1438"/>
      <c r="SVB27" s="433"/>
      <c r="SVC27" s="433"/>
      <c r="SVD27" s="433"/>
      <c r="SVE27" s="433"/>
      <c r="SVF27" s="433"/>
      <c r="SVG27" s="433"/>
      <c r="SVH27" s="433"/>
      <c r="SVI27" s="433"/>
      <c r="SVJ27" s="433"/>
      <c r="SVK27" s="433"/>
      <c r="SVL27" s="1037"/>
      <c r="SVM27" s="1438"/>
      <c r="SVN27" s="433"/>
      <c r="SVO27" s="433"/>
      <c r="SVP27" s="433"/>
      <c r="SVQ27" s="433"/>
      <c r="SVR27" s="433"/>
      <c r="SVS27" s="433"/>
      <c r="SVT27" s="433"/>
      <c r="SVU27" s="433"/>
      <c r="SVV27" s="433"/>
      <c r="SVW27" s="433"/>
      <c r="SVX27" s="1037"/>
      <c r="SVY27" s="1438"/>
      <c r="SVZ27" s="433"/>
      <c r="SWA27" s="433"/>
      <c r="SWB27" s="433"/>
      <c r="SWC27" s="433"/>
      <c r="SWD27" s="433"/>
      <c r="SWE27" s="433"/>
      <c r="SWF27" s="433"/>
      <c r="SWG27" s="433"/>
      <c r="SWH27" s="433"/>
      <c r="SWI27" s="433"/>
      <c r="SWJ27" s="1037"/>
      <c r="SWK27" s="1438"/>
      <c r="SWL27" s="433"/>
      <c r="SWM27" s="433"/>
      <c r="SWN27" s="433"/>
      <c r="SWO27" s="433"/>
      <c r="SWP27" s="433"/>
      <c r="SWQ27" s="433"/>
      <c r="SWR27" s="433"/>
      <c r="SWS27" s="433"/>
      <c r="SWT27" s="433"/>
      <c r="SWU27" s="433"/>
      <c r="SWV27" s="1037"/>
      <c r="SWW27" s="1438"/>
      <c r="SWX27" s="433"/>
      <c r="SWY27" s="433"/>
      <c r="SWZ27" s="433"/>
      <c r="SXA27" s="433"/>
      <c r="SXB27" s="433"/>
      <c r="SXC27" s="433"/>
      <c r="SXD27" s="433"/>
      <c r="SXE27" s="433"/>
      <c r="SXF27" s="433"/>
      <c r="SXG27" s="433"/>
      <c r="SXH27" s="1037"/>
      <c r="SXI27" s="1438"/>
      <c r="SXJ27" s="433"/>
      <c r="SXK27" s="433"/>
      <c r="SXL27" s="433"/>
      <c r="SXM27" s="433"/>
      <c r="SXN27" s="433"/>
      <c r="SXO27" s="433"/>
      <c r="SXP27" s="433"/>
      <c r="SXQ27" s="433"/>
      <c r="SXR27" s="433"/>
      <c r="SXS27" s="433"/>
      <c r="SXT27" s="1037"/>
      <c r="SXU27" s="1438"/>
      <c r="SXV27" s="433"/>
      <c r="SXW27" s="433"/>
      <c r="SXX27" s="433"/>
      <c r="SXY27" s="433"/>
      <c r="SXZ27" s="433"/>
      <c r="SYA27" s="433"/>
      <c r="SYB27" s="433"/>
      <c r="SYC27" s="433"/>
      <c r="SYD27" s="433"/>
      <c r="SYE27" s="433"/>
      <c r="SYF27" s="1037"/>
      <c r="SYG27" s="1438"/>
      <c r="SYH27" s="433"/>
      <c r="SYI27" s="433"/>
      <c r="SYJ27" s="433"/>
      <c r="SYK27" s="433"/>
      <c r="SYL27" s="433"/>
      <c r="SYM27" s="433"/>
      <c r="SYN27" s="433"/>
      <c r="SYO27" s="433"/>
      <c r="SYP27" s="433"/>
      <c r="SYQ27" s="433"/>
      <c r="SYR27" s="1037"/>
      <c r="SYS27" s="1438"/>
      <c r="SYT27" s="433"/>
      <c r="SYU27" s="433"/>
      <c r="SYV27" s="433"/>
      <c r="SYW27" s="433"/>
      <c r="SYX27" s="433"/>
      <c r="SYY27" s="433"/>
      <c r="SYZ27" s="433"/>
      <c r="SZA27" s="433"/>
      <c r="SZB27" s="433"/>
      <c r="SZC27" s="433"/>
      <c r="SZD27" s="1037"/>
      <c r="SZE27" s="1438"/>
      <c r="SZF27" s="433"/>
      <c r="SZG27" s="433"/>
      <c r="SZH27" s="433"/>
      <c r="SZI27" s="433"/>
      <c r="SZJ27" s="433"/>
      <c r="SZK27" s="433"/>
      <c r="SZL27" s="433"/>
      <c r="SZM27" s="433"/>
      <c r="SZN27" s="433"/>
      <c r="SZO27" s="433"/>
      <c r="SZP27" s="1037"/>
      <c r="SZQ27" s="1438"/>
      <c r="SZR27" s="433"/>
      <c r="SZS27" s="433"/>
      <c r="SZT27" s="433"/>
      <c r="SZU27" s="433"/>
      <c r="SZV27" s="433"/>
      <c r="SZW27" s="433"/>
      <c r="SZX27" s="433"/>
      <c r="SZY27" s="433"/>
      <c r="SZZ27" s="433"/>
      <c r="TAA27" s="433"/>
      <c r="TAB27" s="1037"/>
      <c r="TAC27" s="1438"/>
      <c r="TAD27" s="433"/>
      <c r="TAE27" s="433"/>
      <c r="TAF27" s="433"/>
      <c r="TAG27" s="433"/>
      <c r="TAH27" s="433"/>
      <c r="TAI27" s="433"/>
      <c r="TAJ27" s="433"/>
      <c r="TAK27" s="433"/>
      <c r="TAL27" s="433"/>
      <c r="TAM27" s="433"/>
      <c r="TAN27" s="1037"/>
      <c r="TAO27" s="1438"/>
      <c r="TAP27" s="433"/>
      <c r="TAQ27" s="433"/>
      <c r="TAR27" s="433"/>
      <c r="TAS27" s="433"/>
      <c r="TAT27" s="433"/>
      <c r="TAU27" s="433"/>
      <c r="TAV27" s="433"/>
      <c r="TAW27" s="433"/>
      <c r="TAX27" s="433"/>
      <c r="TAY27" s="433"/>
      <c r="TAZ27" s="1037"/>
      <c r="TBA27" s="1438"/>
      <c r="TBB27" s="433"/>
      <c r="TBC27" s="433"/>
      <c r="TBD27" s="433"/>
      <c r="TBE27" s="433"/>
      <c r="TBF27" s="433"/>
      <c r="TBG27" s="433"/>
      <c r="TBH27" s="433"/>
      <c r="TBI27" s="433"/>
      <c r="TBJ27" s="433"/>
      <c r="TBK27" s="433"/>
      <c r="TBL27" s="1037"/>
      <c r="TBM27" s="1438"/>
      <c r="TBN27" s="433"/>
      <c r="TBO27" s="433"/>
      <c r="TBP27" s="433"/>
      <c r="TBQ27" s="433"/>
      <c r="TBR27" s="433"/>
      <c r="TBS27" s="433"/>
      <c r="TBT27" s="433"/>
      <c r="TBU27" s="433"/>
      <c r="TBV27" s="433"/>
      <c r="TBW27" s="433"/>
      <c r="TBX27" s="1037"/>
      <c r="TBY27" s="1438"/>
      <c r="TBZ27" s="433"/>
      <c r="TCA27" s="433"/>
      <c r="TCB27" s="433"/>
      <c r="TCC27" s="433"/>
      <c r="TCD27" s="433"/>
      <c r="TCE27" s="433"/>
      <c r="TCF27" s="433"/>
      <c r="TCG27" s="433"/>
      <c r="TCH27" s="433"/>
      <c r="TCI27" s="433"/>
      <c r="TCJ27" s="1037"/>
      <c r="TCK27" s="1438"/>
      <c r="TCL27" s="433"/>
      <c r="TCM27" s="433"/>
      <c r="TCN27" s="433"/>
      <c r="TCO27" s="433"/>
      <c r="TCP27" s="433"/>
      <c r="TCQ27" s="433"/>
      <c r="TCR27" s="433"/>
      <c r="TCS27" s="433"/>
      <c r="TCT27" s="433"/>
      <c r="TCU27" s="433"/>
      <c r="TCV27" s="1037"/>
      <c r="TCW27" s="1438"/>
      <c r="TCX27" s="433"/>
      <c r="TCY27" s="433"/>
      <c r="TCZ27" s="433"/>
      <c r="TDA27" s="433"/>
      <c r="TDB27" s="433"/>
      <c r="TDC27" s="433"/>
      <c r="TDD27" s="433"/>
      <c r="TDE27" s="433"/>
      <c r="TDF27" s="433"/>
      <c r="TDG27" s="433"/>
      <c r="TDH27" s="1037"/>
      <c r="TDI27" s="1438"/>
      <c r="TDJ27" s="433"/>
      <c r="TDK27" s="433"/>
      <c r="TDL27" s="433"/>
      <c r="TDM27" s="433"/>
      <c r="TDN27" s="433"/>
      <c r="TDO27" s="433"/>
      <c r="TDP27" s="433"/>
      <c r="TDQ27" s="433"/>
      <c r="TDR27" s="433"/>
      <c r="TDS27" s="433"/>
      <c r="TDT27" s="1037"/>
      <c r="TDU27" s="1438"/>
      <c r="TDV27" s="433"/>
      <c r="TDW27" s="433"/>
      <c r="TDX27" s="433"/>
      <c r="TDY27" s="433"/>
      <c r="TDZ27" s="433"/>
      <c r="TEA27" s="433"/>
      <c r="TEB27" s="433"/>
      <c r="TEC27" s="433"/>
      <c r="TED27" s="433"/>
      <c r="TEE27" s="433"/>
      <c r="TEF27" s="1037"/>
      <c r="TEG27" s="1438"/>
      <c r="TEH27" s="433"/>
      <c r="TEI27" s="433"/>
      <c r="TEJ27" s="433"/>
      <c r="TEK27" s="433"/>
      <c r="TEL27" s="433"/>
      <c r="TEM27" s="433"/>
      <c r="TEN27" s="433"/>
      <c r="TEO27" s="433"/>
      <c r="TEP27" s="433"/>
      <c r="TEQ27" s="433"/>
      <c r="TER27" s="1037"/>
      <c r="TES27" s="1438"/>
      <c r="TET27" s="433"/>
      <c r="TEU27" s="433"/>
      <c r="TEV27" s="433"/>
      <c r="TEW27" s="433"/>
      <c r="TEX27" s="433"/>
      <c r="TEY27" s="433"/>
      <c r="TEZ27" s="433"/>
      <c r="TFA27" s="433"/>
      <c r="TFB27" s="433"/>
      <c r="TFC27" s="433"/>
      <c r="TFD27" s="1037"/>
      <c r="TFE27" s="1438"/>
      <c r="TFF27" s="433"/>
      <c r="TFG27" s="433"/>
      <c r="TFH27" s="433"/>
      <c r="TFI27" s="433"/>
      <c r="TFJ27" s="433"/>
      <c r="TFK27" s="433"/>
      <c r="TFL27" s="433"/>
      <c r="TFM27" s="433"/>
      <c r="TFN27" s="433"/>
      <c r="TFO27" s="433"/>
      <c r="TFP27" s="1037"/>
      <c r="TFQ27" s="1438"/>
      <c r="TFR27" s="433"/>
      <c r="TFS27" s="433"/>
      <c r="TFT27" s="433"/>
      <c r="TFU27" s="433"/>
      <c r="TFV27" s="433"/>
      <c r="TFW27" s="433"/>
      <c r="TFX27" s="433"/>
      <c r="TFY27" s="433"/>
      <c r="TFZ27" s="433"/>
      <c r="TGA27" s="433"/>
      <c r="TGB27" s="1037"/>
      <c r="TGC27" s="1438"/>
      <c r="TGD27" s="433"/>
      <c r="TGE27" s="433"/>
      <c r="TGF27" s="433"/>
      <c r="TGG27" s="433"/>
      <c r="TGH27" s="433"/>
      <c r="TGI27" s="433"/>
      <c r="TGJ27" s="433"/>
      <c r="TGK27" s="433"/>
      <c r="TGL27" s="433"/>
      <c r="TGM27" s="433"/>
      <c r="TGN27" s="1037"/>
      <c r="TGO27" s="1438"/>
      <c r="TGP27" s="433"/>
      <c r="TGQ27" s="433"/>
      <c r="TGR27" s="433"/>
      <c r="TGS27" s="433"/>
      <c r="TGT27" s="433"/>
      <c r="TGU27" s="433"/>
      <c r="TGV27" s="433"/>
      <c r="TGW27" s="433"/>
      <c r="TGX27" s="433"/>
      <c r="TGY27" s="433"/>
      <c r="TGZ27" s="1037"/>
      <c r="THA27" s="1438"/>
      <c r="THB27" s="433"/>
      <c r="THC27" s="433"/>
      <c r="THD27" s="433"/>
      <c r="THE27" s="433"/>
      <c r="THF27" s="433"/>
      <c r="THG27" s="433"/>
      <c r="THH27" s="433"/>
      <c r="THI27" s="433"/>
      <c r="THJ27" s="433"/>
      <c r="THK27" s="433"/>
      <c r="THL27" s="1037"/>
      <c r="THM27" s="1438"/>
      <c r="THN27" s="433"/>
      <c r="THO27" s="433"/>
      <c r="THP27" s="433"/>
      <c r="THQ27" s="433"/>
      <c r="THR27" s="433"/>
      <c r="THS27" s="433"/>
      <c r="THT27" s="433"/>
      <c r="THU27" s="433"/>
      <c r="THV27" s="433"/>
      <c r="THW27" s="433"/>
      <c r="THX27" s="1037"/>
      <c r="THY27" s="1438"/>
      <c r="THZ27" s="433"/>
      <c r="TIA27" s="433"/>
      <c r="TIB27" s="433"/>
      <c r="TIC27" s="433"/>
      <c r="TID27" s="433"/>
      <c r="TIE27" s="433"/>
      <c r="TIF27" s="433"/>
      <c r="TIG27" s="433"/>
      <c r="TIH27" s="433"/>
      <c r="TII27" s="433"/>
      <c r="TIJ27" s="1037"/>
      <c r="TIK27" s="1438"/>
      <c r="TIL27" s="433"/>
      <c r="TIM27" s="433"/>
      <c r="TIN27" s="433"/>
      <c r="TIO27" s="433"/>
      <c r="TIP27" s="433"/>
      <c r="TIQ27" s="433"/>
      <c r="TIR27" s="433"/>
      <c r="TIS27" s="433"/>
      <c r="TIT27" s="433"/>
      <c r="TIU27" s="433"/>
      <c r="TIV27" s="1037"/>
      <c r="TIW27" s="1438"/>
      <c r="TIX27" s="433"/>
      <c r="TIY27" s="433"/>
      <c r="TIZ27" s="433"/>
      <c r="TJA27" s="433"/>
      <c r="TJB27" s="433"/>
      <c r="TJC27" s="433"/>
      <c r="TJD27" s="433"/>
      <c r="TJE27" s="433"/>
      <c r="TJF27" s="433"/>
      <c r="TJG27" s="433"/>
      <c r="TJH27" s="1037"/>
      <c r="TJI27" s="1438"/>
      <c r="TJJ27" s="433"/>
      <c r="TJK27" s="433"/>
      <c r="TJL27" s="433"/>
      <c r="TJM27" s="433"/>
      <c r="TJN27" s="433"/>
      <c r="TJO27" s="433"/>
      <c r="TJP27" s="433"/>
      <c r="TJQ27" s="433"/>
      <c r="TJR27" s="433"/>
      <c r="TJS27" s="433"/>
      <c r="TJT27" s="1037"/>
      <c r="TJU27" s="1438"/>
      <c r="TJV27" s="433"/>
      <c r="TJW27" s="433"/>
      <c r="TJX27" s="433"/>
      <c r="TJY27" s="433"/>
      <c r="TJZ27" s="433"/>
      <c r="TKA27" s="433"/>
      <c r="TKB27" s="433"/>
      <c r="TKC27" s="433"/>
      <c r="TKD27" s="433"/>
      <c r="TKE27" s="433"/>
      <c r="TKF27" s="1037"/>
      <c r="TKG27" s="1438"/>
      <c r="TKH27" s="433"/>
      <c r="TKI27" s="433"/>
      <c r="TKJ27" s="433"/>
      <c r="TKK27" s="433"/>
      <c r="TKL27" s="433"/>
      <c r="TKM27" s="433"/>
      <c r="TKN27" s="433"/>
      <c r="TKO27" s="433"/>
      <c r="TKP27" s="433"/>
      <c r="TKQ27" s="433"/>
      <c r="TKR27" s="1037"/>
      <c r="TKS27" s="1438"/>
      <c r="TKT27" s="433"/>
      <c r="TKU27" s="433"/>
      <c r="TKV27" s="433"/>
      <c r="TKW27" s="433"/>
      <c r="TKX27" s="433"/>
      <c r="TKY27" s="433"/>
      <c r="TKZ27" s="433"/>
      <c r="TLA27" s="433"/>
      <c r="TLB27" s="433"/>
      <c r="TLC27" s="433"/>
      <c r="TLD27" s="1037"/>
      <c r="TLE27" s="1438"/>
      <c r="TLF27" s="433"/>
      <c r="TLG27" s="433"/>
      <c r="TLH27" s="433"/>
      <c r="TLI27" s="433"/>
      <c r="TLJ27" s="433"/>
      <c r="TLK27" s="433"/>
      <c r="TLL27" s="433"/>
      <c r="TLM27" s="433"/>
      <c r="TLN27" s="433"/>
      <c r="TLO27" s="433"/>
      <c r="TLP27" s="1037"/>
      <c r="TLQ27" s="1438"/>
      <c r="TLR27" s="433"/>
      <c r="TLS27" s="433"/>
      <c r="TLT27" s="433"/>
      <c r="TLU27" s="433"/>
      <c r="TLV27" s="433"/>
      <c r="TLW27" s="433"/>
      <c r="TLX27" s="433"/>
      <c r="TLY27" s="433"/>
      <c r="TLZ27" s="433"/>
      <c r="TMA27" s="433"/>
      <c r="TMB27" s="1037"/>
      <c r="TMC27" s="1438"/>
      <c r="TMD27" s="433"/>
      <c r="TME27" s="433"/>
      <c r="TMF27" s="433"/>
      <c r="TMG27" s="433"/>
      <c r="TMH27" s="433"/>
      <c r="TMI27" s="433"/>
      <c r="TMJ27" s="433"/>
      <c r="TMK27" s="433"/>
      <c r="TML27" s="433"/>
      <c r="TMM27" s="433"/>
      <c r="TMN27" s="1037"/>
      <c r="TMO27" s="1438"/>
      <c r="TMP27" s="433"/>
      <c r="TMQ27" s="433"/>
      <c r="TMR27" s="433"/>
      <c r="TMS27" s="433"/>
      <c r="TMT27" s="433"/>
      <c r="TMU27" s="433"/>
      <c r="TMV27" s="433"/>
      <c r="TMW27" s="433"/>
      <c r="TMX27" s="433"/>
      <c r="TMY27" s="433"/>
      <c r="TMZ27" s="1037"/>
      <c r="TNA27" s="1438"/>
      <c r="TNB27" s="433"/>
      <c r="TNC27" s="433"/>
      <c r="TND27" s="433"/>
      <c r="TNE27" s="433"/>
      <c r="TNF27" s="433"/>
      <c r="TNG27" s="433"/>
      <c r="TNH27" s="433"/>
      <c r="TNI27" s="433"/>
      <c r="TNJ27" s="433"/>
      <c r="TNK27" s="433"/>
      <c r="TNL27" s="1037"/>
      <c r="TNM27" s="1438"/>
      <c r="TNN27" s="433"/>
      <c r="TNO27" s="433"/>
      <c r="TNP27" s="433"/>
      <c r="TNQ27" s="433"/>
      <c r="TNR27" s="433"/>
      <c r="TNS27" s="433"/>
      <c r="TNT27" s="433"/>
      <c r="TNU27" s="433"/>
      <c r="TNV27" s="433"/>
      <c r="TNW27" s="433"/>
      <c r="TNX27" s="1037"/>
      <c r="TNY27" s="1438"/>
      <c r="TNZ27" s="433"/>
      <c r="TOA27" s="433"/>
      <c r="TOB27" s="433"/>
      <c r="TOC27" s="433"/>
      <c r="TOD27" s="433"/>
      <c r="TOE27" s="433"/>
      <c r="TOF27" s="433"/>
      <c r="TOG27" s="433"/>
      <c r="TOH27" s="433"/>
      <c r="TOI27" s="433"/>
      <c r="TOJ27" s="1037"/>
      <c r="TOK27" s="1438"/>
      <c r="TOL27" s="433"/>
      <c r="TOM27" s="433"/>
      <c r="TON27" s="433"/>
      <c r="TOO27" s="433"/>
      <c r="TOP27" s="433"/>
      <c r="TOQ27" s="433"/>
      <c r="TOR27" s="433"/>
      <c r="TOS27" s="433"/>
      <c r="TOT27" s="433"/>
      <c r="TOU27" s="433"/>
      <c r="TOV27" s="1037"/>
      <c r="TOW27" s="1438"/>
      <c r="TOX27" s="433"/>
      <c r="TOY27" s="433"/>
      <c r="TOZ27" s="433"/>
      <c r="TPA27" s="433"/>
      <c r="TPB27" s="433"/>
      <c r="TPC27" s="433"/>
      <c r="TPD27" s="433"/>
      <c r="TPE27" s="433"/>
      <c r="TPF27" s="433"/>
      <c r="TPG27" s="433"/>
      <c r="TPH27" s="1037"/>
      <c r="TPI27" s="1438"/>
      <c r="TPJ27" s="433"/>
      <c r="TPK27" s="433"/>
      <c r="TPL27" s="433"/>
      <c r="TPM27" s="433"/>
      <c r="TPN27" s="433"/>
      <c r="TPO27" s="433"/>
      <c r="TPP27" s="433"/>
      <c r="TPQ27" s="433"/>
      <c r="TPR27" s="433"/>
      <c r="TPS27" s="433"/>
      <c r="TPT27" s="1037"/>
      <c r="TPU27" s="1438"/>
      <c r="TPV27" s="433"/>
      <c r="TPW27" s="433"/>
      <c r="TPX27" s="433"/>
      <c r="TPY27" s="433"/>
      <c r="TPZ27" s="433"/>
      <c r="TQA27" s="433"/>
      <c r="TQB27" s="433"/>
      <c r="TQC27" s="433"/>
      <c r="TQD27" s="433"/>
      <c r="TQE27" s="433"/>
      <c r="TQF27" s="1037"/>
      <c r="TQG27" s="1438"/>
      <c r="TQH27" s="433"/>
      <c r="TQI27" s="433"/>
      <c r="TQJ27" s="433"/>
      <c r="TQK27" s="433"/>
      <c r="TQL27" s="433"/>
      <c r="TQM27" s="433"/>
      <c r="TQN27" s="433"/>
      <c r="TQO27" s="433"/>
      <c r="TQP27" s="433"/>
      <c r="TQQ27" s="433"/>
      <c r="TQR27" s="1037"/>
      <c r="TQS27" s="1438"/>
      <c r="TQT27" s="433"/>
      <c r="TQU27" s="433"/>
      <c r="TQV27" s="433"/>
      <c r="TQW27" s="433"/>
      <c r="TQX27" s="433"/>
      <c r="TQY27" s="433"/>
      <c r="TQZ27" s="433"/>
      <c r="TRA27" s="433"/>
      <c r="TRB27" s="433"/>
      <c r="TRC27" s="433"/>
      <c r="TRD27" s="1037"/>
      <c r="TRE27" s="1438"/>
      <c r="TRF27" s="433"/>
      <c r="TRG27" s="433"/>
      <c r="TRH27" s="433"/>
      <c r="TRI27" s="433"/>
      <c r="TRJ27" s="433"/>
      <c r="TRK27" s="433"/>
      <c r="TRL27" s="433"/>
      <c r="TRM27" s="433"/>
      <c r="TRN27" s="433"/>
      <c r="TRO27" s="433"/>
      <c r="TRP27" s="1037"/>
      <c r="TRQ27" s="1438"/>
      <c r="TRR27" s="433"/>
      <c r="TRS27" s="433"/>
      <c r="TRT27" s="433"/>
      <c r="TRU27" s="433"/>
      <c r="TRV27" s="433"/>
      <c r="TRW27" s="433"/>
      <c r="TRX27" s="433"/>
      <c r="TRY27" s="433"/>
      <c r="TRZ27" s="433"/>
      <c r="TSA27" s="433"/>
      <c r="TSB27" s="1037"/>
      <c r="TSC27" s="1438"/>
      <c r="TSD27" s="433"/>
      <c r="TSE27" s="433"/>
      <c r="TSF27" s="433"/>
      <c r="TSG27" s="433"/>
      <c r="TSH27" s="433"/>
      <c r="TSI27" s="433"/>
      <c r="TSJ27" s="433"/>
      <c r="TSK27" s="433"/>
      <c r="TSL27" s="433"/>
      <c r="TSM27" s="433"/>
      <c r="TSN27" s="1037"/>
      <c r="TSO27" s="1438"/>
      <c r="TSP27" s="433"/>
      <c r="TSQ27" s="433"/>
      <c r="TSR27" s="433"/>
      <c r="TSS27" s="433"/>
      <c r="TST27" s="433"/>
      <c r="TSU27" s="433"/>
      <c r="TSV27" s="433"/>
      <c r="TSW27" s="433"/>
      <c r="TSX27" s="433"/>
      <c r="TSY27" s="433"/>
      <c r="TSZ27" s="1037"/>
      <c r="TTA27" s="1438"/>
      <c r="TTB27" s="433"/>
      <c r="TTC27" s="433"/>
      <c r="TTD27" s="433"/>
      <c r="TTE27" s="433"/>
      <c r="TTF27" s="433"/>
      <c r="TTG27" s="433"/>
      <c r="TTH27" s="433"/>
      <c r="TTI27" s="433"/>
      <c r="TTJ27" s="433"/>
      <c r="TTK27" s="433"/>
      <c r="TTL27" s="1037"/>
      <c r="TTM27" s="1438"/>
      <c r="TTN27" s="433"/>
      <c r="TTO27" s="433"/>
      <c r="TTP27" s="433"/>
      <c r="TTQ27" s="433"/>
      <c r="TTR27" s="433"/>
      <c r="TTS27" s="433"/>
      <c r="TTT27" s="433"/>
      <c r="TTU27" s="433"/>
      <c r="TTV27" s="433"/>
      <c r="TTW27" s="433"/>
      <c r="TTX27" s="1037"/>
      <c r="TTY27" s="1438"/>
      <c r="TTZ27" s="433"/>
      <c r="TUA27" s="433"/>
      <c r="TUB27" s="433"/>
      <c r="TUC27" s="433"/>
      <c r="TUD27" s="433"/>
      <c r="TUE27" s="433"/>
      <c r="TUF27" s="433"/>
      <c r="TUG27" s="433"/>
      <c r="TUH27" s="433"/>
      <c r="TUI27" s="433"/>
      <c r="TUJ27" s="1037"/>
      <c r="TUK27" s="1438"/>
      <c r="TUL27" s="433"/>
      <c r="TUM27" s="433"/>
      <c r="TUN27" s="433"/>
      <c r="TUO27" s="433"/>
      <c r="TUP27" s="433"/>
      <c r="TUQ27" s="433"/>
      <c r="TUR27" s="433"/>
      <c r="TUS27" s="433"/>
      <c r="TUT27" s="433"/>
      <c r="TUU27" s="433"/>
      <c r="TUV27" s="1037"/>
      <c r="TUW27" s="1438"/>
      <c r="TUX27" s="433"/>
      <c r="TUY27" s="433"/>
      <c r="TUZ27" s="433"/>
      <c r="TVA27" s="433"/>
      <c r="TVB27" s="433"/>
      <c r="TVC27" s="433"/>
      <c r="TVD27" s="433"/>
      <c r="TVE27" s="433"/>
      <c r="TVF27" s="433"/>
      <c r="TVG27" s="433"/>
      <c r="TVH27" s="1037"/>
      <c r="TVI27" s="1438"/>
      <c r="TVJ27" s="433"/>
      <c r="TVK27" s="433"/>
      <c r="TVL27" s="433"/>
      <c r="TVM27" s="433"/>
      <c r="TVN27" s="433"/>
      <c r="TVO27" s="433"/>
      <c r="TVP27" s="433"/>
      <c r="TVQ27" s="433"/>
      <c r="TVR27" s="433"/>
      <c r="TVS27" s="433"/>
      <c r="TVT27" s="1037"/>
      <c r="TVU27" s="1438"/>
      <c r="TVV27" s="433"/>
      <c r="TVW27" s="433"/>
      <c r="TVX27" s="433"/>
      <c r="TVY27" s="433"/>
      <c r="TVZ27" s="433"/>
      <c r="TWA27" s="433"/>
      <c r="TWB27" s="433"/>
      <c r="TWC27" s="433"/>
      <c r="TWD27" s="433"/>
      <c r="TWE27" s="433"/>
      <c r="TWF27" s="1037"/>
      <c r="TWG27" s="1438"/>
      <c r="TWH27" s="433"/>
      <c r="TWI27" s="433"/>
      <c r="TWJ27" s="433"/>
      <c r="TWK27" s="433"/>
      <c r="TWL27" s="433"/>
      <c r="TWM27" s="433"/>
      <c r="TWN27" s="433"/>
      <c r="TWO27" s="433"/>
      <c r="TWP27" s="433"/>
      <c r="TWQ27" s="433"/>
      <c r="TWR27" s="1037"/>
      <c r="TWS27" s="1438"/>
      <c r="TWT27" s="433"/>
      <c r="TWU27" s="433"/>
      <c r="TWV27" s="433"/>
      <c r="TWW27" s="433"/>
      <c r="TWX27" s="433"/>
      <c r="TWY27" s="433"/>
      <c r="TWZ27" s="433"/>
      <c r="TXA27" s="433"/>
      <c r="TXB27" s="433"/>
      <c r="TXC27" s="433"/>
      <c r="TXD27" s="1037"/>
      <c r="TXE27" s="1438"/>
      <c r="TXF27" s="433"/>
      <c r="TXG27" s="433"/>
      <c r="TXH27" s="433"/>
      <c r="TXI27" s="433"/>
      <c r="TXJ27" s="433"/>
      <c r="TXK27" s="433"/>
      <c r="TXL27" s="433"/>
      <c r="TXM27" s="433"/>
      <c r="TXN27" s="433"/>
      <c r="TXO27" s="433"/>
      <c r="TXP27" s="1037"/>
      <c r="TXQ27" s="1438"/>
      <c r="TXR27" s="433"/>
      <c r="TXS27" s="433"/>
      <c r="TXT27" s="433"/>
      <c r="TXU27" s="433"/>
      <c r="TXV27" s="433"/>
      <c r="TXW27" s="433"/>
      <c r="TXX27" s="433"/>
      <c r="TXY27" s="433"/>
      <c r="TXZ27" s="433"/>
      <c r="TYA27" s="433"/>
      <c r="TYB27" s="1037"/>
      <c r="TYC27" s="1438"/>
      <c r="TYD27" s="433"/>
      <c r="TYE27" s="433"/>
      <c r="TYF27" s="433"/>
      <c r="TYG27" s="433"/>
      <c r="TYH27" s="433"/>
      <c r="TYI27" s="433"/>
      <c r="TYJ27" s="433"/>
      <c r="TYK27" s="433"/>
      <c r="TYL27" s="433"/>
      <c r="TYM27" s="433"/>
      <c r="TYN27" s="1037"/>
      <c r="TYO27" s="1438"/>
      <c r="TYP27" s="433"/>
      <c r="TYQ27" s="433"/>
      <c r="TYR27" s="433"/>
      <c r="TYS27" s="433"/>
      <c r="TYT27" s="433"/>
      <c r="TYU27" s="433"/>
      <c r="TYV27" s="433"/>
      <c r="TYW27" s="433"/>
      <c r="TYX27" s="433"/>
      <c r="TYY27" s="433"/>
      <c r="TYZ27" s="1037"/>
      <c r="TZA27" s="1438"/>
      <c r="TZB27" s="433"/>
      <c r="TZC27" s="433"/>
      <c r="TZD27" s="433"/>
      <c r="TZE27" s="433"/>
      <c r="TZF27" s="433"/>
      <c r="TZG27" s="433"/>
      <c r="TZH27" s="433"/>
      <c r="TZI27" s="433"/>
      <c r="TZJ27" s="433"/>
      <c r="TZK27" s="433"/>
      <c r="TZL27" s="1037"/>
      <c r="TZM27" s="1438"/>
      <c r="TZN27" s="433"/>
      <c r="TZO27" s="433"/>
      <c r="TZP27" s="433"/>
      <c r="TZQ27" s="433"/>
      <c r="TZR27" s="433"/>
      <c r="TZS27" s="433"/>
      <c r="TZT27" s="433"/>
      <c r="TZU27" s="433"/>
      <c r="TZV27" s="433"/>
      <c r="TZW27" s="433"/>
      <c r="TZX27" s="1037"/>
      <c r="TZY27" s="1438"/>
      <c r="TZZ27" s="433"/>
      <c r="UAA27" s="433"/>
      <c r="UAB27" s="433"/>
      <c r="UAC27" s="433"/>
      <c r="UAD27" s="433"/>
      <c r="UAE27" s="433"/>
      <c r="UAF27" s="433"/>
      <c r="UAG27" s="433"/>
      <c r="UAH27" s="433"/>
      <c r="UAI27" s="433"/>
      <c r="UAJ27" s="1037"/>
      <c r="UAK27" s="1438"/>
      <c r="UAL27" s="433"/>
      <c r="UAM27" s="433"/>
      <c r="UAN27" s="433"/>
      <c r="UAO27" s="433"/>
      <c r="UAP27" s="433"/>
      <c r="UAQ27" s="433"/>
      <c r="UAR27" s="433"/>
      <c r="UAS27" s="433"/>
      <c r="UAT27" s="433"/>
      <c r="UAU27" s="433"/>
      <c r="UAV27" s="1037"/>
      <c r="UAW27" s="1438"/>
      <c r="UAX27" s="433"/>
      <c r="UAY27" s="433"/>
      <c r="UAZ27" s="433"/>
      <c r="UBA27" s="433"/>
      <c r="UBB27" s="433"/>
      <c r="UBC27" s="433"/>
      <c r="UBD27" s="433"/>
      <c r="UBE27" s="433"/>
      <c r="UBF27" s="433"/>
      <c r="UBG27" s="433"/>
      <c r="UBH27" s="1037"/>
      <c r="UBI27" s="1438"/>
      <c r="UBJ27" s="433"/>
      <c r="UBK27" s="433"/>
      <c r="UBL27" s="433"/>
      <c r="UBM27" s="433"/>
      <c r="UBN27" s="433"/>
      <c r="UBO27" s="433"/>
      <c r="UBP27" s="433"/>
      <c r="UBQ27" s="433"/>
      <c r="UBR27" s="433"/>
      <c r="UBS27" s="433"/>
      <c r="UBT27" s="1037"/>
      <c r="UBU27" s="1438"/>
      <c r="UBV27" s="433"/>
      <c r="UBW27" s="433"/>
      <c r="UBX27" s="433"/>
      <c r="UBY27" s="433"/>
      <c r="UBZ27" s="433"/>
      <c r="UCA27" s="433"/>
      <c r="UCB27" s="433"/>
      <c r="UCC27" s="433"/>
      <c r="UCD27" s="433"/>
      <c r="UCE27" s="433"/>
      <c r="UCF27" s="1037"/>
      <c r="UCG27" s="1438"/>
      <c r="UCH27" s="433"/>
      <c r="UCI27" s="433"/>
      <c r="UCJ27" s="433"/>
      <c r="UCK27" s="433"/>
      <c r="UCL27" s="433"/>
      <c r="UCM27" s="433"/>
      <c r="UCN27" s="433"/>
      <c r="UCO27" s="433"/>
      <c r="UCP27" s="433"/>
      <c r="UCQ27" s="433"/>
      <c r="UCR27" s="1037"/>
      <c r="UCS27" s="1438"/>
      <c r="UCT27" s="433"/>
      <c r="UCU27" s="433"/>
      <c r="UCV27" s="433"/>
      <c r="UCW27" s="433"/>
      <c r="UCX27" s="433"/>
      <c r="UCY27" s="433"/>
      <c r="UCZ27" s="433"/>
      <c r="UDA27" s="433"/>
      <c r="UDB27" s="433"/>
      <c r="UDC27" s="433"/>
      <c r="UDD27" s="1037"/>
      <c r="UDE27" s="1438"/>
      <c r="UDF27" s="433"/>
      <c r="UDG27" s="433"/>
      <c r="UDH27" s="433"/>
      <c r="UDI27" s="433"/>
      <c r="UDJ27" s="433"/>
      <c r="UDK27" s="433"/>
      <c r="UDL27" s="433"/>
      <c r="UDM27" s="433"/>
      <c r="UDN27" s="433"/>
      <c r="UDO27" s="433"/>
      <c r="UDP27" s="1037"/>
      <c r="UDQ27" s="1438"/>
      <c r="UDR27" s="433"/>
      <c r="UDS27" s="433"/>
      <c r="UDT27" s="433"/>
      <c r="UDU27" s="433"/>
      <c r="UDV27" s="433"/>
      <c r="UDW27" s="433"/>
      <c r="UDX27" s="433"/>
      <c r="UDY27" s="433"/>
      <c r="UDZ27" s="433"/>
      <c r="UEA27" s="433"/>
      <c r="UEB27" s="1037"/>
      <c r="UEC27" s="1438"/>
      <c r="UED27" s="433"/>
      <c r="UEE27" s="433"/>
      <c r="UEF27" s="433"/>
      <c r="UEG27" s="433"/>
      <c r="UEH27" s="433"/>
      <c r="UEI27" s="433"/>
      <c r="UEJ27" s="433"/>
      <c r="UEK27" s="433"/>
      <c r="UEL27" s="433"/>
      <c r="UEM27" s="433"/>
      <c r="UEN27" s="1037"/>
      <c r="UEO27" s="1438"/>
      <c r="UEP27" s="433"/>
      <c r="UEQ27" s="433"/>
      <c r="UER27" s="433"/>
      <c r="UES27" s="433"/>
      <c r="UET27" s="433"/>
      <c r="UEU27" s="433"/>
      <c r="UEV27" s="433"/>
      <c r="UEW27" s="433"/>
      <c r="UEX27" s="433"/>
      <c r="UEY27" s="433"/>
      <c r="UEZ27" s="1037"/>
      <c r="UFA27" s="1438"/>
      <c r="UFB27" s="433"/>
      <c r="UFC27" s="433"/>
      <c r="UFD27" s="433"/>
      <c r="UFE27" s="433"/>
      <c r="UFF27" s="433"/>
      <c r="UFG27" s="433"/>
      <c r="UFH27" s="433"/>
      <c r="UFI27" s="433"/>
      <c r="UFJ27" s="433"/>
      <c r="UFK27" s="433"/>
      <c r="UFL27" s="1037"/>
      <c r="UFM27" s="1438"/>
      <c r="UFN27" s="433"/>
      <c r="UFO27" s="433"/>
      <c r="UFP27" s="433"/>
      <c r="UFQ27" s="433"/>
      <c r="UFR27" s="433"/>
      <c r="UFS27" s="433"/>
      <c r="UFT27" s="433"/>
      <c r="UFU27" s="433"/>
      <c r="UFV27" s="433"/>
      <c r="UFW27" s="433"/>
      <c r="UFX27" s="1037"/>
      <c r="UFY27" s="1438"/>
      <c r="UFZ27" s="433"/>
      <c r="UGA27" s="433"/>
      <c r="UGB27" s="433"/>
      <c r="UGC27" s="433"/>
      <c r="UGD27" s="433"/>
      <c r="UGE27" s="433"/>
      <c r="UGF27" s="433"/>
      <c r="UGG27" s="433"/>
      <c r="UGH27" s="433"/>
      <c r="UGI27" s="433"/>
      <c r="UGJ27" s="1037"/>
      <c r="UGK27" s="1438"/>
      <c r="UGL27" s="433"/>
      <c r="UGM27" s="433"/>
      <c r="UGN27" s="433"/>
      <c r="UGO27" s="433"/>
      <c r="UGP27" s="433"/>
      <c r="UGQ27" s="433"/>
      <c r="UGR27" s="433"/>
      <c r="UGS27" s="433"/>
      <c r="UGT27" s="433"/>
      <c r="UGU27" s="433"/>
      <c r="UGV27" s="1037"/>
      <c r="UGW27" s="1438"/>
      <c r="UGX27" s="433"/>
      <c r="UGY27" s="433"/>
      <c r="UGZ27" s="433"/>
      <c r="UHA27" s="433"/>
      <c r="UHB27" s="433"/>
      <c r="UHC27" s="433"/>
      <c r="UHD27" s="433"/>
      <c r="UHE27" s="433"/>
      <c r="UHF27" s="433"/>
      <c r="UHG27" s="433"/>
      <c r="UHH27" s="1037"/>
      <c r="UHI27" s="1438"/>
      <c r="UHJ27" s="433"/>
      <c r="UHK27" s="433"/>
      <c r="UHL27" s="433"/>
      <c r="UHM27" s="433"/>
      <c r="UHN27" s="433"/>
      <c r="UHO27" s="433"/>
      <c r="UHP27" s="433"/>
      <c r="UHQ27" s="433"/>
      <c r="UHR27" s="433"/>
      <c r="UHS27" s="433"/>
      <c r="UHT27" s="1037"/>
      <c r="UHU27" s="1438"/>
      <c r="UHV27" s="433"/>
      <c r="UHW27" s="433"/>
      <c r="UHX27" s="433"/>
      <c r="UHY27" s="433"/>
      <c r="UHZ27" s="433"/>
      <c r="UIA27" s="433"/>
      <c r="UIB27" s="433"/>
      <c r="UIC27" s="433"/>
      <c r="UID27" s="433"/>
      <c r="UIE27" s="433"/>
      <c r="UIF27" s="1037"/>
      <c r="UIG27" s="1438"/>
      <c r="UIH27" s="433"/>
      <c r="UII27" s="433"/>
      <c r="UIJ27" s="433"/>
      <c r="UIK27" s="433"/>
      <c r="UIL27" s="433"/>
      <c r="UIM27" s="433"/>
      <c r="UIN27" s="433"/>
      <c r="UIO27" s="433"/>
      <c r="UIP27" s="433"/>
      <c r="UIQ27" s="433"/>
      <c r="UIR27" s="1037"/>
      <c r="UIS27" s="1438"/>
      <c r="UIT27" s="433"/>
      <c r="UIU27" s="433"/>
      <c r="UIV27" s="433"/>
      <c r="UIW27" s="433"/>
      <c r="UIX27" s="433"/>
      <c r="UIY27" s="433"/>
      <c r="UIZ27" s="433"/>
      <c r="UJA27" s="433"/>
      <c r="UJB27" s="433"/>
      <c r="UJC27" s="433"/>
      <c r="UJD27" s="1037"/>
      <c r="UJE27" s="1438"/>
      <c r="UJF27" s="433"/>
      <c r="UJG27" s="433"/>
      <c r="UJH27" s="433"/>
      <c r="UJI27" s="433"/>
      <c r="UJJ27" s="433"/>
      <c r="UJK27" s="433"/>
      <c r="UJL27" s="433"/>
      <c r="UJM27" s="433"/>
      <c r="UJN27" s="433"/>
      <c r="UJO27" s="433"/>
      <c r="UJP27" s="1037"/>
      <c r="UJQ27" s="1438"/>
      <c r="UJR27" s="433"/>
      <c r="UJS27" s="433"/>
      <c r="UJT27" s="433"/>
      <c r="UJU27" s="433"/>
      <c r="UJV27" s="433"/>
      <c r="UJW27" s="433"/>
      <c r="UJX27" s="433"/>
      <c r="UJY27" s="433"/>
      <c r="UJZ27" s="433"/>
      <c r="UKA27" s="433"/>
      <c r="UKB27" s="1037"/>
      <c r="UKC27" s="1438"/>
      <c r="UKD27" s="433"/>
      <c r="UKE27" s="433"/>
      <c r="UKF27" s="433"/>
      <c r="UKG27" s="433"/>
      <c r="UKH27" s="433"/>
      <c r="UKI27" s="433"/>
      <c r="UKJ27" s="433"/>
      <c r="UKK27" s="433"/>
      <c r="UKL27" s="433"/>
      <c r="UKM27" s="433"/>
      <c r="UKN27" s="1037"/>
      <c r="UKO27" s="1438"/>
      <c r="UKP27" s="433"/>
      <c r="UKQ27" s="433"/>
      <c r="UKR27" s="433"/>
      <c r="UKS27" s="433"/>
      <c r="UKT27" s="433"/>
      <c r="UKU27" s="433"/>
      <c r="UKV27" s="433"/>
      <c r="UKW27" s="433"/>
      <c r="UKX27" s="433"/>
      <c r="UKY27" s="433"/>
      <c r="UKZ27" s="1037"/>
      <c r="ULA27" s="1438"/>
      <c r="ULB27" s="433"/>
      <c r="ULC27" s="433"/>
      <c r="ULD27" s="433"/>
      <c r="ULE27" s="433"/>
      <c r="ULF27" s="433"/>
      <c r="ULG27" s="433"/>
      <c r="ULH27" s="433"/>
      <c r="ULI27" s="433"/>
      <c r="ULJ27" s="433"/>
      <c r="ULK27" s="433"/>
      <c r="ULL27" s="1037"/>
      <c r="ULM27" s="1438"/>
      <c r="ULN27" s="433"/>
      <c r="ULO27" s="433"/>
      <c r="ULP27" s="433"/>
      <c r="ULQ27" s="433"/>
      <c r="ULR27" s="433"/>
      <c r="ULS27" s="433"/>
      <c r="ULT27" s="433"/>
      <c r="ULU27" s="433"/>
      <c r="ULV27" s="433"/>
      <c r="ULW27" s="433"/>
      <c r="ULX27" s="1037"/>
      <c r="ULY27" s="1438"/>
      <c r="ULZ27" s="433"/>
      <c r="UMA27" s="433"/>
      <c r="UMB27" s="433"/>
      <c r="UMC27" s="433"/>
      <c r="UMD27" s="433"/>
      <c r="UME27" s="433"/>
      <c r="UMF27" s="433"/>
      <c r="UMG27" s="433"/>
      <c r="UMH27" s="433"/>
      <c r="UMI27" s="433"/>
      <c r="UMJ27" s="1037"/>
      <c r="UMK27" s="1438"/>
      <c r="UML27" s="433"/>
      <c r="UMM27" s="433"/>
      <c r="UMN27" s="433"/>
      <c r="UMO27" s="433"/>
      <c r="UMP27" s="433"/>
      <c r="UMQ27" s="433"/>
      <c r="UMR27" s="433"/>
      <c r="UMS27" s="433"/>
      <c r="UMT27" s="433"/>
      <c r="UMU27" s="433"/>
      <c r="UMV27" s="1037"/>
      <c r="UMW27" s="1438"/>
      <c r="UMX27" s="433"/>
      <c r="UMY27" s="433"/>
      <c r="UMZ27" s="433"/>
      <c r="UNA27" s="433"/>
      <c r="UNB27" s="433"/>
      <c r="UNC27" s="433"/>
      <c r="UND27" s="433"/>
      <c r="UNE27" s="433"/>
      <c r="UNF27" s="433"/>
      <c r="UNG27" s="433"/>
      <c r="UNH27" s="1037"/>
      <c r="UNI27" s="1438"/>
      <c r="UNJ27" s="433"/>
      <c r="UNK27" s="433"/>
      <c r="UNL27" s="433"/>
      <c r="UNM27" s="433"/>
      <c r="UNN27" s="433"/>
      <c r="UNO27" s="433"/>
      <c r="UNP27" s="433"/>
      <c r="UNQ27" s="433"/>
      <c r="UNR27" s="433"/>
      <c r="UNS27" s="433"/>
      <c r="UNT27" s="1037"/>
      <c r="UNU27" s="1438"/>
      <c r="UNV27" s="433"/>
      <c r="UNW27" s="433"/>
      <c r="UNX27" s="433"/>
      <c r="UNY27" s="433"/>
      <c r="UNZ27" s="433"/>
      <c r="UOA27" s="433"/>
      <c r="UOB27" s="433"/>
      <c r="UOC27" s="433"/>
      <c r="UOD27" s="433"/>
      <c r="UOE27" s="433"/>
      <c r="UOF27" s="1037"/>
      <c r="UOG27" s="1438"/>
      <c r="UOH27" s="433"/>
      <c r="UOI27" s="433"/>
      <c r="UOJ27" s="433"/>
      <c r="UOK27" s="433"/>
      <c r="UOL27" s="433"/>
      <c r="UOM27" s="433"/>
      <c r="UON27" s="433"/>
      <c r="UOO27" s="433"/>
      <c r="UOP27" s="433"/>
      <c r="UOQ27" s="433"/>
      <c r="UOR27" s="1037"/>
      <c r="UOS27" s="1438"/>
      <c r="UOT27" s="433"/>
      <c r="UOU27" s="433"/>
      <c r="UOV27" s="433"/>
      <c r="UOW27" s="433"/>
      <c r="UOX27" s="433"/>
      <c r="UOY27" s="433"/>
      <c r="UOZ27" s="433"/>
      <c r="UPA27" s="433"/>
      <c r="UPB27" s="433"/>
      <c r="UPC27" s="433"/>
      <c r="UPD27" s="1037"/>
      <c r="UPE27" s="1438"/>
      <c r="UPF27" s="433"/>
      <c r="UPG27" s="433"/>
      <c r="UPH27" s="433"/>
      <c r="UPI27" s="433"/>
      <c r="UPJ27" s="433"/>
      <c r="UPK27" s="433"/>
      <c r="UPL27" s="433"/>
      <c r="UPM27" s="433"/>
      <c r="UPN27" s="433"/>
      <c r="UPO27" s="433"/>
      <c r="UPP27" s="1037"/>
      <c r="UPQ27" s="1438"/>
      <c r="UPR27" s="433"/>
      <c r="UPS27" s="433"/>
      <c r="UPT27" s="433"/>
      <c r="UPU27" s="433"/>
      <c r="UPV27" s="433"/>
      <c r="UPW27" s="433"/>
      <c r="UPX27" s="433"/>
      <c r="UPY27" s="433"/>
      <c r="UPZ27" s="433"/>
      <c r="UQA27" s="433"/>
      <c r="UQB27" s="1037"/>
      <c r="UQC27" s="1438"/>
      <c r="UQD27" s="433"/>
      <c r="UQE27" s="433"/>
      <c r="UQF27" s="433"/>
      <c r="UQG27" s="433"/>
      <c r="UQH27" s="433"/>
      <c r="UQI27" s="433"/>
      <c r="UQJ27" s="433"/>
      <c r="UQK27" s="433"/>
      <c r="UQL27" s="433"/>
      <c r="UQM27" s="433"/>
      <c r="UQN27" s="1037"/>
      <c r="UQO27" s="1438"/>
      <c r="UQP27" s="433"/>
      <c r="UQQ27" s="433"/>
      <c r="UQR27" s="433"/>
      <c r="UQS27" s="433"/>
      <c r="UQT27" s="433"/>
      <c r="UQU27" s="433"/>
      <c r="UQV27" s="433"/>
      <c r="UQW27" s="433"/>
      <c r="UQX27" s="433"/>
      <c r="UQY27" s="433"/>
      <c r="UQZ27" s="1037"/>
      <c r="URA27" s="1438"/>
      <c r="URB27" s="433"/>
      <c r="URC27" s="433"/>
      <c r="URD27" s="433"/>
      <c r="URE27" s="433"/>
      <c r="URF27" s="433"/>
      <c r="URG27" s="433"/>
      <c r="URH27" s="433"/>
      <c r="URI27" s="433"/>
      <c r="URJ27" s="433"/>
      <c r="URK27" s="433"/>
      <c r="URL27" s="1037"/>
      <c r="URM27" s="1438"/>
      <c r="URN27" s="433"/>
      <c r="URO27" s="433"/>
      <c r="URP27" s="433"/>
      <c r="URQ27" s="433"/>
      <c r="URR27" s="433"/>
      <c r="URS27" s="433"/>
      <c r="URT27" s="433"/>
      <c r="URU27" s="433"/>
      <c r="URV27" s="433"/>
      <c r="URW27" s="433"/>
      <c r="URX27" s="1037"/>
      <c r="URY27" s="1438"/>
      <c r="URZ27" s="433"/>
      <c r="USA27" s="433"/>
      <c r="USB27" s="433"/>
      <c r="USC27" s="433"/>
      <c r="USD27" s="433"/>
      <c r="USE27" s="433"/>
      <c r="USF27" s="433"/>
      <c r="USG27" s="433"/>
      <c r="USH27" s="433"/>
      <c r="USI27" s="433"/>
      <c r="USJ27" s="1037"/>
      <c r="USK27" s="1438"/>
      <c r="USL27" s="433"/>
      <c r="USM27" s="433"/>
      <c r="USN27" s="433"/>
      <c r="USO27" s="433"/>
      <c r="USP27" s="433"/>
      <c r="USQ27" s="433"/>
      <c r="USR27" s="433"/>
      <c r="USS27" s="433"/>
      <c r="UST27" s="433"/>
      <c r="USU27" s="433"/>
      <c r="USV27" s="1037"/>
      <c r="USW27" s="1438"/>
      <c r="USX27" s="433"/>
      <c r="USY27" s="433"/>
      <c r="USZ27" s="433"/>
      <c r="UTA27" s="433"/>
      <c r="UTB27" s="433"/>
      <c r="UTC27" s="433"/>
      <c r="UTD27" s="433"/>
      <c r="UTE27" s="433"/>
      <c r="UTF27" s="433"/>
      <c r="UTG27" s="433"/>
      <c r="UTH27" s="1037"/>
      <c r="UTI27" s="1438"/>
      <c r="UTJ27" s="433"/>
      <c r="UTK27" s="433"/>
      <c r="UTL27" s="433"/>
      <c r="UTM27" s="433"/>
      <c r="UTN27" s="433"/>
      <c r="UTO27" s="433"/>
      <c r="UTP27" s="433"/>
      <c r="UTQ27" s="433"/>
      <c r="UTR27" s="433"/>
      <c r="UTS27" s="433"/>
      <c r="UTT27" s="1037"/>
      <c r="UTU27" s="1438"/>
      <c r="UTV27" s="433"/>
      <c r="UTW27" s="433"/>
      <c r="UTX27" s="433"/>
      <c r="UTY27" s="433"/>
      <c r="UTZ27" s="433"/>
      <c r="UUA27" s="433"/>
      <c r="UUB27" s="433"/>
      <c r="UUC27" s="433"/>
      <c r="UUD27" s="433"/>
      <c r="UUE27" s="433"/>
      <c r="UUF27" s="1037"/>
      <c r="UUG27" s="1438"/>
      <c r="UUH27" s="433"/>
      <c r="UUI27" s="433"/>
      <c r="UUJ27" s="433"/>
      <c r="UUK27" s="433"/>
      <c r="UUL27" s="433"/>
      <c r="UUM27" s="433"/>
      <c r="UUN27" s="433"/>
      <c r="UUO27" s="433"/>
      <c r="UUP27" s="433"/>
      <c r="UUQ27" s="433"/>
      <c r="UUR27" s="1037"/>
      <c r="UUS27" s="1438"/>
      <c r="UUT27" s="433"/>
      <c r="UUU27" s="433"/>
      <c r="UUV27" s="433"/>
      <c r="UUW27" s="433"/>
      <c r="UUX27" s="433"/>
      <c r="UUY27" s="433"/>
      <c r="UUZ27" s="433"/>
      <c r="UVA27" s="433"/>
      <c r="UVB27" s="433"/>
      <c r="UVC27" s="433"/>
      <c r="UVD27" s="1037"/>
      <c r="UVE27" s="1438"/>
      <c r="UVF27" s="433"/>
      <c r="UVG27" s="433"/>
      <c r="UVH27" s="433"/>
      <c r="UVI27" s="433"/>
      <c r="UVJ27" s="433"/>
      <c r="UVK27" s="433"/>
      <c r="UVL27" s="433"/>
      <c r="UVM27" s="433"/>
      <c r="UVN27" s="433"/>
      <c r="UVO27" s="433"/>
      <c r="UVP27" s="1037"/>
      <c r="UVQ27" s="1438"/>
      <c r="UVR27" s="433"/>
      <c r="UVS27" s="433"/>
      <c r="UVT27" s="433"/>
      <c r="UVU27" s="433"/>
      <c r="UVV27" s="433"/>
      <c r="UVW27" s="433"/>
      <c r="UVX27" s="433"/>
      <c r="UVY27" s="433"/>
      <c r="UVZ27" s="433"/>
      <c r="UWA27" s="433"/>
      <c r="UWB27" s="1037"/>
      <c r="UWC27" s="1438"/>
      <c r="UWD27" s="433"/>
      <c r="UWE27" s="433"/>
      <c r="UWF27" s="433"/>
      <c r="UWG27" s="433"/>
      <c r="UWH27" s="433"/>
      <c r="UWI27" s="433"/>
      <c r="UWJ27" s="433"/>
      <c r="UWK27" s="433"/>
      <c r="UWL27" s="433"/>
      <c r="UWM27" s="433"/>
      <c r="UWN27" s="1037"/>
      <c r="UWO27" s="1438"/>
      <c r="UWP27" s="433"/>
      <c r="UWQ27" s="433"/>
      <c r="UWR27" s="433"/>
      <c r="UWS27" s="433"/>
      <c r="UWT27" s="433"/>
      <c r="UWU27" s="433"/>
      <c r="UWV27" s="433"/>
      <c r="UWW27" s="433"/>
      <c r="UWX27" s="433"/>
      <c r="UWY27" s="433"/>
      <c r="UWZ27" s="1037"/>
      <c r="UXA27" s="1438"/>
      <c r="UXB27" s="433"/>
      <c r="UXC27" s="433"/>
      <c r="UXD27" s="433"/>
      <c r="UXE27" s="433"/>
      <c r="UXF27" s="433"/>
      <c r="UXG27" s="433"/>
      <c r="UXH27" s="433"/>
      <c r="UXI27" s="433"/>
      <c r="UXJ27" s="433"/>
      <c r="UXK27" s="433"/>
      <c r="UXL27" s="1037"/>
      <c r="UXM27" s="1438"/>
      <c r="UXN27" s="433"/>
      <c r="UXO27" s="433"/>
      <c r="UXP27" s="433"/>
      <c r="UXQ27" s="433"/>
      <c r="UXR27" s="433"/>
      <c r="UXS27" s="433"/>
      <c r="UXT27" s="433"/>
      <c r="UXU27" s="433"/>
      <c r="UXV27" s="433"/>
      <c r="UXW27" s="433"/>
      <c r="UXX27" s="1037"/>
      <c r="UXY27" s="1438"/>
      <c r="UXZ27" s="433"/>
      <c r="UYA27" s="433"/>
      <c r="UYB27" s="433"/>
      <c r="UYC27" s="433"/>
      <c r="UYD27" s="433"/>
      <c r="UYE27" s="433"/>
      <c r="UYF27" s="433"/>
      <c r="UYG27" s="433"/>
      <c r="UYH27" s="433"/>
      <c r="UYI27" s="433"/>
      <c r="UYJ27" s="1037"/>
      <c r="UYK27" s="1438"/>
      <c r="UYL27" s="433"/>
      <c r="UYM27" s="433"/>
      <c r="UYN27" s="433"/>
      <c r="UYO27" s="433"/>
      <c r="UYP27" s="433"/>
      <c r="UYQ27" s="433"/>
      <c r="UYR27" s="433"/>
      <c r="UYS27" s="433"/>
      <c r="UYT27" s="433"/>
      <c r="UYU27" s="433"/>
      <c r="UYV27" s="1037"/>
      <c r="UYW27" s="1438"/>
      <c r="UYX27" s="433"/>
      <c r="UYY27" s="433"/>
      <c r="UYZ27" s="433"/>
      <c r="UZA27" s="433"/>
      <c r="UZB27" s="433"/>
      <c r="UZC27" s="433"/>
      <c r="UZD27" s="433"/>
      <c r="UZE27" s="433"/>
      <c r="UZF27" s="433"/>
      <c r="UZG27" s="433"/>
      <c r="UZH27" s="1037"/>
      <c r="UZI27" s="1438"/>
      <c r="UZJ27" s="433"/>
      <c r="UZK27" s="433"/>
      <c r="UZL27" s="433"/>
      <c r="UZM27" s="433"/>
      <c r="UZN27" s="433"/>
      <c r="UZO27" s="433"/>
      <c r="UZP27" s="433"/>
      <c r="UZQ27" s="433"/>
      <c r="UZR27" s="433"/>
      <c r="UZS27" s="433"/>
      <c r="UZT27" s="1037"/>
      <c r="UZU27" s="1438"/>
      <c r="UZV27" s="433"/>
      <c r="UZW27" s="433"/>
      <c r="UZX27" s="433"/>
      <c r="UZY27" s="433"/>
      <c r="UZZ27" s="433"/>
      <c r="VAA27" s="433"/>
      <c r="VAB27" s="433"/>
      <c r="VAC27" s="433"/>
      <c r="VAD27" s="433"/>
      <c r="VAE27" s="433"/>
      <c r="VAF27" s="1037"/>
      <c r="VAG27" s="1438"/>
      <c r="VAH27" s="433"/>
      <c r="VAI27" s="433"/>
      <c r="VAJ27" s="433"/>
      <c r="VAK27" s="433"/>
      <c r="VAL27" s="433"/>
      <c r="VAM27" s="433"/>
      <c r="VAN27" s="433"/>
      <c r="VAO27" s="433"/>
      <c r="VAP27" s="433"/>
      <c r="VAQ27" s="433"/>
      <c r="VAR27" s="1037"/>
      <c r="VAS27" s="1438"/>
      <c r="VAT27" s="433"/>
      <c r="VAU27" s="433"/>
      <c r="VAV27" s="433"/>
      <c r="VAW27" s="433"/>
      <c r="VAX27" s="433"/>
      <c r="VAY27" s="433"/>
      <c r="VAZ27" s="433"/>
      <c r="VBA27" s="433"/>
      <c r="VBB27" s="433"/>
      <c r="VBC27" s="433"/>
      <c r="VBD27" s="1037"/>
      <c r="VBE27" s="1438"/>
      <c r="VBF27" s="433"/>
      <c r="VBG27" s="433"/>
      <c r="VBH27" s="433"/>
      <c r="VBI27" s="433"/>
      <c r="VBJ27" s="433"/>
      <c r="VBK27" s="433"/>
      <c r="VBL27" s="433"/>
      <c r="VBM27" s="433"/>
      <c r="VBN27" s="433"/>
      <c r="VBO27" s="433"/>
      <c r="VBP27" s="1037"/>
      <c r="VBQ27" s="1438"/>
      <c r="VBR27" s="433"/>
      <c r="VBS27" s="433"/>
      <c r="VBT27" s="433"/>
      <c r="VBU27" s="433"/>
      <c r="VBV27" s="433"/>
      <c r="VBW27" s="433"/>
      <c r="VBX27" s="433"/>
      <c r="VBY27" s="433"/>
      <c r="VBZ27" s="433"/>
      <c r="VCA27" s="433"/>
      <c r="VCB27" s="1037"/>
      <c r="VCC27" s="1438"/>
      <c r="VCD27" s="433"/>
      <c r="VCE27" s="433"/>
      <c r="VCF27" s="433"/>
      <c r="VCG27" s="433"/>
      <c r="VCH27" s="433"/>
      <c r="VCI27" s="433"/>
      <c r="VCJ27" s="433"/>
      <c r="VCK27" s="433"/>
      <c r="VCL27" s="433"/>
      <c r="VCM27" s="433"/>
      <c r="VCN27" s="1037"/>
      <c r="VCO27" s="1438"/>
      <c r="VCP27" s="433"/>
      <c r="VCQ27" s="433"/>
      <c r="VCR27" s="433"/>
      <c r="VCS27" s="433"/>
      <c r="VCT27" s="433"/>
      <c r="VCU27" s="433"/>
      <c r="VCV27" s="433"/>
      <c r="VCW27" s="433"/>
      <c r="VCX27" s="433"/>
      <c r="VCY27" s="433"/>
      <c r="VCZ27" s="1037"/>
      <c r="VDA27" s="1438"/>
      <c r="VDB27" s="433"/>
      <c r="VDC27" s="433"/>
      <c r="VDD27" s="433"/>
      <c r="VDE27" s="433"/>
      <c r="VDF27" s="433"/>
      <c r="VDG27" s="433"/>
      <c r="VDH27" s="433"/>
      <c r="VDI27" s="433"/>
      <c r="VDJ27" s="433"/>
      <c r="VDK27" s="433"/>
      <c r="VDL27" s="1037"/>
      <c r="VDM27" s="1438"/>
      <c r="VDN27" s="433"/>
      <c r="VDO27" s="433"/>
      <c r="VDP27" s="433"/>
      <c r="VDQ27" s="433"/>
      <c r="VDR27" s="433"/>
      <c r="VDS27" s="433"/>
      <c r="VDT27" s="433"/>
      <c r="VDU27" s="433"/>
      <c r="VDV27" s="433"/>
      <c r="VDW27" s="433"/>
      <c r="VDX27" s="1037"/>
      <c r="VDY27" s="1438"/>
      <c r="VDZ27" s="433"/>
      <c r="VEA27" s="433"/>
      <c r="VEB27" s="433"/>
      <c r="VEC27" s="433"/>
      <c r="VED27" s="433"/>
      <c r="VEE27" s="433"/>
      <c r="VEF27" s="433"/>
      <c r="VEG27" s="433"/>
      <c r="VEH27" s="433"/>
      <c r="VEI27" s="433"/>
      <c r="VEJ27" s="1037"/>
      <c r="VEK27" s="1438"/>
      <c r="VEL27" s="433"/>
      <c r="VEM27" s="433"/>
      <c r="VEN27" s="433"/>
      <c r="VEO27" s="433"/>
      <c r="VEP27" s="433"/>
      <c r="VEQ27" s="433"/>
      <c r="VER27" s="433"/>
      <c r="VES27" s="433"/>
      <c r="VET27" s="433"/>
      <c r="VEU27" s="433"/>
      <c r="VEV27" s="1037"/>
      <c r="VEW27" s="1438"/>
      <c r="VEX27" s="433"/>
      <c r="VEY27" s="433"/>
      <c r="VEZ27" s="433"/>
      <c r="VFA27" s="433"/>
      <c r="VFB27" s="433"/>
      <c r="VFC27" s="433"/>
      <c r="VFD27" s="433"/>
      <c r="VFE27" s="433"/>
      <c r="VFF27" s="433"/>
      <c r="VFG27" s="433"/>
      <c r="VFH27" s="1037"/>
      <c r="VFI27" s="1438"/>
      <c r="VFJ27" s="433"/>
      <c r="VFK27" s="433"/>
      <c r="VFL27" s="433"/>
      <c r="VFM27" s="433"/>
      <c r="VFN27" s="433"/>
      <c r="VFO27" s="433"/>
      <c r="VFP27" s="433"/>
      <c r="VFQ27" s="433"/>
      <c r="VFR27" s="433"/>
      <c r="VFS27" s="433"/>
      <c r="VFT27" s="1037"/>
      <c r="VFU27" s="1438"/>
      <c r="VFV27" s="433"/>
      <c r="VFW27" s="433"/>
      <c r="VFX27" s="433"/>
      <c r="VFY27" s="433"/>
      <c r="VFZ27" s="433"/>
      <c r="VGA27" s="433"/>
      <c r="VGB27" s="433"/>
      <c r="VGC27" s="433"/>
      <c r="VGD27" s="433"/>
      <c r="VGE27" s="433"/>
      <c r="VGF27" s="1037"/>
      <c r="VGG27" s="1438"/>
      <c r="VGH27" s="433"/>
      <c r="VGI27" s="433"/>
      <c r="VGJ27" s="433"/>
      <c r="VGK27" s="433"/>
      <c r="VGL27" s="433"/>
      <c r="VGM27" s="433"/>
      <c r="VGN27" s="433"/>
      <c r="VGO27" s="433"/>
      <c r="VGP27" s="433"/>
      <c r="VGQ27" s="433"/>
      <c r="VGR27" s="1037"/>
      <c r="VGS27" s="1438"/>
      <c r="VGT27" s="433"/>
      <c r="VGU27" s="433"/>
      <c r="VGV27" s="433"/>
      <c r="VGW27" s="433"/>
      <c r="VGX27" s="433"/>
      <c r="VGY27" s="433"/>
      <c r="VGZ27" s="433"/>
      <c r="VHA27" s="433"/>
      <c r="VHB27" s="433"/>
      <c r="VHC27" s="433"/>
      <c r="VHD27" s="1037"/>
      <c r="VHE27" s="1438"/>
      <c r="VHF27" s="433"/>
      <c r="VHG27" s="433"/>
      <c r="VHH27" s="433"/>
      <c r="VHI27" s="433"/>
      <c r="VHJ27" s="433"/>
      <c r="VHK27" s="433"/>
      <c r="VHL27" s="433"/>
      <c r="VHM27" s="433"/>
      <c r="VHN27" s="433"/>
      <c r="VHO27" s="433"/>
      <c r="VHP27" s="1037"/>
      <c r="VHQ27" s="1438"/>
      <c r="VHR27" s="433"/>
      <c r="VHS27" s="433"/>
      <c r="VHT27" s="433"/>
      <c r="VHU27" s="433"/>
      <c r="VHV27" s="433"/>
      <c r="VHW27" s="433"/>
      <c r="VHX27" s="433"/>
      <c r="VHY27" s="433"/>
      <c r="VHZ27" s="433"/>
      <c r="VIA27" s="433"/>
      <c r="VIB27" s="1037"/>
      <c r="VIC27" s="1438"/>
      <c r="VID27" s="433"/>
      <c r="VIE27" s="433"/>
      <c r="VIF27" s="433"/>
      <c r="VIG27" s="433"/>
      <c r="VIH27" s="433"/>
      <c r="VII27" s="433"/>
      <c r="VIJ27" s="433"/>
      <c r="VIK27" s="433"/>
      <c r="VIL27" s="433"/>
      <c r="VIM27" s="433"/>
      <c r="VIN27" s="1037"/>
      <c r="VIO27" s="1438"/>
      <c r="VIP27" s="433"/>
      <c r="VIQ27" s="433"/>
      <c r="VIR27" s="433"/>
      <c r="VIS27" s="433"/>
      <c r="VIT27" s="433"/>
      <c r="VIU27" s="433"/>
      <c r="VIV27" s="433"/>
      <c r="VIW27" s="433"/>
      <c r="VIX27" s="433"/>
      <c r="VIY27" s="433"/>
      <c r="VIZ27" s="1037"/>
      <c r="VJA27" s="1438"/>
      <c r="VJB27" s="433"/>
      <c r="VJC27" s="433"/>
      <c r="VJD27" s="433"/>
      <c r="VJE27" s="433"/>
      <c r="VJF27" s="433"/>
      <c r="VJG27" s="433"/>
      <c r="VJH27" s="433"/>
      <c r="VJI27" s="433"/>
      <c r="VJJ27" s="433"/>
      <c r="VJK27" s="433"/>
      <c r="VJL27" s="1037"/>
      <c r="VJM27" s="1438"/>
      <c r="VJN27" s="433"/>
      <c r="VJO27" s="433"/>
      <c r="VJP27" s="433"/>
      <c r="VJQ27" s="433"/>
      <c r="VJR27" s="433"/>
      <c r="VJS27" s="433"/>
      <c r="VJT27" s="433"/>
      <c r="VJU27" s="433"/>
      <c r="VJV27" s="433"/>
      <c r="VJW27" s="433"/>
      <c r="VJX27" s="1037"/>
      <c r="VJY27" s="1438"/>
      <c r="VJZ27" s="433"/>
      <c r="VKA27" s="433"/>
      <c r="VKB27" s="433"/>
      <c r="VKC27" s="433"/>
      <c r="VKD27" s="433"/>
      <c r="VKE27" s="433"/>
      <c r="VKF27" s="433"/>
      <c r="VKG27" s="433"/>
      <c r="VKH27" s="433"/>
      <c r="VKI27" s="433"/>
      <c r="VKJ27" s="1037"/>
      <c r="VKK27" s="1438"/>
      <c r="VKL27" s="433"/>
      <c r="VKM27" s="433"/>
      <c r="VKN27" s="433"/>
      <c r="VKO27" s="433"/>
      <c r="VKP27" s="433"/>
      <c r="VKQ27" s="433"/>
      <c r="VKR27" s="433"/>
      <c r="VKS27" s="433"/>
      <c r="VKT27" s="433"/>
      <c r="VKU27" s="433"/>
      <c r="VKV27" s="1037"/>
      <c r="VKW27" s="1438"/>
      <c r="VKX27" s="433"/>
      <c r="VKY27" s="433"/>
      <c r="VKZ27" s="433"/>
      <c r="VLA27" s="433"/>
      <c r="VLB27" s="433"/>
      <c r="VLC27" s="433"/>
      <c r="VLD27" s="433"/>
      <c r="VLE27" s="433"/>
      <c r="VLF27" s="433"/>
      <c r="VLG27" s="433"/>
      <c r="VLH27" s="1037"/>
      <c r="VLI27" s="1438"/>
      <c r="VLJ27" s="433"/>
      <c r="VLK27" s="433"/>
      <c r="VLL27" s="433"/>
      <c r="VLM27" s="433"/>
      <c r="VLN27" s="433"/>
      <c r="VLO27" s="433"/>
      <c r="VLP27" s="433"/>
      <c r="VLQ27" s="433"/>
      <c r="VLR27" s="433"/>
      <c r="VLS27" s="433"/>
      <c r="VLT27" s="1037"/>
      <c r="VLU27" s="1438"/>
      <c r="VLV27" s="433"/>
      <c r="VLW27" s="433"/>
      <c r="VLX27" s="433"/>
      <c r="VLY27" s="433"/>
      <c r="VLZ27" s="433"/>
      <c r="VMA27" s="433"/>
      <c r="VMB27" s="433"/>
      <c r="VMC27" s="433"/>
      <c r="VMD27" s="433"/>
      <c r="VME27" s="433"/>
      <c r="VMF27" s="1037"/>
      <c r="VMG27" s="1438"/>
      <c r="VMH27" s="433"/>
      <c r="VMI27" s="433"/>
      <c r="VMJ27" s="433"/>
      <c r="VMK27" s="433"/>
      <c r="VML27" s="433"/>
      <c r="VMM27" s="433"/>
      <c r="VMN27" s="433"/>
      <c r="VMO27" s="433"/>
      <c r="VMP27" s="433"/>
      <c r="VMQ27" s="433"/>
      <c r="VMR27" s="1037"/>
      <c r="VMS27" s="1438"/>
      <c r="VMT27" s="433"/>
      <c r="VMU27" s="433"/>
      <c r="VMV27" s="433"/>
      <c r="VMW27" s="433"/>
      <c r="VMX27" s="433"/>
      <c r="VMY27" s="433"/>
      <c r="VMZ27" s="433"/>
      <c r="VNA27" s="433"/>
      <c r="VNB27" s="433"/>
      <c r="VNC27" s="433"/>
      <c r="VND27" s="1037"/>
      <c r="VNE27" s="1438"/>
      <c r="VNF27" s="433"/>
      <c r="VNG27" s="433"/>
      <c r="VNH27" s="433"/>
      <c r="VNI27" s="433"/>
      <c r="VNJ27" s="433"/>
      <c r="VNK27" s="433"/>
      <c r="VNL27" s="433"/>
      <c r="VNM27" s="433"/>
      <c r="VNN27" s="433"/>
      <c r="VNO27" s="433"/>
      <c r="VNP27" s="1037"/>
      <c r="VNQ27" s="1438"/>
      <c r="VNR27" s="433"/>
      <c r="VNS27" s="433"/>
      <c r="VNT27" s="433"/>
      <c r="VNU27" s="433"/>
      <c r="VNV27" s="433"/>
      <c r="VNW27" s="433"/>
      <c r="VNX27" s="433"/>
      <c r="VNY27" s="433"/>
      <c r="VNZ27" s="433"/>
      <c r="VOA27" s="433"/>
      <c r="VOB27" s="1037"/>
      <c r="VOC27" s="1438"/>
      <c r="VOD27" s="433"/>
      <c r="VOE27" s="433"/>
      <c r="VOF27" s="433"/>
      <c r="VOG27" s="433"/>
      <c r="VOH27" s="433"/>
      <c r="VOI27" s="433"/>
      <c r="VOJ27" s="433"/>
      <c r="VOK27" s="433"/>
      <c r="VOL27" s="433"/>
      <c r="VOM27" s="433"/>
      <c r="VON27" s="1037"/>
      <c r="VOO27" s="1438"/>
      <c r="VOP27" s="433"/>
      <c r="VOQ27" s="433"/>
      <c r="VOR27" s="433"/>
      <c r="VOS27" s="433"/>
      <c r="VOT27" s="433"/>
      <c r="VOU27" s="433"/>
      <c r="VOV27" s="433"/>
      <c r="VOW27" s="433"/>
      <c r="VOX27" s="433"/>
      <c r="VOY27" s="433"/>
      <c r="VOZ27" s="1037"/>
      <c r="VPA27" s="1438"/>
      <c r="VPB27" s="433"/>
      <c r="VPC27" s="433"/>
      <c r="VPD27" s="433"/>
      <c r="VPE27" s="433"/>
      <c r="VPF27" s="433"/>
      <c r="VPG27" s="433"/>
      <c r="VPH27" s="433"/>
      <c r="VPI27" s="433"/>
      <c r="VPJ27" s="433"/>
      <c r="VPK27" s="433"/>
      <c r="VPL27" s="1037"/>
      <c r="VPM27" s="1438"/>
      <c r="VPN27" s="433"/>
      <c r="VPO27" s="433"/>
      <c r="VPP27" s="433"/>
      <c r="VPQ27" s="433"/>
      <c r="VPR27" s="433"/>
      <c r="VPS27" s="433"/>
      <c r="VPT27" s="433"/>
      <c r="VPU27" s="433"/>
      <c r="VPV27" s="433"/>
      <c r="VPW27" s="433"/>
      <c r="VPX27" s="1037"/>
      <c r="VPY27" s="1438"/>
      <c r="VPZ27" s="433"/>
      <c r="VQA27" s="433"/>
      <c r="VQB27" s="433"/>
      <c r="VQC27" s="433"/>
      <c r="VQD27" s="433"/>
      <c r="VQE27" s="433"/>
      <c r="VQF27" s="433"/>
      <c r="VQG27" s="433"/>
      <c r="VQH27" s="433"/>
      <c r="VQI27" s="433"/>
      <c r="VQJ27" s="1037"/>
      <c r="VQK27" s="1438"/>
      <c r="VQL27" s="433"/>
      <c r="VQM27" s="433"/>
      <c r="VQN27" s="433"/>
      <c r="VQO27" s="433"/>
      <c r="VQP27" s="433"/>
      <c r="VQQ27" s="433"/>
      <c r="VQR27" s="433"/>
      <c r="VQS27" s="433"/>
      <c r="VQT27" s="433"/>
      <c r="VQU27" s="433"/>
      <c r="VQV27" s="1037"/>
      <c r="VQW27" s="1438"/>
      <c r="VQX27" s="433"/>
      <c r="VQY27" s="433"/>
      <c r="VQZ27" s="433"/>
      <c r="VRA27" s="433"/>
      <c r="VRB27" s="433"/>
      <c r="VRC27" s="433"/>
      <c r="VRD27" s="433"/>
      <c r="VRE27" s="433"/>
      <c r="VRF27" s="433"/>
      <c r="VRG27" s="433"/>
      <c r="VRH27" s="1037"/>
      <c r="VRI27" s="1438"/>
      <c r="VRJ27" s="433"/>
      <c r="VRK27" s="433"/>
      <c r="VRL27" s="433"/>
      <c r="VRM27" s="433"/>
      <c r="VRN27" s="433"/>
      <c r="VRO27" s="433"/>
      <c r="VRP27" s="433"/>
      <c r="VRQ27" s="433"/>
      <c r="VRR27" s="433"/>
      <c r="VRS27" s="433"/>
      <c r="VRT27" s="1037"/>
      <c r="VRU27" s="1438"/>
      <c r="VRV27" s="433"/>
      <c r="VRW27" s="433"/>
      <c r="VRX27" s="433"/>
      <c r="VRY27" s="433"/>
      <c r="VRZ27" s="433"/>
      <c r="VSA27" s="433"/>
      <c r="VSB27" s="433"/>
      <c r="VSC27" s="433"/>
      <c r="VSD27" s="433"/>
      <c r="VSE27" s="433"/>
      <c r="VSF27" s="1037"/>
      <c r="VSG27" s="1438"/>
      <c r="VSH27" s="433"/>
      <c r="VSI27" s="433"/>
      <c r="VSJ27" s="433"/>
      <c r="VSK27" s="433"/>
      <c r="VSL27" s="433"/>
      <c r="VSM27" s="433"/>
      <c r="VSN27" s="433"/>
      <c r="VSO27" s="433"/>
      <c r="VSP27" s="433"/>
      <c r="VSQ27" s="433"/>
      <c r="VSR27" s="1037"/>
      <c r="VSS27" s="1438"/>
      <c r="VST27" s="433"/>
      <c r="VSU27" s="433"/>
      <c r="VSV27" s="433"/>
      <c r="VSW27" s="433"/>
      <c r="VSX27" s="433"/>
      <c r="VSY27" s="433"/>
      <c r="VSZ27" s="433"/>
      <c r="VTA27" s="433"/>
      <c r="VTB27" s="433"/>
      <c r="VTC27" s="433"/>
      <c r="VTD27" s="1037"/>
      <c r="VTE27" s="1438"/>
      <c r="VTF27" s="433"/>
      <c r="VTG27" s="433"/>
      <c r="VTH27" s="433"/>
      <c r="VTI27" s="433"/>
      <c r="VTJ27" s="433"/>
      <c r="VTK27" s="433"/>
      <c r="VTL27" s="433"/>
      <c r="VTM27" s="433"/>
      <c r="VTN27" s="433"/>
      <c r="VTO27" s="433"/>
      <c r="VTP27" s="1037"/>
      <c r="VTQ27" s="1438"/>
      <c r="VTR27" s="433"/>
      <c r="VTS27" s="433"/>
      <c r="VTT27" s="433"/>
      <c r="VTU27" s="433"/>
      <c r="VTV27" s="433"/>
      <c r="VTW27" s="433"/>
      <c r="VTX27" s="433"/>
      <c r="VTY27" s="433"/>
      <c r="VTZ27" s="433"/>
      <c r="VUA27" s="433"/>
      <c r="VUB27" s="1037"/>
      <c r="VUC27" s="1438"/>
      <c r="VUD27" s="433"/>
      <c r="VUE27" s="433"/>
      <c r="VUF27" s="433"/>
      <c r="VUG27" s="433"/>
      <c r="VUH27" s="433"/>
      <c r="VUI27" s="433"/>
      <c r="VUJ27" s="433"/>
      <c r="VUK27" s="433"/>
      <c r="VUL27" s="433"/>
      <c r="VUM27" s="433"/>
      <c r="VUN27" s="1037"/>
      <c r="VUO27" s="1438"/>
      <c r="VUP27" s="433"/>
      <c r="VUQ27" s="433"/>
      <c r="VUR27" s="433"/>
      <c r="VUS27" s="433"/>
      <c r="VUT27" s="433"/>
      <c r="VUU27" s="433"/>
      <c r="VUV27" s="433"/>
      <c r="VUW27" s="433"/>
      <c r="VUX27" s="433"/>
      <c r="VUY27" s="433"/>
      <c r="VUZ27" s="1037"/>
      <c r="VVA27" s="1438"/>
      <c r="VVB27" s="433"/>
      <c r="VVC27" s="433"/>
      <c r="VVD27" s="433"/>
      <c r="VVE27" s="433"/>
      <c r="VVF27" s="433"/>
      <c r="VVG27" s="433"/>
      <c r="VVH27" s="433"/>
      <c r="VVI27" s="433"/>
      <c r="VVJ27" s="433"/>
      <c r="VVK27" s="433"/>
      <c r="VVL27" s="1037"/>
      <c r="VVM27" s="1438"/>
      <c r="VVN27" s="433"/>
      <c r="VVO27" s="433"/>
      <c r="VVP27" s="433"/>
      <c r="VVQ27" s="433"/>
      <c r="VVR27" s="433"/>
      <c r="VVS27" s="433"/>
      <c r="VVT27" s="433"/>
      <c r="VVU27" s="433"/>
      <c r="VVV27" s="433"/>
      <c r="VVW27" s="433"/>
      <c r="VVX27" s="1037"/>
      <c r="VVY27" s="1438"/>
      <c r="VVZ27" s="433"/>
      <c r="VWA27" s="433"/>
      <c r="VWB27" s="433"/>
      <c r="VWC27" s="433"/>
      <c r="VWD27" s="433"/>
      <c r="VWE27" s="433"/>
      <c r="VWF27" s="433"/>
      <c r="VWG27" s="433"/>
      <c r="VWH27" s="433"/>
      <c r="VWI27" s="433"/>
      <c r="VWJ27" s="1037"/>
      <c r="VWK27" s="1438"/>
      <c r="VWL27" s="433"/>
      <c r="VWM27" s="433"/>
      <c r="VWN27" s="433"/>
      <c r="VWO27" s="433"/>
      <c r="VWP27" s="433"/>
      <c r="VWQ27" s="433"/>
      <c r="VWR27" s="433"/>
      <c r="VWS27" s="433"/>
      <c r="VWT27" s="433"/>
      <c r="VWU27" s="433"/>
      <c r="VWV27" s="1037"/>
      <c r="VWW27" s="1438"/>
      <c r="VWX27" s="433"/>
      <c r="VWY27" s="433"/>
      <c r="VWZ27" s="433"/>
      <c r="VXA27" s="433"/>
      <c r="VXB27" s="433"/>
      <c r="VXC27" s="433"/>
      <c r="VXD27" s="433"/>
      <c r="VXE27" s="433"/>
      <c r="VXF27" s="433"/>
      <c r="VXG27" s="433"/>
      <c r="VXH27" s="1037"/>
      <c r="VXI27" s="1438"/>
      <c r="VXJ27" s="433"/>
      <c r="VXK27" s="433"/>
      <c r="VXL27" s="433"/>
      <c r="VXM27" s="433"/>
      <c r="VXN27" s="433"/>
      <c r="VXO27" s="433"/>
      <c r="VXP27" s="433"/>
      <c r="VXQ27" s="433"/>
      <c r="VXR27" s="433"/>
      <c r="VXS27" s="433"/>
      <c r="VXT27" s="1037"/>
      <c r="VXU27" s="1438"/>
      <c r="VXV27" s="433"/>
      <c r="VXW27" s="433"/>
      <c r="VXX27" s="433"/>
      <c r="VXY27" s="433"/>
      <c r="VXZ27" s="433"/>
      <c r="VYA27" s="433"/>
      <c r="VYB27" s="433"/>
      <c r="VYC27" s="433"/>
      <c r="VYD27" s="433"/>
      <c r="VYE27" s="433"/>
      <c r="VYF27" s="1037"/>
      <c r="VYG27" s="1438"/>
      <c r="VYH27" s="433"/>
      <c r="VYI27" s="433"/>
      <c r="VYJ27" s="433"/>
      <c r="VYK27" s="433"/>
      <c r="VYL27" s="433"/>
      <c r="VYM27" s="433"/>
      <c r="VYN27" s="433"/>
      <c r="VYO27" s="433"/>
      <c r="VYP27" s="433"/>
      <c r="VYQ27" s="433"/>
      <c r="VYR27" s="1037"/>
      <c r="VYS27" s="1438"/>
      <c r="VYT27" s="433"/>
      <c r="VYU27" s="433"/>
      <c r="VYV27" s="433"/>
      <c r="VYW27" s="433"/>
      <c r="VYX27" s="433"/>
      <c r="VYY27" s="433"/>
      <c r="VYZ27" s="433"/>
      <c r="VZA27" s="433"/>
      <c r="VZB27" s="433"/>
      <c r="VZC27" s="433"/>
      <c r="VZD27" s="1037"/>
      <c r="VZE27" s="1438"/>
      <c r="VZF27" s="433"/>
      <c r="VZG27" s="433"/>
      <c r="VZH27" s="433"/>
      <c r="VZI27" s="433"/>
      <c r="VZJ27" s="433"/>
      <c r="VZK27" s="433"/>
      <c r="VZL27" s="433"/>
      <c r="VZM27" s="433"/>
      <c r="VZN27" s="433"/>
      <c r="VZO27" s="433"/>
      <c r="VZP27" s="1037"/>
      <c r="VZQ27" s="1438"/>
      <c r="VZR27" s="433"/>
      <c r="VZS27" s="433"/>
      <c r="VZT27" s="433"/>
      <c r="VZU27" s="433"/>
      <c r="VZV27" s="433"/>
      <c r="VZW27" s="433"/>
      <c r="VZX27" s="433"/>
      <c r="VZY27" s="433"/>
      <c r="VZZ27" s="433"/>
      <c r="WAA27" s="433"/>
      <c r="WAB27" s="1037"/>
      <c r="WAC27" s="1438"/>
      <c r="WAD27" s="433"/>
      <c r="WAE27" s="433"/>
      <c r="WAF27" s="433"/>
      <c r="WAG27" s="433"/>
      <c r="WAH27" s="433"/>
      <c r="WAI27" s="433"/>
      <c r="WAJ27" s="433"/>
      <c r="WAK27" s="433"/>
      <c r="WAL27" s="433"/>
      <c r="WAM27" s="433"/>
      <c r="WAN27" s="1037"/>
      <c r="WAO27" s="1438"/>
      <c r="WAP27" s="433"/>
      <c r="WAQ27" s="433"/>
      <c r="WAR27" s="433"/>
      <c r="WAS27" s="433"/>
      <c r="WAT27" s="433"/>
      <c r="WAU27" s="433"/>
      <c r="WAV27" s="433"/>
      <c r="WAW27" s="433"/>
      <c r="WAX27" s="433"/>
      <c r="WAY27" s="433"/>
      <c r="WAZ27" s="1037"/>
      <c r="WBA27" s="1438"/>
      <c r="WBB27" s="433"/>
      <c r="WBC27" s="433"/>
      <c r="WBD27" s="433"/>
      <c r="WBE27" s="433"/>
      <c r="WBF27" s="433"/>
      <c r="WBG27" s="433"/>
      <c r="WBH27" s="433"/>
      <c r="WBI27" s="433"/>
      <c r="WBJ27" s="433"/>
      <c r="WBK27" s="433"/>
      <c r="WBL27" s="1037"/>
      <c r="WBM27" s="1438"/>
      <c r="WBN27" s="433"/>
      <c r="WBO27" s="433"/>
      <c r="WBP27" s="433"/>
      <c r="WBQ27" s="433"/>
      <c r="WBR27" s="433"/>
      <c r="WBS27" s="433"/>
      <c r="WBT27" s="433"/>
      <c r="WBU27" s="433"/>
      <c r="WBV27" s="433"/>
      <c r="WBW27" s="433"/>
      <c r="WBX27" s="1037"/>
      <c r="WBY27" s="1438"/>
      <c r="WBZ27" s="433"/>
      <c r="WCA27" s="433"/>
      <c r="WCB27" s="433"/>
      <c r="WCC27" s="433"/>
      <c r="WCD27" s="433"/>
      <c r="WCE27" s="433"/>
      <c r="WCF27" s="433"/>
      <c r="WCG27" s="433"/>
      <c r="WCH27" s="433"/>
      <c r="WCI27" s="433"/>
      <c r="WCJ27" s="1037"/>
      <c r="WCK27" s="1438"/>
      <c r="WCL27" s="433"/>
      <c r="WCM27" s="433"/>
      <c r="WCN27" s="433"/>
      <c r="WCO27" s="433"/>
      <c r="WCP27" s="433"/>
      <c r="WCQ27" s="433"/>
      <c r="WCR27" s="433"/>
      <c r="WCS27" s="433"/>
      <c r="WCT27" s="433"/>
      <c r="WCU27" s="433"/>
      <c r="WCV27" s="1037"/>
      <c r="WCW27" s="1438"/>
      <c r="WCX27" s="433"/>
      <c r="WCY27" s="433"/>
      <c r="WCZ27" s="433"/>
      <c r="WDA27" s="433"/>
      <c r="WDB27" s="433"/>
      <c r="WDC27" s="433"/>
      <c r="WDD27" s="433"/>
      <c r="WDE27" s="433"/>
      <c r="WDF27" s="433"/>
      <c r="WDG27" s="433"/>
      <c r="WDH27" s="1037"/>
      <c r="WDI27" s="1438"/>
      <c r="WDJ27" s="433"/>
      <c r="WDK27" s="433"/>
      <c r="WDL27" s="433"/>
      <c r="WDM27" s="433"/>
      <c r="WDN27" s="433"/>
      <c r="WDO27" s="433"/>
      <c r="WDP27" s="433"/>
      <c r="WDQ27" s="433"/>
      <c r="WDR27" s="433"/>
      <c r="WDS27" s="433"/>
      <c r="WDT27" s="1037"/>
      <c r="WDU27" s="1438"/>
      <c r="WDV27" s="433"/>
      <c r="WDW27" s="433"/>
      <c r="WDX27" s="433"/>
      <c r="WDY27" s="433"/>
      <c r="WDZ27" s="433"/>
      <c r="WEA27" s="433"/>
      <c r="WEB27" s="433"/>
      <c r="WEC27" s="433"/>
      <c r="WED27" s="433"/>
      <c r="WEE27" s="433"/>
      <c r="WEF27" s="1037"/>
      <c r="WEG27" s="1438"/>
      <c r="WEH27" s="433"/>
      <c r="WEI27" s="433"/>
      <c r="WEJ27" s="433"/>
      <c r="WEK27" s="433"/>
      <c r="WEL27" s="433"/>
      <c r="WEM27" s="433"/>
      <c r="WEN27" s="433"/>
      <c r="WEO27" s="433"/>
      <c r="WEP27" s="433"/>
      <c r="WEQ27" s="433"/>
      <c r="WER27" s="1037"/>
      <c r="WES27" s="1438"/>
      <c r="WET27" s="433"/>
      <c r="WEU27" s="433"/>
      <c r="WEV27" s="433"/>
      <c r="WEW27" s="433"/>
      <c r="WEX27" s="433"/>
      <c r="WEY27" s="433"/>
      <c r="WEZ27" s="433"/>
      <c r="WFA27" s="433"/>
      <c r="WFB27" s="433"/>
      <c r="WFC27" s="433"/>
      <c r="WFD27" s="1037"/>
      <c r="WFE27" s="1438"/>
      <c r="WFF27" s="433"/>
      <c r="WFG27" s="433"/>
      <c r="WFH27" s="433"/>
      <c r="WFI27" s="433"/>
      <c r="WFJ27" s="433"/>
      <c r="WFK27" s="433"/>
      <c r="WFL27" s="433"/>
      <c r="WFM27" s="433"/>
      <c r="WFN27" s="433"/>
      <c r="WFO27" s="433"/>
      <c r="WFP27" s="1037"/>
      <c r="WFQ27" s="1438"/>
      <c r="WFR27" s="433"/>
      <c r="WFS27" s="433"/>
      <c r="WFT27" s="433"/>
      <c r="WFU27" s="433"/>
      <c r="WFV27" s="433"/>
      <c r="WFW27" s="433"/>
      <c r="WFX27" s="433"/>
      <c r="WFY27" s="433"/>
      <c r="WFZ27" s="433"/>
      <c r="WGA27" s="433"/>
      <c r="WGB27" s="1037"/>
      <c r="WGC27" s="1438"/>
      <c r="WGD27" s="433"/>
      <c r="WGE27" s="433"/>
      <c r="WGF27" s="433"/>
      <c r="WGG27" s="433"/>
      <c r="WGH27" s="433"/>
      <c r="WGI27" s="433"/>
      <c r="WGJ27" s="433"/>
      <c r="WGK27" s="433"/>
      <c r="WGL27" s="433"/>
      <c r="WGM27" s="433"/>
      <c r="WGN27" s="1037"/>
      <c r="WGO27" s="1438"/>
      <c r="WGP27" s="433"/>
      <c r="WGQ27" s="433"/>
      <c r="WGR27" s="433"/>
      <c r="WGS27" s="433"/>
      <c r="WGT27" s="433"/>
      <c r="WGU27" s="433"/>
      <c r="WGV27" s="433"/>
      <c r="WGW27" s="433"/>
      <c r="WGX27" s="433"/>
      <c r="WGY27" s="433"/>
      <c r="WGZ27" s="1037"/>
      <c r="WHA27" s="1438"/>
      <c r="WHB27" s="433"/>
      <c r="WHC27" s="433"/>
      <c r="WHD27" s="433"/>
      <c r="WHE27" s="433"/>
      <c r="WHF27" s="433"/>
      <c r="WHG27" s="433"/>
      <c r="WHH27" s="433"/>
      <c r="WHI27" s="433"/>
      <c r="WHJ27" s="433"/>
      <c r="WHK27" s="433"/>
      <c r="WHL27" s="1037"/>
      <c r="WHM27" s="1438"/>
      <c r="WHN27" s="433"/>
      <c r="WHO27" s="433"/>
      <c r="WHP27" s="433"/>
      <c r="WHQ27" s="433"/>
      <c r="WHR27" s="433"/>
      <c r="WHS27" s="433"/>
      <c r="WHT27" s="433"/>
      <c r="WHU27" s="433"/>
      <c r="WHV27" s="433"/>
      <c r="WHW27" s="433"/>
      <c r="WHX27" s="1037"/>
      <c r="WHY27" s="1438"/>
      <c r="WHZ27" s="433"/>
      <c r="WIA27" s="433"/>
      <c r="WIB27" s="433"/>
      <c r="WIC27" s="433"/>
      <c r="WID27" s="433"/>
      <c r="WIE27" s="433"/>
      <c r="WIF27" s="433"/>
      <c r="WIG27" s="433"/>
      <c r="WIH27" s="433"/>
      <c r="WII27" s="433"/>
      <c r="WIJ27" s="1037"/>
      <c r="WIK27" s="1438"/>
      <c r="WIL27" s="433"/>
      <c r="WIM27" s="433"/>
      <c r="WIN27" s="433"/>
      <c r="WIO27" s="433"/>
      <c r="WIP27" s="433"/>
      <c r="WIQ27" s="433"/>
      <c r="WIR27" s="433"/>
      <c r="WIS27" s="433"/>
      <c r="WIT27" s="433"/>
      <c r="WIU27" s="433"/>
      <c r="WIV27" s="1037"/>
      <c r="WIW27" s="1438"/>
      <c r="WIX27" s="433"/>
      <c r="WIY27" s="433"/>
      <c r="WIZ27" s="433"/>
      <c r="WJA27" s="433"/>
      <c r="WJB27" s="433"/>
      <c r="WJC27" s="433"/>
      <c r="WJD27" s="433"/>
      <c r="WJE27" s="433"/>
      <c r="WJF27" s="433"/>
      <c r="WJG27" s="433"/>
      <c r="WJH27" s="1037"/>
      <c r="WJI27" s="1438"/>
      <c r="WJJ27" s="433"/>
      <c r="WJK27" s="433"/>
      <c r="WJL27" s="433"/>
      <c r="WJM27" s="433"/>
      <c r="WJN27" s="433"/>
      <c r="WJO27" s="433"/>
      <c r="WJP27" s="433"/>
      <c r="WJQ27" s="433"/>
      <c r="WJR27" s="433"/>
      <c r="WJS27" s="433"/>
      <c r="WJT27" s="1037"/>
      <c r="WJU27" s="1438"/>
      <c r="WJV27" s="433"/>
      <c r="WJW27" s="433"/>
      <c r="WJX27" s="433"/>
      <c r="WJY27" s="433"/>
      <c r="WJZ27" s="433"/>
      <c r="WKA27" s="433"/>
      <c r="WKB27" s="433"/>
      <c r="WKC27" s="433"/>
      <c r="WKD27" s="433"/>
      <c r="WKE27" s="433"/>
      <c r="WKF27" s="1037"/>
      <c r="WKG27" s="1438"/>
      <c r="WKH27" s="433"/>
      <c r="WKI27" s="433"/>
      <c r="WKJ27" s="433"/>
      <c r="WKK27" s="433"/>
      <c r="WKL27" s="433"/>
      <c r="WKM27" s="433"/>
      <c r="WKN27" s="433"/>
      <c r="WKO27" s="433"/>
      <c r="WKP27" s="433"/>
      <c r="WKQ27" s="433"/>
      <c r="WKR27" s="1037"/>
      <c r="WKS27" s="1438"/>
      <c r="WKT27" s="433"/>
      <c r="WKU27" s="433"/>
      <c r="WKV27" s="433"/>
      <c r="WKW27" s="433"/>
      <c r="WKX27" s="433"/>
      <c r="WKY27" s="433"/>
      <c r="WKZ27" s="433"/>
      <c r="WLA27" s="433"/>
      <c r="WLB27" s="433"/>
      <c r="WLC27" s="433"/>
      <c r="WLD27" s="1037"/>
      <c r="WLE27" s="1438"/>
      <c r="WLF27" s="433"/>
      <c r="WLG27" s="433"/>
      <c r="WLH27" s="433"/>
      <c r="WLI27" s="433"/>
      <c r="WLJ27" s="433"/>
      <c r="WLK27" s="433"/>
      <c r="WLL27" s="433"/>
      <c r="WLM27" s="433"/>
      <c r="WLN27" s="433"/>
      <c r="WLO27" s="433"/>
      <c r="WLP27" s="1037"/>
      <c r="WLQ27" s="1438"/>
      <c r="WLR27" s="433"/>
      <c r="WLS27" s="433"/>
      <c r="WLT27" s="433"/>
      <c r="WLU27" s="433"/>
      <c r="WLV27" s="433"/>
      <c r="WLW27" s="433"/>
      <c r="WLX27" s="433"/>
      <c r="WLY27" s="433"/>
      <c r="WLZ27" s="433"/>
      <c r="WMA27" s="433"/>
      <c r="WMB27" s="1037"/>
      <c r="WMC27" s="1438"/>
      <c r="WMD27" s="433"/>
      <c r="WME27" s="433"/>
      <c r="WMF27" s="433"/>
      <c r="WMG27" s="433"/>
      <c r="WMH27" s="433"/>
      <c r="WMI27" s="433"/>
      <c r="WMJ27" s="433"/>
      <c r="WMK27" s="433"/>
      <c r="WML27" s="433"/>
      <c r="WMM27" s="433"/>
      <c r="WMN27" s="1037"/>
      <c r="WMO27" s="1438"/>
      <c r="WMP27" s="433"/>
      <c r="WMQ27" s="433"/>
      <c r="WMR27" s="433"/>
      <c r="WMS27" s="433"/>
      <c r="WMT27" s="433"/>
      <c r="WMU27" s="433"/>
      <c r="WMV27" s="433"/>
      <c r="WMW27" s="433"/>
      <c r="WMX27" s="433"/>
      <c r="WMY27" s="433"/>
      <c r="WMZ27" s="1037"/>
      <c r="WNA27" s="1438"/>
      <c r="WNB27" s="433"/>
      <c r="WNC27" s="433"/>
      <c r="WND27" s="433"/>
      <c r="WNE27" s="433"/>
      <c r="WNF27" s="433"/>
      <c r="WNG27" s="433"/>
      <c r="WNH27" s="433"/>
      <c r="WNI27" s="433"/>
      <c r="WNJ27" s="433"/>
      <c r="WNK27" s="433"/>
      <c r="WNL27" s="1037"/>
      <c r="WNM27" s="1438"/>
      <c r="WNN27" s="433"/>
      <c r="WNO27" s="433"/>
      <c r="WNP27" s="433"/>
      <c r="WNQ27" s="433"/>
      <c r="WNR27" s="433"/>
      <c r="WNS27" s="433"/>
      <c r="WNT27" s="433"/>
      <c r="WNU27" s="433"/>
      <c r="WNV27" s="433"/>
      <c r="WNW27" s="433"/>
      <c r="WNX27" s="1037"/>
      <c r="WNY27" s="1438"/>
      <c r="WNZ27" s="433"/>
      <c r="WOA27" s="433"/>
      <c r="WOB27" s="433"/>
      <c r="WOC27" s="433"/>
      <c r="WOD27" s="433"/>
      <c r="WOE27" s="433"/>
      <c r="WOF27" s="433"/>
      <c r="WOG27" s="433"/>
      <c r="WOH27" s="433"/>
      <c r="WOI27" s="433"/>
      <c r="WOJ27" s="1037"/>
      <c r="WOK27" s="1438"/>
      <c r="WOL27" s="433"/>
      <c r="WOM27" s="433"/>
      <c r="WON27" s="433"/>
      <c r="WOO27" s="433"/>
      <c r="WOP27" s="433"/>
      <c r="WOQ27" s="433"/>
      <c r="WOR27" s="433"/>
      <c r="WOS27" s="433"/>
      <c r="WOT27" s="433"/>
      <c r="WOU27" s="433"/>
      <c r="WOV27" s="1037"/>
      <c r="WOW27" s="1438"/>
      <c r="WOX27" s="433"/>
      <c r="WOY27" s="433"/>
      <c r="WOZ27" s="433"/>
      <c r="WPA27" s="433"/>
      <c r="WPB27" s="433"/>
      <c r="WPC27" s="433"/>
      <c r="WPD27" s="433"/>
      <c r="WPE27" s="433"/>
      <c r="WPF27" s="433"/>
      <c r="WPG27" s="433"/>
      <c r="WPH27" s="1037"/>
      <c r="WPI27" s="1438"/>
      <c r="WPJ27" s="433"/>
      <c r="WPK27" s="433"/>
      <c r="WPL27" s="433"/>
      <c r="WPM27" s="433"/>
      <c r="WPN27" s="433"/>
      <c r="WPO27" s="433"/>
      <c r="WPP27" s="433"/>
      <c r="WPQ27" s="433"/>
      <c r="WPR27" s="433"/>
      <c r="WPS27" s="433"/>
      <c r="WPT27" s="1037"/>
      <c r="WPU27" s="1438"/>
      <c r="WPV27" s="433"/>
      <c r="WPW27" s="433"/>
      <c r="WPX27" s="433"/>
      <c r="WPY27" s="433"/>
      <c r="WPZ27" s="433"/>
      <c r="WQA27" s="433"/>
      <c r="WQB27" s="433"/>
      <c r="WQC27" s="433"/>
      <c r="WQD27" s="433"/>
      <c r="WQE27" s="433"/>
      <c r="WQF27" s="1037"/>
      <c r="WQG27" s="1438"/>
      <c r="WQH27" s="433"/>
      <c r="WQI27" s="433"/>
      <c r="WQJ27" s="433"/>
      <c r="WQK27" s="433"/>
      <c r="WQL27" s="433"/>
      <c r="WQM27" s="433"/>
      <c r="WQN27" s="433"/>
      <c r="WQO27" s="433"/>
      <c r="WQP27" s="433"/>
      <c r="WQQ27" s="433"/>
      <c r="WQR27" s="1037"/>
      <c r="WQS27" s="1438"/>
      <c r="WQT27" s="433"/>
      <c r="WQU27" s="433"/>
      <c r="WQV27" s="433"/>
      <c r="WQW27" s="433"/>
      <c r="WQX27" s="433"/>
      <c r="WQY27" s="433"/>
      <c r="WQZ27" s="433"/>
      <c r="WRA27" s="433"/>
      <c r="WRB27" s="433"/>
      <c r="WRC27" s="433"/>
      <c r="WRD27" s="1037"/>
      <c r="WRE27" s="1438"/>
      <c r="WRF27" s="433"/>
      <c r="WRG27" s="433"/>
      <c r="WRH27" s="433"/>
      <c r="WRI27" s="433"/>
      <c r="WRJ27" s="433"/>
      <c r="WRK27" s="433"/>
      <c r="WRL27" s="433"/>
      <c r="WRM27" s="433"/>
      <c r="WRN27" s="433"/>
      <c r="WRO27" s="433"/>
      <c r="WRP27" s="1037"/>
      <c r="WRQ27" s="1438"/>
      <c r="WRR27" s="433"/>
      <c r="WRS27" s="433"/>
      <c r="WRT27" s="433"/>
      <c r="WRU27" s="433"/>
      <c r="WRV27" s="433"/>
      <c r="WRW27" s="433"/>
      <c r="WRX27" s="433"/>
      <c r="WRY27" s="433"/>
      <c r="WRZ27" s="433"/>
      <c r="WSA27" s="433"/>
      <c r="WSB27" s="1037"/>
      <c r="WSC27" s="1438"/>
      <c r="WSD27" s="433"/>
      <c r="WSE27" s="433"/>
      <c r="WSF27" s="433"/>
      <c r="WSG27" s="433"/>
      <c r="WSH27" s="433"/>
      <c r="WSI27" s="433"/>
      <c r="WSJ27" s="433"/>
      <c r="WSK27" s="433"/>
      <c r="WSL27" s="433"/>
      <c r="WSM27" s="433"/>
      <c r="WSN27" s="1037"/>
      <c r="WSO27" s="1438"/>
      <c r="WSP27" s="433"/>
      <c r="WSQ27" s="433"/>
      <c r="WSR27" s="433"/>
      <c r="WSS27" s="433"/>
      <c r="WST27" s="433"/>
      <c r="WSU27" s="433"/>
      <c r="WSV27" s="433"/>
      <c r="WSW27" s="433"/>
      <c r="WSX27" s="433"/>
      <c r="WSY27" s="433"/>
      <c r="WSZ27" s="1037"/>
      <c r="WTA27" s="1438"/>
      <c r="WTB27" s="433"/>
      <c r="WTC27" s="433"/>
      <c r="WTD27" s="433"/>
      <c r="WTE27" s="433"/>
      <c r="WTF27" s="433"/>
      <c r="WTG27" s="433"/>
      <c r="WTH27" s="433"/>
      <c r="WTI27" s="433"/>
      <c r="WTJ27" s="433"/>
      <c r="WTK27" s="433"/>
      <c r="WTL27" s="1037"/>
      <c r="WTM27" s="1438"/>
      <c r="WTN27" s="433"/>
      <c r="WTO27" s="433"/>
      <c r="WTP27" s="433"/>
      <c r="WTQ27" s="433"/>
      <c r="WTR27" s="433"/>
      <c r="WTS27" s="433"/>
      <c r="WTT27" s="433"/>
      <c r="WTU27" s="433"/>
      <c r="WTV27" s="433"/>
      <c r="WTW27" s="433"/>
      <c r="WTX27" s="1037"/>
      <c r="WTY27" s="1438"/>
      <c r="WTZ27" s="433"/>
      <c r="WUA27" s="433"/>
      <c r="WUB27" s="433"/>
      <c r="WUC27" s="433"/>
      <c r="WUD27" s="433"/>
      <c r="WUE27" s="433"/>
      <c r="WUF27" s="433"/>
      <c r="WUG27" s="433"/>
      <c r="WUH27" s="433"/>
      <c r="WUI27" s="433"/>
      <c r="WUJ27" s="1037"/>
      <c r="WUK27" s="1438"/>
      <c r="WUL27" s="433"/>
      <c r="WUM27" s="433"/>
      <c r="WUN27" s="433"/>
      <c r="WUO27" s="433"/>
      <c r="WUP27" s="433"/>
      <c r="WUQ27" s="433"/>
      <c r="WUR27" s="433"/>
      <c r="WUS27" s="433"/>
      <c r="WUT27" s="433"/>
      <c r="WUU27" s="433"/>
      <c r="WUV27" s="1037"/>
      <c r="WUW27" s="1438"/>
      <c r="WUX27" s="433"/>
      <c r="WUY27" s="433"/>
      <c r="WUZ27" s="433"/>
      <c r="WVA27" s="433"/>
      <c r="WVB27" s="433"/>
      <c r="WVC27" s="433"/>
      <c r="WVD27" s="433"/>
      <c r="WVE27" s="433"/>
      <c r="WVF27" s="433"/>
      <c r="WVG27" s="433"/>
      <c r="WVH27" s="1037"/>
      <c r="WVI27" s="1438"/>
      <c r="WVJ27" s="433"/>
      <c r="WVK27" s="433"/>
      <c r="WVL27" s="433"/>
      <c r="WVM27" s="433"/>
      <c r="WVN27" s="433"/>
      <c r="WVO27" s="433"/>
      <c r="WVP27" s="433"/>
      <c r="WVQ27" s="433"/>
      <c r="WVR27" s="433"/>
      <c r="WVS27" s="433"/>
      <c r="WVT27" s="1037"/>
      <c r="WVU27" s="1438"/>
      <c r="WVV27" s="433"/>
      <c r="WVW27" s="433"/>
      <c r="WVX27" s="433"/>
      <c r="WVY27" s="433"/>
      <c r="WVZ27" s="433"/>
      <c r="WWA27" s="433"/>
      <c r="WWB27" s="433"/>
      <c r="WWC27" s="433"/>
      <c r="WWD27" s="433"/>
      <c r="WWE27" s="433"/>
      <c r="WWF27" s="1037"/>
      <c r="WWG27" s="1438"/>
      <c r="WWH27" s="433"/>
      <c r="WWI27" s="433"/>
      <c r="WWJ27" s="433"/>
      <c r="WWK27" s="433"/>
      <c r="WWL27" s="433"/>
      <c r="WWM27" s="433"/>
      <c r="WWN27" s="433"/>
      <c r="WWO27" s="433"/>
      <c r="WWP27" s="433"/>
      <c r="WWQ27" s="433"/>
      <c r="WWR27" s="1037"/>
      <c r="WWS27" s="1438"/>
      <c r="WWT27" s="433"/>
      <c r="WWU27" s="433"/>
      <c r="WWV27" s="433"/>
      <c r="WWW27" s="433"/>
      <c r="WWX27" s="433"/>
      <c r="WWY27" s="433"/>
      <c r="WWZ27" s="433"/>
      <c r="WXA27" s="433"/>
      <c r="WXB27" s="433"/>
      <c r="WXC27" s="433"/>
      <c r="WXD27" s="1037"/>
      <c r="WXE27" s="1438"/>
      <c r="WXF27" s="433"/>
      <c r="WXG27" s="433"/>
      <c r="WXH27" s="433"/>
      <c r="WXI27" s="433"/>
      <c r="WXJ27" s="433"/>
      <c r="WXK27" s="433"/>
      <c r="WXL27" s="433"/>
      <c r="WXM27" s="433"/>
      <c r="WXN27" s="433"/>
      <c r="WXO27" s="433"/>
      <c r="WXP27" s="1037"/>
      <c r="WXQ27" s="1438"/>
      <c r="WXR27" s="433"/>
      <c r="WXS27" s="433"/>
      <c r="WXT27" s="433"/>
      <c r="WXU27" s="433"/>
      <c r="WXV27" s="433"/>
      <c r="WXW27" s="433"/>
      <c r="WXX27" s="433"/>
      <c r="WXY27" s="433"/>
      <c r="WXZ27" s="433"/>
      <c r="WYA27" s="433"/>
      <c r="WYB27" s="1037"/>
      <c r="WYC27" s="1438"/>
      <c r="WYD27" s="433"/>
      <c r="WYE27" s="433"/>
      <c r="WYF27" s="433"/>
      <c r="WYG27" s="433"/>
      <c r="WYH27" s="433"/>
      <c r="WYI27" s="433"/>
      <c r="WYJ27" s="433"/>
      <c r="WYK27" s="433"/>
      <c r="WYL27" s="433"/>
      <c r="WYM27" s="433"/>
      <c r="WYN27" s="1037"/>
      <c r="WYO27" s="1438"/>
      <c r="WYP27" s="433"/>
      <c r="WYQ27" s="433"/>
      <c r="WYR27" s="433"/>
      <c r="WYS27" s="433"/>
      <c r="WYT27" s="433"/>
      <c r="WYU27" s="433"/>
      <c r="WYV27" s="433"/>
      <c r="WYW27" s="433"/>
      <c r="WYX27" s="433"/>
      <c r="WYY27" s="433"/>
      <c r="WYZ27" s="1037"/>
      <c r="WZA27" s="1438"/>
      <c r="WZB27" s="433"/>
      <c r="WZC27" s="433"/>
      <c r="WZD27" s="433"/>
      <c r="WZE27" s="433"/>
      <c r="WZF27" s="433"/>
      <c r="WZG27" s="433"/>
      <c r="WZH27" s="433"/>
      <c r="WZI27" s="433"/>
      <c r="WZJ27" s="433"/>
      <c r="WZK27" s="433"/>
      <c r="WZL27" s="1037"/>
      <c r="WZM27" s="1438"/>
      <c r="WZN27" s="433"/>
      <c r="WZO27" s="433"/>
      <c r="WZP27" s="433"/>
      <c r="WZQ27" s="433"/>
      <c r="WZR27" s="433"/>
      <c r="WZS27" s="433"/>
      <c r="WZT27" s="433"/>
      <c r="WZU27" s="433"/>
      <c r="WZV27" s="433"/>
      <c r="WZW27" s="433"/>
      <c r="WZX27" s="1037"/>
      <c r="WZY27" s="1438"/>
      <c r="WZZ27" s="433"/>
      <c r="XAA27" s="433"/>
      <c r="XAB27" s="433"/>
      <c r="XAC27" s="433"/>
      <c r="XAD27" s="433"/>
      <c r="XAE27" s="433"/>
      <c r="XAF27" s="433"/>
      <c r="XAG27" s="433"/>
      <c r="XAH27" s="433"/>
      <c r="XAI27" s="433"/>
      <c r="XAJ27" s="1037"/>
      <c r="XAK27" s="1438"/>
      <c r="XAL27" s="433"/>
      <c r="XAM27" s="433"/>
      <c r="XAN27" s="433"/>
      <c r="XAO27" s="433"/>
      <c r="XAP27" s="433"/>
      <c r="XAQ27" s="433"/>
      <c r="XAR27" s="433"/>
      <c r="XAS27" s="433"/>
      <c r="XAT27" s="433"/>
      <c r="XAU27" s="433"/>
      <c r="XAV27" s="1037"/>
      <c r="XAW27" s="1438"/>
      <c r="XAX27" s="433"/>
      <c r="XAY27" s="433"/>
      <c r="XAZ27" s="433"/>
      <c r="XBA27" s="433"/>
      <c r="XBB27" s="433"/>
      <c r="XBC27" s="433"/>
      <c r="XBD27" s="433"/>
      <c r="XBE27" s="433"/>
      <c r="XBF27" s="433"/>
      <c r="XBG27" s="433"/>
      <c r="XBH27" s="1037"/>
      <c r="XBI27" s="1438"/>
      <c r="XBJ27" s="433"/>
      <c r="XBK27" s="433"/>
      <c r="XBL27" s="433"/>
      <c r="XBM27" s="433"/>
      <c r="XBN27" s="433"/>
      <c r="XBO27" s="433"/>
      <c r="XBP27" s="433"/>
      <c r="XBQ27" s="433"/>
      <c r="XBR27" s="433"/>
      <c r="XBS27" s="433"/>
      <c r="XBT27" s="1037"/>
      <c r="XBU27" s="1438"/>
      <c r="XBV27" s="433"/>
      <c r="XBW27" s="433"/>
      <c r="XBX27" s="433"/>
      <c r="XBY27" s="433"/>
      <c r="XBZ27" s="433"/>
      <c r="XCA27" s="433"/>
      <c r="XCB27" s="433"/>
      <c r="XCC27" s="433"/>
      <c r="XCD27" s="433"/>
      <c r="XCE27" s="433"/>
      <c r="XCF27" s="1037"/>
      <c r="XCG27" s="1438"/>
      <c r="XCH27" s="433"/>
      <c r="XCI27" s="433"/>
      <c r="XCJ27" s="433"/>
      <c r="XCK27" s="433"/>
      <c r="XCL27" s="433"/>
      <c r="XCM27" s="433"/>
      <c r="XCN27" s="433"/>
      <c r="XCO27" s="433"/>
      <c r="XCP27" s="433"/>
      <c r="XCQ27" s="433"/>
      <c r="XCR27" s="1037"/>
      <c r="XCS27" s="1438"/>
      <c r="XCT27" s="433"/>
      <c r="XCU27" s="433"/>
      <c r="XCV27" s="433"/>
      <c r="XCW27" s="433"/>
      <c r="XCX27" s="433"/>
      <c r="XCY27" s="433"/>
      <c r="XCZ27" s="433"/>
      <c r="XDA27" s="433"/>
      <c r="XDB27" s="433"/>
      <c r="XDC27" s="433"/>
      <c r="XDD27" s="1037"/>
      <c r="XDE27" s="1438"/>
      <c r="XDF27" s="433"/>
      <c r="XDG27" s="433"/>
      <c r="XDH27" s="433"/>
      <c r="XDI27" s="433"/>
      <c r="XDJ27" s="433"/>
      <c r="XDK27" s="433"/>
      <c r="XDL27" s="433"/>
      <c r="XDM27" s="433"/>
      <c r="XDN27" s="433"/>
      <c r="XDO27" s="433"/>
      <c r="XDP27" s="1037"/>
      <c r="XDQ27" s="1438"/>
      <c r="XDR27" s="433"/>
      <c r="XDS27" s="433"/>
      <c r="XDT27" s="433"/>
      <c r="XDU27" s="433"/>
      <c r="XDV27" s="433"/>
      <c r="XDW27" s="433"/>
      <c r="XDX27" s="433"/>
      <c r="XDY27" s="433"/>
      <c r="XDZ27" s="433"/>
      <c r="XEA27" s="433"/>
      <c r="XEB27" s="1037"/>
      <c r="XEC27" s="1438"/>
      <c r="XED27" s="433"/>
      <c r="XEE27" s="433"/>
      <c r="XEF27" s="433"/>
      <c r="XEG27" s="433"/>
      <c r="XEH27" s="433"/>
      <c r="XEI27" s="433"/>
      <c r="XEJ27" s="433"/>
      <c r="XEK27" s="433"/>
      <c r="XEL27" s="433"/>
      <c r="XEM27" s="433"/>
      <c r="XEN27" s="1037"/>
      <c r="XEO27" s="1438"/>
      <c r="XEP27" s="433"/>
      <c r="XEQ27" s="433"/>
      <c r="XER27" s="433"/>
      <c r="XES27" s="433"/>
      <c r="XET27" s="433"/>
      <c r="XEU27" s="433"/>
      <c r="XEV27" s="433"/>
      <c r="XEW27" s="433"/>
      <c r="XEX27" s="433"/>
      <c r="XEY27" s="433"/>
      <c r="XEZ27" s="1037"/>
      <c r="XFA27" s="1438"/>
      <c r="XFB27" s="433"/>
      <c r="XFC27" s="433"/>
    </row>
    <row r="28" spans="1:16383" s="446" customFormat="1" ht="12.6" customHeight="1" x14ac:dyDescent="0.25">
      <c r="A28" s="236" t="s">
        <v>2066</v>
      </c>
      <c r="B28" s="1676"/>
      <c r="C28" s="1922">
        <v>387349.911103677</v>
      </c>
      <c r="D28" s="1922">
        <v>0</v>
      </c>
      <c r="E28" s="1922">
        <v>11966.745926049949</v>
      </c>
      <c r="F28" s="1922">
        <v>51026.618835131594</v>
      </c>
      <c r="G28" s="1922">
        <v>62993.36476118154</v>
      </c>
      <c r="H28" s="1922">
        <v>33197.991050672099</v>
      </c>
      <c r="I28" s="1922">
        <v>1188220.97403525</v>
      </c>
      <c r="J28" s="1922">
        <v>1221418.965085922</v>
      </c>
      <c r="K28" s="1922">
        <v>255180.05278878909</v>
      </c>
      <c r="L28" s="1922">
        <v>1926942.2937395696</v>
      </c>
      <c r="M28" s="486"/>
      <c r="N28" s="155"/>
      <c r="O28" s="155"/>
      <c r="P28" s="155"/>
      <c r="Q28" s="155"/>
    </row>
    <row r="29" spans="1:16383" s="446" customFormat="1" ht="12.6" customHeight="1" x14ac:dyDescent="0.25">
      <c r="A29" s="275" t="s">
        <v>2206</v>
      </c>
      <c r="B29" s="372"/>
      <c r="C29" s="1924">
        <f>C214</f>
        <v>424877.09532937198</v>
      </c>
      <c r="D29" s="1924">
        <f t="shared" ref="D29:L29" si="0">D214</f>
        <v>0</v>
      </c>
      <c r="E29" s="1924">
        <f t="shared" si="0"/>
        <v>11890.595936132791</v>
      </c>
      <c r="F29" s="1924">
        <f t="shared" si="0"/>
        <v>48991.827955407753</v>
      </c>
      <c r="G29" s="1924">
        <f t="shared" si="0"/>
        <v>60882.423891540544</v>
      </c>
      <c r="H29" s="1924">
        <f t="shared" si="0"/>
        <v>37521.745157030498</v>
      </c>
      <c r="I29" s="1924">
        <f t="shared" si="0"/>
        <v>1318438.81654796</v>
      </c>
      <c r="J29" s="1924">
        <f t="shared" si="0"/>
        <v>1355960.5617049905</v>
      </c>
      <c r="K29" s="1924">
        <f t="shared" si="0"/>
        <v>273815.60125618597</v>
      </c>
      <c r="L29" s="1924">
        <f t="shared" si="0"/>
        <v>2115535.682182089</v>
      </c>
      <c r="M29" s="486"/>
      <c r="N29" s="155"/>
      <c r="O29" s="155"/>
      <c r="P29" s="159"/>
      <c r="Q29" s="159"/>
    </row>
    <row r="30" spans="1:16383" s="446" customFormat="1" ht="12.6" customHeight="1" x14ac:dyDescent="0.25">
      <c r="A30" s="236" t="s">
        <v>2596</v>
      </c>
      <c r="B30" s="1676"/>
      <c r="C30" s="1922">
        <f t="shared" ref="C30:L30" si="1">C226</f>
        <v>488177.8</v>
      </c>
      <c r="D30" s="1922">
        <f t="shared" si="1"/>
        <v>0</v>
      </c>
      <c r="E30" s="1922">
        <f t="shared" si="1"/>
        <v>13191.6274734</v>
      </c>
      <c r="F30" s="1922">
        <f t="shared" si="1"/>
        <v>47536.437717918001</v>
      </c>
      <c r="G30" s="1922">
        <f t="shared" si="1"/>
        <v>60728.065191318005</v>
      </c>
      <c r="H30" s="1922">
        <f t="shared" si="1"/>
        <v>34099.373419062998</v>
      </c>
      <c r="I30" s="1922">
        <f t="shared" si="1"/>
        <v>1410635.9409771289</v>
      </c>
      <c r="J30" s="1922">
        <f t="shared" si="1"/>
        <v>1444735.3143961919</v>
      </c>
      <c r="K30" s="1922">
        <f t="shared" si="1"/>
        <v>290711.84000000003</v>
      </c>
      <c r="L30" s="1922">
        <f t="shared" si="1"/>
        <v>2284353.0195875098</v>
      </c>
      <c r="M30" s="486"/>
      <c r="N30" s="155"/>
      <c r="O30" s="155"/>
      <c r="P30" s="159"/>
      <c r="Q30" s="159"/>
    </row>
    <row r="31" spans="1:16383" s="446" customFormat="1" ht="12.6" customHeight="1" x14ac:dyDescent="0.25">
      <c r="A31" s="236"/>
      <c r="B31" s="1709"/>
      <c r="C31" s="433"/>
      <c r="D31" s="433"/>
      <c r="E31" s="433"/>
      <c r="F31" s="433"/>
      <c r="G31" s="433"/>
      <c r="H31" s="433"/>
      <c r="I31" s="433"/>
      <c r="J31" s="433"/>
      <c r="K31" s="433"/>
      <c r="L31" s="433"/>
      <c r="M31" s="486"/>
      <c r="N31" s="155"/>
      <c r="O31" s="155"/>
      <c r="P31" s="159"/>
      <c r="Q31" s="159"/>
    </row>
    <row r="32" spans="1:16383" s="446" customFormat="1" ht="12.6" customHeight="1" x14ac:dyDescent="0.25">
      <c r="A32" s="236"/>
      <c r="B32" s="1709"/>
      <c r="C32" s="433"/>
      <c r="D32" s="433"/>
      <c r="E32" s="433"/>
      <c r="F32" s="433"/>
      <c r="G32" s="433"/>
      <c r="H32" s="433"/>
      <c r="I32" s="433"/>
      <c r="J32" s="433"/>
      <c r="K32" s="433"/>
      <c r="L32" s="433"/>
      <c r="M32" s="486"/>
      <c r="N32" s="155"/>
      <c r="O32" s="155"/>
      <c r="P32" s="159"/>
      <c r="Q32" s="159"/>
    </row>
    <row r="33" spans="1:17" s="446" customFormat="1" ht="12.6" customHeight="1" x14ac:dyDescent="0.25">
      <c r="A33" s="236"/>
      <c r="B33" s="1709"/>
      <c r="C33" s="433"/>
      <c r="D33" s="433"/>
      <c r="E33" s="433"/>
      <c r="F33" s="433"/>
      <c r="G33" s="433"/>
      <c r="H33" s="433"/>
      <c r="I33" s="433"/>
      <c r="J33" s="433"/>
      <c r="K33" s="433"/>
      <c r="L33" s="433"/>
      <c r="M33" s="486"/>
      <c r="N33" s="155"/>
      <c r="O33" s="155"/>
      <c r="P33" s="159"/>
      <c r="Q33" s="159"/>
    </row>
    <row r="34" spans="1:17" s="446" customFormat="1" ht="12.6" customHeight="1" x14ac:dyDescent="0.25">
      <c r="A34" s="236"/>
      <c r="B34" s="1709"/>
      <c r="C34" s="433"/>
      <c r="D34" s="433"/>
      <c r="E34" s="433"/>
      <c r="F34" s="433"/>
      <c r="G34" s="433"/>
      <c r="H34" s="433"/>
      <c r="I34" s="433"/>
      <c r="J34" s="433"/>
      <c r="K34" s="433"/>
      <c r="L34" s="433"/>
      <c r="M34" s="486"/>
      <c r="N34" s="155"/>
      <c r="O34" s="155"/>
      <c r="P34" s="159"/>
      <c r="Q34" s="159"/>
    </row>
    <row r="35" spans="1:17" s="446" customFormat="1" ht="12.6" customHeight="1" x14ac:dyDescent="0.25">
      <c r="A35" s="236" t="s">
        <v>85</v>
      </c>
      <c r="B35" s="372" t="s">
        <v>552</v>
      </c>
      <c r="C35" s="1901">
        <v>48484.5</v>
      </c>
      <c r="D35" s="1901">
        <v>18.5</v>
      </c>
      <c r="E35" s="1901">
        <v>3005.7</v>
      </c>
      <c r="F35" s="1901">
        <v>6362.1</v>
      </c>
      <c r="G35" s="1901">
        <v>9367.7999999999993</v>
      </c>
      <c r="H35" s="1901">
        <v>8322</v>
      </c>
      <c r="I35" s="1901">
        <v>143582.29999999999</v>
      </c>
      <c r="J35" s="1901">
        <v>151904.29999999999</v>
      </c>
      <c r="K35" s="2430">
        <v>42231.5</v>
      </c>
      <c r="L35" s="2430"/>
      <c r="M35" s="1901">
        <v>252006.6</v>
      </c>
      <c r="N35" s="155"/>
      <c r="O35" s="155"/>
      <c r="P35" s="159"/>
      <c r="Q35" s="159"/>
    </row>
    <row r="36" spans="1:17" s="446" customFormat="1" ht="12.6" customHeight="1" x14ac:dyDescent="0.25">
      <c r="A36" s="236" t="s">
        <v>85</v>
      </c>
      <c r="B36" s="1913" t="s">
        <v>553</v>
      </c>
      <c r="C36" s="1901">
        <v>46264.3</v>
      </c>
      <c r="D36" s="1901">
        <v>18.3</v>
      </c>
      <c r="E36" s="1901">
        <v>2725.4</v>
      </c>
      <c r="F36" s="1901">
        <v>6517</v>
      </c>
      <c r="G36" s="1901">
        <v>9242.4</v>
      </c>
      <c r="H36" s="1901">
        <v>9159.6</v>
      </c>
      <c r="I36" s="1901">
        <v>145893.70000000001</v>
      </c>
      <c r="J36" s="1901">
        <v>155053.29999999999</v>
      </c>
      <c r="K36" s="2430">
        <v>42658</v>
      </c>
      <c r="L36" s="2430"/>
      <c r="M36" s="1901">
        <v>253236.3</v>
      </c>
      <c r="N36" s="155"/>
      <c r="O36" s="155"/>
      <c r="P36" s="159"/>
      <c r="Q36" s="159"/>
    </row>
    <row r="37" spans="1:17" s="446" customFormat="1" ht="12.6" customHeight="1" x14ac:dyDescent="0.25">
      <c r="A37" s="236" t="s">
        <v>85</v>
      </c>
      <c r="B37" s="372" t="s">
        <v>547</v>
      </c>
      <c r="C37" s="1901">
        <v>50646.8</v>
      </c>
      <c r="D37" s="1901">
        <v>18</v>
      </c>
      <c r="E37" s="1901">
        <v>2820.4</v>
      </c>
      <c r="F37" s="1901">
        <v>6740.2</v>
      </c>
      <c r="G37" s="1901">
        <v>9560.6</v>
      </c>
      <c r="H37" s="1901">
        <v>10581.4</v>
      </c>
      <c r="I37" s="1901">
        <v>150097.20000000001</v>
      </c>
      <c r="J37" s="1901">
        <v>160678.6</v>
      </c>
      <c r="K37" s="2430">
        <v>42718.6</v>
      </c>
      <c r="L37" s="2430"/>
      <c r="M37" s="1901">
        <v>263622.59999999998</v>
      </c>
      <c r="N37" s="155"/>
      <c r="O37" s="155"/>
      <c r="P37" s="159"/>
      <c r="Q37" s="159"/>
    </row>
    <row r="38" spans="1:17" s="446" customFormat="1" ht="12.6" customHeight="1" x14ac:dyDescent="0.25">
      <c r="A38" s="236" t="s">
        <v>85</v>
      </c>
      <c r="B38" s="1913" t="s">
        <v>554</v>
      </c>
      <c r="C38" s="1901">
        <v>51766.9</v>
      </c>
      <c r="D38" s="1901">
        <v>17.7</v>
      </c>
      <c r="E38" s="1901">
        <v>2819.1</v>
      </c>
      <c r="F38" s="1901">
        <v>6766.2</v>
      </c>
      <c r="G38" s="1901">
        <v>9585.2999999999993</v>
      </c>
      <c r="H38" s="1901">
        <v>11070.6</v>
      </c>
      <c r="I38" s="1901">
        <v>150527.5</v>
      </c>
      <c r="J38" s="1901">
        <v>161598.1</v>
      </c>
      <c r="K38" s="2430">
        <v>43212.6</v>
      </c>
      <c r="L38" s="2430"/>
      <c r="M38" s="1901">
        <v>266180.59999999998</v>
      </c>
      <c r="N38" s="155"/>
      <c r="O38" s="155"/>
      <c r="P38" s="159"/>
      <c r="Q38" s="159"/>
    </row>
    <row r="39" spans="1:17" s="446" customFormat="1" ht="12.6" customHeight="1" x14ac:dyDescent="0.25">
      <c r="A39" s="236" t="s">
        <v>85</v>
      </c>
      <c r="B39" s="372" t="s">
        <v>555</v>
      </c>
      <c r="C39" s="1901">
        <v>53680.2</v>
      </c>
      <c r="D39" s="1901">
        <v>17.5</v>
      </c>
      <c r="E39" s="1901">
        <v>2925</v>
      </c>
      <c r="F39" s="1901">
        <v>6801.8</v>
      </c>
      <c r="G39" s="1901">
        <v>9726.7999999999993</v>
      </c>
      <c r="H39" s="1901">
        <v>10502.3</v>
      </c>
      <c r="I39" s="1901">
        <v>152474.4</v>
      </c>
      <c r="J39" s="1901">
        <v>162976.70000000001</v>
      </c>
      <c r="K39" s="2430">
        <v>44031.5</v>
      </c>
      <c r="L39" s="2430"/>
      <c r="M39" s="1901">
        <v>270432.7</v>
      </c>
      <c r="N39" s="155"/>
      <c r="O39" s="155"/>
      <c r="P39" s="159"/>
      <c r="Q39" s="159"/>
    </row>
    <row r="40" spans="1:17" s="446" customFormat="1" ht="12.6" customHeight="1" x14ac:dyDescent="0.25">
      <c r="A40" s="236" t="s">
        <v>85</v>
      </c>
      <c r="B40" s="1913" t="s">
        <v>548</v>
      </c>
      <c r="C40" s="1901">
        <v>52322.8</v>
      </c>
      <c r="D40" s="1901">
        <v>17.5</v>
      </c>
      <c r="E40" s="1901">
        <v>2940.7</v>
      </c>
      <c r="F40" s="1901">
        <v>6884.8</v>
      </c>
      <c r="G40" s="1901">
        <v>9825.5</v>
      </c>
      <c r="H40" s="1901">
        <v>10593.3</v>
      </c>
      <c r="I40" s="1901">
        <v>154792.6</v>
      </c>
      <c r="J40" s="1901">
        <v>165385.9</v>
      </c>
      <c r="K40" s="2430">
        <v>42855.1</v>
      </c>
      <c r="L40" s="2430"/>
      <c r="M40" s="1901">
        <v>270406.8</v>
      </c>
      <c r="N40" s="155"/>
      <c r="O40" s="155"/>
      <c r="P40" s="159"/>
      <c r="Q40" s="159"/>
    </row>
    <row r="41" spans="1:17" s="446" customFormat="1" ht="12.6" customHeight="1" x14ac:dyDescent="0.25">
      <c r="A41" s="236" t="s">
        <v>85</v>
      </c>
      <c r="B41" s="372" t="s">
        <v>556</v>
      </c>
      <c r="C41" s="1901">
        <v>52955.8</v>
      </c>
      <c r="D41" s="1901">
        <v>16.899999999999999</v>
      </c>
      <c r="E41" s="1901">
        <v>3051.1</v>
      </c>
      <c r="F41" s="1901">
        <v>6914.5</v>
      </c>
      <c r="G41" s="1901">
        <v>9965.6</v>
      </c>
      <c r="H41" s="1901">
        <v>10321.200000000001</v>
      </c>
      <c r="I41" s="1901">
        <v>156183.1</v>
      </c>
      <c r="J41" s="1901">
        <v>166504.29999999999</v>
      </c>
      <c r="K41" s="2430">
        <v>43485.5</v>
      </c>
      <c r="L41" s="2430"/>
      <c r="M41" s="1901">
        <v>272928.09999999998</v>
      </c>
      <c r="N41" s="155"/>
      <c r="O41" s="155"/>
      <c r="P41" s="159"/>
      <c r="Q41" s="159"/>
    </row>
    <row r="42" spans="1:17" s="446" customFormat="1" ht="12.6" customHeight="1" x14ac:dyDescent="0.25">
      <c r="A42" s="236" t="s">
        <v>85</v>
      </c>
      <c r="B42" s="1913" t="s">
        <v>557</v>
      </c>
      <c r="C42" s="1901">
        <v>53232.4</v>
      </c>
      <c r="D42" s="1901">
        <v>16.7</v>
      </c>
      <c r="E42" s="1901">
        <v>3297</v>
      </c>
      <c r="F42" s="1901">
        <v>6975.7</v>
      </c>
      <c r="G42" s="1901">
        <v>10272.700000000001</v>
      </c>
      <c r="H42" s="1901">
        <v>11083.9</v>
      </c>
      <c r="I42" s="1901">
        <v>158157.29999999999</v>
      </c>
      <c r="J42" s="1901">
        <v>169241.2</v>
      </c>
      <c r="K42" s="2430">
        <v>42364.3</v>
      </c>
      <c r="L42" s="2430"/>
      <c r="M42" s="1901">
        <v>275127.3</v>
      </c>
      <c r="N42" s="155"/>
      <c r="O42" s="155"/>
      <c r="P42" s="159"/>
      <c r="Q42" s="159"/>
    </row>
    <row r="43" spans="1:17" s="446" customFormat="1" ht="12.6" customHeight="1" x14ac:dyDescent="0.25">
      <c r="A43" s="236" t="s">
        <v>85</v>
      </c>
      <c r="B43" s="372" t="s">
        <v>549</v>
      </c>
      <c r="C43" s="1901">
        <v>53518.8</v>
      </c>
      <c r="D43" s="1901">
        <v>16.2</v>
      </c>
      <c r="E43" s="1901">
        <v>3143.8</v>
      </c>
      <c r="F43" s="1901">
        <v>7356.1</v>
      </c>
      <c r="G43" s="1901">
        <v>10499.9</v>
      </c>
      <c r="H43" s="1901">
        <v>10463.700000000001</v>
      </c>
      <c r="I43" s="1901">
        <v>159967</v>
      </c>
      <c r="J43" s="1901">
        <v>170430.7</v>
      </c>
      <c r="K43" s="2430">
        <v>42869.5</v>
      </c>
      <c r="L43" s="2430"/>
      <c r="M43" s="1901">
        <v>277335.09999999998</v>
      </c>
      <c r="N43" s="155"/>
      <c r="O43" s="155"/>
      <c r="P43" s="159"/>
      <c r="Q43" s="159"/>
    </row>
    <row r="44" spans="1:17" s="446" customFormat="1" ht="12.6" customHeight="1" x14ac:dyDescent="0.25">
      <c r="A44" s="236" t="s">
        <v>85</v>
      </c>
      <c r="B44" s="1913" t="s">
        <v>558</v>
      </c>
      <c r="C44" s="1901">
        <v>55075.9</v>
      </c>
      <c r="D44" s="1901">
        <v>16.100000000000001</v>
      </c>
      <c r="E44" s="1901">
        <v>3322.6</v>
      </c>
      <c r="F44" s="1901">
        <v>7570.9</v>
      </c>
      <c r="G44" s="1901">
        <v>10893.5</v>
      </c>
      <c r="H44" s="1901">
        <v>9219.9</v>
      </c>
      <c r="I44" s="1901">
        <v>161789.1</v>
      </c>
      <c r="J44" s="1901">
        <v>171009</v>
      </c>
      <c r="K44" s="2430">
        <v>42950.7</v>
      </c>
      <c r="L44" s="2430"/>
      <c r="M44" s="1901">
        <v>279945.2</v>
      </c>
      <c r="N44" s="155"/>
      <c r="O44" s="155"/>
      <c r="P44" s="159"/>
      <c r="Q44" s="159"/>
    </row>
    <row r="45" spans="1:17" s="446" customFormat="1" ht="12.6" customHeight="1" x14ac:dyDescent="0.25">
      <c r="A45" s="236" t="s">
        <v>85</v>
      </c>
      <c r="B45" s="372" t="s">
        <v>559</v>
      </c>
      <c r="C45" s="1901">
        <v>54372.1</v>
      </c>
      <c r="D45" s="1901">
        <v>15.9</v>
      </c>
      <c r="E45" s="1901">
        <v>3383.1</v>
      </c>
      <c r="F45" s="1901">
        <v>7813.5</v>
      </c>
      <c r="G45" s="1901">
        <v>11196.6</v>
      </c>
      <c r="H45" s="1901">
        <v>9234.6</v>
      </c>
      <c r="I45" s="1901">
        <v>164659.1</v>
      </c>
      <c r="J45" s="1901">
        <v>173893.7</v>
      </c>
      <c r="K45" s="2430">
        <v>43456.4</v>
      </c>
      <c r="L45" s="2430"/>
      <c r="M45" s="1901">
        <v>282934.7</v>
      </c>
      <c r="N45" s="155"/>
      <c r="O45" s="155"/>
      <c r="P45" s="159"/>
      <c r="Q45" s="159"/>
    </row>
    <row r="46" spans="1:17" s="446" customFormat="1" ht="12.6" customHeight="1" x14ac:dyDescent="0.25">
      <c r="A46" s="236" t="s">
        <v>85</v>
      </c>
      <c r="B46" s="1913" t="s">
        <v>550</v>
      </c>
      <c r="C46" s="1901">
        <v>58185.2</v>
      </c>
      <c r="D46" s="1901">
        <v>15.4</v>
      </c>
      <c r="E46" s="1901">
        <v>3555.3</v>
      </c>
      <c r="F46" s="1901">
        <v>8210.1</v>
      </c>
      <c r="G46" s="1901">
        <v>11765.4</v>
      </c>
      <c r="H46" s="1901">
        <v>8869</v>
      </c>
      <c r="I46" s="1901">
        <v>166223.4</v>
      </c>
      <c r="J46" s="1901">
        <v>175092.4</v>
      </c>
      <c r="K46" s="2430">
        <v>43494</v>
      </c>
      <c r="L46" s="2430"/>
      <c r="M46" s="1901">
        <v>288552.40000000002</v>
      </c>
      <c r="N46" s="155"/>
      <c r="O46" s="155"/>
      <c r="P46" s="159"/>
      <c r="Q46" s="159"/>
    </row>
    <row r="47" spans="1:17" s="446" customFormat="1" ht="12.6" customHeight="1" x14ac:dyDescent="0.25">
      <c r="A47" s="236" t="s">
        <v>81</v>
      </c>
      <c r="B47" s="372" t="s">
        <v>552</v>
      </c>
      <c r="C47" s="279">
        <v>57825.5</v>
      </c>
      <c r="D47" s="279">
        <v>15.2</v>
      </c>
      <c r="E47" s="274">
        <v>3676.6</v>
      </c>
      <c r="F47" s="274">
        <v>8351</v>
      </c>
      <c r="G47" s="274">
        <f t="shared" ref="G47:G93" si="2">E47+F47</f>
        <v>12027.6</v>
      </c>
      <c r="H47" s="279">
        <v>9085.2999999999993</v>
      </c>
      <c r="I47" s="279">
        <v>166576.79999999999</v>
      </c>
      <c r="J47" s="274">
        <v>175662</v>
      </c>
      <c r="K47" s="274">
        <v>44644.3</v>
      </c>
      <c r="L47" s="279">
        <f t="shared" ref="L47:L81" si="3">C47+D47+G47+J47+K47</f>
        <v>290174.59999999998</v>
      </c>
      <c r="M47" s="486"/>
      <c r="N47" s="155"/>
      <c r="O47" s="155"/>
      <c r="P47" s="159"/>
      <c r="Q47" s="159"/>
    </row>
    <row r="48" spans="1:17" s="446" customFormat="1" ht="12.6" customHeight="1" x14ac:dyDescent="0.25">
      <c r="A48" s="236" t="s">
        <v>81</v>
      </c>
      <c r="B48" s="1913" t="s">
        <v>553</v>
      </c>
      <c r="C48" s="793">
        <v>54771.4</v>
      </c>
      <c r="D48" s="1654">
        <v>15</v>
      </c>
      <c r="E48" s="1654">
        <v>3775</v>
      </c>
      <c r="F48" s="793">
        <v>8624.6</v>
      </c>
      <c r="G48" s="1654">
        <f t="shared" si="2"/>
        <v>12399.6</v>
      </c>
      <c r="H48" s="793">
        <v>9039.2000000000007</v>
      </c>
      <c r="I48" s="793">
        <v>169075.8</v>
      </c>
      <c r="J48" s="1654">
        <f t="shared" ref="J48:J94" si="4">H48+I48</f>
        <v>178115</v>
      </c>
      <c r="K48" s="1654">
        <v>45182.2</v>
      </c>
      <c r="L48" s="793">
        <f t="shared" si="3"/>
        <v>290483.20000000001</v>
      </c>
      <c r="M48" s="486"/>
      <c r="N48" s="155"/>
      <c r="O48" s="155"/>
      <c r="P48" s="159"/>
      <c r="Q48" s="159"/>
    </row>
    <row r="49" spans="1:17" s="446" customFormat="1" ht="12.6" customHeight="1" x14ac:dyDescent="0.25">
      <c r="A49" s="236" t="s">
        <v>81</v>
      </c>
      <c r="B49" s="372" t="s">
        <v>547</v>
      </c>
      <c r="C49" s="279">
        <v>56511.6</v>
      </c>
      <c r="D49" s="279">
        <v>14.6</v>
      </c>
      <c r="E49" s="274">
        <v>3748.9</v>
      </c>
      <c r="F49" s="279">
        <v>8604.7000000000007</v>
      </c>
      <c r="G49" s="274">
        <f t="shared" si="2"/>
        <v>12353.6</v>
      </c>
      <c r="H49" s="279">
        <v>9175.6</v>
      </c>
      <c r="I49" s="279">
        <v>172181.7</v>
      </c>
      <c r="J49" s="274">
        <f t="shared" si="4"/>
        <v>181357.30000000002</v>
      </c>
      <c r="K49" s="279">
        <v>46018.8</v>
      </c>
      <c r="L49" s="279">
        <f t="shared" si="3"/>
        <v>296255.90000000002</v>
      </c>
      <c r="M49" s="486"/>
      <c r="N49" s="155"/>
      <c r="O49" s="155"/>
      <c r="P49" s="159"/>
      <c r="Q49" s="159"/>
    </row>
    <row r="50" spans="1:17" s="446" customFormat="1" ht="12.6" customHeight="1" x14ac:dyDescent="0.25">
      <c r="A50" s="236" t="s">
        <v>81</v>
      </c>
      <c r="B50" s="1913" t="s">
        <v>554</v>
      </c>
      <c r="C50" s="793">
        <v>54862.2</v>
      </c>
      <c r="D50" s="793">
        <v>14.3</v>
      </c>
      <c r="E50" s="1654">
        <v>3788.5</v>
      </c>
      <c r="F50" s="793">
        <v>8982.1</v>
      </c>
      <c r="G50" s="1654">
        <f t="shared" si="2"/>
        <v>12770.6</v>
      </c>
      <c r="H50" s="1654">
        <v>9455</v>
      </c>
      <c r="I50" s="793">
        <v>175590.5</v>
      </c>
      <c r="J50" s="1654">
        <f t="shared" si="4"/>
        <v>185045.5</v>
      </c>
      <c r="K50" s="793">
        <v>46852.5</v>
      </c>
      <c r="L50" s="793">
        <f t="shared" si="3"/>
        <v>299545.09999999998</v>
      </c>
      <c r="M50" s="486"/>
      <c r="N50" s="155"/>
      <c r="O50" s="155"/>
      <c r="P50" s="159"/>
      <c r="Q50" s="159"/>
    </row>
    <row r="51" spans="1:17" s="446" customFormat="1" ht="12.6" customHeight="1" x14ac:dyDescent="0.25">
      <c r="A51" s="236" t="s">
        <v>81</v>
      </c>
      <c r="B51" s="372" t="s">
        <v>555</v>
      </c>
      <c r="C51" s="279">
        <v>51444.4</v>
      </c>
      <c r="D51" s="279">
        <v>14.3</v>
      </c>
      <c r="E51" s="274">
        <v>3851.1</v>
      </c>
      <c r="F51" s="279">
        <v>8619.2000000000007</v>
      </c>
      <c r="G51" s="274">
        <f t="shared" si="2"/>
        <v>12470.300000000001</v>
      </c>
      <c r="H51" s="274">
        <v>9993.7000000000007</v>
      </c>
      <c r="I51" s="279">
        <v>181049.8</v>
      </c>
      <c r="J51" s="274">
        <f t="shared" si="4"/>
        <v>191043.5</v>
      </c>
      <c r="K51" s="279">
        <v>47656.1</v>
      </c>
      <c r="L51" s="279">
        <f t="shared" si="3"/>
        <v>302628.59999999998</v>
      </c>
      <c r="M51" s="486"/>
      <c r="N51" s="155"/>
      <c r="O51" s="155"/>
      <c r="P51" s="159"/>
      <c r="Q51" s="159"/>
    </row>
    <row r="52" spans="1:17" s="446" customFormat="1" ht="12.6" customHeight="1" x14ac:dyDescent="0.25">
      <c r="A52" s="236" t="s">
        <v>81</v>
      </c>
      <c r="B52" s="1913" t="s">
        <v>548</v>
      </c>
      <c r="C52" s="793">
        <v>48800.3</v>
      </c>
      <c r="D52" s="793">
        <v>13.8</v>
      </c>
      <c r="E52" s="1654">
        <v>3961.2</v>
      </c>
      <c r="F52" s="793">
        <v>8696.7999999999993</v>
      </c>
      <c r="G52" s="1654">
        <f t="shared" si="2"/>
        <v>12658</v>
      </c>
      <c r="H52" s="1654">
        <v>10995.6</v>
      </c>
      <c r="I52" s="793">
        <v>185575.3</v>
      </c>
      <c r="J52" s="1654">
        <f t="shared" si="4"/>
        <v>196570.9</v>
      </c>
      <c r="K52" s="793">
        <v>49432.9</v>
      </c>
      <c r="L52" s="793">
        <f t="shared" si="3"/>
        <v>307475.90000000002</v>
      </c>
      <c r="M52" s="486"/>
      <c r="N52" s="155"/>
      <c r="O52" s="155"/>
      <c r="P52" s="159"/>
      <c r="Q52" s="159"/>
    </row>
    <row r="53" spans="1:17" s="446" customFormat="1" ht="12.6" customHeight="1" x14ac:dyDescent="0.25">
      <c r="A53" s="236" t="s">
        <v>81</v>
      </c>
      <c r="B53" s="372" t="s">
        <v>556</v>
      </c>
      <c r="C53" s="279">
        <v>48549.4</v>
      </c>
      <c r="D53" s="279">
        <v>13.5</v>
      </c>
      <c r="E53" s="274">
        <v>3976.3</v>
      </c>
      <c r="F53" s="274">
        <v>8905.9</v>
      </c>
      <c r="G53" s="274">
        <f t="shared" si="2"/>
        <v>12882.2</v>
      </c>
      <c r="H53" s="274">
        <v>10271.1</v>
      </c>
      <c r="I53" s="279">
        <v>186775.9</v>
      </c>
      <c r="J53" s="274">
        <f t="shared" si="4"/>
        <v>197047</v>
      </c>
      <c r="K53" s="279">
        <v>50421.7</v>
      </c>
      <c r="L53" s="279">
        <f t="shared" si="3"/>
        <v>308913.8</v>
      </c>
      <c r="M53" s="486"/>
      <c r="N53" s="155"/>
      <c r="O53" s="155"/>
      <c r="P53" s="159"/>
      <c r="Q53" s="159"/>
    </row>
    <row r="54" spans="1:17" s="446" customFormat="1" ht="12.6" customHeight="1" x14ac:dyDescent="0.25">
      <c r="A54" s="236" t="s">
        <v>81</v>
      </c>
      <c r="B54" s="1913" t="s">
        <v>557</v>
      </c>
      <c r="C54" s="793">
        <v>49396.5</v>
      </c>
      <c r="D54" s="793">
        <v>13.3</v>
      </c>
      <c r="E54" s="1654">
        <v>4124.5</v>
      </c>
      <c r="F54" s="1654">
        <v>8801.5</v>
      </c>
      <c r="G54" s="1654">
        <f t="shared" si="2"/>
        <v>12926</v>
      </c>
      <c r="H54" s="1654">
        <v>10254.4</v>
      </c>
      <c r="I54" s="793">
        <v>188727.3</v>
      </c>
      <c r="J54" s="1654">
        <f t="shared" si="4"/>
        <v>198981.69999999998</v>
      </c>
      <c r="K54" s="793">
        <v>50473.9</v>
      </c>
      <c r="L54" s="793">
        <f t="shared" si="3"/>
        <v>311791.40000000002</v>
      </c>
      <c r="M54" s="486"/>
      <c r="N54" s="155"/>
      <c r="O54" s="155"/>
      <c r="P54" s="159"/>
      <c r="Q54" s="159"/>
    </row>
    <row r="55" spans="1:17" s="446" customFormat="1" ht="12.6" customHeight="1" x14ac:dyDescent="0.25">
      <c r="A55" s="236" t="s">
        <v>81</v>
      </c>
      <c r="B55" s="372" t="s">
        <v>549</v>
      </c>
      <c r="C55" s="279">
        <v>47871.199999999997</v>
      </c>
      <c r="D55" s="274">
        <v>13</v>
      </c>
      <c r="E55" s="274">
        <v>4385.8999999999996</v>
      </c>
      <c r="F55" s="274">
        <v>9035</v>
      </c>
      <c r="G55" s="274">
        <f t="shared" si="2"/>
        <v>13420.9</v>
      </c>
      <c r="H55" s="274">
        <v>10901.8</v>
      </c>
      <c r="I55" s="274">
        <v>190022</v>
      </c>
      <c r="J55" s="274">
        <f t="shared" si="4"/>
        <v>200923.8</v>
      </c>
      <c r="K55" s="279">
        <v>51915.6</v>
      </c>
      <c r="L55" s="279">
        <f t="shared" si="3"/>
        <v>314144.49999999994</v>
      </c>
      <c r="M55" s="486"/>
      <c r="N55" s="155"/>
      <c r="O55" s="155"/>
      <c r="P55" s="159"/>
      <c r="Q55" s="159"/>
    </row>
    <row r="56" spans="1:17" s="446" customFormat="1" ht="12.6" customHeight="1" x14ac:dyDescent="0.25">
      <c r="A56" s="236" t="s">
        <v>81</v>
      </c>
      <c r="B56" s="1913" t="s">
        <v>558</v>
      </c>
      <c r="C56" s="793">
        <v>47777.1</v>
      </c>
      <c r="D56" s="1654">
        <v>12.7</v>
      </c>
      <c r="E56" s="1654">
        <v>4283.3999999999996</v>
      </c>
      <c r="F56" s="1654">
        <v>9138.2999999999993</v>
      </c>
      <c r="G56" s="1654">
        <f t="shared" si="2"/>
        <v>13421.699999999999</v>
      </c>
      <c r="H56" s="1654">
        <v>11208</v>
      </c>
      <c r="I56" s="793">
        <v>194756.5</v>
      </c>
      <c r="J56" s="1654">
        <f t="shared" si="4"/>
        <v>205964.5</v>
      </c>
      <c r="K56" s="793">
        <v>52309.3</v>
      </c>
      <c r="L56" s="793">
        <f t="shared" si="3"/>
        <v>319485.3</v>
      </c>
      <c r="M56" s="486"/>
      <c r="N56" s="155"/>
      <c r="O56" s="155"/>
      <c r="P56" s="159"/>
      <c r="Q56" s="159"/>
    </row>
    <row r="57" spans="1:17" s="446" customFormat="1" ht="12.6" customHeight="1" x14ac:dyDescent="0.25">
      <c r="A57" s="236" t="s">
        <v>81</v>
      </c>
      <c r="B57" s="372" t="s">
        <v>559</v>
      </c>
      <c r="C57" s="279">
        <v>49449.4</v>
      </c>
      <c r="D57" s="274">
        <v>12.6</v>
      </c>
      <c r="E57" s="274">
        <v>4128.8999999999996</v>
      </c>
      <c r="F57" s="274">
        <v>9727.1</v>
      </c>
      <c r="G57" s="274">
        <f t="shared" si="2"/>
        <v>13856</v>
      </c>
      <c r="H57" s="274">
        <v>10658.7</v>
      </c>
      <c r="I57" s="274">
        <v>200566</v>
      </c>
      <c r="J57" s="274">
        <f t="shared" si="4"/>
        <v>211224.7</v>
      </c>
      <c r="K57" s="279">
        <v>53745.5</v>
      </c>
      <c r="L57" s="279">
        <f t="shared" si="3"/>
        <v>328288.2</v>
      </c>
      <c r="M57" s="486"/>
      <c r="N57" s="155"/>
      <c r="O57" s="155"/>
      <c r="P57" s="159"/>
      <c r="Q57" s="159"/>
    </row>
    <row r="58" spans="1:17" s="446" customFormat="1" ht="12.6" customHeight="1" x14ac:dyDescent="0.25">
      <c r="A58" s="236" t="s">
        <v>81</v>
      </c>
      <c r="B58" s="1913" t="s">
        <v>550</v>
      </c>
      <c r="C58" s="793">
        <v>54392.3</v>
      </c>
      <c r="D58" s="1654">
        <v>12.3</v>
      </c>
      <c r="E58" s="1654">
        <v>4028.8</v>
      </c>
      <c r="F58" s="1654">
        <v>9474.7999999999993</v>
      </c>
      <c r="G58" s="1654">
        <f t="shared" si="2"/>
        <v>13503.599999999999</v>
      </c>
      <c r="H58" s="1654">
        <v>11019.6</v>
      </c>
      <c r="I58" s="1654">
        <v>205147.3</v>
      </c>
      <c r="J58" s="1654">
        <f t="shared" si="4"/>
        <v>216166.9</v>
      </c>
      <c r="K58" s="793">
        <v>56138.400000000001</v>
      </c>
      <c r="L58" s="793">
        <f t="shared" si="3"/>
        <v>340213.5</v>
      </c>
      <c r="M58" s="486"/>
      <c r="N58" s="155"/>
      <c r="O58" s="155"/>
      <c r="P58" s="159"/>
      <c r="Q58" s="159"/>
    </row>
    <row r="59" spans="1:17" s="446" customFormat="1" ht="12.6" customHeight="1" x14ac:dyDescent="0.25">
      <c r="A59" s="236" t="s">
        <v>189</v>
      </c>
      <c r="B59" s="372" t="s">
        <v>552</v>
      </c>
      <c r="C59" s="793">
        <v>53971.5</v>
      </c>
      <c r="D59" s="1654">
        <v>12</v>
      </c>
      <c r="E59" s="1654">
        <v>3856.6</v>
      </c>
      <c r="F59" s="1654">
        <v>9593.2999999999993</v>
      </c>
      <c r="G59" s="1654">
        <f t="shared" si="2"/>
        <v>13449.9</v>
      </c>
      <c r="H59" s="1654">
        <v>11224.8</v>
      </c>
      <c r="I59" s="1654">
        <v>207658.9</v>
      </c>
      <c r="J59" s="1654">
        <f t="shared" si="4"/>
        <v>218883.69999999998</v>
      </c>
      <c r="K59" s="793">
        <v>56654.7</v>
      </c>
      <c r="L59" s="793">
        <f t="shared" si="3"/>
        <v>342971.8</v>
      </c>
      <c r="M59" s="486"/>
      <c r="N59" s="155"/>
      <c r="O59" s="155"/>
      <c r="P59" s="159"/>
      <c r="Q59" s="159"/>
    </row>
    <row r="60" spans="1:17" s="446" customFormat="1" ht="12.6" customHeight="1" x14ac:dyDescent="0.25">
      <c r="A60" s="236" t="s">
        <v>189</v>
      </c>
      <c r="B60" s="1913" t="s">
        <v>553</v>
      </c>
      <c r="C60" s="274">
        <v>53427</v>
      </c>
      <c r="D60" s="279">
        <v>11.8</v>
      </c>
      <c r="E60" s="274">
        <v>3870.9</v>
      </c>
      <c r="F60" s="274">
        <v>9766.7999999999993</v>
      </c>
      <c r="G60" s="274">
        <f t="shared" si="2"/>
        <v>13637.699999999999</v>
      </c>
      <c r="H60" s="274">
        <v>11390.8</v>
      </c>
      <c r="I60" s="274">
        <v>213431.2</v>
      </c>
      <c r="J60" s="274">
        <f t="shared" si="4"/>
        <v>224822</v>
      </c>
      <c r="K60" s="274">
        <v>57306.3</v>
      </c>
      <c r="L60" s="279">
        <f t="shared" si="3"/>
        <v>349204.8</v>
      </c>
      <c r="M60" s="486"/>
      <c r="N60" s="155"/>
      <c r="O60" s="155"/>
      <c r="P60" s="159"/>
      <c r="Q60" s="159"/>
    </row>
    <row r="61" spans="1:17" s="446" customFormat="1" ht="12.6" customHeight="1" x14ac:dyDescent="0.25">
      <c r="A61" s="236" t="s">
        <v>189</v>
      </c>
      <c r="B61" s="372" t="s">
        <v>547</v>
      </c>
      <c r="C61" s="1654">
        <v>53643.4</v>
      </c>
      <c r="D61" s="793">
        <v>11.6</v>
      </c>
      <c r="E61" s="1654">
        <v>4027.3</v>
      </c>
      <c r="F61" s="1654">
        <v>9743.7000000000007</v>
      </c>
      <c r="G61" s="1654">
        <f t="shared" si="2"/>
        <v>13771</v>
      </c>
      <c r="H61" s="1654">
        <v>11574.3</v>
      </c>
      <c r="I61" s="1654">
        <v>219574.1</v>
      </c>
      <c r="J61" s="1654">
        <f t="shared" si="4"/>
        <v>231148.4</v>
      </c>
      <c r="K61" s="1654">
        <v>57924.5</v>
      </c>
      <c r="L61" s="1654">
        <f t="shared" si="3"/>
        <v>356498.9</v>
      </c>
      <c r="M61" s="486"/>
      <c r="N61" s="155"/>
      <c r="O61" s="155"/>
      <c r="P61" s="159"/>
      <c r="Q61" s="159"/>
    </row>
    <row r="62" spans="1:17" s="446" customFormat="1" ht="12.6" customHeight="1" x14ac:dyDescent="0.25">
      <c r="A62" s="236" t="s">
        <v>189</v>
      </c>
      <c r="B62" s="1913" t="s">
        <v>554</v>
      </c>
      <c r="C62" s="274">
        <v>54230.2</v>
      </c>
      <c r="D62" s="279">
        <v>11.2</v>
      </c>
      <c r="E62" s="274">
        <v>4234.1000000000004</v>
      </c>
      <c r="F62" s="274">
        <v>9274.7999999999993</v>
      </c>
      <c r="G62" s="274">
        <f t="shared" si="2"/>
        <v>13508.9</v>
      </c>
      <c r="H62" s="274">
        <v>11755.4</v>
      </c>
      <c r="I62" s="274">
        <v>225516</v>
      </c>
      <c r="J62" s="274">
        <f t="shared" si="4"/>
        <v>237271.4</v>
      </c>
      <c r="K62" s="274">
        <v>59065.599999999999</v>
      </c>
      <c r="L62" s="274">
        <f t="shared" si="3"/>
        <v>364087.29999999993</v>
      </c>
      <c r="M62" s="486"/>
      <c r="N62" s="155"/>
      <c r="O62" s="155"/>
      <c r="P62" s="159"/>
      <c r="Q62" s="159"/>
    </row>
    <row r="63" spans="1:17" s="446" customFormat="1" ht="12.6" customHeight="1" x14ac:dyDescent="0.25">
      <c r="A63" s="236" t="s">
        <v>189</v>
      </c>
      <c r="B63" s="372" t="s">
        <v>555</v>
      </c>
      <c r="C63" s="1654">
        <v>54726.6</v>
      </c>
      <c r="D63" s="793">
        <v>10.9</v>
      </c>
      <c r="E63" s="1654">
        <v>4172.3</v>
      </c>
      <c r="F63" s="1654">
        <v>9128.2000000000007</v>
      </c>
      <c r="G63" s="1654">
        <f t="shared" si="2"/>
        <v>13300.5</v>
      </c>
      <c r="H63" s="1654">
        <v>13028.7</v>
      </c>
      <c r="I63" s="1654">
        <v>234562.1</v>
      </c>
      <c r="J63" s="1654">
        <f t="shared" si="4"/>
        <v>247590.80000000002</v>
      </c>
      <c r="K63" s="1654">
        <v>59528.5</v>
      </c>
      <c r="L63" s="1654">
        <f t="shared" si="3"/>
        <v>375157.30000000005</v>
      </c>
      <c r="M63" s="486"/>
      <c r="N63" s="155"/>
      <c r="O63" s="155"/>
      <c r="P63" s="159"/>
      <c r="Q63" s="159"/>
    </row>
    <row r="64" spans="1:17" s="446" customFormat="1" ht="12.6" customHeight="1" x14ac:dyDescent="0.25">
      <c r="A64" s="236" t="s">
        <v>189</v>
      </c>
      <c r="B64" s="1913" t="s">
        <v>548</v>
      </c>
      <c r="C64" s="274">
        <v>52459.3</v>
      </c>
      <c r="D64" s="279">
        <v>10.6</v>
      </c>
      <c r="E64" s="274">
        <v>4100.8</v>
      </c>
      <c r="F64" s="274">
        <v>9046.4</v>
      </c>
      <c r="G64" s="274">
        <f t="shared" si="2"/>
        <v>13147.2</v>
      </c>
      <c r="H64" s="274">
        <v>14868.6</v>
      </c>
      <c r="I64" s="274">
        <v>240506.1</v>
      </c>
      <c r="J64" s="274">
        <f t="shared" si="4"/>
        <v>255374.7</v>
      </c>
      <c r="K64" s="274">
        <v>61371</v>
      </c>
      <c r="L64" s="274">
        <f t="shared" si="3"/>
        <v>382362.80000000005</v>
      </c>
      <c r="M64" s="486"/>
      <c r="N64" s="155"/>
      <c r="O64" s="155"/>
      <c r="P64" s="159"/>
      <c r="Q64" s="159"/>
    </row>
    <row r="65" spans="1:17" s="446" customFormat="1" ht="12.6" customHeight="1" x14ac:dyDescent="0.25">
      <c r="A65" s="236" t="s">
        <v>189</v>
      </c>
      <c r="B65" s="372" t="s">
        <v>556</v>
      </c>
      <c r="C65" s="1654">
        <v>54809.9</v>
      </c>
      <c r="D65" s="793">
        <v>10.3</v>
      </c>
      <c r="E65" s="1654">
        <v>4533.3</v>
      </c>
      <c r="F65" s="1654">
        <v>9620.6</v>
      </c>
      <c r="G65" s="1654">
        <f t="shared" si="2"/>
        <v>14153.900000000001</v>
      </c>
      <c r="H65" s="1654">
        <v>15323.2</v>
      </c>
      <c r="I65" s="1654">
        <v>243023.3</v>
      </c>
      <c r="J65" s="1654">
        <f t="shared" si="4"/>
        <v>258346.5</v>
      </c>
      <c r="K65" s="1654">
        <v>62521.1</v>
      </c>
      <c r="L65" s="1654">
        <f t="shared" si="3"/>
        <v>389841.69999999995</v>
      </c>
      <c r="M65" s="486"/>
      <c r="N65" s="155"/>
      <c r="O65" s="155"/>
      <c r="P65" s="159"/>
      <c r="Q65" s="159"/>
    </row>
    <row r="66" spans="1:17" s="446" customFormat="1" ht="12.6" customHeight="1" x14ac:dyDescent="0.25">
      <c r="A66" s="236" t="s">
        <v>189</v>
      </c>
      <c r="B66" s="1913" t="s">
        <v>557</v>
      </c>
      <c r="C66" s="274">
        <v>56072.800000000003</v>
      </c>
      <c r="D66" s="274">
        <v>10</v>
      </c>
      <c r="E66" s="274">
        <v>4544.7</v>
      </c>
      <c r="F66" s="274">
        <v>9401.5</v>
      </c>
      <c r="G66" s="274">
        <f t="shared" si="2"/>
        <v>13946.2</v>
      </c>
      <c r="H66" s="274">
        <v>15312.3</v>
      </c>
      <c r="I66" s="274">
        <v>246016.6</v>
      </c>
      <c r="J66" s="274">
        <f t="shared" si="4"/>
        <v>261328.9</v>
      </c>
      <c r="K66" s="274">
        <v>62863.8</v>
      </c>
      <c r="L66" s="274">
        <f t="shared" si="3"/>
        <v>394221.7</v>
      </c>
      <c r="M66" s="486"/>
      <c r="N66" s="155"/>
      <c r="O66" s="155"/>
      <c r="P66" s="159"/>
      <c r="Q66" s="159"/>
    </row>
    <row r="67" spans="1:17" s="446" customFormat="1" ht="12.6" customHeight="1" x14ac:dyDescent="0.25">
      <c r="A67" s="236" t="s">
        <v>189</v>
      </c>
      <c r="B67" s="372" t="s">
        <v>549</v>
      </c>
      <c r="C67" s="1654">
        <v>60974.5</v>
      </c>
      <c r="D67" s="1654">
        <v>9.9</v>
      </c>
      <c r="E67" s="1654">
        <v>4519.3999999999996</v>
      </c>
      <c r="F67" s="1654">
        <v>9407.7999999999993</v>
      </c>
      <c r="G67" s="1654">
        <f t="shared" si="2"/>
        <v>13927.199999999999</v>
      </c>
      <c r="H67" s="1654">
        <v>15513.5</v>
      </c>
      <c r="I67" s="1654">
        <v>250904.9</v>
      </c>
      <c r="J67" s="1654">
        <f t="shared" si="4"/>
        <v>266418.40000000002</v>
      </c>
      <c r="K67" s="1654">
        <v>63762.6</v>
      </c>
      <c r="L67" s="1654">
        <f t="shared" si="3"/>
        <v>405092.6</v>
      </c>
      <c r="M67" s="486"/>
      <c r="N67" s="155"/>
      <c r="O67" s="155"/>
      <c r="P67" s="159"/>
      <c r="Q67" s="159"/>
    </row>
    <row r="68" spans="1:17" s="446" customFormat="1" ht="12.6" customHeight="1" x14ac:dyDescent="0.25">
      <c r="A68" s="236" t="s">
        <v>189</v>
      </c>
      <c r="B68" s="1913" t="s">
        <v>558</v>
      </c>
      <c r="C68" s="274">
        <v>63737.4</v>
      </c>
      <c r="D68" s="274">
        <v>9.6999999999999993</v>
      </c>
      <c r="E68" s="274">
        <v>4250.6000000000004</v>
      </c>
      <c r="F68" s="274">
        <v>9462.1</v>
      </c>
      <c r="G68" s="274">
        <f t="shared" si="2"/>
        <v>13712.7</v>
      </c>
      <c r="H68" s="274">
        <v>14244.7</v>
      </c>
      <c r="I68" s="274">
        <v>256022.3</v>
      </c>
      <c r="J68" s="274">
        <f t="shared" si="4"/>
        <v>270267</v>
      </c>
      <c r="K68" s="274">
        <v>64976.2</v>
      </c>
      <c r="L68" s="274">
        <f t="shared" si="3"/>
        <v>412703</v>
      </c>
      <c r="M68" s="486"/>
      <c r="N68" s="155"/>
      <c r="O68" s="155"/>
      <c r="P68" s="159"/>
      <c r="Q68" s="159"/>
    </row>
    <row r="69" spans="1:17" s="446" customFormat="1" ht="12.6" customHeight="1" x14ac:dyDescent="0.25">
      <c r="A69" s="236" t="s">
        <v>189</v>
      </c>
      <c r="B69" s="372" t="s">
        <v>559</v>
      </c>
      <c r="C69" s="1654">
        <v>65632.800000000003</v>
      </c>
      <c r="D69" s="1654">
        <v>9.6</v>
      </c>
      <c r="E69" s="1654">
        <v>4057.2</v>
      </c>
      <c r="F69" s="1654">
        <v>10062.799999999999</v>
      </c>
      <c r="G69" s="1654">
        <f t="shared" si="2"/>
        <v>14120</v>
      </c>
      <c r="H69" s="1654">
        <v>14833.1</v>
      </c>
      <c r="I69" s="1654">
        <v>260011.7</v>
      </c>
      <c r="J69" s="1654">
        <f t="shared" si="4"/>
        <v>274844.79999999999</v>
      </c>
      <c r="K69" s="1654">
        <v>66563.899999999994</v>
      </c>
      <c r="L69" s="1654">
        <f t="shared" si="3"/>
        <v>421171.1</v>
      </c>
      <c r="M69" s="486"/>
      <c r="N69" s="155"/>
      <c r="O69" s="155"/>
      <c r="P69" s="159"/>
      <c r="Q69" s="159"/>
    </row>
    <row r="70" spans="1:17" s="446" customFormat="1" ht="12.6" customHeight="1" x14ac:dyDescent="0.25">
      <c r="A70" s="236" t="s">
        <v>189</v>
      </c>
      <c r="B70" s="1913" t="s">
        <v>550</v>
      </c>
      <c r="C70" s="274">
        <v>73436.100000000006</v>
      </c>
      <c r="D70" s="274">
        <v>9.4</v>
      </c>
      <c r="E70" s="274">
        <v>4611.8999999999996</v>
      </c>
      <c r="F70" s="274">
        <v>9681.2999999999993</v>
      </c>
      <c r="G70" s="274">
        <f t="shared" si="2"/>
        <v>14293.199999999999</v>
      </c>
      <c r="H70" s="274">
        <v>14755.8</v>
      </c>
      <c r="I70" s="274">
        <v>261545.2</v>
      </c>
      <c r="J70" s="274">
        <f t="shared" si="4"/>
        <v>276301</v>
      </c>
      <c r="K70" s="274">
        <v>69486.2</v>
      </c>
      <c r="L70" s="274">
        <f t="shared" si="3"/>
        <v>433525.9</v>
      </c>
      <c r="M70" s="486"/>
      <c r="N70" s="155"/>
      <c r="O70" s="155"/>
      <c r="P70" s="159"/>
      <c r="Q70" s="159"/>
    </row>
    <row r="71" spans="1:17" s="446" customFormat="1" ht="12.6" customHeight="1" x14ac:dyDescent="0.25">
      <c r="A71" s="236" t="s">
        <v>696</v>
      </c>
      <c r="B71" s="372" t="s">
        <v>552</v>
      </c>
      <c r="C71" s="274">
        <v>75494.600000000006</v>
      </c>
      <c r="D71" s="274">
        <v>8.6999999999999993</v>
      </c>
      <c r="E71" s="274">
        <v>4465.8</v>
      </c>
      <c r="F71" s="274">
        <v>9533</v>
      </c>
      <c r="G71" s="274">
        <f t="shared" si="2"/>
        <v>13998.8</v>
      </c>
      <c r="H71" s="274">
        <v>14608.2</v>
      </c>
      <c r="I71" s="274">
        <v>261966.7</v>
      </c>
      <c r="J71" s="274">
        <f t="shared" si="4"/>
        <v>276574.90000000002</v>
      </c>
      <c r="K71" s="274">
        <v>69138</v>
      </c>
      <c r="L71" s="274">
        <f t="shared" si="3"/>
        <v>435215</v>
      </c>
      <c r="M71" s="486"/>
      <c r="N71" s="155"/>
      <c r="O71" s="155"/>
      <c r="P71" s="159"/>
      <c r="Q71" s="159"/>
    </row>
    <row r="72" spans="1:17" s="446" customFormat="1" ht="12.6" customHeight="1" x14ac:dyDescent="0.25">
      <c r="A72" s="236" t="s">
        <v>696</v>
      </c>
      <c r="B72" s="1913" t="s">
        <v>553</v>
      </c>
      <c r="C72" s="1654">
        <v>76824.800000000003</v>
      </c>
      <c r="D72" s="1654">
        <v>8.4</v>
      </c>
      <c r="E72" s="1654">
        <v>4566.8</v>
      </c>
      <c r="F72" s="1654">
        <v>9648.1</v>
      </c>
      <c r="G72" s="1654">
        <f t="shared" si="2"/>
        <v>14214.900000000001</v>
      </c>
      <c r="H72" s="1654">
        <v>15230.7</v>
      </c>
      <c r="I72" s="1654">
        <v>265572.59999999998</v>
      </c>
      <c r="J72" s="1654">
        <f t="shared" si="4"/>
        <v>280803.3</v>
      </c>
      <c r="K72" s="1654">
        <v>70341.399999999994</v>
      </c>
      <c r="L72" s="1654">
        <f t="shared" si="3"/>
        <v>442192.80000000005</v>
      </c>
      <c r="M72" s="486"/>
      <c r="N72" s="155"/>
      <c r="O72" s="155"/>
      <c r="P72" s="159"/>
      <c r="Q72" s="159"/>
    </row>
    <row r="73" spans="1:17" s="446" customFormat="1" ht="12.6" customHeight="1" x14ac:dyDescent="0.25">
      <c r="A73" s="236" t="s">
        <v>696</v>
      </c>
      <c r="B73" s="372" t="s">
        <v>547</v>
      </c>
      <c r="C73" s="274">
        <v>80664.899999999994</v>
      </c>
      <c r="D73" s="274">
        <v>8.1999999999999993</v>
      </c>
      <c r="E73" s="274">
        <v>4906.5</v>
      </c>
      <c r="F73" s="274">
        <v>9767.5</v>
      </c>
      <c r="G73" s="274">
        <f t="shared" si="2"/>
        <v>14674</v>
      </c>
      <c r="H73" s="274">
        <v>13975.5</v>
      </c>
      <c r="I73" s="274">
        <v>270507.09999999998</v>
      </c>
      <c r="J73" s="274">
        <f t="shared" si="4"/>
        <v>284482.59999999998</v>
      </c>
      <c r="K73" s="274">
        <v>70100.800000000003</v>
      </c>
      <c r="L73" s="274">
        <f t="shared" si="3"/>
        <v>449930.49999999994</v>
      </c>
      <c r="M73" s="486"/>
      <c r="N73" s="155"/>
      <c r="O73" s="155"/>
      <c r="P73" s="159"/>
      <c r="Q73" s="159"/>
    </row>
    <row r="74" spans="1:17" s="446" customFormat="1" ht="12.6" customHeight="1" x14ac:dyDescent="0.25">
      <c r="A74" s="236" t="s">
        <v>696</v>
      </c>
      <c r="B74" s="1913" t="s">
        <v>554</v>
      </c>
      <c r="C74" s="1654">
        <v>87803.8</v>
      </c>
      <c r="D74" s="1654">
        <v>7.9</v>
      </c>
      <c r="E74" s="1654">
        <v>4866.1000000000004</v>
      </c>
      <c r="F74" s="1654">
        <v>10556.1</v>
      </c>
      <c r="G74" s="1654">
        <f t="shared" si="2"/>
        <v>15422.2</v>
      </c>
      <c r="H74" s="1654">
        <v>12590.9</v>
      </c>
      <c r="I74" s="1654">
        <v>277076.5</v>
      </c>
      <c r="J74" s="1654">
        <f t="shared" si="4"/>
        <v>289667.40000000002</v>
      </c>
      <c r="K74" s="1654">
        <v>69287.100000000006</v>
      </c>
      <c r="L74" s="1654">
        <f t="shared" si="3"/>
        <v>462188.4</v>
      </c>
      <c r="M74" s="486"/>
      <c r="N74" s="155"/>
      <c r="O74" s="155"/>
      <c r="P74" s="159"/>
      <c r="Q74" s="159"/>
    </row>
    <row r="75" spans="1:17" s="446" customFormat="1" ht="12.6" customHeight="1" x14ac:dyDescent="0.25">
      <c r="A75" s="236" t="s">
        <v>696</v>
      </c>
      <c r="B75" s="372" t="s">
        <v>555</v>
      </c>
      <c r="C75" s="274">
        <v>90714.4</v>
      </c>
      <c r="D75" s="274">
        <v>7.6</v>
      </c>
      <c r="E75" s="274">
        <v>5070.8</v>
      </c>
      <c r="F75" s="274">
        <v>10210.5</v>
      </c>
      <c r="G75" s="274">
        <f t="shared" si="2"/>
        <v>15281.3</v>
      </c>
      <c r="H75" s="274">
        <v>14857.2</v>
      </c>
      <c r="I75" s="274">
        <v>281954.7</v>
      </c>
      <c r="J75" s="274">
        <f t="shared" si="4"/>
        <v>296811.90000000002</v>
      </c>
      <c r="K75" s="274">
        <v>69673.3</v>
      </c>
      <c r="L75" s="274">
        <f t="shared" si="3"/>
        <v>472488.5</v>
      </c>
      <c r="M75" s="486"/>
      <c r="N75" s="155"/>
      <c r="O75" s="155"/>
      <c r="P75" s="159"/>
      <c r="Q75" s="159"/>
    </row>
    <row r="76" spans="1:17" s="446" customFormat="1" ht="12.6" customHeight="1" x14ac:dyDescent="0.25">
      <c r="A76" s="236" t="s">
        <v>696</v>
      </c>
      <c r="B76" s="1913" t="s">
        <v>548</v>
      </c>
      <c r="C76" s="1654">
        <v>90995.8</v>
      </c>
      <c r="D76" s="1654">
        <v>7.4</v>
      </c>
      <c r="E76" s="1654">
        <v>5153.7</v>
      </c>
      <c r="F76" s="1654">
        <v>10176.4</v>
      </c>
      <c r="G76" s="1654">
        <f t="shared" si="2"/>
        <v>15330.099999999999</v>
      </c>
      <c r="H76" s="1654">
        <v>14139.6</v>
      </c>
      <c r="I76" s="1654">
        <v>289780.90000000002</v>
      </c>
      <c r="J76" s="1654">
        <f t="shared" si="4"/>
        <v>303920.5</v>
      </c>
      <c r="K76" s="1654">
        <v>71285.2</v>
      </c>
      <c r="L76" s="1654">
        <f t="shared" si="3"/>
        <v>481539</v>
      </c>
      <c r="M76" s="486"/>
      <c r="N76" s="155"/>
      <c r="O76" s="155"/>
      <c r="P76" s="159"/>
      <c r="Q76" s="159"/>
    </row>
    <row r="77" spans="1:17" s="446" customFormat="1" ht="12.6" customHeight="1" x14ac:dyDescent="0.25">
      <c r="A77" s="236" t="s">
        <v>696</v>
      </c>
      <c r="B77" s="372" t="s">
        <v>556</v>
      </c>
      <c r="C77" s="274">
        <v>89019.1</v>
      </c>
      <c r="D77" s="274">
        <v>7.1</v>
      </c>
      <c r="E77" s="274">
        <v>4972.8</v>
      </c>
      <c r="F77" s="274">
        <v>9490.5</v>
      </c>
      <c r="G77" s="274">
        <f t="shared" si="2"/>
        <v>14463.3</v>
      </c>
      <c r="H77" s="274">
        <v>12943.9</v>
      </c>
      <c r="I77" s="274">
        <v>292996.7</v>
      </c>
      <c r="J77" s="274">
        <f t="shared" si="4"/>
        <v>305940.60000000003</v>
      </c>
      <c r="K77" s="274">
        <v>72368.600000000006</v>
      </c>
      <c r="L77" s="274">
        <f t="shared" si="3"/>
        <v>481798.70000000007</v>
      </c>
      <c r="M77" s="486"/>
      <c r="N77" s="155"/>
      <c r="O77" s="155"/>
      <c r="P77" s="159"/>
      <c r="Q77" s="159"/>
    </row>
    <row r="78" spans="1:17" s="446" customFormat="1" ht="12.6" customHeight="1" x14ac:dyDescent="0.25">
      <c r="A78" s="236" t="s">
        <v>696</v>
      </c>
      <c r="B78" s="1913" t="s">
        <v>557</v>
      </c>
      <c r="C78" s="1654">
        <v>89669.7</v>
      </c>
      <c r="D78" s="1654">
        <v>6.9</v>
      </c>
      <c r="E78" s="1654">
        <v>5046.7</v>
      </c>
      <c r="F78" s="1654">
        <v>9831.7999999999993</v>
      </c>
      <c r="G78" s="1654">
        <f t="shared" si="2"/>
        <v>14878.5</v>
      </c>
      <c r="H78" s="1654">
        <v>14119.4</v>
      </c>
      <c r="I78" s="1654">
        <v>299169.40000000002</v>
      </c>
      <c r="J78" s="1654">
        <f t="shared" si="4"/>
        <v>313288.80000000005</v>
      </c>
      <c r="K78" s="1654">
        <v>71510.5</v>
      </c>
      <c r="L78" s="1654">
        <f t="shared" si="3"/>
        <v>489354.4</v>
      </c>
      <c r="M78" s="486"/>
      <c r="N78" s="155"/>
      <c r="O78" s="155"/>
      <c r="P78" s="159"/>
      <c r="Q78" s="159"/>
    </row>
    <row r="79" spans="1:17" s="446" customFormat="1" ht="12.6" customHeight="1" x14ac:dyDescent="0.25">
      <c r="A79" s="236" t="s">
        <v>696</v>
      </c>
      <c r="B79" s="372" t="s">
        <v>549</v>
      </c>
      <c r="C79" s="274">
        <v>90572.1</v>
      </c>
      <c r="D79" s="274">
        <v>6.5</v>
      </c>
      <c r="E79" s="274">
        <v>5254</v>
      </c>
      <c r="F79" s="274">
        <v>10154.299999999999</v>
      </c>
      <c r="G79" s="274">
        <f t="shared" si="2"/>
        <v>15408.3</v>
      </c>
      <c r="H79" s="274">
        <v>13099.2</v>
      </c>
      <c r="I79" s="274">
        <v>303750.3</v>
      </c>
      <c r="J79" s="274">
        <f t="shared" si="4"/>
        <v>316849.5</v>
      </c>
      <c r="K79" s="274">
        <v>73216.5</v>
      </c>
      <c r="L79" s="274">
        <f t="shared" si="3"/>
        <v>496052.9</v>
      </c>
      <c r="M79" s="486"/>
      <c r="N79" s="155"/>
      <c r="O79" s="155"/>
      <c r="P79" s="159"/>
      <c r="Q79" s="159"/>
    </row>
    <row r="80" spans="1:17" s="446" customFormat="1" ht="12.6" customHeight="1" x14ac:dyDescent="0.25">
      <c r="A80" s="236" t="s">
        <v>696</v>
      </c>
      <c r="B80" s="1913" t="s">
        <v>558</v>
      </c>
      <c r="C80" s="1654">
        <v>89934.1</v>
      </c>
      <c r="D80" s="1654">
        <v>6.3</v>
      </c>
      <c r="E80" s="1654">
        <v>5303.8</v>
      </c>
      <c r="F80" s="1654">
        <v>10216.6</v>
      </c>
      <c r="G80" s="1654">
        <f t="shared" si="2"/>
        <v>15520.400000000001</v>
      </c>
      <c r="H80" s="1654">
        <v>13628</v>
      </c>
      <c r="I80" s="1654">
        <v>306943.40000000002</v>
      </c>
      <c r="J80" s="1654">
        <f t="shared" si="4"/>
        <v>320571.40000000002</v>
      </c>
      <c r="K80" s="1654">
        <v>73503.8</v>
      </c>
      <c r="L80" s="1654">
        <f t="shared" si="3"/>
        <v>499536.00000000006</v>
      </c>
      <c r="M80" s="486"/>
      <c r="N80" s="155"/>
      <c r="O80" s="155"/>
      <c r="P80" s="159"/>
      <c r="Q80" s="159"/>
    </row>
    <row r="81" spans="1:17" s="446" customFormat="1" ht="12.6" customHeight="1" x14ac:dyDescent="0.25">
      <c r="A81" s="236" t="s">
        <v>696</v>
      </c>
      <c r="B81" s="372" t="s">
        <v>559</v>
      </c>
      <c r="C81" s="274">
        <v>88231.5</v>
      </c>
      <c r="D81" s="274">
        <v>6</v>
      </c>
      <c r="E81" s="274">
        <v>5397.9</v>
      </c>
      <c r="F81" s="274">
        <v>9952.9</v>
      </c>
      <c r="G81" s="274">
        <f t="shared" si="2"/>
        <v>15350.8</v>
      </c>
      <c r="H81" s="274">
        <v>12997.5</v>
      </c>
      <c r="I81" s="274">
        <v>314231</v>
      </c>
      <c r="J81" s="274">
        <f t="shared" si="4"/>
        <v>327228.5</v>
      </c>
      <c r="K81" s="274">
        <v>74410.5</v>
      </c>
      <c r="L81" s="274">
        <f t="shared" si="3"/>
        <v>505227.3</v>
      </c>
      <c r="M81" s="486"/>
      <c r="N81" s="155"/>
      <c r="O81" s="155"/>
      <c r="P81" s="159"/>
      <c r="Q81" s="159"/>
    </row>
    <row r="82" spans="1:17" s="446" customFormat="1" ht="12.6" customHeight="1" x14ac:dyDescent="0.25">
      <c r="A82" s="236" t="s">
        <v>696</v>
      </c>
      <c r="B82" s="1913" t="s">
        <v>550</v>
      </c>
      <c r="C82" s="214">
        <v>91906.8</v>
      </c>
      <c r="D82" s="214">
        <v>5.8</v>
      </c>
      <c r="E82" s="214">
        <v>5661.3</v>
      </c>
      <c r="F82" s="214">
        <v>11158.6</v>
      </c>
      <c r="G82" s="214">
        <f t="shared" si="2"/>
        <v>16819.900000000001</v>
      </c>
      <c r="H82" s="214">
        <v>12738.9</v>
      </c>
      <c r="I82" s="214">
        <v>320176.7</v>
      </c>
      <c r="J82" s="214">
        <f t="shared" si="4"/>
        <v>332915.60000000003</v>
      </c>
      <c r="K82" s="214">
        <v>76566.100000000006</v>
      </c>
      <c r="L82" s="214">
        <f>C82+D82+G82+J82+K82</f>
        <v>518214.20000000007</v>
      </c>
      <c r="M82" s="486"/>
      <c r="N82" s="155"/>
      <c r="O82" s="155"/>
      <c r="P82" s="159"/>
      <c r="Q82" s="159"/>
    </row>
    <row r="83" spans="1:17" s="446" customFormat="1" ht="12.6" customHeight="1" x14ac:dyDescent="0.25">
      <c r="A83" s="236" t="s">
        <v>804</v>
      </c>
      <c r="B83" s="372" t="s">
        <v>552</v>
      </c>
      <c r="C83" s="214">
        <v>93321.7</v>
      </c>
      <c r="D83" s="214">
        <v>5.5</v>
      </c>
      <c r="E83" s="214">
        <v>5617.7</v>
      </c>
      <c r="F83" s="214">
        <v>10251.4</v>
      </c>
      <c r="G83" s="214">
        <f t="shared" si="2"/>
        <v>15869.099999999999</v>
      </c>
      <c r="H83" s="214">
        <v>12745.4</v>
      </c>
      <c r="I83" s="214">
        <v>322517.3</v>
      </c>
      <c r="J83" s="214">
        <f t="shared" si="4"/>
        <v>335262.7</v>
      </c>
      <c r="K83" s="214">
        <v>76840.899999999994</v>
      </c>
      <c r="L83" s="214">
        <f t="shared" ref="L83:L94" si="5">C83+D83+G83+J83+K83</f>
        <v>521299.9</v>
      </c>
      <c r="M83" s="486"/>
      <c r="N83" s="155"/>
      <c r="O83" s="155"/>
      <c r="P83" s="159"/>
      <c r="Q83" s="159"/>
    </row>
    <row r="84" spans="1:17" s="446" customFormat="1" ht="12.6" customHeight="1" x14ac:dyDescent="0.25">
      <c r="A84" s="236" t="s">
        <v>804</v>
      </c>
      <c r="B84" s="1913" t="s">
        <v>553</v>
      </c>
      <c r="C84" s="270">
        <v>93278.8</v>
      </c>
      <c r="D84" s="270">
        <v>5.0999999999999996</v>
      </c>
      <c r="E84" s="270">
        <v>5694.7</v>
      </c>
      <c r="F84" s="270">
        <v>10435.700000000001</v>
      </c>
      <c r="G84" s="270">
        <f t="shared" si="2"/>
        <v>16130.400000000001</v>
      </c>
      <c r="H84" s="270">
        <v>12883</v>
      </c>
      <c r="I84" s="270">
        <v>326849.3</v>
      </c>
      <c r="J84" s="270">
        <f t="shared" si="4"/>
        <v>339732.3</v>
      </c>
      <c r="K84" s="270">
        <v>77135.5</v>
      </c>
      <c r="L84" s="270">
        <f t="shared" si="5"/>
        <v>526282.1</v>
      </c>
      <c r="M84" s="486"/>
      <c r="N84" s="155"/>
      <c r="O84" s="155"/>
      <c r="P84" s="159"/>
      <c r="Q84" s="159"/>
    </row>
    <row r="85" spans="1:17" s="446" customFormat="1" ht="12.6" customHeight="1" x14ac:dyDescent="0.25">
      <c r="A85" s="236" t="s">
        <v>804</v>
      </c>
      <c r="B85" s="372" t="s">
        <v>547</v>
      </c>
      <c r="C85" s="214">
        <v>92232</v>
      </c>
      <c r="D85" s="214">
        <v>4.9000000000000004</v>
      </c>
      <c r="E85" s="214">
        <v>5797.5</v>
      </c>
      <c r="F85" s="214">
        <v>10782.2</v>
      </c>
      <c r="G85" s="214">
        <f t="shared" si="2"/>
        <v>16579.7</v>
      </c>
      <c r="H85" s="214">
        <v>12191.6</v>
      </c>
      <c r="I85" s="214">
        <v>330674.09999999998</v>
      </c>
      <c r="J85" s="214">
        <f t="shared" si="4"/>
        <v>342865.69999999995</v>
      </c>
      <c r="K85" s="214">
        <v>77581.100000000006</v>
      </c>
      <c r="L85" s="214">
        <f t="shared" si="5"/>
        <v>529263.39999999991</v>
      </c>
      <c r="M85" s="486"/>
      <c r="N85" s="155"/>
      <c r="O85" s="155"/>
      <c r="P85" s="159"/>
      <c r="Q85" s="159"/>
    </row>
    <row r="86" spans="1:17" s="446" customFormat="1" ht="12.6" customHeight="1" x14ac:dyDescent="0.25">
      <c r="A86" s="236" t="s">
        <v>804</v>
      </c>
      <c r="B86" s="1913" t="s">
        <v>554</v>
      </c>
      <c r="C86" s="430">
        <v>99591.4</v>
      </c>
      <c r="D86" s="430">
        <v>4.5999999999999996</v>
      </c>
      <c r="E86" s="430">
        <v>5955.8</v>
      </c>
      <c r="F86" s="430">
        <v>10975.2</v>
      </c>
      <c r="G86" s="270">
        <f t="shared" si="2"/>
        <v>16931</v>
      </c>
      <c r="H86" s="430">
        <v>12470.7</v>
      </c>
      <c r="I86" s="430">
        <v>333535.90000000002</v>
      </c>
      <c r="J86" s="270">
        <f t="shared" si="4"/>
        <v>346006.60000000003</v>
      </c>
      <c r="K86" s="430">
        <v>78027</v>
      </c>
      <c r="L86" s="270">
        <f t="shared" si="5"/>
        <v>540560.60000000009</v>
      </c>
      <c r="M86" s="486"/>
      <c r="N86" s="155"/>
      <c r="O86" s="155"/>
      <c r="P86" s="159"/>
      <c r="Q86" s="159"/>
    </row>
    <row r="87" spans="1:17" s="446" customFormat="1" ht="12.6" customHeight="1" x14ac:dyDescent="0.25">
      <c r="A87" s="236" t="s">
        <v>804</v>
      </c>
      <c r="B87" s="372" t="s">
        <v>555</v>
      </c>
      <c r="C87" s="434">
        <v>98822.399999999994</v>
      </c>
      <c r="D87" s="429">
        <v>4.3</v>
      </c>
      <c r="E87" s="429">
        <v>6405</v>
      </c>
      <c r="F87" s="429">
        <v>11217.7</v>
      </c>
      <c r="G87" s="214">
        <f t="shared" si="2"/>
        <v>17622.7</v>
      </c>
      <c r="H87" s="429">
        <v>13010</v>
      </c>
      <c r="I87" s="429">
        <v>335585.2</v>
      </c>
      <c r="J87" s="214">
        <f t="shared" si="4"/>
        <v>348595.20000000001</v>
      </c>
      <c r="K87" s="429">
        <v>78014.899999999994</v>
      </c>
      <c r="L87" s="214">
        <f t="shared" si="5"/>
        <v>543059.5</v>
      </c>
      <c r="M87" s="486"/>
      <c r="N87" s="155"/>
      <c r="O87" s="155"/>
      <c r="P87" s="159"/>
      <c r="Q87" s="159"/>
    </row>
    <row r="88" spans="1:17" s="446" customFormat="1" ht="12.6" customHeight="1" x14ac:dyDescent="0.25">
      <c r="A88" s="236" t="s">
        <v>804</v>
      </c>
      <c r="B88" s="1913" t="s">
        <v>548</v>
      </c>
      <c r="C88" s="430">
        <v>97192.8</v>
      </c>
      <c r="D88" s="430">
        <v>4</v>
      </c>
      <c r="E88" s="430">
        <v>7497.4</v>
      </c>
      <c r="F88" s="430">
        <v>10968.8</v>
      </c>
      <c r="G88" s="270">
        <f t="shared" si="2"/>
        <v>18466.199999999997</v>
      </c>
      <c r="H88" s="430">
        <v>14025.5</v>
      </c>
      <c r="I88" s="430">
        <v>342054.6</v>
      </c>
      <c r="J88" s="270">
        <f t="shared" si="4"/>
        <v>356080.1</v>
      </c>
      <c r="K88" s="430">
        <v>79868.899999999994</v>
      </c>
      <c r="L88" s="270">
        <f t="shared" si="5"/>
        <v>551612</v>
      </c>
      <c r="M88" s="486"/>
      <c r="N88" s="155"/>
      <c r="O88" s="155"/>
      <c r="P88" s="159"/>
      <c r="Q88" s="159"/>
    </row>
    <row r="89" spans="1:17" s="446" customFormat="1" ht="12.6" customHeight="1" x14ac:dyDescent="0.25">
      <c r="A89" s="236" t="s">
        <v>804</v>
      </c>
      <c r="B89" s="372" t="s">
        <v>556</v>
      </c>
      <c r="C89" s="433">
        <v>98288.9</v>
      </c>
      <c r="D89" s="433">
        <v>3.7</v>
      </c>
      <c r="E89" s="433">
        <v>8611.5</v>
      </c>
      <c r="F89" s="433">
        <v>11169.9</v>
      </c>
      <c r="G89" s="214">
        <f t="shared" si="2"/>
        <v>19781.400000000001</v>
      </c>
      <c r="H89" s="433">
        <v>13235.8</v>
      </c>
      <c r="I89" s="433">
        <v>339760.7</v>
      </c>
      <c r="J89" s="214">
        <f t="shared" si="4"/>
        <v>352996.5</v>
      </c>
      <c r="K89" s="433">
        <v>79498.600000000006</v>
      </c>
      <c r="L89" s="214">
        <f t="shared" si="5"/>
        <v>550569.1</v>
      </c>
      <c r="M89" s="486"/>
      <c r="N89" s="155"/>
      <c r="O89" s="155"/>
      <c r="P89" s="159"/>
      <c r="Q89" s="159"/>
    </row>
    <row r="90" spans="1:17" s="446" customFormat="1" ht="12.6" customHeight="1" x14ac:dyDescent="0.25">
      <c r="A90" s="236" t="s">
        <v>804</v>
      </c>
      <c r="B90" s="1913" t="s">
        <v>557</v>
      </c>
      <c r="C90" s="428">
        <v>97356</v>
      </c>
      <c r="D90" s="428">
        <v>3.5</v>
      </c>
      <c r="E90" s="428">
        <v>10268.299999999999</v>
      </c>
      <c r="F90" s="428">
        <v>12299.7</v>
      </c>
      <c r="G90" s="270">
        <f t="shared" si="2"/>
        <v>22568</v>
      </c>
      <c r="H90" s="428">
        <v>13542.9</v>
      </c>
      <c r="I90" s="428">
        <v>340142.7</v>
      </c>
      <c r="J90" s="270">
        <f t="shared" si="4"/>
        <v>353685.60000000003</v>
      </c>
      <c r="K90" s="428">
        <v>81186.2</v>
      </c>
      <c r="L90" s="270">
        <f t="shared" si="5"/>
        <v>554799.30000000005</v>
      </c>
      <c r="M90" s="486"/>
      <c r="N90" s="155"/>
      <c r="O90" s="155"/>
      <c r="P90" s="159"/>
      <c r="Q90" s="159"/>
    </row>
    <row r="91" spans="1:17" s="446" customFormat="1" ht="12.6" customHeight="1" x14ac:dyDescent="0.25">
      <c r="A91" s="236" t="s">
        <v>804</v>
      </c>
      <c r="B91" s="372" t="s">
        <v>549</v>
      </c>
      <c r="C91" s="433">
        <v>98182</v>
      </c>
      <c r="D91" s="433">
        <v>3.1</v>
      </c>
      <c r="E91" s="433">
        <v>11671.9</v>
      </c>
      <c r="F91" s="433">
        <v>12242.4</v>
      </c>
      <c r="G91" s="214">
        <f t="shared" si="2"/>
        <v>23914.3</v>
      </c>
      <c r="H91" s="433">
        <v>13441.6</v>
      </c>
      <c r="I91" s="433">
        <v>343721.2</v>
      </c>
      <c r="J91" s="214">
        <f t="shared" si="4"/>
        <v>357162.8</v>
      </c>
      <c r="K91" s="433">
        <v>80390.399999999994</v>
      </c>
      <c r="L91" s="214">
        <f t="shared" si="5"/>
        <v>559652.6</v>
      </c>
      <c r="M91" s="486"/>
      <c r="N91" s="155"/>
      <c r="O91" s="155"/>
      <c r="P91" s="159"/>
      <c r="Q91" s="159"/>
    </row>
    <row r="92" spans="1:17" s="446" customFormat="1" ht="12.6" customHeight="1" x14ac:dyDescent="0.25">
      <c r="A92" s="236" t="s">
        <v>804</v>
      </c>
      <c r="B92" s="1913" t="s">
        <v>558</v>
      </c>
      <c r="C92" s="428">
        <v>100885.2</v>
      </c>
      <c r="D92" s="428">
        <v>2.8</v>
      </c>
      <c r="E92" s="428">
        <v>13111.2</v>
      </c>
      <c r="F92" s="428">
        <v>12779.2</v>
      </c>
      <c r="G92" s="270">
        <f t="shared" si="2"/>
        <v>25890.400000000001</v>
      </c>
      <c r="H92" s="428">
        <v>13350.1</v>
      </c>
      <c r="I92" s="428">
        <v>345953.2</v>
      </c>
      <c r="J92" s="270">
        <f t="shared" si="4"/>
        <v>359303.3</v>
      </c>
      <c r="K92" s="428">
        <v>81485.600000000006</v>
      </c>
      <c r="L92" s="270">
        <f t="shared" si="5"/>
        <v>567567.29999999993</v>
      </c>
      <c r="M92" s="486"/>
      <c r="N92" s="155"/>
      <c r="O92" s="155"/>
      <c r="P92" s="159"/>
      <c r="Q92" s="159"/>
    </row>
    <row r="93" spans="1:17" s="446" customFormat="1" ht="12.6" customHeight="1" x14ac:dyDescent="0.25">
      <c r="A93" s="236" t="s">
        <v>804</v>
      </c>
      <c r="B93" s="372" t="s">
        <v>559</v>
      </c>
      <c r="C93" s="433">
        <v>102605</v>
      </c>
      <c r="D93" s="433">
        <v>2.8</v>
      </c>
      <c r="E93" s="433">
        <v>14186.7</v>
      </c>
      <c r="F93" s="433">
        <v>13694.1</v>
      </c>
      <c r="G93" s="214">
        <f t="shared" si="2"/>
        <v>27880.800000000003</v>
      </c>
      <c r="H93" s="433">
        <v>13212.3</v>
      </c>
      <c r="I93" s="433">
        <v>349714.5</v>
      </c>
      <c r="J93" s="214">
        <f t="shared" si="4"/>
        <v>362926.8</v>
      </c>
      <c r="K93" s="433">
        <v>80744.7</v>
      </c>
      <c r="L93" s="214">
        <f t="shared" si="5"/>
        <v>574160.1</v>
      </c>
      <c r="M93" s="486"/>
      <c r="N93" s="155"/>
      <c r="O93" s="155"/>
      <c r="P93" s="159"/>
      <c r="Q93" s="159"/>
    </row>
    <row r="94" spans="1:17" s="446" customFormat="1" ht="12.6" customHeight="1" x14ac:dyDescent="0.25">
      <c r="A94" s="236" t="s">
        <v>804</v>
      </c>
      <c r="B94" s="1913" t="s">
        <v>550</v>
      </c>
      <c r="C94" s="428">
        <v>110124.7</v>
      </c>
      <c r="D94" s="428">
        <v>2.2999999999999998</v>
      </c>
      <c r="E94" s="1921">
        <v>3509.2</v>
      </c>
      <c r="F94" s="1921">
        <v>14227.8</v>
      </c>
      <c r="G94" s="270">
        <f>E94+F94</f>
        <v>17737</v>
      </c>
      <c r="H94" s="1921">
        <v>5943.6</v>
      </c>
      <c r="I94" s="428">
        <v>354128.7</v>
      </c>
      <c r="J94" s="270">
        <f t="shared" si="4"/>
        <v>360072.3</v>
      </c>
      <c r="K94" s="428">
        <v>83800.7</v>
      </c>
      <c r="L94" s="270">
        <f t="shared" si="5"/>
        <v>571737</v>
      </c>
      <c r="M94" s="486"/>
      <c r="N94" s="155"/>
      <c r="O94" s="155"/>
      <c r="P94" s="159"/>
      <c r="Q94" s="159"/>
    </row>
    <row r="95" spans="1:17" s="446" customFormat="1" ht="12.6" customHeight="1" x14ac:dyDescent="0.25">
      <c r="A95" s="160" t="s">
        <v>978</v>
      </c>
      <c r="B95" s="372" t="s">
        <v>552</v>
      </c>
      <c r="C95" s="433">
        <v>114706.6</v>
      </c>
      <c r="D95" s="433">
        <v>2.0653458781566885</v>
      </c>
      <c r="E95" s="433">
        <v>3718.6278440204405</v>
      </c>
      <c r="F95" s="433">
        <v>14350.110454642867</v>
      </c>
      <c r="G95" s="469">
        <f t="shared" ref="G95:G108" si="6">E95+F95</f>
        <v>18068.738298663309</v>
      </c>
      <c r="H95" s="433">
        <v>6659.1068101014025</v>
      </c>
      <c r="I95" s="433">
        <v>357826.99876208697</v>
      </c>
      <c r="J95" s="469">
        <f t="shared" ref="J95:J108" si="7">H95+I95</f>
        <v>364486.10557218839</v>
      </c>
      <c r="K95" s="433">
        <v>84299.6</v>
      </c>
      <c r="L95" s="469">
        <f t="shared" ref="L95:L118" si="8">C95+D95+G95+J95+K95</f>
        <v>581563.10921672988</v>
      </c>
      <c r="M95" s="486"/>
      <c r="N95" s="155"/>
      <c r="O95" s="155"/>
      <c r="P95" s="159"/>
      <c r="Q95" s="159"/>
    </row>
    <row r="96" spans="1:17" s="446" customFormat="1" ht="12.6" customHeight="1" x14ac:dyDescent="0.25">
      <c r="A96" s="160" t="s">
        <v>978</v>
      </c>
      <c r="B96" s="1691" t="s">
        <v>553</v>
      </c>
      <c r="C96" s="433">
        <v>110299.1</v>
      </c>
      <c r="D96" s="433">
        <v>1.8631418085833036</v>
      </c>
      <c r="E96" s="433">
        <v>3713.9194808803268</v>
      </c>
      <c r="F96" s="433">
        <v>14979.434403163112</v>
      </c>
      <c r="G96" s="469">
        <f t="shared" si="6"/>
        <v>18693.353884043438</v>
      </c>
      <c r="H96" s="433">
        <v>6571.6173773110904</v>
      </c>
      <c r="I96" s="433">
        <v>361036.6754893008</v>
      </c>
      <c r="J96" s="469">
        <f t="shared" si="7"/>
        <v>367608.29286661191</v>
      </c>
      <c r="K96" s="433">
        <v>84603.3</v>
      </c>
      <c r="L96" s="469">
        <f t="shared" si="8"/>
        <v>581205.90989246394</v>
      </c>
      <c r="M96" s="486"/>
      <c r="N96" s="155"/>
      <c r="O96" s="155"/>
      <c r="P96" s="159"/>
      <c r="Q96" s="159"/>
    </row>
    <row r="97" spans="1:17" s="446" customFormat="1" ht="12.6" customHeight="1" x14ac:dyDescent="0.25">
      <c r="A97" s="160" t="s">
        <v>978</v>
      </c>
      <c r="B97" s="372" t="s">
        <v>547</v>
      </c>
      <c r="C97" s="433">
        <v>109925.7</v>
      </c>
      <c r="D97" s="433">
        <v>1.756276730689357</v>
      </c>
      <c r="E97" s="433">
        <v>3921.6277797110561</v>
      </c>
      <c r="F97" s="433">
        <v>14992.56795135985</v>
      </c>
      <c r="G97" s="469">
        <f t="shared" si="6"/>
        <v>18914.195731070904</v>
      </c>
      <c r="H97" s="433">
        <v>6629.1159435582549</v>
      </c>
      <c r="I97" s="433">
        <v>365051.70996073459</v>
      </c>
      <c r="J97" s="469">
        <f t="shared" si="7"/>
        <v>371680.82590429287</v>
      </c>
      <c r="K97" s="433">
        <v>85745.9</v>
      </c>
      <c r="L97" s="469">
        <f t="shared" si="8"/>
        <v>586268.37791209447</v>
      </c>
      <c r="M97" s="486"/>
      <c r="N97" s="155"/>
      <c r="O97" s="155"/>
      <c r="P97" s="159"/>
      <c r="Q97" s="159"/>
    </row>
    <row r="98" spans="1:17" s="446" customFormat="1" ht="12.6" customHeight="1" x14ac:dyDescent="0.25">
      <c r="A98" s="160" t="s">
        <v>978</v>
      </c>
      <c r="B98" s="1691" t="s">
        <v>554</v>
      </c>
      <c r="C98" s="433">
        <v>114561.5</v>
      </c>
      <c r="D98" s="433">
        <v>1.2429229412341163</v>
      </c>
      <c r="E98" s="433">
        <v>4027.9121255675691</v>
      </c>
      <c r="F98" s="433">
        <v>15849.388898370215</v>
      </c>
      <c r="G98" s="469">
        <f t="shared" si="6"/>
        <v>19877.301023937784</v>
      </c>
      <c r="H98" s="433">
        <v>6835.9449514911967</v>
      </c>
      <c r="I98" s="433">
        <v>366494.08698244859</v>
      </c>
      <c r="J98" s="469">
        <f t="shared" si="7"/>
        <v>373330.03193393978</v>
      </c>
      <c r="K98" s="433">
        <v>86122.9</v>
      </c>
      <c r="L98" s="469">
        <f t="shared" si="8"/>
        <v>593892.97588081879</v>
      </c>
      <c r="M98" s="486"/>
      <c r="N98" s="155"/>
      <c r="O98" s="155"/>
      <c r="P98" s="159"/>
      <c r="Q98" s="159"/>
    </row>
    <row r="99" spans="1:17" s="446" customFormat="1" ht="12.6" customHeight="1" x14ac:dyDescent="0.25">
      <c r="A99" s="160" t="s">
        <v>978</v>
      </c>
      <c r="B99" s="372" t="s">
        <v>555</v>
      </c>
      <c r="C99" s="433">
        <v>113931.59999999999</v>
      </c>
      <c r="D99" s="433">
        <v>0.9344170250349606</v>
      </c>
      <c r="E99" s="433">
        <v>4401.5541968519665</v>
      </c>
      <c r="F99" s="433">
        <v>15805.403076641305</v>
      </c>
      <c r="G99" s="469">
        <f t="shared" si="6"/>
        <v>20206.957273493274</v>
      </c>
      <c r="H99" s="433">
        <v>6826.911386122998</v>
      </c>
      <c r="I99" s="433">
        <v>369074.66967635462</v>
      </c>
      <c r="J99" s="469">
        <f t="shared" si="7"/>
        <v>375901.58106247761</v>
      </c>
      <c r="K99" s="433">
        <v>86439.027247004036</v>
      </c>
      <c r="L99" s="469">
        <f t="shared" si="8"/>
        <v>596480.09999999986</v>
      </c>
      <c r="M99" s="486"/>
      <c r="N99" s="155"/>
      <c r="O99" s="155"/>
      <c r="P99" s="159"/>
      <c r="Q99" s="159"/>
    </row>
    <row r="100" spans="1:17" s="446" customFormat="1" ht="12.6" customHeight="1" x14ac:dyDescent="0.25">
      <c r="A100" s="160" t="s">
        <v>978</v>
      </c>
      <c r="B100" s="1691" t="s">
        <v>548</v>
      </c>
      <c r="C100" s="433">
        <v>114845.1</v>
      </c>
      <c r="D100" s="1914">
        <v>0.92890284073312879</v>
      </c>
      <c r="E100" s="1914">
        <v>4596.1550390870616</v>
      </c>
      <c r="F100" s="433">
        <v>16279.864796820082</v>
      </c>
      <c r="G100" s="51">
        <f t="shared" si="6"/>
        <v>20876.019835907144</v>
      </c>
      <c r="H100" s="1914">
        <v>7760.6160580722053</v>
      </c>
      <c r="I100" s="1914">
        <v>373970.32187242113</v>
      </c>
      <c r="J100" s="51">
        <f t="shared" si="7"/>
        <v>381730.93793049332</v>
      </c>
      <c r="K100" s="433">
        <v>88516.4</v>
      </c>
      <c r="L100" s="51">
        <f t="shared" si="8"/>
        <v>605969.38666924124</v>
      </c>
      <c r="M100" s="486"/>
      <c r="N100" s="155"/>
      <c r="O100" s="155"/>
      <c r="P100" s="159"/>
      <c r="Q100" s="159"/>
    </row>
    <row r="101" spans="1:17" s="446" customFormat="1" ht="12.6" customHeight="1" x14ac:dyDescent="0.25">
      <c r="A101" s="160" t="s">
        <v>978</v>
      </c>
      <c r="B101" s="372" t="s">
        <v>556</v>
      </c>
      <c r="C101" s="428">
        <v>114939.7</v>
      </c>
      <c r="D101" s="430">
        <v>0.4</v>
      </c>
      <c r="E101" s="430">
        <v>4767.3</v>
      </c>
      <c r="F101" s="428">
        <v>16861.2</v>
      </c>
      <c r="G101" s="274">
        <f t="shared" si="6"/>
        <v>21628.5</v>
      </c>
      <c r="H101" s="430">
        <v>7627.8</v>
      </c>
      <c r="I101" s="430">
        <v>372999.1</v>
      </c>
      <c r="J101" s="274">
        <f t="shared" si="7"/>
        <v>380626.89999999997</v>
      </c>
      <c r="K101" s="428">
        <v>88268.5</v>
      </c>
      <c r="L101" s="274">
        <f t="shared" si="8"/>
        <v>605464</v>
      </c>
      <c r="M101" s="486"/>
      <c r="N101" s="155"/>
      <c r="O101" s="155"/>
      <c r="P101" s="159"/>
      <c r="Q101" s="159"/>
    </row>
    <row r="102" spans="1:17" s="446" customFormat="1" ht="12.6" customHeight="1" x14ac:dyDescent="0.25">
      <c r="A102" s="160" t="s">
        <v>978</v>
      </c>
      <c r="B102" s="1691" t="s">
        <v>557</v>
      </c>
      <c r="C102" s="429">
        <v>116020.59999999999</v>
      </c>
      <c r="D102" s="429">
        <v>0.2</v>
      </c>
      <c r="E102" s="433">
        <v>4786.1000000000004</v>
      </c>
      <c r="F102" s="51">
        <v>17188.2</v>
      </c>
      <c r="G102" s="51">
        <f t="shared" si="6"/>
        <v>21974.300000000003</v>
      </c>
      <c r="H102" s="429">
        <v>7828.5</v>
      </c>
      <c r="I102" s="429">
        <v>373648</v>
      </c>
      <c r="J102" s="51">
        <f t="shared" si="7"/>
        <v>381476.5</v>
      </c>
      <c r="K102" s="433">
        <v>89337.7</v>
      </c>
      <c r="L102" s="51">
        <f t="shared" si="8"/>
        <v>608809.29999999993</v>
      </c>
      <c r="M102" s="486"/>
      <c r="N102" s="155"/>
      <c r="O102" s="155"/>
      <c r="P102" s="159"/>
      <c r="Q102" s="159"/>
    </row>
    <row r="103" spans="1:17" s="446" customFormat="1" ht="12.6" customHeight="1" x14ac:dyDescent="0.25">
      <c r="A103" s="160" t="s">
        <v>978</v>
      </c>
      <c r="B103" s="372" t="s">
        <v>549</v>
      </c>
      <c r="C103" s="428">
        <v>114044.6</v>
      </c>
      <c r="D103" s="428">
        <v>0</v>
      </c>
      <c r="E103" s="428">
        <v>4890.3999999999996</v>
      </c>
      <c r="F103" s="428">
        <v>17297.099999999999</v>
      </c>
      <c r="G103" s="51">
        <f t="shared" si="6"/>
        <v>22187.5</v>
      </c>
      <c r="H103" s="428">
        <v>8401.4</v>
      </c>
      <c r="I103" s="428">
        <v>377532.8</v>
      </c>
      <c r="J103" s="51">
        <f t="shared" si="7"/>
        <v>385934.2</v>
      </c>
      <c r="K103" s="428">
        <v>91548.5</v>
      </c>
      <c r="L103" s="51">
        <f t="shared" si="8"/>
        <v>613714.80000000005</v>
      </c>
      <c r="M103" s="486"/>
      <c r="N103" s="155"/>
      <c r="O103" s="155"/>
      <c r="P103" s="159"/>
      <c r="Q103" s="159"/>
    </row>
    <row r="104" spans="1:17" s="446" customFormat="1" ht="12.6" customHeight="1" x14ac:dyDescent="0.25">
      <c r="A104" s="160" t="s">
        <v>978</v>
      </c>
      <c r="B104" s="1691" t="s">
        <v>558</v>
      </c>
      <c r="C104" s="433">
        <v>113154.2</v>
      </c>
      <c r="D104" s="433">
        <v>0</v>
      </c>
      <c r="E104" s="433">
        <v>5010.8</v>
      </c>
      <c r="F104" s="433">
        <v>17841.7</v>
      </c>
      <c r="G104" s="433">
        <f t="shared" si="6"/>
        <v>22852.5</v>
      </c>
      <c r="H104" s="433">
        <v>8173.3</v>
      </c>
      <c r="I104" s="433">
        <v>383104.7</v>
      </c>
      <c r="J104" s="433">
        <f t="shared" si="7"/>
        <v>391278</v>
      </c>
      <c r="K104" s="433">
        <v>91463.4</v>
      </c>
      <c r="L104" s="433">
        <f t="shared" si="8"/>
        <v>618748.1</v>
      </c>
      <c r="M104" s="486"/>
      <c r="N104" s="155"/>
      <c r="O104" s="155"/>
      <c r="P104" s="159"/>
      <c r="Q104" s="159"/>
    </row>
    <row r="105" spans="1:17" s="446" customFormat="1" ht="12.6" customHeight="1" x14ac:dyDescent="0.25">
      <c r="A105" s="160" t="s">
        <v>978</v>
      </c>
      <c r="B105" s="372" t="s">
        <v>559</v>
      </c>
      <c r="C105" s="428">
        <v>111954.4</v>
      </c>
      <c r="D105" s="428">
        <v>0</v>
      </c>
      <c r="E105" s="428">
        <v>5180.5</v>
      </c>
      <c r="F105" s="428">
        <v>17083.5</v>
      </c>
      <c r="G105" s="428">
        <f t="shared" si="6"/>
        <v>22264</v>
      </c>
      <c r="H105" s="428">
        <v>8725.9</v>
      </c>
      <c r="I105" s="428">
        <v>385255.6</v>
      </c>
      <c r="J105" s="428">
        <f t="shared" si="7"/>
        <v>393981.5</v>
      </c>
      <c r="K105" s="428">
        <v>92381.4</v>
      </c>
      <c r="L105" s="428">
        <f t="shared" si="8"/>
        <v>620581.30000000005</v>
      </c>
      <c r="M105" s="486"/>
      <c r="N105" s="155"/>
      <c r="O105" s="155"/>
      <c r="P105" s="159"/>
      <c r="Q105" s="159"/>
    </row>
    <row r="106" spans="1:17" s="446" customFormat="1" ht="12.6" customHeight="1" x14ac:dyDescent="0.25">
      <c r="A106" s="160" t="s">
        <v>978</v>
      </c>
      <c r="B106" s="1691" t="s">
        <v>550</v>
      </c>
      <c r="C106" s="433">
        <v>117529.4</v>
      </c>
      <c r="D106" s="433">
        <v>0</v>
      </c>
      <c r="E106" s="433">
        <v>5279.8</v>
      </c>
      <c r="F106" s="433">
        <v>17064.3</v>
      </c>
      <c r="G106" s="433">
        <f t="shared" si="6"/>
        <v>22344.1</v>
      </c>
      <c r="H106" s="433">
        <v>7457.2</v>
      </c>
      <c r="I106" s="433">
        <v>396366.5</v>
      </c>
      <c r="J106" s="433">
        <f t="shared" si="7"/>
        <v>403823.7</v>
      </c>
      <c r="K106" s="433">
        <v>94209.1</v>
      </c>
      <c r="L106" s="433">
        <f t="shared" si="8"/>
        <v>637906.29999999993</v>
      </c>
      <c r="M106" s="486"/>
      <c r="N106" s="155"/>
      <c r="O106" s="155"/>
      <c r="P106" s="159"/>
      <c r="Q106" s="159"/>
    </row>
    <row r="107" spans="1:17" s="446" customFormat="1" ht="12.6" customHeight="1" x14ac:dyDescent="0.25">
      <c r="A107" s="160" t="s">
        <v>1029</v>
      </c>
      <c r="B107" s="372" t="s">
        <v>552</v>
      </c>
      <c r="C107" s="433">
        <v>124686.9</v>
      </c>
      <c r="D107" s="433">
        <v>0</v>
      </c>
      <c r="E107" s="433">
        <v>5293.5</v>
      </c>
      <c r="F107" s="433">
        <v>17694.7</v>
      </c>
      <c r="G107" s="433">
        <f t="shared" si="6"/>
        <v>22988.2</v>
      </c>
      <c r="H107" s="433">
        <v>7970.3</v>
      </c>
      <c r="I107" s="433">
        <v>395282.6</v>
      </c>
      <c r="J107" s="433">
        <f t="shared" si="7"/>
        <v>403252.89999999997</v>
      </c>
      <c r="K107" s="433">
        <v>94860.9</v>
      </c>
      <c r="L107" s="433">
        <f t="shared" si="8"/>
        <v>645788.9</v>
      </c>
      <c r="M107" s="486"/>
      <c r="N107" s="155"/>
      <c r="O107" s="155"/>
      <c r="P107" s="159"/>
      <c r="Q107" s="159"/>
    </row>
    <row r="108" spans="1:17" s="446" customFormat="1" ht="12.6" customHeight="1" x14ac:dyDescent="0.25">
      <c r="A108" s="160" t="s">
        <v>1029</v>
      </c>
      <c r="B108" s="1691" t="s">
        <v>553</v>
      </c>
      <c r="C108" s="428">
        <v>119492.1</v>
      </c>
      <c r="D108" s="428">
        <v>0</v>
      </c>
      <c r="E108" s="428">
        <v>5587</v>
      </c>
      <c r="F108" s="428">
        <v>17957.099999999999</v>
      </c>
      <c r="G108" s="428">
        <f t="shared" si="6"/>
        <v>23544.1</v>
      </c>
      <c r="H108" s="428">
        <v>9062.7999999999993</v>
      </c>
      <c r="I108" s="428">
        <v>398218.1</v>
      </c>
      <c r="J108" s="428">
        <f t="shared" si="7"/>
        <v>407280.89999999997</v>
      </c>
      <c r="K108" s="428">
        <v>96907.8</v>
      </c>
      <c r="L108" s="428">
        <f t="shared" si="8"/>
        <v>647224.9</v>
      </c>
      <c r="M108" s="486"/>
      <c r="N108" s="155"/>
      <c r="O108" s="155"/>
      <c r="P108" s="159"/>
      <c r="Q108" s="159"/>
    </row>
    <row r="109" spans="1:17" s="446" customFormat="1" ht="12.6" customHeight="1" x14ac:dyDescent="0.25">
      <c r="A109" s="160" t="s">
        <v>1029</v>
      </c>
      <c r="B109" s="372" t="s">
        <v>547</v>
      </c>
      <c r="C109" s="433">
        <v>121242.7</v>
      </c>
      <c r="D109" s="433">
        <v>0</v>
      </c>
      <c r="E109" s="433">
        <v>5422.2</v>
      </c>
      <c r="F109" s="433">
        <v>19539.400000000001</v>
      </c>
      <c r="G109" s="433">
        <v>24961.7</v>
      </c>
      <c r="H109" s="433">
        <v>9154.6</v>
      </c>
      <c r="I109" s="433">
        <v>405494.1</v>
      </c>
      <c r="J109" s="433">
        <v>414648.7</v>
      </c>
      <c r="K109" s="433">
        <v>97365.5</v>
      </c>
      <c r="L109" s="433">
        <f t="shared" si="8"/>
        <v>658218.6</v>
      </c>
      <c r="M109" s="486"/>
      <c r="N109" s="155"/>
      <c r="O109" s="155"/>
      <c r="P109" s="159"/>
      <c r="Q109" s="159"/>
    </row>
    <row r="110" spans="1:17" s="446" customFormat="1" ht="12.6" customHeight="1" x14ac:dyDescent="0.25">
      <c r="A110" s="160" t="s">
        <v>1029</v>
      </c>
      <c r="B110" s="1691" t="s">
        <v>554</v>
      </c>
      <c r="C110" s="428">
        <v>117636.6</v>
      </c>
      <c r="D110" s="428">
        <v>0</v>
      </c>
      <c r="E110" s="428">
        <v>5181.8999999999996</v>
      </c>
      <c r="F110" s="428">
        <v>19877.7</v>
      </c>
      <c r="G110" s="428">
        <f t="shared" ref="G110:G117" si="9">E110+F110</f>
        <v>25059.599999999999</v>
      </c>
      <c r="H110" s="428">
        <v>9287.5</v>
      </c>
      <c r="I110" s="428">
        <v>406704.9</v>
      </c>
      <c r="J110" s="428">
        <f t="shared" ref="J110:J117" si="10">H110+I110</f>
        <v>415992.4</v>
      </c>
      <c r="K110" s="428">
        <v>98650.6</v>
      </c>
      <c r="L110" s="428">
        <f t="shared" si="8"/>
        <v>657339.20000000007</v>
      </c>
      <c r="M110" s="486"/>
      <c r="N110" s="155"/>
      <c r="O110" s="155"/>
      <c r="P110" s="159"/>
      <c r="Q110" s="159"/>
    </row>
    <row r="111" spans="1:17" s="446" customFormat="1" ht="12.6" customHeight="1" x14ac:dyDescent="0.25">
      <c r="A111" s="160" t="s">
        <v>1029</v>
      </c>
      <c r="B111" s="372" t="s">
        <v>555</v>
      </c>
      <c r="C111" s="433">
        <v>114690.2</v>
      </c>
      <c r="D111" s="433">
        <v>0</v>
      </c>
      <c r="E111" s="433">
        <v>5227.5</v>
      </c>
      <c r="F111" s="433">
        <v>19945.5</v>
      </c>
      <c r="G111" s="433">
        <f t="shared" si="9"/>
        <v>25173</v>
      </c>
      <c r="H111" s="433">
        <v>11070.3</v>
      </c>
      <c r="I111" s="433">
        <v>411955</v>
      </c>
      <c r="J111" s="433">
        <f t="shared" si="10"/>
        <v>423025.3</v>
      </c>
      <c r="K111" s="433">
        <v>99150.6</v>
      </c>
      <c r="L111" s="433">
        <f t="shared" si="8"/>
        <v>662039.1</v>
      </c>
      <c r="M111" s="486"/>
      <c r="N111" s="155"/>
      <c r="O111" s="155"/>
      <c r="P111" s="159"/>
      <c r="Q111" s="159"/>
    </row>
    <row r="112" spans="1:17" s="446" customFormat="1" ht="12.6" customHeight="1" x14ac:dyDescent="0.25">
      <c r="A112" s="160" t="s">
        <v>1029</v>
      </c>
      <c r="B112" s="1691" t="s">
        <v>548</v>
      </c>
      <c r="C112" s="428">
        <v>112090.6</v>
      </c>
      <c r="D112" s="428">
        <v>0</v>
      </c>
      <c r="E112" s="428">
        <v>5782.5</v>
      </c>
      <c r="F112" s="428">
        <v>19534.099999999999</v>
      </c>
      <c r="G112" s="428">
        <f t="shared" si="9"/>
        <v>25316.6</v>
      </c>
      <c r="H112" s="428">
        <v>12454.3</v>
      </c>
      <c r="I112" s="428">
        <v>422384.6</v>
      </c>
      <c r="J112" s="428">
        <f t="shared" si="10"/>
        <v>434838.89999999997</v>
      </c>
      <c r="K112" s="428">
        <v>101488.5</v>
      </c>
      <c r="L112" s="428">
        <f t="shared" si="8"/>
        <v>673734.6</v>
      </c>
      <c r="M112" s="486"/>
      <c r="N112" s="155"/>
      <c r="O112" s="155"/>
      <c r="P112" s="159"/>
      <c r="Q112" s="159"/>
    </row>
    <row r="113" spans="1:17" s="446" customFormat="1" ht="12.6" customHeight="1" x14ac:dyDescent="0.25">
      <c r="A113" s="160" t="s">
        <v>1029</v>
      </c>
      <c r="B113" s="372" t="s">
        <v>556</v>
      </c>
      <c r="C113" s="433">
        <v>111214.2</v>
      </c>
      <c r="D113" s="433">
        <v>0</v>
      </c>
      <c r="E113" s="433">
        <v>5799.1</v>
      </c>
      <c r="F113" s="433">
        <v>20108.2</v>
      </c>
      <c r="G113" s="433">
        <f t="shared" si="9"/>
        <v>25907.300000000003</v>
      </c>
      <c r="H113" s="433">
        <v>12095.7</v>
      </c>
      <c r="I113" s="433">
        <v>420984.6</v>
      </c>
      <c r="J113" s="433">
        <f t="shared" si="10"/>
        <v>433080.3</v>
      </c>
      <c r="K113" s="433">
        <v>100789.1</v>
      </c>
      <c r="L113" s="433">
        <f t="shared" si="8"/>
        <v>670990.9</v>
      </c>
      <c r="M113" s="486"/>
      <c r="N113" s="155"/>
      <c r="O113" s="155"/>
      <c r="P113" s="159"/>
      <c r="Q113" s="159"/>
    </row>
    <row r="114" spans="1:17" s="446" customFormat="1" ht="12.6" customHeight="1" x14ac:dyDescent="0.25">
      <c r="A114" s="160" t="s">
        <v>1029</v>
      </c>
      <c r="B114" s="1691" t="s">
        <v>557</v>
      </c>
      <c r="C114" s="428">
        <v>110701.5</v>
      </c>
      <c r="D114" s="428">
        <v>0</v>
      </c>
      <c r="E114" s="428">
        <v>5259</v>
      </c>
      <c r="F114" s="428">
        <v>20719.3</v>
      </c>
      <c r="G114" s="428">
        <f t="shared" si="9"/>
        <v>25978.3</v>
      </c>
      <c r="H114" s="428">
        <v>12081.3</v>
      </c>
      <c r="I114" s="428">
        <v>423109.4</v>
      </c>
      <c r="J114" s="428">
        <f t="shared" si="10"/>
        <v>435190.7</v>
      </c>
      <c r="K114" s="428">
        <v>101705.8</v>
      </c>
      <c r="L114" s="428">
        <f t="shared" si="8"/>
        <v>673576.3</v>
      </c>
      <c r="M114" s="486"/>
      <c r="N114" s="155"/>
      <c r="O114" s="155"/>
      <c r="P114" s="159"/>
      <c r="Q114" s="159"/>
    </row>
    <row r="115" spans="1:17" s="446" customFormat="1" ht="12.6" customHeight="1" x14ac:dyDescent="0.25">
      <c r="A115" s="160" t="s">
        <v>1029</v>
      </c>
      <c r="B115" s="372" t="s">
        <v>549</v>
      </c>
      <c r="C115" s="433">
        <v>105648.8</v>
      </c>
      <c r="D115" s="433">
        <v>0</v>
      </c>
      <c r="E115" s="433">
        <v>5165.7</v>
      </c>
      <c r="F115" s="433">
        <v>20366.3</v>
      </c>
      <c r="G115" s="433">
        <f t="shared" si="9"/>
        <v>25532</v>
      </c>
      <c r="H115" s="433">
        <v>12752.6</v>
      </c>
      <c r="I115" s="433">
        <v>429566.8</v>
      </c>
      <c r="J115" s="433">
        <f t="shared" si="10"/>
        <v>442319.39999999997</v>
      </c>
      <c r="K115" s="433">
        <v>102735</v>
      </c>
      <c r="L115" s="433">
        <f t="shared" si="8"/>
        <v>676235.2</v>
      </c>
      <c r="M115" s="486"/>
      <c r="N115" s="155"/>
      <c r="O115" s="155"/>
      <c r="P115" s="159"/>
      <c r="Q115" s="159"/>
    </row>
    <row r="116" spans="1:17" s="446" customFormat="1" ht="12.6" customHeight="1" x14ac:dyDescent="0.25">
      <c r="A116" s="160" t="s">
        <v>1029</v>
      </c>
      <c r="B116" s="1691" t="s">
        <v>558</v>
      </c>
      <c r="C116" s="428">
        <v>104281.1</v>
      </c>
      <c r="D116" s="428">
        <v>0</v>
      </c>
      <c r="E116" s="428">
        <v>5214.6000000000004</v>
      </c>
      <c r="F116" s="428">
        <v>20874.7</v>
      </c>
      <c r="G116" s="428">
        <f t="shared" si="9"/>
        <v>26089.300000000003</v>
      </c>
      <c r="H116" s="428">
        <v>11897.2</v>
      </c>
      <c r="I116" s="428">
        <v>434044.6</v>
      </c>
      <c r="J116" s="428">
        <f t="shared" si="10"/>
        <v>445941.8</v>
      </c>
      <c r="K116" s="428">
        <v>102856.7</v>
      </c>
      <c r="L116" s="428">
        <f t="shared" si="8"/>
        <v>679168.89999999991</v>
      </c>
      <c r="M116" s="486"/>
      <c r="N116" s="155"/>
      <c r="O116" s="155"/>
      <c r="P116" s="159"/>
      <c r="Q116" s="159"/>
    </row>
    <row r="117" spans="1:17" s="446" customFormat="1" ht="12.6" customHeight="1" x14ac:dyDescent="0.25">
      <c r="A117" s="160" t="s">
        <v>1029</v>
      </c>
      <c r="B117" s="372" t="s">
        <v>559</v>
      </c>
      <c r="C117" s="433">
        <v>106003</v>
      </c>
      <c r="D117" s="433">
        <v>0</v>
      </c>
      <c r="E117" s="433">
        <v>5244.7</v>
      </c>
      <c r="F117" s="433">
        <v>21431.5</v>
      </c>
      <c r="G117" s="433">
        <f t="shared" si="9"/>
        <v>26676.2</v>
      </c>
      <c r="H117" s="433">
        <v>11326.9</v>
      </c>
      <c r="I117" s="433">
        <v>437083.5</v>
      </c>
      <c r="J117" s="433">
        <f t="shared" si="10"/>
        <v>448410.4</v>
      </c>
      <c r="K117" s="433">
        <v>103348.4</v>
      </c>
      <c r="L117" s="433">
        <f t="shared" si="8"/>
        <v>684438.00000000012</v>
      </c>
      <c r="M117" s="486"/>
      <c r="N117" s="155"/>
      <c r="O117" s="155"/>
      <c r="P117" s="159"/>
      <c r="Q117" s="159"/>
    </row>
    <row r="118" spans="1:17" s="446" customFormat="1" ht="12.6" customHeight="1" x14ac:dyDescent="0.25">
      <c r="A118" s="160" t="s">
        <v>1029</v>
      </c>
      <c r="B118" s="1691" t="s">
        <v>550</v>
      </c>
      <c r="C118" s="430">
        <v>110257.3</v>
      </c>
      <c r="D118" s="430">
        <v>0</v>
      </c>
      <c r="E118" s="430">
        <v>5366.6</v>
      </c>
      <c r="F118" s="430">
        <v>21902.2</v>
      </c>
      <c r="G118" s="430">
        <v>27268.799999999999</v>
      </c>
      <c r="H118" s="430">
        <v>11303.2</v>
      </c>
      <c r="I118" s="430">
        <v>447518.7</v>
      </c>
      <c r="J118" s="430">
        <v>458821.8</v>
      </c>
      <c r="K118" s="430">
        <v>105178.6</v>
      </c>
      <c r="L118" s="428">
        <f t="shared" si="8"/>
        <v>701526.5</v>
      </c>
      <c r="M118" s="486"/>
      <c r="N118" s="155"/>
      <c r="O118" s="155"/>
      <c r="P118" s="159"/>
      <c r="Q118" s="159"/>
    </row>
    <row r="119" spans="1:17" s="446" customFormat="1" ht="12.6" customHeight="1" x14ac:dyDescent="0.25">
      <c r="A119" s="160" t="s">
        <v>1150</v>
      </c>
      <c r="B119" s="372" t="s">
        <v>552</v>
      </c>
      <c r="C119" s="429">
        <v>121725.9</v>
      </c>
      <c r="D119" s="429">
        <v>0</v>
      </c>
      <c r="E119" s="429">
        <v>5752.5</v>
      </c>
      <c r="F119" s="429">
        <v>22181.9</v>
      </c>
      <c r="G119" s="429">
        <f t="shared" ref="G119:G130" si="11">E119+F119</f>
        <v>27934.400000000001</v>
      </c>
      <c r="H119" s="429">
        <v>9787.4</v>
      </c>
      <c r="I119" s="429">
        <v>446466.5</v>
      </c>
      <c r="J119" s="429">
        <f t="shared" ref="J119:J126" si="12">H119+I119</f>
        <v>456253.9</v>
      </c>
      <c r="K119" s="429">
        <v>105020.3</v>
      </c>
      <c r="L119" s="433">
        <f t="shared" ref="L119:L130" si="13">C119+D119+G119+J119+K119</f>
        <v>710934.5</v>
      </c>
      <c r="M119" s="486"/>
      <c r="N119" s="155"/>
      <c r="O119" s="155"/>
      <c r="P119" s="159"/>
      <c r="Q119" s="159"/>
    </row>
    <row r="120" spans="1:17" s="446" customFormat="1" ht="12.6" customHeight="1" x14ac:dyDescent="0.25">
      <c r="A120" s="160" t="s">
        <v>1150</v>
      </c>
      <c r="B120" s="1691" t="s">
        <v>553</v>
      </c>
      <c r="C120" s="430">
        <v>115687.1</v>
      </c>
      <c r="D120" s="430">
        <v>0</v>
      </c>
      <c r="E120" s="430">
        <v>5968.4</v>
      </c>
      <c r="F120" s="430">
        <v>22699.200000000001</v>
      </c>
      <c r="G120" s="430">
        <f t="shared" si="11"/>
        <v>28667.599999999999</v>
      </c>
      <c r="H120" s="430">
        <v>9719.4</v>
      </c>
      <c r="I120" s="430">
        <v>449894.40000000002</v>
      </c>
      <c r="J120" s="430">
        <f t="shared" si="12"/>
        <v>459613.80000000005</v>
      </c>
      <c r="K120" s="430">
        <v>105583.3</v>
      </c>
      <c r="L120" s="428">
        <f t="shared" si="13"/>
        <v>709551.8</v>
      </c>
      <c r="M120" s="486"/>
      <c r="N120" s="155"/>
      <c r="O120" s="155"/>
      <c r="P120" s="159"/>
      <c r="Q120" s="159"/>
    </row>
    <row r="121" spans="1:17" s="446" customFormat="1" ht="12.6" customHeight="1" x14ac:dyDescent="0.25">
      <c r="A121" s="160" t="s">
        <v>1150</v>
      </c>
      <c r="B121" s="372" t="s">
        <v>547</v>
      </c>
      <c r="C121" s="429">
        <v>118172.7</v>
      </c>
      <c r="D121" s="429">
        <v>0</v>
      </c>
      <c r="E121" s="429">
        <v>6349.2</v>
      </c>
      <c r="F121" s="429">
        <v>23198.400000000001</v>
      </c>
      <c r="G121" s="429">
        <f t="shared" si="11"/>
        <v>29547.600000000002</v>
      </c>
      <c r="H121" s="429">
        <v>9434.7000000000007</v>
      </c>
      <c r="I121" s="429">
        <v>461334.5</v>
      </c>
      <c r="J121" s="429">
        <f t="shared" si="12"/>
        <v>470769.2</v>
      </c>
      <c r="K121" s="429">
        <v>105152.7</v>
      </c>
      <c r="L121" s="433">
        <f t="shared" si="13"/>
        <v>723642.2</v>
      </c>
      <c r="M121" s="486"/>
      <c r="N121" s="155"/>
      <c r="O121" s="155"/>
      <c r="P121" s="159"/>
      <c r="Q121" s="159"/>
    </row>
    <row r="122" spans="1:17" s="446" customFormat="1" ht="12.6" customHeight="1" x14ac:dyDescent="0.25">
      <c r="A122" s="160" t="s">
        <v>1150</v>
      </c>
      <c r="B122" s="1691" t="s">
        <v>554</v>
      </c>
      <c r="C122" s="430">
        <v>112629.6</v>
      </c>
      <c r="D122" s="430">
        <v>0</v>
      </c>
      <c r="E122" s="430">
        <v>6534</v>
      </c>
      <c r="F122" s="430">
        <v>23192.400000000001</v>
      </c>
      <c r="G122" s="430">
        <f t="shared" si="11"/>
        <v>29726.400000000001</v>
      </c>
      <c r="H122" s="430">
        <v>9612.5</v>
      </c>
      <c r="I122" s="430">
        <v>466275.8</v>
      </c>
      <c r="J122" s="430">
        <f t="shared" si="12"/>
        <v>475888.3</v>
      </c>
      <c r="K122" s="430">
        <v>105208.9</v>
      </c>
      <c r="L122" s="428">
        <f t="shared" si="13"/>
        <v>723453.20000000007</v>
      </c>
      <c r="M122" s="486"/>
      <c r="N122" s="155"/>
      <c r="O122" s="155"/>
      <c r="P122" s="159"/>
      <c r="Q122" s="159"/>
    </row>
    <row r="123" spans="1:17" s="446" customFormat="1" ht="12.6" customHeight="1" x14ac:dyDescent="0.25">
      <c r="A123" s="160" t="s">
        <v>1150</v>
      </c>
      <c r="B123" s="372" t="s">
        <v>555</v>
      </c>
      <c r="C123" s="429">
        <v>110110</v>
      </c>
      <c r="D123" s="429">
        <v>0</v>
      </c>
      <c r="E123" s="429">
        <v>6683.3</v>
      </c>
      <c r="F123" s="429">
        <v>23893.9</v>
      </c>
      <c r="G123" s="429">
        <f t="shared" si="11"/>
        <v>30577.200000000001</v>
      </c>
      <c r="H123" s="429">
        <v>9560</v>
      </c>
      <c r="I123" s="429">
        <v>474093.4</v>
      </c>
      <c r="J123" s="429">
        <f t="shared" si="12"/>
        <v>483653.4</v>
      </c>
      <c r="K123" s="429">
        <v>105935.3</v>
      </c>
      <c r="L123" s="433">
        <f t="shared" si="13"/>
        <v>730275.90000000014</v>
      </c>
      <c r="M123" s="486"/>
      <c r="N123" s="155"/>
      <c r="O123" s="155"/>
      <c r="P123" s="159"/>
      <c r="Q123" s="159"/>
    </row>
    <row r="124" spans="1:17" s="446" customFormat="1" ht="12.6" customHeight="1" x14ac:dyDescent="0.25">
      <c r="A124" s="160" t="s">
        <v>1150</v>
      </c>
      <c r="B124" s="1691" t="s">
        <v>548</v>
      </c>
      <c r="C124" s="430">
        <v>103488.7</v>
      </c>
      <c r="D124" s="430">
        <v>0</v>
      </c>
      <c r="E124" s="430">
        <v>6585.9</v>
      </c>
      <c r="F124" s="430">
        <v>24222.3</v>
      </c>
      <c r="G124" s="430">
        <f t="shared" si="11"/>
        <v>30808.199999999997</v>
      </c>
      <c r="H124" s="430">
        <v>10063</v>
      </c>
      <c r="I124" s="430">
        <v>487528.1</v>
      </c>
      <c r="J124" s="430">
        <f t="shared" si="12"/>
        <v>497591.1</v>
      </c>
      <c r="K124" s="430">
        <v>108756.4</v>
      </c>
      <c r="L124" s="428">
        <f t="shared" si="13"/>
        <v>740644.4</v>
      </c>
      <c r="M124" s="486"/>
      <c r="N124" s="155"/>
      <c r="O124" s="155"/>
      <c r="P124" s="159"/>
      <c r="Q124" s="159"/>
    </row>
    <row r="125" spans="1:17" s="446" customFormat="1" ht="12.6" customHeight="1" x14ac:dyDescent="0.25">
      <c r="A125" s="160" t="s">
        <v>1150</v>
      </c>
      <c r="B125" s="372" t="s">
        <v>556</v>
      </c>
      <c r="C125" s="429">
        <v>100090.1</v>
      </c>
      <c r="D125" s="429">
        <v>0</v>
      </c>
      <c r="E125" s="429">
        <v>6982.2</v>
      </c>
      <c r="F125" s="429">
        <v>24185</v>
      </c>
      <c r="G125" s="429">
        <f t="shared" si="11"/>
        <v>31167.200000000001</v>
      </c>
      <c r="H125" s="429">
        <v>10820.7</v>
      </c>
      <c r="I125" s="429">
        <v>491115.3</v>
      </c>
      <c r="J125" s="429">
        <f>H125+I125</f>
        <v>501936</v>
      </c>
      <c r="K125" s="429">
        <v>106899.5</v>
      </c>
      <c r="L125" s="433">
        <f t="shared" si="13"/>
        <v>740092.8</v>
      </c>
      <c r="M125" s="486"/>
      <c r="N125" s="155"/>
      <c r="O125" s="155"/>
      <c r="P125" s="159"/>
      <c r="Q125" s="159"/>
    </row>
    <row r="126" spans="1:17" s="446" customFormat="1" ht="12.6" customHeight="1" x14ac:dyDescent="0.25">
      <c r="A126" s="160" t="s">
        <v>1150</v>
      </c>
      <c r="B126" s="1691" t="s">
        <v>557</v>
      </c>
      <c r="C126" s="430">
        <v>102692.2</v>
      </c>
      <c r="D126" s="430">
        <v>0</v>
      </c>
      <c r="E126" s="430">
        <v>7077.8</v>
      </c>
      <c r="F126" s="430">
        <v>24657.200000000001</v>
      </c>
      <c r="G126" s="430">
        <f t="shared" si="11"/>
        <v>31735</v>
      </c>
      <c r="H126" s="430">
        <v>9942.2000000000007</v>
      </c>
      <c r="I126" s="430">
        <v>494856.3</v>
      </c>
      <c r="J126" s="430">
        <f t="shared" si="12"/>
        <v>504798.5</v>
      </c>
      <c r="K126" s="430">
        <v>108447.1</v>
      </c>
      <c r="L126" s="428">
        <f t="shared" si="13"/>
        <v>747672.79999999993</v>
      </c>
      <c r="M126" s="486"/>
      <c r="N126" s="155"/>
      <c r="O126" s="155"/>
      <c r="P126" s="159"/>
      <c r="Q126" s="159"/>
    </row>
    <row r="127" spans="1:17" s="446" customFormat="1" ht="12.6" customHeight="1" x14ac:dyDescent="0.25">
      <c r="A127" s="160" t="s">
        <v>1150</v>
      </c>
      <c r="B127" s="372" t="s">
        <v>549</v>
      </c>
      <c r="C127" s="429">
        <v>99778.1</v>
      </c>
      <c r="D127" s="429">
        <v>0</v>
      </c>
      <c r="E127" s="429">
        <v>7124.5</v>
      </c>
      <c r="F127" s="429">
        <v>24937.4</v>
      </c>
      <c r="G127" s="429">
        <f t="shared" si="11"/>
        <v>32061.9</v>
      </c>
      <c r="H127" s="429">
        <v>10145.9</v>
      </c>
      <c r="I127" s="429">
        <v>502226.7</v>
      </c>
      <c r="J127" s="429">
        <f>H127+I127</f>
        <v>512372.60000000003</v>
      </c>
      <c r="K127" s="429">
        <v>109278.3</v>
      </c>
      <c r="L127" s="433">
        <f t="shared" si="13"/>
        <v>753490.90000000014</v>
      </c>
      <c r="M127" s="486"/>
      <c r="N127" s="155"/>
      <c r="O127" s="155"/>
      <c r="P127" s="159"/>
      <c r="Q127" s="159"/>
    </row>
    <row r="128" spans="1:17" s="446" customFormat="1" ht="12.6" customHeight="1" x14ac:dyDescent="0.25">
      <c r="A128" s="160" t="s">
        <v>1150</v>
      </c>
      <c r="B128" s="1691" t="s">
        <v>558</v>
      </c>
      <c r="C128" s="430">
        <v>97542.5</v>
      </c>
      <c r="D128" s="430">
        <v>0</v>
      </c>
      <c r="E128" s="430">
        <v>7263.7</v>
      </c>
      <c r="F128" s="430">
        <v>25468.9</v>
      </c>
      <c r="G128" s="430">
        <f t="shared" si="11"/>
        <v>32732.600000000002</v>
      </c>
      <c r="H128" s="430">
        <v>9876</v>
      </c>
      <c r="I128" s="430">
        <v>510302.1</v>
      </c>
      <c r="J128" s="430">
        <f>H128+I128</f>
        <v>520178.1</v>
      </c>
      <c r="K128" s="430">
        <v>108962.8</v>
      </c>
      <c r="L128" s="428">
        <f t="shared" si="13"/>
        <v>759416</v>
      </c>
      <c r="M128" s="486"/>
      <c r="N128" s="155"/>
      <c r="O128" s="155"/>
      <c r="P128" s="159"/>
      <c r="Q128" s="159"/>
    </row>
    <row r="129" spans="1:17" s="446" customFormat="1" ht="12.6" customHeight="1" x14ac:dyDescent="0.25">
      <c r="A129" s="160" t="s">
        <v>1150</v>
      </c>
      <c r="B129" s="372" t="s">
        <v>559</v>
      </c>
      <c r="C129" s="429">
        <v>102109.4</v>
      </c>
      <c r="D129" s="429">
        <v>0</v>
      </c>
      <c r="E129" s="429">
        <v>7073.8</v>
      </c>
      <c r="F129" s="429">
        <v>26481.9</v>
      </c>
      <c r="G129" s="429">
        <f t="shared" si="11"/>
        <v>33555.700000000004</v>
      </c>
      <c r="H129" s="429">
        <v>10009.700000000001</v>
      </c>
      <c r="I129" s="429">
        <v>517709.5</v>
      </c>
      <c r="J129" s="429">
        <f>H129+I129</f>
        <v>527719.19999999995</v>
      </c>
      <c r="K129" s="429">
        <v>109825.7</v>
      </c>
      <c r="L129" s="433">
        <f t="shared" si="13"/>
        <v>773209.99999999988</v>
      </c>
      <c r="M129" s="486"/>
      <c r="N129" s="155"/>
      <c r="O129" s="155"/>
      <c r="P129" s="159"/>
      <c r="Q129" s="159"/>
    </row>
    <row r="130" spans="1:17" s="446" customFormat="1" ht="12.6" customHeight="1" x14ac:dyDescent="0.25">
      <c r="A130" s="160" t="s">
        <v>1150</v>
      </c>
      <c r="B130" s="1691" t="s">
        <v>550</v>
      </c>
      <c r="C130" s="430">
        <v>114219.6</v>
      </c>
      <c r="D130" s="430">
        <v>0</v>
      </c>
      <c r="E130" s="430">
        <v>6923.8</v>
      </c>
      <c r="F130" s="430">
        <v>26923.7</v>
      </c>
      <c r="G130" s="430">
        <f t="shared" si="11"/>
        <v>33847.5</v>
      </c>
      <c r="H130" s="430">
        <v>9127.2999999999993</v>
      </c>
      <c r="I130" s="430">
        <v>531340.4</v>
      </c>
      <c r="J130" s="430">
        <f>H130+I130</f>
        <v>540467.70000000007</v>
      </c>
      <c r="K130" s="430">
        <v>112745.2</v>
      </c>
      <c r="L130" s="428">
        <f t="shared" si="13"/>
        <v>801280</v>
      </c>
      <c r="M130" s="486"/>
      <c r="N130" s="155"/>
      <c r="O130" s="155"/>
      <c r="P130" s="159"/>
      <c r="Q130" s="159"/>
    </row>
    <row r="131" spans="1:17" s="446" customFormat="1" ht="12.6" customHeight="1" x14ac:dyDescent="0.25">
      <c r="A131" s="160" t="s">
        <v>1174</v>
      </c>
      <c r="B131" s="372" t="s">
        <v>552</v>
      </c>
      <c r="C131" s="429">
        <v>116658.1</v>
      </c>
      <c r="D131" s="429">
        <v>0</v>
      </c>
      <c r="E131" s="429">
        <v>7022.9</v>
      </c>
      <c r="F131" s="429">
        <v>27808.9</v>
      </c>
      <c r="G131" s="429">
        <f t="shared" ref="G131:G153" si="14">E131+F131</f>
        <v>34831.800000000003</v>
      </c>
      <c r="H131" s="429">
        <v>8975.7000000000007</v>
      </c>
      <c r="I131" s="429">
        <v>524397.19999999995</v>
      </c>
      <c r="J131" s="429">
        <f t="shared" ref="J131:J154" si="15">H131+I131</f>
        <v>533372.89999999991</v>
      </c>
      <c r="K131" s="429">
        <v>113105.7</v>
      </c>
      <c r="L131" s="433">
        <f t="shared" ref="L131:L154" si="16">C131+D131+G131+J131+K131</f>
        <v>797968.49999999988</v>
      </c>
      <c r="M131" s="486"/>
      <c r="N131" s="155"/>
      <c r="O131" s="155"/>
      <c r="P131" s="159"/>
      <c r="Q131" s="159"/>
    </row>
    <row r="132" spans="1:17" s="446" customFormat="1" ht="12.6" customHeight="1" x14ac:dyDescent="0.25">
      <c r="A132" s="160" t="s">
        <v>1174</v>
      </c>
      <c r="B132" s="1691" t="s">
        <v>553</v>
      </c>
      <c r="C132" s="430">
        <v>113324.2</v>
      </c>
      <c r="D132" s="430">
        <v>0</v>
      </c>
      <c r="E132" s="430">
        <v>7245.5</v>
      </c>
      <c r="F132" s="430">
        <v>27872.400000000001</v>
      </c>
      <c r="G132" s="430">
        <f t="shared" si="14"/>
        <v>35117.9</v>
      </c>
      <c r="H132" s="430">
        <v>8864.2000000000007</v>
      </c>
      <c r="I132" s="430">
        <v>531068.19999999995</v>
      </c>
      <c r="J132" s="430">
        <f t="shared" si="15"/>
        <v>539932.39999999991</v>
      </c>
      <c r="K132" s="430">
        <v>112983.9</v>
      </c>
      <c r="L132" s="428">
        <f t="shared" si="16"/>
        <v>801358.39999999991</v>
      </c>
      <c r="M132" s="486"/>
      <c r="N132" s="155"/>
      <c r="O132" s="155"/>
      <c r="P132" s="159"/>
      <c r="Q132" s="159"/>
    </row>
    <row r="133" spans="1:17" s="446" customFormat="1" ht="12.6" customHeight="1" x14ac:dyDescent="0.25">
      <c r="A133" s="160" t="s">
        <v>1174</v>
      </c>
      <c r="B133" s="372" t="s">
        <v>547</v>
      </c>
      <c r="C133" s="429">
        <v>113663.5</v>
      </c>
      <c r="D133" s="429">
        <v>0</v>
      </c>
      <c r="E133" s="429">
        <v>7064.8</v>
      </c>
      <c r="F133" s="429">
        <v>27844</v>
      </c>
      <c r="G133" s="429">
        <f t="shared" si="14"/>
        <v>34908.800000000003</v>
      </c>
      <c r="H133" s="429">
        <v>8847.6</v>
      </c>
      <c r="I133" s="429">
        <v>536857.80000000005</v>
      </c>
      <c r="J133" s="429">
        <f t="shared" si="15"/>
        <v>545705.4</v>
      </c>
      <c r="K133" s="24">
        <v>115435.3</v>
      </c>
      <c r="L133" s="433">
        <f t="shared" si="16"/>
        <v>809713</v>
      </c>
      <c r="M133" s="486"/>
      <c r="N133" s="155"/>
      <c r="O133" s="155"/>
      <c r="P133" s="159"/>
      <c r="Q133" s="159"/>
    </row>
    <row r="134" spans="1:17" s="446" customFormat="1" ht="12.6" customHeight="1" x14ac:dyDescent="0.25">
      <c r="A134" s="160" t="s">
        <v>1174</v>
      </c>
      <c r="B134" s="1691" t="s">
        <v>554</v>
      </c>
      <c r="C134" s="430">
        <v>110012.4</v>
      </c>
      <c r="D134" s="430">
        <v>0</v>
      </c>
      <c r="E134" s="430">
        <v>6893</v>
      </c>
      <c r="F134" s="430">
        <v>28205.3</v>
      </c>
      <c r="G134" s="430">
        <f t="shared" si="14"/>
        <v>35098.300000000003</v>
      </c>
      <c r="H134" s="430">
        <v>8524.5</v>
      </c>
      <c r="I134" s="430">
        <v>540219.69999999995</v>
      </c>
      <c r="J134" s="430">
        <f t="shared" si="15"/>
        <v>548744.19999999995</v>
      </c>
      <c r="K134" s="279">
        <v>116655.8</v>
      </c>
      <c r="L134" s="428">
        <f t="shared" si="16"/>
        <v>810510.7</v>
      </c>
      <c r="M134" s="486"/>
      <c r="N134" s="155"/>
      <c r="O134" s="155"/>
      <c r="P134" s="159"/>
      <c r="Q134" s="159"/>
    </row>
    <row r="135" spans="1:17" s="446" customFormat="1" ht="12.6" customHeight="1" x14ac:dyDescent="0.25">
      <c r="A135" s="160" t="s">
        <v>1174</v>
      </c>
      <c r="B135" s="372" t="s">
        <v>555</v>
      </c>
      <c r="C135" s="429">
        <v>108644.5</v>
      </c>
      <c r="D135" s="429">
        <v>0</v>
      </c>
      <c r="E135" s="429">
        <v>7282</v>
      </c>
      <c r="F135" s="429">
        <v>29077.1</v>
      </c>
      <c r="G135" s="429">
        <f t="shared" si="14"/>
        <v>36359.1</v>
      </c>
      <c r="H135" s="429">
        <v>8463.5</v>
      </c>
      <c r="I135" s="429">
        <v>547361.5</v>
      </c>
      <c r="J135" s="429">
        <f t="shared" si="15"/>
        <v>555825</v>
      </c>
      <c r="K135" s="24">
        <v>118119.5</v>
      </c>
      <c r="L135" s="24">
        <f t="shared" si="16"/>
        <v>818948.1</v>
      </c>
      <c r="M135" s="486"/>
      <c r="N135" s="155"/>
      <c r="O135" s="155"/>
      <c r="P135" s="159"/>
      <c r="Q135" s="159"/>
    </row>
    <row r="136" spans="1:17" s="446" customFormat="1" ht="12.6" customHeight="1" x14ac:dyDescent="0.25">
      <c r="A136" s="160" t="s">
        <v>1174</v>
      </c>
      <c r="B136" s="1691" t="s">
        <v>548</v>
      </c>
      <c r="C136" s="430">
        <v>98638.8</v>
      </c>
      <c r="D136" s="430">
        <v>0</v>
      </c>
      <c r="E136" s="430">
        <v>7545.4</v>
      </c>
      <c r="F136" s="430">
        <v>30906.6</v>
      </c>
      <c r="G136" s="430">
        <f t="shared" si="14"/>
        <v>38452</v>
      </c>
      <c r="H136" s="430">
        <v>8834.2999999999993</v>
      </c>
      <c r="I136" s="430">
        <v>565250.4</v>
      </c>
      <c r="J136" s="430">
        <f t="shared" si="15"/>
        <v>574084.70000000007</v>
      </c>
      <c r="K136" s="279">
        <v>120862.5</v>
      </c>
      <c r="L136" s="274">
        <f t="shared" si="16"/>
        <v>832038</v>
      </c>
      <c r="M136" s="486"/>
      <c r="N136" s="155"/>
      <c r="O136" s="155"/>
      <c r="P136" s="159"/>
      <c r="Q136" s="159"/>
    </row>
    <row r="137" spans="1:17" s="446" customFormat="1" ht="12.6" customHeight="1" x14ac:dyDescent="0.25">
      <c r="A137" s="160" t="s">
        <v>1174</v>
      </c>
      <c r="B137" s="372" t="s">
        <v>556</v>
      </c>
      <c r="C137" s="429">
        <v>96360.1</v>
      </c>
      <c r="D137" s="429">
        <v>0</v>
      </c>
      <c r="E137" s="429">
        <v>7427.4</v>
      </c>
      <c r="F137" s="429">
        <v>31462</v>
      </c>
      <c r="G137" s="429">
        <f t="shared" si="14"/>
        <v>38889.4</v>
      </c>
      <c r="H137" s="429">
        <v>8809.7999999999993</v>
      </c>
      <c r="I137" s="429">
        <v>566108.5</v>
      </c>
      <c r="J137" s="429">
        <f t="shared" si="15"/>
        <v>574918.30000000005</v>
      </c>
      <c r="K137" s="24">
        <v>121782.39999999999</v>
      </c>
      <c r="L137" s="24">
        <f t="shared" si="16"/>
        <v>831950.20000000007</v>
      </c>
      <c r="M137" s="486"/>
      <c r="N137" s="155"/>
      <c r="O137" s="155"/>
      <c r="P137" s="159"/>
      <c r="Q137" s="159"/>
    </row>
    <row r="138" spans="1:17" s="446" customFormat="1" ht="12.6" customHeight="1" x14ac:dyDescent="0.25">
      <c r="A138" s="160" t="s">
        <v>1174</v>
      </c>
      <c r="B138" s="1691" t="s">
        <v>557</v>
      </c>
      <c r="C138" s="430">
        <v>93525.6</v>
      </c>
      <c r="D138" s="430">
        <v>0</v>
      </c>
      <c r="E138" s="430">
        <v>7441.3</v>
      </c>
      <c r="F138" s="430">
        <v>31761.200000000001</v>
      </c>
      <c r="G138" s="430">
        <f t="shared" si="14"/>
        <v>39202.5</v>
      </c>
      <c r="H138" s="430">
        <v>8212.2999999999993</v>
      </c>
      <c r="I138" s="430">
        <v>572822.80000000005</v>
      </c>
      <c r="J138" s="430">
        <f t="shared" si="15"/>
        <v>581035.10000000009</v>
      </c>
      <c r="K138" s="279">
        <v>123117.1</v>
      </c>
      <c r="L138" s="279">
        <f t="shared" si="16"/>
        <v>836880.3</v>
      </c>
      <c r="M138" s="486"/>
      <c r="N138" s="155"/>
      <c r="O138" s="155"/>
      <c r="P138" s="159"/>
      <c r="Q138" s="159"/>
    </row>
    <row r="139" spans="1:17" s="446" customFormat="1" ht="12.6" customHeight="1" x14ac:dyDescent="0.25">
      <c r="A139" s="160" t="s">
        <v>1174</v>
      </c>
      <c r="B139" s="372" t="s">
        <v>549</v>
      </c>
      <c r="C139" s="429">
        <v>90312.1</v>
      </c>
      <c r="D139" s="429">
        <v>0</v>
      </c>
      <c r="E139" s="429">
        <v>7420.6</v>
      </c>
      <c r="F139" s="429">
        <v>32192.400000000001</v>
      </c>
      <c r="G139" s="429">
        <f t="shared" si="14"/>
        <v>39613</v>
      </c>
      <c r="H139" s="429">
        <v>8867.7999999999993</v>
      </c>
      <c r="I139" s="429">
        <v>581826.19999999995</v>
      </c>
      <c r="J139" s="429">
        <f t="shared" si="15"/>
        <v>590694</v>
      </c>
      <c r="K139" s="24">
        <v>124622.2</v>
      </c>
      <c r="L139" s="24">
        <f t="shared" si="16"/>
        <v>845241.29999999993</v>
      </c>
      <c r="M139" s="486"/>
      <c r="N139" s="155"/>
      <c r="O139" s="155"/>
      <c r="P139" s="159"/>
      <c r="Q139" s="159"/>
    </row>
    <row r="140" spans="1:17" s="446" customFormat="1" ht="12.6" customHeight="1" x14ac:dyDescent="0.25">
      <c r="A140" s="160" t="s">
        <v>1174</v>
      </c>
      <c r="B140" s="1691" t="s">
        <v>558</v>
      </c>
      <c r="C140" s="430">
        <v>84166.1</v>
      </c>
      <c r="D140" s="430">
        <v>0</v>
      </c>
      <c r="E140" s="430">
        <v>7827</v>
      </c>
      <c r="F140" s="430">
        <v>33423.199999999997</v>
      </c>
      <c r="G140" s="430">
        <f t="shared" si="14"/>
        <v>41250.199999999997</v>
      </c>
      <c r="H140" s="430">
        <v>9027.1</v>
      </c>
      <c r="I140" s="430">
        <v>589652.6</v>
      </c>
      <c r="J140" s="430">
        <f t="shared" si="15"/>
        <v>598679.69999999995</v>
      </c>
      <c r="K140" s="274">
        <v>126172</v>
      </c>
      <c r="L140" s="274">
        <f t="shared" si="16"/>
        <v>850268</v>
      </c>
      <c r="M140" s="486"/>
      <c r="N140" s="155"/>
      <c r="O140" s="155"/>
      <c r="P140" s="159"/>
      <c r="Q140" s="159"/>
    </row>
    <row r="141" spans="1:17" s="446" customFormat="1" ht="12.6" customHeight="1" x14ac:dyDescent="0.25">
      <c r="A141" s="160" t="s">
        <v>1174</v>
      </c>
      <c r="B141" s="372" t="s">
        <v>559</v>
      </c>
      <c r="C141" s="429">
        <v>82597.600000000006</v>
      </c>
      <c r="D141" s="429">
        <v>0</v>
      </c>
      <c r="E141" s="429">
        <v>8225.1</v>
      </c>
      <c r="F141" s="429">
        <v>32782.300000000003</v>
      </c>
      <c r="G141" s="429">
        <f t="shared" si="14"/>
        <v>41007.4</v>
      </c>
      <c r="H141" s="429">
        <v>9162.2999999999993</v>
      </c>
      <c r="I141" s="429">
        <v>598701.69999999995</v>
      </c>
      <c r="J141" s="429">
        <f t="shared" si="15"/>
        <v>607864</v>
      </c>
      <c r="K141" s="51">
        <v>127365.8</v>
      </c>
      <c r="L141" s="51">
        <f t="shared" si="16"/>
        <v>858834.8</v>
      </c>
      <c r="M141" s="486"/>
      <c r="N141" s="155"/>
      <c r="O141" s="155"/>
      <c r="P141" s="159"/>
      <c r="Q141" s="159"/>
    </row>
    <row r="142" spans="1:17" s="446" customFormat="1" ht="12.6" customHeight="1" x14ac:dyDescent="0.25">
      <c r="A142" s="160" t="s">
        <v>1174</v>
      </c>
      <c r="B142" s="1691" t="s">
        <v>550</v>
      </c>
      <c r="C142" s="430">
        <v>97333.5</v>
      </c>
      <c r="D142" s="430">
        <v>0</v>
      </c>
      <c r="E142" s="430">
        <v>8161.5</v>
      </c>
      <c r="F142" s="430">
        <v>33950.300000000003</v>
      </c>
      <c r="G142" s="430">
        <f t="shared" si="14"/>
        <v>42111.8</v>
      </c>
      <c r="H142" s="430">
        <v>9118.7000000000007</v>
      </c>
      <c r="I142" s="430">
        <v>612395</v>
      </c>
      <c r="J142" s="430">
        <f t="shared" si="15"/>
        <v>621513.69999999995</v>
      </c>
      <c r="K142" s="274">
        <v>129711.2</v>
      </c>
      <c r="L142" s="274">
        <f t="shared" si="16"/>
        <v>890670.2</v>
      </c>
      <c r="M142" s="486"/>
      <c r="N142" s="155"/>
      <c r="O142" s="155"/>
      <c r="P142" s="159"/>
      <c r="Q142" s="159"/>
    </row>
    <row r="143" spans="1:17" s="446" customFormat="1" ht="12.6" customHeight="1" x14ac:dyDescent="0.25">
      <c r="A143" s="160" t="s">
        <v>1296</v>
      </c>
      <c r="B143" s="372" t="s">
        <v>552</v>
      </c>
      <c r="C143" s="430">
        <v>94759.8</v>
      </c>
      <c r="D143" s="430">
        <v>0</v>
      </c>
      <c r="E143" s="430">
        <v>7896.2</v>
      </c>
      <c r="F143" s="430">
        <v>34131.599999999999</v>
      </c>
      <c r="G143" s="430">
        <f t="shared" si="14"/>
        <v>42027.799999999996</v>
      </c>
      <c r="H143" s="430">
        <v>9668.6</v>
      </c>
      <c r="I143" s="430">
        <v>614135.4</v>
      </c>
      <c r="J143" s="430">
        <f t="shared" si="15"/>
        <v>623804</v>
      </c>
      <c r="K143" s="274">
        <v>129751.70000000003</v>
      </c>
      <c r="L143" s="274">
        <f t="shared" si="16"/>
        <v>890343.3</v>
      </c>
      <c r="M143" s="486"/>
      <c r="N143" s="155"/>
      <c r="O143" s="155"/>
      <c r="P143" s="159"/>
      <c r="Q143" s="159"/>
    </row>
    <row r="144" spans="1:17" s="446" customFormat="1" ht="12.6" customHeight="1" x14ac:dyDescent="0.25">
      <c r="A144" s="160" t="s">
        <v>1296</v>
      </c>
      <c r="B144" s="1691" t="s">
        <v>553</v>
      </c>
      <c r="C144" s="429">
        <v>101287.40000000001</v>
      </c>
      <c r="D144" s="429">
        <v>0</v>
      </c>
      <c r="E144" s="429">
        <v>8177.5</v>
      </c>
      <c r="F144" s="429">
        <v>35864.400000000001</v>
      </c>
      <c r="G144" s="429">
        <f t="shared" si="14"/>
        <v>44041.9</v>
      </c>
      <c r="H144" s="429">
        <v>9514.1</v>
      </c>
      <c r="I144" s="429">
        <v>624879.1</v>
      </c>
      <c r="J144" s="429">
        <f t="shared" si="15"/>
        <v>634393.19999999995</v>
      </c>
      <c r="K144" s="51">
        <v>131063.7</v>
      </c>
      <c r="L144" s="51">
        <f t="shared" si="16"/>
        <v>910786.2</v>
      </c>
      <c r="M144" s="486"/>
      <c r="N144" s="155"/>
      <c r="O144" s="155"/>
      <c r="P144" s="159"/>
      <c r="Q144" s="159"/>
    </row>
    <row r="145" spans="1:17" s="446" customFormat="1" ht="12.6" customHeight="1" x14ac:dyDescent="0.25">
      <c r="A145" s="160" t="s">
        <v>1296</v>
      </c>
      <c r="B145" s="372" t="s">
        <v>547</v>
      </c>
      <c r="C145" s="430">
        <v>94438.1</v>
      </c>
      <c r="D145" s="430">
        <v>0</v>
      </c>
      <c r="E145" s="430">
        <v>8115.2</v>
      </c>
      <c r="F145" s="430">
        <v>35931.1</v>
      </c>
      <c r="G145" s="430">
        <f t="shared" si="14"/>
        <v>44046.299999999996</v>
      </c>
      <c r="H145" s="430">
        <v>9562.1</v>
      </c>
      <c r="I145" s="430">
        <v>632711.19999999995</v>
      </c>
      <c r="J145" s="430">
        <f t="shared" si="15"/>
        <v>642273.29999999993</v>
      </c>
      <c r="K145" s="274">
        <v>132583.20000000001</v>
      </c>
      <c r="L145" s="274">
        <f t="shared" si="16"/>
        <v>913340.89999999991</v>
      </c>
      <c r="M145" s="486"/>
      <c r="N145" s="155"/>
      <c r="O145" s="155"/>
      <c r="P145" s="159"/>
      <c r="Q145" s="159"/>
    </row>
    <row r="146" spans="1:17" s="446" customFormat="1" ht="12.6" customHeight="1" x14ac:dyDescent="0.25">
      <c r="A146" s="160" t="s">
        <v>1296</v>
      </c>
      <c r="B146" s="1691" t="s">
        <v>554</v>
      </c>
      <c r="C146" s="429">
        <v>92183.400000000009</v>
      </c>
      <c r="D146" s="429">
        <v>0</v>
      </c>
      <c r="E146" s="429">
        <v>8282.4</v>
      </c>
      <c r="F146" s="429">
        <v>36375.1</v>
      </c>
      <c r="G146" s="429">
        <f t="shared" si="14"/>
        <v>44657.5</v>
      </c>
      <c r="H146" s="429">
        <v>9749</v>
      </c>
      <c r="I146" s="429">
        <v>641755.30000000005</v>
      </c>
      <c r="J146" s="429">
        <f t="shared" si="15"/>
        <v>651504.30000000005</v>
      </c>
      <c r="K146" s="51">
        <v>134549.4</v>
      </c>
      <c r="L146" s="51">
        <f t="shared" si="16"/>
        <v>922894.60000000009</v>
      </c>
      <c r="M146" s="486"/>
      <c r="N146" s="155"/>
      <c r="O146" s="155"/>
      <c r="P146" s="159"/>
      <c r="Q146" s="159"/>
    </row>
    <row r="147" spans="1:17" s="446" customFormat="1" ht="12.6" customHeight="1" x14ac:dyDescent="0.25">
      <c r="A147" s="160" t="s">
        <v>1296</v>
      </c>
      <c r="B147" s="372" t="s">
        <v>555</v>
      </c>
      <c r="C147" s="430">
        <v>92603.1</v>
      </c>
      <c r="D147" s="430">
        <v>0</v>
      </c>
      <c r="E147" s="430">
        <v>8186.8</v>
      </c>
      <c r="F147" s="430">
        <v>37432.199999999997</v>
      </c>
      <c r="G147" s="430">
        <f t="shared" si="14"/>
        <v>45619</v>
      </c>
      <c r="H147" s="430">
        <v>9954.7000000000007</v>
      </c>
      <c r="I147" s="430">
        <v>653005.69999999995</v>
      </c>
      <c r="J147" s="430">
        <f t="shared" si="15"/>
        <v>662960.39999999991</v>
      </c>
      <c r="K147" s="274">
        <v>136505.79999999999</v>
      </c>
      <c r="L147" s="274">
        <f t="shared" si="16"/>
        <v>937688.29999999981</v>
      </c>
      <c r="M147" s="486"/>
      <c r="N147" s="155"/>
      <c r="O147" s="155"/>
      <c r="P147" s="159"/>
      <c r="Q147" s="159"/>
    </row>
    <row r="148" spans="1:17" s="446" customFormat="1" ht="12.6" customHeight="1" x14ac:dyDescent="0.25">
      <c r="A148" s="160" t="s">
        <v>1296</v>
      </c>
      <c r="B148" s="1691" t="s">
        <v>548</v>
      </c>
      <c r="C148" s="429">
        <v>87276.5</v>
      </c>
      <c r="D148" s="429">
        <v>0</v>
      </c>
      <c r="E148" s="429">
        <v>8297.2999999999993</v>
      </c>
      <c r="F148" s="429">
        <v>38766.300000000003</v>
      </c>
      <c r="G148" s="429">
        <f t="shared" si="14"/>
        <v>47063.600000000006</v>
      </c>
      <c r="H148" s="429">
        <v>10328.1</v>
      </c>
      <c r="I148" s="429">
        <v>667054.69999999995</v>
      </c>
      <c r="J148" s="429">
        <f t="shared" si="15"/>
        <v>677382.79999999993</v>
      </c>
      <c r="K148" s="51">
        <v>140266.6</v>
      </c>
      <c r="L148" s="51">
        <f t="shared" si="16"/>
        <v>951989.49999999988</v>
      </c>
      <c r="M148" s="486"/>
      <c r="N148" s="155"/>
      <c r="O148" s="155"/>
      <c r="P148" s="159"/>
      <c r="Q148" s="159"/>
    </row>
    <row r="149" spans="1:17" s="446" customFormat="1" ht="12.6" customHeight="1" x14ac:dyDescent="0.25">
      <c r="A149" s="160" t="s">
        <v>1296</v>
      </c>
      <c r="B149" s="372" t="s">
        <v>556</v>
      </c>
      <c r="C149" s="430">
        <v>81033.399999999994</v>
      </c>
      <c r="D149" s="430">
        <v>0</v>
      </c>
      <c r="E149" s="430">
        <v>8339.9</v>
      </c>
      <c r="F149" s="430">
        <v>39788.300000000003</v>
      </c>
      <c r="G149" s="430">
        <f t="shared" si="14"/>
        <v>48128.200000000004</v>
      </c>
      <c r="H149" s="430">
        <v>10055.299999999999</v>
      </c>
      <c r="I149" s="430">
        <v>669588.80000000005</v>
      </c>
      <c r="J149" s="430">
        <f t="shared" si="15"/>
        <v>679644.10000000009</v>
      </c>
      <c r="K149" s="274">
        <v>142037.79999999999</v>
      </c>
      <c r="L149" s="274">
        <f t="shared" si="16"/>
        <v>950843.5</v>
      </c>
      <c r="M149" s="486"/>
      <c r="N149" s="155"/>
      <c r="O149" s="155"/>
      <c r="P149" s="159"/>
      <c r="Q149" s="159"/>
    </row>
    <row r="150" spans="1:17" s="446" customFormat="1" ht="12.6" customHeight="1" x14ac:dyDescent="0.25">
      <c r="A150" s="160" t="s">
        <v>1296</v>
      </c>
      <c r="B150" s="1691" t="s">
        <v>557</v>
      </c>
      <c r="C150" s="429">
        <v>75069.299999999988</v>
      </c>
      <c r="D150" s="429">
        <v>0</v>
      </c>
      <c r="E150" s="429">
        <v>8346.4</v>
      </c>
      <c r="F150" s="429">
        <v>41045.300000000003</v>
      </c>
      <c r="G150" s="429">
        <f t="shared" si="14"/>
        <v>49391.700000000004</v>
      </c>
      <c r="H150" s="429">
        <v>10212.4</v>
      </c>
      <c r="I150" s="429">
        <v>677475.2</v>
      </c>
      <c r="J150" s="429">
        <f t="shared" si="15"/>
        <v>687687.6</v>
      </c>
      <c r="K150" s="51">
        <v>143704.29999999999</v>
      </c>
      <c r="L150" s="51">
        <f t="shared" si="16"/>
        <v>955852.89999999991</v>
      </c>
      <c r="M150" s="486"/>
      <c r="N150" s="155"/>
      <c r="O150" s="155"/>
      <c r="P150" s="159"/>
      <c r="Q150" s="159"/>
    </row>
    <row r="151" spans="1:17" s="446" customFormat="1" ht="12.6" customHeight="1" x14ac:dyDescent="0.25">
      <c r="A151" s="160" t="s">
        <v>1296</v>
      </c>
      <c r="B151" s="372" t="s">
        <v>549</v>
      </c>
      <c r="C151" s="430">
        <v>74575.5</v>
      </c>
      <c r="D151" s="430">
        <v>0</v>
      </c>
      <c r="E151" s="430">
        <v>8167.3</v>
      </c>
      <c r="F151" s="430">
        <v>41311.5</v>
      </c>
      <c r="G151" s="430">
        <f t="shared" si="14"/>
        <v>49478.8</v>
      </c>
      <c r="H151" s="430">
        <v>10030.9</v>
      </c>
      <c r="I151" s="430">
        <v>684860.8</v>
      </c>
      <c r="J151" s="430">
        <f t="shared" si="15"/>
        <v>694891.70000000007</v>
      </c>
      <c r="K151" s="274">
        <v>145259.4</v>
      </c>
      <c r="L151" s="274">
        <f t="shared" si="16"/>
        <v>964205.40000000014</v>
      </c>
      <c r="M151" s="486"/>
      <c r="N151" s="155"/>
      <c r="O151" s="155"/>
      <c r="P151" s="159"/>
      <c r="Q151" s="159"/>
    </row>
    <row r="152" spans="1:17" s="446" customFormat="1" ht="12.6" customHeight="1" x14ac:dyDescent="0.25">
      <c r="A152" s="160" t="s">
        <v>1296</v>
      </c>
      <c r="B152" s="1691" t="s">
        <v>558</v>
      </c>
      <c r="C152" s="429">
        <v>71628.900000000009</v>
      </c>
      <c r="D152" s="429">
        <v>0</v>
      </c>
      <c r="E152" s="429">
        <v>8321.9</v>
      </c>
      <c r="F152" s="429">
        <v>42197.9</v>
      </c>
      <c r="G152" s="429">
        <f t="shared" si="14"/>
        <v>50519.8</v>
      </c>
      <c r="H152" s="429">
        <v>11012.3</v>
      </c>
      <c r="I152" s="429">
        <v>693005.3</v>
      </c>
      <c r="J152" s="429">
        <f t="shared" si="15"/>
        <v>704017.60000000009</v>
      </c>
      <c r="K152" s="51">
        <v>146307.70000000001</v>
      </c>
      <c r="L152" s="51">
        <f t="shared" si="16"/>
        <v>972474</v>
      </c>
      <c r="M152" s="486"/>
      <c r="N152" s="155"/>
      <c r="O152" s="155"/>
      <c r="P152" s="159"/>
      <c r="Q152" s="159"/>
    </row>
    <row r="153" spans="1:17" s="446" customFormat="1" ht="12.6" customHeight="1" x14ac:dyDescent="0.25">
      <c r="A153" s="160" t="s">
        <v>1296</v>
      </c>
      <c r="B153" s="372" t="s">
        <v>559</v>
      </c>
      <c r="C153" s="430">
        <v>76696.700000000012</v>
      </c>
      <c r="D153" s="430">
        <v>0</v>
      </c>
      <c r="E153" s="430">
        <v>8762.6</v>
      </c>
      <c r="F153" s="430">
        <v>42720.4</v>
      </c>
      <c r="G153" s="430">
        <f t="shared" si="14"/>
        <v>51483</v>
      </c>
      <c r="H153" s="430">
        <v>11044.7</v>
      </c>
      <c r="I153" s="430">
        <v>702614.1</v>
      </c>
      <c r="J153" s="430">
        <f t="shared" si="15"/>
        <v>713658.79999999993</v>
      </c>
      <c r="K153" s="274">
        <v>147068.9</v>
      </c>
      <c r="L153" s="274">
        <f t="shared" si="16"/>
        <v>988907.4</v>
      </c>
      <c r="M153" s="486"/>
      <c r="N153" s="155"/>
      <c r="O153" s="155"/>
      <c r="P153" s="159"/>
      <c r="Q153" s="159"/>
    </row>
    <row r="154" spans="1:17" s="446" customFormat="1" ht="12.6" customHeight="1" x14ac:dyDescent="0.25">
      <c r="A154" s="160" t="s">
        <v>1296</v>
      </c>
      <c r="B154" s="1691" t="s">
        <v>550</v>
      </c>
      <c r="C154" s="429">
        <v>94894.9</v>
      </c>
      <c r="D154" s="429">
        <v>0</v>
      </c>
      <c r="E154" s="429">
        <v>8638.7999999999993</v>
      </c>
      <c r="F154" s="429">
        <v>43216.2</v>
      </c>
      <c r="G154" s="429">
        <v>51875.3</v>
      </c>
      <c r="H154" s="429">
        <v>10561.3</v>
      </c>
      <c r="I154" s="429">
        <v>714397</v>
      </c>
      <c r="J154" s="429">
        <f t="shared" si="15"/>
        <v>724958.3</v>
      </c>
      <c r="K154" s="51">
        <v>149898.09999999995</v>
      </c>
      <c r="L154" s="51">
        <f t="shared" si="16"/>
        <v>1021626.6</v>
      </c>
      <c r="M154" s="486"/>
      <c r="N154" s="155"/>
      <c r="O154" s="155"/>
      <c r="P154" s="159"/>
      <c r="Q154" s="159"/>
    </row>
    <row r="155" spans="1:17" s="446" customFormat="1" ht="12.6" customHeight="1" x14ac:dyDescent="0.25">
      <c r="A155" s="160" t="s">
        <v>1404</v>
      </c>
      <c r="B155" s="372" t="s">
        <v>552</v>
      </c>
      <c r="C155" s="430">
        <v>97182.5</v>
      </c>
      <c r="D155" s="430">
        <v>0</v>
      </c>
      <c r="E155" s="430">
        <v>8808.5</v>
      </c>
      <c r="F155" s="430">
        <v>42955.3</v>
      </c>
      <c r="G155" s="430">
        <f t="shared" ref="G155:G166" si="17">E155+F155</f>
        <v>51763.8</v>
      </c>
      <c r="H155" s="430">
        <v>10675.7</v>
      </c>
      <c r="I155" s="430">
        <v>709670.9</v>
      </c>
      <c r="J155" s="430">
        <f t="shared" ref="J155:J166" si="18">H155+I155</f>
        <v>720346.6</v>
      </c>
      <c r="K155" s="274">
        <v>148839.4</v>
      </c>
      <c r="L155" s="274">
        <f t="shared" ref="L155:L166" si="19">C155+D155+G155+J155+K155</f>
        <v>1018132.2999999999</v>
      </c>
      <c r="M155" s="486"/>
      <c r="N155" s="155"/>
      <c r="O155" s="155"/>
      <c r="P155" s="159"/>
      <c r="Q155" s="159"/>
    </row>
    <row r="156" spans="1:17" s="446" customFormat="1" ht="12.6" customHeight="1" x14ac:dyDescent="0.25">
      <c r="A156" s="160" t="s">
        <v>1404</v>
      </c>
      <c r="B156" s="1709" t="s">
        <v>553</v>
      </c>
      <c r="C156" s="429">
        <v>101692</v>
      </c>
      <c r="D156" s="429">
        <v>0</v>
      </c>
      <c r="E156" s="429">
        <v>8788.2999999999993</v>
      </c>
      <c r="F156" s="429">
        <v>42722.8</v>
      </c>
      <c r="G156" s="429">
        <f t="shared" si="17"/>
        <v>51511.100000000006</v>
      </c>
      <c r="H156" s="429">
        <v>10638.4</v>
      </c>
      <c r="I156" s="429">
        <v>718497.3</v>
      </c>
      <c r="J156" s="429">
        <f t="shared" si="18"/>
        <v>729135.70000000007</v>
      </c>
      <c r="K156" s="51">
        <v>148946</v>
      </c>
      <c r="L156" s="51">
        <f t="shared" si="19"/>
        <v>1031284.8</v>
      </c>
      <c r="M156" s="486"/>
      <c r="N156" s="155"/>
      <c r="O156" s="155"/>
      <c r="P156" s="159"/>
      <c r="Q156" s="159"/>
    </row>
    <row r="157" spans="1:17" s="446" customFormat="1" ht="12.6" customHeight="1" x14ac:dyDescent="0.25">
      <c r="A157" s="160" t="s">
        <v>1404</v>
      </c>
      <c r="B157" s="372" t="s">
        <v>547</v>
      </c>
      <c r="C157" s="430">
        <v>95695.1</v>
      </c>
      <c r="D157" s="430">
        <v>0</v>
      </c>
      <c r="E157" s="430">
        <v>8757.6</v>
      </c>
      <c r="F157" s="430">
        <v>43408.6</v>
      </c>
      <c r="G157" s="430">
        <f t="shared" si="17"/>
        <v>52166.2</v>
      </c>
      <c r="H157" s="430">
        <v>10874.6</v>
      </c>
      <c r="I157" s="430">
        <v>725258.8</v>
      </c>
      <c r="J157" s="430">
        <f t="shared" si="18"/>
        <v>736133.4</v>
      </c>
      <c r="K157" s="274">
        <v>150078.1</v>
      </c>
      <c r="L157" s="274">
        <f t="shared" si="19"/>
        <v>1034072.7999999999</v>
      </c>
      <c r="M157" s="486"/>
      <c r="N157" s="155"/>
      <c r="O157" s="155"/>
      <c r="P157" s="159"/>
      <c r="Q157" s="159"/>
    </row>
    <row r="158" spans="1:17" s="446" customFormat="1" ht="12.6" customHeight="1" x14ac:dyDescent="0.25">
      <c r="A158" s="160" t="s">
        <v>1404</v>
      </c>
      <c r="B158" s="1709" t="s">
        <v>554</v>
      </c>
      <c r="C158" s="429">
        <v>95668.9</v>
      </c>
      <c r="D158" s="429">
        <v>0</v>
      </c>
      <c r="E158" s="429">
        <v>8853.2999999999993</v>
      </c>
      <c r="F158" s="429">
        <v>44012.1</v>
      </c>
      <c r="G158" s="429">
        <f t="shared" si="17"/>
        <v>52865.399999999994</v>
      </c>
      <c r="H158" s="429">
        <v>11375</v>
      </c>
      <c r="I158" s="429">
        <v>736124.3</v>
      </c>
      <c r="J158" s="429">
        <f t="shared" si="18"/>
        <v>747499.3</v>
      </c>
      <c r="K158" s="51">
        <v>152208.6</v>
      </c>
      <c r="L158" s="51">
        <f t="shared" si="19"/>
        <v>1048242.2000000001</v>
      </c>
      <c r="M158" s="486"/>
      <c r="N158" s="155"/>
      <c r="O158" s="155"/>
      <c r="P158" s="159"/>
      <c r="Q158" s="159"/>
    </row>
    <row r="159" spans="1:17" s="446" customFormat="1" ht="12.6" customHeight="1" x14ac:dyDescent="0.25">
      <c r="A159" s="160" t="s">
        <v>1404</v>
      </c>
      <c r="B159" s="372" t="s">
        <v>555</v>
      </c>
      <c r="C159" s="430">
        <v>97786.700000000012</v>
      </c>
      <c r="D159" s="430">
        <v>0</v>
      </c>
      <c r="E159" s="430">
        <v>9533.2000000000007</v>
      </c>
      <c r="F159" s="430">
        <v>45270.400000000001</v>
      </c>
      <c r="G159" s="430">
        <f t="shared" si="17"/>
        <v>54803.600000000006</v>
      </c>
      <c r="H159" s="430">
        <v>12061.4</v>
      </c>
      <c r="I159" s="430">
        <v>744331.1</v>
      </c>
      <c r="J159" s="430">
        <f t="shared" si="18"/>
        <v>756392.5</v>
      </c>
      <c r="K159" s="274">
        <v>153192</v>
      </c>
      <c r="L159" s="274">
        <f t="shared" si="19"/>
        <v>1062174.8</v>
      </c>
      <c r="M159" s="486"/>
      <c r="N159" s="155"/>
      <c r="O159" s="155"/>
      <c r="P159" s="159"/>
      <c r="Q159" s="159"/>
    </row>
    <row r="160" spans="1:17" s="446" customFormat="1" ht="12.6" customHeight="1" x14ac:dyDescent="0.25">
      <c r="A160" s="160" t="s">
        <v>1404</v>
      </c>
      <c r="B160" s="1709" t="s">
        <v>548</v>
      </c>
      <c r="C160" s="429">
        <v>98152.1</v>
      </c>
      <c r="D160" s="429">
        <v>0</v>
      </c>
      <c r="E160" s="429">
        <v>10375.700000000001</v>
      </c>
      <c r="F160" s="429">
        <v>44700.6</v>
      </c>
      <c r="G160" s="429">
        <f t="shared" si="17"/>
        <v>55076.3</v>
      </c>
      <c r="H160" s="429">
        <v>12971</v>
      </c>
      <c r="I160" s="429">
        <v>756910.9</v>
      </c>
      <c r="J160" s="429">
        <f t="shared" si="18"/>
        <v>769881.9</v>
      </c>
      <c r="K160" s="51">
        <v>157239.70000000001</v>
      </c>
      <c r="L160" s="51">
        <f t="shared" si="19"/>
        <v>1080350</v>
      </c>
      <c r="M160" s="486"/>
      <c r="N160" s="155"/>
      <c r="O160" s="155"/>
      <c r="P160" s="159"/>
      <c r="Q160" s="159"/>
    </row>
    <row r="161" spans="1:17" s="446" customFormat="1" ht="12.6" customHeight="1" x14ac:dyDescent="0.25">
      <c r="A161" s="160" t="s">
        <v>1404</v>
      </c>
      <c r="B161" s="372" t="s">
        <v>556</v>
      </c>
      <c r="C161" s="430">
        <v>98916.900000000009</v>
      </c>
      <c r="D161" s="430">
        <v>0</v>
      </c>
      <c r="E161" s="430">
        <v>10319.200000000001</v>
      </c>
      <c r="F161" s="430">
        <v>45416.7</v>
      </c>
      <c r="G161" s="430">
        <f t="shared" si="17"/>
        <v>55735.899999999994</v>
      </c>
      <c r="H161" s="430">
        <v>13791.6</v>
      </c>
      <c r="I161" s="430">
        <v>760348.4</v>
      </c>
      <c r="J161" s="430">
        <f t="shared" si="18"/>
        <v>774140</v>
      </c>
      <c r="K161" s="274">
        <v>158042.9</v>
      </c>
      <c r="L161" s="274">
        <f t="shared" si="19"/>
        <v>1086835.7</v>
      </c>
      <c r="M161" s="486"/>
      <c r="N161" s="155"/>
      <c r="O161" s="155"/>
      <c r="P161" s="159"/>
      <c r="Q161" s="159"/>
    </row>
    <row r="162" spans="1:17" s="446" customFormat="1" ht="12.6" customHeight="1" x14ac:dyDescent="0.25">
      <c r="A162" s="160" t="s">
        <v>1404</v>
      </c>
      <c r="B162" s="1709" t="s">
        <v>557</v>
      </c>
      <c r="C162" s="429">
        <v>92946</v>
      </c>
      <c r="D162" s="429">
        <v>0</v>
      </c>
      <c r="E162" s="429">
        <v>10240</v>
      </c>
      <c r="F162" s="429">
        <v>44724.5</v>
      </c>
      <c r="G162" s="429">
        <f t="shared" si="17"/>
        <v>54964.5</v>
      </c>
      <c r="H162" s="429">
        <v>13628.4</v>
      </c>
      <c r="I162" s="429">
        <v>766391.8</v>
      </c>
      <c r="J162" s="429">
        <f t="shared" si="18"/>
        <v>780020.20000000007</v>
      </c>
      <c r="K162" s="51">
        <v>159232.4</v>
      </c>
      <c r="L162" s="51">
        <f t="shared" si="19"/>
        <v>1087163.1000000001</v>
      </c>
      <c r="M162" s="486"/>
      <c r="N162" s="155"/>
      <c r="O162" s="155"/>
      <c r="P162" s="159"/>
      <c r="Q162" s="159"/>
    </row>
    <row r="163" spans="1:17" s="446" customFormat="1" ht="12.6" customHeight="1" x14ac:dyDescent="0.25">
      <c r="A163" s="160" t="s">
        <v>1404</v>
      </c>
      <c r="B163" s="372" t="s">
        <v>549</v>
      </c>
      <c r="C163" s="430">
        <v>92512</v>
      </c>
      <c r="D163" s="430">
        <v>0</v>
      </c>
      <c r="E163" s="430">
        <v>10322.9</v>
      </c>
      <c r="F163" s="430">
        <v>44055.7</v>
      </c>
      <c r="G163" s="430">
        <f t="shared" si="17"/>
        <v>54378.6</v>
      </c>
      <c r="H163" s="430">
        <v>13739.1</v>
      </c>
      <c r="I163" s="430">
        <v>774765.9</v>
      </c>
      <c r="J163" s="430">
        <f t="shared" si="18"/>
        <v>788505</v>
      </c>
      <c r="K163" s="274">
        <v>160864.5</v>
      </c>
      <c r="L163" s="274">
        <f t="shared" si="19"/>
        <v>1096260.1000000001</v>
      </c>
      <c r="M163" s="486"/>
      <c r="N163" s="155"/>
      <c r="O163" s="155"/>
      <c r="P163" s="159"/>
      <c r="Q163" s="159"/>
    </row>
    <row r="164" spans="1:17" s="446" customFormat="1" ht="12.6" customHeight="1" x14ac:dyDescent="0.25">
      <c r="A164" s="160" t="s">
        <v>1404</v>
      </c>
      <c r="B164" s="1709" t="s">
        <v>558</v>
      </c>
      <c r="C164" s="429">
        <v>93266.6</v>
      </c>
      <c r="D164" s="429">
        <v>0</v>
      </c>
      <c r="E164" s="429">
        <v>10646.5</v>
      </c>
      <c r="F164" s="429">
        <v>43856.9</v>
      </c>
      <c r="G164" s="429">
        <f t="shared" si="17"/>
        <v>54503.4</v>
      </c>
      <c r="H164" s="429">
        <v>13054.9</v>
      </c>
      <c r="I164" s="429">
        <v>780995.1</v>
      </c>
      <c r="J164" s="429">
        <f t="shared" si="18"/>
        <v>794050</v>
      </c>
      <c r="K164" s="51">
        <v>163077.20000000001</v>
      </c>
      <c r="L164" s="51">
        <f t="shared" si="19"/>
        <v>1104897.2</v>
      </c>
      <c r="M164" s="486"/>
      <c r="N164" s="155"/>
      <c r="O164" s="155"/>
      <c r="P164" s="159"/>
      <c r="Q164" s="159"/>
    </row>
    <row r="165" spans="1:17" s="446" customFormat="1" ht="12.6" customHeight="1" x14ac:dyDescent="0.25">
      <c r="A165" s="160" t="s">
        <v>1404</v>
      </c>
      <c r="B165" s="372" t="s">
        <v>559</v>
      </c>
      <c r="C165" s="428">
        <v>113084.70000000001</v>
      </c>
      <c r="D165" s="428">
        <v>0</v>
      </c>
      <c r="E165" s="428">
        <v>11000</v>
      </c>
      <c r="F165" s="428">
        <v>43557.3</v>
      </c>
      <c r="G165" s="428">
        <f t="shared" si="17"/>
        <v>54557.3</v>
      </c>
      <c r="H165" s="428">
        <v>13405.6</v>
      </c>
      <c r="I165" s="428">
        <v>791578.3</v>
      </c>
      <c r="J165" s="428">
        <f t="shared" si="18"/>
        <v>804983.9</v>
      </c>
      <c r="K165" s="270">
        <v>165782.70000000001</v>
      </c>
      <c r="L165" s="270">
        <f t="shared" si="19"/>
        <v>1138408.6000000001</v>
      </c>
      <c r="M165" s="486"/>
      <c r="N165" s="155"/>
      <c r="O165" s="155"/>
      <c r="P165" s="159"/>
      <c r="Q165" s="159"/>
    </row>
    <row r="166" spans="1:17" s="446" customFormat="1" ht="12.6" customHeight="1" x14ac:dyDescent="0.25">
      <c r="A166" s="160" t="s">
        <v>1404</v>
      </c>
      <c r="B166" s="1709" t="s">
        <v>550</v>
      </c>
      <c r="C166" s="433">
        <v>113273.4</v>
      </c>
      <c r="D166" s="433">
        <v>0</v>
      </c>
      <c r="E166" s="433">
        <v>10941.8</v>
      </c>
      <c r="F166" s="433">
        <v>44526.6</v>
      </c>
      <c r="G166" s="433">
        <f t="shared" si="17"/>
        <v>55468.399999999994</v>
      </c>
      <c r="H166" s="433">
        <v>12413.8</v>
      </c>
      <c r="I166" s="433">
        <v>797858.7</v>
      </c>
      <c r="J166" s="433">
        <f t="shared" si="18"/>
        <v>810272.5</v>
      </c>
      <c r="K166" s="214">
        <v>167870.4</v>
      </c>
      <c r="L166" s="214">
        <f t="shared" si="19"/>
        <v>1146884.7</v>
      </c>
      <c r="M166" s="486"/>
      <c r="N166" s="155"/>
      <c r="O166" s="155"/>
      <c r="P166" s="159"/>
      <c r="Q166" s="159"/>
    </row>
    <row r="167" spans="1:17" s="446" customFormat="1" ht="12.6" customHeight="1" x14ac:dyDescent="0.25">
      <c r="A167" s="160" t="s">
        <v>1484</v>
      </c>
      <c r="B167" s="372" t="s">
        <v>552</v>
      </c>
      <c r="C167" s="433">
        <v>129962.5</v>
      </c>
      <c r="D167" s="433">
        <v>0</v>
      </c>
      <c r="E167" s="433">
        <v>11041.7</v>
      </c>
      <c r="F167" s="433">
        <v>43836.1</v>
      </c>
      <c r="G167" s="433">
        <f t="shared" ref="G167:G190" si="20">E167+F167</f>
        <v>54877.8</v>
      </c>
      <c r="H167" s="433">
        <v>13381.5</v>
      </c>
      <c r="I167" s="433">
        <v>791815.4</v>
      </c>
      <c r="J167" s="433">
        <f t="shared" ref="J167:J190" si="21">H167+I167</f>
        <v>805196.9</v>
      </c>
      <c r="K167" s="214">
        <v>167314.5</v>
      </c>
      <c r="L167" s="214">
        <f t="shared" ref="L167:L190" si="22">C167+D167+G167+J167+K167</f>
        <v>1157351.7</v>
      </c>
      <c r="M167" s="486"/>
      <c r="N167" s="155"/>
      <c r="O167" s="155"/>
      <c r="P167" s="159"/>
      <c r="Q167" s="159"/>
    </row>
    <row r="168" spans="1:17" s="446" customFormat="1" ht="12.6" customHeight="1" x14ac:dyDescent="0.25">
      <c r="A168" s="160" t="s">
        <v>1484</v>
      </c>
      <c r="B168" s="1709" t="s">
        <v>553</v>
      </c>
      <c r="C168" s="428">
        <v>138377.70000000001</v>
      </c>
      <c r="D168" s="428">
        <v>0</v>
      </c>
      <c r="E168" s="428">
        <v>11043.4</v>
      </c>
      <c r="F168" s="428">
        <v>42300.7</v>
      </c>
      <c r="G168" s="428">
        <f t="shared" si="20"/>
        <v>53344.1</v>
      </c>
      <c r="H168" s="428">
        <v>13359.2</v>
      </c>
      <c r="I168" s="428">
        <v>797896.4</v>
      </c>
      <c r="J168" s="428">
        <f t="shared" si="21"/>
        <v>811255.6</v>
      </c>
      <c r="K168" s="270">
        <v>167200.79999999999</v>
      </c>
      <c r="L168" s="270">
        <f t="shared" si="22"/>
        <v>1170178.2</v>
      </c>
      <c r="M168" s="486"/>
      <c r="N168" s="155"/>
      <c r="O168" s="155"/>
      <c r="P168" s="159"/>
      <c r="Q168" s="159"/>
    </row>
    <row r="169" spans="1:17" s="446" customFormat="1" ht="12.6" customHeight="1" x14ac:dyDescent="0.25">
      <c r="A169" s="160" t="s">
        <v>1484</v>
      </c>
      <c r="B169" s="372" t="s">
        <v>547</v>
      </c>
      <c r="C169" s="433">
        <v>140781.6</v>
      </c>
      <c r="D169" s="433">
        <v>0</v>
      </c>
      <c r="E169" s="433">
        <v>10970.7</v>
      </c>
      <c r="F169" s="433">
        <v>43034.1</v>
      </c>
      <c r="G169" s="433">
        <f t="shared" si="20"/>
        <v>54004.800000000003</v>
      </c>
      <c r="H169" s="433">
        <v>14776.3</v>
      </c>
      <c r="I169" s="433">
        <v>805716.8</v>
      </c>
      <c r="J169" s="433">
        <f t="shared" si="21"/>
        <v>820493.10000000009</v>
      </c>
      <c r="K169" s="214">
        <v>167945.9</v>
      </c>
      <c r="L169" s="214">
        <f t="shared" si="22"/>
        <v>1183225.4000000001</v>
      </c>
      <c r="M169" s="486"/>
      <c r="N169" s="155"/>
      <c r="O169" s="155"/>
      <c r="P169" s="159"/>
      <c r="Q169" s="159"/>
    </row>
    <row r="170" spans="1:17" s="446" customFormat="1" ht="12.6" customHeight="1" x14ac:dyDescent="0.25">
      <c r="A170" s="160" t="s">
        <v>1484</v>
      </c>
      <c r="B170" s="1709" t="s">
        <v>554</v>
      </c>
      <c r="C170" s="428">
        <v>147657</v>
      </c>
      <c r="D170" s="428">
        <v>0</v>
      </c>
      <c r="E170" s="428">
        <v>11396.1</v>
      </c>
      <c r="F170" s="428">
        <v>43199.9</v>
      </c>
      <c r="G170" s="428">
        <f t="shared" si="20"/>
        <v>54596</v>
      </c>
      <c r="H170" s="428">
        <v>14452.2</v>
      </c>
      <c r="I170" s="428">
        <v>813328.1</v>
      </c>
      <c r="J170" s="428">
        <f t="shared" si="21"/>
        <v>827780.29999999993</v>
      </c>
      <c r="K170" s="270">
        <v>169429.9</v>
      </c>
      <c r="L170" s="270">
        <f t="shared" si="22"/>
        <v>1199463.2</v>
      </c>
      <c r="M170" s="486"/>
      <c r="N170" s="155"/>
      <c r="O170" s="155"/>
      <c r="P170" s="159"/>
      <c r="Q170" s="159"/>
    </row>
    <row r="171" spans="1:17" s="446" customFormat="1" ht="12.6" customHeight="1" x14ac:dyDescent="0.25">
      <c r="A171" s="160" t="s">
        <v>1484</v>
      </c>
      <c r="B171" s="372" t="s">
        <v>555</v>
      </c>
      <c r="C171" s="433">
        <v>153436.29999999999</v>
      </c>
      <c r="D171" s="433">
        <v>0</v>
      </c>
      <c r="E171" s="433">
        <v>11456.3</v>
      </c>
      <c r="F171" s="433">
        <v>43980.3</v>
      </c>
      <c r="G171" s="433">
        <f t="shared" si="20"/>
        <v>55436.600000000006</v>
      </c>
      <c r="H171" s="433">
        <v>15491</v>
      </c>
      <c r="I171" s="433">
        <v>820353.4</v>
      </c>
      <c r="J171" s="433">
        <f t="shared" si="21"/>
        <v>835844.4</v>
      </c>
      <c r="K171" s="214">
        <v>171485.19999999995</v>
      </c>
      <c r="L171" s="214">
        <f t="shared" si="22"/>
        <v>1216202.5</v>
      </c>
      <c r="M171" s="486"/>
      <c r="N171" s="155"/>
      <c r="O171" s="155"/>
      <c r="P171" s="159"/>
      <c r="Q171" s="159"/>
    </row>
    <row r="172" spans="1:17" s="446" customFormat="1" ht="12.6" customHeight="1" x14ac:dyDescent="0.25">
      <c r="A172" s="160" t="s">
        <v>1484</v>
      </c>
      <c r="B172" s="1709" t="s">
        <v>548</v>
      </c>
      <c r="C172" s="428">
        <v>156860.79999999999</v>
      </c>
      <c r="D172" s="428">
        <v>0</v>
      </c>
      <c r="E172" s="428">
        <v>11427.9</v>
      </c>
      <c r="F172" s="428">
        <v>43133.599999999999</v>
      </c>
      <c r="G172" s="428">
        <f t="shared" si="20"/>
        <v>54561.5</v>
      </c>
      <c r="H172" s="428">
        <v>19155.900000000001</v>
      </c>
      <c r="I172" s="428">
        <v>835892.1</v>
      </c>
      <c r="J172" s="428">
        <f t="shared" si="21"/>
        <v>855048</v>
      </c>
      <c r="K172" s="270">
        <v>174127.8</v>
      </c>
      <c r="L172" s="270">
        <f t="shared" si="22"/>
        <v>1240598.1000000001</v>
      </c>
      <c r="M172" s="486"/>
      <c r="N172" s="155"/>
      <c r="O172" s="155"/>
      <c r="P172" s="159"/>
      <c r="Q172" s="159"/>
    </row>
    <row r="173" spans="1:17" s="446" customFormat="1" ht="12.6" customHeight="1" x14ac:dyDescent="0.25">
      <c r="A173" s="160" t="s">
        <v>1484</v>
      </c>
      <c r="B173" s="372" t="s">
        <v>556</v>
      </c>
      <c r="C173" s="433">
        <v>163255.1</v>
      </c>
      <c r="D173" s="433">
        <v>0</v>
      </c>
      <c r="E173" s="433">
        <v>11367.2</v>
      </c>
      <c r="F173" s="433">
        <v>43109.7</v>
      </c>
      <c r="G173" s="433">
        <f t="shared" si="20"/>
        <v>54476.899999999994</v>
      </c>
      <c r="H173" s="433">
        <v>18376.7</v>
      </c>
      <c r="I173" s="433">
        <v>834488.1</v>
      </c>
      <c r="J173" s="433">
        <f t="shared" si="21"/>
        <v>852864.79999999993</v>
      </c>
      <c r="K173" s="214">
        <v>174875.20000000024</v>
      </c>
      <c r="L173" s="214">
        <f t="shared" si="22"/>
        <v>1245472</v>
      </c>
      <c r="M173" s="486"/>
      <c r="N173" s="155"/>
      <c r="O173" s="155"/>
      <c r="P173" s="159"/>
      <c r="Q173" s="159"/>
    </row>
    <row r="174" spans="1:17" s="446" customFormat="1" ht="12.6" customHeight="1" x14ac:dyDescent="0.25">
      <c r="A174" s="160" t="s">
        <v>1484</v>
      </c>
      <c r="B174" s="1709" t="s">
        <v>557</v>
      </c>
      <c r="C174" s="428">
        <v>162241.60000000001</v>
      </c>
      <c r="D174" s="428">
        <v>0</v>
      </c>
      <c r="E174" s="428">
        <v>11366.1</v>
      </c>
      <c r="F174" s="428">
        <v>42643.7</v>
      </c>
      <c r="G174" s="428">
        <f t="shared" si="20"/>
        <v>54009.799999999996</v>
      </c>
      <c r="H174" s="428">
        <v>18664.900000000001</v>
      </c>
      <c r="I174" s="428">
        <v>839780.5</v>
      </c>
      <c r="J174" s="428">
        <f t="shared" si="21"/>
        <v>858445.4</v>
      </c>
      <c r="K174" s="270">
        <v>176477.8000000001</v>
      </c>
      <c r="L174" s="270">
        <f t="shared" si="22"/>
        <v>1251174.6000000001</v>
      </c>
      <c r="M174" s="486"/>
      <c r="N174" s="155"/>
      <c r="O174" s="155"/>
      <c r="P174" s="159"/>
      <c r="Q174" s="159"/>
    </row>
    <row r="175" spans="1:17" s="446" customFormat="1" ht="12.6" customHeight="1" x14ac:dyDescent="0.25">
      <c r="A175" s="160" t="s">
        <v>1484</v>
      </c>
      <c r="B175" s="372" t="s">
        <v>549</v>
      </c>
      <c r="C175" s="433">
        <v>133765.1</v>
      </c>
      <c r="D175" s="433">
        <v>0</v>
      </c>
      <c r="E175" s="433">
        <v>11341.8</v>
      </c>
      <c r="F175" s="433">
        <v>42379.6</v>
      </c>
      <c r="G175" s="433">
        <f t="shared" si="20"/>
        <v>53721.399999999994</v>
      </c>
      <c r="H175" s="433">
        <v>18799.5</v>
      </c>
      <c r="I175" s="433">
        <v>848392.4</v>
      </c>
      <c r="J175" s="433">
        <f t="shared" si="21"/>
        <v>867191.9</v>
      </c>
      <c r="K175" s="214">
        <v>175807.5</v>
      </c>
      <c r="L175" s="214">
        <f t="shared" si="22"/>
        <v>1230485.8999999999</v>
      </c>
      <c r="M175" s="486"/>
      <c r="N175" s="155"/>
      <c r="O175" s="155"/>
      <c r="P175" s="159"/>
      <c r="Q175" s="159"/>
    </row>
    <row r="176" spans="1:17" s="446" customFormat="1" ht="12.6" customHeight="1" x14ac:dyDescent="0.25">
      <c r="A176" s="160" t="s">
        <v>1484</v>
      </c>
      <c r="B176" s="1709" t="s">
        <v>558</v>
      </c>
      <c r="C176" s="428">
        <v>168382</v>
      </c>
      <c r="D176" s="428">
        <v>0</v>
      </c>
      <c r="E176" s="428">
        <v>11362.1</v>
      </c>
      <c r="F176" s="428">
        <v>43322</v>
      </c>
      <c r="G176" s="428">
        <f t="shared" si="20"/>
        <v>54684.1</v>
      </c>
      <c r="H176" s="428">
        <v>18557.099999999999</v>
      </c>
      <c r="I176" s="428">
        <v>855928.5</v>
      </c>
      <c r="J176" s="428">
        <f t="shared" si="21"/>
        <v>874485.6</v>
      </c>
      <c r="K176" s="270">
        <v>175920.1</v>
      </c>
      <c r="L176" s="270">
        <f t="shared" si="22"/>
        <v>1273471.8</v>
      </c>
      <c r="M176" s="486"/>
      <c r="N176" s="155"/>
      <c r="O176" s="155"/>
      <c r="P176" s="159"/>
      <c r="Q176" s="159"/>
    </row>
    <row r="177" spans="1:17" s="446" customFormat="1" ht="12.6" customHeight="1" x14ac:dyDescent="0.25">
      <c r="A177" s="160" t="s">
        <v>1484</v>
      </c>
      <c r="B177" s="372" t="s">
        <v>559</v>
      </c>
      <c r="C177" s="433">
        <v>162518</v>
      </c>
      <c r="D177" s="433">
        <v>0</v>
      </c>
      <c r="E177" s="433">
        <v>11397</v>
      </c>
      <c r="F177" s="433">
        <v>43354.2</v>
      </c>
      <c r="G177" s="433">
        <f t="shared" si="20"/>
        <v>54751.199999999997</v>
      </c>
      <c r="H177" s="433">
        <v>18454.599999999999</v>
      </c>
      <c r="I177" s="433">
        <v>869573.3</v>
      </c>
      <c r="J177" s="433">
        <f t="shared" si="21"/>
        <v>888027.9</v>
      </c>
      <c r="K177" s="214">
        <v>176630.2</v>
      </c>
      <c r="L177" s="214">
        <f t="shared" si="22"/>
        <v>1281927.3</v>
      </c>
      <c r="M177" s="486"/>
      <c r="N177" s="155"/>
      <c r="O177" s="155"/>
      <c r="P177" s="159"/>
      <c r="Q177" s="159"/>
    </row>
    <row r="178" spans="1:17" s="446" customFormat="1" ht="12.6" customHeight="1" x14ac:dyDescent="0.25">
      <c r="A178" s="160" t="s">
        <v>1484</v>
      </c>
      <c r="B178" s="1709" t="s">
        <v>550</v>
      </c>
      <c r="C178" s="428">
        <v>181150.7</v>
      </c>
      <c r="D178" s="428">
        <v>0</v>
      </c>
      <c r="E178" s="428">
        <v>11420.7</v>
      </c>
      <c r="F178" s="428">
        <v>43383.4</v>
      </c>
      <c r="G178" s="428">
        <f t="shared" si="20"/>
        <v>54804.100000000006</v>
      </c>
      <c r="H178" s="428">
        <v>17794.400000000001</v>
      </c>
      <c r="I178" s="428">
        <v>875826.1</v>
      </c>
      <c r="J178" s="428">
        <f t="shared" si="21"/>
        <v>893620.5</v>
      </c>
      <c r="K178" s="270">
        <v>178058.39999999991</v>
      </c>
      <c r="L178" s="270">
        <f t="shared" si="22"/>
        <v>1307633.7</v>
      </c>
      <c r="M178" s="486"/>
      <c r="N178" s="155"/>
      <c r="O178" s="155"/>
      <c r="P178" s="159"/>
      <c r="Q178" s="159"/>
    </row>
    <row r="179" spans="1:17" s="446" customFormat="1" ht="12.6" customHeight="1" x14ac:dyDescent="0.25">
      <c r="A179" s="160" t="s">
        <v>1536</v>
      </c>
      <c r="B179" s="372" t="s">
        <v>552</v>
      </c>
      <c r="C179" s="428">
        <v>196694.9</v>
      </c>
      <c r="D179" s="428">
        <v>0</v>
      </c>
      <c r="E179" s="428">
        <v>11307.1</v>
      </c>
      <c r="F179" s="428">
        <v>42537</v>
      </c>
      <c r="G179" s="428">
        <f t="shared" si="20"/>
        <v>53844.1</v>
      </c>
      <c r="H179" s="428">
        <v>19123</v>
      </c>
      <c r="I179" s="428">
        <v>933569</v>
      </c>
      <c r="J179" s="428">
        <f t="shared" si="21"/>
        <v>952692</v>
      </c>
      <c r="K179" s="270">
        <v>117723.99999999977</v>
      </c>
      <c r="L179" s="270">
        <f t="shared" si="22"/>
        <v>1320954.9999999998</v>
      </c>
      <c r="M179" s="486"/>
      <c r="N179" s="155"/>
      <c r="O179" s="155"/>
      <c r="P179" s="159"/>
      <c r="Q179" s="159"/>
    </row>
    <row r="180" spans="1:17" s="446" customFormat="1" ht="12.6" customHeight="1" x14ac:dyDescent="0.25">
      <c r="A180" s="160" t="s">
        <v>1536</v>
      </c>
      <c r="B180" s="1709" t="s">
        <v>553</v>
      </c>
      <c r="C180" s="433">
        <v>195187.9</v>
      </c>
      <c r="D180" s="433">
        <v>0</v>
      </c>
      <c r="E180" s="433">
        <v>11416.8</v>
      </c>
      <c r="F180" s="433">
        <v>41794.5</v>
      </c>
      <c r="G180" s="433">
        <f t="shared" si="20"/>
        <v>53211.3</v>
      </c>
      <c r="H180" s="433">
        <v>19484.7</v>
      </c>
      <c r="I180" s="433">
        <v>939368.6</v>
      </c>
      <c r="J180" s="433">
        <f t="shared" si="21"/>
        <v>958853.29999999993</v>
      </c>
      <c r="K180" s="214">
        <v>119147.09999999986</v>
      </c>
      <c r="L180" s="214">
        <f t="shared" si="22"/>
        <v>1326399.5999999999</v>
      </c>
      <c r="M180" s="486"/>
      <c r="N180" s="155"/>
      <c r="O180" s="155"/>
      <c r="P180" s="159"/>
      <c r="Q180" s="159"/>
    </row>
    <row r="181" spans="1:17" s="446" customFormat="1" ht="12.6" customHeight="1" x14ac:dyDescent="0.25">
      <c r="A181" s="160" t="s">
        <v>1536</v>
      </c>
      <c r="B181" s="372" t="s">
        <v>547</v>
      </c>
      <c r="C181" s="428">
        <v>190498.6</v>
      </c>
      <c r="D181" s="428">
        <v>0</v>
      </c>
      <c r="E181" s="428">
        <v>11312.5</v>
      </c>
      <c r="F181" s="428">
        <v>41540.300000000003</v>
      </c>
      <c r="G181" s="428">
        <f t="shared" si="20"/>
        <v>52852.800000000003</v>
      </c>
      <c r="H181" s="428">
        <v>18065.5</v>
      </c>
      <c r="I181" s="428">
        <v>891028.8</v>
      </c>
      <c r="J181" s="428">
        <f t="shared" si="21"/>
        <v>909094.3</v>
      </c>
      <c r="K181" s="270">
        <v>180513.2</v>
      </c>
      <c r="L181" s="270">
        <f t="shared" si="22"/>
        <v>1332958.9000000001</v>
      </c>
      <c r="M181" s="486"/>
      <c r="N181" s="155"/>
      <c r="O181" s="155"/>
      <c r="P181" s="159"/>
      <c r="Q181" s="159"/>
    </row>
    <row r="182" spans="1:17" s="446" customFormat="1" ht="12.6" customHeight="1" x14ac:dyDescent="0.25">
      <c r="A182" s="160" t="s">
        <v>1536</v>
      </c>
      <c r="B182" s="1709" t="s">
        <v>554</v>
      </c>
      <c r="C182" s="433">
        <v>191607.1</v>
      </c>
      <c r="D182" s="433">
        <v>0</v>
      </c>
      <c r="E182" s="433">
        <v>11660.6</v>
      </c>
      <c r="F182" s="433">
        <v>40976.1</v>
      </c>
      <c r="G182" s="433">
        <f t="shared" si="20"/>
        <v>52636.7</v>
      </c>
      <c r="H182" s="433">
        <v>19313.3</v>
      </c>
      <c r="I182" s="433">
        <v>950267.9</v>
      </c>
      <c r="J182" s="433">
        <f t="shared" si="21"/>
        <v>969581.20000000007</v>
      </c>
      <c r="K182" s="214">
        <v>122160.09999999977</v>
      </c>
      <c r="L182" s="214">
        <f t="shared" si="22"/>
        <v>1335985.0999999999</v>
      </c>
      <c r="M182" s="486"/>
      <c r="N182" s="155"/>
      <c r="O182" s="155"/>
      <c r="P182" s="159"/>
      <c r="Q182" s="159"/>
    </row>
    <row r="183" spans="1:17" s="446" customFormat="1" ht="12.6" customHeight="1" x14ac:dyDescent="0.25">
      <c r="A183" s="160" t="s">
        <v>1536</v>
      </c>
      <c r="B183" s="372" t="s">
        <v>555</v>
      </c>
      <c r="C183" s="428">
        <v>193146</v>
      </c>
      <c r="D183" s="428">
        <v>0</v>
      </c>
      <c r="E183" s="1818">
        <v>11548.2</v>
      </c>
      <c r="F183" s="1818">
        <v>40999.599999999999</v>
      </c>
      <c r="G183" s="428">
        <f t="shared" si="20"/>
        <v>52547.8</v>
      </c>
      <c r="H183" s="1818">
        <v>19092.599999999999</v>
      </c>
      <c r="I183" s="1818">
        <v>895984.7</v>
      </c>
      <c r="J183" s="428">
        <f t="shared" si="21"/>
        <v>915077.29999999993</v>
      </c>
      <c r="K183" s="1818">
        <v>183917.7</v>
      </c>
      <c r="L183" s="1818">
        <f t="shared" si="22"/>
        <v>1344688.7999999998</v>
      </c>
      <c r="M183" s="486"/>
      <c r="N183" s="155"/>
      <c r="O183" s="155"/>
      <c r="P183" s="159"/>
      <c r="Q183" s="159"/>
    </row>
    <row r="184" spans="1:17" s="446" customFormat="1" ht="12.6" customHeight="1" x14ac:dyDescent="0.25">
      <c r="A184" s="160" t="s">
        <v>1536</v>
      </c>
      <c r="B184" s="1709" t="s">
        <v>548</v>
      </c>
      <c r="C184" s="433">
        <v>191282.6</v>
      </c>
      <c r="D184" s="433">
        <v>0</v>
      </c>
      <c r="E184" s="1817">
        <v>11384.7</v>
      </c>
      <c r="F184" s="1817">
        <v>43965.8</v>
      </c>
      <c r="G184" s="433">
        <f t="shared" si="20"/>
        <v>55350.5</v>
      </c>
      <c r="H184" s="1817">
        <v>19605.2</v>
      </c>
      <c r="I184" s="433">
        <v>909875</v>
      </c>
      <c r="J184" s="433">
        <f t="shared" si="21"/>
        <v>929480.2</v>
      </c>
      <c r="K184" s="433">
        <v>187462.2</v>
      </c>
      <c r="L184" s="1817">
        <f t="shared" si="22"/>
        <v>1363575.5</v>
      </c>
      <c r="M184" s="486"/>
      <c r="N184" s="155"/>
      <c r="O184" s="155"/>
      <c r="P184" s="159"/>
      <c r="Q184" s="159"/>
    </row>
    <row r="185" spans="1:17" s="446" customFormat="1" ht="12.6" customHeight="1" x14ac:dyDescent="0.25">
      <c r="A185" s="160" t="s">
        <v>1536</v>
      </c>
      <c r="B185" s="372" t="s">
        <v>556</v>
      </c>
      <c r="C185" s="428">
        <v>191361</v>
      </c>
      <c r="D185" s="428">
        <v>0</v>
      </c>
      <c r="E185" s="1818">
        <v>11685.1</v>
      </c>
      <c r="F185" s="1818">
        <v>43745.5</v>
      </c>
      <c r="G185" s="1818">
        <f t="shared" si="20"/>
        <v>55430.6</v>
      </c>
      <c r="H185" s="1818">
        <v>19355.2</v>
      </c>
      <c r="I185" s="428">
        <v>907548.2</v>
      </c>
      <c r="J185" s="428">
        <f t="shared" si="21"/>
        <v>926903.39999999991</v>
      </c>
      <c r="K185" s="428">
        <v>188729.60000000001</v>
      </c>
      <c r="L185" s="428">
        <f t="shared" si="22"/>
        <v>1362424.6</v>
      </c>
      <c r="M185" s="486"/>
      <c r="N185" s="155"/>
      <c r="O185" s="155"/>
      <c r="P185" s="159"/>
      <c r="Q185" s="159"/>
    </row>
    <row r="186" spans="1:17" s="446" customFormat="1" ht="12.6" customHeight="1" x14ac:dyDescent="0.25">
      <c r="A186" s="160" t="s">
        <v>1536</v>
      </c>
      <c r="B186" s="1709" t="s">
        <v>557</v>
      </c>
      <c r="C186" s="433">
        <v>179511.5</v>
      </c>
      <c r="D186" s="433">
        <v>0</v>
      </c>
      <c r="E186" s="1817">
        <v>11673.4</v>
      </c>
      <c r="F186" s="1817">
        <v>44001.9</v>
      </c>
      <c r="G186" s="1817">
        <f t="shared" si="20"/>
        <v>55675.3</v>
      </c>
      <c r="H186" s="1817">
        <v>19808.7</v>
      </c>
      <c r="I186" s="433">
        <v>917804.8</v>
      </c>
      <c r="J186" s="433">
        <f t="shared" si="21"/>
        <v>937613.5</v>
      </c>
      <c r="K186" s="433">
        <v>191703.9</v>
      </c>
      <c r="L186" s="433">
        <f t="shared" si="22"/>
        <v>1364504.2</v>
      </c>
      <c r="M186" s="486"/>
      <c r="N186" s="155"/>
      <c r="O186" s="155"/>
      <c r="P186" s="159"/>
      <c r="Q186" s="159"/>
    </row>
    <row r="187" spans="1:17" s="446" customFormat="1" ht="12.6" customHeight="1" x14ac:dyDescent="0.25">
      <c r="A187" s="160" t="s">
        <v>1536</v>
      </c>
      <c r="B187" s="372" t="s">
        <v>549</v>
      </c>
      <c r="C187" s="428">
        <v>178911.8</v>
      </c>
      <c r="D187" s="428">
        <v>0</v>
      </c>
      <c r="E187" s="1818">
        <v>11721.4</v>
      </c>
      <c r="F187" s="1818">
        <v>44811.9</v>
      </c>
      <c r="G187" s="1818">
        <f t="shared" si="20"/>
        <v>56533.3</v>
      </c>
      <c r="H187" s="1818">
        <v>19717.2</v>
      </c>
      <c r="I187" s="428">
        <v>921088.4</v>
      </c>
      <c r="J187" s="428">
        <f t="shared" si="21"/>
        <v>940805.6</v>
      </c>
      <c r="K187" s="428">
        <v>194483</v>
      </c>
      <c r="L187" s="428">
        <f t="shared" si="22"/>
        <v>1370733.7</v>
      </c>
      <c r="M187" s="486"/>
      <c r="N187" s="155"/>
      <c r="O187" s="155"/>
      <c r="P187" s="159"/>
      <c r="Q187" s="159"/>
    </row>
    <row r="188" spans="1:17" s="446" customFormat="1" ht="12.6" customHeight="1" x14ac:dyDescent="0.25">
      <c r="A188" s="160" t="s">
        <v>1536</v>
      </c>
      <c r="B188" s="1709" t="s">
        <v>558</v>
      </c>
      <c r="C188" s="433">
        <v>187168.1</v>
      </c>
      <c r="D188" s="433">
        <v>0</v>
      </c>
      <c r="E188" s="1817">
        <v>11660.9</v>
      </c>
      <c r="F188" s="1817">
        <v>44042.6</v>
      </c>
      <c r="G188" s="1817">
        <f t="shared" si="20"/>
        <v>55703.5</v>
      </c>
      <c r="H188" s="1817">
        <v>19065.900000000001</v>
      </c>
      <c r="I188" s="433">
        <v>924740.1</v>
      </c>
      <c r="J188" s="433">
        <f t="shared" si="21"/>
        <v>943806</v>
      </c>
      <c r="K188" s="433">
        <v>195554.19999999966</v>
      </c>
      <c r="L188" s="433">
        <f t="shared" si="22"/>
        <v>1382231.7999999998</v>
      </c>
      <c r="M188" s="486"/>
      <c r="N188" s="155"/>
      <c r="O188" s="155"/>
      <c r="P188" s="159"/>
      <c r="Q188" s="159"/>
    </row>
    <row r="189" spans="1:17" s="446" customFormat="1" ht="12.6" customHeight="1" x14ac:dyDescent="0.25">
      <c r="A189" s="160" t="s">
        <v>1536</v>
      </c>
      <c r="B189" s="372" t="s">
        <v>559</v>
      </c>
      <c r="C189" s="428">
        <v>197478.7</v>
      </c>
      <c r="D189" s="428">
        <v>0</v>
      </c>
      <c r="E189" s="1818">
        <v>11734.5</v>
      </c>
      <c r="F189" s="428">
        <v>43140</v>
      </c>
      <c r="G189" s="1818">
        <f t="shared" si="20"/>
        <v>54874.5</v>
      </c>
      <c r="H189" s="1818">
        <v>19045.5</v>
      </c>
      <c r="I189" s="428">
        <v>932592.4</v>
      </c>
      <c r="J189" s="428">
        <f t="shared" si="21"/>
        <v>951637.9</v>
      </c>
      <c r="K189" s="428">
        <v>196076.5</v>
      </c>
      <c r="L189" s="428">
        <f t="shared" si="22"/>
        <v>1400067.6</v>
      </c>
      <c r="M189" s="486"/>
      <c r="N189" s="155"/>
      <c r="O189" s="155"/>
      <c r="P189" s="159"/>
      <c r="Q189" s="159"/>
    </row>
    <row r="190" spans="1:17" s="446" customFormat="1" ht="12.6" customHeight="1" x14ac:dyDescent="0.25">
      <c r="A190" s="160" t="s">
        <v>1536</v>
      </c>
      <c r="B190" s="1709" t="s">
        <v>550</v>
      </c>
      <c r="C190" s="433">
        <v>221024.9</v>
      </c>
      <c r="D190" s="433">
        <v>0</v>
      </c>
      <c r="E190" s="1817">
        <v>11686.7</v>
      </c>
      <c r="F190" s="433">
        <v>44685.5</v>
      </c>
      <c r="G190" s="433">
        <f t="shared" si="20"/>
        <v>56372.2</v>
      </c>
      <c r="H190" s="1817">
        <v>18330.400000000001</v>
      </c>
      <c r="I190" s="433">
        <v>944500.9</v>
      </c>
      <c r="J190" s="433">
        <f t="shared" si="21"/>
        <v>962831.3</v>
      </c>
      <c r="K190" s="433">
        <v>199670.7</v>
      </c>
      <c r="L190" s="433">
        <f t="shared" si="22"/>
        <v>1439899.0999999999</v>
      </c>
      <c r="M190" s="486"/>
      <c r="N190" s="155"/>
      <c r="O190" s="155"/>
      <c r="P190" s="159"/>
      <c r="Q190" s="159"/>
    </row>
    <row r="191" spans="1:17" s="446" customFormat="1" ht="12.6" customHeight="1" x14ac:dyDescent="0.25">
      <c r="A191" s="160" t="s">
        <v>1817</v>
      </c>
      <c r="B191" s="372" t="s">
        <v>552</v>
      </c>
      <c r="C191" s="433">
        <v>229134.9</v>
      </c>
      <c r="D191" s="433">
        <v>0</v>
      </c>
      <c r="E191" s="433">
        <v>11579.506458375037</v>
      </c>
      <c r="F191" s="433">
        <v>42954.990394571549</v>
      </c>
      <c r="G191" s="433">
        <v>54534.496852946584</v>
      </c>
      <c r="H191" s="433">
        <v>18553.4610015734</v>
      </c>
      <c r="I191" s="433">
        <v>944470.59143260901</v>
      </c>
      <c r="J191" s="433">
        <v>963024.05243418238</v>
      </c>
      <c r="K191" s="433">
        <v>199589.15071287064</v>
      </c>
      <c r="L191" s="433">
        <v>1446282.5999999996</v>
      </c>
      <c r="M191" s="486"/>
      <c r="N191" s="155"/>
      <c r="O191" s="155"/>
      <c r="P191" s="159"/>
      <c r="Q191" s="159"/>
    </row>
    <row r="192" spans="1:17" s="446" customFormat="1" ht="12.6" customHeight="1" x14ac:dyDescent="0.25">
      <c r="A192" s="160" t="s">
        <v>1817</v>
      </c>
      <c r="B192" s="1709" t="s">
        <v>553</v>
      </c>
      <c r="C192" s="433">
        <v>224512.3</v>
      </c>
      <c r="D192" s="433">
        <v>0</v>
      </c>
      <c r="E192" s="433">
        <v>11311.156155724431</v>
      </c>
      <c r="F192" s="433">
        <v>41759.115205893635</v>
      </c>
      <c r="G192" s="433">
        <v>53070.27136161807</v>
      </c>
      <c r="H192" s="433">
        <v>18909.319591101201</v>
      </c>
      <c r="I192" s="433">
        <v>952701.96250044706</v>
      </c>
      <c r="J192" s="433">
        <v>971611.2820915482</v>
      </c>
      <c r="K192" s="433">
        <v>199937.14654683365</v>
      </c>
      <c r="L192" s="433">
        <v>1449131</v>
      </c>
      <c r="M192" s="486"/>
      <c r="N192" s="155"/>
      <c r="O192" s="155"/>
      <c r="P192" s="159"/>
      <c r="Q192" s="159"/>
    </row>
    <row r="193" spans="1:17" s="446" customFormat="1" ht="12.6" customHeight="1" x14ac:dyDescent="0.25">
      <c r="A193" s="160" t="s">
        <v>1817</v>
      </c>
      <c r="B193" s="372" t="s">
        <v>547</v>
      </c>
      <c r="C193" s="433">
        <v>227544.9</v>
      </c>
      <c r="D193" s="433">
        <v>0</v>
      </c>
      <c r="E193" s="433">
        <v>10935.856363526456</v>
      </c>
      <c r="F193" s="433">
        <v>42673.65928798489</v>
      </c>
      <c r="G193" s="433">
        <v>53609.515651511349</v>
      </c>
      <c r="H193" s="433">
        <v>19689.6645535487</v>
      </c>
      <c r="I193" s="433">
        <v>965859.60138087894</v>
      </c>
      <c r="J193" s="433">
        <v>985549.26593442762</v>
      </c>
      <c r="K193" s="433">
        <v>202199.51841406114</v>
      </c>
      <c r="L193" s="433">
        <v>1468903.2</v>
      </c>
      <c r="M193" s="486"/>
      <c r="N193" s="155"/>
      <c r="O193" s="155"/>
      <c r="P193" s="159"/>
      <c r="Q193" s="159"/>
    </row>
    <row r="194" spans="1:17" s="446" customFormat="1" ht="12.6" customHeight="1" x14ac:dyDescent="0.25">
      <c r="A194" s="160" t="s">
        <v>1817</v>
      </c>
      <c r="B194" s="1709" t="s">
        <v>554</v>
      </c>
      <c r="C194" s="433">
        <v>230981.5</v>
      </c>
      <c r="D194" s="433">
        <v>0</v>
      </c>
      <c r="E194" s="433">
        <v>11368.405256602669</v>
      </c>
      <c r="F194" s="433">
        <v>41950.375857956933</v>
      </c>
      <c r="G194" s="433">
        <v>53318.781114559606</v>
      </c>
      <c r="H194" s="433">
        <v>20207.647994348801</v>
      </c>
      <c r="I194" s="433">
        <v>974130.22245023202</v>
      </c>
      <c r="J194" s="433">
        <v>994337.8704445808</v>
      </c>
      <c r="K194" s="433">
        <v>203467.24844085943</v>
      </c>
      <c r="L194" s="433">
        <v>1482105.4</v>
      </c>
      <c r="M194" s="486"/>
      <c r="N194" s="155"/>
      <c r="O194" s="155"/>
      <c r="P194" s="159"/>
      <c r="Q194" s="159"/>
    </row>
    <row r="195" spans="1:17" s="446" customFormat="1" ht="12.6" customHeight="1" x14ac:dyDescent="0.25">
      <c r="A195" s="160" t="s">
        <v>1817</v>
      </c>
      <c r="B195" s="372" t="s">
        <v>555</v>
      </c>
      <c r="C195" s="433">
        <v>240082.2</v>
      </c>
      <c r="D195" s="433">
        <v>0</v>
      </c>
      <c r="E195" s="433">
        <v>11335.744037868011</v>
      </c>
      <c r="F195" s="433">
        <v>42605.079168156684</v>
      </c>
      <c r="G195" s="433">
        <v>53940.823206024696</v>
      </c>
      <c r="H195" s="433">
        <v>21724.161860708398</v>
      </c>
      <c r="I195" s="433">
        <v>983290.24974298303</v>
      </c>
      <c r="J195" s="433">
        <v>1005014.4116036914</v>
      </c>
      <c r="K195" s="433">
        <v>208372.76519028383</v>
      </c>
      <c r="L195" s="433">
        <v>1507410.2</v>
      </c>
      <c r="M195" s="486"/>
      <c r="N195" s="155"/>
      <c r="O195" s="155"/>
      <c r="P195" s="159"/>
      <c r="Q195" s="159"/>
    </row>
    <row r="196" spans="1:17" s="446" customFormat="1" ht="12.6" customHeight="1" x14ac:dyDescent="0.25">
      <c r="A196" s="160" t="s">
        <v>1817</v>
      </c>
      <c r="B196" s="1709" t="s">
        <v>548</v>
      </c>
      <c r="C196" s="433">
        <v>234544.1</v>
      </c>
      <c r="D196" s="433">
        <v>0</v>
      </c>
      <c r="E196" s="433">
        <v>11143.737277985052</v>
      </c>
      <c r="F196" s="433">
        <v>45936.59275544191</v>
      </c>
      <c r="G196" s="433">
        <v>57080.330033426959</v>
      </c>
      <c r="H196" s="433">
        <v>23249.865473357699</v>
      </c>
      <c r="I196" s="433">
        <v>1005502.2081925001</v>
      </c>
      <c r="J196" s="433">
        <v>1028752.0736658578</v>
      </c>
      <c r="K196" s="433">
        <v>211811.49630071525</v>
      </c>
      <c r="L196" s="433">
        <v>1532188</v>
      </c>
      <c r="M196" s="486"/>
      <c r="N196" s="155"/>
      <c r="O196" s="155"/>
      <c r="P196" s="159"/>
      <c r="Q196" s="159"/>
    </row>
    <row r="197" spans="1:17" s="446" customFormat="1" ht="12.6" customHeight="1" x14ac:dyDescent="0.25">
      <c r="A197" s="160" t="s">
        <v>1817</v>
      </c>
      <c r="B197" s="372" t="s">
        <v>556</v>
      </c>
      <c r="C197" s="433">
        <v>232076</v>
      </c>
      <c r="D197" s="433">
        <v>0</v>
      </c>
      <c r="E197" s="433">
        <v>11495.169643673071</v>
      </c>
      <c r="F197" s="433">
        <v>45279.175198533325</v>
      </c>
      <c r="G197" s="433">
        <v>56774.344842206396</v>
      </c>
      <c r="H197" s="433">
        <v>24882.304605678699</v>
      </c>
      <c r="I197" s="433">
        <v>1005906.978367</v>
      </c>
      <c r="J197" s="433">
        <v>1030789.2829726787</v>
      </c>
      <c r="K197" s="433">
        <v>215071.87218511506</v>
      </c>
      <c r="L197" s="433">
        <v>1534711.5</v>
      </c>
      <c r="M197" s="486"/>
      <c r="N197" s="155"/>
      <c r="O197" s="155"/>
      <c r="P197" s="159"/>
      <c r="Q197" s="159"/>
    </row>
    <row r="198" spans="1:17" s="446" customFormat="1" ht="12.6" customHeight="1" x14ac:dyDescent="0.25">
      <c r="A198" s="160" t="s">
        <v>1817</v>
      </c>
      <c r="B198" s="1709" t="s">
        <v>557</v>
      </c>
      <c r="C198" s="433">
        <v>231467.6</v>
      </c>
      <c r="D198" s="433">
        <v>0</v>
      </c>
      <c r="E198" s="433">
        <v>11493.29771211174</v>
      </c>
      <c r="F198" s="433">
        <v>45473.26456616936</v>
      </c>
      <c r="G198" s="433">
        <v>56966.562278281097</v>
      </c>
      <c r="H198" s="433">
        <v>24420.294291357899</v>
      </c>
      <c r="I198" s="433">
        <v>1015800.05129565</v>
      </c>
      <c r="J198" s="433">
        <v>1040220.3455870078</v>
      </c>
      <c r="K198" s="433">
        <v>217585.89213471147</v>
      </c>
      <c r="L198" s="433">
        <v>1546240.4000000004</v>
      </c>
      <c r="M198" s="486"/>
      <c r="N198" s="155"/>
      <c r="O198" s="155"/>
      <c r="P198" s="159"/>
      <c r="Q198" s="159"/>
    </row>
    <row r="199" spans="1:17" s="446" customFormat="1" ht="12.6" customHeight="1" x14ac:dyDescent="0.25">
      <c r="A199" s="160" t="s">
        <v>1817</v>
      </c>
      <c r="B199" s="372" t="s">
        <v>549</v>
      </c>
      <c r="C199" s="433">
        <v>235493.5</v>
      </c>
      <c r="D199" s="433">
        <v>0</v>
      </c>
      <c r="E199" s="433">
        <v>11534.462013077919</v>
      </c>
      <c r="F199" s="433">
        <v>46444.12651363753</v>
      </c>
      <c r="G199" s="433">
        <v>57978.588526715452</v>
      </c>
      <c r="H199" s="433">
        <v>24236.824373610201</v>
      </c>
      <c r="I199" s="433">
        <v>1024240.14378745</v>
      </c>
      <c r="J199" s="433">
        <v>1048476.9681610602</v>
      </c>
      <c r="K199" s="433">
        <v>220761.84331222443</v>
      </c>
      <c r="L199" s="433">
        <v>1562710.9000000001</v>
      </c>
      <c r="M199" s="486"/>
      <c r="N199" s="155"/>
      <c r="O199" s="155"/>
      <c r="P199" s="159"/>
      <c r="Q199" s="159"/>
    </row>
    <row r="200" spans="1:17" s="446" customFormat="1" ht="12.6" customHeight="1" x14ac:dyDescent="0.25">
      <c r="A200" s="160" t="s">
        <v>1817</v>
      </c>
      <c r="B200" s="1709" t="s">
        <v>558</v>
      </c>
      <c r="C200" s="433">
        <v>254529.19999999998</v>
      </c>
      <c r="D200" s="433">
        <v>0</v>
      </c>
      <c r="E200" s="433">
        <v>11501.263586967871</v>
      </c>
      <c r="F200" s="433">
        <v>45660.134568726622</v>
      </c>
      <c r="G200" s="433">
        <v>57161.398155694493</v>
      </c>
      <c r="H200" s="433">
        <v>24400.702627023798</v>
      </c>
      <c r="I200" s="433">
        <v>1040615.0219765001</v>
      </c>
      <c r="J200" s="433">
        <v>1065015.724603524</v>
      </c>
      <c r="K200" s="433">
        <v>223363.17724078119</v>
      </c>
      <c r="L200" s="433">
        <v>1600069.4999999998</v>
      </c>
      <c r="M200" s="486"/>
      <c r="N200" s="155"/>
      <c r="O200" s="155"/>
      <c r="P200" s="159"/>
      <c r="Q200" s="159"/>
    </row>
    <row r="201" spans="1:17" s="446" customFormat="1" ht="12.6" customHeight="1" x14ac:dyDescent="0.25">
      <c r="A201" s="160" t="s">
        <v>1817</v>
      </c>
      <c r="B201" s="372" t="s">
        <v>559</v>
      </c>
      <c r="C201" s="433">
        <v>251184.4</v>
      </c>
      <c r="D201" s="433">
        <v>0</v>
      </c>
      <c r="E201" s="433">
        <v>11417.302293277311</v>
      </c>
      <c r="F201" s="433">
        <v>45252.714489789796</v>
      </c>
      <c r="G201" s="433">
        <v>56670.016783067105</v>
      </c>
      <c r="H201" s="433">
        <v>25453.634864756299</v>
      </c>
      <c r="I201" s="433">
        <v>1057997.87111855</v>
      </c>
      <c r="J201" s="433">
        <v>1083451.5059833063</v>
      </c>
      <c r="K201" s="433">
        <v>220240.97723362638</v>
      </c>
      <c r="L201" s="433">
        <v>1611546.9</v>
      </c>
      <c r="M201" s="486"/>
      <c r="N201" s="155"/>
      <c r="O201" s="155"/>
      <c r="P201" s="159"/>
      <c r="Q201" s="159"/>
    </row>
    <row r="202" spans="1:17" s="446" customFormat="1" ht="12.6" customHeight="1" x14ac:dyDescent="0.25">
      <c r="A202" s="160" t="s">
        <v>1817</v>
      </c>
      <c r="B202" s="1709" t="s">
        <v>550</v>
      </c>
      <c r="C202" s="433">
        <v>283314.5</v>
      </c>
      <c r="D202" s="433">
        <v>0</v>
      </c>
      <c r="E202" s="433">
        <v>11888.306285111861</v>
      </c>
      <c r="F202" s="433">
        <v>46525.068338350975</v>
      </c>
      <c r="G202" s="433">
        <v>58413.374623462834</v>
      </c>
      <c r="H202" s="433">
        <v>25306.388915850399</v>
      </c>
      <c r="I202" s="433">
        <v>1078354.71160969</v>
      </c>
      <c r="J202" s="433">
        <v>1103661.1005255403</v>
      </c>
      <c r="K202" s="433">
        <v>226359.92485099685</v>
      </c>
      <c r="L202" s="433">
        <v>1671748.9</v>
      </c>
      <c r="M202" s="486"/>
      <c r="N202" s="155"/>
      <c r="O202" s="155"/>
      <c r="P202" s="159"/>
      <c r="Q202" s="159"/>
    </row>
    <row r="203" spans="1:17" s="446" customFormat="1" ht="12.6" customHeight="1" x14ac:dyDescent="0.25">
      <c r="A203" s="160" t="s">
        <v>2066</v>
      </c>
      <c r="B203" s="212" t="s">
        <v>552</v>
      </c>
      <c r="C203" s="433">
        <v>389687.28394171601</v>
      </c>
      <c r="D203" s="433">
        <v>0</v>
      </c>
      <c r="E203" s="433">
        <v>11910.534197309789</v>
      </c>
      <c r="F203" s="433">
        <v>49577.653250548712</v>
      </c>
      <c r="G203" s="433">
        <f t="shared" ref="G203:G214" si="23">E203+F203</f>
        <v>61488.187447858501</v>
      </c>
      <c r="H203" s="433">
        <v>33126.846834725198</v>
      </c>
      <c r="I203" s="433">
        <v>1180486.14235387</v>
      </c>
      <c r="J203" s="433">
        <f t="shared" ref="J203:J214" si="24">H203+I203</f>
        <v>1213612.9891885952</v>
      </c>
      <c r="K203" s="433">
        <v>255381.65278330777</v>
      </c>
      <c r="L203" s="433">
        <f t="shared" ref="L203:L234" si="25">C203+D203+G203+J203+K203</f>
        <v>1920170.1133614774</v>
      </c>
      <c r="M203" s="486"/>
      <c r="N203" s="1198"/>
      <c r="O203" s="155"/>
      <c r="P203" s="471"/>
      <c r="Q203" s="471"/>
    </row>
    <row r="204" spans="1:17" s="446" customFormat="1" ht="12.6" customHeight="1" x14ac:dyDescent="0.25">
      <c r="A204" s="160" t="s">
        <v>2066</v>
      </c>
      <c r="B204" s="268" t="s">
        <v>553</v>
      </c>
      <c r="C204" s="428">
        <v>381879.67969403096</v>
      </c>
      <c r="D204" s="428">
        <v>0</v>
      </c>
      <c r="E204" s="428">
        <v>11921.57240212581</v>
      </c>
      <c r="F204" s="428">
        <v>49671.787030780404</v>
      </c>
      <c r="G204" s="428">
        <f t="shared" si="23"/>
        <v>61593.359432906218</v>
      </c>
      <c r="H204" s="428">
        <v>33509.826089229202</v>
      </c>
      <c r="I204" s="428">
        <v>1189217.02651275</v>
      </c>
      <c r="J204" s="428">
        <f t="shared" si="24"/>
        <v>1222726.8526019792</v>
      </c>
      <c r="K204" s="428">
        <v>256367.9068834926</v>
      </c>
      <c r="L204" s="428">
        <f t="shared" si="25"/>
        <v>1922567.7986124088</v>
      </c>
      <c r="M204" s="486"/>
      <c r="N204" s="1198"/>
      <c r="O204" s="155"/>
      <c r="P204" s="471"/>
      <c r="Q204" s="471"/>
    </row>
    <row r="205" spans="1:17" s="446" customFormat="1" ht="12.6" customHeight="1" x14ac:dyDescent="0.25">
      <c r="A205" s="160" t="s">
        <v>2066</v>
      </c>
      <c r="B205" s="212" t="s">
        <v>547</v>
      </c>
      <c r="C205" s="433">
        <v>370920.86295667797</v>
      </c>
      <c r="D205" s="433">
        <v>0</v>
      </c>
      <c r="E205" s="433">
        <v>12147.02353727566</v>
      </c>
      <c r="F205" s="433">
        <v>49372.62355946374</v>
      </c>
      <c r="G205" s="433">
        <f t="shared" si="23"/>
        <v>61519.647096739398</v>
      </c>
      <c r="H205" s="433">
        <v>34448.876896518297</v>
      </c>
      <c r="I205" s="433">
        <v>1204785.87550411</v>
      </c>
      <c r="J205" s="433">
        <f t="shared" si="24"/>
        <v>1239234.7524006283</v>
      </c>
      <c r="K205" s="433">
        <v>258895.41962939667</v>
      </c>
      <c r="L205" s="433">
        <f t="shared" si="25"/>
        <v>1930570.6820834423</v>
      </c>
      <c r="M205" s="486"/>
      <c r="N205" s="1198"/>
      <c r="O205" s="155"/>
      <c r="P205" s="471"/>
      <c r="Q205" s="471"/>
    </row>
    <row r="206" spans="1:17" s="446" customFormat="1" ht="12.6" customHeight="1" x14ac:dyDescent="0.25">
      <c r="A206" s="160" t="s">
        <v>2066</v>
      </c>
      <c r="B206" s="1036" t="s">
        <v>554</v>
      </c>
      <c r="C206" s="433">
        <v>368316.82358425792</v>
      </c>
      <c r="D206" s="433">
        <v>0</v>
      </c>
      <c r="E206" s="433">
        <v>12105.158731354408</v>
      </c>
      <c r="F206" s="433">
        <v>51253.013293146476</v>
      </c>
      <c r="G206" s="467">
        <f t="shared" si="23"/>
        <v>63358.172024500884</v>
      </c>
      <c r="H206" s="433">
        <v>34692.154468140601</v>
      </c>
      <c r="I206" s="433">
        <v>1216032.37986813</v>
      </c>
      <c r="J206" s="467">
        <f t="shared" si="24"/>
        <v>1250724.5343362705</v>
      </c>
      <c r="K206" s="433">
        <v>262034.42992121307</v>
      </c>
      <c r="L206" s="467">
        <f t="shared" si="25"/>
        <v>1944433.9598662425</v>
      </c>
      <c r="M206" s="486"/>
      <c r="N206" s="1198"/>
      <c r="O206" s="155"/>
      <c r="P206" s="471"/>
      <c r="Q206" s="471"/>
    </row>
    <row r="207" spans="1:17" s="446" customFormat="1" ht="12.6" customHeight="1" x14ac:dyDescent="0.25">
      <c r="A207" s="160" t="s">
        <v>2066</v>
      </c>
      <c r="B207" s="212" t="s">
        <v>555</v>
      </c>
      <c r="C207" s="433">
        <v>363992.393540702</v>
      </c>
      <c r="D207" s="433">
        <v>0</v>
      </c>
      <c r="E207" s="433">
        <v>12088.233217185669</v>
      </c>
      <c r="F207" s="433">
        <v>49665.013519367756</v>
      </c>
      <c r="G207" s="433">
        <f t="shared" si="23"/>
        <v>61753.246736553425</v>
      </c>
      <c r="H207" s="433">
        <v>35574.022050983302</v>
      </c>
      <c r="I207" s="433">
        <v>1232112.6463347501</v>
      </c>
      <c r="J207" s="433">
        <f t="shared" si="24"/>
        <v>1267686.6683857334</v>
      </c>
      <c r="K207" s="433">
        <v>264163.52412446716</v>
      </c>
      <c r="L207" s="433">
        <f t="shared" si="25"/>
        <v>1957595.832787456</v>
      </c>
      <c r="M207" s="486"/>
      <c r="N207" s="1198"/>
      <c r="O207" s="155"/>
      <c r="P207" s="471"/>
      <c r="Q207" s="471"/>
    </row>
    <row r="208" spans="1:17" s="446" customFormat="1" ht="12.6" customHeight="1" x14ac:dyDescent="0.25">
      <c r="A208" s="160" t="s">
        <v>2066</v>
      </c>
      <c r="B208" s="268" t="s">
        <v>548</v>
      </c>
      <c r="C208" s="428">
        <v>351658.47598173399</v>
      </c>
      <c r="D208" s="428">
        <v>0</v>
      </c>
      <c r="E208" s="428">
        <v>12133.050382563908</v>
      </c>
      <c r="F208" s="428">
        <v>51366.289833245326</v>
      </c>
      <c r="G208" s="428">
        <f t="shared" si="23"/>
        <v>63499.340215809236</v>
      </c>
      <c r="H208" s="428">
        <v>36760.4980922861</v>
      </c>
      <c r="I208" s="428">
        <v>1252094.70495044</v>
      </c>
      <c r="J208" s="428">
        <f t="shared" si="24"/>
        <v>1288855.203042726</v>
      </c>
      <c r="K208" s="428">
        <v>267209.28757012321</v>
      </c>
      <c r="L208" s="428">
        <f t="shared" si="25"/>
        <v>1971222.3068103925</v>
      </c>
      <c r="M208" s="486"/>
      <c r="N208" s="1198"/>
      <c r="O208" s="155"/>
      <c r="P208" s="471"/>
      <c r="Q208" s="471"/>
    </row>
    <row r="209" spans="1:17" s="446" customFormat="1" ht="12.6" customHeight="1" x14ac:dyDescent="0.25">
      <c r="A209" s="160" t="s">
        <v>2066</v>
      </c>
      <c r="B209" s="212" t="s">
        <v>556</v>
      </c>
      <c r="C209" s="433">
        <v>367743.58913535002</v>
      </c>
      <c r="D209" s="433">
        <v>0</v>
      </c>
      <c r="E209" s="433">
        <v>11903.736123565519</v>
      </c>
      <c r="F209" s="433">
        <v>49464.589368787718</v>
      </c>
      <c r="G209" s="433">
        <f t="shared" si="23"/>
        <v>61368.325492353237</v>
      </c>
      <c r="H209" s="433">
        <v>35837.766969653501</v>
      </c>
      <c r="I209" s="433">
        <v>1250053.35425565</v>
      </c>
      <c r="J209" s="433">
        <f t="shared" si="24"/>
        <v>1285891.1212253035</v>
      </c>
      <c r="K209" s="433">
        <v>268425.22815749433</v>
      </c>
      <c r="L209" s="433">
        <f t="shared" si="25"/>
        <v>1983428.2640105011</v>
      </c>
      <c r="M209" s="486"/>
      <c r="N209" s="1198"/>
      <c r="O209" s="155"/>
      <c r="P209" s="471"/>
      <c r="Q209" s="471"/>
    </row>
    <row r="210" spans="1:17" s="446" customFormat="1" ht="12.6" customHeight="1" x14ac:dyDescent="0.25">
      <c r="A210" s="160" t="s">
        <v>2066</v>
      </c>
      <c r="B210" s="372" t="s">
        <v>557</v>
      </c>
      <c r="C210" s="428">
        <v>379502.40834228299</v>
      </c>
      <c r="D210" s="428">
        <v>0</v>
      </c>
      <c r="E210" s="428">
        <v>11927.416482014718</v>
      </c>
      <c r="F210" s="428">
        <v>50130.43704858308</v>
      </c>
      <c r="G210" s="428">
        <f t="shared" si="23"/>
        <v>62057.8535305978</v>
      </c>
      <c r="H210" s="428">
        <v>35742.516716537299</v>
      </c>
      <c r="I210" s="428">
        <v>1257326.8242699599</v>
      </c>
      <c r="J210" s="428">
        <f t="shared" si="24"/>
        <v>1293069.3409864972</v>
      </c>
      <c r="K210" s="428">
        <f>269457.360362273+21.8</f>
        <v>269479.16036227299</v>
      </c>
      <c r="L210" s="428">
        <f t="shared" si="25"/>
        <v>2004108.7632216511</v>
      </c>
      <c r="M210" s="486"/>
      <c r="N210" s="1198"/>
      <c r="O210" s="155"/>
      <c r="P210" s="471"/>
      <c r="Q210" s="471"/>
    </row>
    <row r="211" spans="1:17" s="446" customFormat="1" ht="12.6" customHeight="1" x14ac:dyDescent="0.25">
      <c r="A211" s="160" t="s">
        <v>2066</v>
      </c>
      <c r="B211" s="212" t="s">
        <v>549</v>
      </c>
      <c r="C211" s="433">
        <v>390401.51422571199</v>
      </c>
      <c r="D211" s="433">
        <v>0</v>
      </c>
      <c r="E211" s="433">
        <v>11900.201629262228</v>
      </c>
      <c r="F211" s="433">
        <v>50171.788310738862</v>
      </c>
      <c r="G211" s="433">
        <f t="shared" si="23"/>
        <v>62071.989940001091</v>
      </c>
      <c r="H211" s="433">
        <v>35617.491424214801</v>
      </c>
      <c r="I211" s="433">
        <v>1277299.6966204201</v>
      </c>
      <c r="J211" s="433">
        <f t="shared" si="24"/>
        <v>1312917.1880446349</v>
      </c>
      <c r="K211" s="433">
        <f>271058.364218717-0.2</f>
        <v>271058.16421871696</v>
      </c>
      <c r="L211" s="433">
        <f t="shared" si="25"/>
        <v>2036448.8564290649</v>
      </c>
      <c r="M211" s="486"/>
      <c r="N211" s="1198"/>
      <c r="O211" s="155"/>
      <c r="P211" s="471"/>
      <c r="Q211" s="471"/>
    </row>
    <row r="212" spans="1:17" s="446" customFormat="1" ht="12.6" customHeight="1" x14ac:dyDescent="0.25">
      <c r="A212" s="160" t="s">
        <v>2066</v>
      </c>
      <c r="B212" s="1036" t="s">
        <v>558</v>
      </c>
      <c r="C212" s="433">
        <v>415153.228863617</v>
      </c>
      <c r="D212" s="433">
        <v>0</v>
      </c>
      <c r="E212" s="433">
        <v>11891.80381711778</v>
      </c>
      <c r="F212" s="433">
        <v>50236.433194270881</v>
      </c>
      <c r="G212" s="467">
        <f t="shared" si="23"/>
        <v>62128.237011388657</v>
      </c>
      <c r="H212" s="433">
        <v>35950.4627507642</v>
      </c>
      <c r="I212" s="433">
        <v>1281027.1183630801</v>
      </c>
      <c r="J212" s="467">
        <f t="shared" si="24"/>
        <v>1316977.5811138442</v>
      </c>
      <c r="K212" s="433">
        <v>270377.6343131992</v>
      </c>
      <c r="L212" s="467">
        <f t="shared" si="25"/>
        <v>2064636.681302049</v>
      </c>
      <c r="M212" s="486"/>
      <c r="N212" s="1198"/>
      <c r="O212" s="155"/>
      <c r="P212" s="471"/>
      <c r="Q212" s="471"/>
    </row>
    <row r="213" spans="1:17" s="446" customFormat="1" ht="12.6" customHeight="1" x14ac:dyDescent="0.25">
      <c r="A213" s="160" t="s">
        <v>2066</v>
      </c>
      <c r="B213" s="212" t="s">
        <v>559</v>
      </c>
      <c r="C213" s="433">
        <v>424509.09622190893</v>
      </c>
      <c r="D213" s="433">
        <v>0</v>
      </c>
      <c r="E213" s="433">
        <v>11864.27767494621</v>
      </c>
      <c r="F213" s="433">
        <v>50157.478528535685</v>
      </c>
      <c r="G213" s="433">
        <f t="shared" si="23"/>
        <v>62021.756203481898</v>
      </c>
      <c r="H213" s="433">
        <v>36474.266254824397</v>
      </c>
      <c r="I213" s="433">
        <v>1300582.0584970701</v>
      </c>
      <c r="J213" s="433">
        <f t="shared" si="24"/>
        <v>1337056.3247518945</v>
      </c>
      <c r="K213" s="433">
        <f>271726.875892086+7.7</f>
        <v>271734.57589208602</v>
      </c>
      <c r="L213" s="433">
        <f t="shared" si="25"/>
        <v>2095321.7530693715</v>
      </c>
      <c r="M213" s="486"/>
      <c r="N213" s="1198"/>
      <c r="O213" s="155"/>
      <c r="P213" s="471"/>
      <c r="Q213" s="471"/>
    </row>
    <row r="214" spans="1:17" s="446" customFormat="1" ht="12.6" customHeight="1" x14ac:dyDescent="0.25">
      <c r="A214" s="160" t="s">
        <v>2066</v>
      </c>
      <c r="B214" s="268" t="s">
        <v>550</v>
      </c>
      <c r="C214" s="428">
        <v>424877.09532937198</v>
      </c>
      <c r="D214" s="428">
        <v>0</v>
      </c>
      <c r="E214" s="428">
        <v>11890.595936132791</v>
      </c>
      <c r="F214" s="428">
        <v>48991.827955407753</v>
      </c>
      <c r="G214" s="428">
        <f t="shared" si="23"/>
        <v>60882.423891540544</v>
      </c>
      <c r="H214" s="428">
        <v>37521.745157030498</v>
      </c>
      <c r="I214" s="428">
        <v>1318438.81654796</v>
      </c>
      <c r="J214" s="428">
        <f t="shared" si="24"/>
        <v>1355960.5617049905</v>
      </c>
      <c r="K214" s="428">
        <f>274085.301256186-269.7</f>
        <v>273815.60125618597</v>
      </c>
      <c r="L214" s="428">
        <f t="shared" si="25"/>
        <v>2115535.682182089</v>
      </c>
      <c r="M214" s="486"/>
      <c r="N214" s="1198"/>
      <c r="O214" s="155"/>
      <c r="P214" s="471"/>
      <c r="Q214" s="471"/>
    </row>
    <row r="215" spans="1:17" s="446" customFormat="1" ht="12.6" customHeight="1" x14ac:dyDescent="0.25">
      <c r="A215" s="24" t="s">
        <v>2479</v>
      </c>
      <c r="B215" s="268" t="s">
        <v>552</v>
      </c>
      <c r="C215" s="428">
        <v>437588.4</v>
      </c>
      <c r="D215" s="428">
        <v>0</v>
      </c>
      <c r="E215" s="428">
        <v>11857.95672689749</v>
      </c>
      <c r="F215" s="428">
        <v>47335.794166000946</v>
      </c>
      <c r="G215" s="428">
        <f>E215+F215</f>
        <v>59193.750892898432</v>
      </c>
      <c r="H215" s="428">
        <v>38078.604244230497</v>
      </c>
      <c r="I215" s="428">
        <v>1315083.18055424</v>
      </c>
      <c r="J215" s="428">
        <f>H215+I215</f>
        <v>1353161.7847984706</v>
      </c>
      <c r="K215" s="428">
        <f>273500.493638335-3.7</f>
        <v>273496.79363833502</v>
      </c>
      <c r="L215" s="428">
        <f t="shared" si="25"/>
        <v>2123440.7293297038</v>
      </c>
      <c r="M215" s="486"/>
      <c r="N215" s="1198"/>
      <c r="O215" s="155"/>
      <c r="P215" s="1323"/>
      <c r="Q215" s="471"/>
    </row>
    <row r="216" spans="1:17" s="446" customFormat="1" ht="12.6" customHeight="1" x14ac:dyDescent="0.25">
      <c r="A216" s="24" t="s">
        <v>2479</v>
      </c>
      <c r="B216" s="212" t="s">
        <v>553</v>
      </c>
      <c r="C216" s="433">
        <v>426233.30000000005</v>
      </c>
      <c r="D216" s="433">
        <v>0</v>
      </c>
      <c r="E216" s="433">
        <v>11575.72768230689</v>
      </c>
      <c r="F216" s="433">
        <v>45853.575569051718</v>
      </c>
      <c r="G216" s="433">
        <f>E216+F216</f>
        <v>57429.303251358608</v>
      </c>
      <c r="H216" s="433">
        <v>37298.5438206611</v>
      </c>
      <c r="I216" s="433">
        <v>1326002.75470919</v>
      </c>
      <c r="J216" s="433">
        <f>H216+I216</f>
        <v>1363301.298529851</v>
      </c>
      <c r="K216" s="433">
        <f>270848.131982447-1.8</f>
        <v>270846.33198244701</v>
      </c>
      <c r="L216" s="433">
        <f t="shared" si="25"/>
        <v>2117810.2337636566</v>
      </c>
      <c r="M216" s="486"/>
      <c r="N216" s="1198"/>
      <c r="O216" s="155"/>
      <c r="P216" s="1323"/>
      <c r="Q216" s="471"/>
    </row>
    <row r="217" spans="1:17" s="446" customFormat="1" ht="12.6" customHeight="1" x14ac:dyDescent="0.25">
      <c r="A217" s="24" t="s">
        <v>2479</v>
      </c>
      <c r="B217" s="1036" t="s">
        <v>547</v>
      </c>
      <c r="C217" s="433">
        <v>406813.8</v>
      </c>
      <c r="D217" s="433">
        <v>0</v>
      </c>
      <c r="E217" s="433">
        <v>11549.587880485842</v>
      </c>
      <c r="F217" s="433">
        <v>45796.306443994581</v>
      </c>
      <c r="G217" s="467">
        <f>E217+F217</f>
        <v>57345.894324480425</v>
      </c>
      <c r="H217" s="433">
        <v>35692.385308061203</v>
      </c>
      <c r="I217" s="433">
        <v>1335370.52681484</v>
      </c>
      <c r="J217" s="467">
        <f>H217+I217</f>
        <v>1371062.9121229013</v>
      </c>
      <c r="K217" s="433">
        <v>271077.25015322788</v>
      </c>
      <c r="L217" s="467">
        <f t="shared" si="25"/>
        <v>2106299.8566006096</v>
      </c>
      <c r="M217" s="486"/>
      <c r="N217" s="1198"/>
      <c r="O217" s="155"/>
      <c r="P217" s="1323"/>
      <c r="Q217" s="471"/>
    </row>
    <row r="218" spans="1:17" s="446" customFormat="1" ht="12.6" customHeight="1" x14ac:dyDescent="0.25">
      <c r="A218" s="24" t="s">
        <v>2479</v>
      </c>
      <c r="B218" s="212" t="s">
        <v>554</v>
      </c>
      <c r="C218" s="433">
        <v>427272.30000000005</v>
      </c>
      <c r="D218" s="433">
        <v>0</v>
      </c>
      <c r="E218" s="433">
        <v>11558.217495670769</v>
      </c>
      <c r="F218" s="433">
        <v>44928.680773037238</v>
      </c>
      <c r="G218" s="433">
        <f>E218+F218</f>
        <v>56486.898268708006</v>
      </c>
      <c r="H218" s="433">
        <v>35915.934583464201</v>
      </c>
      <c r="I218" s="433">
        <v>1339843.2003567701</v>
      </c>
      <c r="J218" s="433">
        <f>H218+I218</f>
        <v>1375759.1349402342</v>
      </c>
      <c r="K218" s="433">
        <f>271460.487308523+0.1</f>
        <v>271460.58730852295</v>
      </c>
      <c r="L218" s="433">
        <f t="shared" si="25"/>
        <v>2130978.9205174651</v>
      </c>
      <c r="M218" s="486"/>
      <c r="N218" s="1198"/>
      <c r="O218" s="155"/>
      <c r="P218" s="1323"/>
      <c r="Q218" s="471"/>
    </row>
    <row r="219" spans="1:17" s="446" customFormat="1" ht="12.6" customHeight="1" x14ac:dyDescent="0.25">
      <c r="A219" s="24" t="s">
        <v>2479</v>
      </c>
      <c r="B219" s="268" t="s">
        <v>555</v>
      </c>
      <c r="C219" s="428">
        <v>438647.5</v>
      </c>
      <c r="D219" s="428">
        <v>0</v>
      </c>
      <c r="E219" s="428">
        <v>11601.08528397611</v>
      </c>
      <c r="F219" s="428">
        <v>46290.592684646836</v>
      </c>
      <c r="G219" s="428">
        <f t="shared" ref="G219:G234" si="26">E219+F219</f>
        <v>57891.677968622942</v>
      </c>
      <c r="H219" s="428">
        <v>36260.102035757896</v>
      </c>
      <c r="I219" s="428">
        <v>1345223.7275823399</v>
      </c>
      <c r="J219" s="428">
        <f t="shared" ref="J219:J234" si="27">H219+I219</f>
        <v>1381483.8296180977</v>
      </c>
      <c r="K219" s="428">
        <v>272809.9293938771</v>
      </c>
      <c r="L219" s="428">
        <f t="shared" si="25"/>
        <v>2150832.9369805977</v>
      </c>
      <c r="M219" s="486"/>
      <c r="N219" s="1198"/>
      <c r="O219" s="155"/>
      <c r="P219" s="1323"/>
      <c r="Q219" s="471"/>
    </row>
    <row r="220" spans="1:17" s="446" customFormat="1" ht="12.6" customHeight="1" x14ac:dyDescent="0.25">
      <c r="A220" s="24" t="s">
        <v>2479</v>
      </c>
      <c r="B220" s="212" t="s">
        <v>548</v>
      </c>
      <c r="C220" s="433">
        <v>415573.1</v>
      </c>
      <c r="D220" s="433">
        <v>0</v>
      </c>
      <c r="E220" s="433">
        <v>13271.241660037749</v>
      </c>
      <c r="F220" s="433">
        <v>48392.594936996982</v>
      </c>
      <c r="G220" s="433">
        <f t="shared" si="26"/>
        <v>61663.836597034729</v>
      </c>
      <c r="H220" s="433">
        <v>37058.4436529343</v>
      </c>
      <c r="I220" s="433">
        <v>1359000.6607153299</v>
      </c>
      <c r="J220" s="433">
        <f t="shared" si="27"/>
        <v>1396059.1043682643</v>
      </c>
      <c r="K220" s="433">
        <v>277877.92097424256</v>
      </c>
      <c r="L220" s="433">
        <f t="shared" si="25"/>
        <v>2151173.9619395416</v>
      </c>
      <c r="M220" s="486"/>
      <c r="N220" s="1198"/>
      <c r="O220" s="155"/>
      <c r="P220" s="1323"/>
      <c r="Q220" s="471"/>
    </row>
    <row r="221" spans="1:17" s="446" customFormat="1" ht="12.6" customHeight="1" x14ac:dyDescent="0.25">
      <c r="A221" s="24" t="s">
        <v>2479</v>
      </c>
      <c r="B221" s="372" t="s">
        <v>556</v>
      </c>
      <c r="C221" s="428">
        <v>434361.3</v>
      </c>
      <c r="D221" s="428">
        <v>0</v>
      </c>
      <c r="E221" s="428">
        <v>13325.103972360248</v>
      </c>
      <c r="F221" s="428">
        <v>47430.495753365416</v>
      </c>
      <c r="G221" s="428">
        <f t="shared" si="26"/>
        <v>60755.599725725668</v>
      </c>
      <c r="H221" s="428">
        <v>36850.950665079698</v>
      </c>
      <c r="I221" s="428">
        <v>1355199.17965489</v>
      </c>
      <c r="J221" s="428">
        <f t="shared" si="27"/>
        <v>1392050.1303199697</v>
      </c>
      <c r="K221" s="428">
        <v>277480.33598505933</v>
      </c>
      <c r="L221" s="428">
        <f t="shared" si="25"/>
        <v>2164647.3660307545</v>
      </c>
      <c r="M221" s="486"/>
      <c r="N221" s="1198"/>
      <c r="O221" s="155"/>
      <c r="P221" s="1323"/>
      <c r="Q221" s="471"/>
    </row>
    <row r="222" spans="1:17" s="446" customFormat="1" ht="12.6" customHeight="1" x14ac:dyDescent="0.25">
      <c r="A222" s="24" t="s">
        <v>2479</v>
      </c>
      <c r="B222" s="212" t="s">
        <v>557</v>
      </c>
      <c r="C222" s="433">
        <v>433891.08584720897</v>
      </c>
      <c r="D222" s="433">
        <v>0</v>
      </c>
      <c r="E222" s="433">
        <v>13351.15815207973</v>
      </c>
      <c r="F222" s="433">
        <v>46893.061961083527</v>
      </c>
      <c r="G222" s="433">
        <f t="shared" si="26"/>
        <v>60244.220113163261</v>
      </c>
      <c r="H222" s="433">
        <v>37134.9347389623</v>
      </c>
      <c r="I222" s="433">
        <v>1358294.2426299099</v>
      </c>
      <c r="J222" s="433">
        <f t="shared" si="27"/>
        <v>1395429.1773688721</v>
      </c>
      <c r="K222" s="433">
        <v>279196.3</v>
      </c>
      <c r="L222" s="433">
        <f t="shared" si="25"/>
        <v>2168760.7833292442</v>
      </c>
      <c r="M222" s="486"/>
      <c r="N222" s="1198"/>
      <c r="O222" s="155"/>
      <c r="P222" s="1323"/>
      <c r="Q222" s="471"/>
    </row>
    <row r="223" spans="1:17" s="446" customFormat="1" ht="12.6" customHeight="1" x14ac:dyDescent="0.25">
      <c r="A223" s="24" t="s">
        <v>2479</v>
      </c>
      <c r="B223" s="1036" t="s">
        <v>549</v>
      </c>
      <c r="C223" s="433">
        <v>454188.07431627793</v>
      </c>
      <c r="D223" s="433">
        <v>0</v>
      </c>
      <c r="E223" s="433">
        <v>13168.118332200002</v>
      </c>
      <c r="F223" s="433">
        <v>46815.566507743992</v>
      </c>
      <c r="G223" s="467">
        <f t="shared" si="26"/>
        <v>59983.684839943991</v>
      </c>
      <c r="H223" s="433">
        <v>35810.698797355995</v>
      </c>
      <c r="I223" s="433">
        <v>1386043.311457078</v>
      </c>
      <c r="J223" s="467">
        <f t="shared" si="27"/>
        <v>1421854.0102544341</v>
      </c>
      <c r="K223" s="433">
        <v>287508.34999999998</v>
      </c>
      <c r="L223" s="467">
        <f t="shared" si="25"/>
        <v>2223534.1194106559</v>
      </c>
      <c r="M223" s="486"/>
      <c r="N223" s="1198"/>
      <c r="O223" s="155"/>
      <c r="P223" s="1323"/>
      <c r="Q223" s="471"/>
    </row>
    <row r="224" spans="1:17" s="446" customFormat="1" ht="12.6" customHeight="1" x14ac:dyDescent="0.25">
      <c r="A224" s="24" t="s">
        <v>2479</v>
      </c>
      <c r="B224" s="212" t="s">
        <v>558</v>
      </c>
      <c r="C224" s="433">
        <v>457439.65105781087</v>
      </c>
      <c r="D224" s="433">
        <v>0</v>
      </c>
      <c r="E224" s="433">
        <v>13186.090413</v>
      </c>
      <c r="F224" s="433">
        <v>47180.852935370996</v>
      </c>
      <c r="G224" s="433">
        <f t="shared" si="26"/>
        <v>60366.943348370994</v>
      </c>
      <c r="H224" s="433">
        <v>36514.215810511996</v>
      </c>
      <c r="I224" s="433">
        <v>1386006.876560197</v>
      </c>
      <c r="J224" s="433">
        <f t="shared" si="27"/>
        <v>1422521.0923707089</v>
      </c>
      <c r="K224" s="433">
        <v>290009.90000000002</v>
      </c>
      <c r="L224" s="433">
        <f t="shared" si="25"/>
        <v>2230337.5867768908</v>
      </c>
      <c r="M224" s="486"/>
      <c r="N224" s="1198"/>
      <c r="O224" s="155"/>
      <c r="P224" s="1323"/>
      <c r="Q224" s="471"/>
    </row>
    <row r="225" spans="1:20" s="446" customFormat="1" ht="12.6" customHeight="1" x14ac:dyDescent="0.25">
      <c r="A225" s="24" t="s">
        <v>2479</v>
      </c>
      <c r="B225" s="268" t="s">
        <v>559</v>
      </c>
      <c r="C225" s="428">
        <v>470282</v>
      </c>
      <c r="D225" s="428">
        <v>0</v>
      </c>
      <c r="E225" s="428">
        <v>13188.690413</v>
      </c>
      <c r="F225" s="428">
        <v>47601.600679937997</v>
      </c>
      <c r="G225" s="428">
        <f t="shared" si="26"/>
        <v>60790.291092938001</v>
      </c>
      <c r="H225" s="428">
        <v>35927.547907717002</v>
      </c>
      <c r="I225" s="428">
        <v>1396479.7300671472</v>
      </c>
      <c r="J225" s="428">
        <f t="shared" si="27"/>
        <v>1432407.2779748642</v>
      </c>
      <c r="K225" s="428">
        <v>296535.5</v>
      </c>
      <c r="L225" s="428">
        <f t="shared" si="25"/>
        <v>2260015.0690678023</v>
      </c>
      <c r="M225" s="486"/>
      <c r="N225" s="1198"/>
      <c r="O225" s="155"/>
      <c r="P225" s="1323"/>
      <c r="Q225" s="471"/>
    </row>
    <row r="226" spans="1:20" s="446" customFormat="1" ht="12.6" customHeight="1" x14ac:dyDescent="0.25">
      <c r="A226" s="24" t="s">
        <v>2479</v>
      </c>
      <c r="B226" s="1484" t="s">
        <v>550</v>
      </c>
      <c r="C226" s="433">
        <v>488177.8</v>
      </c>
      <c r="D226" s="433">
        <v>0</v>
      </c>
      <c r="E226" s="433">
        <v>13191.6274734</v>
      </c>
      <c r="F226" s="433">
        <v>47536.437717918001</v>
      </c>
      <c r="G226" s="433">
        <f t="shared" si="26"/>
        <v>60728.065191318005</v>
      </c>
      <c r="H226" s="433">
        <v>34099.373419062998</v>
      </c>
      <c r="I226" s="433">
        <v>1410635.9409771289</v>
      </c>
      <c r="J226" s="433">
        <f t="shared" si="27"/>
        <v>1444735.3143961919</v>
      </c>
      <c r="K226" s="433">
        <v>290711.84000000003</v>
      </c>
      <c r="L226" s="433">
        <f t="shared" si="25"/>
        <v>2284353.0195875098</v>
      </c>
      <c r="M226" s="486"/>
      <c r="N226" s="1198"/>
      <c r="O226" s="155"/>
      <c r="P226" s="1323"/>
      <c r="Q226" s="471"/>
    </row>
    <row r="227" spans="1:20" s="446" customFormat="1" ht="12.6" customHeight="1" x14ac:dyDescent="0.25">
      <c r="A227" s="275" t="s">
        <v>3062</v>
      </c>
      <c r="B227" s="212" t="s">
        <v>552</v>
      </c>
      <c r="C227" s="433">
        <v>501088.5</v>
      </c>
      <c r="D227" s="433">
        <v>0</v>
      </c>
      <c r="E227" s="433">
        <v>13401.1274734</v>
      </c>
      <c r="F227" s="433">
        <v>47579.388962258003</v>
      </c>
      <c r="G227" s="433">
        <f t="shared" si="26"/>
        <v>60980.516435658006</v>
      </c>
      <c r="H227" s="433">
        <v>34108.599709260001</v>
      </c>
      <c r="I227" s="433">
        <v>1403957.2422556751</v>
      </c>
      <c r="J227" s="433">
        <f t="shared" si="27"/>
        <v>1438065.8419649352</v>
      </c>
      <c r="K227" s="433">
        <v>292331.49000000005</v>
      </c>
      <c r="L227" s="433">
        <f t="shared" si="25"/>
        <v>2292466.3484005933</v>
      </c>
      <c r="M227" s="486"/>
      <c r="N227" s="1198"/>
      <c r="O227" s="1198"/>
      <c r="P227" s="1323"/>
      <c r="Q227" s="471"/>
    </row>
    <row r="228" spans="1:20" s="446" customFormat="1" ht="12.6" customHeight="1" x14ac:dyDescent="0.25">
      <c r="A228" s="275" t="s">
        <v>3062</v>
      </c>
      <c r="B228" s="372" t="s">
        <v>553</v>
      </c>
      <c r="C228" s="428">
        <v>496934.30000000005</v>
      </c>
      <c r="D228" s="428">
        <v>0</v>
      </c>
      <c r="E228" s="428">
        <v>13411.5274734</v>
      </c>
      <c r="F228" s="428">
        <v>46948.701219206014</v>
      </c>
      <c r="G228" s="428">
        <f t="shared" si="26"/>
        <v>60360.228692606011</v>
      </c>
      <c r="H228" s="428">
        <v>33637.897776457001</v>
      </c>
      <c r="I228" s="428">
        <v>1410097.4421512538</v>
      </c>
      <c r="J228" s="428">
        <f t="shared" si="27"/>
        <v>1443735.3399277108</v>
      </c>
      <c r="K228" s="428">
        <v>291524.34999999998</v>
      </c>
      <c r="L228" s="428">
        <f t="shared" si="25"/>
        <v>2292554.2186203171</v>
      </c>
      <c r="M228" s="486"/>
      <c r="N228" s="1198"/>
      <c r="O228" s="1198"/>
      <c r="P228" s="1323"/>
      <c r="Q228" s="471"/>
    </row>
    <row r="229" spans="1:20" s="446" customFormat="1" ht="12.6" customHeight="1" x14ac:dyDescent="0.25">
      <c r="A229" s="275" t="s">
        <v>3062</v>
      </c>
      <c r="B229" s="212" t="s">
        <v>547</v>
      </c>
      <c r="C229" s="433">
        <v>517549.22196313686</v>
      </c>
      <c r="D229" s="433">
        <v>0</v>
      </c>
      <c r="E229" s="433">
        <v>13438.118300960001</v>
      </c>
      <c r="F229" s="433">
        <v>48295.497514792994</v>
      </c>
      <c r="G229" s="433">
        <f t="shared" si="26"/>
        <v>61733.615815752994</v>
      </c>
      <c r="H229" s="433">
        <v>32752.659982154997</v>
      </c>
      <c r="I229" s="433">
        <v>1421581.131062818</v>
      </c>
      <c r="J229" s="433">
        <f t="shared" si="27"/>
        <v>1454333.7910449731</v>
      </c>
      <c r="K229" s="433">
        <v>287539.04723478999</v>
      </c>
      <c r="L229" s="433">
        <f t="shared" si="25"/>
        <v>2321155.6760586528</v>
      </c>
      <c r="M229" s="486"/>
      <c r="N229" s="1198"/>
      <c r="O229" s="1198"/>
      <c r="P229" s="1443"/>
      <c r="Q229" s="1444"/>
    </row>
    <row r="230" spans="1:20" s="446" customFormat="1" ht="12.6" customHeight="1" x14ac:dyDescent="0.25">
      <c r="A230" s="275" t="s">
        <v>3062</v>
      </c>
      <c r="B230" s="372" t="s">
        <v>554</v>
      </c>
      <c r="C230" s="428">
        <v>530278.87709836487</v>
      </c>
      <c r="D230" s="428">
        <v>0</v>
      </c>
      <c r="E230" s="428">
        <v>12840.01830096</v>
      </c>
      <c r="F230" s="428">
        <v>46686.429858694006</v>
      </c>
      <c r="G230" s="428">
        <f t="shared" si="26"/>
        <v>59526.448159654006</v>
      </c>
      <c r="H230" s="428">
        <v>31902.020695243005</v>
      </c>
      <c r="I230" s="428">
        <v>1419478.5731309869</v>
      </c>
      <c r="J230" s="428">
        <f t="shared" si="27"/>
        <v>1451380.5938262299</v>
      </c>
      <c r="K230" s="428">
        <f>276917.62+17781.8</f>
        <v>294699.42</v>
      </c>
      <c r="L230" s="428">
        <f t="shared" si="25"/>
        <v>2335885.339084249</v>
      </c>
      <c r="M230" s="486"/>
      <c r="N230" s="1198"/>
      <c r="O230" s="1198"/>
      <c r="P230" s="1323"/>
      <c r="Q230" s="471"/>
    </row>
    <row r="231" spans="1:20" s="446" customFormat="1" ht="12.6" customHeight="1" x14ac:dyDescent="0.25">
      <c r="A231" s="275" t="s">
        <v>3062</v>
      </c>
      <c r="B231" s="1035" t="s">
        <v>555</v>
      </c>
      <c r="C231" s="433">
        <v>553910.38852141192</v>
      </c>
      <c r="D231" s="433">
        <v>0</v>
      </c>
      <c r="E231" s="433">
        <v>12843.31830096</v>
      </c>
      <c r="F231" s="433">
        <v>47473.237364752997</v>
      </c>
      <c r="G231" s="433">
        <f t="shared" si="26"/>
        <v>60316.555665712993</v>
      </c>
      <c r="H231" s="433">
        <v>31238.580960127001</v>
      </c>
      <c r="I231" s="433">
        <v>1426472.4471301932</v>
      </c>
      <c r="J231" s="433">
        <f t="shared" si="27"/>
        <v>1457711.0280903203</v>
      </c>
      <c r="K231" s="433">
        <f>279141.034575396+24315.1-1553.5</f>
        <v>301902.63457539596</v>
      </c>
      <c r="L231" s="433">
        <f t="shared" si="25"/>
        <v>2373840.6068528411</v>
      </c>
      <c r="N231" s="1198"/>
      <c r="O231" s="1198"/>
      <c r="P231" s="1323"/>
    </row>
    <row r="232" spans="1:20" ht="12.6" customHeight="1" x14ac:dyDescent="0.25">
      <c r="A232" s="275" t="s">
        <v>3062</v>
      </c>
      <c r="B232" s="1578" t="s">
        <v>548</v>
      </c>
      <c r="C232" s="428">
        <v>549325.70840997493</v>
      </c>
      <c r="D232" s="428">
        <v>0</v>
      </c>
      <c r="E232" s="428">
        <v>12711.874313024999</v>
      </c>
      <c r="F232" s="428">
        <v>58179.856126192994</v>
      </c>
      <c r="G232" s="428">
        <f t="shared" si="26"/>
        <v>70891.730439217994</v>
      </c>
      <c r="H232" s="428">
        <v>33335.136339282006</v>
      </c>
      <c r="I232" s="428">
        <v>1433635.1896237589</v>
      </c>
      <c r="J232" s="428">
        <f t="shared" si="27"/>
        <v>1466970.3259630408</v>
      </c>
      <c r="K232" s="428">
        <f>285022.06671917+12757.8684685961</f>
        <v>297779.9351877661</v>
      </c>
      <c r="L232" s="428">
        <f t="shared" si="25"/>
        <v>2384967.7000000002</v>
      </c>
      <c r="M232" s="484"/>
      <c r="N232" s="1198"/>
      <c r="O232" s="1198"/>
    </row>
    <row r="233" spans="1:20" ht="12.6" customHeight="1" x14ac:dyDescent="0.25">
      <c r="A233" s="275" t="s">
        <v>3062</v>
      </c>
      <c r="B233" s="1507" t="s">
        <v>556</v>
      </c>
      <c r="C233" s="1506">
        <v>563193.28031115013</v>
      </c>
      <c r="D233" s="1506">
        <v>0</v>
      </c>
      <c r="E233" s="1506">
        <v>12924.574313024999</v>
      </c>
      <c r="F233" s="1506">
        <v>57511.386736551001</v>
      </c>
      <c r="G233" s="433">
        <f t="shared" si="26"/>
        <v>70435.961049575999</v>
      </c>
      <c r="H233" s="1506">
        <v>33393.469020657001</v>
      </c>
      <c r="I233" s="1506">
        <v>1424901.6164641401</v>
      </c>
      <c r="J233" s="433">
        <f t="shared" si="27"/>
        <v>1458295.0854847971</v>
      </c>
      <c r="K233" s="1506">
        <f>283291.319055647+17514</f>
        <v>300805.31905564701</v>
      </c>
      <c r="L233" s="433">
        <f t="shared" si="25"/>
        <v>2392729.6459011701</v>
      </c>
      <c r="M233" s="484"/>
      <c r="N233" s="1198"/>
      <c r="O233" s="1198"/>
    </row>
    <row r="234" spans="1:20" ht="12.6" customHeight="1" thickBot="1" x14ac:dyDescent="0.3">
      <c r="A234" s="275" t="s">
        <v>3062</v>
      </c>
      <c r="B234" s="1619" t="s">
        <v>557</v>
      </c>
      <c r="C234" s="1618">
        <v>579532.08605937508</v>
      </c>
      <c r="D234" s="1618">
        <v>0</v>
      </c>
      <c r="E234" s="1618">
        <v>12937.520125625</v>
      </c>
      <c r="F234" s="1618">
        <v>57021.660796392993</v>
      </c>
      <c r="G234" s="1618">
        <f t="shared" si="26"/>
        <v>69959.180922017986</v>
      </c>
      <c r="H234" s="1618">
        <v>33426.423192878006</v>
      </c>
      <c r="I234" s="1618">
        <v>1425927.4145376382</v>
      </c>
      <c r="J234" s="1618">
        <f t="shared" si="27"/>
        <v>1459353.8377305162</v>
      </c>
      <c r="K234" s="1618">
        <f>283586.827214038+21337.3</f>
        <v>304924.12721403799</v>
      </c>
      <c r="L234" s="1618">
        <f t="shared" si="25"/>
        <v>2413769.2319259471</v>
      </c>
      <c r="M234" s="484"/>
      <c r="N234" s="484"/>
      <c r="O234" s="1198"/>
      <c r="P234" s="446"/>
      <c r="Q234" s="446"/>
      <c r="R234" s="446"/>
      <c r="S234" s="446"/>
      <c r="T234" s="446"/>
    </row>
    <row r="235" spans="1:20" x14ac:dyDescent="0.2">
      <c r="A235" s="915" t="s">
        <v>1336</v>
      </c>
      <c r="B235" s="416"/>
      <c r="C235" s="2426" t="s">
        <v>1358</v>
      </c>
      <c r="D235" s="2426"/>
      <c r="E235" s="2426"/>
      <c r="F235" s="2426"/>
      <c r="G235" s="2426"/>
      <c r="H235" s="417" t="s">
        <v>195</v>
      </c>
      <c r="I235" s="2427" t="s">
        <v>1205</v>
      </c>
      <c r="J235" s="2427"/>
      <c r="K235" s="2427"/>
      <c r="L235" s="2427"/>
      <c r="M235" s="484"/>
      <c r="N235" s="484"/>
      <c r="O235" s="446"/>
      <c r="P235" s="446"/>
      <c r="Q235" s="446"/>
      <c r="R235" s="446"/>
      <c r="S235" s="446"/>
      <c r="T235" s="446"/>
    </row>
    <row r="236" spans="1:20" x14ac:dyDescent="0.2">
      <c r="B236" s="208"/>
      <c r="C236" s="2428" t="s">
        <v>1824</v>
      </c>
      <c r="D236" s="2428"/>
      <c r="E236" s="2428"/>
      <c r="F236" s="1023" t="s">
        <v>1294</v>
      </c>
      <c r="G236" s="243"/>
      <c r="H236" s="484"/>
      <c r="I236" s="1023"/>
      <c r="J236" s="484"/>
      <c r="K236" s="562"/>
      <c r="L236" s="562"/>
      <c r="M236" s="484"/>
    </row>
    <row r="237" spans="1:20" x14ac:dyDescent="0.2">
      <c r="A237" s="24"/>
      <c r="B237" s="446"/>
      <c r="C237" s="446"/>
      <c r="D237" s="486"/>
      <c r="E237" s="484"/>
      <c r="F237" s="486"/>
      <c r="G237" s="1091"/>
      <c r="H237" s="486"/>
      <c r="I237" s="486"/>
      <c r="J237" s="484"/>
      <c r="K237" s="562"/>
      <c r="L237" s="562"/>
      <c r="M237" s="484"/>
    </row>
    <row r="238" spans="1:20" ht="12" customHeight="1" x14ac:dyDescent="0.2">
      <c r="C238" s="486"/>
      <c r="D238" s="486"/>
      <c r="E238" s="486"/>
      <c r="F238" s="486"/>
      <c r="G238" s="486"/>
      <c r="H238" s="486"/>
      <c r="I238" s="486"/>
      <c r="J238" s="486"/>
      <c r="K238" s="486"/>
      <c r="L238" s="486"/>
      <c r="M238" s="484"/>
      <c r="N238" s="484"/>
      <c r="O238" s="484"/>
    </row>
    <row r="239" spans="1:20" ht="12.75" customHeight="1" x14ac:dyDescent="0.2">
      <c r="C239" s="486"/>
      <c r="D239" s="486"/>
      <c r="E239" s="484"/>
      <c r="F239" s="486"/>
      <c r="G239" s="1091"/>
      <c r="H239" s="486"/>
      <c r="I239" s="486"/>
      <c r="J239" s="484"/>
      <c r="K239" s="562"/>
      <c r="L239" s="562"/>
      <c r="N239" s="484"/>
    </row>
    <row r="240" spans="1:20" ht="12" customHeight="1" x14ac:dyDescent="0.2">
      <c r="C240" s="486"/>
      <c r="D240" s="486"/>
      <c r="E240" s="484"/>
      <c r="F240" s="486"/>
      <c r="G240" s="1091"/>
      <c r="H240" s="486"/>
      <c r="I240" s="486"/>
      <c r="J240" s="484"/>
      <c r="K240" s="562"/>
      <c r="L240" s="562"/>
    </row>
    <row r="241" spans="3:12" ht="12" customHeight="1" x14ac:dyDescent="0.2">
      <c r="C241" s="484"/>
      <c r="D241" s="486"/>
      <c r="E241" s="484"/>
      <c r="F241" s="486"/>
      <c r="G241" s="1091"/>
      <c r="H241" s="486"/>
      <c r="I241" s="486"/>
      <c r="J241" s="484"/>
      <c r="K241" s="562"/>
      <c r="L241" s="562"/>
    </row>
    <row r="242" spans="3:12" ht="12.75" customHeight="1" x14ac:dyDescent="0.2">
      <c r="C242" s="484"/>
      <c r="D242" s="486"/>
      <c r="E242" s="484"/>
      <c r="F242" s="484"/>
      <c r="G242" s="1091"/>
      <c r="H242" s="486"/>
      <c r="I242" s="486"/>
      <c r="J242" s="484"/>
      <c r="K242" s="562"/>
      <c r="L242" s="562"/>
    </row>
    <row r="243" spans="3:12" ht="13.5" customHeight="1" x14ac:dyDescent="0.2">
      <c r="D243" s="486"/>
      <c r="E243" s="484"/>
      <c r="F243" s="486"/>
      <c r="G243" s="1091"/>
      <c r="H243" s="486"/>
      <c r="I243" s="486"/>
      <c r="J243" s="486"/>
      <c r="K243" s="562"/>
      <c r="L243" s="562"/>
    </row>
    <row r="244" spans="3:12" ht="14.25" customHeight="1" x14ac:dyDescent="0.2">
      <c r="D244" s="486"/>
      <c r="E244" s="484"/>
      <c r="F244" s="484"/>
      <c r="G244" s="1091"/>
      <c r="H244" s="486"/>
      <c r="I244" s="486"/>
      <c r="J244" s="486"/>
      <c r="K244" s="562"/>
      <c r="L244" s="562"/>
    </row>
    <row r="245" spans="3:12" ht="15" customHeight="1" x14ac:dyDescent="0.2">
      <c r="D245" s="486"/>
      <c r="E245" s="484"/>
      <c r="F245" s="484"/>
      <c r="G245" s="1091"/>
      <c r="H245" s="484"/>
      <c r="I245" s="486"/>
      <c r="J245" s="486"/>
      <c r="K245" s="484"/>
      <c r="L245" s="562"/>
    </row>
    <row r="246" spans="3:12" x14ac:dyDescent="0.2">
      <c r="D246" s="486"/>
      <c r="E246" s="484"/>
      <c r="F246" s="484"/>
      <c r="G246" s="1091"/>
      <c r="H246" s="484"/>
      <c r="I246" s="486"/>
      <c r="J246" s="486"/>
      <c r="K246" s="484"/>
      <c r="L246" s="562"/>
    </row>
    <row r="247" spans="3:12" x14ac:dyDescent="0.2">
      <c r="D247" s="486"/>
      <c r="E247" s="484"/>
      <c r="F247" s="484"/>
      <c r="G247" s="1091"/>
      <c r="H247" s="484"/>
      <c r="I247" s="486"/>
      <c r="J247" s="486"/>
      <c r="K247" s="484"/>
      <c r="L247" s="562"/>
    </row>
    <row r="248" spans="3:12" x14ac:dyDescent="0.2">
      <c r="D248" s="486"/>
      <c r="E248" s="484"/>
      <c r="F248" s="484"/>
      <c r="G248" s="1091"/>
      <c r="H248" s="484"/>
      <c r="I248" s="484"/>
      <c r="J248" s="486"/>
      <c r="K248" s="484"/>
      <c r="L248" s="562"/>
    </row>
    <row r="249" spans="3:12" x14ac:dyDescent="0.2">
      <c r="D249" s="486"/>
      <c r="E249" s="484"/>
      <c r="F249" s="484"/>
      <c r="G249" s="484"/>
      <c r="H249" s="484"/>
      <c r="I249" s="484"/>
      <c r="J249" s="484"/>
    </row>
    <row r="250" spans="3:12" x14ac:dyDescent="0.2">
      <c r="E250" s="484"/>
      <c r="F250" s="484"/>
      <c r="G250" s="484"/>
      <c r="H250" s="484"/>
      <c r="I250" s="484"/>
      <c r="J250" s="484"/>
    </row>
    <row r="251" spans="3:12" x14ac:dyDescent="0.2">
      <c r="E251" s="484"/>
      <c r="F251" s="484"/>
      <c r="G251" s="484"/>
      <c r="H251" s="484"/>
      <c r="I251" s="484"/>
      <c r="J251" s="484"/>
      <c r="K251" s="484"/>
      <c r="L251" s="484"/>
    </row>
    <row r="252" spans="3:12" x14ac:dyDescent="0.2">
      <c r="E252" s="484"/>
      <c r="F252" s="484"/>
      <c r="G252" s="484"/>
      <c r="H252" s="484"/>
      <c r="I252" s="484"/>
      <c r="J252" s="484"/>
      <c r="K252" s="484"/>
    </row>
    <row r="253" spans="3:12" x14ac:dyDescent="0.2">
      <c r="E253" s="484"/>
      <c r="F253" s="484"/>
      <c r="G253" s="484"/>
      <c r="H253" s="484"/>
      <c r="I253" s="484"/>
      <c r="J253" s="484"/>
      <c r="K253" s="484"/>
    </row>
    <row r="254" spans="3:12" x14ac:dyDescent="0.2">
      <c r="E254" s="484"/>
      <c r="F254" s="484"/>
      <c r="G254" s="484"/>
      <c r="H254" s="484"/>
      <c r="I254" s="484"/>
      <c r="J254" s="484"/>
      <c r="K254" s="484"/>
    </row>
  </sheetData>
  <customSheetViews>
    <customSheetView guid="{A374FC54-96E3-45F0-9C12-8450400C12DF}" scale="130">
      <pane xSplit="1" ySplit="5" topLeftCell="B41" activePane="bottomRight" state="frozen"/>
      <selection pane="bottomRight" activeCell="G53" sqref="G53"/>
      <pageMargins left="0.62992125984252001" right="0.511811023622047" top="0.511811023622047" bottom="0.511811023622047" header="0" footer="0.183070866"/>
      <pageSetup paperSize="132" firstPageNumber="14" orientation="portrait" useFirstPageNumber="1" r:id="rId1"/>
      <headerFooter alignWithMargins="0">
        <oddFooter>&amp;C&amp;"Times New Roman,Regular"&amp;8&amp;P</oddFooter>
      </headerFooter>
    </customSheetView>
  </customSheetViews>
  <mergeCells count="25">
    <mergeCell ref="K44:L44"/>
    <mergeCell ref="K45:L45"/>
    <mergeCell ref="K46:L46"/>
    <mergeCell ref="K35:L35"/>
    <mergeCell ref="E1:G1"/>
    <mergeCell ref="E3:G3"/>
    <mergeCell ref="H3:J3"/>
    <mergeCell ref="H1:J1"/>
    <mergeCell ref="L3:L4"/>
    <mergeCell ref="A3:A5"/>
    <mergeCell ref="B3:B5"/>
    <mergeCell ref="C235:G235"/>
    <mergeCell ref="I235:L235"/>
    <mergeCell ref="C236:E236"/>
    <mergeCell ref="K3:K4"/>
    <mergeCell ref="C3:C4"/>
    <mergeCell ref="D3:D4"/>
    <mergeCell ref="K36:L36"/>
    <mergeCell ref="K37:L37"/>
    <mergeCell ref="K38:L38"/>
    <mergeCell ref="K39:L39"/>
    <mergeCell ref="K40:L40"/>
    <mergeCell ref="K41:L41"/>
    <mergeCell ref="K42:L42"/>
    <mergeCell ref="K43:L43"/>
  </mergeCells>
  <phoneticPr fontId="5" type="noConversion"/>
  <conditionalFormatting sqref="AI22:AK24 AV22:AX24 BI22:BK24 BV22:BX24 CI22:CK24 CV22:CX24 DI22:DK24 DV22:DX24 EI22:EK24 EV22:EX24 FI22:FK24 FV22:FX24 GI22:GK24 GV22:GX24 HI22:HK24 HV22:HX24 V23:X23 C19:L20 A19:B22">
    <cfRule type="expression" dxfId="28" priority="73" stopIfTrue="1">
      <formula>MOD(ROW(),2)=0</formula>
    </cfRule>
  </conditionalFormatting>
  <conditionalFormatting sqref="C23:L24 A23:B26">
    <cfRule type="expression" dxfId="27" priority="14" stopIfTrue="1">
      <formula>MOD(ROW(),2)=0</formula>
    </cfRule>
  </conditionalFormatting>
  <conditionalFormatting sqref="C203:L203 B203:B205">
    <cfRule type="expression" dxfId="26" priority="13" stopIfTrue="1">
      <formula>MOD(ROW(),2)=0</formula>
    </cfRule>
  </conditionalFormatting>
  <conditionalFormatting sqref="C206:L207 B206:B209">
    <cfRule type="expression" dxfId="25" priority="12" stopIfTrue="1">
      <formula>MOD(ROW(),2)=0</formula>
    </cfRule>
  </conditionalFormatting>
  <conditionalFormatting sqref="B211">
    <cfRule type="expression" dxfId="24" priority="11" stopIfTrue="1">
      <formula>MOD(ROW(),2)=0</formula>
    </cfRule>
  </conditionalFormatting>
  <conditionalFormatting sqref="C212:L213 B212:B214">
    <cfRule type="expression" dxfId="23" priority="10" stopIfTrue="1">
      <formula>MOD(ROW(),2)=0</formula>
    </cfRule>
  </conditionalFormatting>
  <conditionalFormatting sqref="B215:B216">
    <cfRule type="expression" dxfId="22" priority="9" stopIfTrue="1">
      <formula>MOD(ROW(),2)=0</formula>
    </cfRule>
  </conditionalFormatting>
  <conditionalFormatting sqref="C217:L218 B217:B220">
    <cfRule type="expression" dxfId="21" priority="8" stopIfTrue="1">
      <formula>MOD(ROW(),2)=0</formula>
    </cfRule>
  </conditionalFormatting>
  <conditionalFormatting sqref="B222">
    <cfRule type="expression" dxfId="20" priority="7" stopIfTrue="1">
      <formula>MOD(ROW(),2)=0</formula>
    </cfRule>
  </conditionalFormatting>
  <conditionalFormatting sqref="C223:L224 B223:B225">
    <cfRule type="expression" dxfId="19" priority="6" stopIfTrue="1">
      <formula>MOD(ROW(),2)=0</formula>
    </cfRule>
  </conditionalFormatting>
  <conditionalFormatting sqref="B227">
    <cfRule type="expression" dxfId="18" priority="5" stopIfTrue="1">
      <formula>MOD(ROW(),2)=0</formula>
    </cfRule>
  </conditionalFormatting>
  <conditionalFormatting sqref="B229">
    <cfRule type="expression" dxfId="17" priority="4" stopIfTrue="1">
      <formula>MOD(ROW(),2)=0</formula>
    </cfRule>
  </conditionalFormatting>
  <conditionalFormatting sqref="E102:G102 J103 L103 G103 D95:E99 H95:I99 F95:G101 C95:C101 J95:L102">
    <cfRule type="expression" dxfId="16" priority="1" stopIfTrue="1">
      <formula>MOD(ROW(),2)=0</formula>
    </cfRule>
  </conditionalFormatting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299"/>
  <sheetViews>
    <sheetView zoomScale="160" zoomScaleNormal="160" workbookViewId="0">
      <pane xSplit="1" ySplit="8" topLeftCell="B41" activePane="bottomRight" state="frozen"/>
      <selection activeCell="C112" sqref="C112"/>
      <selection pane="topRight" activeCell="C112" sqref="C112"/>
      <selection pane="bottomLeft" activeCell="C112" sqref="C112"/>
      <selection pane="bottomRight" activeCell="A41" sqref="A41"/>
    </sheetView>
  </sheetViews>
  <sheetFormatPr defaultColWidth="9.140625" defaultRowHeight="11.25" x14ac:dyDescent="0.2"/>
  <cols>
    <col min="1" max="2" width="9.7109375" style="8" customWidth="1"/>
    <col min="3" max="3" width="11.140625" style="8" customWidth="1"/>
    <col min="4" max="4" width="10.7109375" style="8" customWidth="1"/>
    <col min="5" max="5" width="10.5703125" style="8" customWidth="1"/>
    <col min="6" max="7" width="10.7109375" style="8" customWidth="1"/>
    <col min="8" max="8" width="11.140625" style="8" customWidth="1"/>
    <col min="9" max="9" width="14.140625" style="8" customWidth="1"/>
    <col min="10" max="10" width="9.140625" style="8" customWidth="1"/>
    <col min="11" max="11" width="10.85546875" style="8" bestFit="1" customWidth="1"/>
    <col min="12" max="16384" width="9.140625" style="8"/>
  </cols>
  <sheetData>
    <row r="1" spans="1:11" s="30" customFormat="1" ht="15.75" customHeight="1" x14ac:dyDescent="0.25">
      <c r="A1" s="2389" t="s">
        <v>1230</v>
      </c>
      <c r="B1" s="2389"/>
      <c r="C1" s="2389"/>
      <c r="D1" s="2389"/>
      <c r="E1" s="2389"/>
      <c r="F1" s="2389"/>
      <c r="G1" s="1916"/>
      <c r="H1" s="2389" t="s">
        <v>200</v>
      </c>
      <c r="I1" s="2389"/>
    </row>
    <row r="2" spans="1:11" s="36" customFormat="1" ht="12" x14ac:dyDescent="0.2">
      <c r="H2" s="2293" t="s">
        <v>24</v>
      </c>
      <c r="I2" s="2444"/>
    </row>
    <row r="3" spans="1:11" s="36" customFormat="1" ht="12" x14ac:dyDescent="0.2">
      <c r="H3" s="1915"/>
      <c r="I3" s="1918"/>
    </row>
    <row r="4" spans="1:11" s="359" customFormat="1" ht="15" customHeight="1" x14ac:dyDescent="0.2">
      <c r="A4" s="2439" t="s">
        <v>888</v>
      </c>
      <c r="B4" s="1721"/>
      <c r="C4" s="2434" t="s">
        <v>805</v>
      </c>
      <c r="D4" s="2434" t="s">
        <v>206</v>
      </c>
      <c r="E4" s="2436" t="s">
        <v>198</v>
      </c>
      <c r="F4" s="2437"/>
      <c r="G4" s="2438"/>
      <c r="H4" s="2437"/>
      <c r="I4" s="2434" t="s">
        <v>3078</v>
      </c>
    </row>
    <row r="5" spans="1:11" s="359" customFormat="1" ht="12.75" customHeight="1" x14ac:dyDescent="0.2">
      <c r="A5" s="2440"/>
      <c r="B5" s="1722"/>
      <c r="C5" s="2443"/>
      <c r="D5" s="2442"/>
      <c r="E5" s="2448" t="s">
        <v>199</v>
      </c>
      <c r="F5" s="2449"/>
      <c r="G5" s="2450"/>
      <c r="H5" s="2445" t="s">
        <v>1188</v>
      </c>
      <c r="I5" s="2443"/>
    </row>
    <row r="6" spans="1:11" s="159" customFormat="1" ht="19.5" customHeight="1" x14ac:dyDescent="0.2">
      <c r="A6" s="2440"/>
      <c r="B6" s="1722" t="s">
        <v>3061</v>
      </c>
      <c r="C6" s="2443"/>
      <c r="D6" s="2442"/>
      <c r="E6" s="2434" t="s">
        <v>2117</v>
      </c>
      <c r="F6" s="2434" t="s">
        <v>197</v>
      </c>
      <c r="G6" s="2434" t="s">
        <v>3079</v>
      </c>
      <c r="H6" s="2446"/>
      <c r="I6" s="2443"/>
    </row>
    <row r="7" spans="1:11" s="159" customFormat="1" ht="14.25" customHeight="1" x14ac:dyDescent="0.2">
      <c r="A7" s="2440"/>
      <c r="B7" s="1722"/>
      <c r="C7" s="2435"/>
      <c r="D7" s="2441"/>
      <c r="E7" s="2435"/>
      <c r="F7" s="2441"/>
      <c r="G7" s="2441"/>
      <c r="H7" s="2447"/>
      <c r="I7" s="2435"/>
    </row>
    <row r="8" spans="1:11" s="18" customFormat="1" ht="10.5" customHeight="1" x14ac:dyDescent="0.2">
      <c r="A8" s="2440"/>
      <c r="B8" s="1917"/>
      <c r="C8" s="1948">
        <v>1</v>
      </c>
      <c r="D8" s="1948">
        <v>2</v>
      </c>
      <c r="E8" s="1948">
        <v>3</v>
      </c>
      <c r="F8" s="1948">
        <v>4</v>
      </c>
      <c r="G8" s="1948">
        <v>5</v>
      </c>
      <c r="H8" s="1948">
        <v>6</v>
      </c>
      <c r="I8" s="1948">
        <v>7</v>
      </c>
    </row>
    <row r="9" spans="1:11" ht="11.25" hidden="1" customHeight="1" x14ac:dyDescent="0.2">
      <c r="A9" s="330" t="s">
        <v>3080</v>
      </c>
      <c r="B9" s="330" t="s">
        <v>3081</v>
      </c>
      <c r="C9" s="209" t="s">
        <v>3082</v>
      </c>
      <c r="D9" s="209" t="s">
        <v>3083</v>
      </c>
      <c r="E9" s="209" t="s">
        <v>3084</v>
      </c>
      <c r="F9" s="209" t="s">
        <v>3085</v>
      </c>
      <c r="G9" s="209" t="s">
        <v>3086</v>
      </c>
      <c r="H9" s="209" t="s">
        <v>3087</v>
      </c>
      <c r="I9" s="209" t="s">
        <v>3088</v>
      </c>
      <c r="J9" s="35"/>
      <c r="K9" s="35"/>
    </row>
    <row r="10" spans="1:11" ht="11.25" customHeight="1" x14ac:dyDescent="0.2">
      <c r="A10" s="9" t="s">
        <v>535</v>
      </c>
      <c r="B10" s="9"/>
      <c r="C10" s="1654">
        <v>5416</v>
      </c>
      <c r="D10" s="1654">
        <v>691.5</v>
      </c>
      <c r="E10" s="1654">
        <v>4769.3999999999996</v>
      </c>
      <c r="F10" s="1654">
        <v>431</v>
      </c>
      <c r="G10" s="1654">
        <f>E10+F10</f>
        <v>5200.3999999999996</v>
      </c>
      <c r="H10" s="45" t="s">
        <v>288</v>
      </c>
      <c r="I10" s="1654">
        <f>C10+D10+E10+F10</f>
        <v>11307.9</v>
      </c>
      <c r="J10" s="35"/>
      <c r="K10" s="35"/>
    </row>
    <row r="11" spans="1:11" ht="11.25" customHeight="1" x14ac:dyDescent="0.2">
      <c r="A11" s="285" t="s">
        <v>536</v>
      </c>
      <c r="B11" s="285"/>
      <c r="C11" s="274">
        <v>6565.1</v>
      </c>
      <c r="D11" s="274">
        <v>623.4</v>
      </c>
      <c r="E11" s="274">
        <v>2687.6</v>
      </c>
      <c r="F11" s="274">
        <v>753.9</v>
      </c>
      <c r="G11" s="1654">
        <f t="shared" ref="G11:G28" si="0">E11+F11</f>
        <v>3441.5</v>
      </c>
      <c r="H11" s="2115" t="s">
        <v>288</v>
      </c>
      <c r="I11" s="274">
        <f t="shared" ref="I11:I17" si="1">C11+D11+E11+F11</f>
        <v>10630</v>
      </c>
      <c r="J11" s="35"/>
      <c r="K11" s="35"/>
    </row>
    <row r="12" spans="1:11" ht="11.25" customHeight="1" x14ac:dyDescent="0.2">
      <c r="A12" s="9" t="s">
        <v>537</v>
      </c>
      <c r="B12" s="9"/>
      <c r="C12" s="1654">
        <v>7123.3</v>
      </c>
      <c r="D12" s="1654">
        <v>776</v>
      </c>
      <c r="E12" s="1654">
        <v>2273.6</v>
      </c>
      <c r="F12" s="1654">
        <v>830.1</v>
      </c>
      <c r="G12" s="1654">
        <f t="shared" si="0"/>
        <v>3103.7</v>
      </c>
      <c r="H12" s="45" t="s">
        <v>288</v>
      </c>
      <c r="I12" s="1654">
        <f t="shared" si="1"/>
        <v>11003</v>
      </c>
      <c r="J12" s="35"/>
      <c r="K12" s="35"/>
    </row>
    <row r="13" spans="1:11" ht="11.25" customHeight="1" x14ac:dyDescent="0.2">
      <c r="A13" s="285" t="s">
        <v>538</v>
      </c>
      <c r="B13" s="285"/>
      <c r="C13" s="274">
        <v>7574.6</v>
      </c>
      <c r="D13" s="274">
        <v>880.1</v>
      </c>
      <c r="E13" s="274">
        <v>3017.8</v>
      </c>
      <c r="F13" s="274">
        <v>922</v>
      </c>
      <c r="G13" s="1654">
        <f t="shared" si="0"/>
        <v>3939.8</v>
      </c>
      <c r="H13" s="2115" t="s">
        <v>288</v>
      </c>
      <c r="I13" s="274">
        <f t="shared" si="1"/>
        <v>12394.5</v>
      </c>
      <c r="J13" s="35"/>
      <c r="K13" s="35"/>
    </row>
    <row r="14" spans="1:11" ht="11.25" customHeight="1" x14ac:dyDescent="0.2">
      <c r="A14" s="9" t="s">
        <v>539</v>
      </c>
      <c r="B14" s="9"/>
      <c r="C14" s="1654">
        <v>8153.3</v>
      </c>
      <c r="D14" s="1654">
        <v>923.3</v>
      </c>
      <c r="E14" s="1654">
        <v>3655.9</v>
      </c>
      <c r="F14" s="1654">
        <v>885.1</v>
      </c>
      <c r="G14" s="1654">
        <f t="shared" si="0"/>
        <v>4541</v>
      </c>
      <c r="H14" s="45" t="s">
        <v>288</v>
      </c>
      <c r="I14" s="1654">
        <f t="shared" si="1"/>
        <v>13617.6</v>
      </c>
      <c r="J14" s="35"/>
      <c r="K14" s="35"/>
    </row>
    <row r="15" spans="1:11" ht="11.25" customHeight="1" x14ac:dyDescent="0.2">
      <c r="A15" s="285" t="s">
        <v>540</v>
      </c>
      <c r="B15" s="285"/>
      <c r="C15" s="274">
        <v>8686.6</v>
      </c>
      <c r="D15" s="274">
        <v>1026.9000000000001</v>
      </c>
      <c r="E15" s="274">
        <v>3812.5</v>
      </c>
      <c r="F15" s="274">
        <v>1216.7</v>
      </c>
      <c r="G15" s="1654">
        <f t="shared" si="0"/>
        <v>5029.2</v>
      </c>
      <c r="H15" s="2115" t="s">
        <v>288</v>
      </c>
      <c r="I15" s="274">
        <f t="shared" si="1"/>
        <v>14742.7</v>
      </c>
      <c r="J15" s="35"/>
      <c r="K15" s="35"/>
    </row>
    <row r="16" spans="1:11" ht="11.25" customHeight="1" x14ac:dyDescent="0.2">
      <c r="A16" s="9" t="s">
        <v>541</v>
      </c>
      <c r="B16" s="9"/>
      <c r="C16" s="1654">
        <v>10176</v>
      </c>
      <c r="D16" s="1654">
        <v>1088.4000000000001</v>
      </c>
      <c r="E16" s="1654">
        <v>4183.3999999999996</v>
      </c>
      <c r="F16" s="1654">
        <v>1616.3</v>
      </c>
      <c r="G16" s="1654">
        <f t="shared" si="0"/>
        <v>5799.7</v>
      </c>
      <c r="H16" s="45" t="s">
        <v>288</v>
      </c>
      <c r="I16" s="1654">
        <f t="shared" si="1"/>
        <v>17064.099999999999</v>
      </c>
      <c r="J16" s="35"/>
      <c r="K16" s="35"/>
    </row>
    <row r="17" spans="1:11" ht="11.25" customHeight="1" x14ac:dyDescent="0.2">
      <c r="A17" s="285" t="s">
        <v>542</v>
      </c>
      <c r="B17" s="285"/>
      <c r="C17" s="274">
        <v>11478.3</v>
      </c>
      <c r="D17" s="274">
        <v>1354.5</v>
      </c>
      <c r="E17" s="274">
        <v>3385.7</v>
      </c>
      <c r="F17" s="274">
        <v>2708.9</v>
      </c>
      <c r="G17" s="1654">
        <f t="shared" si="0"/>
        <v>6094.6</v>
      </c>
      <c r="H17" s="2115" t="s">
        <v>288</v>
      </c>
      <c r="I17" s="274">
        <f t="shared" si="1"/>
        <v>18927.400000000001</v>
      </c>
      <c r="J17" s="35"/>
      <c r="K17" s="35"/>
    </row>
    <row r="18" spans="1:11" ht="11.25" customHeight="1" x14ac:dyDescent="0.2">
      <c r="A18" s="9" t="s">
        <v>543</v>
      </c>
      <c r="B18" s="9"/>
      <c r="C18" s="1654">
        <v>12531.4</v>
      </c>
      <c r="D18" s="1654">
        <v>1348.8</v>
      </c>
      <c r="E18" s="1654">
        <v>6683.5</v>
      </c>
      <c r="F18" s="1654">
        <v>2960.6</v>
      </c>
      <c r="G18" s="1654">
        <f t="shared" si="0"/>
        <v>9644.1</v>
      </c>
      <c r="H18" s="1654">
        <v>9.3000000000000007</v>
      </c>
      <c r="I18" s="1654">
        <f>C18+D18+E18+H18</f>
        <v>20572.999999999996</v>
      </c>
      <c r="J18" s="35"/>
      <c r="K18" s="35"/>
    </row>
    <row r="19" spans="1:11" ht="11.25" customHeight="1" x14ac:dyDescent="0.2">
      <c r="A19" s="285" t="s">
        <v>544</v>
      </c>
      <c r="B19" s="285"/>
      <c r="C19" s="274">
        <v>13901.8</v>
      </c>
      <c r="D19" s="274">
        <v>1440.5</v>
      </c>
      <c r="E19" s="274">
        <v>6085.5</v>
      </c>
      <c r="F19" s="274">
        <v>2871.6</v>
      </c>
      <c r="G19" s="1654">
        <f t="shared" si="0"/>
        <v>8957.1</v>
      </c>
      <c r="H19" s="274">
        <v>13.7</v>
      </c>
      <c r="I19" s="274">
        <f t="shared" ref="I19:I24" si="2">C19+D19+E19+H19</f>
        <v>21441.5</v>
      </c>
      <c r="J19" s="35"/>
      <c r="K19" s="35"/>
    </row>
    <row r="20" spans="1:11" ht="11.25" customHeight="1" x14ac:dyDescent="0.2">
      <c r="A20" s="9" t="s">
        <v>545</v>
      </c>
      <c r="B20" s="9"/>
      <c r="C20" s="1654">
        <v>15811</v>
      </c>
      <c r="D20" s="1654">
        <v>1476.4</v>
      </c>
      <c r="E20" s="1654">
        <v>6558.6</v>
      </c>
      <c r="F20" s="1654">
        <v>2333.8000000000002</v>
      </c>
      <c r="G20" s="1654">
        <f t="shared" si="0"/>
        <v>8892.4000000000015</v>
      </c>
      <c r="H20" s="1654">
        <f>76.6-52.2</f>
        <v>24.399999999999991</v>
      </c>
      <c r="I20" s="1654">
        <f t="shared" si="2"/>
        <v>23870.400000000001</v>
      </c>
      <c r="J20" s="35"/>
      <c r="K20" s="35"/>
    </row>
    <row r="21" spans="1:11" ht="11.25" customHeight="1" x14ac:dyDescent="0.2">
      <c r="A21" s="285" t="s">
        <v>546</v>
      </c>
      <c r="B21" s="285"/>
      <c r="C21" s="274">
        <v>18518.099999999999</v>
      </c>
      <c r="D21" s="274">
        <v>1809.8</v>
      </c>
      <c r="E21" s="274">
        <v>7036.4</v>
      </c>
      <c r="F21" s="274">
        <v>2004.9</v>
      </c>
      <c r="G21" s="1654">
        <f t="shared" si="0"/>
        <v>9041.2999999999993</v>
      </c>
      <c r="H21" s="274">
        <f>178.1-142</f>
        <v>36.099999999999994</v>
      </c>
      <c r="I21" s="274">
        <f t="shared" si="2"/>
        <v>27400.399999999994</v>
      </c>
      <c r="J21" s="35"/>
      <c r="K21" s="35"/>
    </row>
    <row r="22" spans="1:11" ht="11.25" customHeight="1" x14ac:dyDescent="0.2">
      <c r="A22" s="9" t="s">
        <v>551</v>
      </c>
      <c r="B22" s="9"/>
      <c r="C22" s="1654">
        <v>22862.1</v>
      </c>
      <c r="D22" s="1654">
        <v>2032</v>
      </c>
      <c r="E22" s="1654">
        <v>9010</v>
      </c>
      <c r="F22" s="1654">
        <v>3426.6</v>
      </c>
      <c r="G22" s="1654">
        <f t="shared" si="0"/>
        <v>12436.6</v>
      </c>
      <c r="H22" s="1654">
        <f>532.5-481.9</f>
        <v>50.600000000000023</v>
      </c>
      <c r="I22" s="1654">
        <f t="shared" si="2"/>
        <v>33954.699999999997</v>
      </c>
      <c r="J22" s="35"/>
      <c r="K22" s="35"/>
    </row>
    <row r="23" spans="1:11" ht="11.25" customHeight="1" x14ac:dyDescent="0.2">
      <c r="A23" s="285" t="s">
        <v>560</v>
      </c>
      <c r="B23" s="285"/>
      <c r="C23" s="274">
        <v>26643.8</v>
      </c>
      <c r="D23" s="274">
        <v>2143.6</v>
      </c>
      <c r="E23" s="274">
        <v>10573.6</v>
      </c>
      <c r="F23" s="274">
        <v>4650.3999999999996</v>
      </c>
      <c r="G23" s="1654">
        <f t="shared" si="0"/>
        <v>15224</v>
      </c>
      <c r="H23" s="274">
        <f>543.6-481.9</f>
        <v>61.700000000000045</v>
      </c>
      <c r="I23" s="274">
        <f t="shared" si="2"/>
        <v>39422.699999999997</v>
      </c>
      <c r="J23" s="35"/>
      <c r="K23" s="35"/>
    </row>
    <row r="24" spans="1:11" ht="11.25" customHeight="1" x14ac:dyDescent="0.2">
      <c r="A24" s="9" t="s">
        <v>325</v>
      </c>
      <c r="B24" s="9"/>
      <c r="C24" s="1654">
        <v>32689.9</v>
      </c>
      <c r="D24" s="1654">
        <v>2958.6</v>
      </c>
      <c r="E24" s="1654">
        <v>11806.7</v>
      </c>
      <c r="F24" s="1654">
        <v>5227.5</v>
      </c>
      <c r="G24" s="1654">
        <f t="shared" si="0"/>
        <v>17034.2</v>
      </c>
      <c r="H24" s="1654">
        <v>106.9</v>
      </c>
      <c r="I24" s="1654">
        <f t="shared" si="2"/>
        <v>47562.1</v>
      </c>
      <c r="J24" s="35"/>
      <c r="K24" s="35"/>
    </row>
    <row r="25" spans="1:11" ht="11.25" customHeight="1" x14ac:dyDescent="0.2">
      <c r="A25" s="285" t="s">
        <v>85</v>
      </c>
      <c r="B25" s="285"/>
      <c r="C25" s="274">
        <v>36049.199999999997</v>
      </c>
      <c r="D25" s="274">
        <v>3399.5</v>
      </c>
      <c r="E25" s="274">
        <v>23159.5</v>
      </c>
      <c r="F25" s="274">
        <v>6640.7</v>
      </c>
      <c r="G25" s="1654">
        <f t="shared" si="0"/>
        <v>29800.2</v>
      </c>
      <c r="H25" s="274">
        <v>141.19999999999999</v>
      </c>
      <c r="I25" s="274">
        <f>C25+D25+E25+H25</f>
        <v>62749.399999999994</v>
      </c>
      <c r="J25" s="35"/>
      <c r="K25" s="35"/>
    </row>
    <row r="26" spans="1:11" ht="11.25" customHeight="1" x14ac:dyDescent="0.2">
      <c r="A26" s="9" t="s">
        <v>81</v>
      </c>
      <c r="B26" s="9"/>
      <c r="C26" s="1654">
        <v>46157.1</v>
      </c>
      <c r="D26" s="1654">
        <v>4308.3</v>
      </c>
      <c r="E26" s="1654">
        <v>23468</v>
      </c>
      <c r="F26" s="1654">
        <v>6367.5</v>
      </c>
      <c r="G26" s="1654">
        <f t="shared" si="0"/>
        <v>29835.5</v>
      </c>
      <c r="H26" s="1654">
        <v>209.4</v>
      </c>
      <c r="I26" s="1654">
        <f>C26+D26+E26+H26</f>
        <v>74142.799999999988</v>
      </c>
      <c r="J26" s="35"/>
      <c r="K26" s="35"/>
    </row>
    <row r="27" spans="1:11" s="154" customFormat="1" ht="11.25" customHeight="1" x14ac:dyDescent="0.2">
      <c r="A27" s="285" t="s">
        <v>189</v>
      </c>
      <c r="B27" s="285"/>
      <c r="C27" s="274">
        <v>54795.1</v>
      </c>
      <c r="D27" s="274">
        <v>5731.8</v>
      </c>
      <c r="E27" s="274">
        <v>29007.7</v>
      </c>
      <c r="F27" s="274">
        <v>7766.5</v>
      </c>
      <c r="G27" s="1654">
        <f t="shared" si="0"/>
        <v>36774.199999999997</v>
      </c>
      <c r="H27" s="274">
        <v>199.8</v>
      </c>
      <c r="I27" s="274">
        <v>89734.400000000009</v>
      </c>
      <c r="J27" s="153"/>
      <c r="K27" s="35"/>
    </row>
    <row r="28" spans="1:11" s="154" customFormat="1" ht="11.25" customHeight="1" x14ac:dyDescent="0.2">
      <c r="A28" s="1990" t="s">
        <v>696</v>
      </c>
      <c r="B28" s="1990"/>
      <c r="C28" s="1898">
        <f t="shared" ref="C28:I28" si="3">C40</f>
        <v>290436.5</v>
      </c>
      <c r="D28" s="1898">
        <f t="shared" si="3"/>
        <v>29872.400000000001</v>
      </c>
      <c r="E28" s="1898">
        <f t="shared" si="3"/>
        <v>92765.1</v>
      </c>
      <c r="F28" s="1898">
        <f t="shared" si="3"/>
        <v>14339.5</v>
      </c>
      <c r="G28" s="1654">
        <f t="shared" si="0"/>
        <v>107104.6</v>
      </c>
      <c r="H28" s="1898">
        <f t="shared" si="3"/>
        <v>573</v>
      </c>
      <c r="I28" s="1898">
        <f t="shared" si="3"/>
        <v>427986.5</v>
      </c>
      <c r="J28" s="153"/>
      <c r="K28" s="35"/>
    </row>
    <row r="29" spans="1:11" s="532" customFormat="1" ht="11.25" customHeight="1" x14ac:dyDescent="0.2">
      <c r="A29" s="268" t="s">
        <v>804</v>
      </c>
      <c r="B29" s="268"/>
      <c r="C29" s="270">
        <v>67552.899999999994</v>
      </c>
      <c r="D29" s="270">
        <v>7819.4</v>
      </c>
      <c r="E29" s="270">
        <v>36803.4</v>
      </c>
      <c r="F29" s="270">
        <v>8422.6</v>
      </c>
      <c r="G29" s="209">
        <f t="shared" ref="G29:G90" si="4">E29+F29</f>
        <v>45226</v>
      </c>
      <c r="H29" s="270">
        <v>313.70000000000005</v>
      </c>
      <c r="I29" s="209">
        <f t="shared" ref="I29:I41" si="5">C29+D29+G29+H29</f>
        <v>120911.99999999999</v>
      </c>
      <c r="J29" s="443"/>
      <c r="K29" s="530"/>
    </row>
    <row r="30" spans="1:11" s="532" customFormat="1" ht="11.25" customHeight="1" x14ac:dyDescent="0.2">
      <c r="A30" s="212" t="s">
        <v>978</v>
      </c>
      <c r="B30" s="212"/>
      <c r="C30" s="214">
        <v>76908.399999999994</v>
      </c>
      <c r="D30" s="214">
        <v>8576.7999999999993</v>
      </c>
      <c r="E30" s="214">
        <v>43997.7</v>
      </c>
      <c r="F30" s="214">
        <v>7480.2</v>
      </c>
      <c r="G30" s="209">
        <f t="shared" si="4"/>
        <v>51477.899999999994</v>
      </c>
      <c r="H30" s="214">
        <v>392.4</v>
      </c>
      <c r="I30" s="209">
        <f t="shared" si="5"/>
        <v>137355.49999999997</v>
      </c>
      <c r="J30" s="443"/>
      <c r="K30" s="51"/>
    </row>
    <row r="31" spans="1:11" s="420" customFormat="1" ht="11.25" customHeight="1" x14ac:dyDescent="0.2">
      <c r="A31" s="268" t="s">
        <v>1029</v>
      </c>
      <c r="B31" s="268"/>
      <c r="C31" s="428">
        <v>87940.800000000003</v>
      </c>
      <c r="D31" s="428">
        <v>10213.1</v>
      </c>
      <c r="E31" s="428">
        <v>49838.9</v>
      </c>
      <c r="F31" s="428">
        <v>7889.3</v>
      </c>
      <c r="G31" s="209">
        <f t="shared" si="4"/>
        <v>57728.200000000004</v>
      </c>
      <c r="H31" s="428">
        <v>489.7</v>
      </c>
      <c r="I31" s="209">
        <f t="shared" si="5"/>
        <v>156371.80000000002</v>
      </c>
      <c r="J31" s="419"/>
      <c r="K31" s="214"/>
    </row>
    <row r="32" spans="1:11" s="420" customFormat="1" ht="11.25" customHeight="1" x14ac:dyDescent="0.2">
      <c r="A32" s="212" t="s">
        <v>1150</v>
      </c>
      <c r="B32" s="212"/>
      <c r="C32" s="433">
        <v>122074.5</v>
      </c>
      <c r="D32" s="433">
        <v>10230.700000000001</v>
      </c>
      <c r="E32" s="433">
        <v>60299</v>
      </c>
      <c r="F32" s="433">
        <v>7133.4</v>
      </c>
      <c r="G32" s="209">
        <f t="shared" si="4"/>
        <v>67432.399999999994</v>
      </c>
      <c r="H32" s="433">
        <v>597.1</v>
      </c>
      <c r="I32" s="209">
        <f t="shared" si="5"/>
        <v>200334.7</v>
      </c>
      <c r="J32" s="419"/>
      <c r="K32" s="214"/>
    </row>
    <row r="33" spans="1:11" s="420" customFormat="1" ht="11.25" customHeight="1" x14ac:dyDescent="0.2">
      <c r="A33" s="268" t="s">
        <v>1174</v>
      </c>
      <c r="B33" s="268"/>
      <c r="C33" s="428">
        <v>137531.79999999999</v>
      </c>
      <c r="D33" s="428">
        <v>13733.4</v>
      </c>
      <c r="E33" s="428">
        <v>72732.7</v>
      </c>
      <c r="F33" s="428">
        <v>8987.9</v>
      </c>
      <c r="G33" s="209">
        <f t="shared" si="4"/>
        <v>81720.599999999991</v>
      </c>
      <c r="H33" s="428">
        <v>661.5</v>
      </c>
      <c r="I33" s="209">
        <f t="shared" si="5"/>
        <v>233647.3</v>
      </c>
      <c r="J33" s="419"/>
      <c r="K33" s="214"/>
    </row>
    <row r="34" spans="1:11" s="153" customFormat="1" ht="11.25" customHeight="1" x14ac:dyDescent="0.2">
      <c r="A34" s="212" t="s">
        <v>1296</v>
      </c>
      <c r="B34" s="212"/>
      <c r="C34" s="433">
        <v>140917.5</v>
      </c>
      <c r="D34" s="433">
        <v>14023</v>
      </c>
      <c r="E34" s="433">
        <v>78043.399999999994</v>
      </c>
      <c r="F34" s="433">
        <v>10474.5</v>
      </c>
      <c r="G34" s="209">
        <f t="shared" si="4"/>
        <v>88517.9</v>
      </c>
      <c r="H34" s="433">
        <v>759.1</v>
      </c>
      <c r="I34" s="209">
        <f t="shared" si="5"/>
        <v>244217.5</v>
      </c>
    </row>
    <row r="35" spans="1:11" s="153" customFormat="1" ht="11.25" customHeight="1" x14ac:dyDescent="0.2">
      <c r="A35" s="304" t="s">
        <v>1404</v>
      </c>
      <c r="B35" s="304"/>
      <c r="C35" s="428">
        <v>154287</v>
      </c>
      <c r="D35" s="428">
        <v>16100.1</v>
      </c>
      <c r="E35" s="428">
        <v>75012.100000000006</v>
      </c>
      <c r="F35" s="428">
        <v>11315.3</v>
      </c>
      <c r="G35" s="209">
        <f t="shared" si="4"/>
        <v>86327.400000000009</v>
      </c>
      <c r="H35" s="428">
        <v>788.5</v>
      </c>
      <c r="I35" s="209">
        <f t="shared" si="5"/>
        <v>257503</v>
      </c>
    </row>
    <row r="36" spans="1:11" s="153" customFormat="1" ht="11.25" customHeight="1" x14ac:dyDescent="0.2">
      <c r="A36" s="234" t="s">
        <v>1484</v>
      </c>
      <c r="B36" s="234"/>
      <c r="C36" s="433">
        <v>192114.5</v>
      </c>
      <c r="D36" s="433">
        <v>15979.6</v>
      </c>
      <c r="E36" s="433">
        <v>75768.3</v>
      </c>
      <c r="F36" s="433">
        <v>16308.2</v>
      </c>
      <c r="G36" s="209">
        <f t="shared" si="4"/>
        <v>92076.5</v>
      </c>
      <c r="H36" s="433">
        <v>621</v>
      </c>
      <c r="I36" s="209">
        <f t="shared" si="5"/>
        <v>300791.59999999998</v>
      </c>
      <c r="K36" s="667"/>
    </row>
    <row r="37" spans="1:11" s="153" customFormat="1" ht="11.25" customHeight="1" x14ac:dyDescent="0.2">
      <c r="A37" s="304" t="s">
        <v>1536</v>
      </c>
      <c r="B37" s="304"/>
      <c r="C37" s="428">
        <v>209517.7</v>
      </c>
      <c r="D37" s="428">
        <v>17370.599999999999</v>
      </c>
      <c r="E37" s="428">
        <v>120597</v>
      </c>
      <c r="F37" s="428">
        <v>11944.9</v>
      </c>
      <c r="G37" s="209">
        <f t="shared" si="4"/>
        <v>132541.9</v>
      </c>
      <c r="H37" s="428">
        <v>586.5</v>
      </c>
      <c r="I37" s="209">
        <f t="shared" si="5"/>
        <v>360016.7</v>
      </c>
      <c r="K37" s="667"/>
    </row>
    <row r="38" spans="1:11" s="153" customFormat="1" ht="11.25" customHeight="1" x14ac:dyDescent="0.2">
      <c r="A38" s="234" t="s">
        <v>1817</v>
      </c>
      <c r="B38" s="234"/>
      <c r="C38" s="433">
        <v>236448.9</v>
      </c>
      <c r="D38" s="433">
        <v>19733.8</v>
      </c>
      <c r="E38" s="433">
        <v>90382.9</v>
      </c>
      <c r="F38" s="433">
        <v>7819.1</v>
      </c>
      <c r="G38" s="209">
        <f t="shared" si="4"/>
        <v>98202</v>
      </c>
      <c r="H38" s="433">
        <v>596.4</v>
      </c>
      <c r="I38" s="209">
        <f t="shared" si="5"/>
        <v>354981.1</v>
      </c>
      <c r="K38" s="667"/>
    </row>
    <row r="39" spans="1:11" s="153" customFormat="1" ht="11.25" customHeight="1" x14ac:dyDescent="0.2">
      <c r="A39" s="304" t="s">
        <v>2066</v>
      </c>
      <c r="B39" s="304"/>
      <c r="C39" s="428">
        <v>291913.5</v>
      </c>
      <c r="D39" s="428">
        <v>20034.3</v>
      </c>
      <c r="E39" s="428">
        <v>70967.3</v>
      </c>
      <c r="F39" s="428">
        <v>13264.7</v>
      </c>
      <c r="G39" s="209">
        <f t="shared" si="4"/>
        <v>84232</v>
      </c>
      <c r="H39" s="428">
        <v>670.1</v>
      </c>
      <c r="I39" s="209">
        <f t="shared" si="5"/>
        <v>396849.89999999997</v>
      </c>
      <c r="K39" s="227"/>
    </row>
    <row r="40" spans="1:11" s="153" customFormat="1" ht="11.25" customHeight="1" x14ac:dyDescent="0.2">
      <c r="A40" s="1676" t="s">
        <v>2206</v>
      </c>
      <c r="B40" s="1676"/>
      <c r="C40" s="433">
        <f t="shared" ref="C40:H40" si="6">C222</f>
        <v>290436.5</v>
      </c>
      <c r="D40" s="433">
        <f t="shared" si="6"/>
        <v>29872.400000000001</v>
      </c>
      <c r="E40" s="433">
        <f t="shared" si="6"/>
        <v>92765.1</v>
      </c>
      <c r="F40" s="433">
        <f t="shared" si="6"/>
        <v>14339.5</v>
      </c>
      <c r="G40" s="209">
        <f t="shared" si="4"/>
        <v>107104.6</v>
      </c>
      <c r="H40" s="433">
        <f t="shared" si="6"/>
        <v>573</v>
      </c>
      <c r="I40" s="209">
        <f t="shared" si="5"/>
        <v>427986.5</v>
      </c>
      <c r="K40" s="227"/>
    </row>
    <row r="41" spans="1:11" s="153" customFormat="1" ht="11.25" customHeight="1" x14ac:dyDescent="0.2">
      <c r="A41" s="304" t="s">
        <v>2596</v>
      </c>
      <c r="B41" s="304"/>
      <c r="C41" s="428">
        <f t="shared" ref="C41:H41" si="7">C234</f>
        <v>296451.90000000002</v>
      </c>
      <c r="D41" s="428">
        <f t="shared" si="7"/>
        <v>30244.7</v>
      </c>
      <c r="E41" s="428">
        <f t="shared" si="7"/>
        <v>85877.2</v>
      </c>
      <c r="F41" s="428">
        <f t="shared" si="7"/>
        <v>25473.1</v>
      </c>
      <c r="G41" s="209">
        <f t="shared" si="4"/>
        <v>111350.29999999999</v>
      </c>
      <c r="H41" s="428">
        <f t="shared" si="7"/>
        <v>605.20000000000005</v>
      </c>
      <c r="I41" s="209">
        <f t="shared" si="5"/>
        <v>438652.10000000003</v>
      </c>
      <c r="K41" s="227"/>
    </row>
    <row r="42" spans="1:11" s="153" customFormat="1" ht="11.25" customHeight="1" x14ac:dyDescent="0.2">
      <c r="A42" s="304"/>
      <c r="B42" s="304"/>
      <c r="C42" s="428"/>
      <c r="D42" s="428"/>
      <c r="E42" s="428"/>
      <c r="F42" s="428"/>
      <c r="G42" s="209"/>
      <c r="H42" s="428"/>
      <c r="I42" s="428"/>
      <c r="K42" s="227"/>
    </row>
    <row r="43" spans="1:11" s="153" customFormat="1" ht="11.25" customHeight="1" x14ac:dyDescent="0.2">
      <c r="A43" s="304" t="s">
        <v>81</v>
      </c>
      <c r="B43" s="304" t="s">
        <v>552</v>
      </c>
      <c r="C43" s="1654">
        <v>37068.199999999997</v>
      </c>
      <c r="D43" s="1654">
        <v>2800.9</v>
      </c>
      <c r="E43" s="1654">
        <v>21132.9</v>
      </c>
      <c r="F43" s="1654">
        <v>6582.8</v>
      </c>
      <c r="G43" s="209">
        <f t="shared" si="4"/>
        <v>27715.7</v>
      </c>
      <c r="H43" s="1654">
        <v>124.7</v>
      </c>
      <c r="I43" s="1654">
        <f t="shared" ref="I43:I66" si="8">C43+D43+G43+H43</f>
        <v>67709.5</v>
      </c>
      <c r="K43" s="227"/>
    </row>
    <row r="44" spans="1:11" s="153" customFormat="1" ht="11.25" customHeight="1" x14ac:dyDescent="0.2">
      <c r="A44" s="304" t="s">
        <v>81</v>
      </c>
      <c r="B44" s="234" t="s">
        <v>553</v>
      </c>
      <c r="C44" s="1654">
        <v>37258.5</v>
      </c>
      <c r="D44" s="1654">
        <v>3479.6</v>
      </c>
      <c r="E44" s="1654">
        <v>21083.5</v>
      </c>
      <c r="F44" s="1654">
        <v>6595.9</v>
      </c>
      <c r="G44" s="209">
        <f t="shared" si="4"/>
        <v>27679.4</v>
      </c>
      <c r="H44" s="1654">
        <v>113.1</v>
      </c>
      <c r="I44" s="1654">
        <f t="shared" si="8"/>
        <v>68530.600000000006</v>
      </c>
      <c r="K44" s="227"/>
    </row>
    <row r="45" spans="1:11" s="153" customFormat="1" ht="11.25" customHeight="1" x14ac:dyDescent="0.2">
      <c r="A45" s="304" t="s">
        <v>81</v>
      </c>
      <c r="B45" s="304" t="s">
        <v>547</v>
      </c>
      <c r="C45" s="1654">
        <v>40894.699999999997</v>
      </c>
      <c r="D45" s="1654">
        <v>3825.7</v>
      </c>
      <c r="E45" s="1654">
        <v>23058.2</v>
      </c>
      <c r="F45" s="1654">
        <v>6687.6</v>
      </c>
      <c r="G45" s="209">
        <f t="shared" si="4"/>
        <v>29745.800000000003</v>
      </c>
      <c r="H45" s="1654">
        <v>135.30000000000001</v>
      </c>
      <c r="I45" s="1654">
        <f t="shared" si="8"/>
        <v>74601.5</v>
      </c>
      <c r="K45" s="227"/>
    </row>
    <row r="46" spans="1:11" s="153" customFormat="1" ht="11.25" customHeight="1" x14ac:dyDescent="0.2">
      <c r="A46" s="304" t="s">
        <v>81</v>
      </c>
      <c r="B46" s="234" t="s">
        <v>554</v>
      </c>
      <c r="C46" s="1654">
        <v>38421.300000000003</v>
      </c>
      <c r="D46" s="1654">
        <v>3142.2</v>
      </c>
      <c r="E46" s="1654">
        <v>21229.4</v>
      </c>
      <c r="F46" s="1654">
        <v>5850.7</v>
      </c>
      <c r="G46" s="209">
        <f t="shared" si="4"/>
        <v>27080.100000000002</v>
      </c>
      <c r="H46" s="1654">
        <v>128.69999999999999</v>
      </c>
      <c r="I46" s="1654">
        <f t="shared" si="8"/>
        <v>68772.3</v>
      </c>
      <c r="K46" s="227"/>
    </row>
    <row r="47" spans="1:11" s="153" customFormat="1" ht="11.25" customHeight="1" x14ac:dyDescent="0.2">
      <c r="A47" s="304" t="s">
        <v>81</v>
      </c>
      <c r="B47" s="304" t="s">
        <v>555</v>
      </c>
      <c r="C47" s="1654">
        <v>45536.2</v>
      </c>
      <c r="D47" s="1654">
        <v>4247.8999999999996</v>
      </c>
      <c r="E47" s="1654">
        <v>17478.900000000001</v>
      </c>
      <c r="F47" s="1654">
        <v>5927.1</v>
      </c>
      <c r="G47" s="209">
        <f t="shared" si="4"/>
        <v>23406</v>
      </c>
      <c r="H47" s="1654">
        <v>136.1</v>
      </c>
      <c r="I47" s="1654">
        <f t="shared" si="8"/>
        <v>73326.200000000012</v>
      </c>
      <c r="K47" s="227"/>
    </row>
    <row r="48" spans="1:11" s="153" customFormat="1" ht="11.25" customHeight="1" x14ac:dyDescent="0.2">
      <c r="A48" s="304" t="s">
        <v>81</v>
      </c>
      <c r="B48" s="234" t="s">
        <v>548</v>
      </c>
      <c r="C48" s="1654">
        <v>41415.9</v>
      </c>
      <c r="D48" s="1654">
        <v>3540.9</v>
      </c>
      <c r="E48" s="1654">
        <v>20062.099999999999</v>
      </c>
      <c r="F48" s="1654">
        <v>5380.3</v>
      </c>
      <c r="G48" s="209">
        <f t="shared" si="4"/>
        <v>25442.399999999998</v>
      </c>
      <c r="H48" s="1654">
        <v>167.2</v>
      </c>
      <c r="I48" s="1654">
        <f t="shared" si="8"/>
        <v>70566.399999999994</v>
      </c>
      <c r="K48" s="227"/>
    </row>
    <row r="49" spans="1:11" s="153" customFormat="1" ht="11.25" customHeight="1" x14ac:dyDescent="0.2">
      <c r="A49" s="304" t="s">
        <v>81</v>
      </c>
      <c r="B49" s="304" t="s">
        <v>556</v>
      </c>
      <c r="C49" s="1654">
        <v>41694.800000000003</v>
      </c>
      <c r="D49" s="1654">
        <v>4089.6</v>
      </c>
      <c r="E49" s="1654">
        <v>19053.2</v>
      </c>
      <c r="F49" s="1654">
        <v>5820</v>
      </c>
      <c r="G49" s="209">
        <f t="shared" si="4"/>
        <v>24873.200000000001</v>
      </c>
      <c r="H49" s="1654">
        <v>135.80000000000001</v>
      </c>
      <c r="I49" s="1654">
        <f t="shared" si="8"/>
        <v>70793.400000000009</v>
      </c>
      <c r="K49" s="227"/>
    </row>
    <row r="50" spans="1:11" s="153" customFormat="1" ht="11.25" customHeight="1" x14ac:dyDescent="0.2">
      <c r="A50" s="304" t="s">
        <v>81</v>
      </c>
      <c r="B50" s="234" t="s">
        <v>557</v>
      </c>
      <c r="C50" s="1654">
        <v>41602.400000000001</v>
      </c>
      <c r="D50" s="1654">
        <v>4353.3</v>
      </c>
      <c r="E50" s="1654">
        <v>19352</v>
      </c>
      <c r="F50" s="1654">
        <v>7672.4</v>
      </c>
      <c r="G50" s="209">
        <f t="shared" si="4"/>
        <v>27024.400000000001</v>
      </c>
      <c r="H50" s="1654">
        <v>138.9</v>
      </c>
      <c r="I50" s="1654">
        <f t="shared" si="8"/>
        <v>73119</v>
      </c>
      <c r="K50" s="227"/>
    </row>
    <row r="51" spans="1:11" s="153" customFormat="1" ht="11.25" customHeight="1" x14ac:dyDescent="0.2">
      <c r="A51" s="304" t="s">
        <v>81</v>
      </c>
      <c r="B51" s="304" t="s">
        <v>549</v>
      </c>
      <c r="C51" s="1654">
        <v>41493.5</v>
      </c>
      <c r="D51" s="1654">
        <v>4086.4</v>
      </c>
      <c r="E51" s="1654">
        <v>17977.3</v>
      </c>
      <c r="F51" s="1654">
        <v>5845.4</v>
      </c>
      <c r="G51" s="209">
        <f t="shared" si="4"/>
        <v>23822.699999999997</v>
      </c>
      <c r="H51" s="1654">
        <v>150.6</v>
      </c>
      <c r="I51" s="1654">
        <f t="shared" si="8"/>
        <v>69553.200000000012</v>
      </c>
      <c r="K51" s="227"/>
    </row>
    <row r="52" spans="1:11" s="153" customFormat="1" ht="11.25" customHeight="1" x14ac:dyDescent="0.2">
      <c r="A52" s="304" t="s">
        <v>81</v>
      </c>
      <c r="B52" s="234" t="s">
        <v>558</v>
      </c>
      <c r="C52" s="1654">
        <v>42330.1</v>
      </c>
      <c r="D52" s="1654">
        <v>3998.4</v>
      </c>
      <c r="E52" s="1654">
        <v>18046.900000000001</v>
      </c>
      <c r="F52" s="1654">
        <v>6012.2</v>
      </c>
      <c r="G52" s="209">
        <f t="shared" si="4"/>
        <v>24059.100000000002</v>
      </c>
      <c r="H52" s="1654">
        <v>158.30000000000001</v>
      </c>
      <c r="I52" s="1654">
        <f t="shared" si="8"/>
        <v>70545.900000000009</v>
      </c>
      <c r="K52" s="227"/>
    </row>
    <row r="53" spans="1:11" s="153" customFormat="1" ht="11.25" customHeight="1" x14ac:dyDescent="0.2">
      <c r="A53" s="304" t="s">
        <v>81</v>
      </c>
      <c r="B53" s="304" t="s">
        <v>559</v>
      </c>
      <c r="C53" s="1654">
        <v>44578.9</v>
      </c>
      <c r="D53" s="1654">
        <v>4364.8999999999996</v>
      </c>
      <c r="E53" s="1654">
        <v>20416.099999999999</v>
      </c>
      <c r="F53" s="1654">
        <v>6151.6</v>
      </c>
      <c r="G53" s="209">
        <f t="shared" si="4"/>
        <v>26567.699999999997</v>
      </c>
      <c r="H53" s="1654">
        <v>165.2</v>
      </c>
      <c r="I53" s="1654">
        <f t="shared" si="8"/>
        <v>75676.7</v>
      </c>
      <c r="K53" s="227"/>
    </row>
    <row r="54" spans="1:11" s="153" customFormat="1" ht="11.25" customHeight="1" x14ac:dyDescent="0.2">
      <c r="A54" s="304" t="s">
        <v>81</v>
      </c>
      <c r="B54" s="234" t="s">
        <v>550</v>
      </c>
      <c r="C54" s="1654">
        <v>46157.1</v>
      </c>
      <c r="D54" s="1654">
        <v>4308.3</v>
      </c>
      <c r="E54" s="1654">
        <v>23468</v>
      </c>
      <c r="F54" s="1654">
        <v>6367.5</v>
      </c>
      <c r="G54" s="209">
        <f t="shared" si="4"/>
        <v>29835.5</v>
      </c>
      <c r="H54" s="1654">
        <v>209.4</v>
      </c>
      <c r="I54" s="1654">
        <f t="shared" si="8"/>
        <v>80510.299999999988</v>
      </c>
      <c r="K54" s="227"/>
    </row>
    <row r="55" spans="1:11" s="153" customFormat="1" ht="11.25" customHeight="1" x14ac:dyDescent="0.2">
      <c r="A55" s="304" t="s">
        <v>189</v>
      </c>
      <c r="B55" s="304" t="s">
        <v>552</v>
      </c>
      <c r="C55" s="1654">
        <v>47116.4</v>
      </c>
      <c r="D55" s="1654">
        <v>4210.7</v>
      </c>
      <c r="E55" s="1654">
        <v>22819.9</v>
      </c>
      <c r="F55" s="1654">
        <v>6540.4</v>
      </c>
      <c r="G55" s="209">
        <f t="shared" si="4"/>
        <v>29360.300000000003</v>
      </c>
      <c r="H55" s="1654">
        <v>169.9</v>
      </c>
      <c r="I55" s="1654">
        <f t="shared" si="8"/>
        <v>80857.299999999988</v>
      </c>
      <c r="K55" s="227"/>
    </row>
    <row r="56" spans="1:11" s="153" customFormat="1" ht="11.25" customHeight="1" x14ac:dyDescent="0.2">
      <c r="A56" s="304" t="s">
        <v>189</v>
      </c>
      <c r="B56" s="234" t="s">
        <v>553</v>
      </c>
      <c r="C56" s="1654">
        <v>49819.7</v>
      </c>
      <c r="D56" s="1654">
        <v>4812.5</v>
      </c>
      <c r="E56" s="1654">
        <v>21507.5</v>
      </c>
      <c r="F56" s="1654">
        <v>5767.6</v>
      </c>
      <c r="G56" s="209">
        <f t="shared" si="4"/>
        <v>27275.1</v>
      </c>
      <c r="H56" s="1654">
        <v>168.8</v>
      </c>
      <c r="I56" s="1654">
        <f t="shared" si="8"/>
        <v>82076.099999999991</v>
      </c>
      <c r="K56" s="227"/>
    </row>
    <row r="57" spans="1:11" s="153" customFormat="1" ht="11.25" customHeight="1" x14ac:dyDescent="0.2">
      <c r="A57" s="304" t="s">
        <v>189</v>
      </c>
      <c r="B57" s="304" t="s">
        <v>547</v>
      </c>
      <c r="C57" s="1654">
        <v>49738.3</v>
      </c>
      <c r="D57" s="1654">
        <v>4440.2</v>
      </c>
      <c r="E57" s="1654">
        <v>22413.3</v>
      </c>
      <c r="F57" s="1654">
        <v>5540.2</v>
      </c>
      <c r="G57" s="209">
        <f t="shared" si="4"/>
        <v>27953.5</v>
      </c>
      <c r="H57" s="1654">
        <v>237.1</v>
      </c>
      <c r="I57" s="1654">
        <f t="shared" si="8"/>
        <v>82369.100000000006</v>
      </c>
      <c r="K57" s="227"/>
    </row>
    <row r="58" spans="1:11" s="153" customFormat="1" ht="11.25" customHeight="1" x14ac:dyDescent="0.2">
      <c r="A58" s="304" t="s">
        <v>189</v>
      </c>
      <c r="B58" s="234" t="s">
        <v>554</v>
      </c>
      <c r="C58" s="1654">
        <v>48623.3</v>
      </c>
      <c r="D58" s="1654">
        <v>5129.8</v>
      </c>
      <c r="E58" s="1654">
        <v>22427.5</v>
      </c>
      <c r="F58" s="1654">
        <v>5190.8999999999996</v>
      </c>
      <c r="G58" s="209">
        <f t="shared" si="4"/>
        <v>27618.400000000001</v>
      </c>
      <c r="H58" s="1654">
        <v>182</v>
      </c>
      <c r="I58" s="1654">
        <f t="shared" si="8"/>
        <v>81553.5</v>
      </c>
      <c r="K58" s="227"/>
    </row>
    <row r="59" spans="1:11" s="153" customFormat="1" ht="11.25" customHeight="1" x14ac:dyDescent="0.2">
      <c r="A59" s="304" t="s">
        <v>189</v>
      </c>
      <c r="B59" s="304" t="s">
        <v>555</v>
      </c>
      <c r="C59" s="1654">
        <v>53225.9</v>
      </c>
      <c r="D59" s="1654">
        <v>5886.4</v>
      </c>
      <c r="E59" s="1654">
        <v>21183.599999999999</v>
      </c>
      <c r="F59" s="1654">
        <v>5055.8999999999996</v>
      </c>
      <c r="G59" s="209">
        <f t="shared" si="4"/>
        <v>26239.5</v>
      </c>
      <c r="H59" s="1654">
        <v>185.7</v>
      </c>
      <c r="I59" s="1654">
        <f t="shared" si="8"/>
        <v>85537.5</v>
      </c>
      <c r="K59" s="227"/>
    </row>
    <row r="60" spans="1:11" s="153" customFormat="1" ht="11.25" customHeight="1" x14ac:dyDescent="0.2">
      <c r="A60" s="304" t="s">
        <v>189</v>
      </c>
      <c r="B60" s="234" t="s">
        <v>548</v>
      </c>
      <c r="C60" s="1654">
        <v>52917.599999999999</v>
      </c>
      <c r="D60" s="1654">
        <v>4963.8</v>
      </c>
      <c r="E60" s="1654">
        <v>23940.1</v>
      </c>
      <c r="F60" s="1654">
        <v>3858.1</v>
      </c>
      <c r="G60" s="209">
        <f t="shared" si="4"/>
        <v>27798.199999999997</v>
      </c>
      <c r="H60" s="1654">
        <v>223.7</v>
      </c>
      <c r="I60" s="1654">
        <f t="shared" si="8"/>
        <v>85903.3</v>
      </c>
      <c r="K60" s="227"/>
    </row>
    <row r="61" spans="1:11" s="153" customFormat="1" ht="11.25" customHeight="1" x14ac:dyDescent="0.2">
      <c r="A61" s="304" t="s">
        <v>189</v>
      </c>
      <c r="B61" s="304" t="s">
        <v>556</v>
      </c>
      <c r="C61" s="1654">
        <v>52083.9</v>
      </c>
      <c r="D61" s="1654">
        <v>5354.4</v>
      </c>
      <c r="E61" s="1654">
        <v>23964.7</v>
      </c>
      <c r="F61" s="1654">
        <v>2461.4</v>
      </c>
      <c r="G61" s="209">
        <f t="shared" si="4"/>
        <v>26426.100000000002</v>
      </c>
      <c r="H61" s="1654">
        <v>187.8</v>
      </c>
      <c r="I61" s="1654">
        <f t="shared" si="8"/>
        <v>84052.200000000012</v>
      </c>
      <c r="K61" s="227"/>
    </row>
    <row r="62" spans="1:11" s="153" customFormat="1" ht="11.25" customHeight="1" x14ac:dyDescent="0.2">
      <c r="A62" s="304" t="s">
        <v>189</v>
      </c>
      <c r="B62" s="234" t="s">
        <v>557</v>
      </c>
      <c r="C62" s="1654">
        <v>51918.2</v>
      </c>
      <c r="D62" s="1654">
        <v>5426.1</v>
      </c>
      <c r="E62" s="1654">
        <v>25025.200000000001</v>
      </c>
      <c r="F62" s="1654">
        <v>5753.9</v>
      </c>
      <c r="G62" s="209">
        <f t="shared" si="4"/>
        <v>30779.1</v>
      </c>
      <c r="H62" s="1654">
        <v>184.2</v>
      </c>
      <c r="I62" s="1654">
        <f t="shared" si="8"/>
        <v>88307.599999999991</v>
      </c>
      <c r="K62" s="227"/>
    </row>
    <row r="63" spans="1:11" s="153" customFormat="1" ht="11.25" customHeight="1" x14ac:dyDescent="0.2">
      <c r="A63" s="304" t="s">
        <v>189</v>
      </c>
      <c r="B63" s="304" t="s">
        <v>549</v>
      </c>
      <c r="C63" s="1654">
        <v>51804.6</v>
      </c>
      <c r="D63" s="1654">
        <v>4759.6000000000004</v>
      </c>
      <c r="E63" s="1654">
        <v>25465.1</v>
      </c>
      <c r="F63" s="1654">
        <v>5793.5</v>
      </c>
      <c r="G63" s="209">
        <f t="shared" si="4"/>
        <v>31258.6</v>
      </c>
      <c r="H63" s="1654">
        <v>192.2</v>
      </c>
      <c r="I63" s="1654">
        <f t="shared" si="8"/>
        <v>88014.999999999985</v>
      </c>
      <c r="K63" s="227"/>
    </row>
    <row r="64" spans="1:11" s="153" customFormat="1" ht="11.25" customHeight="1" x14ac:dyDescent="0.2">
      <c r="A64" s="304" t="s">
        <v>189</v>
      </c>
      <c r="B64" s="234" t="s">
        <v>558</v>
      </c>
      <c r="C64" s="1898">
        <v>52354</v>
      </c>
      <c r="D64" s="1898">
        <v>4590</v>
      </c>
      <c r="E64" s="1920">
        <v>26094.1</v>
      </c>
      <c r="F64" s="1920">
        <v>6031.7</v>
      </c>
      <c r="G64" s="209">
        <f t="shared" si="4"/>
        <v>32125.8</v>
      </c>
      <c r="H64" s="1920">
        <v>189.4</v>
      </c>
      <c r="I64" s="1654">
        <f t="shared" si="8"/>
        <v>89259.199999999997</v>
      </c>
      <c r="K64" s="227"/>
    </row>
    <row r="65" spans="1:11" s="153" customFormat="1" ht="11.25" customHeight="1" x14ac:dyDescent="0.2">
      <c r="A65" s="304" t="s">
        <v>189</v>
      </c>
      <c r="B65" s="304" t="s">
        <v>559</v>
      </c>
      <c r="C65" s="1898">
        <v>53958.6</v>
      </c>
      <c r="D65" s="1898">
        <v>5211.8999999999996</v>
      </c>
      <c r="E65" s="1898">
        <v>25992</v>
      </c>
      <c r="F65" s="1920">
        <v>6042.9</v>
      </c>
      <c r="G65" s="209">
        <f t="shared" si="4"/>
        <v>32034.9</v>
      </c>
      <c r="H65" s="1920">
        <v>181.3</v>
      </c>
      <c r="I65" s="1654">
        <f t="shared" si="8"/>
        <v>91386.7</v>
      </c>
      <c r="K65" s="227"/>
    </row>
    <row r="66" spans="1:11" s="153" customFormat="1" ht="11.25" customHeight="1" x14ac:dyDescent="0.2">
      <c r="A66" s="304" t="s">
        <v>189</v>
      </c>
      <c r="B66" s="234" t="s">
        <v>550</v>
      </c>
      <c r="C66" s="1946">
        <v>54795.1</v>
      </c>
      <c r="D66" s="1946">
        <v>5731.8</v>
      </c>
      <c r="E66" s="1946">
        <v>29007.7</v>
      </c>
      <c r="F66" s="1947">
        <v>7759.1</v>
      </c>
      <c r="G66" s="209">
        <f t="shared" si="4"/>
        <v>36766.800000000003</v>
      </c>
      <c r="H66" s="1947">
        <v>199.8</v>
      </c>
      <c r="I66" s="1654">
        <f t="shared" si="8"/>
        <v>97493.500000000015</v>
      </c>
      <c r="K66" s="227"/>
    </row>
    <row r="67" spans="1:11" s="153" customFormat="1" ht="11.25" customHeight="1" x14ac:dyDescent="0.2">
      <c r="A67" s="304" t="s">
        <v>696</v>
      </c>
      <c r="B67" s="304" t="s">
        <v>552</v>
      </c>
      <c r="C67" s="280">
        <v>55274.6</v>
      </c>
      <c r="D67" s="280">
        <v>6163.7</v>
      </c>
      <c r="E67" s="280">
        <v>27229.7</v>
      </c>
      <c r="F67" s="1900">
        <v>7984.6</v>
      </c>
      <c r="G67" s="209">
        <f t="shared" si="4"/>
        <v>35214.300000000003</v>
      </c>
      <c r="H67" s="1900">
        <v>257.60000000000002</v>
      </c>
      <c r="I67" s="274">
        <f t="shared" ref="I67:I77" si="9">C67+D67+E67+H67</f>
        <v>88925.6</v>
      </c>
      <c r="K67" s="227"/>
    </row>
    <row r="68" spans="1:11" s="153" customFormat="1" ht="11.25" customHeight="1" x14ac:dyDescent="0.2">
      <c r="A68" s="304" t="s">
        <v>696</v>
      </c>
      <c r="B68" s="234" t="s">
        <v>553</v>
      </c>
      <c r="C68" s="218">
        <v>64254</v>
      </c>
      <c r="D68" s="218">
        <v>6185.4</v>
      </c>
      <c r="E68" s="218">
        <v>25702.1</v>
      </c>
      <c r="F68" s="218">
        <v>9564</v>
      </c>
      <c r="G68" s="209">
        <f t="shared" si="4"/>
        <v>35266.1</v>
      </c>
      <c r="H68" s="1945">
        <v>266.8</v>
      </c>
      <c r="I68" s="51">
        <f t="shared" si="9"/>
        <v>96408.3</v>
      </c>
      <c r="K68" s="227"/>
    </row>
    <row r="69" spans="1:11" s="153" customFormat="1" ht="11.25" customHeight="1" x14ac:dyDescent="0.2">
      <c r="A69" s="304" t="s">
        <v>696</v>
      </c>
      <c r="B69" s="304" t="s">
        <v>547</v>
      </c>
      <c r="C69" s="280">
        <v>57154.400000000001</v>
      </c>
      <c r="D69" s="280">
        <v>5366.1</v>
      </c>
      <c r="E69" s="280">
        <v>27677.599999999999</v>
      </c>
      <c r="F69" s="1900">
        <v>6514.6</v>
      </c>
      <c r="G69" s="209">
        <f t="shared" si="4"/>
        <v>34192.199999999997</v>
      </c>
      <c r="H69" s="1900">
        <v>301.2</v>
      </c>
      <c r="I69" s="274">
        <f t="shared" si="9"/>
        <v>90499.3</v>
      </c>
      <c r="K69" s="227"/>
    </row>
    <row r="70" spans="1:11" s="153" customFormat="1" ht="11.25" customHeight="1" x14ac:dyDescent="0.2">
      <c r="A70" s="304" t="s">
        <v>696</v>
      </c>
      <c r="B70" s="234" t="s">
        <v>554</v>
      </c>
      <c r="C70" s="218">
        <v>59473.1</v>
      </c>
      <c r="D70" s="218">
        <v>6347.8</v>
      </c>
      <c r="E70" s="218">
        <v>27631.7</v>
      </c>
      <c r="F70" s="1945">
        <v>6280.9</v>
      </c>
      <c r="G70" s="209">
        <f t="shared" si="4"/>
        <v>33912.6</v>
      </c>
      <c r="H70" s="1945">
        <v>270.10000000000002</v>
      </c>
      <c r="I70" s="51">
        <f t="shared" si="9"/>
        <v>93722.7</v>
      </c>
      <c r="K70" s="227"/>
    </row>
    <row r="71" spans="1:11" s="153" customFormat="1" ht="11.25" customHeight="1" x14ac:dyDescent="0.2">
      <c r="A71" s="304" t="s">
        <v>696</v>
      </c>
      <c r="B71" s="304" t="s">
        <v>555</v>
      </c>
      <c r="C71" s="280">
        <v>58575.3</v>
      </c>
      <c r="D71" s="280">
        <v>5727.4</v>
      </c>
      <c r="E71" s="280">
        <v>28348.400000000001</v>
      </c>
      <c r="F71" s="1900">
        <v>6227.5</v>
      </c>
      <c r="G71" s="209">
        <f t="shared" si="4"/>
        <v>34575.9</v>
      </c>
      <c r="H71" s="1900">
        <v>279.7</v>
      </c>
      <c r="I71" s="274">
        <f t="shared" si="9"/>
        <v>92930.8</v>
      </c>
      <c r="K71" s="227"/>
    </row>
    <row r="72" spans="1:11" s="153" customFormat="1" ht="11.25" customHeight="1" x14ac:dyDescent="0.2">
      <c r="A72" s="304" t="s">
        <v>696</v>
      </c>
      <c r="B72" s="234" t="s">
        <v>548</v>
      </c>
      <c r="C72" s="218">
        <v>58145.3</v>
      </c>
      <c r="D72" s="218">
        <v>5707.3</v>
      </c>
      <c r="E72" s="218">
        <v>28395.5</v>
      </c>
      <c r="F72" s="1945">
        <v>6839.2</v>
      </c>
      <c r="G72" s="209">
        <f t="shared" si="4"/>
        <v>35234.699999999997</v>
      </c>
      <c r="H72" s="1945">
        <v>286.89999999999998</v>
      </c>
      <c r="I72" s="51">
        <f t="shared" si="9"/>
        <v>92535</v>
      </c>
      <c r="K72" s="227"/>
    </row>
    <row r="73" spans="1:11" s="153" customFormat="1" ht="11.25" customHeight="1" x14ac:dyDescent="0.2">
      <c r="A73" s="304" t="s">
        <v>696</v>
      </c>
      <c r="B73" s="304" t="s">
        <v>556</v>
      </c>
      <c r="C73" s="280">
        <v>57883.4</v>
      </c>
      <c r="D73" s="280">
        <v>5808.8</v>
      </c>
      <c r="E73" s="280">
        <v>26843.4</v>
      </c>
      <c r="F73" s="1900">
        <v>7233.5</v>
      </c>
      <c r="G73" s="209">
        <f t="shared" si="4"/>
        <v>34076.9</v>
      </c>
      <c r="H73" s="1900">
        <v>257.3</v>
      </c>
      <c r="I73" s="274">
        <f t="shared" si="9"/>
        <v>90792.900000000009</v>
      </c>
      <c r="K73" s="227"/>
    </row>
    <row r="74" spans="1:11" s="153" customFormat="1" ht="11.25" customHeight="1" x14ac:dyDescent="0.2">
      <c r="A74" s="304" t="s">
        <v>696</v>
      </c>
      <c r="B74" s="234" t="s">
        <v>557</v>
      </c>
      <c r="C74" s="218">
        <v>57582.5</v>
      </c>
      <c r="D74" s="218">
        <v>5790.2</v>
      </c>
      <c r="E74" s="218">
        <v>27774.2</v>
      </c>
      <c r="F74" s="218">
        <v>7898.2</v>
      </c>
      <c r="G74" s="209">
        <f t="shared" si="4"/>
        <v>35672.400000000001</v>
      </c>
      <c r="H74" s="1945">
        <v>254.1</v>
      </c>
      <c r="I74" s="51">
        <f t="shared" si="9"/>
        <v>91401</v>
      </c>
      <c r="K74" s="227"/>
    </row>
    <row r="75" spans="1:11" s="153" customFormat="1" ht="11.25" customHeight="1" x14ac:dyDescent="0.2">
      <c r="A75" s="304" t="s">
        <v>696</v>
      </c>
      <c r="B75" s="304" t="s">
        <v>549</v>
      </c>
      <c r="C75" s="280">
        <v>57972.6</v>
      </c>
      <c r="D75" s="280">
        <v>5719.7</v>
      </c>
      <c r="E75" s="280">
        <v>28020</v>
      </c>
      <c r="F75" s="280">
        <v>7970.7</v>
      </c>
      <c r="G75" s="209">
        <f t="shared" si="4"/>
        <v>35990.699999999997</v>
      </c>
      <c r="H75" s="1900">
        <v>254.8</v>
      </c>
      <c r="I75" s="274">
        <f t="shared" si="9"/>
        <v>91967.099999999991</v>
      </c>
      <c r="K75" s="227"/>
    </row>
    <row r="76" spans="1:11" s="153" customFormat="1" ht="11.25" customHeight="1" x14ac:dyDescent="0.2">
      <c r="A76" s="304" t="s">
        <v>696</v>
      </c>
      <c r="B76" s="234" t="s">
        <v>558</v>
      </c>
      <c r="C76" s="218">
        <v>57264.1</v>
      </c>
      <c r="D76" s="218">
        <v>6533</v>
      </c>
      <c r="E76" s="218">
        <v>27632.400000000001</v>
      </c>
      <c r="F76" s="218">
        <v>8547.7999999999993</v>
      </c>
      <c r="G76" s="209">
        <f t="shared" si="4"/>
        <v>36180.199999999997</v>
      </c>
      <c r="H76" s="1945">
        <v>262.3</v>
      </c>
      <c r="I76" s="51">
        <f t="shared" si="9"/>
        <v>91691.8</v>
      </c>
      <c r="K76" s="227"/>
    </row>
    <row r="77" spans="1:11" s="153" customFormat="1" ht="11.25" customHeight="1" x14ac:dyDescent="0.2">
      <c r="A77" s="304" t="s">
        <v>696</v>
      </c>
      <c r="B77" s="304" t="s">
        <v>559</v>
      </c>
      <c r="C77" s="280">
        <v>58859.8</v>
      </c>
      <c r="D77" s="280">
        <v>5502.9</v>
      </c>
      <c r="E77" s="280">
        <v>27753.8</v>
      </c>
      <c r="F77" s="280">
        <v>8283.2000000000007</v>
      </c>
      <c r="G77" s="209">
        <f t="shared" si="4"/>
        <v>36037</v>
      </c>
      <c r="H77" s="1900">
        <v>269.7</v>
      </c>
      <c r="I77" s="274">
        <f t="shared" si="9"/>
        <v>92386.2</v>
      </c>
      <c r="K77" s="227"/>
    </row>
    <row r="78" spans="1:11" s="153" customFormat="1" ht="11.25" customHeight="1" x14ac:dyDescent="0.2">
      <c r="A78" s="304" t="s">
        <v>696</v>
      </c>
      <c r="B78" s="234" t="s">
        <v>550</v>
      </c>
      <c r="C78" s="213">
        <v>58417.1</v>
      </c>
      <c r="D78" s="213">
        <v>6479.4</v>
      </c>
      <c r="E78" s="213">
        <v>32662.3</v>
      </c>
      <c r="F78" s="213">
        <v>10289.9</v>
      </c>
      <c r="G78" s="209">
        <f t="shared" si="4"/>
        <v>42952.2</v>
      </c>
      <c r="H78" s="1895">
        <v>243.9</v>
      </c>
      <c r="I78" s="214">
        <f>C78+D78+E78+H78</f>
        <v>97802.7</v>
      </c>
      <c r="K78" s="227"/>
    </row>
    <row r="79" spans="1:11" s="153" customFormat="1" ht="11.25" customHeight="1" x14ac:dyDescent="0.2">
      <c r="A79" s="304" t="s">
        <v>804</v>
      </c>
      <c r="B79" s="304" t="s">
        <v>552</v>
      </c>
      <c r="C79" s="213">
        <v>60293</v>
      </c>
      <c r="D79" s="213">
        <v>6942.6</v>
      </c>
      <c r="E79" s="213">
        <v>30490.3</v>
      </c>
      <c r="F79" s="213">
        <v>9514.5</v>
      </c>
      <c r="G79" s="209">
        <f t="shared" si="4"/>
        <v>40004.800000000003</v>
      </c>
      <c r="H79" s="1895">
        <v>248.3</v>
      </c>
      <c r="I79" s="214">
        <f t="shared" ref="I79:I90" si="10">C79+D79+E79+H79</f>
        <v>97974.200000000012</v>
      </c>
      <c r="K79" s="227"/>
    </row>
    <row r="80" spans="1:11" s="153" customFormat="1" ht="11.25" customHeight="1" x14ac:dyDescent="0.2">
      <c r="A80" s="304" t="s">
        <v>804</v>
      </c>
      <c r="B80" s="234" t="s">
        <v>553</v>
      </c>
      <c r="C80" s="269">
        <v>65430.5</v>
      </c>
      <c r="D80" s="269">
        <v>6560.3</v>
      </c>
      <c r="E80" s="269">
        <v>31195.599999999999</v>
      </c>
      <c r="F80" s="269">
        <v>10783.6</v>
      </c>
      <c r="G80" s="209">
        <f t="shared" si="4"/>
        <v>41979.199999999997</v>
      </c>
      <c r="H80" s="754">
        <v>263.89999999999998</v>
      </c>
      <c r="I80" s="270">
        <f t="shared" si="10"/>
        <v>103450.29999999999</v>
      </c>
      <c r="K80" s="227"/>
    </row>
    <row r="81" spans="1:11" s="153" customFormat="1" ht="11.25" customHeight="1" x14ac:dyDescent="0.2">
      <c r="A81" s="304" t="s">
        <v>804</v>
      </c>
      <c r="B81" s="304" t="s">
        <v>547</v>
      </c>
      <c r="C81" s="213">
        <v>61214.5</v>
      </c>
      <c r="D81" s="213">
        <v>7030.4</v>
      </c>
      <c r="E81" s="213">
        <v>31449.9</v>
      </c>
      <c r="F81" s="213">
        <v>11302.7</v>
      </c>
      <c r="G81" s="209">
        <f t="shared" si="4"/>
        <v>42752.600000000006</v>
      </c>
      <c r="H81" s="213">
        <v>264</v>
      </c>
      <c r="I81" s="214">
        <f t="shared" si="10"/>
        <v>99958.799999999988</v>
      </c>
      <c r="K81" s="227"/>
    </row>
    <row r="82" spans="1:11" s="153" customFormat="1" ht="11.25" customHeight="1" x14ac:dyDescent="0.2">
      <c r="A82" s="304" t="s">
        <v>804</v>
      </c>
      <c r="B82" s="234" t="s">
        <v>554</v>
      </c>
      <c r="C82" s="431">
        <v>72679.899999999994</v>
      </c>
      <c r="D82" s="431">
        <v>7220.9</v>
      </c>
      <c r="E82" s="431">
        <v>31830</v>
      </c>
      <c r="F82" s="431">
        <v>10388.9</v>
      </c>
      <c r="G82" s="209">
        <f t="shared" si="4"/>
        <v>42218.9</v>
      </c>
      <c r="H82" s="1944">
        <v>248.6</v>
      </c>
      <c r="I82" s="432">
        <f t="shared" si="10"/>
        <v>111979.4</v>
      </c>
      <c r="K82" s="227"/>
    </row>
    <row r="83" spans="1:11" s="153" customFormat="1" ht="11.25" customHeight="1" x14ac:dyDescent="0.2">
      <c r="A83" s="304" t="s">
        <v>804</v>
      </c>
      <c r="B83" s="304" t="s">
        <v>555</v>
      </c>
      <c r="C83" s="1817">
        <v>65445.4</v>
      </c>
      <c r="D83" s="1817">
        <v>6090.1</v>
      </c>
      <c r="E83" s="1817">
        <v>34322.9</v>
      </c>
      <c r="F83" s="442">
        <v>9077.6</v>
      </c>
      <c r="G83" s="209">
        <f t="shared" si="4"/>
        <v>43400.5</v>
      </c>
      <c r="H83" s="443">
        <v>296</v>
      </c>
      <c r="I83" s="419">
        <f t="shared" si="10"/>
        <v>106154.4</v>
      </c>
      <c r="K83" s="227"/>
    </row>
    <row r="84" spans="1:11" s="153" customFormat="1" ht="11.25" customHeight="1" x14ac:dyDescent="0.2">
      <c r="A84" s="304" t="s">
        <v>804</v>
      </c>
      <c r="B84" s="234" t="s">
        <v>548</v>
      </c>
      <c r="C84" s="1818">
        <v>64935.4</v>
      </c>
      <c r="D84" s="428">
        <v>7529</v>
      </c>
      <c r="E84" s="1818">
        <v>34242.199999999997</v>
      </c>
      <c r="F84" s="1818">
        <v>9260.6</v>
      </c>
      <c r="G84" s="209">
        <f t="shared" si="4"/>
        <v>43502.799999999996</v>
      </c>
      <c r="H84" s="1943">
        <v>287.89999999999998</v>
      </c>
      <c r="I84" s="432">
        <f t="shared" si="10"/>
        <v>106994.49999999999</v>
      </c>
      <c r="K84" s="227"/>
    </row>
    <row r="85" spans="1:11" s="153" customFormat="1" ht="11.25" customHeight="1" x14ac:dyDescent="0.2">
      <c r="A85" s="304" t="s">
        <v>804</v>
      </c>
      <c r="B85" s="304" t="s">
        <v>556</v>
      </c>
      <c r="C85" s="433">
        <v>65413</v>
      </c>
      <c r="D85" s="433">
        <v>6517</v>
      </c>
      <c r="E85" s="433">
        <v>34013.300000000003</v>
      </c>
      <c r="F85" s="433">
        <v>9470.2000000000007</v>
      </c>
      <c r="G85" s="209">
        <f t="shared" si="4"/>
        <v>43483.5</v>
      </c>
      <c r="H85" s="433">
        <v>300.39999999999998</v>
      </c>
      <c r="I85" s="419">
        <f t="shared" si="10"/>
        <v>106243.7</v>
      </c>
      <c r="K85" s="227"/>
    </row>
    <row r="86" spans="1:11" s="153" customFormat="1" ht="11.25" customHeight="1" x14ac:dyDescent="0.2">
      <c r="A86" s="304" t="s">
        <v>804</v>
      </c>
      <c r="B86" s="234" t="s">
        <v>557</v>
      </c>
      <c r="C86" s="428">
        <v>65963.7</v>
      </c>
      <c r="D86" s="428">
        <v>6816.4</v>
      </c>
      <c r="E86" s="428">
        <v>34068.6</v>
      </c>
      <c r="F86" s="428">
        <v>9605.5</v>
      </c>
      <c r="G86" s="209">
        <f t="shared" si="4"/>
        <v>43674.1</v>
      </c>
      <c r="H86" s="428">
        <v>319</v>
      </c>
      <c r="I86" s="432">
        <f t="shared" si="10"/>
        <v>107167.69999999998</v>
      </c>
      <c r="K86" s="227"/>
    </row>
    <row r="87" spans="1:11" s="153" customFormat="1" ht="11.25" customHeight="1" x14ac:dyDescent="0.2">
      <c r="A87" s="304" t="s">
        <v>804</v>
      </c>
      <c r="B87" s="304" t="s">
        <v>549</v>
      </c>
      <c r="C87" s="433">
        <v>66116.600000000006</v>
      </c>
      <c r="D87" s="433">
        <v>8211.7000000000007</v>
      </c>
      <c r="E87" s="433">
        <v>33543.9</v>
      </c>
      <c r="F87" s="433">
        <v>9662.9</v>
      </c>
      <c r="G87" s="209">
        <f t="shared" si="4"/>
        <v>43206.8</v>
      </c>
      <c r="H87" s="433">
        <f>295.4+22</f>
        <v>317.39999999999998</v>
      </c>
      <c r="I87" s="419">
        <f t="shared" si="10"/>
        <v>108189.6</v>
      </c>
      <c r="K87" s="227"/>
    </row>
    <row r="88" spans="1:11" s="153" customFormat="1" ht="11.25" customHeight="1" x14ac:dyDescent="0.2">
      <c r="A88" s="304" t="s">
        <v>804</v>
      </c>
      <c r="B88" s="234" t="s">
        <v>558</v>
      </c>
      <c r="C88" s="428">
        <v>66266</v>
      </c>
      <c r="D88" s="428">
        <v>7303.3</v>
      </c>
      <c r="E88" s="428">
        <v>35028</v>
      </c>
      <c r="F88" s="428">
        <v>8577.7000000000007</v>
      </c>
      <c r="G88" s="209">
        <f t="shared" si="4"/>
        <v>43605.7</v>
      </c>
      <c r="H88" s="428">
        <f>300.6+20.6</f>
        <v>321.20000000000005</v>
      </c>
      <c r="I88" s="432">
        <f t="shared" si="10"/>
        <v>108918.5</v>
      </c>
      <c r="K88" s="227"/>
    </row>
    <row r="89" spans="1:11" s="153" customFormat="1" ht="11.25" customHeight="1" x14ac:dyDescent="0.2">
      <c r="A89" s="304" t="s">
        <v>804</v>
      </c>
      <c r="B89" s="304" t="s">
        <v>559</v>
      </c>
      <c r="C89" s="433">
        <v>67924.600000000006</v>
      </c>
      <c r="D89" s="433">
        <v>6653.8</v>
      </c>
      <c r="E89" s="433">
        <v>36847.199999999997</v>
      </c>
      <c r="F89" s="433">
        <v>7591.9</v>
      </c>
      <c r="G89" s="209">
        <f t="shared" si="4"/>
        <v>44439.1</v>
      </c>
      <c r="H89" s="433">
        <f>23.1+289.6</f>
        <v>312.70000000000005</v>
      </c>
      <c r="I89" s="419">
        <f t="shared" si="10"/>
        <v>111738.3</v>
      </c>
      <c r="K89" s="227"/>
    </row>
    <row r="90" spans="1:11" s="153" customFormat="1" ht="11.25" customHeight="1" x14ac:dyDescent="0.2">
      <c r="A90" s="304" t="s">
        <v>804</v>
      </c>
      <c r="B90" s="234" t="s">
        <v>550</v>
      </c>
      <c r="C90" s="428">
        <v>67552.899999999994</v>
      </c>
      <c r="D90" s="428">
        <v>7819.4</v>
      </c>
      <c r="E90" s="428">
        <v>36803.4</v>
      </c>
      <c r="F90" s="428">
        <v>8422.6</v>
      </c>
      <c r="G90" s="209">
        <f t="shared" si="4"/>
        <v>45226</v>
      </c>
      <c r="H90" s="428">
        <f>2.1+311.6</f>
        <v>313.70000000000005</v>
      </c>
      <c r="I90" s="432">
        <f t="shared" si="10"/>
        <v>112489.39999999998</v>
      </c>
      <c r="K90" s="227"/>
    </row>
    <row r="91" spans="1:11" s="153" customFormat="1" ht="11.25" customHeight="1" x14ac:dyDescent="0.2">
      <c r="A91" s="304" t="s">
        <v>978</v>
      </c>
      <c r="B91" s="304" t="s">
        <v>552</v>
      </c>
      <c r="C91" s="1897">
        <v>72560.899999999994</v>
      </c>
      <c r="D91" s="1897">
        <v>8590.4</v>
      </c>
      <c r="E91" s="1897">
        <v>36410.9</v>
      </c>
      <c r="F91" s="1897">
        <v>8134.5</v>
      </c>
      <c r="G91" s="209">
        <f t="shared" ref="G91:G154" si="11">E91+F91</f>
        <v>44545.4</v>
      </c>
      <c r="H91" s="1897">
        <v>307.8</v>
      </c>
      <c r="I91" s="1943">
        <f t="shared" ref="I91:I102" si="12">C91+D91+E91+H91</f>
        <v>117869.99999999999</v>
      </c>
      <c r="K91" s="227"/>
    </row>
    <row r="92" spans="1:11" s="153" customFormat="1" ht="11.25" customHeight="1" x14ac:dyDescent="0.2">
      <c r="A92" s="304" t="s">
        <v>978</v>
      </c>
      <c r="B92" s="234" t="s">
        <v>553</v>
      </c>
      <c r="C92" s="434">
        <v>71467.7</v>
      </c>
      <c r="D92" s="434">
        <v>7339.1</v>
      </c>
      <c r="E92" s="434">
        <v>38193.800000000003</v>
      </c>
      <c r="F92" s="434">
        <v>8570.9</v>
      </c>
      <c r="G92" s="209">
        <f t="shared" si="11"/>
        <v>46764.700000000004</v>
      </c>
      <c r="H92" s="532">
        <v>349.6</v>
      </c>
      <c r="I92" s="443">
        <f t="shared" si="12"/>
        <v>117350.20000000001</v>
      </c>
      <c r="K92" s="227"/>
    </row>
    <row r="93" spans="1:11" s="153" customFormat="1" ht="11.25" customHeight="1" x14ac:dyDescent="0.2">
      <c r="A93" s="304" t="s">
        <v>978</v>
      </c>
      <c r="B93" s="304" t="s">
        <v>547</v>
      </c>
      <c r="C93" s="1897">
        <v>69156.899999999994</v>
      </c>
      <c r="D93" s="1897">
        <v>7770.5</v>
      </c>
      <c r="E93" s="1897">
        <v>36742.9</v>
      </c>
      <c r="F93" s="1897">
        <v>7944.6</v>
      </c>
      <c r="G93" s="209">
        <f t="shared" si="11"/>
        <v>44687.5</v>
      </c>
      <c r="H93" s="1944">
        <f>4.2+330.3</f>
        <v>334.5</v>
      </c>
      <c r="I93" s="1943">
        <f t="shared" si="12"/>
        <v>114004.79999999999</v>
      </c>
      <c r="K93" s="227"/>
    </row>
    <row r="94" spans="1:11" s="153" customFormat="1" ht="11.25" customHeight="1" x14ac:dyDescent="0.2">
      <c r="A94" s="304" t="s">
        <v>978</v>
      </c>
      <c r="B94" s="234" t="s">
        <v>554</v>
      </c>
      <c r="C94" s="434">
        <v>75440.899999999994</v>
      </c>
      <c r="D94" s="434">
        <v>7659.3</v>
      </c>
      <c r="E94" s="434">
        <v>37913.800000000003</v>
      </c>
      <c r="F94" s="434">
        <v>8589.6</v>
      </c>
      <c r="G94" s="209">
        <f t="shared" si="11"/>
        <v>46503.4</v>
      </c>
      <c r="H94" s="532">
        <f>4.1+331.5</f>
        <v>335.6</v>
      </c>
      <c r="I94" s="443">
        <f t="shared" si="12"/>
        <v>121349.6</v>
      </c>
      <c r="K94" s="227"/>
    </row>
    <row r="95" spans="1:11" s="153" customFormat="1" ht="11.25" customHeight="1" x14ac:dyDescent="0.2">
      <c r="A95" s="304" t="s">
        <v>978</v>
      </c>
      <c r="B95" s="304" t="s">
        <v>555</v>
      </c>
      <c r="C95" s="1897">
        <v>71867.100000000006</v>
      </c>
      <c r="D95" s="1897">
        <v>8411.7999999999993</v>
      </c>
      <c r="E95" s="1897">
        <v>39949.1</v>
      </c>
      <c r="F95" s="1897">
        <v>6609.6</v>
      </c>
      <c r="G95" s="209">
        <f t="shared" si="11"/>
        <v>46558.7</v>
      </c>
      <c r="H95" s="1944">
        <f>3.1+333.6</f>
        <v>336.70000000000005</v>
      </c>
      <c r="I95" s="1943">
        <f t="shared" si="12"/>
        <v>120564.7</v>
      </c>
      <c r="K95" s="227"/>
    </row>
    <row r="96" spans="1:11" s="153" customFormat="1" ht="11.25" customHeight="1" x14ac:dyDescent="0.2">
      <c r="A96" s="304" t="s">
        <v>978</v>
      </c>
      <c r="B96" s="234" t="s">
        <v>548</v>
      </c>
      <c r="C96" s="434">
        <v>72883.7</v>
      </c>
      <c r="D96" s="434">
        <v>9787.2000000000007</v>
      </c>
      <c r="E96" s="434">
        <v>38164.5</v>
      </c>
      <c r="F96" s="434">
        <v>6825.2</v>
      </c>
      <c r="G96" s="209">
        <f t="shared" si="11"/>
        <v>44989.7</v>
      </c>
      <c r="H96" s="532">
        <v>386.3</v>
      </c>
      <c r="I96" s="443">
        <f t="shared" si="12"/>
        <v>121221.7</v>
      </c>
      <c r="K96" s="227"/>
    </row>
    <row r="97" spans="1:11" s="153" customFormat="1" ht="11.25" customHeight="1" x14ac:dyDescent="0.2">
      <c r="A97" s="304" t="s">
        <v>978</v>
      </c>
      <c r="B97" s="304" t="s">
        <v>556</v>
      </c>
      <c r="C97" s="1897">
        <v>73767.399999999994</v>
      </c>
      <c r="D97" s="1897">
        <v>7216.4</v>
      </c>
      <c r="E97" s="1897">
        <v>40237.699999999997</v>
      </c>
      <c r="F97" s="1897">
        <v>7133.3</v>
      </c>
      <c r="G97" s="209">
        <f t="shared" si="11"/>
        <v>47371</v>
      </c>
      <c r="H97" s="1897">
        <v>356.5</v>
      </c>
      <c r="I97" s="1943">
        <f t="shared" si="12"/>
        <v>121577.99999999999</v>
      </c>
      <c r="K97" s="227"/>
    </row>
    <row r="98" spans="1:11" s="153" customFormat="1" ht="11.25" customHeight="1" x14ac:dyDescent="0.2">
      <c r="A98" s="304" t="s">
        <v>978</v>
      </c>
      <c r="B98" s="234" t="s">
        <v>557</v>
      </c>
      <c r="C98" s="434">
        <v>73378.2</v>
      </c>
      <c r="D98" s="434">
        <v>7106.5</v>
      </c>
      <c r="E98" s="434">
        <v>40605.699999999997</v>
      </c>
      <c r="F98" s="434">
        <v>7474.6</v>
      </c>
      <c r="G98" s="209">
        <f t="shared" si="11"/>
        <v>48080.299999999996</v>
      </c>
      <c r="H98" s="434">
        <v>348.2</v>
      </c>
      <c r="I98" s="443">
        <f t="shared" si="12"/>
        <v>121438.59999999999</v>
      </c>
      <c r="K98" s="227"/>
    </row>
    <row r="99" spans="1:11" s="153" customFormat="1" ht="11.25" customHeight="1" x14ac:dyDescent="0.2">
      <c r="A99" s="304" t="s">
        <v>978</v>
      </c>
      <c r="B99" s="304" t="s">
        <v>549</v>
      </c>
      <c r="C99" s="1897">
        <v>72896.5</v>
      </c>
      <c r="D99" s="1897">
        <v>7939.6</v>
      </c>
      <c r="E99" s="1897">
        <v>40476.9</v>
      </c>
      <c r="F99" s="1897">
        <v>7253.1</v>
      </c>
      <c r="G99" s="209">
        <f t="shared" si="11"/>
        <v>47730</v>
      </c>
      <c r="H99" s="1897">
        <v>399.4</v>
      </c>
      <c r="I99" s="1943">
        <f t="shared" si="12"/>
        <v>121712.4</v>
      </c>
      <c r="K99" s="227"/>
    </row>
    <row r="100" spans="1:11" s="153" customFormat="1" ht="11.25" customHeight="1" x14ac:dyDescent="0.2">
      <c r="A100" s="304" t="s">
        <v>978</v>
      </c>
      <c r="B100" s="234" t="s">
        <v>558</v>
      </c>
      <c r="C100" s="429">
        <v>73918.2</v>
      </c>
      <c r="D100" s="429">
        <v>6606</v>
      </c>
      <c r="E100" s="429">
        <v>41453.1</v>
      </c>
      <c r="F100" s="429">
        <v>6400.1</v>
      </c>
      <c r="G100" s="209">
        <f t="shared" si="11"/>
        <v>47853.2</v>
      </c>
      <c r="H100" s="429">
        <v>386</v>
      </c>
      <c r="I100" s="429">
        <f t="shared" si="12"/>
        <v>122363.29999999999</v>
      </c>
      <c r="K100" s="227"/>
    </row>
    <row r="101" spans="1:11" s="153" customFormat="1" ht="11.25" customHeight="1" x14ac:dyDescent="0.2">
      <c r="A101" s="304" t="s">
        <v>978</v>
      </c>
      <c r="B101" s="304" t="s">
        <v>559</v>
      </c>
      <c r="C101" s="430">
        <v>76306.399999999994</v>
      </c>
      <c r="D101" s="430">
        <v>7060.4</v>
      </c>
      <c r="E101" s="430">
        <v>40099.800000000003</v>
      </c>
      <c r="F101" s="430">
        <v>6637</v>
      </c>
      <c r="G101" s="209">
        <f t="shared" si="11"/>
        <v>46736.800000000003</v>
      </c>
      <c r="H101" s="430">
        <v>386</v>
      </c>
      <c r="I101" s="430">
        <f t="shared" si="12"/>
        <v>123852.59999999999</v>
      </c>
      <c r="K101" s="227"/>
    </row>
    <row r="102" spans="1:11" s="153" customFormat="1" ht="11.25" customHeight="1" x14ac:dyDescent="0.2">
      <c r="A102" s="304" t="s">
        <v>978</v>
      </c>
      <c r="B102" s="234" t="s">
        <v>550</v>
      </c>
      <c r="C102" s="429">
        <v>76908.399999999994</v>
      </c>
      <c r="D102" s="429">
        <v>8576.7999999999993</v>
      </c>
      <c r="E102" s="429">
        <v>43997.7</v>
      </c>
      <c r="F102" s="429">
        <v>7480.2</v>
      </c>
      <c r="G102" s="209">
        <f t="shared" si="11"/>
        <v>51477.899999999994</v>
      </c>
      <c r="H102" s="429">
        <v>392.4</v>
      </c>
      <c r="I102" s="429">
        <f t="shared" si="12"/>
        <v>129875.29999999999</v>
      </c>
      <c r="K102" s="227"/>
    </row>
    <row r="103" spans="1:11" s="153" customFormat="1" ht="11.25" customHeight="1" x14ac:dyDescent="0.2">
      <c r="A103" s="304" t="s">
        <v>1029</v>
      </c>
      <c r="B103" s="304" t="s">
        <v>552</v>
      </c>
      <c r="C103" s="429">
        <v>89887.7</v>
      </c>
      <c r="D103" s="429">
        <v>9761.5</v>
      </c>
      <c r="E103" s="429">
        <v>45461.4</v>
      </c>
      <c r="F103" s="429">
        <v>8288.2000000000007</v>
      </c>
      <c r="G103" s="209">
        <f t="shared" si="11"/>
        <v>53749.600000000006</v>
      </c>
      <c r="H103" s="429">
        <v>408.8</v>
      </c>
      <c r="I103" s="429">
        <f t="shared" ref="I103:I114" si="13">C103+D103+E103+H103</f>
        <v>145519.4</v>
      </c>
      <c r="K103" s="227"/>
    </row>
    <row r="104" spans="1:11" s="153" customFormat="1" ht="11.25" customHeight="1" x14ac:dyDescent="0.2">
      <c r="A104" s="304" t="s">
        <v>1029</v>
      </c>
      <c r="B104" s="234" t="s">
        <v>553</v>
      </c>
      <c r="C104" s="430">
        <v>79643.8</v>
      </c>
      <c r="D104" s="430">
        <v>8868.7999999999993</v>
      </c>
      <c r="E104" s="430">
        <v>47915.199999999997</v>
      </c>
      <c r="F104" s="430">
        <v>7484.3</v>
      </c>
      <c r="G104" s="209">
        <f t="shared" si="11"/>
        <v>55399.5</v>
      </c>
      <c r="H104" s="430">
        <v>408.8</v>
      </c>
      <c r="I104" s="430">
        <f t="shared" si="13"/>
        <v>136836.59999999998</v>
      </c>
      <c r="K104" s="227"/>
    </row>
    <row r="105" spans="1:11" s="153" customFormat="1" ht="11.25" customHeight="1" x14ac:dyDescent="0.2">
      <c r="A105" s="304" t="s">
        <v>1029</v>
      </c>
      <c r="B105" s="304" t="s">
        <v>547</v>
      </c>
      <c r="C105" s="429">
        <v>87298.8</v>
      </c>
      <c r="D105" s="429">
        <v>9775.4</v>
      </c>
      <c r="E105" s="429">
        <v>46118.1</v>
      </c>
      <c r="F105" s="429">
        <v>8091.9</v>
      </c>
      <c r="G105" s="209">
        <f t="shared" si="11"/>
        <v>54210</v>
      </c>
      <c r="H105" s="429">
        <v>440.2</v>
      </c>
      <c r="I105" s="429">
        <f t="shared" si="13"/>
        <v>143632.5</v>
      </c>
      <c r="K105" s="227"/>
    </row>
    <row r="106" spans="1:11" s="153" customFormat="1" ht="11.25" customHeight="1" x14ac:dyDescent="0.2">
      <c r="A106" s="304" t="s">
        <v>1029</v>
      </c>
      <c r="B106" s="234" t="s">
        <v>554</v>
      </c>
      <c r="C106" s="430">
        <v>83108.7</v>
      </c>
      <c r="D106" s="430">
        <v>8679.5</v>
      </c>
      <c r="E106" s="430">
        <v>47848.7</v>
      </c>
      <c r="F106" s="430">
        <v>6902.9</v>
      </c>
      <c r="G106" s="209">
        <f t="shared" si="11"/>
        <v>54751.6</v>
      </c>
      <c r="H106" s="430">
        <v>426.9</v>
      </c>
      <c r="I106" s="430">
        <f t="shared" si="13"/>
        <v>140063.79999999999</v>
      </c>
      <c r="K106" s="227"/>
    </row>
    <row r="107" spans="1:11" s="153" customFormat="1" ht="11.25" customHeight="1" x14ac:dyDescent="0.2">
      <c r="A107" s="304" t="s">
        <v>1029</v>
      </c>
      <c r="B107" s="304" t="s">
        <v>555</v>
      </c>
      <c r="C107" s="429">
        <v>80908.899999999994</v>
      </c>
      <c r="D107" s="429">
        <v>8875.7999999999993</v>
      </c>
      <c r="E107" s="429">
        <v>47593.2</v>
      </c>
      <c r="F107" s="429">
        <v>6476.7</v>
      </c>
      <c r="G107" s="209">
        <f t="shared" si="11"/>
        <v>54069.899999999994</v>
      </c>
      <c r="H107" s="429">
        <v>440.5</v>
      </c>
      <c r="I107" s="429">
        <f t="shared" si="13"/>
        <v>137818.4</v>
      </c>
      <c r="K107" s="227"/>
    </row>
    <row r="108" spans="1:11" s="153" customFormat="1" ht="11.25" customHeight="1" x14ac:dyDescent="0.2">
      <c r="A108" s="304" t="s">
        <v>1029</v>
      </c>
      <c r="B108" s="234" t="s">
        <v>548</v>
      </c>
      <c r="C108" s="430">
        <v>81950.2</v>
      </c>
      <c r="D108" s="430">
        <v>8588.1</v>
      </c>
      <c r="E108" s="430">
        <v>48159.6</v>
      </c>
      <c r="F108" s="430">
        <v>7557</v>
      </c>
      <c r="G108" s="209">
        <f t="shared" si="11"/>
        <v>55716.6</v>
      </c>
      <c r="H108" s="430">
        <v>446.5</v>
      </c>
      <c r="I108" s="430">
        <f t="shared" si="13"/>
        <v>139144.4</v>
      </c>
      <c r="K108" s="227"/>
    </row>
    <row r="109" spans="1:11" s="153" customFormat="1" ht="11.25" customHeight="1" x14ac:dyDescent="0.2">
      <c r="A109" s="304" t="s">
        <v>1029</v>
      </c>
      <c r="B109" s="304" t="s">
        <v>556</v>
      </c>
      <c r="C109" s="429">
        <v>82723.8</v>
      </c>
      <c r="D109" s="429">
        <v>9058.9</v>
      </c>
      <c r="E109" s="429">
        <v>47391.1</v>
      </c>
      <c r="F109" s="429">
        <v>7982.8</v>
      </c>
      <c r="G109" s="209">
        <f t="shared" si="11"/>
        <v>55373.9</v>
      </c>
      <c r="H109" s="429">
        <v>459</v>
      </c>
      <c r="I109" s="429">
        <f t="shared" si="13"/>
        <v>139632.79999999999</v>
      </c>
      <c r="K109" s="227"/>
    </row>
    <row r="110" spans="1:11" s="153" customFormat="1" ht="11.25" customHeight="1" x14ac:dyDescent="0.2">
      <c r="A110" s="304" t="s">
        <v>1029</v>
      </c>
      <c r="B110" s="234" t="s">
        <v>557</v>
      </c>
      <c r="C110" s="430">
        <v>83067.7</v>
      </c>
      <c r="D110" s="430">
        <v>9395.2999999999993</v>
      </c>
      <c r="E110" s="430">
        <v>47091.7</v>
      </c>
      <c r="F110" s="430">
        <v>9424.7999999999993</v>
      </c>
      <c r="G110" s="209">
        <f t="shared" si="11"/>
        <v>56516.5</v>
      </c>
      <c r="H110" s="430">
        <v>457.5</v>
      </c>
      <c r="I110" s="430">
        <f t="shared" si="13"/>
        <v>140012.20000000001</v>
      </c>
      <c r="K110" s="227"/>
    </row>
    <row r="111" spans="1:11" s="153" customFormat="1" ht="11.25" customHeight="1" x14ac:dyDescent="0.2">
      <c r="A111" s="304" t="s">
        <v>1029</v>
      </c>
      <c r="B111" s="304" t="s">
        <v>549</v>
      </c>
      <c r="C111" s="433">
        <v>82125.3</v>
      </c>
      <c r="D111" s="433">
        <v>9769.5</v>
      </c>
      <c r="E111" s="433">
        <v>47462.8</v>
      </c>
      <c r="F111" s="433">
        <v>8115</v>
      </c>
      <c r="G111" s="209">
        <f t="shared" si="11"/>
        <v>55577.8</v>
      </c>
      <c r="H111" s="433">
        <v>494.2</v>
      </c>
      <c r="I111" s="433">
        <f t="shared" si="13"/>
        <v>139851.80000000002</v>
      </c>
      <c r="K111" s="227"/>
    </row>
    <row r="112" spans="1:11" s="153" customFormat="1" ht="11.25" customHeight="1" x14ac:dyDescent="0.2">
      <c r="A112" s="304" t="s">
        <v>1029</v>
      </c>
      <c r="B112" s="234" t="s">
        <v>558</v>
      </c>
      <c r="C112" s="428">
        <v>82879.8</v>
      </c>
      <c r="D112" s="428">
        <v>8173.6</v>
      </c>
      <c r="E112" s="428">
        <v>47557.599999999999</v>
      </c>
      <c r="F112" s="428">
        <v>8266</v>
      </c>
      <c r="G112" s="209">
        <f t="shared" si="11"/>
        <v>55823.6</v>
      </c>
      <c r="H112" s="428">
        <v>441.9</v>
      </c>
      <c r="I112" s="428">
        <f t="shared" si="13"/>
        <v>139052.9</v>
      </c>
      <c r="K112" s="227"/>
    </row>
    <row r="113" spans="1:11" s="153" customFormat="1" ht="11.25" customHeight="1" x14ac:dyDescent="0.2">
      <c r="A113" s="304" t="s">
        <v>1029</v>
      </c>
      <c r="B113" s="304" t="s">
        <v>559</v>
      </c>
      <c r="C113" s="433">
        <v>83775.8</v>
      </c>
      <c r="D113" s="433">
        <v>9601.7000000000007</v>
      </c>
      <c r="E113" s="433">
        <v>49149.1</v>
      </c>
      <c r="F113" s="433">
        <v>6717.1</v>
      </c>
      <c r="G113" s="209">
        <f t="shared" si="11"/>
        <v>55866.2</v>
      </c>
      <c r="H113" s="433">
        <v>457.4</v>
      </c>
      <c r="I113" s="433">
        <f t="shared" si="13"/>
        <v>142984</v>
      </c>
      <c r="K113" s="227"/>
    </row>
    <row r="114" spans="1:11" s="153" customFormat="1" ht="11.25" customHeight="1" x14ac:dyDescent="0.2">
      <c r="A114" s="304" t="s">
        <v>1029</v>
      </c>
      <c r="B114" s="234" t="s">
        <v>550</v>
      </c>
      <c r="C114" s="428">
        <v>87940.800000000003</v>
      </c>
      <c r="D114" s="428">
        <v>10213.1</v>
      </c>
      <c r="E114" s="428">
        <v>49838.9</v>
      </c>
      <c r="F114" s="428">
        <v>7889.3</v>
      </c>
      <c r="G114" s="209">
        <f t="shared" si="11"/>
        <v>57728.200000000004</v>
      </c>
      <c r="H114" s="428">
        <v>489.7</v>
      </c>
      <c r="I114" s="428">
        <f t="shared" si="13"/>
        <v>148482.50000000003</v>
      </c>
      <c r="K114" s="227"/>
    </row>
    <row r="115" spans="1:11" s="153" customFormat="1" ht="11.25" customHeight="1" x14ac:dyDescent="0.2">
      <c r="A115" s="304" t="s">
        <v>1150</v>
      </c>
      <c r="B115" s="304" t="s">
        <v>552</v>
      </c>
      <c r="C115" s="428">
        <v>93901.4</v>
      </c>
      <c r="D115" s="428">
        <v>9408.7000000000007</v>
      </c>
      <c r="E115" s="428">
        <v>51839.3</v>
      </c>
      <c r="F115" s="428">
        <v>9329.4</v>
      </c>
      <c r="G115" s="209">
        <f t="shared" si="11"/>
        <v>61168.700000000004</v>
      </c>
      <c r="H115" s="428">
        <v>484.6</v>
      </c>
      <c r="I115" s="428">
        <f t="shared" ref="I115:I126" si="14">C115+D115+E115+H115</f>
        <v>155634</v>
      </c>
      <c r="K115" s="227"/>
    </row>
    <row r="116" spans="1:11" s="153" customFormat="1" ht="11.25" customHeight="1" x14ac:dyDescent="0.2">
      <c r="A116" s="304" t="s">
        <v>1150</v>
      </c>
      <c r="B116" s="234" t="s">
        <v>553</v>
      </c>
      <c r="C116" s="433">
        <v>89250.3</v>
      </c>
      <c r="D116" s="433">
        <v>9355.4</v>
      </c>
      <c r="E116" s="433">
        <v>52730.6</v>
      </c>
      <c r="F116" s="433">
        <v>8179.5</v>
      </c>
      <c r="G116" s="209">
        <f t="shared" si="11"/>
        <v>60910.1</v>
      </c>
      <c r="H116" s="433">
        <v>497.8</v>
      </c>
      <c r="I116" s="433">
        <f t="shared" si="14"/>
        <v>151834.09999999998</v>
      </c>
      <c r="K116" s="227"/>
    </row>
    <row r="117" spans="1:11" s="153" customFormat="1" ht="11.25" customHeight="1" x14ac:dyDescent="0.2">
      <c r="A117" s="304" t="s">
        <v>1150</v>
      </c>
      <c r="B117" s="304" t="s">
        <v>547</v>
      </c>
      <c r="C117" s="428">
        <v>102255.2</v>
      </c>
      <c r="D117" s="428">
        <v>10148.299999999999</v>
      </c>
      <c r="E117" s="428">
        <v>49754.2</v>
      </c>
      <c r="F117" s="428">
        <v>8712.2000000000007</v>
      </c>
      <c r="G117" s="209">
        <f t="shared" si="11"/>
        <v>58466.399999999994</v>
      </c>
      <c r="H117" s="428">
        <v>498</v>
      </c>
      <c r="I117" s="428">
        <f t="shared" si="14"/>
        <v>162655.70000000001</v>
      </c>
      <c r="K117" s="227"/>
    </row>
    <row r="118" spans="1:11" s="153" customFormat="1" ht="11.25" customHeight="1" x14ac:dyDescent="0.2">
      <c r="A118" s="304" t="s">
        <v>1150</v>
      </c>
      <c r="B118" s="234" t="s">
        <v>554</v>
      </c>
      <c r="C118" s="433">
        <v>93888.5</v>
      </c>
      <c r="D118" s="433">
        <v>8578</v>
      </c>
      <c r="E118" s="433">
        <v>61024.1</v>
      </c>
      <c r="F118" s="433">
        <v>6848.3</v>
      </c>
      <c r="G118" s="209">
        <f t="shared" si="11"/>
        <v>67872.399999999994</v>
      </c>
      <c r="H118" s="433">
        <v>509.1</v>
      </c>
      <c r="I118" s="433">
        <f t="shared" si="14"/>
        <v>163999.70000000001</v>
      </c>
      <c r="K118" s="227"/>
    </row>
    <row r="119" spans="1:11" s="153" customFormat="1" ht="11.25" customHeight="1" x14ac:dyDescent="0.2">
      <c r="A119" s="304" t="s">
        <v>1150</v>
      </c>
      <c r="B119" s="304" t="s">
        <v>555</v>
      </c>
      <c r="C119" s="1941">
        <v>91554.7</v>
      </c>
      <c r="D119" s="1941">
        <v>9161.6</v>
      </c>
      <c r="E119" s="1941">
        <v>56421.3</v>
      </c>
      <c r="F119" s="1941">
        <v>6330.5</v>
      </c>
      <c r="G119" s="209">
        <f t="shared" si="11"/>
        <v>62751.8</v>
      </c>
      <c r="H119" s="1941">
        <v>512.9</v>
      </c>
      <c r="I119" s="1941">
        <f t="shared" si="14"/>
        <v>157650.5</v>
      </c>
      <c r="K119" s="227"/>
    </row>
    <row r="120" spans="1:11" s="153" customFormat="1" ht="11.25" customHeight="1" x14ac:dyDescent="0.2">
      <c r="A120" s="304" t="s">
        <v>1150</v>
      </c>
      <c r="B120" s="234" t="s">
        <v>548</v>
      </c>
      <c r="C120" s="1942">
        <v>92545.3</v>
      </c>
      <c r="D120" s="1942">
        <v>8765.4</v>
      </c>
      <c r="E120" s="1942">
        <v>58358.3</v>
      </c>
      <c r="F120" s="1942">
        <v>6356.7</v>
      </c>
      <c r="G120" s="209">
        <f t="shared" si="11"/>
        <v>64715</v>
      </c>
      <c r="H120" s="1942">
        <v>545.79999999999995</v>
      </c>
      <c r="I120" s="1942">
        <f t="shared" si="14"/>
        <v>160214.79999999999</v>
      </c>
      <c r="K120" s="227"/>
    </row>
    <row r="121" spans="1:11" s="153" customFormat="1" ht="11.25" customHeight="1" x14ac:dyDescent="0.2">
      <c r="A121" s="304" t="s">
        <v>1150</v>
      </c>
      <c r="B121" s="304" t="s">
        <v>556</v>
      </c>
      <c r="C121" s="1941">
        <v>92669.7</v>
      </c>
      <c r="D121" s="1941">
        <v>9829.7000000000007</v>
      </c>
      <c r="E121" s="1941">
        <v>58743.8</v>
      </c>
      <c r="F121" s="1941">
        <v>6749.7</v>
      </c>
      <c r="G121" s="209">
        <f t="shared" si="11"/>
        <v>65493.5</v>
      </c>
      <c r="H121" s="1941">
        <v>525.20000000000005</v>
      </c>
      <c r="I121" s="1941">
        <f t="shared" si="14"/>
        <v>161768.40000000002</v>
      </c>
      <c r="K121" s="227"/>
    </row>
    <row r="122" spans="1:11" s="153" customFormat="1" ht="11.25" customHeight="1" x14ac:dyDescent="0.2">
      <c r="A122" s="304" t="s">
        <v>1150</v>
      </c>
      <c r="B122" s="234" t="s">
        <v>557</v>
      </c>
      <c r="C122" s="1942">
        <v>94137.4</v>
      </c>
      <c r="D122" s="1942">
        <v>9627.4</v>
      </c>
      <c r="E122" s="1942">
        <v>57394.9</v>
      </c>
      <c r="F122" s="1942">
        <v>8178.6</v>
      </c>
      <c r="G122" s="209">
        <f t="shared" si="11"/>
        <v>65573.5</v>
      </c>
      <c r="H122" s="1942">
        <f>527.9+35.4</f>
        <v>563.29999999999995</v>
      </c>
      <c r="I122" s="1942">
        <f t="shared" si="14"/>
        <v>161722.99999999997</v>
      </c>
      <c r="K122" s="227"/>
    </row>
    <row r="123" spans="1:11" s="153" customFormat="1" ht="11.25" customHeight="1" x14ac:dyDescent="0.2">
      <c r="A123" s="304" t="s">
        <v>1150</v>
      </c>
      <c r="B123" s="304" t="s">
        <v>549</v>
      </c>
      <c r="C123" s="1941">
        <v>96596.2</v>
      </c>
      <c r="D123" s="1941">
        <v>8440.5</v>
      </c>
      <c r="E123" s="1941">
        <v>56247.8</v>
      </c>
      <c r="F123" s="1941">
        <v>7616.6</v>
      </c>
      <c r="G123" s="209">
        <f t="shared" si="11"/>
        <v>63864.4</v>
      </c>
      <c r="H123" s="1941">
        <f>568.9+28.3</f>
        <v>597.19999999999993</v>
      </c>
      <c r="I123" s="1941">
        <f t="shared" si="14"/>
        <v>161881.70000000001</v>
      </c>
      <c r="K123" s="227"/>
    </row>
    <row r="124" spans="1:11" s="153" customFormat="1" ht="11.25" customHeight="1" x14ac:dyDescent="0.2">
      <c r="A124" s="304" t="s">
        <v>1150</v>
      </c>
      <c r="B124" s="234" t="s">
        <v>558</v>
      </c>
      <c r="C124" s="1942">
        <v>98745.5</v>
      </c>
      <c r="D124" s="1942">
        <v>8313.2999999999993</v>
      </c>
      <c r="E124" s="1942">
        <v>57605.7</v>
      </c>
      <c r="F124" s="1942">
        <v>7478.6</v>
      </c>
      <c r="G124" s="209">
        <f t="shared" si="11"/>
        <v>65084.299999999996</v>
      </c>
      <c r="H124" s="1942">
        <v>559</v>
      </c>
      <c r="I124" s="1942">
        <f t="shared" si="14"/>
        <v>165223.5</v>
      </c>
      <c r="K124" s="227"/>
    </row>
    <row r="125" spans="1:11" s="153" customFormat="1" ht="11.25" customHeight="1" x14ac:dyDescent="0.2">
      <c r="A125" s="304" t="s">
        <v>1150</v>
      </c>
      <c r="B125" s="304" t="s">
        <v>559</v>
      </c>
      <c r="C125" s="1941">
        <v>101562</v>
      </c>
      <c r="D125" s="1941">
        <v>9881.1</v>
      </c>
      <c r="E125" s="1941">
        <v>60901</v>
      </c>
      <c r="F125" s="1941">
        <v>6766.5</v>
      </c>
      <c r="G125" s="209">
        <f t="shared" si="11"/>
        <v>67667.5</v>
      </c>
      <c r="H125" s="1941">
        <v>558.79999999999995</v>
      </c>
      <c r="I125" s="1941">
        <f t="shared" si="14"/>
        <v>172902.9</v>
      </c>
      <c r="K125" s="227"/>
    </row>
    <row r="126" spans="1:11" s="153" customFormat="1" ht="11.25" customHeight="1" x14ac:dyDescent="0.2">
      <c r="A126" s="304" t="s">
        <v>1150</v>
      </c>
      <c r="B126" s="234" t="s">
        <v>550</v>
      </c>
      <c r="C126" s="1942">
        <v>122074.5</v>
      </c>
      <c r="D126" s="1942">
        <v>10230.700000000001</v>
      </c>
      <c r="E126" s="1942">
        <v>60299</v>
      </c>
      <c r="F126" s="1942">
        <v>7133.4</v>
      </c>
      <c r="G126" s="209">
        <f t="shared" si="11"/>
        <v>67432.399999999994</v>
      </c>
      <c r="H126" s="1942">
        <v>597.1</v>
      </c>
      <c r="I126" s="1942">
        <f t="shared" si="14"/>
        <v>193201.30000000002</v>
      </c>
      <c r="K126" s="227"/>
    </row>
    <row r="127" spans="1:11" s="153" customFormat="1" ht="11.25" customHeight="1" x14ac:dyDescent="0.2">
      <c r="A127" s="304" t="s">
        <v>1174</v>
      </c>
      <c r="B127" s="304" t="s">
        <v>552</v>
      </c>
      <c r="C127" s="1942">
        <v>109025</v>
      </c>
      <c r="D127" s="1942">
        <v>10638.4</v>
      </c>
      <c r="E127" s="1942">
        <v>61615</v>
      </c>
      <c r="F127" s="1942">
        <v>7746.1</v>
      </c>
      <c r="G127" s="209">
        <f t="shared" si="11"/>
        <v>69361.100000000006</v>
      </c>
      <c r="H127" s="1942">
        <v>579.79999999999995</v>
      </c>
      <c r="I127" s="1942">
        <f t="shared" ref="I127:I138" si="15">C127+D127+E127+H127</f>
        <v>181858.19999999998</v>
      </c>
      <c r="K127" s="227"/>
    </row>
    <row r="128" spans="1:11" s="153" customFormat="1" ht="11.25" customHeight="1" x14ac:dyDescent="0.2">
      <c r="A128" s="304" t="s">
        <v>1174</v>
      </c>
      <c r="B128" s="234" t="s">
        <v>553</v>
      </c>
      <c r="C128" s="1941">
        <v>112113.8</v>
      </c>
      <c r="D128" s="1941">
        <v>10010</v>
      </c>
      <c r="E128" s="1941">
        <v>59999</v>
      </c>
      <c r="F128" s="1941">
        <v>8315.9</v>
      </c>
      <c r="G128" s="209">
        <f t="shared" si="11"/>
        <v>68314.899999999994</v>
      </c>
      <c r="H128" s="1941">
        <v>595.79999999999995</v>
      </c>
      <c r="I128" s="1941">
        <f t="shared" si="15"/>
        <v>182718.59999999998</v>
      </c>
      <c r="K128" s="227"/>
    </row>
    <row r="129" spans="1:11" s="153" customFormat="1" ht="11.25" customHeight="1" x14ac:dyDescent="0.2">
      <c r="A129" s="304" t="s">
        <v>1174</v>
      </c>
      <c r="B129" s="304" t="s">
        <v>547</v>
      </c>
      <c r="C129" s="1942">
        <v>118129.3</v>
      </c>
      <c r="D129" s="1942">
        <v>10120.299999999999</v>
      </c>
      <c r="E129" s="1942">
        <v>60919.7</v>
      </c>
      <c r="F129" s="1942">
        <v>8762.2999999999993</v>
      </c>
      <c r="G129" s="209">
        <f t="shared" si="11"/>
        <v>69682</v>
      </c>
      <c r="H129" s="1942">
        <v>638.79999999999995</v>
      </c>
      <c r="I129" s="1942">
        <f t="shared" si="15"/>
        <v>189808.09999999998</v>
      </c>
      <c r="K129" s="227"/>
    </row>
    <row r="130" spans="1:11" s="153" customFormat="1" ht="11.25" customHeight="1" x14ac:dyDescent="0.2">
      <c r="A130" s="304" t="s">
        <v>1174</v>
      </c>
      <c r="B130" s="234" t="s">
        <v>554</v>
      </c>
      <c r="C130" s="1941">
        <v>112704.50000000001</v>
      </c>
      <c r="D130" s="1941">
        <v>10709.7</v>
      </c>
      <c r="E130" s="1941">
        <v>62601.7</v>
      </c>
      <c r="F130" s="1941">
        <v>7746.7</v>
      </c>
      <c r="G130" s="209">
        <f t="shared" si="11"/>
        <v>70348.399999999994</v>
      </c>
      <c r="H130" s="1941">
        <v>632.6</v>
      </c>
      <c r="I130" s="1941">
        <f t="shared" si="15"/>
        <v>186648.50000000003</v>
      </c>
      <c r="K130" s="227"/>
    </row>
    <row r="131" spans="1:11" s="153" customFormat="1" ht="11.25" customHeight="1" x14ac:dyDescent="0.2">
      <c r="A131" s="304" t="s">
        <v>1174</v>
      </c>
      <c r="B131" s="304" t="s">
        <v>555</v>
      </c>
      <c r="C131" s="1942">
        <v>111242</v>
      </c>
      <c r="D131" s="1942">
        <v>10216.5</v>
      </c>
      <c r="E131" s="1942">
        <v>64826</v>
      </c>
      <c r="F131" s="1942">
        <v>6294.1</v>
      </c>
      <c r="G131" s="209">
        <f t="shared" si="11"/>
        <v>71120.100000000006</v>
      </c>
      <c r="H131" s="1942">
        <v>639.29999999999995</v>
      </c>
      <c r="I131" s="1942">
        <f t="shared" si="15"/>
        <v>186923.8</v>
      </c>
      <c r="K131" s="227"/>
    </row>
    <row r="132" spans="1:11" s="153" customFormat="1" ht="11.25" customHeight="1" x14ac:dyDescent="0.2">
      <c r="A132" s="304" t="s">
        <v>1174</v>
      </c>
      <c r="B132" s="234" t="s">
        <v>548</v>
      </c>
      <c r="C132" s="1941">
        <v>113153.4</v>
      </c>
      <c r="D132" s="1941">
        <v>10203.1</v>
      </c>
      <c r="E132" s="1941">
        <v>67509.5</v>
      </c>
      <c r="F132" s="1941">
        <v>7473.2</v>
      </c>
      <c r="G132" s="209">
        <f t="shared" si="11"/>
        <v>74982.7</v>
      </c>
      <c r="H132" s="1941">
        <v>632.20000000000005</v>
      </c>
      <c r="I132" s="1941">
        <f t="shared" si="15"/>
        <v>191498.2</v>
      </c>
      <c r="K132" s="227"/>
    </row>
    <row r="133" spans="1:11" s="153" customFormat="1" ht="11.25" customHeight="1" x14ac:dyDescent="0.2">
      <c r="A133" s="304" t="s">
        <v>1174</v>
      </c>
      <c r="B133" s="304" t="s">
        <v>556</v>
      </c>
      <c r="C133" s="1942">
        <v>112567.6</v>
      </c>
      <c r="D133" s="1942">
        <v>10411.5</v>
      </c>
      <c r="E133" s="1942">
        <v>64923.199999999997</v>
      </c>
      <c r="F133" s="1942">
        <v>6122.5</v>
      </c>
      <c r="G133" s="209">
        <f t="shared" si="11"/>
        <v>71045.7</v>
      </c>
      <c r="H133" s="1942">
        <v>659.9</v>
      </c>
      <c r="I133" s="1942">
        <f t="shared" si="15"/>
        <v>188562.19999999998</v>
      </c>
      <c r="K133" s="227"/>
    </row>
    <row r="134" spans="1:11" s="153" customFormat="1" ht="11.25" customHeight="1" x14ac:dyDescent="0.2">
      <c r="A134" s="304" t="s">
        <v>1174</v>
      </c>
      <c r="B134" s="234" t="s">
        <v>557</v>
      </c>
      <c r="C134" s="1941">
        <v>112499.7</v>
      </c>
      <c r="D134" s="1941">
        <v>11008.1</v>
      </c>
      <c r="E134" s="1941">
        <v>67105.2</v>
      </c>
      <c r="F134" s="1941">
        <v>6814.4</v>
      </c>
      <c r="G134" s="209">
        <f t="shared" si="11"/>
        <v>73919.599999999991</v>
      </c>
      <c r="H134" s="1941">
        <v>639.9</v>
      </c>
      <c r="I134" s="1941">
        <f t="shared" si="15"/>
        <v>191252.9</v>
      </c>
      <c r="K134" s="227"/>
    </row>
    <row r="135" spans="1:11" s="153" customFormat="1" ht="11.25" customHeight="1" x14ac:dyDescent="0.2">
      <c r="A135" s="304" t="s">
        <v>1174</v>
      </c>
      <c r="B135" s="304" t="s">
        <v>549</v>
      </c>
      <c r="C135" s="1942">
        <v>114109.9</v>
      </c>
      <c r="D135" s="1942">
        <v>10364.9</v>
      </c>
      <c r="E135" s="1942">
        <v>67498.399999999994</v>
      </c>
      <c r="F135" s="1942">
        <v>7067.5</v>
      </c>
      <c r="G135" s="209">
        <f t="shared" si="11"/>
        <v>74565.899999999994</v>
      </c>
      <c r="H135" s="1942">
        <v>640</v>
      </c>
      <c r="I135" s="1942">
        <f t="shared" si="15"/>
        <v>192613.19999999998</v>
      </c>
      <c r="K135" s="227"/>
    </row>
    <row r="136" spans="1:11" s="153" customFormat="1" ht="11.25" customHeight="1" x14ac:dyDescent="0.2">
      <c r="A136" s="304" t="s">
        <v>1174</v>
      </c>
      <c r="B136" s="234" t="s">
        <v>558</v>
      </c>
      <c r="C136" s="1941">
        <v>113757.5</v>
      </c>
      <c r="D136" s="1941">
        <v>11105.2</v>
      </c>
      <c r="E136" s="1941">
        <v>65980.2</v>
      </c>
      <c r="F136" s="1941">
        <v>5430.1</v>
      </c>
      <c r="G136" s="209">
        <f t="shared" si="11"/>
        <v>71410.3</v>
      </c>
      <c r="H136" s="1941">
        <v>661.4</v>
      </c>
      <c r="I136" s="1941">
        <f t="shared" si="15"/>
        <v>191504.3</v>
      </c>
      <c r="K136" s="227"/>
    </row>
    <row r="137" spans="1:11" s="153" customFormat="1" ht="11.25" customHeight="1" x14ac:dyDescent="0.2">
      <c r="A137" s="304" t="s">
        <v>1174</v>
      </c>
      <c r="B137" s="304" t="s">
        <v>559</v>
      </c>
      <c r="C137" s="1942">
        <v>117136.5</v>
      </c>
      <c r="D137" s="1942">
        <v>11744.8</v>
      </c>
      <c r="E137" s="1942">
        <v>66446.7</v>
      </c>
      <c r="F137" s="1942">
        <v>7961.6</v>
      </c>
      <c r="G137" s="209">
        <f t="shared" si="11"/>
        <v>74408.3</v>
      </c>
      <c r="H137" s="1942">
        <v>640.6</v>
      </c>
      <c r="I137" s="1942">
        <f t="shared" si="15"/>
        <v>195968.6</v>
      </c>
      <c r="K137" s="227"/>
    </row>
    <row r="138" spans="1:11" s="153" customFormat="1" ht="11.25" customHeight="1" x14ac:dyDescent="0.2">
      <c r="A138" s="304" t="s">
        <v>1174</v>
      </c>
      <c r="B138" s="234" t="s">
        <v>550</v>
      </c>
      <c r="C138" s="1941">
        <v>137531.79999999999</v>
      </c>
      <c r="D138" s="1941">
        <v>13733.4</v>
      </c>
      <c r="E138" s="1941">
        <v>72732.7</v>
      </c>
      <c r="F138" s="1941">
        <v>8987.9</v>
      </c>
      <c r="G138" s="209">
        <f t="shared" si="11"/>
        <v>81720.599999999991</v>
      </c>
      <c r="H138" s="1941">
        <v>661.5</v>
      </c>
      <c r="I138" s="1941">
        <f t="shared" si="15"/>
        <v>224659.39999999997</v>
      </c>
      <c r="K138" s="227"/>
    </row>
    <row r="139" spans="1:11" s="153" customFormat="1" ht="11.25" customHeight="1" x14ac:dyDescent="0.2">
      <c r="A139" s="304" t="s">
        <v>1296</v>
      </c>
      <c r="B139" s="304" t="s">
        <v>552</v>
      </c>
      <c r="C139" s="1941">
        <v>126258.4</v>
      </c>
      <c r="D139" s="1941">
        <v>12238.1</v>
      </c>
      <c r="E139" s="1941">
        <v>71127.100000000006</v>
      </c>
      <c r="F139" s="1941">
        <v>7306.6</v>
      </c>
      <c r="G139" s="209">
        <f t="shared" si="11"/>
        <v>78433.700000000012</v>
      </c>
      <c r="H139" s="1941">
        <v>664.2</v>
      </c>
      <c r="I139" s="1941">
        <f t="shared" ref="I139:I162" si="16">C139+D139+E139+H139</f>
        <v>210287.80000000002</v>
      </c>
      <c r="K139" s="227"/>
    </row>
    <row r="140" spans="1:11" s="153" customFormat="1" ht="11.25" customHeight="1" x14ac:dyDescent="0.2">
      <c r="A140" s="304" t="s">
        <v>1296</v>
      </c>
      <c r="B140" s="234" t="s">
        <v>553</v>
      </c>
      <c r="C140" s="1942">
        <v>147823.4</v>
      </c>
      <c r="D140" s="1942">
        <v>11375.9</v>
      </c>
      <c r="E140" s="1942">
        <v>70323.399999999994</v>
      </c>
      <c r="F140" s="1942">
        <v>7226.9</v>
      </c>
      <c r="G140" s="209">
        <f t="shared" si="11"/>
        <v>77550.299999999988</v>
      </c>
      <c r="H140" s="1942">
        <v>672.9</v>
      </c>
      <c r="I140" s="1942">
        <f t="shared" si="16"/>
        <v>230195.59999999998</v>
      </c>
      <c r="K140" s="227"/>
    </row>
    <row r="141" spans="1:11" s="153" customFormat="1" ht="11.25" customHeight="1" x14ac:dyDescent="0.2">
      <c r="A141" s="304" t="s">
        <v>1296</v>
      </c>
      <c r="B141" s="304" t="s">
        <v>547</v>
      </c>
      <c r="C141" s="1941">
        <v>132823.20000000001</v>
      </c>
      <c r="D141" s="1941">
        <v>11307.9</v>
      </c>
      <c r="E141" s="1941">
        <v>70441.7</v>
      </c>
      <c r="F141" s="1941">
        <v>6525</v>
      </c>
      <c r="G141" s="209">
        <f t="shared" si="11"/>
        <v>76966.7</v>
      </c>
      <c r="H141" s="1941">
        <v>687.4</v>
      </c>
      <c r="I141" s="1941">
        <f t="shared" si="16"/>
        <v>215260.19999999998</v>
      </c>
      <c r="K141" s="227"/>
    </row>
    <row r="142" spans="1:11" s="153" customFormat="1" ht="11.25" customHeight="1" x14ac:dyDescent="0.2">
      <c r="A142" s="304" t="s">
        <v>1296</v>
      </c>
      <c r="B142" s="234" t="s">
        <v>554</v>
      </c>
      <c r="C142" s="1942">
        <v>126764.6</v>
      </c>
      <c r="D142" s="1942">
        <v>12310.7</v>
      </c>
      <c r="E142" s="1942">
        <v>70523.100000000006</v>
      </c>
      <c r="F142" s="1942">
        <v>6573.2</v>
      </c>
      <c r="G142" s="209">
        <f t="shared" si="11"/>
        <v>77096.3</v>
      </c>
      <c r="H142" s="1942">
        <v>678.6</v>
      </c>
      <c r="I142" s="1942">
        <f t="shared" si="16"/>
        <v>210277.00000000003</v>
      </c>
      <c r="K142" s="227"/>
    </row>
    <row r="143" spans="1:11" s="153" customFormat="1" ht="11.25" customHeight="1" x14ac:dyDescent="0.2">
      <c r="A143" s="304" t="s">
        <v>1296</v>
      </c>
      <c r="B143" s="304" t="s">
        <v>555</v>
      </c>
      <c r="C143" s="1941">
        <v>126883.2</v>
      </c>
      <c r="D143" s="1941">
        <v>11357.5</v>
      </c>
      <c r="E143" s="1941">
        <v>70096.5</v>
      </c>
      <c r="F143" s="1941">
        <v>7146.7</v>
      </c>
      <c r="G143" s="209">
        <f t="shared" si="11"/>
        <v>77243.199999999997</v>
      </c>
      <c r="H143" s="1941">
        <v>682.1</v>
      </c>
      <c r="I143" s="1941">
        <f t="shared" si="16"/>
        <v>209019.30000000002</v>
      </c>
      <c r="K143" s="227"/>
    </row>
    <row r="144" spans="1:11" s="153" customFormat="1" ht="11.25" customHeight="1" x14ac:dyDescent="0.2">
      <c r="A144" s="304" t="s">
        <v>1296</v>
      </c>
      <c r="B144" s="234" t="s">
        <v>548</v>
      </c>
      <c r="C144" s="1942">
        <v>129149.2</v>
      </c>
      <c r="D144" s="1942">
        <v>11537.3</v>
      </c>
      <c r="E144" s="1942">
        <v>75626.899999999994</v>
      </c>
      <c r="F144" s="1942">
        <v>7059.3</v>
      </c>
      <c r="G144" s="209">
        <f t="shared" si="11"/>
        <v>82686.2</v>
      </c>
      <c r="H144" s="1942">
        <v>670.4</v>
      </c>
      <c r="I144" s="1942">
        <f t="shared" si="16"/>
        <v>216983.8</v>
      </c>
      <c r="K144" s="227"/>
    </row>
    <row r="145" spans="1:11" s="153" customFormat="1" ht="11.25" customHeight="1" x14ac:dyDescent="0.2">
      <c r="A145" s="304" t="s">
        <v>1296</v>
      </c>
      <c r="B145" s="304" t="s">
        <v>556</v>
      </c>
      <c r="C145" s="1941">
        <v>128248.3</v>
      </c>
      <c r="D145" s="1941">
        <v>12043.1</v>
      </c>
      <c r="E145" s="1941">
        <v>69361.7</v>
      </c>
      <c r="F145" s="1941">
        <v>6541.3</v>
      </c>
      <c r="G145" s="209">
        <f t="shared" si="11"/>
        <v>75903</v>
      </c>
      <c r="H145" s="1941">
        <v>667.5</v>
      </c>
      <c r="I145" s="1941">
        <f t="shared" si="16"/>
        <v>210320.59999999998</v>
      </c>
      <c r="K145" s="227"/>
    </row>
    <row r="146" spans="1:11" s="153" customFormat="1" ht="11.25" customHeight="1" x14ac:dyDescent="0.2">
      <c r="A146" s="304" t="s">
        <v>1296</v>
      </c>
      <c r="B146" s="234" t="s">
        <v>557</v>
      </c>
      <c r="C146" s="1942">
        <v>128338.1</v>
      </c>
      <c r="D146" s="1942">
        <v>12783.3</v>
      </c>
      <c r="E146" s="1942">
        <v>68679.600000000006</v>
      </c>
      <c r="F146" s="1942">
        <v>7975.9</v>
      </c>
      <c r="G146" s="209">
        <f t="shared" si="11"/>
        <v>76655.5</v>
      </c>
      <c r="H146" s="1942">
        <v>748.4</v>
      </c>
      <c r="I146" s="1942">
        <f t="shared" si="16"/>
        <v>210549.4</v>
      </c>
      <c r="K146" s="227"/>
    </row>
    <row r="147" spans="1:11" s="153" customFormat="1" ht="11.25" customHeight="1" x14ac:dyDescent="0.2">
      <c r="A147" s="304" t="s">
        <v>1296</v>
      </c>
      <c r="B147" s="304" t="s">
        <v>549</v>
      </c>
      <c r="C147" s="1941">
        <v>128133.1</v>
      </c>
      <c r="D147" s="1941">
        <v>12042.8</v>
      </c>
      <c r="E147" s="1941">
        <v>71374.100000000006</v>
      </c>
      <c r="F147" s="1941">
        <v>8152</v>
      </c>
      <c r="G147" s="209">
        <f t="shared" si="11"/>
        <v>79526.100000000006</v>
      </c>
      <c r="H147" s="1941">
        <v>700.4</v>
      </c>
      <c r="I147" s="1941">
        <f t="shared" si="16"/>
        <v>212250.4</v>
      </c>
      <c r="K147" s="227"/>
    </row>
    <row r="148" spans="1:11" s="153" customFormat="1" ht="11.25" customHeight="1" x14ac:dyDescent="0.2">
      <c r="A148" s="304" t="s">
        <v>1296</v>
      </c>
      <c r="B148" s="234" t="s">
        <v>558</v>
      </c>
      <c r="C148" s="1941">
        <v>12238.1</v>
      </c>
      <c r="D148" s="1941">
        <v>71127.100000000006</v>
      </c>
      <c r="E148" s="1941">
        <v>7306.6</v>
      </c>
      <c r="F148" s="1941">
        <v>664.2</v>
      </c>
      <c r="G148" s="209">
        <f t="shared" si="11"/>
        <v>7970.8</v>
      </c>
      <c r="H148" s="1941" t="e">
        <f t="shared" ref="H148:H150" si="17">B148+C148+D148+F148</f>
        <v>#VALUE!</v>
      </c>
      <c r="I148" s="1942" t="e">
        <f t="shared" si="16"/>
        <v>#VALUE!</v>
      </c>
      <c r="K148" s="227"/>
    </row>
    <row r="149" spans="1:11" s="153" customFormat="1" ht="11.25" customHeight="1" x14ac:dyDescent="0.2">
      <c r="A149" s="304" t="s">
        <v>1296</v>
      </c>
      <c r="B149" s="304" t="s">
        <v>559</v>
      </c>
      <c r="C149" s="1942">
        <v>11375.9</v>
      </c>
      <c r="D149" s="1942">
        <v>70323.399999999994</v>
      </c>
      <c r="E149" s="1942">
        <v>7226.9</v>
      </c>
      <c r="F149" s="1942">
        <v>672.9</v>
      </c>
      <c r="G149" s="209">
        <f t="shared" si="11"/>
        <v>7899.7999999999993</v>
      </c>
      <c r="H149" s="1942" t="e">
        <f t="shared" si="17"/>
        <v>#VALUE!</v>
      </c>
      <c r="I149" s="1941" t="e">
        <f t="shared" si="16"/>
        <v>#VALUE!</v>
      </c>
      <c r="K149" s="227"/>
    </row>
    <row r="150" spans="1:11" s="153" customFormat="1" ht="11.25" customHeight="1" x14ac:dyDescent="0.2">
      <c r="A150" s="304" t="s">
        <v>1296</v>
      </c>
      <c r="B150" s="234" t="s">
        <v>550</v>
      </c>
      <c r="C150" s="1941">
        <v>11307.9</v>
      </c>
      <c r="D150" s="1941">
        <v>70441.7</v>
      </c>
      <c r="E150" s="1941">
        <v>6525</v>
      </c>
      <c r="F150" s="1941">
        <v>687.4</v>
      </c>
      <c r="G150" s="209">
        <f t="shared" si="11"/>
        <v>7212.4</v>
      </c>
      <c r="H150" s="1941" t="e">
        <f t="shared" si="17"/>
        <v>#VALUE!</v>
      </c>
      <c r="I150" s="1942" t="e">
        <f t="shared" si="16"/>
        <v>#VALUE!</v>
      </c>
      <c r="K150" s="227"/>
    </row>
    <row r="151" spans="1:11" s="153" customFormat="1" ht="11.25" customHeight="1" x14ac:dyDescent="0.2">
      <c r="A151" s="304" t="s">
        <v>1404</v>
      </c>
      <c r="B151" s="304" t="s">
        <v>552</v>
      </c>
      <c r="C151" s="433">
        <v>137702.29999999999</v>
      </c>
      <c r="D151" s="433">
        <v>13317.5</v>
      </c>
      <c r="E151" s="433">
        <v>69416.600000000006</v>
      </c>
      <c r="F151" s="433">
        <v>9843.1</v>
      </c>
      <c r="G151" s="209">
        <f t="shared" si="11"/>
        <v>79259.700000000012</v>
      </c>
      <c r="H151" s="433">
        <v>831.5</v>
      </c>
      <c r="I151" s="433">
        <f t="shared" si="16"/>
        <v>221267.9</v>
      </c>
      <c r="K151" s="227"/>
    </row>
    <row r="152" spans="1:11" s="153" customFormat="1" ht="11.25" customHeight="1" x14ac:dyDescent="0.2">
      <c r="A152" s="304" t="s">
        <v>1404</v>
      </c>
      <c r="B152" s="234" t="s">
        <v>553</v>
      </c>
      <c r="C152" s="428">
        <v>153394.6</v>
      </c>
      <c r="D152" s="428">
        <v>14192.1</v>
      </c>
      <c r="E152" s="428">
        <v>66040.5</v>
      </c>
      <c r="F152" s="428">
        <v>11830.2</v>
      </c>
      <c r="G152" s="209">
        <f t="shared" si="11"/>
        <v>77870.7</v>
      </c>
      <c r="H152" s="428">
        <v>743.6</v>
      </c>
      <c r="I152" s="428">
        <f t="shared" si="16"/>
        <v>234370.80000000002</v>
      </c>
      <c r="K152" s="227"/>
    </row>
    <row r="153" spans="1:11" s="153" customFormat="1" ht="11.25" customHeight="1" x14ac:dyDescent="0.2">
      <c r="A153" s="304" t="s">
        <v>1404</v>
      </c>
      <c r="B153" s="304" t="s">
        <v>547</v>
      </c>
      <c r="C153" s="433">
        <v>141018.9</v>
      </c>
      <c r="D153" s="433">
        <v>14502.5</v>
      </c>
      <c r="E153" s="433">
        <v>72210.8</v>
      </c>
      <c r="F153" s="433">
        <v>9259.9</v>
      </c>
      <c r="G153" s="209">
        <f t="shared" si="11"/>
        <v>81470.7</v>
      </c>
      <c r="H153" s="433">
        <v>755</v>
      </c>
      <c r="I153" s="433">
        <f t="shared" si="16"/>
        <v>228487.2</v>
      </c>
      <c r="K153" s="227"/>
    </row>
    <row r="154" spans="1:11" s="153" customFormat="1" ht="11.25" customHeight="1" x14ac:dyDescent="0.2">
      <c r="A154" s="304" t="s">
        <v>1404</v>
      </c>
      <c r="B154" s="234" t="s">
        <v>554</v>
      </c>
      <c r="C154" s="428">
        <v>139078.1</v>
      </c>
      <c r="D154" s="428">
        <v>13346.1</v>
      </c>
      <c r="E154" s="428">
        <v>74979.7</v>
      </c>
      <c r="F154" s="428">
        <v>7573.2</v>
      </c>
      <c r="G154" s="209">
        <f t="shared" si="11"/>
        <v>82552.899999999994</v>
      </c>
      <c r="H154" s="428">
        <v>714.3</v>
      </c>
      <c r="I154" s="428">
        <f t="shared" si="16"/>
        <v>228118.2</v>
      </c>
      <c r="K154" s="227"/>
    </row>
    <row r="155" spans="1:11" s="153" customFormat="1" ht="11.25" customHeight="1" x14ac:dyDescent="0.2">
      <c r="A155" s="304" t="s">
        <v>1404</v>
      </c>
      <c r="B155" s="304" t="s">
        <v>555</v>
      </c>
      <c r="C155" s="433">
        <v>139109.20000000001</v>
      </c>
      <c r="D155" s="433">
        <v>13162.8</v>
      </c>
      <c r="E155" s="433">
        <v>72352</v>
      </c>
      <c r="F155" s="433">
        <v>7863.8</v>
      </c>
      <c r="G155" s="209">
        <f t="shared" ref="G155:G218" si="18">E155+F155</f>
        <v>80215.8</v>
      </c>
      <c r="H155" s="433">
        <v>703.6</v>
      </c>
      <c r="I155" s="433">
        <f t="shared" si="16"/>
        <v>225327.6</v>
      </c>
      <c r="K155" s="227"/>
    </row>
    <row r="156" spans="1:11" s="153" customFormat="1" ht="11.25" customHeight="1" x14ac:dyDescent="0.2">
      <c r="A156" s="304" t="s">
        <v>1404</v>
      </c>
      <c r="B156" s="234" t="s">
        <v>548</v>
      </c>
      <c r="C156" s="428">
        <v>144679.1</v>
      </c>
      <c r="D156" s="428">
        <v>13681.9</v>
      </c>
      <c r="E156" s="428">
        <v>75596.3</v>
      </c>
      <c r="F156" s="428">
        <v>9413.4</v>
      </c>
      <c r="G156" s="209">
        <f t="shared" si="18"/>
        <v>85009.7</v>
      </c>
      <c r="H156" s="428">
        <v>700.6</v>
      </c>
      <c r="I156" s="428">
        <f t="shared" si="16"/>
        <v>234657.9</v>
      </c>
      <c r="K156" s="227"/>
    </row>
    <row r="157" spans="1:11" s="153" customFormat="1" ht="11.25" customHeight="1" x14ac:dyDescent="0.2">
      <c r="A157" s="304" t="s">
        <v>1404</v>
      </c>
      <c r="B157" s="304" t="s">
        <v>556</v>
      </c>
      <c r="C157" s="433">
        <v>144681.70000000001</v>
      </c>
      <c r="D157" s="433">
        <v>12674.1</v>
      </c>
      <c r="E157" s="433">
        <v>69935.199999999997</v>
      </c>
      <c r="F157" s="433">
        <v>7923.8</v>
      </c>
      <c r="G157" s="209">
        <f t="shared" si="18"/>
        <v>77859</v>
      </c>
      <c r="H157" s="433">
        <v>736.6</v>
      </c>
      <c r="I157" s="433">
        <f t="shared" si="16"/>
        <v>228027.6</v>
      </c>
      <c r="K157" s="227"/>
    </row>
    <row r="158" spans="1:11" s="153" customFormat="1" ht="11.25" customHeight="1" x14ac:dyDescent="0.2">
      <c r="A158" s="304" t="s">
        <v>1404</v>
      </c>
      <c r="B158" s="234" t="s">
        <v>557</v>
      </c>
      <c r="C158" s="428">
        <v>145963</v>
      </c>
      <c r="D158" s="428">
        <v>12972.6</v>
      </c>
      <c r="E158" s="428">
        <v>67134</v>
      </c>
      <c r="F158" s="428">
        <v>9931.4</v>
      </c>
      <c r="G158" s="209">
        <f t="shared" si="18"/>
        <v>77065.399999999994</v>
      </c>
      <c r="H158" s="428">
        <v>673</v>
      </c>
      <c r="I158" s="428">
        <f t="shared" si="16"/>
        <v>226742.6</v>
      </c>
      <c r="K158" s="227"/>
    </row>
    <row r="159" spans="1:11" s="153" customFormat="1" ht="11.25" customHeight="1" x14ac:dyDescent="0.2">
      <c r="A159" s="304" t="s">
        <v>1404</v>
      </c>
      <c r="B159" s="304" t="s">
        <v>549</v>
      </c>
      <c r="C159" s="433">
        <v>144646.5</v>
      </c>
      <c r="D159" s="433">
        <v>14853.8</v>
      </c>
      <c r="E159" s="433">
        <v>64863.3</v>
      </c>
      <c r="F159" s="433">
        <v>12151.1</v>
      </c>
      <c r="G159" s="209">
        <f t="shared" si="18"/>
        <v>77014.400000000009</v>
      </c>
      <c r="H159" s="433">
        <v>726.7</v>
      </c>
      <c r="I159" s="433">
        <f t="shared" si="16"/>
        <v>225090.3</v>
      </c>
      <c r="K159" s="227"/>
    </row>
    <row r="160" spans="1:11" s="153" customFormat="1" ht="11.25" customHeight="1" x14ac:dyDescent="0.2">
      <c r="A160" s="304" t="s">
        <v>1404</v>
      </c>
      <c r="B160" s="234" t="s">
        <v>558</v>
      </c>
      <c r="C160" s="428">
        <v>144759</v>
      </c>
      <c r="D160" s="428">
        <v>14032</v>
      </c>
      <c r="E160" s="428">
        <v>67496.600000000006</v>
      </c>
      <c r="F160" s="428">
        <v>10726.7</v>
      </c>
      <c r="G160" s="209">
        <f t="shared" si="18"/>
        <v>78223.3</v>
      </c>
      <c r="H160" s="428">
        <v>703.7</v>
      </c>
      <c r="I160" s="428">
        <f t="shared" si="16"/>
        <v>226991.30000000002</v>
      </c>
      <c r="K160" s="227"/>
    </row>
    <row r="161" spans="1:11" s="153" customFormat="1" ht="11.25" customHeight="1" x14ac:dyDescent="0.2">
      <c r="A161" s="304" t="s">
        <v>1404</v>
      </c>
      <c r="B161" s="304" t="s">
        <v>559</v>
      </c>
      <c r="C161" s="433">
        <v>164604.29999999999</v>
      </c>
      <c r="D161" s="433">
        <v>15161.7</v>
      </c>
      <c r="E161" s="433">
        <v>65190</v>
      </c>
      <c r="F161" s="433">
        <v>10206.200000000001</v>
      </c>
      <c r="G161" s="209">
        <f t="shared" si="18"/>
        <v>75396.2</v>
      </c>
      <c r="H161" s="433">
        <v>716.2</v>
      </c>
      <c r="I161" s="433">
        <f t="shared" si="16"/>
        <v>245672.2</v>
      </c>
      <c r="K161" s="227"/>
    </row>
    <row r="162" spans="1:11" s="153" customFormat="1" ht="11.25" customHeight="1" x14ac:dyDescent="0.2">
      <c r="A162" s="304" t="s">
        <v>1404</v>
      </c>
      <c r="B162" s="234" t="s">
        <v>550</v>
      </c>
      <c r="C162" s="428">
        <v>154287</v>
      </c>
      <c r="D162" s="428">
        <v>16100.1</v>
      </c>
      <c r="E162" s="428">
        <v>75012.100000000006</v>
      </c>
      <c r="F162" s="428">
        <v>11315.3</v>
      </c>
      <c r="G162" s="209">
        <f t="shared" si="18"/>
        <v>86327.400000000009</v>
      </c>
      <c r="H162" s="428">
        <v>788.5</v>
      </c>
      <c r="I162" s="428">
        <f t="shared" si="16"/>
        <v>246187.7</v>
      </c>
      <c r="K162" s="227"/>
    </row>
    <row r="163" spans="1:11" s="153" customFormat="1" ht="11.25" customHeight="1" x14ac:dyDescent="0.2">
      <c r="A163" s="304" t="s">
        <v>1484</v>
      </c>
      <c r="B163" s="304" t="s">
        <v>552</v>
      </c>
      <c r="C163" s="428">
        <v>157831.1</v>
      </c>
      <c r="D163" s="428">
        <v>14597.1</v>
      </c>
      <c r="E163" s="428">
        <v>70408.7</v>
      </c>
      <c r="F163" s="428">
        <v>10931.9</v>
      </c>
      <c r="G163" s="209">
        <f t="shared" si="18"/>
        <v>81340.599999999991</v>
      </c>
      <c r="H163" s="428">
        <v>716.7</v>
      </c>
      <c r="I163" s="428">
        <f t="shared" ref="I163:I174" si="19">C163+D163+E163+H163</f>
        <v>243553.60000000003</v>
      </c>
      <c r="K163" s="227"/>
    </row>
    <row r="164" spans="1:11" s="153" customFormat="1" ht="11.25" customHeight="1" x14ac:dyDescent="0.2">
      <c r="A164" s="304" t="s">
        <v>1484</v>
      </c>
      <c r="B164" s="234" t="s">
        <v>553</v>
      </c>
      <c r="C164" s="433">
        <v>165170.6</v>
      </c>
      <c r="D164" s="433">
        <v>14990.9</v>
      </c>
      <c r="E164" s="433">
        <v>70511.7</v>
      </c>
      <c r="F164" s="433">
        <v>12501.9</v>
      </c>
      <c r="G164" s="209">
        <f t="shared" si="18"/>
        <v>83013.599999999991</v>
      </c>
      <c r="H164" s="433">
        <v>714.8</v>
      </c>
      <c r="I164" s="433">
        <f t="shared" si="19"/>
        <v>251388</v>
      </c>
      <c r="K164" s="227"/>
    </row>
    <row r="165" spans="1:11" s="153" customFormat="1" ht="11.25" customHeight="1" x14ac:dyDescent="0.2">
      <c r="A165" s="304" t="s">
        <v>1484</v>
      </c>
      <c r="B165" s="304" t="s">
        <v>547</v>
      </c>
      <c r="C165" s="428">
        <v>157907.69999999998</v>
      </c>
      <c r="D165" s="428">
        <v>16039.1</v>
      </c>
      <c r="E165" s="428">
        <v>72508.3</v>
      </c>
      <c r="F165" s="428">
        <v>10441.299999999999</v>
      </c>
      <c r="G165" s="209">
        <f t="shared" si="18"/>
        <v>82949.600000000006</v>
      </c>
      <c r="H165" s="428">
        <v>732.9</v>
      </c>
      <c r="I165" s="428">
        <f t="shared" si="19"/>
        <v>247187.99999999997</v>
      </c>
      <c r="K165" s="227"/>
    </row>
    <row r="166" spans="1:11" s="153" customFormat="1" ht="11.25" customHeight="1" x14ac:dyDescent="0.2">
      <c r="A166" s="304" t="s">
        <v>1484</v>
      </c>
      <c r="B166" s="234" t="s">
        <v>554</v>
      </c>
      <c r="C166" s="433">
        <v>154827.70000000001</v>
      </c>
      <c r="D166" s="433">
        <v>13917.4</v>
      </c>
      <c r="E166" s="433">
        <v>81567.7</v>
      </c>
      <c r="F166" s="433">
        <v>10081.5</v>
      </c>
      <c r="G166" s="209">
        <f t="shared" si="18"/>
        <v>91649.2</v>
      </c>
      <c r="H166" s="433">
        <v>725.1</v>
      </c>
      <c r="I166" s="433">
        <f t="shared" si="19"/>
        <v>251037.9</v>
      </c>
      <c r="K166" s="227"/>
    </row>
    <row r="167" spans="1:11" s="153" customFormat="1" ht="11.25" customHeight="1" x14ac:dyDescent="0.2">
      <c r="A167" s="304" t="s">
        <v>1484</v>
      </c>
      <c r="B167" s="304" t="s">
        <v>555</v>
      </c>
      <c r="C167" s="428">
        <v>155253.6</v>
      </c>
      <c r="D167" s="428">
        <v>13746.7</v>
      </c>
      <c r="E167" s="428">
        <v>76451.100000000006</v>
      </c>
      <c r="F167" s="428">
        <v>10123.200000000001</v>
      </c>
      <c r="G167" s="209">
        <f t="shared" si="18"/>
        <v>86574.3</v>
      </c>
      <c r="H167" s="428">
        <v>735.5</v>
      </c>
      <c r="I167" s="428">
        <f t="shared" si="19"/>
        <v>246186.90000000002</v>
      </c>
      <c r="K167" s="227"/>
    </row>
    <row r="168" spans="1:11" s="153" customFormat="1" ht="11.25" customHeight="1" x14ac:dyDescent="0.2">
      <c r="A168" s="304" t="s">
        <v>1484</v>
      </c>
      <c r="B168" s="234" t="s">
        <v>548</v>
      </c>
      <c r="C168" s="433">
        <v>156583</v>
      </c>
      <c r="D168" s="433">
        <v>15348.5</v>
      </c>
      <c r="E168" s="433">
        <v>78107.899999999994</v>
      </c>
      <c r="F168" s="433">
        <v>11637.1</v>
      </c>
      <c r="G168" s="209">
        <f t="shared" si="18"/>
        <v>89745</v>
      </c>
      <c r="H168" s="433">
        <v>872.5</v>
      </c>
      <c r="I168" s="433">
        <f t="shared" si="19"/>
        <v>250911.9</v>
      </c>
      <c r="K168" s="227"/>
    </row>
    <row r="169" spans="1:11" s="153" customFormat="1" ht="11.25" customHeight="1" x14ac:dyDescent="0.2">
      <c r="A169" s="304" t="s">
        <v>1484</v>
      </c>
      <c r="B169" s="304" t="s">
        <v>556</v>
      </c>
      <c r="C169" s="428">
        <v>158917.6</v>
      </c>
      <c r="D169" s="428">
        <v>14434.7</v>
      </c>
      <c r="E169" s="428">
        <v>75102.600000000006</v>
      </c>
      <c r="F169" s="428">
        <v>12254.8</v>
      </c>
      <c r="G169" s="209">
        <f t="shared" si="18"/>
        <v>87357.400000000009</v>
      </c>
      <c r="H169" s="428">
        <v>746.7</v>
      </c>
      <c r="I169" s="428">
        <f t="shared" si="19"/>
        <v>249201.60000000003</v>
      </c>
      <c r="K169" s="227"/>
    </row>
    <row r="170" spans="1:11" s="153" customFormat="1" ht="11.25" customHeight="1" x14ac:dyDescent="0.2">
      <c r="A170" s="304" t="s">
        <v>1484</v>
      </c>
      <c r="B170" s="234" t="s">
        <v>557</v>
      </c>
      <c r="C170" s="433">
        <v>161820.5</v>
      </c>
      <c r="D170" s="433">
        <v>13402.1</v>
      </c>
      <c r="E170" s="433">
        <v>74986.5</v>
      </c>
      <c r="F170" s="433">
        <v>12539.4</v>
      </c>
      <c r="G170" s="209">
        <f t="shared" si="18"/>
        <v>87525.9</v>
      </c>
      <c r="H170" s="433">
        <v>779.5</v>
      </c>
      <c r="I170" s="433">
        <f t="shared" si="19"/>
        <v>250988.6</v>
      </c>
      <c r="K170" s="227"/>
    </row>
    <row r="171" spans="1:11" s="153" customFormat="1" ht="11.25" customHeight="1" x14ac:dyDescent="0.2">
      <c r="A171" s="304" t="s">
        <v>1484</v>
      </c>
      <c r="B171" s="304" t="s">
        <v>549</v>
      </c>
      <c r="C171" s="428">
        <v>173347.6</v>
      </c>
      <c r="D171" s="428">
        <v>18559.2</v>
      </c>
      <c r="E171" s="428">
        <v>80106.899999999994</v>
      </c>
      <c r="F171" s="428">
        <v>13401.4</v>
      </c>
      <c r="G171" s="209">
        <f t="shared" si="18"/>
        <v>93508.299999999988</v>
      </c>
      <c r="H171" s="428">
        <v>903.8</v>
      </c>
      <c r="I171" s="428">
        <f t="shared" si="19"/>
        <v>272917.5</v>
      </c>
      <c r="K171" s="227"/>
    </row>
    <row r="172" spans="1:11" s="153" customFormat="1" ht="11.25" customHeight="1" x14ac:dyDescent="0.2">
      <c r="A172" s="304" t="s">
        <v>1484</v>
      </c>
      <c r="B172" s="234" t="s">
        <v>558</v>
      </c>
      <c r="C172" s="433">
        <v>177621.5</v>
      </c>
      <c r="D172" s="433">
        <v>16085</v>
      </c>
      <c r="E172" s="433">
        <v>61727.8</v>
      </c>
      <c r="F172" s="433">
        <v>15165.5</v>
      </c>
      <c r="G172" s="209">
        <f t="shared" si="18"/>
        <v>76893.3</v>
      </c>
      <c r="H172" s="433">
        <v>897.69999999999993</v>
      </c>
      <c r="I172" s="433">
        <f t="shared" si="19"/>
        <v>256332</v>
      </c>
      <c r="K172" s="227"/>
    </row>
    <row r="173" spans="1:11" s="153" customFormat="1" ht="11.25" customHeight="1" x14ac:dyDescent="0.2">
      <c r="A173" s="304" t="s">
        <v>1484</v>
      </c>
      <c r="B173" s="304" t="s">
        <v>559</v>
      </c>
      <c r="C173" s="428">
        <v>193750.7</v>
      </c>
      <c r="D173" s="428">
        <v>17356.900000000001</v>
      </c>
      <c r="E173" s="428">
        <v>58346.1</v>
      </c>
      <c r="F173" s="428">
        <v>16579.900000000001</v>
      </c>
      <c r="G173" s="209">
        <f t="shared" si="18"/>
        <v>74926</v>
      </c>
      <c r="H173" s="428">
        <v>784.8</v>
      </c>
      <c r="I173" s="428">
        <f t="shared" si="19"/>
        <v>270238.5</v>
      </c>
      <c r="K173" s="227"/>
    </row>
    <row r="174" spans="1:11" s="153" customFormat="1" ht="11.25" customHeight="1" x14ac:dyDescent="0.2">
      <c r="A174" s="304" t="s">
        <v>1484</v>
      </c>
      <c r="B174" s="234" t="s">
        <v>550</v>
      </c>
      <c r="C174" s="433">
        <v>192114.5</v>
      </c>
      <c r="D174" s="433">
        <v>15979.6</v>
      </c>
      <c r="E174" s="433">
        <v>75768.3</v>
      </c>
      <c r="F174" s="433">
        <v>16308.2</v>
      </c>
      <c r="G174" s="209">
        <f t="shared" si="18"/>
        <v>92076.5</v>
      </c>
      <c r="H174" s="433">
        <v>621</v>
      </c>
      <c r="I174" s="433">
        <f t="shared" si="19"/>
        <v>284483.40000000002</v>
      </c>
      <c r="K174" s="227"/>
    </row>
    <row r="175" spans="1:11" s="153" customFormat="1" ht="11.25" customHeight="1" x14ac:dyDescent="0.2">
      <c r="A175" s="304" t="s">
        <v>1536</v>
      </c>
      <c r="B175" s="304" t="s">
        <v>552</v>
      </c>
      <c r="C175" s="433">
        <v>210983.80000000002</v>
      </c>
      <c r="D175" s="433">
        <v>13685.3</v>
      </c>
      <c r="E175" s="433">
        <v>66742.899999999994</v>
      </c>
      <c r="F175" s="433">
        <v>14881.5</v>
      </c>
      <c r="G175" s="209">
        <f t="shared" si="18"/>
        <v>81624.399999999994</v>
      </c>
      <c r="H175" s="433">
        <v>501.3</v>
      </c>
      <c r="I175" s="433">
        <f t="shared" ref="I175:I186" si="20">C175+D175+E175+H175</f>
        <v>291913.3</v>
      </c>
      <c r="K175" s="227"/>
    </row>
    <row r="176" spans="1:11" s="153" customFormat="1" ht="11.25" customHeight="1" x14ac:dyDescent="0.2">
      <c r="A176" s="304" t="s">
        <v>1536</v>
      </c>
      <c r="B176" s="234" t="s">
        <v>553</v>
      </c>
      <c r="C176" s="428">
        <v>193989.6</v>
      </c>
      <c r="D176" s="428">
        <v>17870.5</v>
      </c>
      <c r="E176" s="428">
        <v>69651</v>
      </c>
      <c r="F176" s="428">
        <v>16638.599999999999</v>
      </c>
      <c r="G176" s="209">
        <f t="shared" si="18"/>
        <v>86289.600000000006</v>
      </c>
      <c r="H176" s="428">
        <v>510.6</v>
      </c>
      <c r="I176" s="428">
        <f t="shared" si="20"/>
        <v>282021.69999999995</v>
      </c>
      <c r="K176" s="227"/>
    </row>
    <row r="177" spans="1:11" s="153" customFormat="1" ht="11.25" customHeight="1" x14ac:dyDescent="0.2">
      <c r="A177" s="304" t="s">
        <v>1536</v>
      </c>
      <c r="B177" s="304" t="s">
        <v>547</v>
      </c>
      <c r="C177" s="433">
        <v>189198</v>
      </c>
      <c r="D177" s="433">
        <v>16378.4</v>
      </c>
      <c r="E177" s="433">
        <v>74686.2</v>
      </c>
      <c r="F177" s="433">
        <v>17734.5</v>
      </c>
      <c r="G177" s="209">
        <f t="shared" si="18"/>
        <v>92420.7</v>
      </c>
      <c r="H177" s="433">
        <v>559</v>
      </c>
      <c r="I177" s="433">
        <f t="shared" si="20"/>
        <v>280821.59999999998</v>
      </c>
      <c r="K177" s="227"/>
    </row>
    <row r="178" spans="1:11" s="153" customFormat="1" ht="11.25" customHeight="1" x14ac:dyDescent="0.2">
      <c r="A178" s="304" t="s">
        <v>1536</v>
      </c>
      <c r="B178" s="234" t="s">
        <v>554</v>
      </c>
      <c r="C178" s="428">
        <v>188056.19999999998</v>
      </c>
      <c r="D178" s="428">
        <v>15750.7</v>
      </c>
      <c r="E178" s="428">
        <v>84813.1</v>
      </c>
      <c r="F178" s="428">
        <v>18753.400000000001</v>
      </c>
      <c r="G178" s="209">
        <f t="shared" si="18"/>
        <v>103566.5</v>
      </c>
      <c r="H178" s="428">
        <v>551.70000000000005</v>
      </c>
      <c r="I178" s="428">
        <f t="shared" si="20"/>
        <v>289171.7</v>
      </c>
      <c r="K178" s="227"/>
    </row>
    <row r="179" spans="1:11" s="153" customFormat="1" ht="11.25" customHeight="1" x14ac:dyDescent="0.2">
      <c r="A179" s="304" t="s">
        <v>1536</v>
      </c>
      <c r="B179" s="304" t="s">
        <v>555</v>
      </c>
      <c r="C179" s="433">
        <v>185436.9</v>
      </c>
      <c r="D179" s="433">
        <v>16571.099999999999</v>
      </c>
      <c r="E179" s="433">
        <v>94565.9</v>
      </c>
      <c r="F179" s="433">
        <v>19399.8</v>
      </c>
      <c r="G179" s="209">
        <f t="shared" si="18"/>
        <v>113965.7</v>
      </c>
      <c r="H179" s="433">
        <v>521.70000000000005</v>
      </c>
      <c r="I179" s="433">
        <f t="shared" si="20"/>
        <v>297095.60000000003</v>
      </c>
      <c r="K179" s="227"/>
    </row>
    <row r="180" spans="1:11" s="153" customFormat="1" ht="11.25" customHeight="1" x14ac:dyDescent="0.2">
      <c r="A180" s="304" t="s">
        <v>1536</v>
      </c>
      <c r="B180" s="234" t="s">
        <v>548</v>
      </c>
      <c r="C180" s="428">
        <v>187462.9</v>
      </c>
      <c r="D180" s="428">
        <v>15607.2</v>
      </c>
      <c r="E180" s="428">
        <v>100235</v>
      </c>
      <c r="F180" s="428">
        <v>15600.3</v>
      </c>
      <c r="G180" s="209">
        <f t="shared" si="18"/>
        <v>115835.3</v>
      </c>
      <c r="H180" s="428">
        <v>749.2</v>
      </c>
      <c r="I180" s="428">
        <f t="shared" si="20"/>
        <v>304054.3</v>
      </c>
      <c r="K180" s="227"/>
    </row>
    <row r="181" spans="1:11" s="153" customFormat="1" ht="11.25" customHeight="1" x14ac:dyDescent="0.2">
      <c r="A181" s="304" t="s">
        <v>1536</v>
      </c>
      <c r="B181" s="304" t="s">
        <v>556</v>
      </c>
      <c r="C181" s="433">
        <v>185741.90000000002</v>
      </c>
      <c r="D181" s="433">
        <v>17617.3</v>
      </c>
      <c r="E181" s="433">
        <v>97338.2</v>
      </c>
      <c r="F181" s="433">
        <v>15409</v>
      </c>
      <c r="G181" s="209">
        <f t="shared" si="18"/>
        <v>112747.2</v>
      </c>
      <c r="H181" s="433">
        <v>527.79999999999995</v>
      </c>
      <c r="I181" s="433">
        <f t="shared" si="20"/>
        <v>301225.2</v>
      </c>
      <c r="K181" s="227"/>
    </row>
    <row r="182" spans="1:11" s="153" customFormat="1" ht="11.25" customHeight="1" x14ac:dyDescent="0.2">
      <c r="A182" s="304" t="s">
        <v>1536</v>
      </c>
      <c r="B182" s="234" t="s">
        <v>557</v>
      </c>
      <c r="C182" s="428">
        <v>185332.8</v>
      </c>
      <c r="D182" s="428">
        <v>18049</v>
      </c>
      <c r="E182" s="428">
        <v>96552.9</v>
      </c>
      <c r="F182" s="428">
        <v>15607.5</v>
      </c>
      <c r="G182" s="209">
        <f t="shared" si="18"/>
        <v>112160.4</v>
      </c>
      <c r="H182" s="428">
        <v>558.70000000000005</v>
      </c>
      <c r="I182" s="428">
        <f t="shared" si="20"/>
        <v>300493.39999999997</v>
      </c>
      <c r="K182" s="227"/>
    </row>
    <row r="183" spans="1:11" s="153" customFormat="1" ht="11.25" customHeight="1" x14ac:dyDescent="0.2">
      <c r="A183" s="304" t="s">
        <v>1536</v>
      </c>
      <c r="B183" s="304" t="s">
        <v>549</v>
      </c>
      <c r="C183" s="433">
        <v>184216.3</v>
      </c>
      <c r="D183" s="433">
        <v>17663.5</v>
      </c>
      <c r="E183" s="433">
        <v>101175.8</v>
      </c>
      <c r="F183" s="433">
        <v>14169.2</v>
      </c>
      <c r="G183" s="209">
        <f t="shared" si="18"/>
        <v>115345</v>
      </c>
      <c r="H183" s="433">
        <v>605.6</v>
      </c>
      <c r="I183" s="433">
        <f t="shared" si="20"/>
        <v>303661.19999999995</v>
      </c>
      <c r="K183" s="227"/>
    </row>
    <row r="184" spans="1:11" s="153" customFormat="1" ht="11.25" customHeight="1" x14ac:dyDescent="0.2">
      <c r="A184" s="304" t="s">
        <v>1536</v>
      </c>
      <c r="B184" s="234" t="s">
        <v>558</v>
      </c>
      <c r="C184" s="428">
        <v>192410.9</v>
      </c>
      <c r="D184" s="428">
        <v>17780.2</v>
      </c>
      <c r="E184" s="428">
        <v>105302.39999999999</v>
      </c>
      <c r="F184" s="428">
        <v>13618.6</v>
      </c>
      <c r="G184" s="209">
        <f t="shared" si="18"/>
        <v>118921</v>
      </c>
      <c r="H184" s="428">
        <v>567.9</v>
      </c>
      <c r="I184" s="428">
        <f t="shared" si="20"/>
        <v>316061.40000000002</v>
      </c>
      <c r="K184" s="227"/>
    </row>
    <row r="185" spans="1:11" s="153" customFormat="1" ht="11.25" customHeight="1" x14ac:dyDescent="0.2">
      <c r="A185" s="304" t="s">
        <v>1536</v>
      </c>
      <c r="B185" s="304" t="s">
        <v>559</v>
      </c>
      <c r="C185" s="433">
        <v>201207.69999999998</v>
      </c>
      <c r="D185" s="433">
        <v>19647.099999999999</v>
      </c>
      <c r="E185" s="433">
        <v>106491.2</v>
      </c>
      <c r="F185" s="433">
        <v>13129.6</v>
      </c>
      <c r="G185" s="209">
        <f t="shared" si="18"/>
        <v>119620.8</v>
      </c>
      <c r="H185" s="433">
        <v>506.5</v>
      </c>
      <c r="I185" s="433">
        <f t="shared" si="20"/>
        <v>327852.5</v>
      </c>
      <c r="K185" s="227"/>
    </row>
    <row r="186" spans="1:11" s="153" customFormat="1" ht="11.25" customHeight="1" x14ac:dyDescent="0.2">
      <c r="A186" s="304" t="s">
        <v>1536</v>
      </c>
      <c r="B186" s="234" t="s">
        <v>550</v>
      </c>
      <c r="C186" s="428">
        <v>209517.7</v>
      </c>
      <c r="D186" s="428">
        <v>17370.599999999999</v>
      </c>
      <c r="E186" s="428">
        <v>120597</v>
      </c>
      <c r="F186" s="428">
        <v>11944.9</v>
      </c>
      <c r="G186" s="209">
        <f t="shared" si="18"/>
        <v>132541.9</v>
      </c>
      <c r="H186" s="428">
        <v>586.5</v>
      </c>
      <c r="I186" s="428">
        <f t="shared" si="20"/>
        <v>348071.80000000005</v>
      </c>
      <c r="K186" s="227"/>
    </row>
    <row r="187" spans="1:11" s="153" customFormat="1" ht="11.25" customHeight="1" x14ac:dyDescent="0.2">
      <c r="A187" s="304" t="s">
        <v>1817</v>
      </c>
      <c r="B187" s="304" t="s">
        <v>552</v>
      </c>
      <c r="C187" s="428">
        <v>227042.9</v>
      </c>
      <c r="D187" s="428">
        <v>19028.900000000001</v>
      </c>
      <c r="E187" s="428">
        <v>102910.1</v>
      </c>
      <c r="F187" s="428">
        <v>12171</v>
      </c>
      <c r="G187" s="209">
        <f t="shared" si="18"/>
        <v>115081.1</v>
      </c>
      <c r="H187" s="428">
        <v>569.29999999999995</v>
      </c>
      <c r="I187" s="428">
        <v>349551.2</v>
      </c>
      <c r="K187" s="227"/>
    </row>
    <row r="188" spans="1:11" s="153" customFormat="1" ht="11.25" customHeight="1" x14ac:dyDescent="0.2">
      <c r="A188" s="304" t="s">
        <v>1817</v>
      </c>
      <c r="B188" s="234" t="s">
        <v>553</v>
      </c>
      <c r="C188" s="428">
        <v>213520.7</v>
      </c>
      <c r="D188" s="428">
        <v>20154.900000000001</v>
      </c>
      <c r="E188" s="428">
        <v>91655.3</v>
      </c>
      <c r="F188" s="428">
        <v>10259.4</v>
      </c>
      <c r="G188" s="209">
        <f t="shared" si="18"/>
        <v>101914.7</v>
      </c>
      <c r="H188" s="428">
        <v>530.1</v>
      </c>
      <c r="I188" s="428">
        <v>325861</v>
      </c>
      <c r="K188" s="227"/>
    </row>
    <row r="189" spans="1:11" s="153" customFormat="1" ht="11.25" customHeight="1" x14ac:dyDescent="0.2">
      <c r="A189" s="304" t="s">
        <v>1817</v>
      </c>
      <c r="B189" s="304" t="s">
        <v>547</v>
      </c>
      <c r="C189" s="428">
        <v>209618.4</v>
      </c>
      <c r="D189" s="428">
        <v>18053.3</v>
      </c>
      <c r="E189" s="428">
        <v>95141.5</v>
      </c>
      <c r="F189" s="428">
        <v>10212.9</v>
      </c>
      <c r="G189" s="209">
        <f t="shared" si="18"/>
        <v>105354.4</v>
      </c>
      <c r="H189" s="428">
        <v>521.1</v>
      </c>
      <c r="I189" s="428">
        <v>323334.29999999993</v>
      </c>
      <c r="K189" s="227"/>
    </row>
    <row r="190" spans="1:11" s="153" customFormat="1" ht="11.25" customHeight="1" x14ac:dyDescent="0.2">
      <c r="A190" s="304" t="s">
        <v>1817</v>
      </c>
      <c r="B190" s="234" t="s">
        <v>554</v>
      </c>
      <c r="C190" s="428">
        <v>205895.2</v>
      </c>
      <c r="D190" s="428">
        <v>19832.5</v>
      </c>
      <c r="E190" s="428">
        <v>93727.7</v>
      </c>
      <c r="F190" s="428">
        <v>9120.9</v>
      </c>
      <c r="G190" s="209">
        <f t="shared" si="18"/>
        <v>102848.59999999999</v>
      </c>
      <c r="H190" s="428">
        <v>502.8</v>
      </c>
      <c r="I190" s="428">
        <v>319958.2</v>
      </c>
      <c r="K190" s="227"/>
    </row>
    <row r="191" spans="1:11" s="153" customFormat="1" ht="11.25" customHeight="1" x14ac:dyDescent="0.2">
      <c r="A191" s="304" t="s">
        <v>1817</v>
      </c>
      <c r="B191" s="304" t="s">
        <v>555</v>
      </c>
      <c r="C191" s="428">
        <v>208296.4</v>
      </c>
      <c r="D191" s="428">
        <v>18720.7</v>
      </c>
      <c r="E191" s="428">
        <v>104974.3</v>
      </c>
      <c r="F191" s="428">
        <v>7390.7</v>
      </c>
      <c r="G191" s="209">
        <f t="shared" si="18"/>
        <v>112365</v>
      </c>
      <c r="H191" s="428">
        <v>497.4</v>
      </c>
      <c r="I191" s="428">
        <v>332488.80000000005</v>
      </c>
      <c r="K191" s="227"/>
    </row>
    <row r="192" spans="1:11" s="153" customFormat="1" ht="11.25" customHeight="1" x14ac:dyDescent="0.2">
      <c r="A192" s="304" t="s">
        <v>1817</v>
      </c>
      <c r="B192" s="234" t="s">
        <v>548</v>
      </c>
      <c r="C192" s="428">
        <v>210723.1</v>
      </c>
      <c r="D192" s="428">
        <v>18765.099999999999</v>
      </c>
      <c r="E192" s="428">
        <v>93608.8</v>
      </c>
      <c r="F192" s="428">
        <v>7456</v>
      </c>
      <c r="G192" s="209">
        <f t="shared" si="18"/>
        <v>101064.8</v>
      </c>
      <c r="H192" s="428">
        <v>569.29999999999995</v>
      </c>
      <c r="I192" s="428">
        <v>323666.3</v>
      </c>
      <c r="K192" s="227"/>
    </row>
    <row r="193" spans="1:11" s="153" customFormat="1" ht="11.25" customHeight="1" x14ac:dyDescent="0.2">
      <c r="A193" s="304" t="s">
        <v>1817</v>
      </c>
      <c r="B193" s="304" t="s">
        <v>556</v>
      </c>
      <c r="C193" s="428">
        <v>211777.2</v>
      </c>
      <c r="D193" s="428">
        <v>19620.8</v>
      </c>
      <c r="E193" s="428">
        <v>91311.7</v>
      </c>
      <c r="F193" s="428">
        <v>8370.4</v>
      </c>
      <c r="G193" s="209">
        <f t="shared" si="18"/>
        <v>99682.099999999991</v>
      </c>
      <c r="H193" s="428">
        <v>589.19999999999993</v>
      </c>
      <c r="I193" s="428">
        <v>323298.90000000002</v>
      </c>
      <c r="K193" s="227"/>
    </row>
    <row r="194" spans="1:11" s="153" customFormat="1" ht="11.25" customHeight="1" x14ac:dyDescent="0.2">
      <c r="A194" s="304" t="s">
        <v>1817</v>
      </c>
      <c r="B194" s="234" t="s">
        <v>557</v>
      </c>
      <c r="C194" s="428">
        <v>212270.2</v>
      </c>
      <c r="D194" s="428">
        <v>20604.400000000001</v>
      </c>
      <c r="E194" s="428">
        <v>88916.7</v>
      </c>
      <c r="F194" s="428">
        <v>7672.7</v>
      </c>
      <c r="G194" s="209">
        <f t="shared" si="18"/>
        <v>96589.4</v>
      </c>
      <c r="H194" s="428">
        <v>493.8</v>
      </c>
      <c r="I194" s="428">
        <v>322285.09999999998</v>
      </c>
      <c r="K194" s="227"/>
    </row>
    <row r="195" spans="1:11" s="153" customFormat="1" ht="11.25" customHeight="1" x14ac:dyDescent="0.2">
      <c r="A195" s="304" t="s">
        <v>1817</v>
      </c>
      <c r="B195" s="304" t="s">
        <v>549</v>
      </c>
      <c r="C195" s="428">
        <v>212686.7</v>
      </c>
      <c r="D195" s="428">
        <v>19237.099999999999</v>
      </c>
      <c r="E195" s="428">
        <v>88694</v>
      </c>
      <c r="F195" s="428">
        <v>7866.5</v>
      </c>
      <c r="G195" s="209">
        <f t="shared" si="18"/>
        <v>96560.5</v>
      </c>
      <c r="H195" s="428">
        <v>538.4</v>
      </c>
      <c r="I195" s="428">
        <v>321156.20000000007</v>
      </c>
      <c r="K195" s="227"/>
    </row>
    <row r="196" spans="1:11" s="153" customFormat="1" ht="11.25" customHeight="1" x14ac:dyDescent="0.2">
      <c r="A196" s="304" t="s">
        <v>1817</v>
      </c>
      <c r="B196" s="234" t="s">
        <v>558</v>
      </c>
      <c r="C196" s="428">
        <v>236791.9</v>
      </c>
      <c r="D196" s="428">
        <v>18973.400000000001</v>
      </c>
      <c r="E196" s="428">
        <v>83495.5</v>
      </c>
      <c r="F196" s="428">
        <v>8004.6</v>
      </c>
      <c r="G196" s="209">
        <f t="shared" si="18"/>
        <v>91500.1</v>
      </c>
      <c r="H196" s="428">
        <v>528.5</v>
      </c>
      <c r="I196" s="428">
        <v>339789.3</v>
      </c>
      <c r="K196" s="227"/>
    </row>
    <row r="197" spans="1:11" s="153" customFormat="1" ht="11.25" customHeight="1" x14ac:dyDescent="0.2">
      <c r="A197" s="304" t="s">
        <v>1817</v>
      </c>
      <c r="B197" s="304" t="s">
        <v>559</v>
      </c>
      <c r="C197" s="428">
        <v>225148.1</v>
      </c>
      <c r="D197" s="428">
        <v>20187.3</v>
      </c>
      <c r="E197" s="428">
        <v>84949.8</v>
      </c>
      <c r="F197" s="428">
        <v>7882.2</v>
      </c>
      <c r="G197" s="209">
        <f t="shared" si="18"/>
        <v>92832</v>
      </c>
      <c r="H197" s="428">
        <v>544.20000000000005</v>
      </c>
      <c r="I197" s="428">
        <v>330829.40000000002</v>
      </c>
      <c r="K197" s="227"/>
    </row>
    <row r="198" spans="1:11" s="153" customFormat="1" ht="11.25" customHeight="1" x14ac:dyDescent="0.2">
      <c r="A198" s="304" t="s">
        <v>1817</v>
      </c>
      <c r="B198" s="234" t="s">
        <v>550</v>
      </c>
      <c r="C198" s="428">
        <v>236448.9</v>
      </c>
      <c r="D198" s="428">
        <v>19733.8</v>
      </c>
      <c r="E198" s="428">
        <v>90382.9</v>
      </c>
      <c r="F198" s="428">
        <v>7819.1</v>
      </c>
      <c r="G198" s="209">
        <f t="shared" si="18"/>
        <v>98202</v>
      </c>
      <c r="H198" s="428">
        <v>596.4</v>
      </c>
      <c r="I198" s="428">
        <v>347162</v>
      </c>
      <c r="K198" s="227"/>
    </row>
    <row r="199" spans="1:11" s="153" customFormat="1" ht="11.25" customHeight="1" x14ac:dyDescent="0.2">
      <c r="A199" s="304" t="s">
        <v>2066</v>
      </c>
      <c r="B199" s="304" t="s">
        <v>552</v>
      </c>
      <c r="C199" s="428">
        <v>242026.2</v>
      </c>
      <c r="D199" s="428">
        <v>22577.3</v>
      </c>
      <c r="E199" s="428">
        <v>79692.100000000006</v>
      </c>
      <c r="F199" s="428">
        <v>7897.6</v>
      </c>
      <c r="G199" s="209">
        <f t="shared" si="18"/>
        <v>87589.700000000012</v>
      </c>
      <c r="H199" s="428">
        <v>635.4</v>
      </c>
      <c r="I199" s="428">
        <v>344931</v>
      </c>
      <c r="K199" s="227"/>
    </row>
    <row r="200" spans="1:11" s="153" customFormat="1" ht="11.25" customHeight="1" x14ac:dyDescent="0.2">
      <c r="A200" s="304" t="s">
        <v>2066</v>
      </c>
      <c r="B200" s="234" t="s">
        <v>553</v>
      </c>
      <c r="C200" s="428">
        <v>241876.3</v>
      </c>
      <c r="D200" s="428">
        <v>21036.7</v>
      </c>
      <c r="E200" s="428">
        <v>77780</v>
      </c>
      <c r="F200" s="428">
        <v>9432.9</v>
      </c>
      <c r="G200" s="209">
        <f t="shared" si="18"/>
        <v>87212.9</v>
      </c>
      <c r="H200" s="428">
        <v>643.5</v>
      </c>
      <c r="I200" s="428">
        <v>341336.5</v>
      </c>
      <c r="K200" s="227"/>
    </row>
    <row r="201" spans="1:11" s="153" customFormat="1" ht="11.25" customHeight="1" x14ac:dyDescent="0.2">
      <c r="A201" s="304" t="s">
        <v>2066</v>
      </c>
      <c r="B201" s="304" t="s">
        <v>547</v>
      </c>
      <c r="C201" s="428">
        <v>239998.2</v>
      </c>
      <c r="D201" s="428">
        <v>21638.5</v>
      </c>
      <c r="E201" s="428">
        <v>77791.399999999994</v>
      </c>
      <c r="F201" s="428">
        <v>9161.6</v>
      </c>
      <c r="G201" s="209">
        <f t="shared" si="18"/>
        <v>86953</v>
      </c>
      <c r="H201" s="428">
        <v>652.30000000000007</v>
      </c>
      <c r="I201" s="428">
        <v>340080.39999999997</v>
      </c>
      <c r="K201" s="227"/>
    </row>
    <row r="202" spans="1:11" s="153" customFormat="1" ht="11.25" customHeight="1" x14ac:dyDescent="0.2">
      <c r="A202" s="304" t="s">
        <v>2066</v>
      </c>
      <c r="B202" s="234" t="s">
        <v>554</v>
      </c>
      <c r="C202" s="428">
        <v>236114.2</v>
      </c>
      <c r="D202" s="428">
        <v>21959</v>
      </c>
      <c r="E202" s="428">
        <v>76791.7</v>
      </c>
      <c r="F202" s="428">
        <v>8451.1</v>
      </c>
      <c r="G202" s="209">
        <f t="shared" si="18"/>
        <v>85242.8</v>
      </c>
      <c r="H202" s="428">
        <v>611.70000000000005</v>
      </c>
      <c r="I202" s="428">
        <v>335476.60000000003</v>
      </c>
      <c r="K202" s="227"/>
    </row>
    <row r="203" spans="1:11" s="153" customFormat="1" ht="11.25" customHeight="1" x14ac:dyDescent="0.2">
      <c r="A203" s="304" t="s">
        <v>2066</v>
      </c>
      <c r="B203" s="304" t="s">
        <v>555</v>
      </c>
      <c r="C203" s="428">
        <v>252982</v>
      </c>
      <c r="D203" s="428">
        <v>21617.5</v>
      </c>
      <c r="E203" s="428">
        <v>71164</v>
      </c>
      <c r="F203" s="428">
        <v>7515</v>
      </c>
      <c r="G203" s="209">
        <f t="shared" si="18"/>
        <v>78679</v>
      </c>
      <c r="H203" s="428">
        <v>602.29999999999995</v>
      </c>
      <c r="I203" s="428">
        <v>346365.8</v>
      </c>
      <c r="K203" s="227"/>
    </row>
    <row r="204" spans="1:11" s="153" customFormat="1" ht="11.25" customHeight="1" x14ac:dyDescent="0.2">
      <c r="A204" s="304" t="s">
        <v>2066</v>
      </c>
      <c r="B204" s="234" t="s">
        <v>548</v>
      </c>
      <c r="C204" s="428">
        <v>268181.5</v>
      </c>
      <c r="D204" s="428">
        <v>24182</v>
      </c>
      <c r="E204" s="428">
        <v>87030.2</v>
      </c>
      <c r="F204" s="428">
        <v>8573.2999999999993</v>
      </c>
      <c r="G204" s="209">
        <f t="shared" si="18"/>
        <v>95603.5</v>
      </c>
      <c r="H204" s="428">
        <v>618</v>
      </c>
      <c r="I204" s="428">
        <v>380011.7</v>
      </c>
      <c r="K204" s="227"/>
    </row>
    <row r="205" spans="1:11" s="153" customFormat="1" ht="11.25" customHeight="1" x14ac:dyDescent="0.2">
      <c r="A205" s="304" t="s">
        <v>2066</v>
      </c>
      <c r="B205" s="304" t="s">
        <v>556</v>
      </c>
      <c r="C205" s="428">
        <v>262992.8</v>
      </c>
      <c r="D205" s="428">
        <v>24150.5</v>
      </c>
      <c r="E205" s="428">
        <v>64970.5</v>
      </c>
      <c r="F205" s="428">
        <v>8834.4</v>
      </c>
      <c r="G205" s="209">
        <f t="shared" si="18"/>
        <v>73804.899999999994</v>
      </c>
      <c r="H205" s="428">
        <v>676.5</v>
      </c>
      <c r="I205" s="428">
        <v>352790.3</v>
      </c>
      <c r="K205" s="227"/>
    </row>
    <row r="206" spans="1:11" s="153" customFormat="1" ht="11.25" customHeight="1" x14ac:dyDescent="0.2">
      <c r="A206" s="304" t="s">
        <v>2066</v>
      </c>
      <c r="B206" s="234" t="s">
        <v>557</v>
      </c>
      <c r="C206" s="428">
        <v>257667.6</v>
      </c>
      <c r="D206" s="428">
        <v>24827.200000000001</v>
      </c>
      <c r="E206" s="428">
        <v>67254.8</v>
      </c>
      <c r="F206" s="428">
        <v>9564.9</v>
      </c>
      <c r="G206" s="209">
        <f t="shared" si="18"/>
        <v>76819.7</v>
      </c>
      <c r="H206" s="428">
        <v>597.29999999999995</v>
      </c>
      <c r="I206" s="428">
        <v>350346.89999999997</v>
      </c>
      <c r="K206" s="227"/>
    </row>
    <row r="207" spans="1:11" s="153" customFormat="1" ht="11.25" customHeight="1" x14ac:dyDescent="0.2">
      <c r="A207" s="304" t="s">
        <v>2066</v>
      </c>
      <c r="B207" s="304" t="s">
        <v>549</v>
      </c>
      <c r="C207" s="428">
        <v>254668.6</v>
      </c>
      <c r="D207" s="428">
        <v>24292.7</v>
      </c>
      <c r="E207" s="428">
        <v>65945.399999999994</v>
      </c>
      <c r="F207" s="428">
        <v>10934.6</v>
      </c>
      <c r="G207" s="209">
        <f t="shared" si="18"/>
        <v>76880</v>
      </c>
      <c r="H207" s="428">
        <v>695.1</v>
      </c>
      <c r="I207" s="428">
        <v>345601.79999999993</v>
      </c>
      <c r="K207" s="227"/>
    </row>
    <row r="208" spans="1:11" s="153" customFormat="1" ht="11.25" customHeight="1" x14ac:dyDescent="0.2">
      <c r="A208" s="304" t="s">
        <v>2066</v>
      </c>
      <c r="B208" s="234" t="s">
        <v>558</v>
      </c>
      <c r="C208" s="428">
        <v>263373.59999999998</v>
      </c>
      <c r="D208" s="428">
        <v>28274.7</v>
      </c>
      <c r="E208" s="428">
        <v>65344.9</v>
      </c>
      <c r="F208" s="428">
        <v>9665.1</v>
      </c>
      <c r="G208" s="209">
        <f t="shared" si="18"/>
        <v>75010</v>
      </c>
      <c r="H208" s="428">
        <v>619.1</v>
      </c>
      <c r="I208" s="428">
        <v>357612.3</v>
      </c>
      <c r="K208" s="227"/>
    </row>
    <row r="209" spans="1:11" s="153" customFormat="1" ht="11.25" customHeight="1" x14ac:dyDescent="0.2">
      <c r="A209" s="304" t="s">
        <v>2066</v>
      </c>
      <c r="B209" s="304" t="s">
        <v>559</v>
      </c>
      <c r="C209" s="428">
        <v>255829.9</v>
      </c>
      <c r="D209" s="428">
        <v>24171.599999999999</v>
      </c>
      <c r="E209" s="428">
        <v>67687.199999999997</v>
      </c>
      <c r="F209" s="428">
        <v>9232.4</v>
      </c>
      <c r="G209" s="209">
        <f t="shared" si="18"/>
        <v>76919.599999999991</v>
      </c>
      <c r="H209" s="428">
        <v>580</v>
      </c>
      <c r="I209" s="428">
        <v>348268.7</v>
      </c>
      <c r="K209" s="227"/>
    </row>
    <row r="210" spans="1:11" s="153" customFormat="1" ht="11.25" customHeight="1" x14ac:dyDescent="0.2">
      <c r="A210" s="304" t="s">
        <v>2066</v>
      </c>
      <c r="B210" s="234" t="s">
        <v>550</v>
      </c>
      <c r="C210" s="428">
        <v>291913.5</v>
      </c>
      <c r="D210" s="428">
        <v>20034.3</v>
      </c>
      <c r="E210" s="428">
        <v>70967.3</v>
      </c>
      <c r="F210" s="428">
        <v>13264.7</v>
      </c>
      <c r="G210" s="209">
        <f t="shared" si="18"/>
        <v>84232</v>
      </c>
      <c r="H210" s="428">
        <v>670.1</v>
      </c>
      <c r="I210" s="428">
        <v>383585.19999999995</v>
      </c>
      <c r="K210" s="227"/>
    </row>
    <row r="211" spans="1:11" s="153" customFormat="1" ht="11.25" customHeight="1" x14ac:dyDescent="0.2">
      <c r="A211" s="1676" t="s">
        <v>2206</v>
      </c>
      <c r="B211" s="304" t="s">
        <v>552</v>
      </c>
      <c r="C211" s="428">
        <v>266354.59999999998</v>
      </c>
      <c r="D211" s="428">
        <v>26179.4</v>
      </c>
      <c r="E211" s="428">
        <v>72221</v>
      </c>
      <c r="F211" s="428">
        <v>11570.7</v>
      </c>
      <c r="G211" s="209">
        <f t="shared" si="18"/>
        <v>83791.7</v>
      </c>
      <c r="H211" s="428">
        <v>904.6</v>
      </c>
      <c r="I211" s="428">
        <f t="shared" ref="I211:I242" si="21">C211+D211+E211+H211</f>
        <v>365659.6</v>
      </c>
      <c r="K211" s="227"/>
    </row>
    <row r="212" spans="1:11" s="153" customFormat="1" ht="11.25" customHeight="1" x14ac:dyDescent="0.2">
      <c r="A212" s="1676" t="s">
        <v>2206</v>
      </c>
      <c r="B212" s="234" t="s">
        <v>553</v>
      </c>
      <c r="C212" s="433">
        <v>258356.3</v>
      </c>
      <c r="D212" s="433">
        <v>24130.7</v>
      </c>
      <c r="E212" s="433">
        <v>67888.5</v>
      </c>
      <c r="F212" s="433">
        <v>12028.9</v>
      </c>
      <c r="G212" s="209">
        <f t="shared" si="18"/>
        <v>79917.399999999994</v>
      </c>
      <c r="H212" s="433">
        <v>833.1</v>
      </c>
      <c r="I212" s="433">
        <f t="shared" si="21"/>
        <v>351208.6</v>
      </c>
      <c r="K212" s="227"/>
    </row>
    <row r="213" spans="1:11" s="153" customFormat="1" ht="11.25" customHeight="1" x14ac:dyDescent="0.2">
      <c r="A213" s="1676" t="s">
        <v>2206</v>
      </c>
      <c r="B213" s="304" t="s">
        <v>547</v>
      </c>
      <c r="C213" s="428">
        <v>253505.4</v>
      </c>
      <c r="D213" s="428">
        <v>23807.4</v>
      </c>
      <c r="E213" s="428">
        <v>66319.899999999994</v>
      </c>
      <c r="F213" s="428">
        <v>10463.799999999999</v>
      </c>
      <c r="G213" s="209">
        <f t="shared" si="18"/>
        <v>76783.7</v>
      </c>
      <c r="H213" s="428">
        <v>601.20000000000005</v>
      </c>
      <c r="I213" s="428">
        <f t="shared" si="21"/>
        <v>344233.89999999997</v>
      </c>
      <c r="K213" s="227"/>
    </row>
    <row r="214" spans="1:11" s="153" customFormat="1" ht="11.25" customHeight="1" x14ac:dyDescent="0.2">
      <c r="A214" s="1676" t="s">
        <v>2206</v>
      </c>
      <c r="B214" s="234" t="s">
        <v>554</v>
      </c>
      <c r="C214" s="433">
        <v>245943.9</v>
      </c>
      <c r="D214" s="433">
        <v>27093.3</v>
      </c>
      <c r="E214" s="433">
        <v>66401.8</v>
      </c>
      <c r="F214" s="433">
        <v>11125.6</v>
      </c>
      <c r="G214" s="209">
        <f t="shared" si="18"/>
        <v>77527.400000000009</v>
      </c>
      <c r="H214" s="433">
        <v>519.4</v>
      </c>
      <c r="I214" s="433">
        <f t="shared" si="21"/>
        <v>339958.4</v>
      </c>
      <c r="K214" s="227"/>
    </row>
    <row r="215" spans="1:11" s="153" customFormat="1" ht="11.25" customHeight="1" x14ac:dyDescent="0.2">
      <c r="A215" s="1676" t="s">
        <v>2206</v>
      </c>
      <c r="B215" s="304" t="s">
        <v>555</v>
      </c>
      <c r="C215" s="428">
        <v>248441.7</v>
      </c>
      <c r="D215" s="428">
        <v>26069.5</v>
      </c>
      <c r="E215" s="428">
        <v>65364.1</v>
      </c>
      <c r="F215" s="428">
        <v>10508.4</v>
      </c>
      <c r="G215" s="209">
        <f t="shared" si="18"/>
        <v>75872.5</v>
      </c>
      <c r="H215" s="428">
        <v>494.9</v>
      </c>
      <c r="I215" s="428">
        <f t="shared" si="21"/>
        <v>340370.2</v>
      </c>
      <c r="K215" s="227"/>
    </row>
    <row r="216" spans="1:11" s="153" customFormat="1" ht="11.25" customHeight="1" x14ac:dyDescent="0.2">
      <c r="A216" s="1676" t="s">
        <v>2206</v>
      </c>
      <c r="B216" s="234" t="s">
        <v>548</v>
      </c>
      <c r="C216" s="433">
        <v>254860.2</v>
      </c>
      <c r="D216" s="433">
        <v>24790.1</v>
      </c>
      <c r="E216" s="433">
        <v>92122.4</v>
      </c>
      <c r="F216" s="433">
        <v>10726.4</v>
      </c>
      <c r="G216" s="209">
        <f t="shared" si="18"/>
        <v>102848.79999999999</v>
      </c>
      <c r="H216" s="433">
        <v>542.9</v>
      </c>
      <c r="I216" s="433">
        <f t="shared" si="21"/>
        <v>372315.6</v>
      </c>
      <c r="K216" s="227"/>
    </row>
    <row r="217" spans="1:11" s="153" customFormat="1" ht="11.25" customHeight="1" x14ac:dyDescent="0.2">
      <c r="A217" s="1676" t="s">
        <v>2206</v>
      </c>
      <c r="B217" s="304" t="s">
        <v>556</v>
      </c>
      <c r="C217" s="428">
        <v>257295.3</v>
      </c>
      <c r="D217" s="428">
        <v>25194.799999999999</v>
      </c>
      <c r="E217" s="428">
        <v>64338.1</v>
      </c>
      <c r="F217" s="428">
        <v>11772.8</v>
      </c>
      <c r="G217" s="209">
        <f t="shared" si="18"/>
        <v>76110.899999999994</v>
      </c>
      <c r="H217" s="428">
        <v>537.5</v>
      </c>
      <c r="I217" s="428">
        <f t="shared" si="21"/>
        <v>347365.69999999995</v>
      </c>
      <c r="K217" s="227"/>
    </row>
    <row r="218" spans="1:11" s="153" customFormat="1" ht="11.25" customHeight="1" x14ac:dyDescent="0.2">
      <c r="A218" s="1676" t="s">
        <v>2206</v>
      </c>
      <c r="B218" s="234" t="s">
        <v>557</v>
      </c>
      <c r="C218" s="433">
        <v>257574.5</v>
      </c>
      <c r="D218" s="433">
        <v>26846.400000000001</v>
      </c>
      <c r="E218" s="433">
        <v>67855.600000000006</v>
      </c>
      <c r="F218" s="433">
        <v>11695.6</v>
      </c>
      <c r="G218" s="209">
        <f t="shared" si="18"/>
        <v>79551.200000000012</v>
      </c>
      <c r="H218" s="433">
        <v>581.79999999999995</v>
      </c>
      <c r="I218" s="433">
        <f t="shared" si="21"/>
        <v>352858.3</v>
      </c>
      <c r="K218" s="227"/>
    </row>
    <row r="219" spans="1:11" s="153" customFormat="1" ht="11.25" customHeight="1" x14ac:dyDescent="0.2">
      <c r="A219" s="1676" t="s">
        <v>2206</v>
      </c>
      <c r="B219" s="304" t="s">
        <v>549</v>
      </c>
      <c r="C219" s="428">
        <v>261195.3</v>
      </c>
      <c r="D219" s="428">
        <v>29994</v>
      </c>
      <c r="E219" s="428">
        <v>65046.2</v>
      </c>
      <c r="F219" s="428">
        <v>9764.9</v>
      </c>
      <c r="G219" s="209">
        <f t="shared" ref="G219:G242" si="22">E219+F219</f>
        <v>74811.099999999991</v>
      </c>
      <c r="H219" s="428">
        <v>553.70000000000005</v>
      </c>
      <c r="I219" s="428">
        <f t="shared" si="21"/>
        <v>356789.2</v>
      </c>
      <c r="K219" s="227"/>
    </row>
    <row r="220" spans="1:11" s="153" customFormat="1" ht="11.25" customHeight="1" x14ac:dyDescent="0.2">
      <c r="A220" s="1676" t="s">
        <v>2206</v>
      </c>
      <c r="B220" s="234" t="s">
        <v>558</v>
      </c>
      <c r="C220" s="433">
        <v>264349.3</v>
      </c>
      <c r="D220" s="433">
        <v>26460.1</v>
      </c>
      <c r="E220" s="433">
        <v>65357</v>
      </c>
      <c r="F220" s="433">
        <v>10790.8</v>
      </c>
      <c r="G220" s="209">
        <f t="shared" si="22"/>
        <v>76147.8</v>
      </c>
      <c r="H220" s="433">
        <v>543.79999999999995</v>
      </c>
      <c r="I220" s="433">
        <f t="shared" si="21"/>
        <v>356710.19999999995</v>
      </c>
      <c r="K220" s="227"/>
    </row>
    <row r="221" spans="1:11" s="153" customFormat="1" ht="11.25" customHeight="1" x14ac:dyDescent="0.2">
      <c r="A221" s="1676" t="s">
        <v>2206</v>
      </c>
      <c r="B221" s="304" t="s">
        <v>559</v>
      </c>
      <c r="C221" s="428">
        <v>270658.90000000002</v>
      </c>
      <c r="D221" s="428">
        <v>23424.1</v>
      </c>
      <c r="E221" s="428">
        <v>66131.5</v>
      </c>
      <c r="F221" s="428">
        <v>10892.8</v>
      </c>
      <c r="G221" s="209">
        <f t="shared" si="22"/>
        <v>77024.3</v>
      </c>
      <c r="H221" s="428">
        <v>537.20000000000005</v>
      </c>
      <c r="I221" s="428">
        <f t="shared" si="21"/>
        <v>360751.7</v>
      </c>
      <c r="K221" s="227"/>
    </row>
    <row r="222" spans="1:11" s="153" customFormat="1" ht="11.25" customHeight="1" x14ac:dyDescent="0.2">
      <c r="A222" s="1676" t="s">
        <v>2206</v>
      </c>
      <c r="B222" s="234" t="s">
        <v>550</v>
      </c>
      <c r="C222" s="433">
        <v>290436.5</v>
      </c>
      <c r="D222" s="433">
        <v>29872.400000000001</v>
      </c>
      <c r="E222" s="433">
        <v>92765.1</v>
      </c>
      <c r="F222" s="433">
        <v>14339.5</v>
      </c>
      <c r="G222" s="209">
        <f t="shared" si="22"/>
        <v>107104.6</v>
      </c>
      <c r="H222" s="433">
        <v>573</v>
      </c>
      <c r="I222" s="433">
        <f t="shared" si="21"/>
        <v>413647</v>
      </c>
      <c r="J222" s="667"/>
      <c r="K222" s="227"/>
    </row>
    <row r="223" spans="1:11" s="153" customFormat="1" ht="11.25" customHeight="1" x14ac:dyDescent="0.2">
      <c r="A223" s="304" t="s">
        <v>2596</v>
      </c>
      <c r="B223" s="234" t="s">
        <v>552</v>
      </c>
      <c r="C223" s="433">
        <v>291630.40000000002</v>
      </c>
      <c r="D223" s="433">
        <v>24269.1</v>
      </c>
      <c r="E223" s="433">
        <v>72850.399999999994</v>
      </c>
      <c r="F223" s="433">
        <v>16224</v>
      </c>
      <c r="G223" s="209">
        <f t="shared" si="22"/>
        <v>89074.4</v>
      </c>
      <c r="H223" s="433">
        <v>567.20000000000005</v>
      </c>
      <c r="I223" s="433">
        <f t="shared" si="21"/>
        <v>389317.10000000003</v>
      </c>
      <c r="K223" s="227"/>
    </row>
    <row r="224" spans="1:11" s="153" customFormat="1" ht="11.25" customHeight="1" x14ac:dyDescent="0.2">
      <c r="A224" s="304" t="s">
        <v>2596</v>
      </c>
      <c r="B224" s="304" t="s">
        <v>553</v>
      </c>
      <c r="C224" s="428">
        <v>292434.40000000002</v>
      </c>
      <c r="D224" s="428">
        <v>26278.5</v>
      </c>
      <c r="E224" s="428">
        <v>66454</v>
      </c>
      <c r="F224" s="428">
        <v>12150.4</v>
      </c>
      <c r="G224" s="209">
        <f t="shared" si="22"/>
        <v>78604.399999999994</v>
      </c>
      <c r="H224" s="428">
        <v>629.70000000000005</v>
      </c>
      <c r="I224" s="428">
        <f t="shared" si="21"/>
        <v>385796.60000000003</v>
      </c>
      <c r="K224" s="227"/>
    </row>
    <row r="225" spans="1:11" s="153" customFormat="1" ht="11.25" customHeight="1" x14ac:dyDescent="0.2">
      <c r="A225" s="304" t="s">
        <v>2596</v>
      </c>
      <c r="B225" s="234" t="s">
        <v>547</v>
      </c>
      <c r="C225" s="433">
        <v>283553.40000000002</v>
      </c>
      <c r="D225" s="433">
        <v>27460.3</v>
      </c>
      <c r="E225" s="433">
        <v>63673.3</v>
      </c>
      <c r="F225" s="433">
        <v>10429.5</v>
      </c>
      <c r="G225" s="209">
        <f t="shared" si="22"/>
        <v>74102.8</v>
      </c>
      <c r="H225" s="433">
        <v>586.20000000000005</v>
      </c>
      <c r="I225" s="433">
        <f t="shared" si="21"/>
        <v>375273.2</v>
      </c>
      <c r="K225" s="227"/>
    </row>
    <row r="226" spans="1:11" s="153" customFormat="1" ht="11.25" customHeight="1" x14ac:dyDescent="0.2">
      <c r="A226" s="304" t="s">
        <v>2596</v>
      </c>
      <c r="B226" s="304" t="s">
        <v>554</v>
      </c>
      <c r="C226" s="428">
        <v>277810.7</v>
      </c>
      <c r="D226" s="428">
        <v>25191.7</v>
      </c>
      <c r="E226" s="428">
        <v>65770.100000000006</v>
      </c>
      <c r="F226" s="428">
        <v>11950.8</v>
      </c>
      <c r="G226" s="209">
        <f t="shared" si="22"/>
        <v>77720.900000000009</v>
      </c>
      <c r="H226" s="428">
        <v>482.8</v>
      </c>
      <c r="I226" s="428">
        <f t="shared" si="21"/>
        <v>369255.3</v>
      </c>
      <c r="K226" s="227"/>
    </row>
    <row r="227" spans="1:11" s="153" customFormat="1" ht="11.25" customHeight="1" x14ac:dyDescent="0.2">
      <c r="A227" s="304" t="s">
        <v>2596</v>
      </c>
      <c r="B227" s="234" t="s">
        <v>555</v>
      </c>
      <c r="C227" s="433">
        <v>277456.7</v>
      </c>
      <c r="D227" s="433">
        <v>24317.9</v>
      </c>
      <c r="E227" s="433">
        <v>86208.6</v>
      </c>
      <c r="F227" s="433">
        <v>10128.9</v>
      </c>
      <c r="G227" s="209">
        <f t="shared" si="22"/>
        <v>96337.5</v>
      </c>
      <c r="H227" s="433">
        <v>472.7</v>
      </c>
      <c r="I227" s="433">
        <f t="shared" si="21"/>
        <v>388455.90000000008</v>
      </c>
      <c r="K227" s="227"/>
    </row>
    <row r="228" spans="1:11" s="153" customFormat="1" ht="11.25" customHeight="1" x14ac:dyDescent="0.2">
      <c r="A228" s="304" t="s">
        <v>2596</v>
      </c>
      <c r="B228" s="304" t="s">
        <v>548</v>
      </c>
      <c r="C228" s="428">
        <v>276371.5</v>
      </c>
      <c r="D228" s="428">
        <v>28557.200000000001</v>
      </c>
      <c r="E228" s="428">
        <v>94008.5</v>
      </c>
      <c r="F228" s="428">
        <v>9509.6</v>
      </c>
      <c r="G228" s="209">
        <f t="shared" si="22"/>
        <v>103518.1</v>
      </c>
      <c r="H228" s="428">
        <v>562.5</v>
      </c>
      <c r="I228" s="428">
        <f t="shared" si="21"/>
        <v>399499.7</v>
      </c>
      <c r="K228" s="227"/>
    </row>
    <row r="229" spans="1:11" s="153" customFormat="1" ht="11.25" customHeight="1" x14ac:dyDescent="0.2">
      <c r="A229" s="304" t="s">
        <v>2596</v>
      </c>
      <c r="B229" s="234" t="s">
        <v>556</v>
      </c>
      <c r="C229" s="433">
        <v>274230.90000000002</v>
      </c>
      <c r="D229" s="433">
        <v>25280</v>
      </c>
      <c r="E229" s="433">
        <v>78683</v>
      </c>
      <c r="F229" s="433">
        <v>11319.2</v>
      </c>
      <c r="G229" s="209">
        <f t="shared" si="22"/>
        <v>90002.2</v>
      </c>
      <c r="H229" s="433">
        <v>514.4</v>
      </c>
      <c r="I229" s="433">
        <f t="shared" si="21"/>
        <v>378708.30000000005</v>
      </c>
      <c r="K229" s="227"/>
    </row>
    <row r="230" spans="1:11" s="153" customFormat="1" ht="11.25" customHeight="1" x14ac:dyDescent="0.2">
      <c r="A230" s="304" t="s">
        <v>2596</v>
      </c>
      <c r="B230" s="304" t="s">
        <v>557</v>
      </c>
      <c r="C230" s="428">
        <v>271495.59999999998</v>
      </c>
      <c r="D230" s="428">
        <v>26886.799999999999</v>
      </c>
      <c r="E230" s="428">
        <v>75741.7</v>
      </c>
      <c r="F230" s="428">
        <v>10866.8</v>
      </c>
      <c r="G230" s="209">
        <f t="shared" si="22"/>
        <v>86608.5</v>
      </c>
      <c r="H230" s="428">
        <v>478.8</v>
      </c>
      <c r="I230" s="428">
        <f>C230+D230+E230+H230</f>
        <v>374602.89999999997</v>
      </c>
      <c r="K230" s="227"/>
    </row>
    <row r="231" spans="1:11" s="153" customFormat="1" ht="11.25" customHeight="1" x14ac:dyDescent="0.2">
      <c r="A231" s="304" t="s">
        <v>2596</v>
      </c>
      <c r="B231" s="234" t="s">
        <v>549</v>
      </c>
      <c r="C231" s="433">
        <v>296431.59999999998</v>
      </c>
      <c r="D231" s="433">
        <v>24729.200000000001</v>
      </c>
      <c r="E231" s="433">
        <v>81056.2</v>
      </c>
      <c r="F231" s="433">
        <v>14834.3</v>
      </c>
      <c r="G231" s="209">
        <f t="shared" si="22"/>
        <v>95890.5</v>
      </c>
      <c r="H231" s="433">
        <v>516.6</v>
      </c>
      <c r="I231" s="433">
        <f t="shared" si="21"/>
        <v>402733.6</v>
      </c>
      <c r="K231" s="227"/>
    </row>
    <row r="232" spans="1:11" s="153" customFormat="1" ht="11.25" customHeight="1" x14ac:dyDescent="0.2">
      <c r="A232" s="304" t="s">
        <v>2596</v>
      </c>
      <c r="B232" s="304" t="s">
        <v>558</v>
      </c>
      <c r="C232" s="428">
        <v>277366.90000000002</v>
      </c>
      <c r="D232" s="428">
        <v>25317.3</v>
      </c>
      <c r="E232" s="428">
        <v>77442.7</v>
      </c>
      <c r="F232" s="428">
        <v>19956.8</v>
      </c>
      <c r="G232" s="209">
        <f t="shared" si="22"/>
        <v>97399.5</v>
      </c>
      <c r="H232" s="428">
        <v>518.6</v>
      </c>
      <c r="I232" s="428">
        <f t="shared" si="21"/>
        <v>380645.5</v>
      </c>
      <c r="K232" s="227"/>
    </row>
    <row r="233" spans="1:11" s="153" customFormat="1" ht="11.25" customHeight="1" x14ac:dyDescent="0.2">
      <c r="A233" s="304" t="s">
        <v>2596</v>
      </c>
      <c r="B233" s="234" t="s">
        <v>559</v>
      </c>
      <c r="C233" s="433">
        <v>293778.59999999998</v>
      </c>
      <c r="D233" s="433">
        <v>26170.5</v>
      </c>
      <c r="E233" s="433">
        <v>78392.600000000006</v>
      </c>
      <c r="F233" s="433">
        <v>14328.9</v>
      </c>
      <c r="G233" s="209">
        <f t="shared" si="22"/>
        <v>92721.5</v>
      </c>
      <c r="H233" s="433">
        <v>506.8</v>
      </c>
      <c r="I233" s="433">
        <f t="shared" si="21"/>
        <v>398848.49999999994</v>
      </c>
      <c r="K233" s="227"/>
    </row>
    <row r="234" spans="1:11" s="153" customFormat="1" ht="11.25" customHeight="1" x14ac:dyDescent="0.2">
      <c r="A234" s="304" t="s">
        <v>2596</v>
      </c>
      <c r="B234" s="304" t="s">
        <v>550</v>
      </c>
      <c r="C234" s="428">
        <v>296451.90000000002</v>
      </c>
      <c r="D234" s="428">
        <v>30244.7</v>
      </c>
      <c r="E234" s="428">
        <v>85877.2</v>
      </c>
      <c r="F234" s="428">
        <v>25473.1</v>
      </c>
      <c r="G234" s="209">
        <f t="shared" si="22"/>
        <v>111350.29999999999</v>
      </c>
      <c r="H234" s="428">
        <v>605.20000000000005</v>
      </c>
      <c r="I234" s="428">
        <f t="shared" si="21"/>
        <v>413179.00000000006</v>
      </c>
      <c r="K234" s="227"/>
    </row>
    <row r="235" spans="1:11" s="153" customFormat="1" ht="11.25" customHeight="1" x14ac:dyDescent="0.2">
      <c r="A235" s="234" t="s">
        <v>3062</v>
      </c>
      <c r="B235" s="304" t="s">
        <v>552</v>
      </c>
      <c r="C235" s="428">
        <v>287294.09999999998</v>
      </c>
      <c r="D235" s="428">
        <v>28015.5</v>
      </c>
      <c r="E235" s="428">
        <v>83242.3</v>
      </c>
      <c r="F235" s="428">
        <v>17385.2</v>
      </c>
      <c r="G235" s="209">
        <f t="shared" si="22"/>
        <v>100627.5</v>
      </c>
      <c r="H235" s="428">
        <v>494</v>
      </c>
      <c r="I235" s="428">
        <f t="shared" si="21"/>
        <v>399045.89999999997</v>
      </c>
      <c r="K235" s="227"/>
    </row>
    <row r="236" spans="1:11" s="153" customFormat="1" ht="11.25" customHeight="1" x14ac:dyDescent="0.2">
      <c r="A236" s="234" t="s">
        <v>3062</v>
      </c>
      <c r="B236" s="234" t="s">
        <v>553</v>
      </c>
      <c r="C236" s="433">
        <v>276494.59999999998</v>
      </c>
      <c r="D236" s="433">
        <v>30501</v>
      </c>
      <c r="E236" s="433">
        <v>82982.399999999994</v>
      </c>
      <c r="F236" s="433">
        <v>17702.599999999999</v>
      </c>
      <c r="G236" s="209">
        <f t="shared" si="22"/>
        <v>100685</v>
      </c>
      <c r="H236" s="433">
        <v>530.29999999999995</v>
      </c>
      <c r="I236" s="433">
        <f t="shared" si="21"/>
        <v>390508.3</v>
      </c>
      <c r="K236" s="227"/>
    </row>
    <row r="237" spans="1:11" s="9" customFormat="1" ht="11.25" customHeight="1" x14ac:dyDescent="0.2">
      <c r="A237" s="234" t="s">
        <v>3062</v>
      </c>
      <c r="B237" s="304" t="s">
        <v>547</v>
      </c>
      <c r="C237" s="428">
        <v>274724.2</v>
      </c>
      <c r="D237" s="428">
        <v>28761.7</v>
      </c>
      <c r="E237" s="428">
        <v>84192.1</v>
      </c>
      <c r="F237" s="428">
        <v>19422.900000000001</v>
      </c>
      <c r="G237" s="209">
        <f t="shared" si="22"/>
        <v>103615</v>
      </c>
      <c r="H237" s="428">
        <v>518.4</v>
      </c>
      <c r="I237" s="428">
        <f t="shared" si="21"/>
        <v>388196.4</v>
      </c>
      <c r="J237" s="137"/>
      <c r="K237" s="667"/>
    </row>
    <row r="238" spans="1:11" s="9" customFormat="1" ht="10.5" customHeight="1" x14ac:dyDescent="0.2">
      <c r="A238" s="234" t="s">
        <v>3062</v>
      </c>
      <c r="B238" s="1511" t="s">
        <v>554</v>
      </c>
      <c r="C238" s="1506">
        <v>270449.7</v>
      </c>
      <c r="D238" s="1506">
        <v>28310.7</v>
      </c>
      <c r="E238" s="1506">
        <v>81612.899999999994</v>
      </c>
      <c r="F238" s="1506">
        <v>20029.5</v>
      </c>
      <c r="G238" s="209">
        <f t="shared" si="22"/>
        <v>101642.4</v>
      </c>
      <c r="H238" s="1506">
        <v>514.1</v>
      </c>
      <c r="I238" s="1506">
        <f t="shared" si="21"/>
        <v>380887.4</v>
      </c>
      <c r="K238" s="227"/>
    </row>
    <row r="239" spans="1:11" x14ac:dyDescent="0.2">
      <c r="A239" s="234" t="s">
        <v>3062</v>
      </c>
      <c r="B239" s="304" t="s">
        <v>555</v>
      </c>
      <c r="C239" s="428">
        <v>269018.2</v>
      </c>
      <c r="D239" s="428">
        <v>30767.5</v>
      </c>
      <c r="E239" s="428">
        <v>105067.8</v>
      </c>
      <c r="F239" s="428">
        <v>18432.599999999999</v>
      </c>
      <c r="G239" s="209">
        <f t="shared" si="22"/>
        <v>123500.4</v>
      </c>
      <c r="H239" s="428">
        <v>498.7</v>
      </c>
      <c r="I239" s="428">
        <f t="shared" si="21"/>
        <v>405352.2</v>
      </c>
      <c r="K239" s="82"/>
    </row>
    <row r="240" spans="1:11" x14ac:dyDescent="0.2">
      <c r="A240" s="234" t="s">
        <v>3062</v>
      </c>
      <c r="B240" s="1511" t="s">
        <v>548</v>
      </c>
      <c r="C240" s="1506">
        <v>275343.40000000002</v>
      </c>
      <c r="D240" s="1506">
        <v>29925.3</v>
      </c>
      <c r="E240" s="1506">
        <v>130472.7</v>
      </c>
      <c r="F240" s="1506">
        <v>18389.5</v>
      </c>
      <c r="G240" s="209">
        <f t="shared" si="22"/>
        <v>148862.20000000001</v>
      </c>
      <c r="H240" s="1506">
        <v>583.4</v>
      </c>
      <c r="I240" s="1506">
        <f t="shared" si="21"/>
        <v>436324.80000000005</v>
      </c>
    </row>
    <row r="241" spans="1:9" ht="9.75" customHeight="1" x14ac:dyDescent="0.2">
      <c r="A241" s="234" t="s">
        <v>3062</v>
      </c>
      <c r="B241" s="304" t="s">
        <v>556</v>
      </c>
      <c r="C241" s="428">
        <v>282626.8</v>
      </c>
      <c r="D241" s="428">
        <v>29539.1</v>
      </c>
      <c r="E241" s="428">
        <v>105261.8</v>
      </c>
      <c r="F241" s="428">
        <v>16803.7</v>
      </c>
      <c r="G241" s="209">
        <f t="shared" si="22"/>
        <v>122065.5</v>
      </c>
      <c r="H241" s="428">
        <v>527.4</v>
      </c>
      <c r="I241" s="428">
        <f t="shared" si="21"/>
        <v>417955.1</v>
      </c>
    </row>
    <row r="242" spans="1:9" ht="12" thickBot="1" x14ac:dyDescent="0.25">
      <c r="A242" s="234" t="s">
        <v>3062</v>
      </c>
      <c r="B242" s="1610" t="s">
        <v>557</v>
      </c>
      <c r="C242" s="1544">
        <v>286404.09999999998</v>
      </c>
      <c r="D242" s="1544">
        <v>31525.4</v>
      </c>
      <c r="E242" s="1544">
        <v>106142.1</v>
      </c>
      <c r="F242" s="1544">
        <v>16443.599999999999</v>
      </c>
      <c r="G242" s="209">
        <f t="shared" si="22"/>
        <v>122585.70000000001</v>
      </c>
      <c r="H242" s="1544">
        <v>547.20000000000005</v>
      </c>
      <c r="I242" s="1544">
        <f t="shared" si="21"/>
        <v>424618.8</v>
      </c>
    </row>
    <row r="243" spans="1:9" x14ac:dyDescent="0.2">
      <c r="A243" s="588"/>
      <c r="B243" s="588"/>
      <c r="C243" s="242" t="s">
        <v>1291</v>
      </c>
      <c r="D243" s="242"/>
      <c r="E243" s="242"/>
      <c r="F243" s="242"/>
      <c r="G243" s="242"/>
      <c r="H243" s="242"/>
      <c r="I243" s="242"/>
    </row>
    <row r="244" spans="1:9" x14ac:dyDescent="0.2">
      <c r="A244" s="411" t="s">
        <v>1330</v>
      </c>
      <c r="B244" s="411"/>
      <c r="C244" s="2418" t="s">
        <v>1207</v>
      </c>
      <c r="D244" s="2418"/>
      <c r="E244" s="2418"/>
      <c r="F244" s="583"/>
      <c r="G244" s="583"/>
      <c r="H244" s="846" t="s">
        <v>1294</v>
      </c>
      <c r="I244" s="583"/>
    </row>
    <row r="245" spans="1:9" x14ac:dyDescent="0.2">
      <c r="A245" s="9"/>
      <c r="B245" s="9"/>
      <c r="C245" s="50"/>
      <c r="D245" s="979"/>
      <c r="E245" s="50"/>
      <c r="F245" s="50"/>
      <c r="G245" s="50"/>
      <c r="H245" s="50"/>
      <c r="I245" s="50"/>
    </row>
    <row r="246" spans="1:9" x14ac:dyDescent="0.2">
      <c r="A246" s="9"/>
      <c r="B246" s="9"/>
      <c r="C246" s="9"/>
      <c r="D246" s="979"/>
      <c r="E246" s="9"/>
      <c r="F246" s="9"/>
      <c r="G246" s="9"/>
      <c r="H246" s="9"/>
      <c r="I246" s="50"/>
    </row>
    <row r="247" spans="1:9" x14ac:dyDescent="0.2">
      <c r="A247" s="9"/>
      <c r="B247" s="9"/>
      <c r="C247" s="60"/>
      <c r="D247" s="60"/>
      <c r="E247" s="1520"/>
      <c r="F247" s="1520"/>
      <c r="G247" s="1520"/>
      <c r="H247" s="137"/>
      <c r="I247" s="137"/>
    </row>
    <row r="248" spans="1:9" x14ac:dyDescent="0.2">
      <c r="C248" s="35"/>
      <c r="E248" s="137"/>
    </row>
    <row r="249" spans="1:9" x14ac:dyDescent="0.2">
      <c r="C249" s="35"/>
      <c r="D249" s="35"/>
      <c r="E249" s="35"/>
      <c r="F249" s="35"/>
      <c r="G249" s="35"/>
      <c r="H249" s="35"/>
      <c r="I249" s="35"/>
    </row>
    <row r="250" spans="1:9" x14ac:dyDescent="0.2">
      <c r="C250" s="35"/>
      <c r="D250" s="35"/>
      <c r="E250" s="35"/>
      <c r="F250" s="35"/>
      <c r="G250" s="35"/>
      <c r="H250" s="35"/>
      <c r="I250" s="35"/>
    </row>
    <row r="260" spans="3:9" x14ac:dyDescent="0.2">
      <c r="C260" s="35"/>
      <c r="D260" s="35"/>
      <c r="E260" s="35"/>
      <c r="F260" s="35"/>
      <c r="G260" s="35"/>
      <c r="H260" s="35"/>
      <c r="I260" s="35"/>
    </row>
    <row r="261" spans="3:9" x14ac:dyDescent="0.2">
      <c r="C261" s="35"/>
      <c r="D261" s="35"/>
      <c r="E261" s="35"/>
      <c r="F261" s="35"/>
      <c r="G261" s="35"/>
      <c r="H261" s="35"/>
      <c r="I261" s="35"/>
    </row>
    <row r="262" spans="3:9" x14ac:dyDescent="0.2">
      <c r="C262" s="35"/>
      <c r="D262" s="35"/>
      <c r="E262" s="35"/>
      <c r="F262" s="35"/>
      <c r="G262" s="35"/>
      <c r="H262" s="35"/>
      <c r="I262" s="35"/>
    </row>
    <row r="263" spans="3:9" x14ac:dyDescent="0.2">
      <c r="C263" s="35"/>
      <c r="D263" s="35"/>
      <c r="E263" s="35"/>
      <c r="F263" s="35"/>
      <c r="G263" s="35"/>
      <c r="H263" s="35"/>
      <c r="I263" s="35"/>
    </row>
    <row r="264" spans="3:9" x14ac:dyDescent="0.2">
      <c r="C264" s="35"/>
      <c r="D264" s="35"/>
      <c r="E264" s="35"/>
      <c r="F264" s="35"/>
      <c r="G264" s="35"/>
      <c r="H264" s="35"/>
      <c r="I264" s="35"/>
    </row>
    <row r="265" spans="3:9" x14ac:dyDescent="0.2">
      <c r="C265" s="35"/>
      <c r="D265" s="35"/>
      <c r="E265" s="35"/>
      <c r="F265" s="35"/>
      <c r="G265" s="35"/>
      <c r="H265" s="35"/>
      <c r="I265" s="35"/>
    </row>
    <row r="266" spans="3:9" x14ac:dyDescent="0.2">
      <c r="C266" s="35"/>
      <c r="D266" s="35"/>
      <c r="E266" s="35"/>
      <c r="F266" s="35"/>
      <c r="G266" s="35"/>
      <c r="H266" s="35"/>
      <c r="I266" s="35"/>
    </row>
    <row r="267" spans="3:9" x14ac:dyDescent="0.2">
      <c r="C267" s="35"/>
      <c r="D267" s="35"/>
      <c r="E267" s="35"/>
      <c r="F267" s="35"/>
      <c r="G267" s="35"/>
      <c r="H267" s="35"/>
      <c r="I267" s="35"/>
    </row>
    <row r="268" spans="3:9" x14ac:dyDescent="0.2">
      <c r="C268" s="35"/>
      <c r="D268" s="35"/>
      <c r="E268" s="35"/>
      <c r="F268" s="35"/>
      <c r="G268" s="35"/>
      <c r="H268" s="35"/>
      <c r="I268" s="35"/>
    </row>
    <row r="269" spans="3:9" x14ac:dyDescent="0.2">
      <c r="C269" s="35"/>
      <c r="D269" s="35"/>
      <c r="E269" s="35"/>
      <c r="F269" s="35"/>
      <c r="G269" s="35"/>
      <c r="H269" s="35"/>
      <c r="I269" s="35"/>
    </row>
    <row r="270" spans="3:9" x14ac:dyDescent="0.2">
      <c r="C270" s="35"/>
      <c r="D270" s="35"/>
      <c r="E270" s="35"/>
      <c r="F270" s="35"/>
      <c r="G270" s="35"/>
      <c r="H270" s="35"/>
      <c r="I270" s="35"/>
    </row>
    <row r="275" spans="3:17" x14ac:dyDescent="0.2">
      <c r="J275" s="276" t="s">
        <v>288</v>
      </c>
      <c r="K275" s="276" t="s">
        <v>288</v>
      </c>
      <c r="L275" s="276" t="s">
        <v>288</v>
      </c>
      <c r="M275" s="270">
        <v>2534.31</v>
      </c>
      <c r="N275" s="270">
        <v>2980.7999999999997</v>
      </c>
      <c r="O275" s="270">
        <v>30039.29</v>
      </c>
      <c r="P275" s="1902">
        <v>78.400000000000006</v>
      </c>
      <c r="Q275" s="1902">
        <v>78.400000000000006</v>
      </c>
    </row>
    <row r="276" spans="3:17" x14ac:dyDescent="0.2">
      <c r="C276" s="276">
        <v>5.4</v>
      </c>
      <c r="D276" s="276" t="s">
        <v>288</v>
      </c>
      <c r="E276" s="276">
        <v>5.84</v>
      </c>
      <c r="F276" s="276" t="s">
        <v>288</v>
      </c>
      <c r="G276" s="276"/>
      <c r="H276" s="276" t="s">
        <v>288</v>
      </c>
      <c r="I276" s="276" t="s">
        <v>288</v>
      </c>
      <c r="J276" s="237" t="s">
        <v>288</v>
      </c>
      <c r="K276" s="237" t="s">
        <v>288</v>
      </c>
      <c r="L276" s="237" t="s">
        <v>288</v>
      </c>
      <c r="M276" s="214">
        <v>3288.65</v>
      </c>
      <c r="N276" s="214">
        <v>3461.8</v>
      </c>
      <c r="O276" s="214">
        <v>31165.06</v>
      </c>
      <c r="P276" s="1903">
        <v>78.400000000000006</v>
      </c>
      <c r="Q276" s="1903">
        <v>78.400000000000006</v>
      </c>
    </row>
    <row r="277" spans="3:17" x14ac:dyDescent="0.2">
      <c r="C277" s="237">
        <v>5.37</v>
      </c>
      <c r="D277" s="237" t="s">
        <v>288</v>
      </c>
      <c r="E277" s="237">
        <v>5.77</v>
      </c>
      <c r="F277" s="237" t="s">
        <v>288</v>
      </c>
      <c r="G277" s="237"/>
      <c r="H277" s="237" t="s">
        <v>288</v>
      </c>
      <c r="I277" s="237" t="s">
        <v>288</v>
      </c>
      <c r="J277" s="276" t="s">
        <v>288</v>
      </c>
      <c r="K277" s="276" t="s">
        <v>288</v>
      </c>
      <c r="L277" s="276" t="s">
        <v>288</v>
      </c>
      <c r="M277" s="270">
        <v>2255.86</v>
      </c>
      <c r="N277" s="270">
        <v>3192.2999999999997</v>
      </c>
      <c r="O277" s="270">
        <v>31385.87</v>
      </c>
      <c r="P277" s="1902">
        <v>78.400000000000006</v>
      </c>
      <c r="Q277" s="1902">
        <v>78.400000000000006</v>
      </c>
    </row>
    <row r="278" spans="3:17" x14ac:dyDescent="0.2">
      <c r="C278" s="276">
        <v>5.53</v>
      </c>
      <c r="D278" s="276" t="s">
        <v>288</v>
      </c>
      <c r="E278" s="276">
        <v>5.71</v>
      </c>
      <c r="F278" s="276" t="s">
        <v>288</v>
      </c>
      <c r="G278" s="276"/>
      <c r="H278" s="276" t="s">
        <v>288</v>
      </c>
      <c r="I278" s="276" t="s">
        <v>288</v>
      </c>
      <c r="J278" s="237" t="s">
        <v>288</v>
      </c>
      <c r="K278" s="237" t="s">
        <v>288</v>
      </c>
      <c r="L278" s="237" t="s">
        <v>288</v>
      </c>
      <c r="M278" s="214">
        <v>2671.54</v>
      </c>
      <c r="N278" s="214">
        <v>3587.0000000000005</v>
      </c>
      <c r="O278" s="214">
        <v>31895.31</v>
      </c>
      <c r="P278" s="1903">
        <v>78.400800000000004</v>
      </c>
      <c r="Q278" s="1903">
        <v>78.4148</v>
      </c>
    </row>
    <row r="279" spans="3:17" x14ac:dyDescent="0.2">
      <c r="C279" s="237">
        <v>5.57</v>
      </c>
      <c r="D279" s="237" t="s">
        <v>288</v>
      </c>
      <c r="E279" s="237">
        <v>5.66</v>
      </c>
      <c r="F279" s="237" t="s">
        <v>288</v>
      </c>
      <c r="G279" s="237"/>
      <c r="H279" s="237" t="s">
        <v>288</v>
      </c>
      <c r="I279" s="237" t="s">
        <v>288</v>
      </c>
      <c r="J279" s="276" t="s">
        <v>288</v>
      </c>
      <c r="K279" s="276" t="s">
        <v>288</v>
      </c>
      <c r="L279" s="276" t="s">
        <v>288</v>
      </c>
      <c r="M279" s="274">
        <v>2878.09</v>
      </c>
      <c r="N279" s="270">
        <v>4018.1</v>
      </c>
      <c r="O279" s="270">
        <v>31370.880000000001</v>
      </c>
      <c r="P279" s="1902">
        <v>78.547200000000004</v>
      </c>
      <c r="Q279" s="1902">
        <v>78.719700000000003</v>
      </c>
    </row>
    <row r="280" spans="3:17" x14ac:dyDescent="0.2">
      <c r="C280" s="276">
        <v>5.38</v>
      </c>
      <c r="D280" s="276" t="s">
        <v>288</v>
      </c>
      <c r="E280" s="276">
        <v>5.6</v>
      </c>
      <c r="F280" s="276" t="s">
        <v>288</v>
      </c>
      <c r="G280" s="276"/>
      <c r="H280" s="276" t="s">
        <v>288</v>
      </c>
      <c r="I280" s="276" t="s">
        <v>288</v>
      </c>
      <c r="J280" s="237" t="s">
        <v>288</v>
      </c>
      <c r="K280" s="237" t="s">
        <v>288</v>
      </c>
      <c r="L280" s="237" t="s">
        <v>288</v>
      </c>
      <c r="M280" s="51">
        <v>3092.6</v>
      </c>
      <c r="N280" s="214">
        <v>3654.9000000000005</v>
      </c>
      <c r="O280" s="214">
        <v>32092.19</v>
      </c>
      <c r="P280" s="1903">
        <v>78.804000000000002</v>
      </c>
      <c r="Q280" s="1903">
        <v>78.702200000000005</v>
      </c>
    </row>
    <row r="281" spans="3:17" x14ac:dyDescent="0.2">
      <c r="C281" s="237">
        <v>5.03</v>
      </c>
      <c r="D281" s="237" t="s">
        <v>288</v>
      </c>
      <c r="E281" s="237">
        <v>5.51</v>
      </c>
      <c r="F281" s="237" t="s">
        <v>288</v>
      </c>
      <c r="G281" s="237"/>
      <c r="H281" s="237" t="s">
        <v>288</v>
      </c>
      <c r="I281" s="237" t="s">
        <v>288</v>
      </c>
      <c r="J281" s="276" t="s">
        <v>288</v>
      </c>
      <c r="K281" s="276" t="s">
        <v>288</v>
      </c>
      <c r="L281" s="276" t="s">
        <v>288</v>
      </c>
      <c r="M281" s="274">
        <v>3292.23</v>
      </c>
      <c r="N281" s="270">
        <v>4161.7</v>
      </c>
      <c r="O281" s="270">
        <v>31724.17</v>
      </c>
      <c r="P281" s="1902">
        <v>78.853399999999993</v>
      </c>
      <c r="Q281" s="1902">
        <v>79.069500000000005</v>
      </c>
    </row>
    <row r="282" spans="3:17" x14ac:dyDescent="0.2">
      <c r="C282" s="276">
        <v>5.15</v>
      </c>
      <c r="D282" s="276" t="s">
        <v>288</v>
      </c>
      <c r="E282" s="276">
        <v>5.44</v>
      </c>
      <c r="F282" s="276" t="s">
        <v>288</v>
      </c>
      <c r="G282" s="276"/>
      <c r="H282" s="276" t="s">
        <v>288</v>
      </c>
      <c r="I282" s="276" t="s">
        <v>288</v>
      </c>
      <c r="J282" s="237" t="s">
        <v>288</v>
      </c>
      <c r="K282" s="237" t="s">
        <v>288</v>
      </c>
      <c r="L282" s="237" t="s">
        <v>288</v>
      </c>
      <c r="M282" s="51">
        <v>2705.99</v>
      </c>
      <c r="N282" s="214">
        <v>3448.94</v>
      </c>
      <c r="O282" s="214">
        <v>32556.66</v>
      </c>
      <c r="P282" s="1903">
        <v>79.236000000000004</v>
      </c>
      <c r="Q282" s="1903">
        <v>79.369699999999995</v>
      </c>
    </row>
    <row r="283" spans="3:17" x14ac:dyDescent="0.2">
      <c r="C283" s="237">
        <v>5.31</v>
      </c>
      <c r="D283" s="237" t="s">
        <v>288</v>
      </c>
      <c r="E283" s="237">
        <v>5.41</v>
      </c>
      <c r="F283" s="237" t="s">
        <v>288</v>
      </c>
      <c r="G283" s="237"/>
      <c r="H283" s="237" t="s">
        <v>288</v>
      </c>
      <c r="I283" s="237" t="s">
        <v>288</v>
      </c>
      <c r="J283" s="276" t="s">
        <v>288</v>
      </c>
      <c r="K283" s="276" t="s">
        <v>288</v>
      </c>
      <c r="L283" s="276" t="s">
        <v>288</v>
      </c>
      <c r="M283" s="274">
        <v>3097.33</v>
      </c>
      <c r="N283" s="270">
        <v>3926.2</v>
      </c>
      <c r="O283" s="270">
        <v>32215.19</v>
      </c>
      <c r="P283" s="1902">
        <v>79.535200000000003</v>
      </c>
      <c r="Q283" s="1902">
        <v>79.67</v>
      </c>
    </row>
    <row r="284" spans="3:17" x14ac:dyDescent="0.2">
      <c r="C284" s="276">
        <v>5.39</v>
      </c>
      <c r="D284" s="276" t="s">
        <v>288</v>
      </c>
      <c r="E284" s="276">
        <v>5.39</v>
      </c>
      <c r="F284" s="276" t="s">
        <v>288</v>
      </c>
      <c r="G284" s="276"/>
      <c r="H284" s="276" t="s">
        <v>288</v>
      </c>
      <c r="I284" s="276" t="s">
        <v>288</v>
      </c>
      <c r="J284" s="237" t="s">
        <v>288</v>
      </c>
      <c r="K284" s="237" t="s">
        <v>288</v>
      </c>
      <c r="L284" s="237" t="s">
        <v>288</v>
      </c>
      <c r="M284" s="51">
        <v>2758.6</v>
      </c>
      <c r="N284" s="214">
        <v>3868.9</v>
      </c>
      <c r="O284" s="214">
        <v>32518.77</v>
      </c>
      <c r="P284" s="1903">
        <v>79.8322</v>
      </c>
      <c r="Q284" s="1903">
        <v>80.23</v>
      </c>
    </row>
    <row r="285" spans="3:17" x14ac:dyDescent="0.2">
      <c r="C285" s="237">
        <v>5.47</v>
      </c>
      <c r="D285" s="237" t="s">
        <v>288</v>
      </c>
      <c r="E285" s="237">
        <v>5.38</v>
      </c>
      <c r="F285" s="237" t="s">
        <v>288</v>
      </c>
      <c r="G285" s="237"/>
      <c r="H285" s="237" t="s">
        <v>288</v>
      </c>
      <c r="I285" s="237" t="s">
        <v>288</v>
      </c>
      <c r="J285" s="276" t="s">
        <v>288</v>
      </c>
      <c r="K285" s="276" t="s">
        <v>288</v>
      </c>
      <c r="L285" s="276" t="s">
        <v>288</v>
      </c>
      <c r="M285" s="274">
        <v>3047.67</v>
      </c>
      <c r="N285" s="270">
        <v>3944.2999999999993</v>
      </c>
      <c r="O285" s="270">
        <v>32245.69</v>
      </c>
      <c r="P285" s="1902">
        <v>80.492599999999996</v>
      </c>
      <c r="Q285" s="1902">
        <v>80.551599999999993</v>
      </c>
    </row>
    <row r="286" spans="3:17" x14ac:dyDescent="0.2">
      <c r="C286" s="276">
        <v>5.76</v>
      </c>
      <c r="D286" s="276" t="s">
        <v>288</v>
      </c>
      <c r="E286" s="276">
        <v>5.41</v>
      </c>
      <c r="F286" s="276" t="s">
        <v>288</v>
      </c>
      <c r="G286" s="276"/>
      <c r="H286" s="276" t="s">
        <v>288</v>
      </c>
      <c r="I286" s="276" t="s">
        <v>288</v>
      </c>
      <c r="J286" s="237" t="s">
        <v>288</v>
      </c>
      <c r="K286" s="237" t="s">
        <v>288</v>
      </c>
      <c r="L286" s="237" t="s">
        <v>288</v>
      </c>
      <c r="M286" s="51">
        <v>3033.03</v>
      </c>
      <c r="N286" s="214">
        <v>3295.8999999999996</v>
      </c>
      <c r="O286" s="214">
        <v>33492.949999999997</v>
      </c>
      <c r="P286" s="1903">
        <v>80.587400000000002</v>
      </c>
      <c r="Q286" s="1903">
        <v>80.598799999999997</v>
      </c>
    </row>
    <row r="287" spans="3:17" x14ac:dyDescent="0.2">
      <c r="C287" s="237">
        <v>5.94</v>
      </c>
      <c r="D287" s="237" t="s">
        <v>288</v>
      </c>
      <c r="E287" s="237">
        <v>5.44</v>
      </c>
      <c r="F287" s="237" t="s">
        <v>288</v>
      </c>
      <c r="G287" s="237"/>
      <c r="H287" s="237" t="s">
        <v>288</v>
      </c>
      <c r="I287" s="237" t="s">
        <v>288</v>
      </c>
      <c r="J287" s="237" t="s">
        <v>288</v>
      </c>
      <c r="K287" s="237" t="s">
        <v>288</v>
      </c>
      <c r="L287" s="237" t="s">
        <v>288</v>
      </c>
      <c r="M287" s="51">
        <v>2987.66</v>
      </c>
      <c r="N287" s="214">
        <v>3997.2</v>
      </c>
      <c r="O287" s="214">
        <v>32993.980000000003</v>
      </c>
      <c r="P287" s="1903">
        <v>80.626300000000001</v>
      </c>
      <c r="Q287" s="1903">
        <v>80.66</v>
      </c>
    </row>
    <row r="288" spans="3:17" x14ac:dyDescent="0.2">
      <c r="C288" s="237">
        <v>5.57</v>
      </c>
      <c r="D288" s="237" t="s">
        <v>288</v>
      </c>
      <c r="E288" s="237">
        <v>5.45</v>
      </c>
      <c r="F288" s="237" t="s">
        <v>288</v>
      </c>
      <c r="G288" s="237"/>
      <c r="H288" s="237" t="s">
        <v>288</v>
      </c>
      <c r="I288" s="237" t="s">
        <v>288</v>
      </c>
      <c r="J288" s="276" t="s">
        <v>288</v>
      </c>
      <c r="K288" s="276" t="s">
        <v>288</v>
      </c>
      <c r="L288" s="276" t="s">
        <v>288</v>
      </c>
      <c r="M288" s="274">
        <v>3640.94</v>
      </c>
      <c r="N288" s="270">
        <v>4045.6</v>
      </c>
      <c r="O288" s="270">
        <v>33596.25</v>
      </c>
      <c r="P288" s="1902">
        <v>80.693899999999999</v>
      </c>
      <c r="Q288" s="1902">
        <v>80.7</v>
      </c>
    </row>
    <row r="289" spans="3:17" x14ac:dyDescent="0.2">
      <c r="C289" s="276">
        <v>5.89</v>
      </c>
      <c r="D289" s="276" t="s">
        <v>288</v>
      </c>
      <c r="E289" s="276">
        <v>5.5</v>
      </c>
      <c r="F289" s="276" t="s">
        <v>288</v>
      </c>
      <c r="G289" s="276"/>
      <c r="H289" s="276" t="s">
        <v>288</v>
      </c>
      <c r="I289" s="276" t="s">
        <v>288</v>
      </c>
      <c r="J289" s="237" t="s">
        <v>288</v>
      </c>
      <c r="K289" s="237" t="s">
        <v>288</v>
      </c>
      <c r="L289" s="237" t="s">
        <v>288</v>
      </c>
      <c r="M289" s="51">
        <v>2034.13</v>
      </c>
      <c r="N289" s="214">
        <v>3848.4</v>
      </c>
      <c r="O289" s="214">
        <v>32816.589999999997</v>
      </c>
      <c r="P289" s="1903">
        <v>80.737700000000004</v>
      </c>
      <c r="Q289" s="1903">
        <v>80.8</v>
      </c>
    </row>
    <row r="290" spans="3:17" x14ac:dyDescent="0.2">
      <c r="C290" s="237">
        <v>6.12</v>
      </c>
      <c r="D290" s="237" t="s">
        <v>288</v>
      </c>
      <c r="E290" s="237">
        <v>5.55</v>
      </c>
      <c r="F290" s="237" t="s">
        <v>288</v>
      </c>
      <c r="G290" s="237"/>
      <c r="H290" s="237" t="s">
        <v>288</v>
      </c>
      <c r="I290" s="237" t="s">
        <v>288</v>
      </c>
      <c r="J290" s="276" t="s">
        <v>288</v>
      </c>
      <c r="K290" s="276" t="s">
        <v>288</v>
      </c>
      <c r="L290" s="276" t="s">
        <v>288</v>
      </c>
      <c r="M290" s="274">
        <v>2843.07</v>
      </c>
      <c r="N290" s="270">
        <v>4400.3</v>
      </c>
      <c r="O290" s="270">
        <v>33452.9</v>
      </c>
      <c r="P290" s="1902">
        <v>80.821700000000007</v>
      </c>
      <c r="Q290" s="1902">
        <v>80.868099999999998</v>
      </c>
    </row>
    <row r="291" spans="3:17" x14ac:dyDescent="0.2">
      <c r="C291" s="276">
        <v>6.04</v>
      </c>
      <c r="D291" s="276" t="s">
        <v>288</v>
      </c>
      <c r="E291" s="276">
        <v>5.59</v>
      </c>
      <c r="F291" s="276" t="s">
        <v>288</v>
      </c>
      <c r="G291" s="276"/>
      <c r="H291" s="276" t="s">
        <v>288</v>
      </c>
      <c r="I291" s="276" t="s">
        <v>288</v>
      </c>
      <c r="J291" s="237" t="s">
        <v>288</v>
      </c>
      <c r="K291" s="237" t="s">
        <v>288</v>
      </c>
      <c r="L291" s="237" t="s">
        <v>288</v>
      </c>
      <c r="M291" s="51">
        <v>3057.11</v>
      </c>
      <c r="N291" s="214">
        <v>4448.3999999999996</v>
      </c>
      <c r="O291" s="214">
        <v>32623.86</v>
      </c>
      <c r="P291" s="1903">
        <v>81.284199999999998</v>
      </c>
      <c r="Q291" s="1903">
        <v>82.3</v>
      </c>
    </row>
    <row r="292" spans="3:17" x14ac:dyDescent="0.2">
      <c r="C292" s="237">
        <v>5.91</v>
      </c>
      <c r="D292" s="237" t="s">
        <v>288</v>
      </c>
      <c r="E292" s="237">
        <v>5.64</v>
      </c>
      <c r="F292" s="237" t="s">
        <v>288</v>
      </c>
      <c r="G292" s="237"/>
      <c r="H292" s="237" t="s">
        <v>288</v>
      </c>
      <c r="I292" s="237" t="s">
        <v>288</v>
      </c>
      <c r="J292" s="276" t="s">
        <v>288</v>
      </c>
      <c r="K292" s="276" t="s">
        <v>288</v>
      </c>
      <c r="L292" s="276" t="s">
        <v>288</v>
      </c>
      <c r="M292" s="274">
        <v>3353.11</v>
      </c>
      <c r="N292" s="270">
        <v>4171.7</v>
      </c>
      <c r="O292" s="270">
        <v>33226.86</v>
      </c>
      <c r="P292" s="1902">
        <v>82.549899999999994</v>
      </c>
      <c r="Q292" s="1902">
        <v>82.7</v>
      </c>
    </row>
    <row r="293" spans="3:17" x14ac:dyDescent="0.2">
      <c r="C293" s="276">
        <v>5.83</v>
      </c>
      <c r="D293" s="276" t="s">
        <v>288</v>
      </c>
      <c r="E293" s="276">
        <v>5.7</v>
      </c>
      <c r="F293" s="276" t="s">
        <v>288</v>
      </c>
      <c r="G293" s="276"/>
      <c r="H293" s="276" t="s">
        <v>288</v>
      </c>
      <c r="I293" s="276" t="s">
        <v>288</v>
      </c>
      <c r="J293" s="237" t="s">
        <v>288</v>
      </c>
      <c r="K293" s="237" t="s">
        <v>288</v>
      </c>
      <c r="L293" s="237" t="s">
        <v>288</v>
      </c>
      <c r="M293" s="51">
        <v>3408.88</v>
      </c>
      <c r="N293" s="214">
        <v>5054.5</v>
      </c>
      <c r="O293" s="214">
        <v>32694.69</v>
      </c>
      <c r="P293" s="1903">
        <v>82.816800000000001</v>
      </c>
      <c r="Q293" s="1903">
        <v>82.9</v>
      </c>
    </row>
    <row r="294" spans="3:17" x14ac:dyDescent="0.2">
      <c r="C294" s="237">
        <v>5.88</v>
      </c>
      <c r="D294" s="237" t="s">
        <v>288</v>
      </c>
      <c r="E294" s="237">
        <v>5.7633200488242498</v>
      </c>
      <c r="F294" s="237" t="s">
        <v>288</v>
      </c>
      <c r="G294" s="237"/>
      <c r="H294" s="237" t="s">
        <v>288</v>
      </c>
      <c r="I294" s="237" t="s">
        <v>288</v>
      </c>
      <c r="J294" s="276" t="s">
        <v>288</v>
      </c>
      <c r="K294" s="276" t="s">
        <v>288</v>
      </c>
      <c r="L294" s="276" t="s">
        <v>288</v>
      </c>
      <c r="M294" s="274">
        <v>3072.15</v>
      </c>
      <c r="N294" s="270">
        <v>4369.5</v>
      </c>
      <c r="O294" s="270">
        <v>33368.99</v>
      </c>
      <c r="P294" s="1902">
        <v>82.92</v>
      </c>
      <c r="Q294" s="1902">
        <v>82.96</v>
      </c>
    </row>
    <row r="295" spans="3:17" x14ac:dyDescent="0.2">
      <c r="C295" s="276">
        <v>5.72</v>
      </c>
      <c r="D295" s="276" t="s">
        <v>288</v>
      </c>
      <c r="E295" s="276">
        <v>5.7965868408144328</v>
      </c>
      <c r="F295" s="276" t="s">
        <v>288</v>
      </c>
      <c r="G295" s="276"/>
      <c r="H295" s="276" t="s">
        <v>288</v>
      </c>
      <c r="I295" s="276" t="s">
        <v>288</v>
      </c>
      <c r="J295" s="237" t="s">
        <v>288</v>
      </c>
      <c r="K295" s="237" t="s">
        <v>288</v>
      </c>
      <c r="L295" s="237" t="s">
        <v>288</v>
      </c>
      <c r="M295" s="51">
        <v>3054.65</v>
      </c>
      <c r="N295" s="214">
        <v>4459.5</v>
      </c>
      <c r="O295" s="214">
        <v>32403.15</v>
      </c>
      <c r="P295" s="1903">
        <v>82.96</v>
      </c>
      <c r="Q295" s="1903">
        <v>82.96</v>
      </c>
    </row>
    <row r="296" spans="3:17" x14ac:dyDescent="0.2">
      <c r="C296" s="237">
        <v>5.68</v>
      </c>
      <c r="D296" s="237" t="s">
        <v>288</v>
      </c>
      <c r="E296" s="237">
        <v>5.8192592808566257</v>
      </c>
      <c r="F296" s="237" t="s">
        <v>288</v>
      </c>
      <c r="G296" s="237"/>
      <c r="H296" s="237" t="s">
        <v>288</v>
      </c>
      <c r="I296" s="237" t="s">
        <v>288</v>
      </c>
      <c r="J296" s="276" t="s">
        <v>288</v>
      </c>
      <c r="K296" s="276" t="s">
        <v>288</v>
      </c>
      <c r="L296" s="276" t="s">
        <v>288</v>
      </c>
      <c r="M296" s="274">
        <v>2954.71</v>
      </c>
      <c r="N296" s="270">
        <v>4870.5</v>
      </c>
      <c r="O296" s="270">
        <v>33094.26</v>
      </c>
      <c r="P296" s="1902">
        <v>82.975200000000001</v>
      </c>
      <c r="Q296" s="1902">
        <v>82.98</v>
      </c>
    </row>
    <row r="297" spans="3:17" x14ac:dyDescent="0.2">
      <c r="C297" s="276">
        <v>5.63</v>
      </c>
      <c r="D297" s="276" t="s">
        <v>288</v>
      </c>
      <c r="E297" s="276">
        <v>5.8319394201079122</v>
      </c>
      <c r="F297" s="276" t="s">
        <v>288</v>
      </c>
      <c r="G297" s="276"/>
      <c r="H297" s="276" t="s">
        <v>288</v>
      </c>
      <c r="I297" s="276" t="s">
        <v>288</v>
      </c>
      <c r="J297" s="237" t="s">
        <v>288</v>
      </c>
      <c r="K297" s="237" t="s">
        <v>288</v>
      </c>
      <c r="L297" s="237" t="s">
        <v>288</v>
      </c>
      <c r="M297" s="51">
        <v>3322.41</v>
      </c>
      <c r="N297" s="214">
        <v>5435.2</v>
      </c>
      <c r="O297" s="214">
        <v>32348.09</v>
      </c>
      <c r="P297" s="1903">
        <v>83.413700000000006</v>
      </c>
      <c r="Q297" s="1903">
        <v>83.7</v>
      </c>
    </row>
    <row r="298" spans="3:17" x14ac:dyDescent="0.2">
      <c r="C298" s="237">
        <v>5.57</v>
      </c>
      <c r="D298" s="237" t="s">
        <v>288</v>
      </c>
      <c r="E298" s="237">
        <v>5.82</v>
      </c>
      <c r="F298" s="237" t="s">
        <v>288</v>
      </c>
      <c r="G298" s="237"/>
      <c r="H298" s="237" t="s">
        <v>288</v>
      </c>
      <c r="I298" s="237" t="s">
        <v>288</v>
      </c>
      <c r="J298" s="276" t="s">
        <v>288</v>
      </c>
      <c r="K298" s="276" t="s">
        <v>288</v>
      </c>
      <c r="L298" s="276" t="s">
        <v>288</v>
      </c>
      <c r="M298" s="274">
        <v>2939.35</v>
      </c>
      <c r="N298" s="270">
        <v>3838.8</v>
      </c>
      <c r="O298" s="270">
        <v>32943.46</v>
      </c>
      <c r="P298" s="1902">
        <v>83.721699999999998</v>
      </c>
      <c r="Q298" s="1902">
        <v>83.702200000000005</v>
      </c>
    </row>
    <row r="299" spans="3:17" x14ac:dyDescent="0.2">
      <c r="C299" s="276">
        <v>5.54</v>
      </c>
      <c r="D299" s="276" t="s">
        <v>288</v>
      </c>
      <c r="E299" s="276">
        <v>5.78</v>
      </c>
      <c r="F299" s="276" t="s">
        <v>288</v>
      </c>
      <c r="G299" s="276"/>
      <c r="H299" s="276" t="s">
        <v>288</v>
      </c>
      <c r="I299" s="276" t="s">
        <v>288</v>
      </c>
    </row>
  </sheetData>
  <customSheetViews>
    <customSheetView guid="{A374FC54-96E3-45F0-9C12-8450400C12DF}" scale="180">
      <pane xSplit="1" ySplit="7" topLeftCell="B45" activePane="bottomRight" state="frozen"/>
      <selection pane="bottomRight" activeCell="G46" sqref="G46:G48"/>
      <pageMargins left="0.62992125984252001" right="0.511811023622047" top="0.511811023622047" bottom="0.511811023622047" header="0" footer="0.39370078740157499"/>
      <pageSetup paperSize="132" firstPageNumber="16" orientation="portrait" useFirstPageNumber="1" r:id="rId1"/>
      <headerFooter alignWithMargins="0">
        <oddFooter>&amp;C&amp;"Times New Roman,Regular"&amp;8&amp;P</oddFooter>
      </headerFooter>
    </customSheetView>
  </customSheetViews>
  <mergeCells count="14">
    <mergeCell ref="C244:E244"/>
    <mergeCell ref="E6:E7"/>
    <mergeCell ref="E4:H4"/>
    <mergeCell ref="H1:I1"/>
    <mergeCell ref="A1:F1"/>
    <mergeCell ref="A4:A8"/>
    <mergeCell ref="F6:F7"/>
    <mergeCell ref="D4:D7"/>
    <mergeCell ref="C4:C7"/>
    <mergeCell ref="H2:I2"/>
    <mergeCell ref="I4:I7"/>
    <mergeCell ref="H5:H7"/>
    <mergeCell ref="G6:G7"/>
    <mergeCell ref="E5:G5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69"/>
  <sheetViews>
    <sheetView zoomScale="150" zoomScaleNormal="150" workbookViewId="0">
      <pane xSplit="1" ySplit="7" topLeftCell="B37" activePane="bottomRight" state="frozen"/>
      <selection activeCell="C8" sqref="C8"/>
      <selection pane="topRight" activeCell="C8" sqref="C8"/>
      <selection pane="bottomLeft" activeCell="C8" sqref="C8"/>
      <selection pane="bottomRight" activeCell="B46" sqref="B46"/>
    </sheetView>
  </sheetViews>
  <sheetFormatPr defaultColWidth="9.140625" defaultRowHeight="11.25" x14ac:dyDescent="0.2"/>
  <cols>
    <col min="1" max="2" width="10.140625" style="154" customWidth="1"/>
    <col min="3" max="3" width="7.42578125" style="154" customWidth="1"/>
    <col min="4" max="4" width="7.140625" style="154" customWidth="1"/>
    <col min="5" max="5" width="7" style="154" customWidth="1"/>
    <col min="6" max="6" width="6.42578125" style="154" customWidth="1"/>
    <col min="7" max="7" width="7.42578125" style="154" customWidth="1"/>
    <col min="8" max="8" width="8.28515625" style="154" customWidth="1"/>
    <col min="9" max="9" width="7.28515625" style="154" customWidth="1"/>
    <col min="10" max="11" width="8" style="154" customWidth="1"/>
    <col min="12" max="16384" width="9.140625" style="154"/>
  </cols>
  <sheetData>
    <row r="1" spans="1:16" s="155" customFormat="1" ht="13.5" customHeight="1" x14ac:dyDescent="0.25">
      <c r="A1" s="2455" t="s">
        <v>1231</v>
      </c>
      <c r="B1" s="2455"/>
      <c r="C1" s="2455"/>
      <c r="D1" s="2455"/>
      <c r="E1" s="2455"/>
      <c r="F1" s="2455"/>
      <c r="G1" s="2455"/>
      <c r="H1" s="2455"/>
      <c r="I1" s="2455"/>
      <c r="J1" s="2462" t="s">
        <v>201</v>
      </c>
      <c r="K1" s="2462"/>
    </row>
    <row r="2" spans="1:16" s="157" customFormat="1" ht="12" x14ac:dyDescent="0.2">
      <c r="J2" s="2463" t="s">
        <v>24</v>
      </c>
      <c r="K2" s="2463"/>
    </row>
    <row r="3" spans="1:16" s="359" customFormat="1" ht="15" customHeight="1" x14ac:dyDescent="0.2">
      <c r="A3" s="2454" t="s">
        <v>909</v>
      </c>
      <c r="B3" s="1718"/>
      <c r="C3" s="2456" t="s">
        <v>202</v>
      </c>
      <c r="D3" s="2459" t="s">
        <v>476</v>
      </c>
      <c r="E3" s="2460"/>
      <c r="F3" s="2460"/>
      <c r="G3" s="2460"/>
      <c r="H3" s="2461"/>
      <c r="I3" s="2451" t="s">
        <v>889</v>
      </c>
      <c r="J3" s="2451" t="s">
        <v>204</v>
      </c>
      <c r="K3" s="2451" t="s">
        <v>205</v>
      </c>
    </row>
    <row r="4" spans="1:16" s="359" customFormat="1" ht="12.75" customHeight="1" x14ac:dyDescent="0.2">
      <c r="A4" s="2454"/>
      <c r="B4" s="1719"/>
      <c r="C4" s="2457"/>
      <c r="D4" s="2451" t="s">
        <v>756</v>
      </c>
      <c r="E4" s="2451" t="s">
        <v>478</v>
      </c>
      <c r="F4" s="2451" t="s">
        <v>568</v>
      </c>
      <c r="G4" s="2451" t="s">
        <v>203</v>
      </c>
      <c r="H4" s="2451" t="s">
        <v>3089</v>
      </c>
      <c r="I4" s="2452"/>
      <c r="J4" s="2452"/>
      <c r="K4" s="2452"/>
    </row>
    <row r="5" spans="1:16" s="159" customFormat="1" ht="19.5" customHeight="1" x14ac:dyDescent="0.2">
      <c r="A5" s="2454"/>
      <c r="B5" s="1719" t="s">
        <v>3061</v>
      </c>
      <c r="C5" s="2457"/>
      <c r="D5" s="2452"/>
      <c r="E5" s="2452"/>
      <c r="F5" s="2464"/>
      <c r="G5" s="2452"/>
      <c r="H5" s="2452"/>
      <c r="I5" s="2452"/>
      <c r="J5" s="2452"/>
      <c r="K5" s="2452"/>
    </row>
    <row r="6" spans="1:16" s="159" customFormat="1" ht="14.25" customHeight="1" x14ac:dyDescent="0.2">
      <c r="A6" s="2454"/>
      <c r="B6" s="1949"/>
      <c r="C6" s="2458"/>
      <c r="D6" s="2453"/>
      <c r="E6" s="2453"/>
      <c r="F6" s="2465"/>
      <c r="G6" s="2453"/>
      <c r="H6" s="2453"/>
      <c r="I6" s="2453"/>
      <c r="J6" s="2453"/>
      <c r="K6" s="2453"/>
    </row>
    <row r="7" spans="1:16" s="210" customFormat="1" ht="10.5" customHeight="1" x14ac:dyDescent="0.2">
      <c r="A7" s="2454"/>
      <c r="B7" s="1950"/>
      <c r="C7" s="1951">
        <v>1</v>
      </c>
      <c r="D7" s="1919">
        <v>2</v>
      </c>
      <c r="E7" s="1919">
        <v>3</v>
      </c>
      <c r="F7" s="1919">
        <v>4</v>
      </c>
      <c r="G7" s="1919">
        <v>5</v>
      </c>
      <c r="H7" s="1919">
        <v>6</v>
      </c>
      <c r="I7" s="1919">
        <v>7</v>
      </c>
      <c r="J7" s="1919">
        <v>8</v>
      </c>
      <c r="K7" s="1919">
        <v>9</v>
      </c>
    </row>
    <row r="8" spans="1:16" s="222" customFormat="1" ht="12" x14ac:dyDescent="0.2">
      <c r="C8" s="1905"/>
      <c r="D8" s="1906"/>
      <c r="E8" s="1906"/>
      <c r="F8" s="1906"/>
      <c r="G8" s="1907"/>
      <c r="H8" s="1907"/>
      <c r="I8" s="1907"/>
      <c r="J8" s="1907"/>
      <c r="K8" s="1907"/>
      <c r="L8" s="1908"/>
      <c r="M8" s="1908"/>
      <c r="N8" s="1908"/>
      <c r="O8" s="1908"/>
      <c r="P8" s="1908"/>
    </row>
    <row r="9" spans="1:16" s="222" customFormat="1" ht="11.45" customHeight="1" x14ac:dyDescent="0.2">
      <c r="A9" s="9" t="s">
        <v>535</v>
      </c>
      <c r="B9" s="9"/>
      <c r="C9" s="1898">
        <v>8159.0999999999995</v>
      </c>
      <c r="D9" s="793">
        <v>1009.6</v>
      </c>
      <c r="E9" s="793">
        <v>1635.9</v>
      </c>
      <c r="F9" s="793">
        <v>0</v>
      </c>
      <c r="G9" s="793">
        <v>2576.6999999999998</v>
      </c>
      <c r="H9" s="793">
        <v>5222.2</v>
      </c>
      <c r="I9" s="793">
        <v>-2073.4</v>
      </c>
      <c r="J9" s="793">
        <v>3148.7999999999997</v>
      </c>
      <c r="K9" s="793">
        <v>11307.9</v>
      </c>
      <c r="L9" s="1909"/>
      <c r="M9" s="1909"/>
      <c r="N9" s="1909"/>
      <c r="O9" s="1909"/>
      <c r="P9" s="1909"/>
    </row>
    <row r="10" spans="1:16" s="222" customFormat="1" ht="11.45" customHeight="1" x14ac:dyDescent="0.2">
      <c r="A10" s="285" t="s">
        <v>536</v>
      </c>
      <c r="B10" s="285"/>
      <c r="C10" s="280">
        <v>8772.4</v>
      </c>
      <c r="D10" s="274">
        <v>1254</v>
      </c>
      <c r="E10" s="280">
        <v>1056.8</v>
      </c>
      <c r="F10" s="279">
        <v>15.7</v>
      </c>
      <c r="G10" s="279">
        <v>2733.8</v>
      </c>
      <c r="H10" s="279">
        <v>5060.3</v>
      </c>
      <c r="I10" s="279">
        <v>-3202.7000000000003</v>
      </c>
      <c r="J10" s="279">
        <v>1857.6</v>
      </c>
      <c r="K10" s="274">
        <v>10630</v>
      </c>
      <c r="L10" s="1910"/>
      <c r="M10" s="1910"/>
      <c r="N10" s="1910"/>
      <c r="O10" s="1910"/>
      <c r="P10" s="1910"/>
    </row>
    <row r="11" spans="1:16" s="222" customFormat="1" ht="11.45" customHeight="1" x14ac:dyDescent="0.2">
      <c r="A11" s="9" t="s">
        <v>537</v>
      </c>
      <c r="B11" s="9"/>
      <c r="C11" s="1898">
        <v>5297</v>
      </c>
      <c r="D11" s="793">
        <v>3036.8</v>
      </c>
      <c r="E11" s="793">
        <v>1195.5</v>
      </c>
      <c r="F11" s="793">
        <v>15.7</v>
      </c>
      <c r="G11" s="793">
        <v>3413.7</v>
      </c>
      <c r="H11" s="793">
        <v>7661.7</v>
      </c>
      <c r="I11" s="793">
        <v>-1955.7</v>
      </c>
      <c r="J11" s="793">
        <v>5706</v>
      </c>
      <c r="K11" s="1654">
        <v>11003</v>
      </c>
      <c r="L11" s="793"/>
      <c r="M11" s="793"/>
      <c r="N11" s="793"/>
      <c r="O11" s="793"/>
      <c r="P11" s="793"/>
    </row>
    <row r="12" spans="1:16" s="222" customFormat="1" ht="11.45" customHeight="1" x14ac:dyDescent="0.2">
      <c r="A12" s="285" t="s">
        <v>538</v>
      </c>
      <c r="B12" s="285"/>
      <c r="C12" s="280">
        <v>4920.4000000000005</v>
      </c>
      <c r="D12" s="279">
        <v>4488.8999999999996</v>
      </c>
      <c r="E12" s="279">
        <v>1192.5999999999999</v>
      </c>
      <c r="F12" s="279">
        <v>15.7</v>
      </c>
      <c r="G12" s="279">
        <v>3600.3</v>
      </c>
      <c r="H12" s="279">
        <v>9297.5</v>
      </c>
      <c r="I12" s="279">
        <v>-1823.3999999999999</v>
      </c>
      <c r="J12" s="279">
        <v>7474.1</v>
      </c>
      <c r="K12" s="279">
        <v>12394.5</v>
      </c>
      <c r="L12" s="793"/>
      <c r="M12" s="793"/>
      <c r="N12" s="793"/>
      <c r="O12" s="793"/>
      <c r="P12" s="793"/>
    </row>
    <row r="13" spans="1:16" s="222" customFormat="1" ht="11.45" customHeight="1" x14ac:dyDescent="0.2">
      <c r="A13" s="9" t="s">
        <v>539</v>
      </c>
      <c r="B13" s="9"/>
      <c r="C13" s="1898">
        <v>5305.1</v>
      </c>
      <c r="D13" s="793">
        <v>5295.5</v>
      </c>
      <c r="E13" s="793">
        <v>1404.8</v>
      </c>
      <c r="F13" s="793">
        <v>15.7</v>
      </c>
      <c r="G13" s="793">
        <v>3749.4</v>
      </c>
      <c r="H13" s="793">
        <v>10465.4</v>
      </c>
      <c r="I13" s="793">
        <v>-2152.9</v>
      </c>
      <c r="J13" s="793">
        <v>8312.5</v>
      </c>
      <c r="K13" s="793">
        <v>13617.6</v>
      </c>
      <c r="L13" s="793"/>
      <c r="M13" s="793"/>
      <c r="N13" s="793"/>
      <c r="O13" s="793"/>
      <c r="P13" s="793"/>
    </row>
    <row r="14" spans="1:16" s="222" customFormat="1" ht="11.45" customHeight="1" x14ac:dyDescent="0.2">
      <c r="A14" s="285" t="s">
        <v>540</v>
      </c>
      <c r="B14" s="285"/>
      <c r="C14" s="280">
        <v>4617.2</v>
      </c>
      <c r="D14" s="279">
        <v>6359.9</v>
      </c>
      <c r="E14" s="279">
        <v>1365.6</v>
      </c>
      <c r="F14" s="279">
        <v>808.4</v>
      </c>
      <c r="G14" s="279">
        <v>4622.8</v>
      </c>
      <c r="H14" s="279">
        <v>13156.7</v>
      </c>
      <c r="I14" s="279">
        <v>-3031.2000000000003</v>
      </c>
      <c r="J14" s="279">
        <v>10125.5</v>
      </c>
      <c r="K14" s="279">
        <v>14742.7</v>
      </c>
      <c r="L14" s="793"/>
      <c r="M14" s="793"/>
      <c r="N14" s="793"/>
      <c r="O14" s="793"/>
      <c r="P14" s="793"/>
    </row>
    <row r="15" spans="1:16" s="222" customFormat="1" ht="11.45" customHeight="1" x14ac:dyDescent="0.2">
      <c r="A15" s="9" t="s">
        <v>541</v>
      </c>
      <c r="B15" s="9"/>
      <c r="C15" s="1898">
        <v>5666.1</v>
      </c>
      <c r="D15" s="1654">
        <v>8098</v>
      </c>
      <c r="E15" s="793">
        <v>1320.7</v>
      </c>
      <c r="F15" s="793">
        <v>900.40000000000009</v>
      </c>
      <c r="G15" s="793">
        <v>4289.2</v>
      </c>
      <c r="H15" s="793">
        <v>14608.3</v>
      </c>
      <c r="I15" s="793">
        <v>-3210.3</v>
      </c>
      <c r="J15" s="793">
        <v>11398</v>
      </c>
      <c r="K15" s="793">
        <v>17064.099999999999</v>
      </c>
      <c r="L15" s="793"/>
      <c r="M15" s="793"/>
      <c r="N15" s="793"/>
      <c r="O15" s="793"/>
      <c r="P15" s="793"/>
    </row>
    <row r="16" spans="1:16" s="222" customFormat="1" ht="11.45" customHeight="1" x14ac:dyDescent="0.2">
      <c r="A16" s="285" t="s">
        <v>542</v>
      </c>
      <c r="B16" s="285"/>
      <c r="C16" s="280">
        <v>4812.3999999999996</v>
      </c>
      <c r="D16" s="279">
        <v>10107.299999999999</v>
      </c>
      <c r="E16" s="279">
        <v>1305.0999999999999</v>
      </c>
      <c r="F16" s="279">
        <v>987.5</v>
      </c>
      <c r="G16" s="279">
        <v>4368.6000000000004</v>
      </c>
      <c r="H16" s="279">
        <v>16768.5</v>
      </c>
      <c r="I16" s="279">
        <v>-2653.5</v>
      </c>
      <c r="J16" s="279">
        <v>14115</v>
      </c>
      <c r="K16" s="279">
        <v>18927.400000000001</v>
      </c>
      <c r="L16" s="793"/>
      <c r="M16" s="793"/>
      <c r="N16" s="793"/>
      <c r="O16" s="793"/>
      <c r="P16" s="793"/>
    </row>
    <row r="17" spans="1:16" s="222" customFormat="1" ht="11.45" customHeight="1" x14ac:dyDescent="0.2">
      <c r="A17" s="9" t="s">
        <v>543</v>
      </c>
      <c r="B17" s="9"/>
      <c r="C17" s="1898">
        <v>7230.4</v>
      </c>
      <c r="D17" s="793">
        <v>12834.3</v>
      </c>
      <c r="E17" s="793">
        <v>1277.5999999999999</v>
      </c>
      <c r="F17" s="793">
        <v>1008.1</v>
      </c>
      <c r="G17" s="793">
        <v>4729.3</v>
      </c>
      <c r="H17" s="793">
        <v>19849.3</v>
      </c>
      <c r="I17" s="793">
        <v>-6506.7</v>
      </c>
      <c r="J17" s="793">
        <v>13342.599999999999</v>
      </c>
      <c r="K17" s="1654">
        <v>20573</v>
      </c>
      <c r="L17" s="793"/>
      <c r="M17" s="793"/>
      <c r="N17" s="793"/>
      <c r="O17" s="793"/>
      <c r="P17" s="793"/>
    </row>
    <row r="18" spans="1:16" s="222" customFormat="1" ht="11.45" customHeight="1" x14ac:dyDescent="0.2">
      <c r="A18" s="285" t="s">
        <v>544</v>
      </c>
      <c r="B18" s="285"/>
      <c r="C18" s="280">
        <v>11809.699999999999</v>
      </c>
      <c r="D18" s="280">
        <v>7353.3</v>
      </c>
      <c r="E18" s="280">
        <v>1281.9000000000001</v>
      </c>
      <c r="F18" s="279">
        <v>1141.7</v>
      </c>
      <c r="G18" s="279">
        <v>4846.8</v>
      </c>
      <c r="H18" s="274">
        <v>14623.7</v>
      </c>
      <c r="I18" s="279">
        <v>-4991.8999999999996</v>
      </c>
      <c r="J18" s="279">
        <v>9631.8000000000011</v>
      </c>
      <c r="K18" s="279">
        <v>21441.5</v>
      </c>
      <c r="L18" s="793"/>
      <c r="M18" s="793"/>
      <c r="N18" s="793"/>
      <c r="O18" s="793"/>
      <c r="P18" s="793"/>
    </row>
    <row r="19" spans="1:16" s="222" customFormat="1" ht="11.45" customHeight="1" x14ac:dyDescent="0.2">
      <c r="A19" s="9" t="s">
        <v>545</v>
      </c>
      <c r="B19" s="9"/>
      <c r="C19" s="1898">
        <v>13542.3</v>
      </c>
      <c r="D19" s="793">
        <v>11847.6</v>
      </c>
      <c r="E19" s="793">
        <v>1241.0999999999999</v>
      </c>
      <c r="F19" s="793">
        <v>1241.3000000000002</v>
      </c>
      <c r="G19" s="793">
        <v>5852.1</v>
      </c>
      <c r="H19" s="793">
        <v>20182.099999999999</v>
      </c>
      <c r="I19" s="1654">
        <v>-9854</v>
      </c>
      <c r="J19" s="793">
        <v>10328.099999999999</v>
      </c>
      <c r="K19" s="1654">
        <v>23870.399999999998</v>
      </c>
      <c r="L19" s="793"/>
      <c r="M19" s="793"/>
      <c r="N19" s="793"/>
      <c r="O19" s="793"/>
      <c r="P19" s="793"/>
    </row>
    <row r="20" spans="1:16" s="222" customFormat="1" ht="11.45" customHeight="1" x14ac:dyDescent="0.2">
      <c r="A20" s="285" t="s">
        <v>546</v>
      </c>
      <c r="B20" s="285"/>
      <c r="C20" s="428">
        <v>14678.2</v>
      </c>
      <c r="D20" s="279">
        <v>15674.3</v>
      </c>
      <c r="E20" s="279">
        <v>1105.6000000000001</v>
      </c>
      <c r="F20" s="279">
        <v>1341.3999999999999</v>
      </c>
      <c r="G20" s="279">
        <v>6132.5</v>
      </c>
      <c r="H20" s="279">
        <v>24253.8</v>
      </c>
      <c r="I20" s="428">
        <v>-11531.6</v>
      </c>
      <c r="J20" s="279">
        <v>12722.199999999999</v>
      </c>
      <c r="K20" s="274">
        <v>27400.400000000001</v>
      </c>
      <c r="L20" s="793"/>
      <c r="M20" s="793"/>
      <c r="N20" s="793"/>
      <c r="O20" s="793"/>
      <c r="P20" s="793"/>
    </row>
    <row r="21" spans="1:16" s="222" customFormat="1" ht="11.45" customHeight="1" x14ac:dyDescent="0.2">
      <c r="A21" s="153" t="s">
        <v>551</v>
      </c>
      <c r="B21" s="153"/>
      <c r="C21" s="433">
        <v>18640.3</v>
      </c>
      <c r="D21" s="24">
        <v>25026.1</v>
      </c>
      <c r="E21" s="51">
        <v>1016</v>
      </c>
      <c r="F21" s="24">
        <v>1429.9</v>
      </c>
      <c r="G21" s="24">
        <v>6346.3</v>
      </c>
      <c r="H21" s="24">
        <v>33818.300000000003</v>
      </c>
      <c r="I21" s="433">
        <v>-18503.900000000001</v>
      </c>
      <c r="J21" s="24">
        <v>15314.400000000001</v>
      </c>
      <c r="K21" s="51">
        <v>33954.699999999997</v>
      </c>
      <c r="L21" s="793"/>
      <c r="M21" s="793"/>
      <c r="N21" s="793"/>
      <c r="O21" s="793"/>
      <c r="P21" s="793"/>
    </row>
    <row r="22" spans="1:16" s="222" customFormat="1" ht="11.45" customHeight="1" x14ac:dyDescent="0.2">
      <c r="A22" s="285" t="s">
        <v>560</v>
      </c>
      <c r="B22" s="285"/>
      <c r="C22" s="428">
        <v>28758.400000000001</v>
      </c>
      <c r="D22" s="279">
        <v>25931.1</v>
      </c>
      <c r="E22" s="274">
        <v>988</v>
      </c>
      <c r="F22" s="279">
        <v>1576.1000000000001</v>
      </c>
      <c r="G22" s="2116">
        <v>6442.1</v>
      </c>
      <c r="H22" s="279">
        <v>34937.299999999996</v>
      </c>
      <c r="I22" s="428">
        <v>-24273</v>
      </c>
      <c r="J22" s="279">
        <v>10664.299999999996</v>
      </c>
      <c r="K22" s="274">
        <v>39422.699999999997</v>
      </c>
      <c r="L22" s="793"/>
      <c r="M22" s="793"/>
      <c r="N22" s="793"/>
      <c r="O22" s="793"/>
      <c r="P22" s="793"/>
    </row>
    <row r="23" spans="1:16" s="222" customFormat="1" ht="11.45" customHeight="1" x14ac:dyDescent="0.2">
      <c r="A23" s="153" t="s">
        <v>325</v>
      </c>
      <c r="B23" s="153"/>
      <c r="C23" s="433">
        <v>32813.800000000003</v>
      </c>
      <c r="D23" s="24">
        <v>25997.3</v>
      </c>
      <c r="E23" s="24">
        <v>946.4</v>
      </c>
      <c r="F23" s="24">
        <v>1696.8</v>
      </c>
      <c r="G23" s="24">
        <v>7334.2</v>
      </c>
      <c r="H23" s="24">
        <v>35974.699999999997</v>
      </c>
      <c r="I23" s="433">
        <v>-21226.400000000001</v>
      </c>
      <c r="J23" s="24">
        <v>14748.299999999996</v>
      </c>
      <c r="K23" s="51">
        <v>47562.1</v>
      </c>
      <c r="L23" s="793"/>
      <c r="M23" s="793"/>
      <c r="N23" s="793"/>
      <c r="O23" s="793"/>
      <c r="P23" s="793"/>
    </row>
    <row r="24" spans="1:16" s="222" customFormat="1" ht="11.45" customHeight="1" x14ac:dyDescent="0.2">
      <c r="A24" s="285" t="s">
        <v>85</v>
      </c>
      <c r="B24" s="285"/>
      <c r="C24" s="428">
        <v>43227.5</v>
      </c>
      <c r="D24" s="275">
        <v>28955.4</v>
      </c>
      <c r="E24" s="275">
        <v>853.1</v>
      </c>
      <c r="F24" s="275">
        <v>2022.1</v>
      </c>
      <c r="G24" s="275">
        <v>6846.8</v>
      </c>
      <c r="H24" s="275">
        <v>38677.4</v>
      </c>
      <c r="I24" s="428">
        <v>-19155.5</v>
      </c>
      <c r="J24" s="275">
        <v>19521.900000000001</v>
      </c>
      <c r="K24" s="270">
        <v>62749.4</v>
      </c>
      <c r="L24" s="793"/>
      <c r="M24" s="793"/>
      <c r="N24" s="793"/>
      <c r="O24" s="793"/>
      <c r="P24" s="793"/>
    </row>
    <row r="25" spans="1:16" s="222" customFormat="1" ht="11.45" customHeight="1" x14ac:dyDescent="0.2">
      <c r="A25" s="153" t="s">
        <v>81</v>
      </c>
      <c r="B25" s="153"/>
      <c r="C25" s="433">
        <v>61181</v>
      </c>
      <c r="D25" s="236">
        <v>22320.6</v>
      </c>
      <c r="E25" s="236">
        <v>830.7</v>
      </c>
      <c r="F25" s="236">
        <v>2588.6999999999998</v>
      </c>
      <c r="G25" s="236">
        <v>6613.9</v>
      </c>
      <c r="H25" s="236">
        <v>32353.9</v>
      </c>
      <c r="I25" s="433">
        <v>-19392.099999999999</v>
      </c>
      <c r="J25" s="236">
        <v>12961.800000000003</v>
      </c>
      <c r="K25" s="214">
        <v>74142.8</v>
      </c>
      <c r="L25" s="793"/>
      <c r="M25" s="793"/>
      <c r="N25" s="793"/>
      <c r="O25" s="793"/>
      <c r="P25" s="793"/>
    </row>
    <row r="26" spans="1:16" s="222" customFormat="1" ht="11.45" customHeight="1" x14ac:dyDescent="0.2">
      <c r="A26" s="285" t="s">
        <v>189</v>
      </c>
      <c r="B26" s="285"/>
      <c r="C26" s="428">
        <v>61342.1</v>
      </c>
      <c r="D26" s="275">
        <v>32049.7</v>
      </c>
      <c r="E26" s="275">
        <v>776.7</v>
      </c>
      <c r="F26" s="275">
        <v>3143.7</v>
      </c>
      <c r="G26" s="275">
        <v>18608.8</v>
      </c>
      <c r="H26" s="275">
        <v>54578.899999999994</v>
      </c>
      <c r="I26" s="428">
        <v>-26186.6</v>
      </c>
      <c r="J26" s="275">
        <v>28392.299999999996</v>
      </c>
      <c r="K26" s="270">
        <v>89734.399999999994</v>
      </c>
      <c r="L26" s="793"/>
      <c r="M26" s="793"/>
      <c r="N26" s="793"/>
      <c r="O26" s="793"/>
      <c r="P26" s="793"/>
    </row>
    <row r="27" spans="1:16" s="222" customFormat="1" ht="11.45" customHeight="1" x14ac:dyDescent="0.2">
      <c r="A27" s="153" t="s">
        <v>696</v>
      </c>
      <c r="B27" s="153"/>
      <c r="C27" s="214">
        <v>68930.100000000006</v>
      </c>
      <c r="D27" s="214">
        <v>38044</v>
      </c>
      <c r="E27" s="214">
        <v>1181.9000000000001</v>
      </c>
      <c r="F27" s="214">
        <v>3598.7</v>
      </c>
      <c r="G27" s="214">
        <v>22627.4</v>
      </c>
      <c r="H27" s="214">
        <v>65452</v>
      </c>
      <c r="I27" s="214">
        <v>-36579.4</v>
      </c>
      <c r="J27" s="214">
        <v>28872.6</v>
      </c>
      <c r="K27" s="214">
        <v>97802.700000000012</v>
      </c>
      <c r="L27" s="793"/>
      <c r="M27" s="793"/>
      <c r="N27" s="793"/>
      <c r="O27" s="793"/>
      <c r="P27" s="793"/>
    </row>
    <row r="28" spans="1:16" s="222" customFormat="1" ht="11.45" customHeight="1" x14ac:dyDescent="0.2">
      <c r="A28" s="533" t="s">
        <v>804</v>
      </c>
      <c r="B28" s="533"/>
      <c r="C28" s="428">
        <v>103246</v>
      </c>
      <c r="D28" s="428">
        <v>27069</v>
      </c>
      <c r="E28" s="275">
        <v>1354.5</v>
      </c>
      <c r="F28" s="275">
        <v>4180.2</v>
      </c>
      <c r="G28" s="275">
        <v>10219</v>
      </c>
      <c r="H28" s="275">
        <v>42822.7</v>
      </c>
      <c r="I28" s="428">
        <v>-33579.300000000003</v>
      </c>
      <c r="J28" s="270">
        <v>9243.3999999999942</v>
      </c>
      <c r="K28" s="270">
        <v>112489.4</v>
      </c>
      <c r="L28" s="531"/>
    </row>
    <row r="29" spans="1:16" s="532" customFormat="1" ht="11.45" customHeight="1" x14ac:dyDescent="0.2">
      <c r="A29" s="466" t="s">
        <v>978</v>
      </c>
      <c r="B29" s="466"/>
      <c r="C29" s="214">
        <v>147496.6</v>
      </c>
      <c r="D29" s="433">
        <v>3840.6</v>
      </c>
      <c r="E29" s="433">
        <v>1202.7</v>
      </c>
      <c r="F29" s="433">
        <v>4272.7</v>
      </c>
      <c r="G29" s="433">
        <v>6279.2</v>
      </c>
      <c r="H29" s="433">
        <v>15595.2</v>
      </c>
      <c r="I29" s="433">
        <v>-33216.5</v>
      </c>
      <c r="J29" s="433">
        <v>-17621.3</v>
      </c>
      <c r="K29" s="433">
        <v>129875.3</v>
      </c>
    </row>
    <row r="30" spans="1:16" s="534" customFormat="1" ht="11.45" customHeight="1" x14ac:dyDescent="0.2">
      <c r="A30" s="278" t="s">
        <v>1029</v>
      </c>
      <c r="B30" s="278"/>
      <c r="C30" s="428">
        <v>177401.3</v>
      </c>
      <c r="D30" s="428">
        <v>810.5</v>
      </c>
      <c r="E30" s="428">
        <v>2160.8000000000002</v>
      </c>
      <c r="F30" s="428">
        <v>4645.6000000000004</v>
      </c>
      <c r="G30" s="428">
        <v>5659.2</v>
      </c>
      <c r="H30" s="428">
        <v>13276.1</v>
      </c>
      <c r="I30" s="428">
        <v>-42194.9</v>
      </c>
      <c r="J30" s="428">
        <v>-28918.800000000003</v>
      </c>
      <c r="K30" s="428">
        <v>148482.5</v>
      </c>
      <c r="M30" s="535"/>
    </row>
    <row r="31" spans="1:16" s="420" customFormat="1" ht="11.45" customHeight="1" x14ac:dyDescent="0.2">
      <c r="A31" s="212" t="s">
        <v>1150</v>
      </c>
      <c r="B31" s="212"/>
      <c r="C31" s="433">
        <v>218904.1</v>
      </c>
      <c r="D31" s="433">
        <v>13373.7</v>
      </c>
      <c r="E31" s="433">
        <v>2015.5</v>
      </c>
      <c r="F31" s="433">
        <v>4966.8999999999996</v>
      </c>
      <c r="G31" s="433">
        <v>6024.4</v>
      </c>
      <c r="H31" s="433">
        <v>26380.5</v>
      </c>
      <c r="I31" s="433">
        <v>-52083.3</v>
      </c>
      <c r="J31" s="433">
        <v>-25702.800000000003</v>
      </c>
      <c r="K31" s="433">
        <v>193201.3</v>
      </c>
      <c r="M31" s="419"/>
    </row>
    <row r="32" spans="1:16" s="420" customFormat="1" ht="11.45" customHeight="1" x14ac:dyDescent="0.2">
      <c r="A32" s="268" t="s">
        <v>1174</v>
      </c>
      <c r="B32" s="268"/>
      <c r="C32" s="428">
        <v>252027</v>
      </c>
      <c r="D32" s="428">
        <v>12977.7</v>
      </c>
      <c r="E32" s="428">
        <v>2157.8000000000002</v>
      </c>
      <c r="F32" s="428">
        <v>4976.6000000000004</v>
      </c>
      <c r="G32" s="428">
        <v>5054.3999999999996</v>
      </c>
      <c r="H32" s="428">
        <v>25166.5</v>
      </c>
      <c r="I32" s="428">
        <v>-52534.1</v>
      </c>
      <c r="J32" s="428">
        <v>-27367.599999999999</v>
      </c>
      <c r="K32" s="428">
        <v>224659.4</v>
      </c>
      <c r="M32" s="419"/>
    </row>
    <row r="33" spans="1:14" s="420" customFormat="1" ht="11.45" customHeight="1" x14ac:dyDescent="0.2">
      <c r="A33" s="212" t="s">
        <v>1296</v>
      </c>
      <c r="B33" s="212"/>
      <c r="C33" s="433">
        <v>253509.8</v>
      </c>
      <c r="D33" s="433">
        <v>22572.2</v>
      </c>
      <c r="E33" s="433">
        <v>2367.8000000000002</v>
      </c>
      <c r="F33" s="433">
        <v>5146.2</v>
      </c>
      <c r="G33" s="433">
        <v>5582.5</v>
      </c>
      <c r="H33" s="433">
        <v>35668.699999999997</v>
      </c>
      <c r="I33" s="433">
        <v>-55435.5</v>
      </c>
      <c r="J33" s="433">
        <v>-19766.800000000003</v>
      </c>
      <c r="K33" s="433">
        <v>233743</v>
      </c>
      <c r="M33" s="419"/>
    </row>
    <row r="34" spans="1:14" s="208" customFormat="1" ht="11.45" customHeight="1" x14ac:dyDescent="0.15">
      <c r="A34" s="304" t="s">
        <v>1404</v>
      </c>
      <c r="B34" s="304"/>
      <c r="C34" s="428">
        <v>257195.4</v>
      </c>
      <c r="D34" s="428">
        <v>31189</v>
      </c>
      <c r="E34" s="428">
        <v>2380.4</v>
      </c>
      <c r="F34" s="428">
        <v>4789.5</v>
      </c>
      <c r="G34" s="428">
        <v>5386.9</v>
      </c>
      <c r="H34" s="428">
        <v>43745.8</v>
      </c>
      <c r="I34" s="428">
        <v>-54753.5</v>
      </c>
      <c r="J34" s="428">
        <v>-11007.699999999997</v>
      </c>
      <c r="K34" s="428">
        <v>246187.7</v>
      </c>
      <c r="L34" s="562"/>
    </row>
    <row r="35" spans="1:14" ht="11.45" customHeight="1" x14ac:dyDescent="0.2">
      <c r="A35" s="153" t="s">
        <v>1484</v>
      </c>
      <c r="B35" s="153"/>
      <c r="C35" s="433">
        <v>286040.90000000002</v>
      </c>
      <c r="D35" s="433">
        <v>42117.1</v>
      </c>
      <c r="E35" s="433">
        <v>2551.9</v>
      </c>
      <c r="F35" s="433">
        <v>5342.5</v>
      </c>
      <c r="G35" s="433">
        <v>13764.9</v>
      </c>
      <c r="H35" s="433">
        <v>63776.4</v>
      </c>
      <c r="I35" s="433">
        <v>-65333.9</v>
      </c>
      <c r="J35" s="433">
        <v>-1557.5</v>
      </c>
      <c r="K35" s="433">
        <v>284483.40000000002</v>
      </c>
    </row>
    <row r="36" spans="1:14" ht="11.45" customHeight="1" x14ac:dyDescent="0.2">
      <c r="A36" s="285" t="s">
        <v>1536</v>
      </c>
      <c r="B36" s="285"/>
      <c r="C36" s="428">
        <v>366917.3</v>
      </c>
      <c r="D36" s="428">
        <v>17285.5</v>
      </c>
      <c r="E36" s="428">
        <v>3218.1</v>
      </c>
      <c r="F36" s="428">
        <v>5838.7</v>
      </c>
      <c r="G36" s="428">
        <v>18952.3</v>
      </c>
      <c r="H36" s="428">
        <v>45294.6</v>
      </c>
      <c r="I36" s="428">
        <v>-64140.1</v>
      </c>
      <c r="J36" s="428">
        <v>-18845.5</v>
      </c>
      <c r="K36" s="428">
        <v>348071.8</v>
      </c>
      <c r="M36" s="163"/>
      <c r="N36" s="163"/>
    </row>
    <row r="37" spans="1:14" ht="11.45" customHeight="1" x14ac:dyDescent="0.2">
      <c r="A37" s="153" t="s">
        <v>1817</v>
      </c>
      <c r="B37" s="153"/>
      <c r="C37" s="433">
        <v>347757.7</v>
      </c>
      <c r="D37" s="433">
        <v>54930</v>
      </c>
      <c r="E37" s="433">
        <v>3435.6</v>
      </c>
      <c r="F37" s="433">
        <v>5935.9</v>
      </c>
      <c r="G37" s="433">
        <v>16073.9</v>
      </c>
      <c r="H37" s="433">
        <v>80375.399999999994</v>
      </c>
      <c r="I37" s="433">
        <v>-80971.099999999977</v>
      </c>
      <c r="J37" s="433">
        <v>-595.69999999998254</v>
      </c>
      <c r="K37" s="433">
        <v>347162</v>
      </c>
      <c r="L37" s="433"/>
      <c r="M37" s="163"/>
      <c r="N37" s="163"/>
    </row>
    <row r="38" spans="1:14" ht="11.45" customHeight="1" x14ac:dyDescent="0.2">
      <c r="A38" s="304" t="s">
        <v>2066</v>
      </c>
      <c r="B38" s="304"/>
      <c r="C38" s="428">
        <v>287497.5</v>
      </c>
      <c r="D38" s="428">
        <v>157411.9</v>
      </c>
      <c r="E38" s="428">
        <v>3893.4</v>
      </c>
      <c r="F38" s="428">
        <v>7351.5</v>
      </c>
      <c r="G38" s="428">
        <v>61847.199999999997</v>
      </c>
      <c r="H38" s="428">
        <v>230504</v>
      </c>
      <c r="I38" s="428">
        <v>-134416.29999999999</v>
      </c>
      <c r="J38" s="428">
        <v>96087.700000000012</v>
      </c>
      <c r="K38" s="428">
        <v>383585.2</v>
      </c>
      <c r="L38" s="433"/>
      <c r="M38" s="163"/>
      <c r="N38" s="163"/>
    </row>
    <row r="39" spans="1:14" ht="11.45" customHeight="1" x14ac:dyDescent="0.2">
      <c r="A39" s="234" t="s">
        <v>2206</v>
      </c>
      <c r="B39" s="234"/>
      <c r="C39" s="433">
        <f>C222</f>
        <v>245780.7</v>
      </c>
      <c r="D39" s="433">
        <f t="shared" ref="D39:K39" si="0">D222</f>
        <v>145932.20000000001</v>
      </c>
      <c r="E39" s="433">
        <f t="shared" si="0"/>
        <v>4208.5</v>
      </c>
      <c r="F39" s="433">
        <f t="shared" si="0"/>
        <v>8781.9</v>
      </c>
      <c r="G39" s="433">
        <f t="shared" si="0"/>
        <v>170115.4</v>
      </c>
      <c r="H39" s="433">
        <f t="shared" si="0"/>
        <v>329038</v>
      </c>
      <c r="I39" s="433">
        <f t="shared" si="0"/>
        <v>-161171.70000000001</v>
      </c>
      <c r="J39" s="433">
        <f t="shared" si="0"/>
        <v>167866.3</v>
      </c>
      <c r="K39" s="433">
        <f t="shared" si="0"/>
        <v>413647</v>
      </c>
      <c r="L39" s="433"/>
      <c r="M39" s="163"/>
      <c r="N39" s="163"/>
    </row>
    <row r="40" spans="1:14" ht="11.45" customHeight="1" x14ac:dyDescent="0.2">
      <c r="A40" s="234" t="s">
        <v>2479</v>
      </c>
      <c r="B40" s="234"/>
      <c r="C40" s="433">
        <v>293991.7</v>
      </c>
      <c r="D40" s="433">
        <v>85426.8</v>
      </c>
      <c r="E40" s="433">
        <v>7157.5</v>
      </c>
      <c r="F40" s="433">
        <v>9287.5</v>
      </c>
      <c r="G40" s="433">
        <v>216923.6</v>
      </c>
      <c r="H40" s="433">
        <v>318795.40000000002</v>
      </c>
      <c r="I40" s="433">
        <v>-199608.1</v>
      </c>
      <c r="J40" s="433">
        <v>119187.30000000002</v>
      </c>
      <c r="K40" s="433">
        <v>413179</v>
      </c>
      <c r="L40" s="433"/>
      <c r="M40" s="163"/>
      <c r="N40" s="163"/>
    </row>
    <row r="41" spans="1:14" ht="11.45" customHeight="1" x14ac:dyDescent="0.2">
      <c r="A41" s="234"/>
      <c r="B41" s="234"/>
      <c r="C41" s="433"/>
      <c r="D41" s="433"/>
      <c r="E41" s="433"/>
      <c r="F41" s="433"/>
      <c r="G41" s="433"/>
      <c r="H41" s="433"/>
      <c r="I41" s="433"/>
      <c r="J41" s="433"/>
      <c r="K41" s="433"/>
      <c r="L41" s="433"/>
      <c r="M41" s="163"/>
      <c r="N41" s="163"/>
    </row>
    <row r="42" spans="1:14" ht="11.45" customHeight="1" x14ac:dyDescent="0.2">
      <c r="A42" s="285"/>
      <c r="B42" s="285"/>
      <c r="C42" s="428"/>
      <c r="D42" s="428"/>
      <c r="E42" s="428"/>
      <c r="F42" s="428"/>
      <c r="G42" s="428"/>
      <c r="H42" s="428"/>
      <c r="I42" s="428"/>
      <c r="J42" s="428"/>
      <c r="K42" s="428"/>
      <c r="L42" s="433"/>
      <c r="M42" s="163"/>
      <c r="N42" s="163"/>
    </row>
    <row r="43" spans="1:14" ht="11.45" customHeight="1" x14ac:dyDescent="0.2">
      <c r="A43" s="285" t="s">
        <v>81</v>
      </c>
      <c r="B43" s="285" t="s">
        <v>552</v>
      </c>
      <c r="C43" s="793">
        <f>47089.8-505.5</f>
        <v>46584.3</v>
      </c>
      <c r="D43" s="1654">
        <v>24460.6</v>
      </c>
      <c r="E43" s="1654">
        <v>808.1</v>
      </c>
      <c r="F43" s="1654">
        <v>2027.5</v>
      </c>
      <c r="G43" s="1654">
        <v>6006.8</v>
      </c>
      <c r="H43" s="1654">
        <f t="shared" ref="H43:H54" si="1">D43+E43+F43+G43</f>
        <v>33303</v>
      </c>
      <c r="I43" s="1654">
        <f>-1933.8-24509.7-10244+24509.7</f>
        <v>-12177.8</v>
      </c>
      <c r="J43" s="1654">
        <f t="shared" ref="J43:J54" si="2">H43+I43</f>
        <v>21125.200000000001</v>
      </c>
      <c r="K43" s="1654">
        <f t="shared" ref="K43:K54" si="3">C43+J43</f>
        <v>67709.5</v>
      </c>
      <c r="L43" s="433"/>
      <c r="M43" s="163"/>
      <c r="N43" s="163"/>
    </row>
    <row r="44" spans="1:14" ht="11.45" customHeight="1" x14ac:dyDescent="0.2">
      <c r="A44" s="285" t="s">
        <v>81</v>
      </c>
      <c r="B44" s="153" t="s">
        <v>553</v>
      </c>
      <c r="C44" s="793">
        <f>54983.4-4778.7</f>
        <v>50204.700000000004</v>
      </c>
      <c r="D44" s="1654">
        <v>22469.5</v>
      </c>
      <c r="E44" s="1654">
        <v>798.6</v>
      </c>
      <c r="F44" s="1654">
        <v>2058.1</v>
      </c>
      <c r="G44" s="1654">
        <v>5948.9</v>
      </c>
      <c r="H44" s="1654">
        <f t="shared" si="1"/>
        <v>31275.1</v>
      </c>
      <c r="I44" s="1654">
        <v>-12949.2</v>
      </c>
      <c r="J44" s="1654">
        <f t="shared" si="2"/>
        <v>18325.899999999998</v>
      </c>
      <c r="K44" s="1654">
        <f t="shared" si="3"/>
        <v>68530.600000000006</v>
      </c>
      <c r="L44" s="433"/>
      <c r="M44" s="163"/>
      <c r="N44" s="163"/>
    </row>
    <row r="45" spans="1:14" ht="11.45" customHeight="1" x14ac:dyDescent="0.2">
      <c r="A45" s="285" t="s">
        <v>81</v>
      </c>
      <c r="B45" s="285" t="s">
        <v>547</v>
      </c>
      <c r="C45" s="793">
        <v>52883.4</v>
      </c>
      <c r="D45" s="1654">
        <v>23039.5</v>
      </c>
      <c r="E45" s="1654">
        <v>791.6</v>
      </c>
      <c r="F45" s="1654">
        <v>2105.9</v>
      </c>
      <c r="G45" s="1654">
        <v>5983.3</v>
      </c>
      <c r="H45" s="1654">
        <f t="shared" si="1"/>
        <v>31920.3</v>
      </c>
      <c r="I45" s="1654">
        <v>-10202.200000000001</v>
      </c>
      <c r="J45" s="1654">
        <f t="shared" si="2"/>
        <v>21718.1</v>
      </c>
      <c r="K45" s="1654">
        <f t="shared" si="3"/>
        <v>74601.5</v>
      </c>
      <c r="L45" s="433"/>
      <c r="M45" s="163"/>
      <c r="N45" s="163"/>
    </row>
    <row r="46" spans="1:14" ht="11.45" customHeight="1" x14ac:dyDescent="0.2">
      <c r="A46" s="285" t="s">
        <v>81</v>
      </c>
      <c r="B46" s="153" t="s">
        <v>554</v>
      </c>
      <c r="C46" s="793">
        <v>52322.5</v>
      </c>
      <c r="D46" s="1654">
        <v>19407.3</v>
      </c>
      <c r="E46" s="1654">
        <v>786.6</v>
      </c>
      <c r="F46" s="1654">
        <v>2135.3000000000002</v>
      </c>
      <c r="G46" s="1654">
        <v>5948.9</v>
      </c>
      <c r="H46" s="1654">
        <f t="shared" si="1"/>
        <v>28278.1</v>
      </c>
      <c r="I46" s="1654">
        <v>-11828.3</v>
      </c>
      <c r="J46" s="1654">
        <f t="shared" si="2"/>
        <v>16449.8</v>
      </c>
      <c r="K46" s="1654">
        <f t="shared" si="3"/>
        <v>68772.3</v>
      </c>
      <c r="L46" s="433"/>
      <c r="M46" s="163"/>
      <c r="N46" s="163"/>
    </row>
    <row r="47" spans="1:14" ht="11.45" customHeight="1" x14ac:dyDescent="0.2">
      <c r="A47" s="285" t="s">
        <v>81</v>
      </c>
      <c r="B47" s="285" t="s">
        <v>555</v>
      </c>
      <c r="C47" s="793">
        <v>59319.3</v>
      </c>
      <c r="D47" s="1654">
        <v>14751.6</v>
      </c>
      <c r="E47" s="1654">
        <v>786.6</v>
      </c>
      <c r="F47" s="1654">
        <v>2268.6999999999998</v>
      </c>
      <c r="G47" s="1654">
        <v>8387.6</v>
      </c>
      <c r="H47" s="1654">
        <f t="shared" si="1"/>
        <v>26194.5</v>
      </c>
      <c r="I47" s="1654">
        <v>-12187.6</v>
      </c>
      <c r="J47" s="1654">
        <f t="shared" si="2"/>
        <v>14006.9</v>
      </c>
      <c r="K47" s="1654">
        <f t="shared" si="3"/>
        <v>73326.2</v>
      </c>
      <c r="L47" s="433"/>
      <c r="M47" s="163"/>
      <c r="N47" s="163"/>
    </row>
    <row r="48" spans="1:14" ht="11.45" customHeight="1" x14ac:dyDescent="0.2">
      <c r="A48" s="285" t="s">
        <v>81</v>
      </c>
      <c r="B48" s="153" t="s">
        <v>548</v>
      </c>
      <c r="C48" s="793">
        <v>58158.9</v>
      </c>
      <c r="D48" s="1654">
        <v>13354.3</v>
      </c>
      <c r="E48" s="1654">
        <v>784.9</v>
      </c>
      <c r="F48" s="1654">
        <v>2383.6</v>
      </c>
      <c r="G48" s="1654">
        <v>7168.9</v>
      </c>
      <c r="H48" s="1654">
        <f t="shared" si="1"/>
        <v>23691.699999999997</v>
      </c>
      <c r="I48" s="1654">
        <v>-11284.2</v>
      </c>
      <c r="J48" s="1654">
        <f t="shared" si="2"/>
        <v>12407.499999999996</v>
      </c>
      <c r="K48" s="1654">
        <f t="shared" si="3"/>
        <v>70566.399999999994</v>
      </c>
      <c r="L48" s="433"/>
      <c r="M48" s="163"/>
      <c r="N48" s="163"/>
    </row>
    <row r="49" spans="1:14" ht="11.45" customHeight="1" x14ac:dyDescent="0.2">
      <c r="A49" s="285" t="s">
        <v>81</v>
      </c>
      <c r="B49" s="285" t="s">
        <v>556</v>
      </c>
      <c r="C49" s="793">
        <v>57915.7</v>
      </c>
      <c r="D49" s="1654">
        <v>13848.1</v>
      </c>
      <c r="E49" s="1654">
        <v>802.4</v>
      </c>
      <c r="F49" s="1654">
        <v>2413</v>
      </c>
      <c r="G49" s="1654">
        <v>6210.3</v>
      </c>
      <c r="H49" s="1654">
        <f t="shared" si="1"/>
        <v>23273.8</v>
      </c>
      <c r="I49" s="1654">
        <v>-10396.5</v>
      </c>
      <c r="J49" s="1654">
        <f t="shared" si="2"/>
        <v>12877.3</v>
      </c>
      <c r="K49" s="1654">
        <f t="shared" si="3"/>
        <v>70793</v>
      </c>
      <c r="L49" s="433"/>
      <c r="M49" s="163"/>
      <c r="N49" s="163"/>
    </row>
    <row r="50" spans="1:14" ht="11.45" customHeight="1" x14ac:dyDescent="0.2">
      <c r="A50" s="285" t="s">
        <v>81</v>
      </c>
      <c r="B50" s="153" t="s">
        <v>557</v>
      </c>
      <c r="C50" s="793">
        <v>59371.3</v>
      </c>
      <c r="D50" s="1654">
        <v>15288.6</v>
      </c>
      <c r="E50" s="1654">
        <v>796.7</v>
      </c>
      <c r="F50" s="1654">
        <v>2291.6</v>
      </c>
      <c r="G50" s="1654">
        <v>5771</v>
      </c>
      <c r="H50" s="1654">
        <f t="shared" si="1"/>
        <v>24147.9</v>
      </c>
      <c r="I50" s="1654">
        <v>-10400.200000000001</v>
      </c>
      <c r="J50" s="1654">
        <f t="shared" si="2"/>
        <v>13747.7</v>
      </c>
      <c r="K50" s="1654">
        <f t="shared" si="3"/>
        <v>73119</v>
      </c>
      <c r="L50" s="433"/>
      <c r="M50" s="163"/>
      <c r="N50" s="163"/>
    </row>
    <row r="51" spans="1:14" ht="11.45" customHeight="1" x14ac:dyDescent="0.2">
      <c r="A51" s="285" t="s">
        <v>81</v>
      </c>
      <c r="B51" s="285" t="s">
        <v>549</v>
      </c>
      <c r="C51" s="793">
        <v>58078.1</v>
      </c>
      <c r="D51" s="1654">
        <v>13559.7</v>
      </c>
      <c r="E51" s="1654">
        <v>796.7</v>
      </c>
      <c r="F51" s="1654">
        <v>2378.8000000000002</v>
      </c>
      <c r="G51" s="1654">
        <v>5780.6</v>
      </c>
      <c r="H51" s="1654">
        <f t="shared" si="1"/>
        <v>22515.800000000003</v>
      </c>
      <c r="I51" s="1654">
        <v>-11040.7</v>
      </c>
      <c r="J51" s="1654">
        <f t="shared" si="2"/>
        <v>11475.100000000002</v>
      </c>
      <c r="K51" s="1654">
        <f t="shared" si="3"/>
        <v>69553.2</v>
      </c>
      <c r="L51" s="433"/>
      <c r="M51" s="163"/>
      <c r="N51" s="163"/>
    </row>
    <row r="52" spans="1:14" ht="11.45" customHeight="1" x14ac:dyDescent="0.2">
      <c r="A52" s="285" t="s">
        <v>81</v>
      </c>
      <c r="B52" s="153" t="s">
        <v>558</v>
      </c>
      <c r="C52" s="793">
        <v>59147.199999999997</v>
      </c>
      <c r="D52" s="1654">
        <v>15640</v>
      </c>
      <c r="E52" s="1654">
        <v>794.7</v>
      </c>
      <c r="F52" s="1654">
        <v>2418.6</v>
      </c>
      <c r="G52" s="1654">
        <v>5761.8</v>
      </c>
      <c r="H52" s="1654">
        <f t="shared" si="1"/>
        <v>24615.1</v>
      </c>
      <c r="I52" s="1654">
        <v>-13216.4</v>
      </c>
      <c r="J52" s="1654">
        <f t="shared" si="2"/>
        <v>11398.699999999999</v>
      </c>
      <c r="K52" s="1654">
        <f t="shared" si="3"/>
        <v>70545.899999999994</v>
      </c>
      <c r="L52" s="433"/>
      <c r="M52" s="163"/>
      <c r="N52" s="163"/>
    </row>
    <row r="53" spans="1:14" ht="11.45" customHeight="1" x14ac:dyDescent="0.2">
      <c r="A53" s="285" t="s">
        <v>81</v>
      </c>
      <c r="B53" s="285" t="s">
        <v>559</v>
      </c>
      <c r="C53" s="793">
        <v>59249.2</v>
      </c>
      <c r="D53" s="1654">
        <v>16761.7</v>
      </c>
      <c r="E53" s="1654">
        <v>794.7</v>
      </c>
      <c r="F53" s="1654">
        <v>2465</v>
      </c>
      <c r="G53" s="1654">
        <v>5884.7</v>
      </c>
      <c r="H53" s="1654">
        <f t="shared" si="1"/>
        <v>25906.100000000002</v>
      </c>
      <c r="I53" s="1654">
        <v>-9478.6</v>
      </c>
      <c r="J53" s="1654">
        <f t="shared" si="2"/>
        <v>16427.5</v>
      </c>
      <c r="K53" s="1654">
        <f t="shared" si="3"/>
        <v>75676.7</v>
      </c>
      <c r="L53" s="433"/>
      <c r="M53" s="163"/>
      <c r="N53" s="163"/>
    </row>
    <row r="54" spans="1:14" ht="11.45" customHeight="1" x14ac:dyDescent="0.2">
      <c r="A54" s="285" t="s">
        <v>81</v>
      </c>
      <c r="B54" s="153" t="s">
        <v>550</v>
      </c>
      <c r="C54" s="793">
        <v>61204.9</v>
      </c>
      <c r="D54" s="1654">
        <v>22320.6</v>
      </c>
      <c r="E54" s="1654">
        <v>830.7</v>
      </c>
      <c r="F54" s="1654">
        <v>2588.6999999999998</v>
      </c>
      <c r="G54" s="1654">
        <v>6613.9</v>
      </c>
      <c r="H54" s="1654">
        <f t="shared" si="1"/>
        <v>32353.9</v>
      </c>
      <c r="I54" s="1654">
        <v>-13048.5</v>
      </c>
      <c r="J54" s="1654">
        <f t="shared" si="2"/>
        <v>19305.400000000001</v>
      </c>
      <c r="K54" s="1654">
        <f t="shared" si="3"/>
        <v>80510.3</v>
      </c>
      <c r="L54" s="433"/>
      <c r="M54" s="163"/>
      <c r="N54" s="163"/>
    </row>
    <row r="55" spans="1:14" ht="11.45" customHeight="1" x14ac:dyDescent="0.2">
      <c r="A55" s="285" t="s">
        <v>189</v>
      </c>
      <c r="B55" s="285" t="s">
        <v>552</v>
      </c>
      <c r="C55" s="793">
        <v>62920.5</v>
      </c>
      <c r="D55" s="1654">
        <v>20286.599999999999</v>
      </c>
      <c r="E55" s="1654">
        <v>786</v>
      </c>
      <c r="F55" s="1654">
        <v>2581</v>
      </c>
      <c r="G55" s="1654">
        <v>5843.6</v>
      </c>
      <c r="H55" s="1654">
        <f t="shared" ref="H55:H89" si="4">D55+E55+F55+G55</f>
        <v>29497.199999999997</v>
      </c>
      <c r="I55" s="1654">
        <f>-11560.4-6540.4</f>
        <v>-18100.8</v>
      </c>
      <c r="J55" s="1654">
        <f t="shared" ref="J55:J78" si="5">H55+I55</f>
        <v>11396.399999999998</v>
      </c>
      <c r="K55" s="1654">
        <f t="shared" ref="K55:K78" si="6">C55+J55</f>
        <v>74316.899999999994</v>
      </c>
      <c r="L55" s="433"/>
      <c r="M55" s="163"/>
      <c r="N55" s="163"/>
    </row>
    <row r="56" spans="1:14" ht="11.45" customHeight="1" x14ac:dyDescent="0.2">
      <c r="A56" s="285" t="s">
        <v>189</v>
      </c>
      <c r="B56" s="153" t="s">
        <v>553</v>
      </c>
      <c r="C56" s="279">
        <v>62212.1</v>
      </c>
      <c r="D56" s="274">
        <v>20582</v>
      </c>
      <c r="E56" s="274">
        <v>786</v>
      </c>
      <c r="F56" s="279">
        <v>2764.7</v>
      </c>
      <c r="G56" s="279">
        <v>6434.9</v>
      </c>
      <c r="H56" s="274">
        <f t="shared" si="4"/>
        <v>30567.599999999999</v>
      </c>
      <c r="I56" s="279">
        <f>-10703.6-5767.6</f>
        <v>-16471.2</v>
      </c>
      <c r="J56" s="274">
        <f t="shared" si="5"/>
        <v>14096.399999999998</v>
      </c>
      <c r="K56" s="274">
        <f t="shared" si="6"/>
        <v>76308.5</v>
      </c>
      <c r="L56" s="433"/>
      <c r="M56" s="163"/>
      <c r="N56" s="163"/>
    </row>
    <row r="57" spans="1:14" ht="11.45" customHeight="1" x14ac:dyDescent="0.2">
      <c r="A57" s="285" t="s">
        <v>189</v>
      </c>
      <c r="B57" s="285" t="s">
        <v>547</v>
      </c>
      <c r="C57" s="793">
        <v>64215.1</v>
      </c>
      <c r="D57" s="793">
        <v>23615.200000000001</v>
      </c>
      <c r="E57" s="1654">
        <v>773</v>
      </c>
      <c r="F57" s="793">
        <v>2660.3</v>
      </c>
      <c r="G57" s="793">
        <v>5910.4</v>
      </c>
      <c r="H57" s="1654">
        <f t="shared" si="4"/>
        <v>32958.9</v>
      </c>
      <c r="I57" s="1654">
        <f>-14752-5540.2</f>
        <v>-20292.2</v>
      </c>
      <c r="J57" s="1654">
        <f t="shared" si="5"/>
        <v>12666.7</v>
      </c>
      <c r="K57" s="1654">
        <f t="shared" si="6"/>
        <v>76881.8</v>
      </c>
      <c r="L57" s="433"/>
      <c r="M57" s="163"/>
      <c r="N57" s="163"/>
    </row>
    <row r="58" spans="1:14" ht="11.45" customHeight="1" x14ac:dyDescent="0.2">
      <c r="A58" s="285" t="s">
        <v>189</v>
      </c>
      <c r="B58" s="153" t="s">
        <v>554</v>
      </c>
      <c r="C58" s="274">
        <v>64743</v>
      </c>
      <c r="D58" s="274">
        <v>23917</v>
      </c>
      <c r="E58" s="274">
        <v>766</v>
      </c>
      <c r="F58" s="279">
        <v>2687.8</v>
      </c>
      <c r="G58" s="279">
        <v>6107.3</v>
      </c>
      <c r="H58" s="274">
        <f t="shared" si="4"/>
        <v>33478.1</v>
      </c>
      <c r="I58" s="279">
        <f>-16667.6-5190.9</f>
        <v>-21858.5</v>
      </c>
      <c r="J58" s="274">
        <f t="shared" si="5"/>
        <v>11619.599999999999</v>
      </c>
      <c r="K58" s="274">
        <f t="shared" si="6"/>
        <v>76362.600000000006</v>
      </c>
      <c r="L58" s="433"/>
      <c r="M58" s="163"/>
      <c r="N58" s="163"/>
    </row>
    <row r="59" spans="1:14" ht="11.45" customHeight="1" x14ac:dyDescent="0.2">
      <c r="A59" s="285" t="s">
        <v>189</v>
      </c>
      <c r="B59" s="285" t="s">
        <v>555</v>
      </c>
      <c r="C59" s="793">
        <v>62845.3</v>
      </c>
      <c r="D59" s="1654">
        <v>23632.3</v>
      </c>
      <c r="E59" s="1654">
        <v>766</v>
      </c>
      <c r="F59" s="793">
        <v>2813.6</v>
      </c>
      <c r="G59" s="793">
        <v>9085.2000000000007</v>
      </c>
      <c r="H59" s="1654">
        <f t="shared" si="4"/>
        <v>36297.1</v>
      </c>
      <c r="I59" s="793">
        <f>-13604.9-5055.9</f>
        <v>-18660.8</v>
      </c>
      <c r="J59" s="1654">
        <f t="shared" si="5"/>
        <v>17636.3</v>
      </c>
      <c r="K59" s="1654">
        <f t="shared" si="6"/>
        <v>80481.600000000006</v>
      </c>
      <c r="L59" s="433"/>
      <c r="M59" s="163"/>
      <c r="N59" s="163"/>
    </row>
    <row r="60" spans="1:14" ht="11.45" customHeight="1" x14ac:dyDescent="0.2">
      <c r="A60" s="285" t="s">
        <v>189</v>
      </c>
      <c r="B60" s="153" t="s">
        <v>548</v>
      </c>
      <c r="C60" s="274">
        <v>62926</v>
      </c>
      <c r="D60" s="274">
        <v>21093.599999999999</v>
      </c>
      <c r="E60" s="274">
        <v>747.3</v>
      </c>
      <c r="F60" s="279">
        <v>2905.1</v>
      </c>
      <c r="G60" s="279">
        <v>11969.5</v>
      </c>
      <c r="H60" s="274">
        <f t="shared" si="4"/>
        <v>36715.5</v>
      </c>
      <c r="I60" s="279">
        <f>-13738.2-3858.1</f>
        <v>-17596.3</v>
      </c>
      <c r="J60" s="274">
        <f t="shared" si="5"/>
        <v>19119.2</v>
      </c>
      <c r="K60" s="274">
        <f t="shared" si="6"/>
        <v>82045.2</v>
      </c>
      <c r="L60" s="433"/>
      <c r="M60" s="163"/>
      <c r="N60" s="163"/>
    </row>
    <row r="61" spans="1:14" ht="11.45" customHeight="1" x14ac:dyDescent="0.2">
      <c r="A61" s="285" t="s">
        <v>189</v>
      </c>
      <c r="B61" s="285" t="s">
        <v>556</v>
      </c>
      <c r="C61" s="1654">
        <v>60352.9</v>
      </c>
      <c r="D61" s="1654">
        <v>20369.599999999999</v>
      </c>
      <c r="E61" s="1654">
        <v>1147.3</v>
      </c>
      <c r="F61" s="793">
        <v>2947.8</v>
      </c>
      <c r="G61" s="793">
        <v>12034.4</v>
      </c>
      <c r="H61" s="1654">
        <f t="shared" si="4"/>
        <v>36499.1</v>
      </c>
      <c r="I61" s="793">
        <f>-12799.8-2461.4</f>
        <v>-15261.199999999999</v>
      </c>
      <c r="J61" s="1654">
        <f t="shared" si="5"/>
        <v>21237.9</v>
      </c>
      <c r="K61" s="1654">
        <f t="shared" si="6"/>
        <v>81590.8</v>
      </c>
      <c r="L61" s="433"/>
      <c r="M61" s="163"/>
      <c r="N61" s="163"/>
    </row>
    <row r="62" spans="1:14" ht="11.45" customHeight="1" x14ac:dyDescent="0.2">
      <c r="A62" s="285" t="s">
        <v>189</v>
      </c>
      <c r="B62" s="153" t="s">
        <v>557</v>
      </c>
      <c r="C62" s="274">
        <v>60373</v>
      </c>
      <c r="D62" s="274">
        <v>19253.3</v>
      </c>
      <c r="E62" s="274">
        <v>1347.3</v>
      </c>
      <c r="F62" s="279">
        <v>2996.2</v>
      </c>
      <c r="G62" s="279">
        <v>17509.599999999999</v>
      </c>
      <c r="H62" s="274">
        <f t="shared" si="4"/>
        <v>41106.399999999994</v>
      </c>
      <c r="I62" s="279">
        <f>-13171.8-5753.9</f>
        <v>-18925.699999999997</v>
      </c>
      <c r="J62" s="274">
        <f t="shared" si="5"/>
        <v>22180.699999999997</v>
      </c>
      <c r="K62" s="274">
        <f t="shared" si="6"/>
        <v>82553.7</v>
      </c>
      <c r="L62" s="433"/>
      <c r="M62" s="163"/>
      <c r="N62" s="163"/>
    </row>
    <row r="63" spans="1:14" ht="11.45" customHeight="1" x14ac:dyDescent="0.2">
      <c r="A63" s="285" t="s">
        <v>189</v>
      </c>
      <c r="B63" s="285" t="s">
        <v>549</v>
      </c>
      <c r="C63" s="1654">
        <v>60003</v>
      </c>
      <c r="D63" s="1654">
        <v>22200.1</v>
      </c>
      <c r="E63" s="1654">
        <v>1345.3</v>
      </c>
      <c r="F63" s="793">
        <v>3044.1</v>
      </c>
      <c r="G63" s="793">
        <v>16516.3</v>
      </c>
      <c r="H63" s="1654">
        <f t="shared" si="4"/>
        <v>43105.799999999996</v>
      </c>
      <c r="I63" s="793">
        <f>-15093.8-5793.5</f>
        <v>-20887.3</v>
      </c>
      <c r="J63" s="1654">
        <f t="shared" si="5"/>
        <v>22218.499999999996</v>
      </c>
      <c r="K63" s="1654">
        <f t="shared" si="6"/>
        <v>82221.5</v>
      </c>
      <c r="L63" s="433"/>
      <c r="M63" s="163"/>
      <c r="N63" s="163"/>
    </row>
    <row r="64" spans="1:14" ht="11.45" customHeight="1" x14ac:dyDescent="0.2">
      <c r="A64" s="285" t="s">
        <v>189</v>
      </c>
      <c r="B64" s="153" t="s">
        <v>558</v>
      </c>
      <c r="C64" s="274">
        <v>61400.5</v>
      </c>
      <c r="D64" s="274">
        <v>24208.400000000001</v>
      </c>
      <c r="E64" s="274">
        <v>945.3</v>
      </c>
      <c r="F64" s="279">
        <v>3057.9</v>
      </c>
      <c r="G64" s="279">
        <v>16718.599999999999</v>
      </c>
      <c r="H64" s="274">
        <f t="shared" si="4"/>
        <v>44930.2</v>
      </c>
      <c r="I64" s="279">
        <f>-17071.5-6031.7</f>
        <v>-23103.200000000001</v>
      </c>
      <c r="J64" s="274">
        <f t="shared" si="5"/>
        <v>21826.999999999996</v>
      </c>
      <c r="K64" s="274">
        <f t="shared" si="6"/>
        <v>83227.5</v>
      </c>
      <c r="L64" s="433"/>
      <c r="M64" s="163"/>
      <c r="N64" s="163"/>
    </row>
    <row r="65" spans="1:14" ht="11.45" customHeight="1" x14ac:dyDescent="0.2">
      <c r="A65" s="285" t="s">
        <v>189</v>
      </c>
      <c r="B65" s="285" t="s">
        <v>559</v>
      </c>
      <c r="C65" s="1654">
        <v>60014.3</v>
      </c>
      <c r="D65" s="1654">
        <v>25295.1</v>
      </c>
      <c r="E65" s="1654">
        <v>739.3</v>
      </c>
      <c r="F65" s="793">
        <v>3054.5</v>
      </c>
      <c r="G65" s="793">
        <v>17896.400000000001</v>
      </c>
      <c r="H65" s="1654">
        <f t="shared" si="4"/>
        <v>46985.3</v>
      </c>
      <c r="I65" s="793">
        <f>-15612.9-6042.9</f>
        <v>-21655.8</v>
      </c>
      <c r="J65" s="1654">
        <f t="shared" si="5"/>
        <v>25329.500000000004</v>
      </c>
      <c r="K65" s="1654">
        <f t="shared" si="6"/>
        <v>85343.8</v>
      </c>
      <c r="L65" s="433"/>
      <c r="M65" s="163"/>
      <c r="N65" s="163"/>
    </row>
    <row r="66" spans="1:14" ht="11.45" customHeight="1" x14ac:dyDescent="0.2">
      <c r="A66" s="285" t="s">
        <v>189</v>
      </c>
      <c r="B66" s="153" t="s">
        <v>550</v>
      </c>
      <c r="C66" s="274">
        <v>61388.7</v>
      </c>
      <c r="D66" s="274">
        <v>32049.7</v>
      </c>
      <c r="E66" s="274">
        <v>776.7</v>
      </c>
      <c r="F66" s="279">
        <v>3143.7</v>
      </c>
      <c r="G66" s="279">
        <v>18608.8</v>
      </c>
      <c r="H66" s="274">
        <f t="shared" si="4"/>
        <v>54578.899999999994</v>
      </c>
      <c r="I66" s="279">
        <f>-18466.7-7766.5</f>
        <v>-26233.200000000001</v>
      </c>
      <c r="J66" s="274">
        <f t="shared" si="5"/>
        <v>28345.699999999993</v>
      </c>
      <c r="K66" s="274">
        <f t="shared" si="6"/>
        <v>89734.399999999994</v>
      </c>
      <c r="L66" s="433"/>
      <c r="M66" s="163"/>
      <c r="N66" s="163"/>
    </row>
    <row r="67" spans="1:14" ht="11.45" customHeight="1" x14ac:dyDescent="0.2">
      <c r="A67" s="285" t="s">
        <v>696</v>
      </c>
      <c r="B67" s="285" t="s">
        <v>552</v>
      </c>
      <c r="C67" s="428">
        <v>62089.4</v>
      </c>
      <c r="D67" s="270">
        <v>32549</v>
      </c>
      <c r="E67" s="270">
        <v>737.7</v>
      </c>
      <c r="F67" s="275">
        <v>3038.2</v>
      </c>
      <c r="G67" s="275">
        <v>16802.2</v>
      </c>
      <c r="H67" s="270">
        <f t="shared" si="4"/>
        <v>53127.099999999991</v>
      </c>
      <c r="I67" s="428">
        <v>-26288.799999999999</v>
      </c>
      <c r="J67" s="270">
        <f t="shared" si="5"/>
        <v>26838.299999999992</v>
      </c>
      <c r="K67" s="270">
        <f t="shared" si="6"/>
        <v>88927.7</v>
      </c>
      <c r="L67" s="433"/>
      <c r="M67" s="163"/>
      <c r="N67" s="163"/>
    </row>
    <row r="68" spans="1:14" ht="11.45" customHeight="1" x14ac:dyDescent="0.2">
      <c r="A68" s="285" t="s">
        <v>696</v>
      </c>
      <c r="B68" s="153" t="s">
        <v>553</v>
      </c>
      <c r="C68" s="433">
        <v>63760.3</v>
      </c>
      <c r="D68" s="214">
        <v>34170.9</v>
      </c>
      <c r="E68" s="214">
        <v>692.7</v>
      </c>
      <c r="F68" s="236">
        <v>3070.4</v>
      </c>
      <c r="G68" s="236">
        <v>20897.5</v>
      </c>
      <c r="H68" s="214">
        <f t="shared" si="4"/>
        <v>58831.5</v>
      </c>
      <c r="I68" s="433">
        <v>-26183.7</v>
      </c>
      <c r="J68" s="214">
        <f t="shared" si="5"/>
        <v>32647.8</v>
      </c>
      <c r="K68" s="214">
        <f t="shared" si="6"/>
        <v>96408.1</v>
      </c>
      <c r="L68" s="433"/>
      <c r="M68" s="163"/>
      <c r="N68" s="163"/>
    </row>
    <row r="69" spans="1:14" ht="11.45" customHeight="1" x14ac:dyDescent="0.2">
      <c r="A69" s="285" t="s">
        <v>696</v>
      </c>
      <c r="B69" s="285" t="s">
        <v>547</v>
      </c>
      <c r="C69" s="428">
        <v>60230.6</v>
      </c>
      <c r="D69" s="270">
        <v>36722.800000000003</v>
      </c>
      <c r="E69" s="270">
        <v>687.5</v>
      </c>
      <c r="F69" s="270">
        <v>3066</v>
      </c>
      <c r="G69" s="275">
        <v>12837.3</v>
      </c>
      <c r="H69" s="270">
        <f t="shared" si="4"/>
        <v>53313.600000000006</v>
      </c>
      <c r="I69" s="428">
        <v>-23044.9</v>
      </c>
      <c r="J69" s="270">
        <f t="shared" si="5"/>
        <v>30268.700000000004</v>
      </c>
      <c r="K69" s="270">
        <f t="shared" si="6"/>
        <v>90499.3</v>
      </c>
      <c r="L69" s="433"/>
      <c r="M69" s="163"/>
      <c r="N69" s="163"/>
    </row>
    <row r="70" spans="1:14" ht="11.45" customHeight="1" x14ac:dyDescent="0.2">
      <c r="A70" s="285" t="s">
        <v>696</v>
      </c>
      <c r="B70" s="153" t="s">
        <v>554</v>
      </c>
      <c r="C70" s="433">
        <v>59884</v>
      </c>
      <c r="D70" s="214">
        <v>39902.199999999997</v>
      </c>
      <c r="E70" s="214">
        <v>687.7</v>
      </c>
      <c r="F70" s="236">
        <v>3033.6</v>
      </c>
      <c r="G70" s="236">
        <v>15843.1</v>
      </c>
      <c r="H70" s="214">
        <f t="shared" si="4"/>
        <v>59466.599999999991</v>
      </c>
      <c r="I70" s="433">
        <v>-25627.9</v>
      </c>
      <c r="J70" s="214">
        <f t="shared" si="5"/>
        <v>33838.69999999999</v>
      </c>
      <c r="K70" s="214">
        <f t="shared" si="6"/>
        <v>93722.699999999983</v>
      </c>
      <c r="L70" s="433"/>
      <c r="M70" s="163"/>
      <c r="N70" s="163"/>
    </row>
    <row r="71" spans="1:14" ht="11.45" customHeight="1" x14ac:dyDescent="0.2">
      <c r="A71" s="285" t="s">
        <v>696</v>
      </c>
      <c r="B71" s="285" t="s">
        <v>555</v>
      </c>
      <c r="C71" s="428">
        <v>54868.3</v>
      </c>
      <c r="D71" s="270">
        <v>43786.5</v>
      </c>
      <c r="E71" s="270">
        <v>687.7</v>
      </c>
      <c r="F71" s="275">
        <v>3055.9</v>
      </c>
      <c r="G71" s="275">
        <v>15541.6</v>
      </c>
      <c r="H71" s="270">
        <f t="shared" si="4"/>
        <v>63071.7</v>
      </c>
      <c r="I71" s="428">
        <v>-25009.200000000001</v>
      </c>
      <c r="J71" s="270">
        <f t="shared" si="5"/>
        <v>38062.5</v>
      </c>
      <c r="K71" s="270">
        <f t="shared" si="6"/>
        <v>92930.8</v>
      </c>
      <c r="L71" s="433"/>
      <c r="M71" s="163"/>
      <c r="N71" s="163"/>
    </row>
    <row r="72" spans="1:14" ht="11.45" customHeight="1" x14ac:dyDescent="0.2">
      <c r="A72" s="285" t="s">
        <v>696</v>
      </c>
      <c r="B72" s="153" t="s">
        <v>548</v>
      </c>
      <c r="C72" s="433">
        <v>58931.9</v>
      </c>
      <c r="D72" s="214">
        <v>41880.9</v>
      </c>
      <c r="E72" s="214">
        <v>684</v>
      </c>
      <c r="F72" s="236">
        <v>3173.6</v>
      </c>
      <c r="G72" s="236">
        <v>16062.9</v>
      </c>
      <c r="H72" s="214">
        <f t="shared" si="4"/>
        <v>61801.4</v>
      </c>
      <c r="I72" s="433">
        <v>-28198.3</v>
      </c>
      <c r="J72" s="214">
        <f t="shared" si="5"/>
        <v>33603.100000000006</v>
      </c>
      <c r="K72" s="214">
        <f t="shared" si="6"/>
        <v>92535</v>
      </c>
      <c r="L72" s="433"/>
      <c r="M72" s="163"/>
      <c r="N72" s="163"/>
    </row>
    <row r="73" spans="1:14" ht="11.45" customHeight="1" x14ac:dyDescent="0.2">
      <c r="A73" s="285" t="s">
        <v>696</v>
      </c>
      <c r="B73" s="285" t="s">
        <v>556</v>
      </c>
      <c r="C73" s="428">
        <v>61687.199999999997</v>
      </c>
      <c r="D73" s="270">
        <v>38458</v>
      </c>
      <c r="E73" s="270">
        <v>684</v>
      </c>
      <c r="F73" s="275">
        <v>3205.5</v>
      </c>
      <c r="G73" s="275">
        <v>18224.099999999999</v>
      </c>
      <c r="H73" s="270">
        <f t="shared" si="4"/>
        <v>60571.6</v>
      </c>
      <c r="I73" s="428">
        <v>-31465.9</v>
      </c>
      <c r="J73" s="270">
        <f t="shared" si="5"/>
        <v>29105.699999999997</v>
      </c>
      <c r="K73" s="270">
        <f t="shared" si="6"/>
        <v>90792.9</v>
      </c>
      <c r="L73" s="433"/>
      <c r="M73" s="163"/>
      <c r="N73" s="163"/>
    </row>
    <row r="74" spans="1:14" ht="11.45" customHeight="1" x14ac:dyDescent="0.2">
      <c r="A74" s="285" t="s">
        <v>696</v>
      </c>
      <c r="B74" s="153" t="s">
        <v>557</v>
      </c>
      <c r="C74" s="433">
        <v>62553.9</v>
      </c>
      <c r="D74" s="214">
        <v>38064.9</v>
      </c>
      <c r="E74" s="214">
        <v>684</v>
      </c>
      <c r="F74" s="236">
        <v>3236.6</v>
      </c>
      <c r="G74" s="214">
        <v>19133</v>
      </c>
      <c r="H74" s="214">
        <f t="shared" si="4"/>
        <v>61118.5</v>
      </c>
      <c r="I74" s="433">
        <v>-32271.4</v>
      </c>
      <c r="J74" s="214">
        <f t="shared" si="5"/>
        <v>28847.1</v>
      </c>
      <c r="K74" s="214">
        <f t="shared" si="6"/>
        <v>91401</v>
      </c>
      <c r="L74" s="433"/>
      <c r="M74" s="163"/>
      <c r="N74" s="163"/>
    </row>
    <row r="75" spans="1:14" ht="11.45" customHeight="1" x14ac:dyDescent="0.2">
      <c r="A75" s="285" t="s">
        <v>696</v>
      </c>
      <c r="B75" s="285" t="s">
        <v>549</v>
      </c>
      <c r="C75" s="428">
        <v>63230.5</v>
      </c>
      <c r="D75" s="270">
        <v>37479.699999999997</v>
      </c>
      <c r="E75" s="270">
        <v>984</v>
      </c>
      <c r="F75" s="275">
        <v>3269.3</v>
      </c>
      <c r="G75" s="270">
        <v>19100.5</v>
      </c>
      <c r="H75" s="270">
        <f t="shared" si="4"/>
        <v>60833.5</v>
      </c>
      <c r="I75" s="428">
        <v>-32096.9</v>
      </c>
      <c r="J75" s="270">
        <f t="shared" si="5"/>
        <v>28736.6</v>
      </c>
      <c r="K75" s="270">
        <f t="shared" si="6"/>
        <v>91967.1</v>
      </c>
      <c r="L75" s="433"/>
      <c r="M75" s="163"/>
      <c r="N75" s="163"/>
    </row>
    <row r="76" spans="1:14" ht="11.45" customHeight="1" x14ac:dyDescent="0.2">
      <c r="A76" s="285" t="s">
        <v>696</v>
      </c>
      <c r="B76" s="153" t="s">
        <v>558</v>
      </c>
      <c r="C76" s="433">
        <v>65179.3</v>
      </c>
      <c r="D76" s="214">
        <v>34227.699999999997</v>
      </c>
      <c r="E76" s="214">
        <v>984</v>
      </c>
      <c r="F76" s="236">
        <v>3343.8</v>
      </c>
      <c r="G76" s="214">
        <v>21582.9</v>
      </c>
      <c r="H76" s="214">
        <f t="shared" si="4"/>
        <v>60138.400000000001</v>
      </c>
      <c r="I76" s="433">
        <v>-33625.9</v>
      </c>
      <c r="J76" s="214">
        <f t="shared" si="5"/>
        <v>26512.5</v>
      </c>
      <c r="K76" s="214">
        <f t="shared" si="6"/>
        <v>91691.8</v>
      </c>
      <c r="L76" s="433"/>
      <c r="M76" s="163"/>
      <c r="N76" s="163"/>
    </row>
    <row r="77" spans="1:14" ht="11.45" customHeight="1" x14ac:dyDescent="0.2">
      <c r="A77" s="285" t="s">
        <v>696</v>
      </c>
      <c r="B77" s="285" t="s">
        <v>559</v>
      </c>
      <c r="C77" s="428">
        <v>64196.3</v>
      </c>
      <c r="D77" s="270">
        <v>33532.699999999997</v>
      </c>
      <c r="E77" s="270">
        <v>984</v>
      </c>
      <c r="F77" s="275">
        <v>3396.9</v>
      </c>
      <c r="G77" s="270">
        <v>22096.7</v>
      </c>
      <c r="H77" s="270">
        <f t="shared" si="4"/>
        <v>60010.3</v>
      </c>
      <c r="I77" s="428">
        <v>-31820.400000000001</v>
      </c>
      <c r="J77" s="270">
        <f t="shared" si="5"/>
        <v>28189.9</v>
      </c>
      <c r="K77" s="270">
        <f t="shared" si="6"/>
        <v>92386.200000000012</v>
      </c>
      <c r="L77" s="433"/>
      <c r="M77" s="163"/>
      <c r="N77" s="163"/>
    </row>
    <row r="78" spans="1:14" ht="11.45" customHeight="1" x14ac:dyDescent="0.2">
      <c r="A78" s="285" t="s">
        <v>696</v>
      </c>
      <c r="B78" s="153" t="s">
        <v>550</v>
      </c>
      <c r="C78" s="433">
        <v>68930.100000000006</v>
      </c>
      <c r="D78" s="214">
        <v>38044</v>
      </c>
      <c r="E78" s="214">
        <v>1181.9000000000001</v>
      </c>
      <c r="F78" s="236">
        <v>3598.7</v>
      </c>
      <c r="G78" s="214">
        <v>22627.4</v>
      </c>
      <c r="H78" s="214">
        <f t="shared" si="4"/>
        <v>65452</v>
      </c>
      <c r="I78" s="433">
        <v>-36579.4</v>
      </c>
      <c r="J78" s="214">
        <f t="shared" si="5"/>
        <v>28872.6</v>
      </c>
      <c r="K78" s="214">
        <f t="shared" si="6"/>
        <v>97802.700000000012</v>
      </c>
      <c r="L78" s="433"/>
      <c r="M78" s="163"/>
      <c r="N78" s="163"/>
    </row>
    <row r="79" spans="1:14" ht="11.45" customHeight="1" x14ac:dyDescent="0.2">
      <c r="A79" s="285" t="s">
        <v>804</v>
      </c>
      <c r="B79" s="285" t="s">
        <v>552</v>
      </c>
      <c r="C79" s="433">
        <v>72982</v>
      </c>
      <c r="D79" s="214">
        <v>36300.5</v>
      </c>
      <c r="E79" s="214">
        <v>1027.3</v>
      </c>
      <c r="F79" s="236">
        <v>3605.7</v>
      </c>
      <c r="G79" s="214">
        <v>19300.8</v>
      </c>
      <c r="H79" s="214">
        <f t="shared" si="4"/>
        <v>60234.3</v>
      </c>
      <c r="I79" s="433">
        <v>-35242.1</v>
      </c>
      <c r="J79" s="214">
        <f>H79+I79</f>
        <v>24992.200000000004</v>
      </c>
      <c r="K79" s="214">
        <f>C79+J79</f>
        <v>97974.200000000012</v>
      </c>
      <c r="L79" s="433"/>
      <c r="M79" s="163"/>
      <c r="N79" s="163"/>
    </row>
    <row r="80" spans="1:14" ht="11.45" customHeight="1" x14ac:dyDescent="0.2">
      <c r="A80" s="285" t="s">
        <v>804</v>
      </c>
      <c r="B80" s="153" t="s">
        <v>553</v>
      </c>
      <c r="C80" s="428">
        <v>77573.399999999994</v>
      </c>
      <c r="D80" s="270">
        <v>36910.5</v>
      </c>
      <c r="E80" s="270">
        <v>1027.3</v>
      </c>
      <c r="F80" s="275">
        <v>3648.9</v>
      </c>
      <c r="G80" s="270">
        <v>17903.2</v>
      </c>
      <c r="H80" s="270">
        <f t="shared" si="4"/>
        <v>59489.900000000009</v>
      </c>
      <c r="I80" s="428">
        <v>-33613</v>
      </c>
      <c r="J80" s="270">
        <f>H80+I80</f>
        <v>25876.900000000009</v>
      </c>
      <c r="K80" s="270">
        <f>C80+J80</f>
        <v>103450.3</v>
      </c>
      <c r="L80" s="433"/>
      <c r="M80" s="163"/>
      <c r="N80" s="163"/>
    </row>
    <row r="81" spans="1:14" ht="11.45" customHeight="1" x14ac:dyDescent="0.2">
      <c r="A81" s="285" t="s">
        <v>804</v>
      </c>
      <c r="B81" s="285" t="s">
        <v>547</v>
      </c>
      <c r="C81" s="433">
        <v>78678.3</v>
      </c>
      <c r="D81" s="214">
        <v>35859.1</v>
      </c>
      <c r="E81" s="214">
        <v>1027.3</v>
      </c>
      <c r="F81" s="236">
        <v>3696.8</v>
      </c>
      <c r="G81" s="214">
        <v>15297.6</v>
      </c>
      <c r="H81" s="214">
        <f t="shared" si="4"/>
        <v>55880.800000000003</v>
      </c>
      <c r="I81" s="433">
        <v>-34600.300000000003</v>
      </c>
      <c r="J81" s="214">
        <f>H81+I81</f>
        <v>21280.5</v>
      </c>
      <c r="K81" s="214">
        <f>C81+J81</f>
        <v>99958.8</v>
      </c>
      <c r="L81" s="433"/>
      <c r="M81" s="163"/>
      <c r="N81" s="163"/>
    </row>
    <row r="82" spans="1:14" ht="11.45" customHeight="1" x14ac:dyDescent="0.2">
      <c r="A82" s="285" t="s">
        <v>804</v>
      </c>
      <c r="B82" s="153" t="s">
        <v>554</v>
      </c>
      <c r="C82" s="428">
        <v>84692.3</v>
      </c>
      <c r="D82" s="1824">
        <v>40630.400000000001</v>
      </c>
      <c r="E82" s="1824">
        <v>1027.3</v>
      </c>
      <c r="F82" s="1824">
        <v>3751.5</v>
      </c>
      <c r="G82" s="1824">
        <v>16384.8</v>
      </c>
      <c r="H82" s="432">
        <f t="shared" si="4"/>
        <v>61794</v>
      </c>
      <c r="I82" s="428">
        <v>-34506.9</v>
      </c>
      <c r="J82" s="432">
        <f>H82+I82</f>
        <v>27287.1</v>
      </c>
      <c r="K82" s="432">
        <f>C82+J82</f>
        <v>111979.4</v>
      </c>
      <c r="L82" s="433"/>
      <c r="M82" s="163"/>
      <c r="N82" s="163"/>
    </row>
    <row r="83" spans="1:14" ht="11.45" customHeight="1" x14ac:dyDescent="0.2">
      <c r="A83" s="285" t="s">
        <v>804</v>
      </c>
      <c r="B83" s="285" t="s">
        <v>555</v>
      </c>
      <c r="C83" s="433">
        <v>83735.8</v>
      </c>
      <c r="D83" s="433">
        <v>38503.9</v>
      </c>
      <c r="E83" s="433">
        <v>1027.3</v>
      </c>
      <c r="F83" s="433">
        <v>3738.1</v>
      </c>
      <c r="G83" s="433">
        <v>13728.7</v>
      </c>
      <c r="H83" s="419">
        <f t="shared" si="4"/>
        <v>56998</v>
      </c>
      <c r="I83" s="433">
        <v>-34579.4</v>
      </c>
      <c r="J83" s="419">
        <f t="shared" ref="J83:J89" si="7">H83+I83</f>
        <v>22418.6</v>
      </c>
      <c r="K83" s="419">
        <f t="shared" ref="K83:K89" si="8">C83+J83</f>
        <v>106154.4</v>
      </c>
      <c r="L83" s="433"/>
      <c r="M83" s="163"/>
      <c r="N83" s="163"/>
    </row>
    <row r="84" spans="1:14" ht="11.45" customHeight="1" x14ac:dyDescent="0.2">
      <c r="A84" s="285" t="s">
        <v>804</v>
      </c>
      <c r="B84" s="153" t="s">
        <v>548</v>
      </c>
      <c r="C84" s="428">
        <v>87404.9</v>
      </c>
      <c r="D84" s="428">
        <v>35319.699999999997</v>
      </c>
      <c r="E84" s="428">
        <v>1025.7</v>
      </c>
      <c r="F84" s="428">
        <v>3840.6</v>
      </c>
      <c r="G84" s="428">
        <v>15447.7</v>
      </c>
      <c r="H84" s="432">
        <f t="shared" si="4"/>
        <v>55633.7</v>
      </c>
      <c r="I84" s="428">
        <v>-36044.1</v>
      </c>
      <c r="J84" s="432">
        <f t="shared" si="7"/>
        <v>19589.599999999999</v>
      </c>
      <c r="K84" s="432">
        <f t="shared" si="8"/>
        <v>106994.5</v>
      </c>
      <c r="L84" s="433"/>
      <c r="M84" s="163"/>
      <c r="N84" s="163"/>
    </row>
    <row r="85" spans="1:14" ht="11.45" customHeight="1" x14ac:dyDescent="0.2">
      <c r="A85" s="285" t="s">
        <v>804</v>
      </c>
      <c r="B85" s="285" t="s">
        <v>556</v>
      </c>
      <c r="C85" s="434">
        <v>90807.6</v>
      </c>
      <c r="D85" s="434">
        <v>33359.300000000003</v>
      </c>
      <c r="E85" s="434">
        <v>1075.7</v>
      </c>
      <c r="F85" s="434">
        <v>3850.5</v>
      </c>
      <c r="G85" s="434">
        <v>14985.9</v>
      </c>
      <c r="H85" s="443">
        <f t="shared" si="4"/>
        <v>53271.4</v>
      </c>
      <c r="I85" s="434">
        <v>-37835.300000000003</v>
      </c>
      <c r="J85" s="443">
        <f t="shared" si="7"/>
        <v>15436.099999999999</v>
      </c>
      <c r="K85" s="443">
        <f t="shared" si="8"/>
        <v>106243.70000000001</v>
      </c>
      <c r="L85" s="433"/>
      <c r="M85" s="163"/>
      <c r="N85" s="163"/>
    </row>
    <row r="86" spans="1:14" ht="11.45" customHeight="1" x14ac:dyDescent="0.2">
      <c r="A86" s="285" t="s">
        <v>804</v>
      </c>
      <c r="B86" s="153" t="s">
        <v>557</v>
      </c>
      <c r="C86" s="428">
        <v>94028.6</v>
      </c>
      <c r="D86" s="428">
        <v>31122.6</v>
      </c>
      <c r="E86" s="428">
        <v>1275.7</v>
      </c>
      <c r="F86" s="428">
        <v>3957</v>
      </c>
      <c r="G86" s="428">
        <v>12709</v>
      </c>
      <c r="H86" s="432">
        <f t="shared" si="4"/>
        <v>49064.3</v>
      </c>
      <c r="I86" s="428">
        <v>-35925.199999999997</v>
      </c>
      <c r="J86" s="432">
        <f t="shared" si="7"/>
        <v>13139.100000000006</v>
      </c>
      <c r="K86" s="432">
        <f t="shared" si="8"/>
        <v>107167.70000000001</v>
      </c>
      <c r="L86" s="433"/>
      <c r="M86" s="163"/>
      <c r="N86" s="163"/>
    </row>
    <row r="87" spans="1:14" ht="11.45" customHeight="1" x14ac:dyDescent="0.2">
      <c r="A87" s="285" t="s">
        <v>804</v>
      </c>
      <c r="B87" s="285" t="s">
        <v>549</v>
      </c>
      <c r="C87" s="433">
        <v>96607.6</v>
      </c>
      <c r="D87" s="433">
        <v>31095.599999999999</v>
      </c>
      <c r="E87" s="433">
        <v>1325.7</v>
      </c>
      <c r="F87" s="433">
        <v>3996.1</v>
      </c>
      <c r="G87" s="433">
        <v>9812.7999999999993</v>
      </c>
      <c r="H87" s="419">
        <f t="shared" si="4"/>
        <v>46230.2</v>
      </c>
      <c r="I87" s="433">
        <v>-34648.199999999997</v>
      </c>
      <c r="J87" s="419">
        <f t="shared" si="7"/>
        <v>11582</v>
      </c>
      <c r="K87" s="419">
        <f t="shared" si="8"/>
        <v>108189.6</v>
      </c>
      <c r="L87" s="433"/>
      <c r="M87" s="163"/>
      <c r="N87" s="163"/>
    </row>
    <row r="88" spans="1:14" ht="11.45" customHeight="1" x14ac:dyDescent="0.2">
      <c r="A88" s="285" t="s">
        <v>804</v>
      </c>
      <c r="B88" s="153" t="s">
        <v>558</v>
      </c>
      <c r="C88" s="428">
        <v>99856.4</v>
      </c>
      <c r="D88" s="428">
        <v>30347.8</v>
      </c>
      <c r="E88" s="428">
        <v>1330.9</v>
      </c>
      <c r="F88" s="428">
        <v>4022.5</v>
      </c>
      <c r="G88" s="428">
        <v>8421.2000000000007</v>
      </c>
      <c r="H88" s="432">
        <f t="shared" si="4"/>
        <v>44122.399999999994</v>
      </c>
      <c r="I88" s="428">
        <f>5579.8-11744-3224.3-18051.5-7620.3</f>
        <v>-35060.300000000003</v>
      </c>
      <c r="J88" s="432">
        <f t="shared" si="7"/>
        <v>9062.0999999999913</v>
      </c>
      <c r="K88" s="432">
        <f t="shared" si="8"/>
        <v>108918.49999999999</v>
      </c>
      <c r="L88" s="433"/>
      <c r="M88" s="163"/>
      <c r="N88" s="163"/>
    </row>
    <row r="89" spans="1:14" ht="11.45" customHeight="1" x14ac:dyDescent="0.2">
      <c r="A89" s="285" t="s">
        <v>804</v>
      </c>
      <c r="B89" s="285" t="s">
        <v>559</v>
      </c>
      <c r="C89" s="433">
        <v>100572.9</v>
      </c>
      <c r="D89" s="433">
        <v>29227.8</v>
      </c>
      <c r="E89" s="433">
        <v>1333.6</v>
      </c>
      <c r="F89" s="433">
        <v>4086.4</v>
      </c>
      <c r="G89" s="433">
        <v>9000.9</v>
      </c>
      <c r="H89" s="419">
        <f t="shared" si="4"/>
        <v>43648.7</v>
      </c>
      <c r="I89" s="433">
        <f>5676-9212.2-3296.5-16957-8693.6</f>
        <v>-32483.300000000003</v>
      </c>
      <c r="J89" s="419">
        <f t="shared" si="7"/>
        <v>11165.399999999994</v>
      </c>
      <c r="K89" s="419">
        <f t="shared" si="8"/>
        <v>111738.29999999999</v>
      </c>
      <c r="L89" s="433"/>
      <c r="M89" s="163"/>
      <c r="N89" s="163"/>
    </row>
    <row r="90" spans="1:14" ht="11.45" customHeight="1" x14ac:dyDescent="0.2">
      <c r="A90" s="285" t="s">
        <v>804</v>
      </c>
      <c r="B90" s="153" t="s">
        <v>550</v>
      </c>
      <c r="C90" s="428">
        <v>103246</v>
      </c>
      <c r="D90" s="428">
        <v>31222.5</v>
      </c>
      <c r="E90" s="428">
        <v>1354.5</v>
      </c>
      <c r="F90" s="428">
        <v>4180.2</v>
      </c>
      <c r="G90" s="428">
        <v>10219</v>
      </c>
      <c r="H90" s="432">
        <f>D90+E90+F90+G90</f>
        <v>46976.2</v>
      </c>
      <c r="I90" s="428">
        <v>-37732.800000000003</v>
      </c>
      <c r="J90" s="432">
        <f>H90+I90</f>
        <v>9243.3999999999942</v>
      </c>
      <c r="K90" s="432">
        <f>C90+J90</f>
        <v>112489.4</v>
      </c>
      <c r="L90" s="433"/>
      <c r="M90" s="163"/>
      <c r="N90" s="163"/>
    </row>
    <row r="91" spans="1:14" ht="11.45" customHeight="1" x14ac:dyDescent="0.2">
      <c r="A91" s="285" t="s">
        <v>978</v>
      </c>
      <c r="B91" s="285" t="s">
        <v>552</v>
      </c>
      <c r="C91" s="429">
        <v>106752.9</v>
      </c>
      <c r="D91" s="429">
        <v>24642.3</v>
      </c>
      <c r="E91" s="434">
        <v>1346.7</v>
      </c>
      <c r="F91" s="434">
        <v>4207.7</v>
      </c>
      <c r="G91" s="434">
        <v>13822.6</v>
      </c>
      <c r="H91" s="434">
        <f t="shared" ref="H91:H114" si="9">D91+E91+F91+G91</f>
        <v>44019.3</v>
      </c>
      <c r="I91" s="429">
        <v>-32902.199999999997</v>
      </c>
      <c r="J91" s="51">
        <f t="shared" ref="J91:J101" si="10">H91+I91</f>
        <v>11117.100000000006</v>
      </c>
      <c r="K91" s="51">
        <f t="shared" ref="K91:K101" si="11">C91+J91</f>
        <v>117870</v>
      </c>
      <c r="L91" s="433"/>
      <c r="M91" s="163"/>
      <c r="N91" s="163"/>
    </row>
    <row r="92" spans="1:14" ht="11.45" customHeight="1" x14ac:dyDescent="0.2">
      <c r="A92" s="285" t="s">
        <v>978</v>
      </c>
      <c r="B92" s="153" t="s">
        <v>553</v>
      </c>
      <c r="C92" s="429">
        <v>109387.8</v>
      </c>
      <c r="D92" s="429">
        <v>19429.099999999999</v>
      </c>
      <c r="E92" s="434">
        <v>1346.7</v>
      </c>
      <c r="F92" s="434">
        <v>4212.3</v>
      </c>
      <c r="G92" s="434">
        <v>11378.2</v>
      </c>
      <c r="H92" s="434">
        <f t="shared" si="9"/>
        <v>36366.300000000003</v>
      </c>
      <c r="I92" s="429">
        <f>-28443.3+39.4</f>
        <v>-28403.899999999998</v>
      </c>
      <c r="J92" s="51">
        <f t="shared" si="10"/>
        <v>7962.4000000000051</v>
      </c>
      <c r="K92" s="51">
        <f t="shared" si="11"/>
        <v>117350.20000000001</v>
      </c>
      <c r="L92" s="433"/>
      <c r="M92" s="163"/>
      <c r="N92" s="163"/>
    </row>
    <row r="93" spans="1:14" ht="11.45" customHeight="1" x14ac:dyDescent="0.2">
      <c r="A93" s="285" t="s">
        <v>978</v>
      </c>
      <c r="B93" s="285" t="s">
        <v>547</v>
      </c>
      <c r="C93" s="429">
        <v>111688.5</v>
      </c>
      <c r="D93" s="429">
        <v>17066.8</v>
      </c>
      <c r="E93" s="429">
        <v>1349.3</v>
      </c>
      <c r="F93" s="429">
        <v>4212.3</v>
      </c>
      <c r="G93" s="429">
        <v>9344.7000000000007</v>
      </c>
      <c r="H93" s="429">
        <f t="shared" si="9"/>
        <v>31973.1</v>
      </c>
      <c r="I93" s="429">
        <v>-29656.799999999999</v>
      </c>
      <c r="J93" s="51">
        <f>H93+I93</f>
        <v>2316.2999999999993</v>
      </c>
      <c r="K93" s="51">
        <f t="shared" si="11"/>
        <v>114004.8</v>
      </c>
      <c r="L93" s="433"/>
      <c r="M93" s="163"/>
      <c r="N93" s="163"/>
    </row>
    <row r="94" spans="1:14" ht="11.45" customHeight="1" x14ac:dyDescent="0.2">
      <c r="A94" s="285" t="s">
        <v>978</v>
      </c>
      <c r="B94" s="153" t="s">
        <v>554</v>
      </c>
      <c r="C94" s="429">
        <v>117666.6</v>
      </c>
      <c r="D94" s="429">
        <v>21871.599999999999</v>
      </c>
      <c r="E94" s="429">
        <v>1351.8</v>
      </c>
      <c r="F94" s="429">
        <v>4183.7</v>
      </c>
      <c r="G94" s="429">
        <v>7078.8</v>
      </c>
      <c r="H94" s="429">
        <f t="shared" si="9"/>
        <v>34485.9</v>
      </c>
      <c r="I94" s="429">
        <v>-30802.9</v>
      </c>
      <c r="J94" s="51">
        <f t="shared" si="10"/>
        <v>3683</v>
      </c>
      <c r="K94" s="51">
        <f t="shared" si="11"/>
        <v>121349.6</v>
      </c>
      <c r="L94" s="433"/>
      <c r="M94" s="163"/>
      <c r="N94" s="163"/>
    </row>
    <row r="95" spans="1:14" ht="11.45" customHeight="1" x14ac:dyDescent="0.2">
      <c r="A95" s="285" t="s">
        <v>978</v>
      </c>
      <c r="B95" s="285" t="s">
        <v>555</v>
      </c>
      <c r="C95" s="429">
        <v>120038.5</v>
      </c>
      <c r="D95" s="429">
        <v>18079.2</v>
      </c>
      <c r="E95" s="429">
        <v>1355</v>
      </c>
      <c r="F95" s="429">
        <v>4261.1000000000004</v>
      </c>
      <c r="G95" s="429">
        <v>7083.4</v>
      </c>
      <c r="H95" s="429">
        <f t="shared" si="9"/>
        <v>30778.700000000004</v>
      </c>
      <c r="I95" s="429">
        <v>-30252.5</v>
      </c>
      <c r="J95" s="51">
        <f t="shared" si="10"/>
        <v>526.20000000000437</v>
      </c>
      <c r="K95" s="51">
        <f t="shared" si="11"/>
        <v>120564.70000000001</v>
      </c>
      <c r="L95" s="433"/>
      <c r="M95" s="163"/>
      <c r="N95" s="163"/>
    </row>
    <row r="96" spans="1:14" ht="11.45" customHeight="1" x14ac:dyDescent="0.2">
      <c r="A96" s="285" t="s">
        <v>978</v>
      </c>
      <c r="B96" s="153" t="s">
        <v>548</v>
      </c>
      <c r="C96" s="429">
        <v>123425.7</v>
      </c>
      <c r="D96" s="429">
        <v>18173.400000000001</v>
      </c>
      <c r="E96" s="429">
        <v>1359.8</v>
      </c>
      <c r="F96" s="429">
        <v>4293</v>
      </c>
      <c r="G96" s="429">
        <v>7414</v>
      </c>
      <c r="H96" s="429">
        <f t="shared" si="9"/>
        <v>31240.2</v>
      </c>
      <c r="I96" s="429">
        <f>-10333.6-23110.6</f>
        <v>-33444.199999999997</v>
      </c>
      <c r="J96" s="51">
        <f t="shared" si="10"/>
        <v>-2203.9999999999964</v>
      </c>
      <c r="K96" s="51">
        <f t="shared" si="11"/>
        <v>121221.7</v>
      </c>
      <c r="L96" s="433"/>
      <c r="M96" s="163"/>
      <c r="N96" s="163"/>
    </row>
    <row r="97" spans="1:14" ht="11.45" customHeight="1" x14ac:dyDescent="0.2">
      <c r="A97" s="285" t="s">
        <v>978</v>
      </c>
      <c r="B97" s="285" t="s">
        <v>556</v>
      </c>
      <c r="C97" s="279">
        <v>125711.6</v>
      </c>
      <c r="D97" s="430">
        <v>14599.7</v>
      </c>
      <c r="E97" s="430">
        <v>1293.2</v>
      </c>
      <c r="F97" s="430">
        <v>4235.3999999999996</v>
      </c>
      <c r="G97" s="430">
        <v>6465.7</v>
      </c>
      <c r="H97" s="430">
        <f t="shared" si="9"/>
        <v>26594.000000000004</v>
      </c>
      <c r="I97" s="533">
        <v>-30727.600000000006</v>
      </c>
      <c r="J97" s="274">
        <f t="shared" si="10"/>
        <v>-4133.6000000000022</v>
      </c>
      <c r="K97" s="274">
        <f t="shared" si="11"/>
        <v>121578</v>
      </c>
      <c r="L97" s="433"/>
      <c r="M97" s="163"/>
      <c r="N97" s="163"/>
    </row>
    <row r="98" spans="1:14" ht="11.45" customHeight="1" x14ac:dyDescent="0.2">
      <c r="A98" s="285" t="s">
        <v>978</v>
      </c>
      <c r="B98" s="153" t="s">
        <v>557</v>
      </c>
      <c r="C98" s="24">
        <v>130380.30000000002</v>
      </c>
      <c r="D98" s="429">
        <v>13355.7</v>
      </c>
      <c r="E98" s="429">
        <v>1296</v>
      </c>
      <c r="F98" s="429">
        <v>4212.3</v>
      </c>
      <c r="G98" s="429">
        <v>6443.6</v>
      </c>
      <c r="H98" s="429">
        <f t="shared" si="9"/>
        <v>25307.599999999999</v>
      </c>
      <c r="I98" s="222">
        <v>-34249.299999999996</v>
      </c>
      <c r="J98" s="51">
        <f t="shared" si="10"/>
        <v>-8941.6999999999971</v>
      </c>
      <c r="K98" s="51">
        <f t="shared" si="11"/>
        <v>121438.60000000002</v>
      </c>
      <c r="L98" s="433"/>
      <c r="M98" s="163"/>
      <c r="N98" s="163"/>
    </row>
    <row r="99" spans="1:14" ht="11.45" customHeight="1" x14ac:dyDescent="0.2">
      <c r="A99" s="285" t="s">
        <v>978</v>
      </c>
      <c r="B99" s="285" t="s">
        <v>549</v>
      </c>
      <c r="C99" s="279">
        <v>134649.70000000001</v>
      </c>
      <c r="D99" s="430">
        <v>6391.3</v>
      </c>
      <c r="E99" s="430">
        <v>1248.8</v>
      </c>
      <c r="F99" s="430">
        <v>4211.1000000000004</v>
      </c>
      <c r="G99" s="430">
        <v>7352.1</v>
      </c>
      <c r="H99" s="430">
        <f t="shared" si="9"/>
        <v>19203.300000000003</v>
      </c>
      <c r="I99" s="533">
        <f>4556.8-3216.6-16783.7-3831.7-12865.4</f>
        <v>-32140.6</v>
      </c>
      <c r="J99" s="274">
        <f t="shared" si="10"/>
        <v>-12937.299999999996</v>
      </c>
      <c r="K99" s="274">
        <f t="shared" si="11"/>
        <v>121712.40000000002</v>
      </c>
      <c r="L99" s="433"/>
      <c r="M99" s="163"/>
      <c r="N99" s="163"/>
    </row>
    <row r="100" spans="1:14" ht="11.45" customHeight="1" x14ac:dyDescent="0.2">
      <c r="A100" s="285" t="s">
        <v>978</v>
      </c>
      <c r="B100" s="153" t="s">
        <v>558</v>
      </c>
      <c r="C100" s="51">
        <v>137961.29999999999</v>
      </c>
      <c r="D100" s="51">
        <v>3294.3</v>
      </c>
      <c r="E100" s="51">
        <v>1249.5</v>
      </c>
      <c r="F100" s="51">
        <v>4252.2</v>
      </c>
      <c r="G100" s="51">
        <v>6606</v>
      </c>
      <c r="H100" s="429">
        <f t="shared" si="9"/>
        <v>15402</v>
      </c>
      <c r="I100" s="51">
        <v>-31000</v>
      </c>
      <c r="J100" s="51">
        <f t="shared" si="10"/>
        <v>-15598</v>
      </c>
      <c r="K100" s="51">
        <f t="shared" si="11"/>
        <v>122363.29999999999</v>
      </c>
      <c r="L100" s="433"/>
      <c r="M100" s="163"/>
      <c r="N100" s="163"/>
    </row>
    <row r="101" spans="1:14" ht="11.45" customHeight="1" x14ac:dyDescent="0.2">
      <c r="A101" s="285" t="s">
        <v>978</v>
      </c>
      <c r="B101" s="285" t="s">
        <v>559</v>
      </c>
      <c r="C101" s="430">
        <v>142295.5</v>
      </c>
      <c r="D101" s="430">
        <v>851</v>
      </c>
      <c r="E101" s="430">
        <v>1250.7</v>
      </c>
      <c r="F101" s="430">
        <v>4226.3999999999996</v>
      </c>
      <c r="G101" s="430">
        <v>6343.2</v>
      </c>
      <c r="H101" s="430">
        <f t="shared" si="9"/>
        <v>12671.3</v>
      </c>
      <c r="I101" s="430">
        <v>-31114.2</v>
      </c>
      <c r="J101" s="274">
        <f t="shared" si="10"/>
        <v>-18442.900000000001</v>
      </c>
      <c r="K101" s="274">
        <f t="shared" si="11"/>
        <v>123852.6</v>
      </c>
      <c r="L101" s="433"/>
      <c r="M101" s="163"/>
      <c r="N101" s="163"/>
    </row>
    <row r="102" spans="1:14" ht="11.45" customHeight="1" x14ac:dyDescent="0.2">
      <c r="A102" s="285" t="s">
        <v>978</v>
      </c>
      <c r="B102" s="153" t="s">
        <v>550</v>
      </c>
      <c r="C102" s="51">
        <v>147496.6</v>
      </c>
      <c r="D102" s="51">
        <v>3840.6</v>
      </c>
      <c r="E102" s="51">
        <v>1202.7</v>
      </c>
      <c r="F102" s="51">
        <v>4272.7</v>
      </c>
      <c r="G102" s="51">
        <v>6279.2</v>
      </c>
      <c r="H102" s="51">
        <f t="shared" si="9"/>
        <v>15595.2</v>
      </c>
      <c r="I102" s="51">
        <v>-33216.5</v>
      </c>
      <c r="J102" s="51">
        <f>H102+I102</f>
        <v>-17621.3</v>
      </c>
      <c r="K102" s="51">
        <f>C102+J102</f>
        <v>129875.3</v>
      </c>
      <c r="L102" s="433"/>
      <c r="M102" s="163"/>
      <c r="N102" s="163"/>
    </row>
    <row r="103" spans="1:14" ht="11.45" customHeight="1" x14ac:dyDescent="0.2">
      <c r="A103" s="285" t="s">
        <v>1029</v>
      </c>
      <c r="B103" s="285" t="s">
        <v>552</v>
      </c>
      <c r="C103" s="51">
        <v>150372.29999999999</v>
      </c>
      <c r="D103" s="51">
        <v>9931.7000000000007</v>
      </c>
      <c r="E103" s="51">
        <v>1187.2</v>
      </c>
      <c r="F103" s="51">
        <v>4425.3999999999996</v>
      </c>
      <c r="G103" s="51">
        <v>9149.5</v>
      </c>
      <c r="H103" s="51">
        <f t="shared" si="9"/>
        <v>24693.800000000003</v>
      </c>
      <c r="I103" s="51">
        <v>-29546.7</v>
      </c>
      <c r="J103" s="51">
        <f t="shared" ref="J103:J108" si="12">H103+I103</f>
        <v>-4852.8999999999978</v>
      </c>
      <c r="K103" s="51">
        <f t="shared" ref="K103:K114" si="13">C103+J103</f>
        <v>145519.4</v>
      </c>
      <c r="L103" s="433"/>
      <c r="M103" s="163"/>
      <c r="N103" s="163"/>
    </row>
    <row r="104" spans="1:14" ht="11.45" customHeight="1" x14ac:dyDescent="0.2">
      <c r="A104" s="285" t="s">
        <v>1029</v>
      </c>
      <c r="B104" s="153" t="s">
        <v>553</v>
      </c>
      <c r="C104" s="430">
        <v>152136.20000000001</v>
      </c>
      <c r="D104" s="430">
        <v>822.6</v>
      </c>
      <c r="E104" s="430">
        <v>1139.9000000000001</v>
      </c>
      <c r="F104" s="430">
        <v>4432.6000000000004</v>
      </c>
      <c r="G104" s="430">
        <v>6753.7</v>
      </c>
      <c r="H104" s="430">
        <f t="shared" si="9"/>
        <v>13148.8</v>
      </c>
      <c r="I104" s="430">
        <v>-28448.400000000001</v>
      </c>
      <c r="J104" s="274">
        <f t="shared" si="12"/>
        <v>-15299.600000000002</v>
      </c>
      <c r="K104" s="274">
        <f t="shared" si="13"/>
        <v>136836.6</v>
      </c>
      <c r="L104" s="433"/>
      <c r="M104" s="163"/>
      <c r="N104" s="163"/>
    </row>
    <row r="105" spans="1:14" ht="11.45" customHeight="1" x14ac:dyDescent="0.2">
      <c r="A105" s="285" t="s">
        <v>1029</v>
      </c>
      <c r="B105" s="285" t="s">
        <v>547</v>
      </c>
      <c r="C105" s="51">
        <v>154043.79999999999</v>
      </c>
      <c r="D105" s="51">
        <v>-2395.5</v>
      </c>
      <c r="E105" s="51">
        <v>1092.8</v>
      </c>
      <c r="F105" s="51">
        <v>4513</v>
      </c>
      <c r="G105" s="51">
        <v>12857.5</v>
      </c>
      <c r="H105" s="51">
        <f t="shared" si="9"/>
        <v>16067.8</v>
      </c>
      <c r="I105" s="51">
        <v>-26479.1</v>
      </c>
      <c r="J105" s="51">
        <f t="shared" si="12"/>
        <v>-10411.299999999999</v>
      </c>
      <c r="K105" s="51">
        <f t="shared" si="13"/>
        <v>143632.5</v>
      </c>
      <c r="L105" s="433"/>
      <c r="M105" s="163"/>
      <c r="N105" s="163"/>
    </row>
    <row r="106" spans="1:14" ht="11.45" customHeight="1" x14ac:dyDescent="0.2">
      <c r="A106" s="285" t="s">
        <v>1029</v>
      </c>
      <c r="B106" s="153" t="s">
        <v>554</v>
      </c>
      <c r="C106" s="430">
        <v>154510.20000000001</v>
      </c>
      <c r="D106" s="430">
        <v>-6420.5</v>
      </c>
      <c r="E106" s="430">
        <v>1085.5999999999999</v>
      </c>
      <c r="F106" s="430">
        <v>4485</v>
      </c>
      <c r="G106" s="430">
        <v>10560.6</v>
      </c>
      <c r="H106" s="430">
        <f t="shared" si="9"/>
        <v>9710.7000000000007</v>
      </c>
      <c r="I106" s="430">
        <v>-24157.1</v>
      </c>
      <c r="J106" s="274">
        <f t="shared" si="12"/>
        <v>-14446.399999999998</v>
      </c>
      <c r="K106" s="274">
        <f t="shared" si="13"/>
        <v>140063.80000000002</v>
      </c>
      <c r="L106" s="433"/>
      <c r="M106" s="163"/>
      <c r="N106" s="163"/>
    </row>
    <row r="107" spans="1:14" ht="11.45" customHeight="1" x14ac:dyDescent="0.2">
      <c r="A107" s="285" t="s">
        <v>1029</v>
      </c>
      <c r="B107" s="285" t="s">
        <v>555</v>
      </c>
      <c r="C107" s="51">
        <v>153753.60000000001</v>
      </c>
      <c r="D107" s="51">
        <v>-4858.6000000000004</v>
      </c>
      <c r="E107" s="51">
        <v>2152.3000000000002</v>
      </c>
      <c r="F107" s="51">
        <v>4503.5</v>
      </c>
      <c r="G107" s="51">
        <v>6736</v>
      </c>
      <c r="H107" s="51">
        <f t="shared" si="9"/>
        <v>8533.2000000000007</v>
      </c>
      <c r="I107" s="51">
        <v>-24468.400000000001</v>
      </c>
      <c r="J107" s="51">
        <f t="shared" si="12"/>
        <v>-15935.2</v>
      </c>
      <c r="K107" s="51">
        <f t="shared" si="13"/>
        <v>137818.4</v>
      </c>
      <c r="L107" s="433"/>
      <c r="M107" s="163"/>
      <c r="N107" s="163"/>
    </row>
    <row r="108" spans="1:14" ht="11.45" customHeight="1" x14ac:dyDescent="0.2">
      <c r="A108" s="285" t="s">
        <v>1029</v>
      </c>
      <c r="B108" s="153" t="s">
        <v>548</v>
      </c>
      <c r="C108" s="430">
        <v>155959.20000000001</v>
      </c>
      <c r="D108" s="430">
        <v>-6984.9</v>
      </c>
      <c r="E108" s="430">
        <v>2107.6</v>
      </c>
      <c r="F108" s="430">
        <v>4565.2</v>
      </c>
      <c r="G108" s="430">
        <v>9327.7000000000007</v>
      </c>
      <c r="H108" s="430">
        <f t="shared" si="9"/>
        <v>9015.6000000000022</v>
      </c>
      <c r="I108" s="430">
        <v>-25830.400000000001</v>
      </c>
      <c r="J108" s="274">
        <f t="shared" si="12"/>
        <v>-16814.8</v>
      </c>
      <c r="K108" s="274">
        <f t="shared" si="13"/>
        <v>139144.40000000002</v>
      </c>
      <c r="L108" s="433"/>
      <c r="M108" s="163"/>
      <c r="N108" s="163"/>
    </row>
    <row r="109" spans="1:14" ht="11.45" customHeight="1" x14ac:dyDescent="0.2">
      <c r="A109" s="285" t="s">
        <v>1029</v>
      </c>
      <c r="B109" s="285" t="s">
        <v>556</v>
      </c>
      <c r="C109" s="51">
        <v>156818.1</v>
      </c>
      <c r="D109" s="51">
        <v>-6795</v>
      </c>
      <c r="E109" s="51">
        <v>2072.1</v>
      </c>
      <c r="F109" s="51">
        <v>4631.8</v>
      </c>
      <c r="G109" s="51">
        <v>8272.9</v>
      </c>
      <c r="H109" s="51">
        <f t="shared" si="9"/>
        <v>8181.8</v>
      </c>
      <c r="I109" s="51">
        <v>-25367.1</v>
      </c>
      <c r="J109" s="51">
        <v>-17185.3</v>
      </c>
      <c r="K109" s="51">
        <f t="shared" si="13"/>
        <v>139632.80000000002</v>
      </c>
      <c r="L109" s="433"/>
      <c r="M109" s="163"/>
      <c r="N109" s="163"/>
    </row>
    <row r="110" spans="1:14" ht="11.45" customHeight="1" x14ac:dyDescent="0.2">
      <c r="A110" s="285" t="s">
        <v>1029</v>
      </c>
      <c r="B110" s="153" t="s">
        <v>557</v>
      </c>
      <c r="C110" s="430">
        <v>160880.70000000001</v>
      </c>
      <c r="D110" s="430">
        <v>-6521</v>
      </c>
      <c r="E110" s="430">
        <v>2070.6999999999998</v>
      </c>
      <c r="F110" s="430">
        <v>4579.1000000000004</v>
      </c>
      <c r="G110" s="430">
        <v>7539.4</v>
      </c>
      <c r="H110" s="430">
        <f t="shared" si="9"/>
        <v>7668.2</v>
      </c>
      <c r="I110" s="430">
        <v>-28536.7</v>
      </c>
      <c r="J110" s="274">
        <v>-20868.5</v>
      </c>
      <c r="K110" s="274">
        <f t="shared" si="13"/>
        <v>140012.20000000001</v>
      </c>
      <c r="L110" s="433"/>
      <c r="M110" s="163"/>
      <c r="N110" s="163"/>
    </row>
    <row r="111" spans="1:14" ht="11.45" customHeight="1" x14ac:dyDescent="0.2">
      <c r="A111" s="285" t="s">
        <v>1029</v>
      </c>
      <c r="B111" s="285" t="s">
        <v>549</v>
      </c>
      <c r="C111" s="433">
        <v>164925.4</v>
      </c>
      <c r="D111" s="433">
        <v>-12831.1</v>
      </c>
      <c r="E111" s="433">
        <v>2073.1999999999998</v>
      </c>
      <c r="F111" s="433">
        <v>4598.7</v>
      </c>
      <c r="G111" s="433">
        <v>10236.9</v>
      </c>
      <c r="H111" s="433">
        <f t="shared" si="9"/>
        <v>4077.699999999998</v>
      </c>
      <c r="I111" s="433">
        <v>-29151.3</v>
      </c>
      <c r="J111" s="214">
        <f>H111+I111</f>
        <v>-25073.600000000002</v>
      </c>
      <c r="K111" s="214">
        <f t="shared" si="13"/>
        <v>139851.79999999999</v>
      </c>
      <c r="L111" s="433"/>
      <c r="M111" s="163"/>
      <c r="N111" s="163"/>
    </row>
    <row r="112" spans="1:14" ht="11.45" customHeight="1" x14ac:dyDescent="0.2">
      <c r="A112" s="285" t="s">
        <v>1029</v>
      </c>
      <c r="B112" s="153" t="s">
        <v>558</v>
      </c>
      <c r="C112" s="428">
        <v>169107.7</v>
      </c>
      <c r="D112" s="428">
        <v>-14328.6</v>
      </c>
      <c r="E112" s="428">
        <v>2069.8000000000002</v>
      </c>
      <c r="F112" s="428">
        <v>4627.8</v>
      </c>
      <c r="G112" s="428">
        <v>5671.6</v>
      </c>
      <c r="H112" s="433">
        <f t="shared" si="9"/>
        <v>-1959.3999999999987</v>
      </c>
      <c r="I112" s="428">
        <v>-28095.4</v>
      </c>
      <c r="J112" s="270">
        <f>H112+I112</f>
        <v>-30054.799999999999</v>
      </c>
      <c r="K112" s="270">
        <f t="shared" si="13"/>
        <v>139052.90000000002</v>
      </c>
      <c r="L112" s="433"/>
      <c r="M112" s="163"/>
      <c r="N112" s="163"/>
    </row>
    <row r="113" spans="1:14" ht="11.45" customHeight="1" x14ac:dyDescent="0.2">
      <c r="A113" s="285" t="s">
        <v>1029</v>
      </c>
      <c r="B113" s="285" t="s">
        <v>559</v>
      </c>
      <c r="C113" s="433">
        <v>171467.4</v>
      </c>
      <c r="D113" s="433">
        <v>-6825</v>
      </c>
      <c r="E113" s="433">
        <v>2164.8000000000002</v>
      </c>
      <c r="F113" s="433">
        <v>4567.2</v>
      </c>
      <c r="G113" s="433">
        <v>5681.8</v>
      </c>
      <c r="H113" s="433">
        <f t="shared" si="9"/>
        <v>5588.8</v>
      </c>
      <c r="I113" s="433">
        <v>-34072.199999999997</v>
      </c>
      <c r="J113" s="214">
        <f>H113+I113</f>
        <v>-28483.399999999998</v>
      </c>
      <c r="K113" s="214">
        <f t="shared" si="13"/>
        <v>142984</v>
      </c>
      <c r="L113" s="433"/>
      <c r="M113" s="163"/>
      <c r="N113" s="163"/>
    </row>
    <row r="114" spans="1:14" ht="11.45" customHeight="1" x14ac:dyDescent="0.2">
      <c r="A114" s="285" t="s">
        <v>1029</v>
      </c>
      <c r="B114" s="153" t="s">
        <v>550</v>
      </c>
      <c r="C114" s="428">
        <v>177401.3</v>
      </c>
      <c r="D114" s="428">
        <v>810.5</v>
      </c>
      <c r="E114" s="428">
        <v>2160.8000000000002</v>
      </c>
      <c r="F114" s="428">
        <v>4645.6000000000004</v>
      </c>
      <c r="G114" s="428">
        <v>5659.2</v>
      </c>
      <c r="H114" s="428">
        <f t="shared" si="9"/>
        <v>13276.1</v>
      </c>
      <c r="I114" s="428">
        <v>-42194.9</v>
      </c>
      <c r="J114" s="270">
        <f>H114+I114</f>
        <v>-28918.800000000003</v>
      </c>
      <c r="K114" s="270">
        <f t="shared" si="13"/>
        <v>148482.5</v>
      </c>
      <c r="L114" s="433"/>
      <c r="M114" s="163"/>
      <c r="N114" s="163"/>
    </row>
    <row r="115" spans="1:14" ht="11.45" customHeight="1" x14ac:dyDescent="0.2">
      <c r="A115" s="285" t="s">
        <v>1150</v>
      </c>
      <c r="B115" s="285" t="s">
        <v>552</v>
      </c>
      <c r="C115" s="428">
        <v>184570.8</v>
      </c>
      <c r="D115" s="428">
        <v>3032.3</v>
      </c>
      <c r="E115" s="428">
        <v>2238.6999999999998</v>
      </c>
      <c r="F115" s="428">
        <v>4607.6000000000004</v>
      </c>
      <c r="G115" s="428">
        <v>6101.1</v>
      </c>
      <c r="H115" s="428">
        <f t="shared" ref="H115:H126" si="14">D115+E115+F115+G115</f>
        <v>15979.7</v>
      </c>
      <c r="I115" s="428">
        <v>-44916.5</v>
      </c>
      <c r="J115" s="270">
        <f t="shared" ref="J115:J126" si="15">H115+I115</f>
        <v>-28936.799999999999</v>
      </c>
      <c r="K115" s="270">
        <f t="shared" ref="K115:K126" si="16">C115+J115</f>
        <v>155634</v>
      </c>
      <c r="L115" s="433"/>
      <c r="M115" s="163"/>
      <c r="N115" s="163"/>
    </row>
    <row r="116" spans="1:14" ht="11.45" customHeight="1" x14ac:dyDescent="0.2">
      <c r="A116" s="285" t="s">
        <v>1150</v>
      </c>
      <c r="B116" s="153" t="s">
        <v>553</v>
      </c>
      <c r="C116" s="433">
        <v>186355.4</v>
      </c>
      <c r="D116" s="433">
        <v>-6762.2</v>
      </c>
      <c r="E116" s="433">
        <v>2174.6</v>
      </c>
      <c r="F116" s="433">
        <v>4595.7</v>
      </c>
      <c r="G116" s="433">
        <v>5832.6</v>
      </c>
      <c r="H116" s="433">
        <f t="shared" si="14"/>
        <v>5840.7</v>
      </c>
      <c r="I116" s="433">
        <v>-40362</v>
      </c>
      <c r="J116" s="214">
        <f t="shared" si="15"/>
        <v>-34521.300000000003</v>
      </c>
      <c r="K116" s="214">
        <f t="shared" si="16"/>
        <v>151834.09999999998</v>
      </c>
      <c r="L116" s="433"/>
      <c r="M116" s="163"/>
      <c r="N116" s="163"/>
    </row>
    <row r="117" spans="1:14" ht="11.45" customHeight="1" x14ac:dyDescent="0.2">
      <c r="A117" s="285" t="s">
        <v>1150</v>
      </c>
      <c r="B117" s="285" t="s">
        <v>547</v>
      </c>
      <c r="C117" s="428">
        <v>191613.9</v>
      </c>
      <c r="D117" s="428">
        <v>-4916.6000000000004</v>
      </c>
      <c r="E117" s="428">
        <v>2127.8000000000002</v>
      </c>
      <c r="F117" s="428">
        <v>4701.7</v>
      </c>
      <c r="G117" s="428">
        <v>6044</v>
      </c>
      <c r="H117" s="428">
        <f t="shared" si="14"/>
        <v>7956.9</v>
      </c>
      <c r="I117" s="428">
        <v>-36915.1</v>
      </c>
      <c r="J117" s="270">
        <f t="shared" si="15"/>
        <v>-28958.199999999997</v>
      </c>
      <c r="K117" s="270">
        <f t="shared" si="16"/>
        <v>162655.70000000001</v>
      </c>
      <c r="L117" s="433"/>
      <c r="M117" s="163"/>
      <c r="N117" s="163"/>
    </row>
    <row r="118" spans="1:14" ht="11.45" customHeight="1" x14ac:dyDescent="0.2">
      <c r="A118" s="285" t="s">
        <v>1150</v>
      </c>
      <c r="B118" s="153" t="s">
        <v>554</v>
      </c>
      <c r="C118" s="433">
        <v>191643.1</v>
      </c>
      <c r="D118" s="433">
        <v>-5215.6000000000004</v>
      </c>
      <c r="E118" s="433">
        <v>2123.8000000000002</v>
      </c>
      <c r="F118" s="433">
        <v>4776.2</v>
      </c>
      <c r="G118" s="433">
        <v>6045.5</v>
      </c>
      <c r="H118" s="433">
        <f t="shared" si="14"/>
        <v>7729.9</v>
      </c>
      <c r="I118" s="433">
        <v>-35373.300000000003</v>
      </c>
      <c r="J118" s="214">
        <f t="shared" si="15"/>
        <v>-27643.4</v>
      </c>
      <c r="K118" s="214">
        <f t="shared" si="16"/>
        <v>163999.70000000001</v>
      </c>
      <c r="L118" s="433"/>
      <c r="M118" s="163"/>
      <c r="N118" s="163"/>
    </row>
    <row r="119" spans="1:14" ht="11.45" customHeight="1" x14ac:dyDescent="0.2">
      <c r="A119" s="285" t="s">
        <v>1150</v>
      </c>
      <c r="B119" s="285" t="s">
        <v>555</v>
      </c>
      <c r="C119" s="428">
        <v>193250.9</v>
      </c>
      <c r="D119" s="428">
        <v>-4296.5</v>
      </c>
      <c r="E119" s="428">
        <v>2116.1999999999998</v>
      </c>
      <c r="F119" s="428">
        <v>4817.5</v>
      </c>
      <c r="G119" s="428">
        <v>6102</v>
      </c>
      <c r="H119" s="428">
        <f t="shared" si="14"/>
        <v>8739.2000000000007</v>
      </c>
      <c r="I119" s="428">
        <v>-44339.6</v>
      </c>
      <c r="J119" s="270">
        <f t="shared" si="15"/>
        <v>-35600.399999999994</v>
      </c>
      <c r="K119" s="270">
        <f t="shared" si="16"/>
        <v>157650.5</v>
      </c>
      <c r="L119" s="433"/>
      <c r="M119" s="163"/>
      <c r="N119" s="163"/>
    </row>
    <row r="120" spans="1:14" ht="11.45" customHeight="1" x14ac:dyDescent="0.2">
      <c r="A120" s="285" t="s">
        <v>1150</v>
      </c>
      <c r="B120" s="153" t="s">
        <v>548</v>
      </c>
      <c r="C120" s="433">
        <v>196508</v>
      </c>
      <c r="D120" s="433">
        <v>-3321.5</v>
      </c>
      <c r="E120" s="433">
        <v>2110</v>
      </c>
      <c r="F120" s="433">
        <v>4890.3999999999996</v>
      </c>
      <c r="G120" s="433">
        <v>5946.3</v>
      </c>
      <c r="H120" s="433">
        <f t="shared" si="14"/>
        <v>9625.2000000000007</v>
      </c>
      <c r="I120" s="433">
        <v>-45918.400000000001</v>
      </c>
      <c r="J120" s="214">
        <f t="shared" si="15"/>
        <v>-36293.199999999997</v>
      </c>
      <c r="K120" s="214">
        <f t="shared" si="16"/>
        <v>160214.79999999999</v>
      </c>
      <c r="L120" s="433"/>
      <c r="M120" s="163"/>
      <c r="N120" s="163"/>
    </row>
    <row r="121" spans="1:14" ht="11.45" customHeight="1" x14ac:dyDescent="0.2">
      <c r="A121" s="285" t="s">
        <v>1150</v>
      </c>
      <c r="B121" s="285" t="s">
        <v>556</v>
      </c>
      <c r="C121" s="428">
        <v>197995.7</v>
      </c>
      <c r="D121" s="428">
        <v>-5345.9</v>
      </c>
      <c r="E121" s="428">
        <v>2100.5</v>
      </c>
      <c r="F121" s="428">
        <v>4850.6000000000004</v>
      </c>
      <c r="G121" s="428">
        <v>5969</v>
      </c>
      <c r="H121" s="428">
        <f t="shared" si="14"/>
        <v>7574.2000000000007</v>
      </c>
      <c r="I121" s="428">
        <v>-43801.5</v>
      </c>
      <c r="J121" s="270">
        <f t="shared" si="15"/>
        <v>-36227.300000000003</v>
      </c>
      <c r="K121" s="270">
        <f t="shared" si="16"/>
        <v>161768.40000000002</v>
      </c>
      <c r="L121" s="433"/>
      <c r="M121" s="163"/>
      <c r="N121" s="163"/>
    </row>
    <row r="122" spans="1:14" ht="11.45" customHeight="1" x14ac:dyDescent="0.2">
      <c r="A122" s="285" t="s">
        <v>1150</v>
      </c>
      <c r="B122" s="153" t="s">
        <v>557</v>
      </c>
      <c r="C122" s="433">
        <v>203032.4</v>
      </c>
      <c r="D122" s="433">
        <v>1100.9000000000001</v>
      </c>
      <c r="E122" s="433">
        <v>2081.4</v>
      </c>
      <c r="F122" s="433">
        <v>4823.3999999999996</v>
      </c>
      <c r="G122" s="433">
        <v>5956.5</v>
      </c>
      <c r="H122" s="433">
        <f t="shared" si="14"/>
        <v>13962.2</v>
      </c>
      <c r="I122" s="433">
        <v>-55271.6</v>
      </c>
      <c r="J122" s="214">
        <f t="shared" si="15"/>
        <v>-41309.399999999994</v>
      </c>
      <c r="K122" s="214">
        <f t="shared" si="16"/>
        <v>161723</v>
      </c>
      <c r="L122" s="433"/>
      <c r="M122" s="163"/>
      <c r="N122" s="163"/>
    </row>
    <row r="123" spans="1:14" ht="11.45" customHeight="1" x14ac:dyDescent="0.2">
      <c r="A123" s="285" t="s">
        <v>1150</v>
      </c>
      <c r="B123" s="285" t="s">
        <v>549</v>
      </c>
      <c r="C123" s="428">
        <v>207417.5</v>
      </c>
      <c r="D123" s="428">
        <v>4723.6000000000004</v>
      </c>
      <c r="E123" s="428">
        <v>2031.3</v>
      </c>
      <c r="F123" s="428">
        <v>4813.8999999999996</v>
      </c>
      <c r="G123" s="428">
        <v>5347.9</v>
      </c>
      <c r="H123" s="428">
        <f t="shared" si="14"/>
        <v>16916.699999999997</v>
      </c>
      <c r="I123" s="428">
        <v>-62452.5</v>
      </c>
      <c r="J123" s="270">
        <f t="shared" si="15"/>
        <v>-45535.8</v>
      </c>
      <c r="K123" s="270">
        <f t="shared" si="16"/>
        <v>161881.70000000001</v>
      </c>
      <c r="L123" s="433"/>
      <c r="M123" s="163"/>
      <c r="N123" s="163"/>
    </row>
    <row r="124" spans="1:14" ht="11.45" customHeight="1" x14ac:dyDescent="0.2">
      <c r="A124" s="285" t="s">
        <v>1150</v>
      </c>
      <c r="B124" s="153" t="s">
        <v>558</v>
      </c>
      <c r="C124" s="433">
        <v>210707.20000000001</v>
      </c>
      <c r="D124" s="433">
        <v>831</v>
      </c>
      <c r="E124" s="433">
        <v>2035.6</v>
      </c>
      <c r="F124" s="433">
        <v>4847.3</v>
      </c>
      <c r="G124" s="433">
        <v>5430.4</v>
      </c>
      <c r="H124" s="433">
        <f t="shared" si="14"/>
        <v>13144.3</v>
      </c>
      <c r="I124" s="433">
        <v>-58628</v>
      </c>
      <c r="J124" s="214">
        <f t="shared" si="15"/>
        <v>-45483.7</v>
      </c>
      <c r="K124" s="214">
        <f t="shared" si="16"/>
        <v>165223.5</v>
      </c>
      <c r="L124" s="433"/>
      <c r="M124" s="163"/>
      <c r="N124" s="163"/>
    </row>
    <row r="125" spans="1:14" ht="11.45" customHeight="1" x14ac:dyDescent="0.2">
      <c r="A125" s="285" t="s">
        <v>1150</v>
      </c>
      <c r="B125" s="285" t="s">
        <v>559</v>
      </c>
      <c r="C125" s="428">
        <v>211693.2</v>
      </c>
      <c r="D125" s="428">
        <v>2794.7</v>
      </c>
      <c r="E125" s="428">
        <v>2015.1</v>
      </c>
      <c r="F125" s="428">
        <v>4860.3</v>
      </c>
      <c r="G125" s="428">
        <v>5403.5</v>
      </c>
      <c r="H125" s="428">
        <f t="shared" si="14"/>
        <v>15073.599999999999</v>
      </c>
      <c r="I125" s="428">
        <v>-53863.9</v>
      </c>
      <c r="J125" s="270">
        <f t="shared" si="15"/>
        <v>-38790.300000000003</v>
      </c>
      <c r="K125" s="270">
        <f t="shared" si="16"/>
        <v>172902.90000000002</v>
      </c>
      <c r="L125" s="433"/>
      <c r="M125" s="163"/>
      <c r="N125" s="163"/>
    </row>
    <row r="126" spans="1:14" ht="11.45" customHeight="1" x14ac:dyDescent="0.2">
      <c r="A126" s="285" t="s">
        <v>1150</v>
      </c>
      <c r="B126" s="153" t="s">
        <v>550</v>
      </c>
      <c r="C126" s="433">
        <v>218904.1</v>
      </c>
      <c r="D126" s="433">
        <v>13373.7</v>
      </c>
      <c r="E126" s="433">
        <v>2015.5</v>
      </c>
      <c r="F126" s="433">
        <v>4966.8999999999996</v>
      </c>
      <c r="G126" s="433">
        <v>6024.4</v>
      </c>
      <c r="H126" s="433">
        <f t="shared" si="14"/>
        <v>26380.5</v>
      </c>
      <c r="I126" s="433">
        <v>-52083.3</v>
      </c>
      <c r="J126" s="214">
        <f t="shared" si="15"/>
        <v>-25702.800000000003</v>
      </c>
      <c r="K126" s="214">
        <f t="shared" si="16"/>
        <v>193201.3</v>
      </c>
      <c r="L126" s="433"/>
      <c r="M126" s="163"/>
      <c r="N126" s="163"/>
    </row>
    <row r="127" spans="1:14" ht="11.45" customHeight="1" x14ac:dyDescent="0.2">
      <c r="A127" s="285" t="s">
        <v>1174</v>
      </c>
      <c r="B127" s="285" t="s">
        <v>552</v>
      </c>
      <c r="C127" s="428">
        <v>222971.6</v>
      </c>
      <c r="D127" s="428">
        <v>-254.7</v>
      </c>
      <c r="E127" s="428">
        <v>2006.8</v>
      </c>
      <c r="F127" s="428">
        <v>4923.1000000000004</v>
      </c>
      <c r="G127" s="428">
        <v>4936.7</v>
      </c>
      <c r="H127" s="428">
        <f t="shared" ref="H127:H149" si="17">D127+E127+F127+G127</f>
        <v>11611.900000000001</v>
      </c>
      <c r="I127" s="428">
        <v>-52725.3</v>
      </c>
      <c r="J127" s="270">
        <f t="shared" ref="J127:J149" si="18">H127+I127</f>
        <v>-41113.4</v>
      </c>
      <c r="K127" s="270">
        <f t="shared" ref="K127:K150" si="19">C127+J127</f>
        <v>181858.2</v>
      </c>
      <c r="L127" s="433"/>
      <c r="M127" s="163"/>
      <c r="N127" s="163"/>
    </row>
    <row r="128" spans="1:14" ht="11.45" customHeight="1" x14ac:dyDescent="0.2">
      <c r="A128" s="285" t="s">
        <v>1174</v>
      </c>
      <c r="B128" s="153" t="s">
        <v>553</v>
      </c>
      <c r="C128" s="433">
        <v>227994.8</v>
      </c>
      <c r="D128" s="433">
        <v>-1519.1</v>
      </c>
      <c r="E128" s="433">
        <v>2009.6</v>
      </c>
      <c r="F128" s="433">
        <v>4820.5</v>
      </c>
      <c r="G128" s="433">
        <v>5256.8</v>
      </c>
      <c r="H128" s="433">
        <f t="shared" si="17"/>
        <v>10567.8</v>
      </c>
      <c r="I128" s="433">
        <v>-55844</v>
      </c>
      <c r="J128" s="214">
        <f t="shared" si="18"/>
        <v>-45276.2</v>
      </c>
      <c r="K128" s="214">
        <f t="shared" si="19"/>
        <v>182718.59999999998</v>
      </c>
      <c r="L128" s="433"/>
      <c r="M128" s="163"/>
      <c r="N128" s="163"/>
    </row>
    <row r="129" spans="1:14" ht="11.45" customHeight="1" x14ac:dyDescent="0.2">
      <c r="A129" s="285" t="s">
        <v>1174</v>
      </c>
      <c r="B129" s="285" t="s">
        <v>547</v>
      </c>
      <c r="C129" s="428">
        <v>233071.6</v>
      </c>
      <c r="D129" s="428">
        <v>1004.4</v>
      </c>
      <c r="E129" s="428">
        <v>1986.2</v>
      </c>
      <c r="F129" s="428">
        <v>4830.8</v>
      </c>
      <c r="G129" s="428">
        <v>5228.3999999999996</v>
      </c>
      <c r="H129" s="428">
        <f t="shared" si="17"/>
        <v>13049.8</v>
      </c>
      <c r="I129" s="428">
        <v>-56313.3</v>
      </c>
      <c r="J129" s="270">
        <f t="shared" si="18"/>
        <v>-43263.5</v>
      </c>
      <c r="K129" s="270">
        <f t="shared" si="19"/>
        <v>189808.1</v>
      </c>
      <c r="L129" s="433"/>
      <c r="M129" s="163"/>
      <c r="N129" s="163"/>
    </row>
    <row r="130" spans="1:14" ht="11.45" customHeight="1" x14ac:dyDescent="0.2">
      <c r="A130" s="285" t="s">
        <v>1174</v>
      </c>
      <c r="B130" s="153" t="s">
        <v>554</v>
      </c>
      <c r="C130" s="433">
        <v>234188.5</v>
      </c>
      <c r="D130" s="433">
        <v>1350.8</v>
      </c>
      <c r="E130" s="433">
        <v>1988.9</v>
      </c>
      <c r="F130" s="433">
        <v>4860.5</v>
      </c>
      <c r="G130" s="433">
        <v>5210.7</v>
      </c>
      <c r="H130" s="433">
        <f t="shared" si="17"/>
        <v>13410.900000000001</v>
      </c>
      <c r="I130" s="433">
        <v>-60950.9</v>
      </c>
      <c r="J130" s="214">
        <f t="shared" si="18"/>
        <v>-47540</v>
      </c>
      <c r="K130" s="214">
        <f t="shared" si="19"/>
        <v>186648.5</v>
      </c>
      <c r="L130" s="433"/>
      <c r="M130" s="163"/>
      <c r="N130" s="163"/>
    </row>
    <row r="131" spans="1:14" ht="11.45" customHeight="1" x14ac:dyDescent="0.2">
      <c r="A131" s="285" t="s">
        <v>1174</v>
      </c>
      <c r="B131" s="285" t="s">
        <v>555</v>
      </c>
      <c r="C131" s="428">
        <v>233489.3</v>
      </c>
      <c r="D131" s="428">
        <v>3205.6</v>
      </c>
      <c r="E131" s="428">
        <v>1994</v>
      </c>
      <c r="F131" s="428">
        <v>4877.1000000000004</v>
      </c>
      <c r="G131" s="428">
        <v>4923.3999999999996</v>
      </c>
      <c r="H131" s="428">
        <f t="shared" si="17"/>
        <v>15000.1</v>
      </c>
      <c r="I131" s="428">
        <v>-61565.599999999999</v>
      </c>
      <c r="J131" s="270">
        <f t="shared" si="18"/>
        <v>-46565.5</v>
      </c>
      <c r="K131" s="270">
        <f t="shared" si="19"/>
        <v>186923.8</v>
      </c>
      <c r="L131" s="433"/>
      <c r="M131" s="163"/>
      <c r="N131" s="163"/>
    </row>
    <row r="132" spans="1:14" ht="11.45" customHeight="1" x14ac:dyDescent="0.2">
      <c r="A132" s="285" t="s">
        <v>1174</v>
      </c>
      <c r="B132" s="153" t="s">
        <v>548</v>
      </c>
      <c r="C132" s="433">
        <v>235538.8</v>
      </c>
      <c r="D132" s="433">
        <v>4872.5</v>
      </c>
      <c r="E132" s="433">
        <v>1926.2</v>
      </c>
      <c r="F132" s="433">
        <v>4921.2</v>
      </c>
      <c r="G132" s="433">
        <v>4885</v>
      </c>
      <c r="H132" s="433">
        <f t="shared" si="17"/>
        <v>16604.900000000001</v>
      </c>
      <c r="I132" s="433">
        <v>-60645.5</v>
      </c>
      <c r="J132" s="214">
        <f t="shared" si="18"/>
        <v>-44040.6</v>
      </c>
      <c r="K132" s="214">
        <f t="shared" si="19"/>
        <v>191498.19999999998</v>
      </c>
      <c r="L132" s="433"/>
      <c r="M132" s="163"/>
      <c r="N132" s="163"/>
    </row>
    <row r="133" spans="1:14" ht="11.45" customHeight="1" x14ac:dyDescent="0.2">
      <c r="A133" s="285" t="s">
        <v>1174</v>
      </c>
      <c r="B133" s="285" t="s">
        <v>556</v>
      </c>
      <c r="C133" s="428">
        <v>236674.5</v>
      </c>
      <c r="D133" s="428">
        <v>923.2</v>
      </c>
      <c r="E133" s="428">
        <v>1868.6</v>
      </c>
      <c r="F133" s="428">
        <v>4865.5</v>
      </c>
      <c r="G133" s="428">
        <v>5119.8</v>
      </c>
      <c r="H133" s="428">
        <f t="shared" si="17"/>
        <v>12777.1</v>
      </c>
      <c r="I133" s="428">
        <v>-60889.4</v>
      </c>
      <c r="J133" s="270">
        <f t="shared" si="18"/>
        <v>-48112.3</v>
      </c>
      <c r="K133" s="270">
        <f t="shared" si="19"/>
        <v>188562.2</v>
      </c>
      <c r="L133" s="433"/>
      <c r="M133" s="163"/>
      <c r="N133" s="163"/>
    </row>
    <row r="134" spans="1:14" ht="11.45" customHeight="1" x14ac:dyDescent="0.2">
      <c r="A134" s="285" t="s">
        <v>1174</v>
      </c>
      <c r="B134" s="153" t="s">
        <v>557</v>
      </c>
      <c r="C134" s="433">
        <v>240191.5</v>
      </c>
      <c r="D134" s="433">
        <v>-470.3</v>
      </c>
      <c r="E134" s="433">
        <v>1871.3</v>
      </c>
      <c r="F134" s="433">
        <v>4840</v>
      </c>
      <c r="G134" s="433">
        <v>5097.5</v>
      </c>
      <c r="H134" s="433">
        <f t="shared" si="17"/>
        <v>11338.5</v>
      </c>
      <c r="I134" s="433">
        <v>-60277.1</v>
      </c>
      <c r="J134" s="214">
        <f t="shared" si="18"/>
        <v>-48938.6</v>
      </c>
      <c r="K134" s="214">
        <f t="shared" si="19"/>
        <v>191252.9</v>
      </c>
      <c r="L134" s="433"/>
      <c r="M134" s="163"/>
      <c r="N134" s="163"/>
    </row>
    <row r="135" spans="1:14" ht="11.45" customHeight="1" x14ac:dyDescent="0.2">
      <c r="A135" s="285" t="s">
        <v>1174</v>
      </c>
      <c r="B135" s="285" t="s">
        <v>549</v>
      </c>
      <c r="C135" s="428">
        <v>242368.9</v>
      </c>
      <c r="D135" s="428">
        <v>-218.8</v>
      </c>
      <c r="E135" s="428">
        <v>1849.4</v>
      </c>
      <c r="F135" s="428">
        <v>4866.8999999999996</v>
      </c>
      <c r="G135" s="428">
        <v>5137.8</v>
      </c>
      <c r="H135" s="428">
        <f t="shared" si="17"/>
        <v>11635.3</v>
      </c>
      <c r="I135" s="428">
        <v>-61391</v>
      </c>
      <c r="J135" s="270">
        <f t="shared" si="18"/>
        <v>-49755.7</v>
      </c>
      <c r="K135" s="270">
        <f t="shared" si="19"/>
        <v>192613.2</v>
      </c>
      <c r="L135" s="433"/>
      <c r="M135" s="163"/>
      <c r="N135" s="163"/>
    </row>
    <row r="136" spans="1:14" ht="11.45" customHeight="1" x14ac:dyDescent="0.2">
      <c r="A136" s="285" t="s">
        <v>1174</v>
      </c>
      <c r="B136" s="153" t="s">
        <v>558</v>
      </c>
      <c r="C136" s="433">
        <v>242030</v>
      </c>
      <c r="D136" s="433">
        <v>2900.4</v>
      </c>
      <c r="E136" s="433">
        <v>1851.9</v>
      </c>
      <c r="F136" s="433">
        <v>4873.1000000000004</v>
      </c>
      <c r="G136" s="433">
        <v>5301</v>
      </c>
      <c r="H136" s="433">
        <f t="shared" si="17"/>
        <v>14926.400000000001</v>
      </c>
      <c r="I136" s="433">
        <v>-65452.1</v>
      </c>
      <c r="J136" s="214">
        <f t="shared" si="18"/>
        <v>-50525.7</v>
      </c>
      <c r="K136" s="214">
        <f t="shared" si="19"/>
        <v>191504.3</v>
      </c>
      <c r="L136" s="433"/>
      <c r="M136" s="163"/>
      <c r="N136" s="163"/>
    </row>
    <row r="137" spans="1:14" ht="11.45" customHeight="1" x14ac:dyDescent="0.2">
      <c r="A137" s="285" t="s">
        <v>1174</v>
      </c>
      <c r="B137" s="285" t="s">
        <v>559</v>
      </c>
      <c r="C137" s="428">
        <v>246330.1</v>
      </c>
      <c r="D137" s="428">
        <v>8419.9</v>
      </c>
      <c r="E137" s="428">
        <v>2154</v>
      </c>
      <c r="F137" s="428">
        <v>4983</v>
      </c>
      <c r="G137" s="428">
        <v>5119.5</v>
      </c>
      <c r="H137" s="428">
        <f t="shared" si="17"/>
        <v>20676.400000000001</v>
      </c>
      <c r="I137" s="428">
        <v>-71037.899999999994</v>
      </c>
      <c r="J137" s="270">
        <f t="shared" si="18"/>
        <v>-50361.499999999993</v>
      </c>
      <c r="K137" s="270">
        <f t="shared" si="19"/>
        <v>195968.6</v>
      </c>
      <c r="L137" s="433"/>
      <c r="M137" s="163"/>
      <c r="N137" s="163"/>
    </row>
    <row r="138" spans="1:14" ht="11.45" customHeight="1" x14ac:dyDescent="0.2">
      <c r="A138" s="285" t="s">
        <v>1174</v>
      </c>
      <c r="B138" s="153" t="s">
        <v>550</v>
      </c>
      <c r="C138" s="433">
        <v>252027</v>
      </c>
      <c r="D138" s="433">
        <v>12977.7</v>
      </c>
      <c r="E138" s="433">
        <v>2157.8000000000002</v>
      </c>
      <c r="F138" s="433">
        <v>4976.6000000000004</v>
      </c>
      <c r="G138" s="433">
        <v>5054.3999999999996</v>
      </c>
      <c r="H138" s="433">
        <f t="shared" si="17"/>
        <v>25166.5</v>
      </c>
      <c r="I138" s="433">
        <v>-52534.1</v>
      </c>
      <c r="J138" s="214">
        <f t="shared" si="18"/>
        <v>-27367.599999999999</v>
      </c>
      <c r="K138" s="214">
        <f t="shared" si="19"/>
        <v>224659.4</v>
      </c>
      <c r="L138" s="433"/>
      <c r="M138" s="163"/>
      <c r="N138" s="163"/>
    </row>
    <row r="139" spans="1:14" ht="11.45" customHeight="1" x14ac:dyDescent="0.2">
      <c r="A139" s="285" t="s">
        <v>1296</v>
      </c>
      <c r="B139" s="285" t="s">
        <v>552</v>
      </c>
      <c r="C139" s="433">
        <v>251647.8</v>
      </c>
      <c r="D139" s="433">
        <v>3564.5</v>
      </c>
      <c r="E139" s="433">
        <v>2147.5</v>
      </c>
      <c r="F139" s="433">
        <v>4920.2</v>
      </c>
      <c r="G139" s="433">
        <v>4809.8</v>
      </c>
      <c r="H139" s="433">
        <f t="shared" si="17"/>
        <v>15442</v>
      </c>
      <c r="I139" s="433">
        <v>-56802</v>
      </c>
      <c r="J139" s="214">
        <f t="shared" si="18"/>
        <v>-41360</v>
      </c>
      <c r="K139" s="214">
        <f t="shared" si="19"/>
        <v>210287.8</v>
      </c>
      <c r="L139" s="433"/>
      <c r="M139" s="163"/>
      <c r="N139" s="163"/>
    </row>
    <row r="140" spans="1:14" ht="11.45" customHeight="1" x14ac:dyDescent="0.2">
      <c r="A140" s="285" t="s">
        <v>1296</v>
      </c>
      <c r="B140" s="153" t="s">
        <v>553</v>
      </c>
      <c r="C140" s="428">
        <v>251630.1</v>
      </c>
      <c r="D140" s="428">
        <v>14699.8</v>
      </c>
      <c r="E140" s="428">
        <v>2150.1999999999998</v>
      </c>
      <c r="F140" s="428">
        <v>4833.8999999999996</v>
      </c>
      <c r="G140" s="428">
        <v>4986.5</v>
      </c>
      <c r="H140" s="428">
        <f t="shared" si="17"/>
        <v>26670.400000000001</v>
      </c>
      <c r="I140" s="428">
        <v>-48104.9</v>
      </c>
      <c r="J140" s="270">
        <f t="shared" si="18"/>
        <v>-21434.5</v>
      </c>
      <c r="K140" s="270">
        <f t="shared" si="19"/>
        <v>230195.6</v>
      </c>
      <c r="L140" s="433"/>
      <c r="M140" s="163"/>
      <c r="N140" s="163"/>
    </row>
    <row r="141" spans="1:14" ht="11.45" customHeight="1" x14ac:dyDescent="0.2">
      <c r="A141" s="285" t="s">
        <v>1296</v>
      </c>
      <c r="B141" s="285" t="s">
        <v>547</v>
      </c>
      <c r="C141" s="433">
        <v>250809.7</v>
      </c>
      <c r="D141" s="433">
        <v>6694.8</v>
      </c>
      <c r="E141" s="433">
        <v>2152.6</v>
      </c>
      <c r="F141" s="433">
        <v>4844.2</v>
      </c>
      <c r="G141" s="433">
        <v>5276.5</v>
      </c>
      <c r="H141" s="433">
        <f t="shared" si="17"/>
        <v>18968.099999999999</v>
      </c>
      <c r="I141" s="433">
        <v>-54517.599999999999</v>
      </c>
      <c r="J141" s="214">
        <f t="shared" si="18"/>
        <v>-35549.5</v>
      </c>
      <c r="K141" s="214">
        <f t="shared" si="19"/>
        <v>215260.2</v>
      </c>
      <c r="L141" s="433"/>
      <c r="M141" s="163"/>
      <c r="N141" s="163"/>
    </row>
    <row r="142" spans="1:14" ht="11.45" customHeight="1" x14ac:dyDescent="0.2">
      <c r="A142" s="285" t="s">
        <v>1296</v>
      </c>
      <c r="B142" s="153" t="s">
        <v>554</v>
      </c>
      <c r="C142" s="428">
        <v>251637.5</v>
      </c>
      <c r="D142" s="428">
        <v>8497.2999999999993</v>
      </c>
      <c r="E142" s="428">
        <v>2154.9</v>
      </c>
      <c r="F142" s="428">
        <v>4848.8</v>
      </c>
      <c r="G142" s="428">
        <v>5566.5</v>
      </c>
      <c r="H142" s="428">
        <f t="shared" si="17"/>
        <v>21067.5</v>
      </c>
      <c r="I142" s="428">
        <v>-62428</v>
      </c>
      <c r="J142" s="270">
        <f t="shared" si="18"/>
        <v>-41360.5</v>
      </c>
      <c r="K142" s="270">
        <f t="shared" si="19"/>
        <v>210277</v>
      </c>
      <c r="L142" s="433"/>
      <c r="M142" s="163"/>
      <c r="N142" s="163"/>
    </row>
    <row r="143" spans="1:14" ht="11.45" customHeight="1" x14ac:dyDescent="0.2">
      <c r="A143" s="285" t="s">
        <v>1296</v>
      </c>
      <c r="B143" s="285" t="s">
        <v>555</v>
      </c>
      <c r="C143" s="433">
        <v>252830</v>
      </c>
      <c r="D143" s="433">
        <v>8979.1</v>
      </c>
      <c r="E143" s="433">
        <v>2157.4</v>
      </c>
      <c r="F143" s="433">
        <v>4885.6000000000004</v>
      </c>
      <c r="G143" s="433">
        <v>5450.6</v>
      </c>
      <c r="H143" s="433">
        <f t="shared" si="17"/>
        <v>21472.7</v>
      </c>
      <c r="I143" s="433">
        <v>-65283.4</v>
      </c>
      <c r="J143" s="214">
        <f t="shared" si="18"/>
        <v>-43810.7</v>
      </c>
      <c r="K143" s="214">
        <f t="shared" si="19"/>
        <v>209019.3</v>
      </c>
      <c r="L143" s="433"/>
      <c r="M143" s="163"/>
      <c r="N143" s="163"/>
    </row>
    <row r="144" spans="1:14" ht="11.45" customHeight="1" x14ac:dyDescent="0.2">
      <c r="A144" s="285" t="s">
        <v>1296</v>
      </c>
      <c r="B144" s="153" t="s">
        <v>548</v>
      </c>
      <c r="C144" s="428">
        <v>253497.7</v>
      </c>
      <c r="D144" s="428">
        <v>9238.6</v>
      </c>
      <c r="E144" s="428">
        <v>2160</v>
      </c>
      <c r="F144" s="428">
        <v>4986.5</v>
      </c>
      <c r="G144" s="428">
        <v>4920.3999999999996</v>
      </c>
      <c r="H144" s="428">
        <f t="shared" si="17"/>
        <v>21305.5</v>
      </c>
      <c r="I144" s="428">
        <v>-57819.4</v>
      </c>
      <c r="J144" s="270">
        <f t="shared" si="18"/>
        <v>-36513.9</v>
      </c>
      <c r="K144" s="270">
        <f t="shared" si="19"/>
        <v>216983.80000000002</v>
      </c>
      <c r="L144" s="433"/>
      <c r="M144" s="163"/>
      <c r="N144" s="163"/>
    </row>
    <row r="145" spans="1:14" ht="11.45" customHeight="1" x14ac:dyDescent="0.2">
      <c r="A145" s="285" t="s">
        <v>1296</v>
      </c>
      <c r="B145" s="285" t="s">
        <v>556</v>
      </c>
      <c r="C145" s="433">
        <v>253560.4</v>
      </c>
      <c r="D145" s="433">
        <v>7367.2</v>
      </c>
      <c r="E145" s="433">
        <v>2208.4</v>
      </c>
      <c r="F145" s="433">
        <v>4993.1000000000004</v>
      </c>
      <c r="G145" s="433">
        <v>5010.5</v>
      </c>
      <c r="H145" s="433">
        <f t="shared" si="17"/>
        <v>19579.2</v>
      </c>
      <c r="I145" s="433">
        <v>-62819</v>
      </c>
      <c r="J145" s="214">
        <f t="shared" si="18"/>
        <v>-43239.8</v>
      </c>
      <c r="K145" s="214">
        <f t="shared" si="19"/>
        <v>210320.59999999998</v>
      </c>
      <c r="L145" s="433"/>
      <c r="M145" s="163"/>
      <c r="N145" s="163"/>
    </row>
    <row r="146" spans="1:14" ht="11.45" customHeight="1" x14ac:dyDescent="0.2">
      <c r="A146" s="285" t="s">
        <v>1296</v>
      </c>
      <c r="B146" s="153" t="s">
        <v>557</v>
      </c>
      <c r="C146" s="428">
        <v>253570.9</v>
      </c>
      <c r="D146" s="428">
        <v>7078.4</v>
      </c>
      <c r="E146" s="428">
        <v>2211.1</v>
      </c>
      <c r="F146" s="428">
        <v>4920.7</v>
      </c>
      <c r="G146" s="428">
        <v>4992.3999999999996</v>
      </c>
      <c r="H146" s="428">
        <f t="shared" si="17"/>
        <v>19202.599999999999</v>
      </c>
      <c r="I146" s="428">
        <v>-62224.1</v>
      </c>
      <c r="J146" s="270">
        <f t="shared" si="18"/>
        <v>-43021.5</v>
      </c>
      <c r="K146" s="270">
        <f t="shared" si="19"/>
        <v>210549.4</v>
      </c>
      <c r="L146" s="433"/>
      <c r="M146" s="163"/>
      <c r="N146" s="163"/>
    </row>
    <row r="147" spans="1:14" ht="11.45" customHeight="1" x14ac:dyDescent="0.2">
      <c r="A147" s="285" t="s">
        <v>1296</v>
      </c>
      <c r="B147" s="285" t="s">
        <v>549</v>
      </c>
      <c r="C147" s="433">
        <v>252905.8</v>
      </c>
      <c r="D147" s="433">
        <v>10068.4</v>
      </c>
      <c r="E147" s="433">
        <v>2213.9</v>
      </c>
      <c r="F147" s="433">
        <v>4958.8999999999996</v>
      </c>
      <c r="G147" s="433">
        <v>5064.8999999999996</v>
      </c>
      <c r="H147" s="433">
        <f t="shared" si="17"/>
        <v>22306.1</v>
      </c>
      <c r="I147" s="433">
        <v>-62961.5</v>
      </c>
      <c r="J147" s="214">
        <f t="shared" si="18"/>
        <v>-40655.4</v>
      </c>
      <c r="K147" s="214">
        <f t="shared" si="19"/>
        <v>212250.4</v>
      </c>
      <c r="L147" s="433"/>
      <c r="M147" s="163"/>
      <c r="N147" s="163"/>
    </row>
    <row r="148" spans="1:14" ht="11.45" customHeight="1" x14ac:dyDescent="0.2">
      <c r="A148" s="285" t="s">
        <v>1296</v>
      </c>
      <c r="B148" s="153" t="s">
        <v>558</v>
      </c>
      <c r="C148" s="428">
        <v>251317</v>
      </c>
      <c r="D148" s="428">
        <v>10370.6</v>
      </c>
      <c r="E148" s="428">
        <v>2342</v>
      </c>
      <c r="F148" s="428">
        <v>5037.6000000000004</v>
      </c>
      <c r="G148" s="428">
        <v>5588.5</v>
      </c>
      <c r="H148" s="428">
        <f t="shared" si="17"/>
        <v>23338.7</v>
      </c>
      <c r="I148" s="428">
        <v>-62274.7</v>
      </c>
      <c r="J148" s="270">
        <f t="shared" si="18"/>
        <v>-38936</v>
      </c>
      <c r="K148" s="270">
        <f t="shared" si="19"/>
        <v>212381</v>
      </c>
      <c r="L148" s="433"/>
      <c r="M148" s="163"/>
      <c r="N148" s="163"/>
    </row>
    <row r="149" spans="1:14" ht="11.45" customHeight="1" x14ac:dyDescent="0.2">
      <c r="A149" s="285" t="s">
        <v>1296</v>
      </c>
      <c r="B149" s="285" t="s">
        <v>559</v>
      </c>
      <c r="C149" s="433">
        <v>252375.2</v>
      </c>
      <c r="D149" s="433">
        <v>10663.6</v>
      </c>
      <c r="E149" s="433">
        <v>2385.4</v>
      </c>
      <c r="F149" s="433">
        <v>5071.1000000000004</v>
      </c>
      <c r="G149" s="433">
        <v>5458.2</v>
      </c>
      <c r="H149" s="433">
        <f t="shared" si="17"/>
        <v>23578.3</v>
      </c>
      <c r="I149" s="433">
        <v>-64911.9</v>
      </c>
      <c r="J149" s="214">
        <f t="shared" si="18"/>
        <v>-41333.600000000006</v>
      </c>
      <c r="K149" s="214">
        <f t="shared" si="19"/>
        <v>211041.6</v>
      </c>
      <c r="L149" s="433"/>
      <c r="M149" s="163"/>
      <c r="N149" s="163"/>
    </row>
    <row r="150" spans="1:14" ht="11.45" customHeight="1" x14ac:dyDescent="0.2">
      <c r="A150" s="285" t="s">
        <v>1296</v>
      </c>
      <c r="B150" s="153" t="s">
        <v>550</v>
      </c>
      <c r="C150" s="428">
        <v>253509.8</v>
      </c>
      <c r="D150" s="428">
        <v>22572.2</v>
      </c>
      <c r="E150" s="428">
        <v>2367.8000000000002</v>
      </c>
      <c r="F150" s="428">
        <v>5146.2</v>
      </c>
      <c r="G150" s="428">
        <v>5582.5</v>
      </c>
      <c r="H150" s="428">
        <f>D150+E150+F150+G150</f>
        <v>35668.699999999997</v>
      </c>
      <c r="I150" s="428">
        <v>-55435.5</v>
      </c>
      <c r="J150" s="428">
        <f>H150+I150</f>
        <v>-19766.800000000003</v>
      </c>
      <c r="K150" s="428">
        <f t="shared" si="19"/>
        <v>233743</v>
      </c>
      <c r="L150" s="433"/>
      <c r="M150" s="163"/>
      <c r="N150" s="163"/>
    </row>
    <row r="151" spans="1:14" ht="11.45" customHeight="1" x14ac:dyDescent="0.2">
      <c r="A151" s="285" t="s">
        <v>1404</v>
      </c>
      <c r="B151" s="285" t="s">
        <v>552</v>
      </c>
      <c r="C151" s="433">
        <v>251973.1</v>
      </c>
      <c r="D151" s="433">
        <v>12131.7</v>
      </c>
      <c r="E151" s="433">
        <v>2356.5</v>
      </c>
      <c r="F151" s="433">
        <v>5096.8999999999996</v>
      </c>
      <c r="G151" s="433">
        <v>4998.2</v>
      </c>
      <c r="H151" s="433">
        <f t="shared" ref="H151:H162" si="20">D151+E151+F151+G151</f>
        <v>24583.3</v>
      </c>
      <c r="I151" s="433">
        <v>-55288.5</v>
      </c>
      <c r="J151" s="433">
        <f t="shared" ref="J151:J162" si="21">H151+I151</f>
        <v>-30705.200000000001</v>
      </c>
      <c r="K151" s="433">
        <f t="shared" ref="K151:K162" si="22">C151+J151</f>
        <v>221267.9</v>
      </c>
      <c r="L151" s="433"/>
      <c r="M151" s="163"/>
      <c r="N151" s="163"/>
    </row>
    <row r="152" spans="1:14" ht="11.45" customHeight="1" x14ac:dyDescent="0.2">
      <c r="A152" s="285" t="s">
        <v>1404</v>
      </c>
      <c r="B152" s="153" t="s">
        <v>553</v>
      </c>
      <c r="C152" s="428">
        <v>254675.20000000001</v>
      </c>
      <c r="D152" s="428">
        <v>17116.900000000001</v>
      </c>
      <c r="E152" s="428">
        <v>2359.9</v>
      </c>
      <c r="F152" s="428">
        <v>5051.1000000000004</v>
      </c>
      <c r="G152" s="428">
        <v>4959.7</v>
      </c>
      <c r="H152" s="428">
        <f t="shared" si="20"/>
        <v>29487.600000000002</v>
      </c>
      <c r="I152" s="428">
        <v>-49792</v>
      </c>
      <c r="J152" s="428">
        <f t="shared" si="21"/>
        <v>-20304.399999999998</v>
      </c>
      <c r="K152" s="428">
        <f t="shared" si="22"/>
        <v>234370.80000000002</v>
      </c>
      <c r="L152" s="433"/>
      <c r="M152" s="163"/>
      <c r="N152" s="163"/>
    </row>
    <row r="153" spans="1:14" ht="11.45" customHeight="1" x14ac:dyDescent="0.2">
      <c r="A153" s="285" t="s">
        <v>1404</v>
      </c>
      <c r="B153" s="285" t="s">
        <v>547</v>
      </c>
      <c r="C153" s="433">
        <v>251729.4</v>
      </c>
      <c r="D153" s="433">
        <v>10446.5</v>
      </c>
      <c r="E153" s="433">
        <v>2363.1999999999998</v>
      </c>
      <c r="F153" s="433">
        <v>5003.2</v>
      </c>
      <c r="G153" s="433">
        <v>5009.8999999999996</v>
      </c>
      <c r="H153" s="433">
        <f t="shared" si="20"/>
        <v>22822.800000000003</v>
      </c>
      <c r="I153" s="433">
        <v>-46065</v>
      </c>
      <c r="J153" s="433">
        <f t="shared" si="21"/>
        <v>-23242.199999999997</v>
      </c>
      <c r="K153" s="433">
        <f t="shared" si="22"/>
        <v>228487.2</v>
      </c>
      <c r="L153" s="433"/>
      <c r="M153" s="163"/>
      <c r="N153" s="163"/>
    </row>
    <row r="154" spans="1:14" ht="11.45" customHeight="1" x14ac:dyDescent="0.2">
      <c r="A154" s="285" t="s">
        <v>1404</v>
      </c>
      <c r="B154" s="153" t="s">
        <v>554</v>
      </c>
      <c r="C154" s="428">
        <v>248150.39999999999</v>
      </c>
      <c r="D154" s="428">
        <v>14507.2</v>
      </c>
      <c r="E154" s="428">
        <v>2366.6999999999998</v>
      </c>
      <c r="F154" s="428">
        <v>4969</v>
      </c>
      <c r="G154" s="428">
        <v>4984.8</v>
      </c>
      <c r="H154" s="428">
        <f t="shared" si="20"/>
        <v>26827.7</v>
      </c>
      <c r="I154" s="428">
        <v>-46859.9</v>
      </c>
      <c r="J154" s="428">
        <f t="shared" si="21"/>
        <v>-20032.2</v>
      </c>
      <c r="K154" s="428">
        <f t="shared" si="22"/>
        <v>228118.19999999998</v>
      </c>
      <c r="L154" s="433"/>
      <c r="M154" s="163"/>
      <c r="N154" s="163"/>
    </row>
    <row r="155" spans="1:14" ht="11.45" customHeight="1" x14ac:dyDescent="0.2">
      <c r="A155" s="285" t="s">
        <v>1404</v>
      </c>
      <c r="B155" s="285" t="s">
        <v>555</v>
      </c>
      <c r="C155" s="433">
        <v>245304.3</v>
      </c>
      <c r="D155" s="433">
        <v>15583.1</v>
      </c>
      <c r="E155" s="433">
        <v>2370.1</v>
      </c>
      <c r="F155" s="433">
        <v>4945</v>
      </c>
      <c r="G155" s="433">
        <v>5195.3</v>
      </c>
      <c r="H155" s="433">
        <f t="shared" si="20"/>
        <v>28093.5</v>
      </c>
      <c r="I155" s="433">
        <v>-48070.2</v>
      </c>
      <c r="J155" s="433">
        <f t="shared" si="21"/>
        <v>-19976.699999999997</v>
      </c>
      <c r="K155" s="433">
        <f t="shared" si="22"/>
        <v>225327.59999999998</v>
      </c>
      <c r="L155" s="433"/>
      <c r="M155" s="163"/>
      <c r="N155" s="163"/>
    </row>
    <row r="156" spans="1:14" ht="11.45" customHeight="1" x14ac:dyDescent="0.2">
      <c r="A156" s="285" t="s">
        <v>1404</v>
      </c>
      <c r="B156" s="153" t="s">
        <v>548</v>
      </c>
      <c r="C156" s="428">
        <v>247691.7</v>
      </c>
      <c r="D156" s="428">
        <v>21067.4</v>
      </c>
      <c r="E156" s="428">
        <v>2373.5</v>
      </c>
      <c r="F156" s="428">
        <v>4979</v>
      </c>
      <c r="G156" s="428">
        <v>5857.6</v>
      </c>
      <c r="H156" s="428">
        <f t="shared" si="20"/>
        <v>34277.5</v>
      </c>
      <c r="I156" s="428">
        <v>-47311.3</v>
      </c>
      <c r="J156" s="428">
        <f t="shared" si="21"/>
        <v>-13033.800000000003</v>
      </c>
      <c r="K156" s="428">
        <f t="shared" si="22"/>
        <v>234657.90000000002</v>
      </c>
      <c r="L156" s="433"/>
      <c r="M156" s="163"/>
      <c r="N156" s="163"/>
    </row>
    <row r="157" spans="1:14" ht="11.45" customHeight="1" x14ac:dyDescent="0.2">
      <c r="A157" s="285" t="s">
        <v>1404</v>
      </c>
      <c r="B157" s="285" t="s">
        <v>556</v>
      </c>
      <c r="C157" s="433">
        <v>245563.2</v>
      </c>
      <c r="D157" s="433">
        <v>17669.8</v>
      </c>
      <c r="E157" s="433">
        <v>2347.6</v>
      </c>
      <c r="F157" s="433">
        <v>4910.8999999999996</v>
      </c>
      <c r="G157" s="433">
        <v>5208</v>
      </c>
      <c r="H157" s="433">
        <f t="shared" si="20"/>
        <v>30136.299999999996</v>
      </c>
      <c r="I157" s="433">
        <v>-47671.9</v>
      </c>
      <c r="J157" s="433">
        <f t="shared" si="21"/>
        <v>-17535.600000000006</v>
      </c>
      <c r="K157" s="433">
        <f t="shared" si="22"/>
        <v>228027.6</v>
      </c>
      <c r="L157" s="433"/>
      <c r="M157" s="163"/>
      <c r="N157" s="163"/>
    </row>
    <row r="158" spans="1:14" ht="11.45" customHeight="1" x14ac:dyDescent="0.2">
      <c r="A158" s="285" t="s">
        <v>1404</v>
      </c>
      <c r="B158" s="153" t="s">
        <v>557</v>
      </c>
      <c r="C158" s="428">
        <v>250320.8</v>
      </c>
      <c r="D158" s="428">
        <v>13370.8</v>
      </c>
      <c r="E158" s="428">
        <v>2352.6</v>
      </c>
      <c r="F158" s="428">
        <v>4783.6000000000004</v>
      </c>
      <c r="G158" s="428">
        <v>6300.3</v>
      </c>
      <c r="H158" s="428">
        <f t="shared" si="20"/>
        <v>26807.3</v>
      </c>
      <c r="I158" s="428">
        <v>-50385.5</v>
      </c>
      <c r="J158" s="428">
        <f t="shared" si="21"/>
        <v>-23578.2</v>
      </c>
      <c r="K158" s="428">
        <f t="shared" si="22"/>
        <v>226742.59999999998</v>
      </c>
      <c r="L158" s="433"/>
      <c r="M158" s="163"/>
      <c r="N158" s="163"/>
    </row>
    <row r="159" spans="1:14" ht="11.45" customHeight="1" x14ac:dyDescent="0.2">
      <c r="A159" s="285" t="s">
        <v>1404</v>
      </c>
      <c r="B159" s="285" t="s">
        <v>549</v>
      </c>
      <c r="C159" s="433">
        <v>251391.3</v>
      </c>
      <c r="D159" s="433">
        <v>11760.6</v>
      </c>
      <c r="E159" s="433">
        <v>2354.3000000000002</v>
      </c>
      <c r="F159" s="433">
        <v>4815</v>
      </c>
      <c r="G159" s="433">
        <v>6937.1</v>
      </c>
      <c r="H159" s="433">
        <f t="shared" si="20"/>
        <v>25867</v>
      </c>
      <c r="I159" s="433">
        <v>-52168</v>
      </c>
      <c r="J159" s="433">
        <f t="shared" si="21"/>
        <v>-26301</v>
      </c>
      <c r="K159" s="433">
        <f t="shared" si="22"/>
        <v>225090.3</v>
      </c>
      <c r="L159" s="433"/>
      <c r="M159" s="163"/>
      <c r="N159" s="163"/>
    </row>
    <row r="160" spans="1:14" ht="11.45" customHeight="1" x14ac:dyDescent="0.2">
      <c r="A160" s="285" t="s">
        <v>1404</v>
      </c>
      <c r="B160" s="153" t="s">
        <v>558</v>
      </c>
      <c r="C160" s="428">
        <v>249633.4</v>
      </c>
      <c r="D160" s="428">
        <v>16694.900000000001</v>
      </c>
      <c r="E160" s="428">
        <v>2328</v>
      </c>
      <c r="F160" s="428">
        <v>4776.5</v>
      </c>
      <c r="G160" s="428">
        <v>5714.6</v>
      </c>
      <c r="H160" s="428">
        <f t="shared" si="20"/>
        <v>29514</v>
      </c>
      <c r="I160" s="428">
        <v>-52156.1</v>
      </c>
      <c r="J160" s="428">
        <f t="shared" si="21"/>
        <v>-22642.1</v>
      </c>
      <c r="K160" s="428">
        <f t="shared" si="22"/>
        <v>226991.3</v>
      </c>
      <c r="L160" s="433"/>
      <c r="M160" s="163"/>
      <c r="N160" s="163"/>
    </row>
    <row r="161" spans="1:14" ht="11.45" customHeight="1" x14ac:dyDescent="0.2">
      <c r="A161" s="285" t="s">
        <v>1404</v>
      </c>
      <c r="B161" s="285" t="s">
        <v>559</v>
      </c>
      <c r="C161" s="433">
        <v>248731</v>
      </c>
      <c r="D161" s="433">
        <v>33722.6</v>
      </c>
      <c r="E161" s="433">
        <v>2382.3000000000002</v>
      </c>
      <c r="F161" s="433">
        <v>4776.7</v>
      </c>
      <c r="G161" s="433">
        <v>7716.8</v>
      </c>
      <c r="H161" s="433">
        <f t="shared" si="20"/>
        <v>48598.400000000001</v>
      </c>
      <c r="I161" s="433">
        <v>-51657.2</v>
      </c>
      <c r="J161" s="433">
        <f t="shared" si="21"/>
        <v>-3058.7999999999956</v>
      </c>
      <c r="K161" s="433">
        <f t="shared" si="22"/>
        <v>245672.2</v>
      </c>
      <c r="L161" s="433"/>
      <c r="M161" s="163"/>
      <c r="N161" s="163"/>
    </row>
    <row r="162" spans="1:14" ht="11.45" customHeight="1" x14ac:dyDescent="0.2">
      <c r="A162" s="285" t="s">
        <v>1404</v>
      </c>
      <c r="B162" s="153" t="s">
        <v>550</v>
      </c>
      <c r="C162" s="428">
        <v>257195.4</v>
      </c>
      <c r="D162" s="428">
        <v>31189</v>
      </c>
      <c r="E162" s="428">
        <v>2380.4</v>
      </c>
      <c r="F162" s="428">
        <v>4789.5</v>
      </c>
      <c r="G162" s="428">
        <v>5386.9</v>
      </c>
      <c r="H162" s="428">
        <f t="shared" si="20"/>
        <v>43745.8</v>
      </c>
      <c r="I162" s="428">
        <v>-54753.5</v>
      </c>
      <c r="J162" s="428">
        <f t="shared" si="21"/>
        <v>-11007.699999999997</v>
      </c>
      <c r="K162" s="428">
        <f t="shared" si="22"/>
        <v>246187.7</v>
      </c>
      <c r="L162" s="433"/>
      <c r="M162" s="163"/>
      <c r="N162" s="163"/>
    </row>
    <row r="163" spans="1:14" ht="11.45" customHeight="1" x14ac:dyDescent="0.2">
      <c r="A163" s="285" t="s">
        <v>1484</v>
      </c>
      <c r="B163" s="285" t="s">
        <v>552</v>
      </c>
      <c r="C163" s="428">
        <v>255655.5</v>
      </c>
      <c r="D163" s="428">
        <v>29485.4</v>
      </c>
      <c r="E163" s="428">
        <v>2471.3000000000002</v>
      </c>
      <c r="F163" s="428">
        <v>4805.1000000000004</v>
      </c>
      <c r="G163" s="428">
        <v>5287.8</v>
      </c>
      <c r="H163" s="428">
        <f t="shared" ref="H163:H186" si="23">D163+E163+F163+G163</f>
        <v>42049.600000000006</v>
      </c>
      <c r="I163" s="428">
        <v>-54151.5</v>
      </c>
      <c r="J163" s="428">
        <f t="shared" ref="J163:J186" si="24">H163+I163</f>
        <v>-12101.899999999994</v>
      </c>
      <c r="K163" s="428">
        <f t="shared" ref="K163:K186" si="25">C163+J163</f>
        <v>243553.6</v>
      </c>
      <c r="L163" s="433"/>
      <c r="M163" s="163"/>
      <c r="N163" s="163"/>
    </row>
    <row r="164" spans="1:14" ht="11.45" customHeight="1" x14ac:dyDescent="0.2">
      <c r="A164" s="285" t="s">
        <v>1484</v>
      </c>
      <c r="B164" s="153" t="s">
        <v>553</v>
      </c>
      <c r="C164" s="433">
        <v>257546.7</v>
      </c>
      <c r="D164" s="433">
        <v>29929</v>
      </c>
      <c r="E164" s="433">
        <v>2475.1999999999998</v>
      </c>
      <c r="F164" s="433">
        <v>4801.2</v>
      </c>
      <c r="G164" s="433">
        <v>8344.7000000000007</v>
      </c>
      <c r="H164" s="433">
        <f t="shared" si="23"/>
        <v>45550.100000000006</v>
      </c>
      <c r="I164" s="433">
        <v>-51708.800000000003</v>
      </c>
      <c r="J164" s="433">
        <f t="shared" si="24"/>
        <v>-6158.6999999999971</v>
      </c>
      <c r="K164" s="433">
        <f t="shared" si="25"/>
        <v>251388</v>
      </c>
      <c r="L164" s="433"/>
      <c r="M164" s="163"/>
      <c r="N164" s="163"/>
    </row>
    <row r="165" spans="1:14" ht="11.45" customHeight="1" x14ac:dyDescent="0.2">
      <c r="A165" s="285" t="s">
        <v>1484</v>
      </c>
      <c r="B165" s="285" t="s">
        <v>547</v>
      </c>
      <c r="C165" s="428">
        <v>254607.6</v>
      </c>
      <c r="D165" s="428">
        <v>28908.2</v>
      </c>
      <c r="E165" s="428">
        <v>2480.8000000000002</v>
      </c>
      <c r="F165" s="428">
        <v>4817.5</v>
      </c>
      <c r="G165" s="428">
        <v>6295.6</v>
      </c>
      <c r="H165" s="428">
        <f t="shared" si="23"/>
        <v>42502.1</v>
      </c>
      <c r="I165" s="428">
        <v>-49921.7</v>
      </c>
      <c r="J165" s="428">
        <f t="shared" si="24"/>
        <v>-7419.5999999999985</v>
      </c>
      <c r="K165" s="428">
        <f t="shared" si="25"/>
        <v>247188</v>
      </c>
      <c r="L165" s="433"/>
      <c r="M165" s="163"/>
      <c r="N165" s="163"/>
    </row>
    <row r="166" spans="1:14" ht="11.45" customHeight="1" x14ac:dyDescent="0.2">
      <c r="A166" s="285" t="s">
        <v>1484</v>
      </c>
      <c r="B166" s="153" t="s">
        <v>554</v>
      </c>
      <c r="C166" s="433">
        <v>256007.2</v>
      </c>
      <c r="D166" s="433">
        <v>33824.6</v>
      </c>
      <c r="E166" s="433">
        <v>2483</v>
      </c>
      <c r="F166" s="433">
        <v>4815.3</v>
      </c>
      <c r="G166" s="433">
        <v>5685.8</v>
      </c>
      <c r="H166" s="433">
        <f t="shared" si="23"/>
        <v>46808.700000000004</v>
      </c>
      <c r="I166" s="433">
        <v>-51778</v>
      </c>
      <c r="J166" s="433">
        <f t="shared" si="24"/>
        <v>-4969.2999999999956</v>
      </c>
      <c r="K166" s="433">
        <f t="shared" si="25"/>
        <v>251037.90000000002</v>
      </c>
      <c r="L166" s="433"/>
      <c r="M166" s="163"/>
      <c r="N166" s="163"/>
    </row>
    <row r="167" spans="1:14" ht="11.45" customHeight="1" x14ac:dyDescent="0.2">
      <c r="A167" s="285" t="s">
        <v>1484</v>
      </c>
      <c r="B167" s="285" t="s">
        <v>555</v>
      </c>
      <c r="C167" s="428">
        <v>255448.9</v>
      </c>
      <c r="D167" s="428">
        <v>30168.5</v>
      </c>
      <c r="E167" s="428">
        <v>2587.1999999999998</v>
      </c>
      <c r="F167" s="428">
        <v>4804.8999999999996</v>
      </c>
      <c r="G167" s="428">
        <v>5669</v>
      </c>
      <c r="H167" s="428">
        <f t="shared" si="23"/>
        <v>43229.599999999999</v>
      </c>
      <c r="I167" s="428">
        <v>-52491.6</v>
      </c>
      <c r="J167" s="428">
        <f t="shared" si="24"/>
        <v>-9262</v>
      </c>
      <c r="K167" s="428">
        <f t="shared" si="25"/>
        <v>246186.9</v>
      </c>
      <c r="L167" s="433"/>
      <c r="M167" s="163"/>
      <c r="N167" s="163"/>
    </row>
    <row r="168" spans="1:14" ht="11.45" customHeight="1" x14ac:dyDescent="0.2">
      <c r="A168" s="285" t="s">
        <v>1484</v>
      </c>
      <c r="B168" s="153" t="s">
        <v>548</v>
      </c>
      <c r="C168" s="433">
        <v>259113.4</v>
      </c>
      <c r="D168" s="433">
        <v>34438.199999999997</v>
      </c>
      <c r="E168" s="433">
        <v>2593</v>
      </c>
      <c r="F168" s="433">
        <v>4868.2</v>
      </c>
      <c r="G168" s="433">
        <v>5850.2</v>
      </c>
      <c r="H168" s="433">
        <f t="shared" si="23"/>
        <v>47749.599999999991</v>
      </c>
      <c r="I168" s="433">
        <v>-55951.1</v>
      </c>
      <c r="J168" s="433">
        <f t="shared" si="24"/>
        <v>-8201.5000000000073</v>
      </c>
      <c r="K168" s="433">
        <f t="shared" si="25"/>
        <v>250911.9</v>
      </c>
      <c r="L168" s="433"/>
      <c r="M168" s="163"/>
      <c r="N168" s="163"/>
    </row>
    <row r="169" spans="1:14" ht="11.45" customHeight="1" x14ac:dyDescent="0.2">
      <c r="A169" s="285" t="s">
        <v>1484</v>
      </c>
      <c r="B169" s="285" t="s">
        <v>556</v>
      </c>
      <c r="C169" s="428">
        <v>259738.6</v>
      </c>
      <c r="D169" s="428">
        <v>32763.8</v>
      </c>
      <c r="E169" s="428">
        <v>2569</v>
      </c>
      <c r="F169" s="428">
        <v>4846.5</v>
      </c>
      <c r="G169" s="428">
        <v>6050.6</v>
      </c>
      <c r="H169" s="428">
        <f t="shared" si="23"/>
        <v>46229.9</v>
      </c>
      <c r="I169" s="428">
        <v>-56766.9</v>
      </c>
      <c r="J169" s="428">
        <f t="shared" si="24"/>
        <v>-10537</v>
      </c>
      <c r="K169" s="428">
        <f t="shared" si="25"/>
        <v>249201.6</v>
      </c>
      <c r="L169" s="433"/>
      <c r="M169" s="163"/>
      <c r="N169" s="163"/>
    </row>
    <row r="170" spans="1:14" ht="11.45" customHeight="1" x14ac:dyDescent="0.2">
      <c r="A170" s="285" t="s">
        <v>1484</v>
      </c>
      <c r="B170" s="153" t="s">
        <v>557</v>
      </c>
      <c r="C170" s="433">
        <v>260343.4</v>
      </c>
      <c r="D170" s="433">
        <v>26329.1</v>
      </c>
      <c r="E170" s="433">
        <v>2574.9</v>
      </c>
      <c r="F170" s="433">
        <v>4879.3</v>
      </c>
      <c r="G170" s="433">
        <v>14440.3</v>
      </c>
      <c r="H170" s="433">
        <f t="shared" si="23"/>
        <v>48223.600000000006</v>
      </c>
      <c r="I170" s="433">
        <v>-57578.400000000001</v>
      </c>
      <c r="J170" s="433">
        <f t="shared" si="24"/>
        <v>-9354.7999999999956</v>
      </c>
      <c r="K170" s="433">
        <f t="shared" si="25"/>
        <v>250988.6</v>
      </c>
      <c r="L170" s="433"/>
      <c r="M170" s="163"/>
      <c r="N170" s="163"/>
    </row>
    <row r="171" spans="1:14" ht="11.45" customHeight="1" x14ac:dyDescent="0.2">
      <c r="A171" s="285" t="s">
        <v>1484</v>
      </c>
      <c r="B171" s="285" t="s">
        <v>549</v>
      </c>
      <c r="C171" s="428">
        <v>263114.5</v>
      </c>
      <c r="D171" s="428">
        <v>22201</v>
      </c>
      <c r="E171" s="428">
        <v>2577.5</v>
      </c>
      <c r="F171" s="428">
        <v>4992.8</v>
      </c>
      <c r="G171" s="428">
        <v>37077.199999999997</v>
      </c>
      <c r="H171" s="428">
        <f t="shared" si="23"/>
        <v>66848.5</v>
      </c>
      <c r="I171" s="428">
        <v>-57045.5</v>
      </c>
      <c r="J171" s="428">
        <f t="shared" si="24"/>
        <v>9803</v>
      </c>
      <c r="K171" s="428">
        <f t="shared" si="25"/>
        <v>272917.5</v>
      </c>
      <c r="L171" s="433"/>
      <c r="M171" s="163"/>
      <c r="N171" s="163"/>
    </row>
    <row r="172" spans="1:14" ht="11.45" customHeight="1" x14ac:dyDescent="0.2">
      <c r="A172" s="285" t="s">
        <v>1484</v>
      </c>
      <c r="B172" s="153" t="s">
        <v>558</v>
      </c>
      <c r="C172" s="433">
        <v>265600.7</v>
      </c>
      <c r="D172" s="433">
        <v>34797.800000000003</v>
      </c>
      <c r="E172" s="433">
        <v>2577.5</v>
      </c>
      <c r="F172" s="433">
        <v>5016.5</v>
      </c>
      <c r="G172" s="433">
        <v>10366.9</v>
      </c>
      <c r="H172" s="433">
        <f t="shared" si="23"/>
        <v>52758.700000000004</v>
      </c>
      <c r="I172" s="433">
        <v>-62027.4</v>
      </c>
      <c r="J172" s="433">
        <f t="shared" si="24"/>
        <v>-9268.6999999999971</v>
      </c>
      <c r="K172" s="433">
        <f t="shared" si="25"/>
        <v>256332</v>
      </c>
      <c r="L172" s="433"/>
      <c r="M172" s="163"/>
      <c r="N172" s="163"/>
    </row>
    <row r="173" spans="1:14" ht="11.45" customHeight="1" x14ac:dyDescent="0.2">
      <c r="A173" s="285" t="s">
        <v>1484</v>
      </c>
      <c r="B173" s="285" t="s">
        <v>559</v>
      </c>
      <c r="C173" s="428">
        <v>271808</v>
      </c>
      <c r="D173" s="428">
        <v>31707.4</v>
      </c>
      <c r="E173" s="428">
        <v>2566.3000000000002</v>
      </c>
      <c r="F173" s="428">
        <v>5271.6</v>
      </c>
      <c r="G173" s="428">
        <v>23658.9</v>
      </c>
      <c r="H173" s="428">
        <f t="shared" si="23"/>
        <v>63204.200000000004</v>
      </c>
      <c r="I173" s="428">
        <v>-64773.7</v>
      </c>
      <c r="J173" s="428">
        <f t="shared" si="24"/>
        <v>-1569.4999999999927</v>
      </c>
      <c r="K173" s="428">
        <f t="shared" si="25"/>
        <v>270238.5</v>
      </c>
      <c r="L173" s="433"/>
      <c r="M173" s="163"/>
      <c r="N173" s="163"/>
    </row>
    <row r="174" spans="1:14" ht="11.45" customHeight="1" x14ac:dyDescent="0.2">
      <c r="A174" s="285" t="s">
        <v>1484</v>
      </c>
      <c r="B174" s="153" t="s">
        <v>550</v>
      </c>
      <c r="C174" s="433">
        <v>286040.90000000002</v>
      </c>
      <c r="D174" s="433">
        <v>42117.1</v>
      </c>
      <c r="E174" s="433">
        <v>2551.9</v>
      </c>
      <c r="F174" s="433">
        <v>5342.5</v>
      </c>
      <c r="G174" s="433">
        <v>13764.9</v>
      </c>
      <c r="H174" s="433">
        <f t="shared" si="23"/>
        <v>63776.4</v>
      </c>
      <c r="I174" s="433">
        <v>-65333.9</v>
      </c>
      <c r="J174" s="433">
        <f t="shared" si="24"/>
        <v>-1557.5</v>
      </c>
      <c r="K174" s="433">
        <f t="shared" si="25"/>
        <v>284483.40000000002</v>
      </c>
      <c r="L174" s="433"/>
      <c r="M174" s="163"/>
      <c r="N174" s="163"/>
    </row>
    <row r="175" spans="1:14" ht="11.45" customHeight="1" x14ac:dyDescent="0.2">
      <c r="A175" s="285" t="s">
        <v>1536</v>
      </c>
      <c r="B175" s="285" t="s">
        <v>552</v>
      </c>
      <c r="C175" s="433">
        <v>297266.40000000002</v>
      </c>
      <c r="D175" s="433">
        <v>38923.9</v>
      </c>
      <c r="E175" s="433">
        <v>2502.6999999999998</v>
      </c>
      <c r="F175" s="433">
        <v>5126.3999999999996</v>
      </c>
      <c r="G175" s="433">
        <v>13989.9</v>
      </c>
      <c r="H175" s="433">
        <f t="shared" si="23"/>
        <v>60542.9</v>
      </c>
      <c r="I175" s="433">
        <v>-65896</v>
      </c>
      <c r="J175" s="433">
        <f t="shared" si="24"/>
        <v>-5353.0999999999985</v>
      </c>
      <c r="K175" s="433">
        <f t="shared" si="25"/>
        <v>291913.30000000005</v>
      </c>
      <c r="L175" s="433"/>
      <c r="M175" s="163"/>
      <c r="N175" s="163"/>
    </row>
    <row r="176" spans="1:14" ht="11.45" customHeight="1" x14ac:dyDescent="0.2">
      <c r="A176" s="285" t="s">
        <v>1536</v>
      </c>
      <c r="B176" s="153" t="s">
        <v>553</v>
      </c>
      <c r="C176" s="428">
        <v>307680.5</v>
      </c>
      <c r="D176" s="428">
        <v>22094.6</v>
      </c>
      <c r="E176" s="428">
        <v>2581.6</v>
      </c>
      <c r="F176" s="428">
        <v>5042.8</v>
      </c>
      <c r="G176" s="428">
        <v>9316.1</v>
      </c>
      <c r="H176" s="428">
        <f t="shared" si="23"/>
        <v>39035.1</v>
      </c>
      <c r="I176" s="428">
        <v>-64693.9</v>
      </c>
      <c r="J176" s="428">
        <f t="shared" si="24"/>
        <v>-25658.800000000003</v>
      </c>
      <c r="K176" s="428">
        <f t="shared" si="25"/>
        <v>282021.7</v>
      </c>
      <c r="L176" s="433"/>
      <c r="M176" s="163"/>
      <c r="N176" s="163"/>
    </row>
    <row r="177" spans="1:14" ht="11.45" customHeight="1" x14ac:dyDescent="0.2">
      <c r="A177" s="285" t="s">
        <v>1536</v>
      </c>
      <c r="B177" s="285" t="s">
        <v>547</v>
      </c>
      <c r="C177" s="433">
        <v>313613.3</v>
      </c>
      <c r="D177" s="433">
        <v>12186.7</v>
      </c>
      <c r="E177" s="433">
        <v>2584.5</v>
      </c>
      <c r="F177" s="433">
        <v>5039.2</v>
      </c>
      <c r="G177" s="433">
        <v>10135.700000000001</v>
      </c>
      <c r="H177" s="433">
        <f t="shared" si="23"/>
        <v>29946.100000000002</v>
      </c>
      <c r="I177" s="433">
        <v>-62737.8</v>
      </c>
      <c r="J177" s="433">
        <f t="shared" si="24"/>
        <v>-32791.699999999997</v>
      </c>
      <c r="K177" s="433">
        <f t="shared" si="25"/>
        <v>280821.59999999998</v>
      </c>
      <c r="L177" s="433"/>
      <c r="M177" s="163"/>
      <c r="N177" s="163"/>
    </row>
    <row r="178" spans="1:14" ht="11.45" customHeight="1" x14ac:dyDescent="0.2">
      <c r="A178" s="285" t="s">
        <v>1536</v>
      </c>
      <c r="B178" s="153" t="s">
        <v>554</v>
      </c>
      <c r="C178" s="428">
        <v>322383.40000000002</v>
      </c>
      <c r="D178" s="428">
        <v>11533.9</v>
      </c>
      <c r="E178" s="428">
        <v>2911.9</v>
      </c>
      <c r="F178" s="428">
        <v>5085.2</v>
      </c>
      <c r="G178" s="428">
        <v>11182.9</v>
      </c>
      <c r="H178" s="428">
        <f t="shared" si="23"/>
        <v>30713.9</v>
      </c>
      <c r="I178" s="428">
        <v>-63925.599999999999</v>
      </c>
      <c r="J178" s="428">
        <f t="shared" si="24"/>
        <v>-33211.699999999997</v>
      </c>
      <c r="K178" s="428">
        <f t="shared" si="25"/>
        <v>289171.7</v>
      </c>
      <c r="L178" s="433"/>
      <c r="M178" s="163"/>
      <c r="N178" s="163"/>
    </row>
    <row r="179" spans="1:14" ht="11.45" customHeight="1" x14ac:dyDescent="0.2">
      <c r="A179" s="285" t="s">
        <v>1536</v>
      </c>
      <c r="B179" s="285" t="s">
        <v>555</v>
      </c>
      <c r="C179" s="433">
        <v>330892.7</v>
      </c>
      <c r="D179" s="433">
        <v>9855.7999999999993</v>
      </c>
      <c r="E179" s="433">
        <v>2873.3</v>
      </c>
      <c r="F179" s="433">
        <v>5047.3999999999996</v>
      </c>
      <c r="G179" s="433">
        <v>13542.6</v>
      </c>
      <c r="H179" s="433">
        <f t="shared" si="23"/>
        <v>31319.1</v>
      </c>
      <c r="I179" s="433">
        <v>-65116.2</v>
      </c>
      <c r="J179" s="433">
        <f t="shared" si="24"/>
        <v>-33797.1</v>
      </c>
      <c r="K179" s="433">
        <f t="shared" si="25"/>
        <v>297095.60000000003</v>
      </c>
      <c r="L179" s="433"/>
      <c r="M179" s="163"/>
      <c r="N179" s="163"/>
    </row>
    <row r="180" spans="1:14" ht="11.45" customHeight="1" x14ac:dyDescent="0.2">
      <c r="A180" s="285" t="s">
        <v>1536</v>
      </c>
      <c r="B180" s="153" t="s">
        <v>548</v>
      </c>
      <c r="C180" s="428">
        <v>341180.7</v>
      </c>
      <c r="D180" s="428">
        <v>1313.5</v>
      </c>
      <c r="E180" s="428">
        <v>2832.9</v>
      </c>
      <c r="F180" s="428">
        <v>5329.2</v>
      </c>
      <c r="G180" s="428">
        <v>16134.3</v>
      </c>
      <c r="H180" s="428">
        <f t="shared" si="23"/>
        <v>25609.899999999998</v>
      </c>
      <c r="I180" s="428">
        <v>-62736.3</v>
      </c>
      <c r="J180" s="428">
        <f t="shared" si="24"/>
        <v>-37126.400000000009</v>
      </c>
      <c r="K180" s="428">
        <f t="shared" si="25"/>
        <v>304054.3</v>
      </c>
      <c r="L180" s="433"/>
      <c r="M180" s="163"/>
      <c r="N180" s="163"/>
    </row>
    <row r="181" spans="1:14" ht="11.45" customHeight="1" x14ac:dyDescent="0.2">
      <c r="A181" s="285" t="s">
        <v>1536</v>
      </c>
      <c r="B181" s="285" t="s">
        <v>556</v>
      </c>
      <c r="C181" s="433">
        <v>343476.8</v>
      </c>
      <c r="D181" s="433">
        <v>-206.2</v>
      </c>
      <c r="E181" s="433">
        <v>3177.5</v>
      </c>
      <c r="F181" s="433">
        <v>5363.1</v>
      </c>
      <c r="G181" s="433">
        <v>18118.7</v>
      </c>
      <c r="H181" s="433">
        <f t="shared" si="23"/>
        <v>26453.100000000002</v>
      </c>
      <c r="I181" s="433">
        <v>-68704.7</v>
      </c>
      <c r="J181" s="433">
        <f t="shared" si="24"/>
        <v>-42251.599999999991</v>
      </c>
      <c r="K181" s="433">
        <f t="shared" si="25"/>
        <v>301225.2</v>
      </c>
      <c r="L181" s="433"/>
      <c r="M181" s="163"/>
      <c r="N181" s="163"/>
    </row>
    <row r="182" spans="1:14" ht="11.45" customHeight="1" x14ac:dyDescent="0.2">
      <c r="A182" s="285" t="s">
        <v>1536</v>
      </c>
      <c r="B182" s="153" t="s">
        <v>557</v>
      </c>
      <c r="C182" s="428">
        <v>347148.6</v>
      </c>
      <c r="D182" s="428">
        <v>-11316.8</v>
      </c>
      <c r="E182" s="428">
        <v>3182.9</v>
      </c>
      <c r="F182" s="428">
        <v>5375.3</v>
      </c>
      <c r="G182" s="428">
        <v>18839.900000000001</v>
      </c>
      <c r="H182" s="428">
        <f t="shared" si="23"/>
        <v>16081.300000000003</v>
      </c>
      <c r="I182" s="428">
        <v>-62736.5</v>
      </c>
      <c r="J182" s="428">
        <f t="shared" si="24"/>
        <v>-46655.199999999997</v>
      </c>
      <c r="K182" s="428">
        <f t="shared" si="25"/>
        <v>300493.39999999997</v>
      </c>
      <c r="L182" s="433"/>
      <c r="M182" s="163"/>
      <c r="N182" s="163"/>
    </row>
    <row r="183" spans="1:14" ht="11.45" customHeight="1" x14ac:dyDescent="0.2">
      <c r="A183" s="285" t="s">
        <v>1536</v>
      </c>
      <c r="B183" s="285" t="s">
        <v>549</v>
      </c>
      <c r="C183" s="433">
        <v>346841.2</v>
      </c>
      <c r="D183" s="433">
        <v>-9799.1</v>
      </c>
      <c r="E183" s="433">
        <v>3263.5</v>
      </c>
      <c r="F183" s="433">
        <v>5459</v>
      </c>
      <c r="G183" s="433">
        <v>19075</v>
      </c>
      <c r="H183" s="433">
        <f t="shared" si="23"/>
        <v>17998.400000000001</v>
      </c>
      <c r="I183" s="433">
        <v>-61178.400000000001</v>
      </c>
      <c r="J183" s="433">
        <f t="shared" si="24"/>
        <v>-43180</v>
      </c>
      <c r="K183" s="433">
        <f t="shared" si="25"/>
        <v>303661.2</v>
      </c>
      <c r="L183" s="433"/>
      <c r="M183" s="163"/>
      <c r="N183" s="163"/>
    </row>
    <row r="184" spans="1:14" ht="11.45" customHeight="1" x14ac:dyDescent="0.2">
      <c r="A184" s="285" t="s">
        <v>1536</v>
      </c>
      <c r="B184" s="153" t="s">
        <v>558</v>
      </c>
      <c r="C184" s="428">
        <v>352524.2</v>
      </c>
      <c r="D184" s="428">
        <v>-1952.8</v>
      </c>
      <c r="E184" s="428">
        <v>3189.7</v>
      </c>
      <c r="F184" s="428">
        <v>5517.9</v>
      </c>
      <c r="G184" s="428">
        <v>19328.5</v>
      </c>
      <c r="H184" s="428">
        <f t="shared" si="23"/>
        <v>26083.3</v>
      </c>
      <c r="I184" s="428">
        <v>-62546.1</v>
      </c>
      <c r="J184" s="428">
        <f t="shared" si="24"/>
        <v>-36462.800000000003</v>
      </c>
      <c r="K184" s="428">
        <f t="shared" si="25"/>
        <v>316061.40000000002</v>
      </c>
      <c r="L184" s="433"/>
      <c r="M184" s="163"/>
      <c r="N184" s="163"/>
    </row>
    <row r="185" spans="1:14" ht="11.45" customHeight="1" x14ac:dyDescent="0.2">
      <c r="A185" s="285" t="s">
        <v>1536</v>
      </c>
      <c r="B185" s="285" t="s">
        <v>559</v>
      </c>
      <c r="C185" s="433">
        <v>361530.9</v>
      </c>
      <c r="D185" s="433">
        <v>-482.4</v>
      </c>
      <c r="E185" s="433">
        <v>3212.2</v>
      </c>
      <c r="F185" s="433">
        <v>5516.2</v>
      </c>
      <c r="G185" s="433">
        <v>20049.5</v>
      </c>
      <c r="H185" s="433">
        <f t="shared" si="23"/>
        <v>28295.5</v>
      </c>
      <c r="I185" s="433">
        <v>-61973.9</v>
      </c>
      <c r="J185" s="433">
        <f t="shared" si="24"/>
        <v>-33678.400000000001</v>
      </c>
      <c r="K185" s="433">
        <f t="shared" si="25"/>
        <v>327852.5</v>
      </c>
      <c r="L185" s="433"/>
      <c r="M185" s="163"/>
      <c r="N185" s="163"/>
    </row>
    <row r="186" spans="1:14" ht="11.45" customHeight="1" x14ac:dyDescent="0.2">
      <c r="A186" s="285" t="s">
        <v>1536</v>
      </c>
      <c r="B186" s="153" t="s">
        <v>550</v>
      </c>
      <c r="C186" s="428">
        <v>366917.3</v>
      </c>
      <c r="D186" s="428">
        <v>17285.5</v>
      </c>
      <c r="E186" s="428">
        <v>3218.1</v>
      </c>
      <c r="F186" s="428">
        <v>5838.7</v>
      </c>
      <c r="G186" s="428">
        <v>18952.3</v>
      </c>
      <c r="H186" s="428">
        <f t="shared" si="23"/>
        <v>45294.6</v>
      </c>
      <c r="I186" s="428">
        <v>-64140.1</v>
      </c>
      <c r="J186" s="428">
        <f t="shared" si="24"/>
        <v>-18845.5</v>
      </c>
      <c r="K186" s="428">
        <f t="shared" si="25"/>
        <v>348071.8</v>
      </c>
      <c r="L186" s="433"/>
      <c r="M186" s="163"/>
      <c r="N186" s="163"/>
    </row>
    <row r="187" spans="1:14" ht="11.45" customHeight="1" x14ac:dyDescent="0.2">
      <c r="A187" s="285" t="s">
        <v>1817</v>
      </c>
      <c r="B187" s="285" t="s">
        <v>552</v>
      </c>
      <c r="C187" s="428">
        <v>369407.2</v>
      </c>
      <c r="D187" s="428">
        <v>12440.4</v>
      </c>
      <c r="E187" s="428">
        <v>3170.3</v>
      </c>
      <c r="F187" s="428">
        <v>5821.4</v>
      </c>
      <c r="G187" s="428">
        <v>19067.400000000001</v>
      </c>
      <c r="H187" s="428">
        <v>40499.5</v>
      </c>
      <c r="I187" s="428">
        <v>-60355.5</v>
      </c>
      <c r="J187" s="428">
        <v>-19856</v>
      </c>
      <c r="K187" s="428">
        <v>349551.2</v>
      </c>
      <c r="L187" s="433"/>
      <c r="M187" s="163"/>
      <c r="N187" s="163"/>
    </row>
    <row r="188" spans="1:14" ht="11.45" customHeight="1" x14ac:dyDescent="0.2">
      <c r="A188" s="285" t="s">
        <v>1817</v>
      </c>
      <c r="B188" s="153" t="s">
        <v>553</v>
      </c>
      <c r="C188" s="428">
        <v>370193.5</v>
      </c>
      <c r="D188" s="428">
        <v>6278.9</v>
      </c>
      <c r="E188" s="428">
        <v>3347.7</v>
      </c>
      <c r="F188" s="428">
        <v>5879.3</v>
      </c>
      <c r="G188" s="428">
        <v>18704.3</v>
      </c>
      <c r="H188" s="428">
        <v>34210.199999999997</v>
      </c>
      <c r="I188" s="428">
        <v>-78542.7</v>
      </c>
      <c r="J188" s="428">
        <v>-44332.5</v>
      </c>
      <c r="K188" s="428">
        <v>325861</v>
      </c>
      <c r="L188" s="433"/>
      <c r="M188" s="163"/>
      <c r="N188" s="163"/>
    </row>
    <row r="189" spans="1:14" ht="11.45" customHeight="1" x14ac:dyDescent="0.2">
      <c r="A189" s="285" t="s">
        <v>1817</v>
      </c>
      <c r="B189" s="285" t="s">
        <v>547</v>
      </c>
      <c r="C189" s="428">
        <v>361730.3</v>
      </c>
      <c r="D189" s="428">
        <v>7273.4</v>
      </c>
      <c r="E189" s="428">
        <v>3303.2</v>
      </c>
      <c r="F189" s="428">
        <v>5829.4</v>
      </c>
      <c r="G189" s="428">
        <v>18375.5</v>
      </c>
      <c r="H189" s="428">
        <v>34781.5</v>
      </c>
      <c r="I189" s="428">
        <v>-73177.5</v>
      </c>
      <c r="J189" s="428">
        <v>-38396</v>
      </c>
      <c r="K189" s="428">
        <v>323334.3</v>
      </c>
      <c r="L189" s="433"/>
      <c r="M189" s="163"/>
      <c r="N189" s="163"/>
    </row>
    <row r="190" spans="1:14" ht="11.45" customHeight="1" x14ac:dyDescent="0.2">
      <c r="A190" s="285" t="s">
        <v>1817</v>
      </c>
      <c r="B190" s="153" t="s">
        <v>554</v>
      </c>
      <c r="C190" s="428">
        <v>358585.9</v>
      </c>
      <c r="D190" s="428">
        <v>8393.7000000000007</v>
      </c>
      <c r="E190" s="428">
        <v>3298.4</v>
      </c>
      <c r="F190" s="428">
        <v>5762.2</v>
      </c>
      <c r="G190" s="428">
        <v>17495.8</v>
      </c>
      <c r="H190" s="428">
        <v>34950.1</v>
      </c>
      <c r="I190" s="428">
        <v>-73577.8</v>
      </c>
      <c r="J190" s="428">
        <v>-38627.700000000004</v>
      </c>
      <c r="K190" s="428">
        <v>319958.2</v>
      </c>
      <c r="L190" s="433"/>
      <c r="M190" s="163"/>
      <c r="N190" s="163"/>
    </row>
    <row r="191" spans="1:14" ht="11.45" customHeight="1" x14ac:dyDescent="0.2">
      <c r="A191" s="285" t="s">
        <v>1817</v>
      </c>
      <c r="B191" s="285" t="s">
        <v>555</v>
      </c>
      <c r="C191" s="428">
        <v>352218.6</v>
      </c>
      <c r="D191" s="428">
        <v>17488.099999999999</v>
      </c>
      <c r="E191" s="428">
        <v>3267.9</v>
      </c>
      <c r="F191" s="428">
        <v>5720.2</v>
      </c>
      <c r="G191" s="428">
        <v>17379.3</v>
      </c>
      <c r="H191" s="428">
        <v>43855.5</v>
      </c>
      <c r="I191" s="428">
        <v>-63585.3</v>
      </c>
      <c r="J191" s="428">
        <v>-19729.800000000003</v>
      </c>
      <c r="K191" s="428">
        <v>332488.8</v>
      </c>
      <c r="L191" s="433"/>
      <c r="M191" s="163"/>
      <c r="N191" s="163"/>
    </row>
    <row r="192" spans="1:14" ht="11.45" customHeight="1" x14ac:dyDescent="0.2">
      <c r="A192" s="285" t="s">
        <v>1817</v>
      </c>
      <c r="B192" s="153" t="s">
        <v>548</v>
      </c>
      <c r="C192" s="428">
        <v>354607.3</v>
      </c>
      <c r="D192" s="428">
        <v>5463.5</v>
      </c>
      <c r="E192" s="428">
        <v>3146.3</v>
      </c>
      <c r="F192" s="428">
        <v>5697.2</v>
      </c>
      <c r="G192" s="428">
        <v>16597.599999999999</v>
      </c>
      <c r="H192" s="428">
        <v>30904.6</v>
      </c>
      <c r="I192" s="428">
        <v>-61845.599999999999</v>
      </c>
      <c r="J192" s="428">
        <v>-30941</v>
      </c>
      <c r="K192" s="428">
        <v>323666.3</v>
      </c>
      <c r="L192" s="433"/>
      <c r="M192" s="163"/>
      <c r="N192" s="163"/>
    </row>
    <row r="193" spans="1:14" ht="11.45" customHeight="1" x14ac:dyDescent="0.2">
      <c r="A193" s="285" t="s">
        <v>1817</v>
      </c>
      <c r="B193" s="285" t="s">
        <v>556</v>
      </c>
      <c r="C193" s="428">
        <v>351964.2</v>
      </c>
      <c r="D193" s="428">
        <v>9036.5</v>
      </c>
      <c r="E193" s="428">
        <v>3478.9</v>
      </c>
      <c r="F193" s="428">
        <v>5733.5</v>
      </c>
      <c r="G193" s="428">
        <v>15985.2</v>
      </c>
      <c r="H193" s="428">
        <v>34234.100000000006</v>
      </c>
      <c r="I193" s="428">
        <v>-62899.4</v>
      </c>
      <c r="J193" s="428">
        <v>-28665.299999999996</v>
      </c>
      <c r="K193" s="428">
        <v>323298.90000000002</v>
      </c>
      <c r="L193" s="433"/>
      <c r="M193" s="163"/>
      <c r="N193" s="163"/>
    </row>
    <row r="194" spans="1:14" ht="11.45" customHeight="1" x14ac:dyDescent="0.2">
      <c r="A194" s="285" t="s">
        <v>1817</v>
      </c>
      <c r="B194" s="153" t="s">
        <v>557</v>
      </c>
      <c r="C194" s="428">
        <v>351813.1</v>
      </c>
      <c r="D194" s="428">
        <v>8058.5</v>
      </c>
      <c r="E194" s="428">
        <v>3485.2</v>
      </c>
      <c r="F194" s="428">
        <v>5766.6</v>
      </c>
      <c r="G194" s="428">
        <v>15583.3</v>
      </c>
      <c r="H194" s="428">
        <v>32893.600000000006</v>
      </c>
      <c r="I194" s="428">
        <v>-62421.599999999999</v>
      </c>
      <c r="J194" s="428">
        <v>-29527.999999999993</v>
      </c>
      <c r="K194" s="428">
        <v>322285.09999999998</v>
      </c>
      <c r="L194" s="433"/>
      <c r="M194" s="163"/>
      <c r="N194" s="163"/>
    </row>
    <row r="195" spans="1:14" ht="11.45" customHeight="1" x14ac:dyDescent="0.2">
      <c r="A195" s="285" t="s">
        <v>1817</v>
      </c>
      <c r="B195" s="285" t="s">
        <v>549</v>
      </c>
      <c r="C195" s="428">
        <v>344756</v>
      </c>
      <c r="D195" s="428">
        <v>12804.3</v>
      </c>
      <c r="E195" s="428">
        <v>3488.5</v>
      </c>
      <c r="F195" s="428">
        <v>5784.3</v>
      </c>
      <c r="G195" s="428">
        <v>16138.8</v>
      </c>
      <c r="H195" s="428">
        <v>38215.899999999994</v>
      </c>
      <c r="I195" s="428">
        <v>-61815.7</v>
      </c>
      <c r="J195" s="428">
        <v>-23599.800000000003</v>
      </c>
      <c r="K195" s="428">
        <v>321156.2</v>
      </c>
      <c r="L195" s="433"/>
      <c r="M195" s="163"/>
      <c r="N195" s="163"/>
    </row>
    <row r="196" spans="1:14" ht="11.45" customHeight="1" x14ac:dyDescent="0.2">
      <c r="A196" s="285" t="s">
        <v>1817</v>
      </c>
      <c r="B196" s="153" t="s">
        <v>558</v>
      </c>
      <c r="C196" s="428">
        <v>337440.8</v>
      </c>
      <c r="D196" s="428">
        <v>32555.3</v>
      </c>
      <c r="E196" s="428">
        <v>3494.9</v>
      </c>
      <c r="F196" s="428">
        <v>5897.9</v>
      </c>
      <c r="G196" s="428">
        <v>20880.900000000001</v>
      </c>
      <c r="H196" s="428">
        <v>62829</v>
      </c>
      <c r="I196" s="428">
        <v>-60480.5</v>
      </c>
      <c r="J196" s="428">
        <v>2348.5</v>
      </c>
      <c r="K196" s="428">
        <v>339789.3</v>
      </c>
      <c r="L196" s="433"/>
      <c r="M196" s="163"/>
      <c r="N196" s="163"/>
    </row>
    <row r="197" spans="1:14" ht="11.45" customHeight="1" x14ac:dyDescent="0.2">
      <c r="A197" s="285" t="s">
        <v>1817</v>
      </c>
      <c r="B197" s="285" t="s">
        <v>559</v>
      </c>
      <c r="C197" s="428">
        <v>343397.9</v>
      </c>
      <c r="D197" s="428">
        <v>28363.5</v>
      </c>
      <c r="E197" s="428">
        <v>3429.6</v>
      </c>
      <c r="F197" s="428">
        <v>5840</v>
      </c>
      <c r="G197" s="428">
        <v>22566.400000000001</v>
      </c>
      <c r="H197" s="428">
        <v>60199.5</v>
      </c>
      <c r="I197" s="428">
        <v>-72768</v>
      </c>
      <c r="J197" s="428">
        <v>-12568.5</v>
      </c>
      <c r="K197" s="428">
        <v>330829.40000000002</v>
      </c>
      <c r="L197" s="433"/>
      <c r="M197" s="163"/>
      <c r="N197" s="163"/>
    </row>
    <row r="198" spans="1:14" ht="11.45" customHeight="1" x14ac:dyDescent="0.2">
      <c r="A198" s="285" t="s">
        <v>1817</v>
      </c>
      <c r="B198" s="153" t="s">
        <v>550</v>
      </c>
      <c r="C198" s="428">
        <v>347757.7</v>
      </c>
      <c r="D198" s="428">
        <v>54930</v>
      </c>
      <c r="E198" s="428">
        <v>3435.6</v>
      </c>
      <c r="F198" s="428">
        <v>5935.9</v>
      </c>
      <c r="G198" s="428">
        <v>16073.9</v>
      </c>
      <c r="H198" s="428">
        <v>80375.399999999994</v>
      </c>
      <c r="I198" s="428">
        <v>-80971.099999999977</v>
      </c>
      <c r="J198" s="428">
        <v>-595.69999999998254</v>
      </c>
      <c r="K198" s="428">
        <v>347162</v>
      </c>
      <c r="L198" s="433"/>
      <c r="M198" s="163"/>
      <c r="N198" s="163"/>
    </row>
    <row r="199" spans="1:14" ht="11.45" customHeight="1" x14ac:dyDescent="0.2">
      <c r="A199" s="285" t="s">
        <v>2066</v>
      </c>
      <c r="B199" s="285" t="s">
        <v>552</v>
      </c>
      <c r="C199" s="428">
        <v>341807.3</v>
      </c>
      <c r="D199" s="428">
        <v>52719.199999999997</v>
      </c>
      <c r="E199" s="428">
        <v>3428.2</v>
      </c>
      <c r="F199" s="428">
        <v>5937.6</v>
      </c>
      <c r="G199" s="428">
        <v>26301.599999999999</v>
      </c>
      <c r="H199" s="428">
        <v>88386.599999999991</v>
      </c>
      <c r="I199" s="428">
        <v>-85262.9</v>
      </c>
      <c r="J199" s="428">
        <v>3123.6999999999971</v>
      </c>
      <c r="K199" s="428">
        <v>344931</v>
      </c>
      <c r="L199" s="433"/>
      <c r="M199" s="163"/>
      <c r="N199" s="163"/>
    </row>
    <row r="200" spans="1:14" ht="11.45" customHeight="1" x14ac:dyDescent="0.2">
      <c r="A200" s="285" t="s">
        <v>2066</v>
      </c>
      <c r="B200" s="153" t="s">
        <v>553</v>
      </c>
      <c r="C200" s="428">
        <v>323765.90000000002</v>
      </c>
      <c r="D200" s="428">
        <v>61832.1</v>
      </c>
      <c r="E200" s="428">
        <v>3426.3</v>
      </c>
      <c r="F200" s="428">
        <v>5989</v>
      </c>
      <c r="G200" s="428">
        <v>29865.7</v>
      </c>
      <c r="H200" s="428">
        <v>101113.09999999999</v>
      </c>
      <c r="I200" s="428">
        <v>-83542.5</v>
      </c>
      <c r="J200" s="428">
        <v>17570.599999999991</v>
      </c>
      <c r="K200" s="428">
        <v>341336.5</v>
      </c>
      <c r="L200" s="433"/>
      <c r="M200" s="163"/>
      <c r="N200" s="163"/>
    </row>
    <row r="201" spans="1:14" ht="11.45" customHeight="1" x14ac:dyDescent="0.2">
      <c r="A201" s="285" t="s">
        <v>2066</v>
      </c>
      <c r="B201" s="285" t="s">
        <v>547</v>
      </c>
      <c r="C201" s="428">
        <v>318925.90000000002</v>
      </c>
      <c r="D201" s="428">
        <v>71663.399999999994</v>
      </c>
      <c r="E201" s="428">
        <v>3632.8</v>
      </c>
      <c r="F201" s="428">
        <v>6018.9</v>
      </c>
      <c r="G201" s="428">
        <v>27347.8</v>
      </c>
      <c r="H201" s="428">
        <v>108662.9</v>
      </c>
      <c r="I201" s="428">
        <v>-87508.4</v>
      </c>
      <c r="J201" s="428">
        <v>21154.5</v>
      </c>
      <c r="K201" s="428">
        <v>340080.4</v>
      </c>
      <c r="L201" s="433"/>
      <c r="M201" s="163"/>
      <c r="N201" s="163"/>
    </row>
    <row r="202" spans="1:14" ht="11.45" customHeight="1" x14ac:dyDescent="0.2">
      <c r="A202" s="285" t="s">
        <v>2066</v>
      </c>
      <c r="B202" s="153" t="s">
        <v>554</v>
      </c>
      <c r="C202" s="428">
        <v>309398.3</v>
      </c>
      <c r="D202" s="428">
        <v>83478.7</v>
      </c>
      <c r="E202" s="428">
        <v>3631.7</v>
      </c>
      <c r="F202" s="428">
        <v>6147.8</v>
      </c>
      <c r="G202" s="428">
        <v>23915.7</v>
      </c>
      <c r="H202" s="428">
        <v>117173.9</v>
      </c>
      <c r="I202" s="428">
        <v>-91095.6</v>
      </c>
      <c r="J202" s="428">
        <v>26078.299999999988</v>
      </c>
      <c r="K202" s="428">
        <v>335476.59999999998</v>
      </c>
      <c r="L202" s="433"/>
      <c r="M202" s="163"/>
      <c r="N202" s="163"/>
    </row>
    <row r="203" spans="1:14" ht="11.45" customHeight="1" x14ac:dyDescent="0.2">
      <c r="A203" s="285" t="s">
        <v>2066</v>
      </c>
      <c r="B203" s="285" t="s">
        <v>555</v>
      </c>
      <c r="C203" s="428">
        <v>300465.40000000002</v>
      </c>
      <c r="D203" s="428">
        <v>91786.4</v>
      </c>
      <c r="E203" s="428">
        <v>3638.6</v>
      </c>
      <c r="F203" s="428">
        <v>6277.2</v>
      </c>
      <c r="G203" s="428">
        <v>36653.1</v>
      </c>
      <c r="H203" s="428">
        <v>138355.29999999999</v>
      </c>
      <c r="I203" s="428">
        <v>-92454.9</v>
      </c>
      <c r="J203" s="428">
        <v>45900.399999999994</v>
      </c>
      <c r="K203" s="428">
        <v>346365.80000000005</v>
      </c>
      <c r="L203" s="433"/>
      <c r="M203" s="163"/>
      <c r="N203" s="163"/>
    </row>
    <row r="204" spans="1:14" ht="11.45" customHeight="1" x14ac:dyDescent="0.2">
      <c r="A204" s="285" t="s">
        <v>2066</v>
      </c>
      <c r="B204" s="153" t="s">
        <v>548</v>
      </c>
      <c r="C204" s="428">
        <v>297498.09999999998</v>
      </c>
      <c r="D204" s="428">
        <v>105344.2</v>
      </c>
      <c r="E204" s="428">
        <v>3645.5</v>
      </c>
      <c r="F204" s="428">
        <v>6257.8</v>
      </c>
      <c r="G204" s="428">
        <v>66610.3</v>
      </c>
      <c r="H204" s="428">
        <v>181857.8</v>
      </c>
      <c r="I204" s="428">
        <v>-99344.2</v>
      </c>
      <c r="J204" s="428">
        <v>82513.599999999991</v>
      </c>
      <c r="K204" s="428">
        <v>380011.69999999995</v>
      </c>
      <c r="L204" s="433"/>
      <c r="M204" s="163"/>
      <c r="N204" s="163"/>
    </row>
    <row r="205" spans="1:14" ht="11.45" customHeight="1" x14ac:dyDescent="0.2">
      <c r="A205" s="285" t="s">
        <v>2066</v>
      </c>
      <c r="B205" s="285" t="s">
        <v>556</v>
      </c>
      <c r="C205" s="428">
        <v>290992.7</v>
      </c>
      <c r="D205" s="428">
        <v>107439.6</v>
      </c>
      <c r="E205" s="428">
        <v>3614.9</v>
      </c>
      <c r="F205" s="428">
        <v>6555.8</v>
      </c>
      <c r="G205" s="428">
        <v>49597.3</v>
      </c>
      <c r="H205" s="428">
        <v>167207.6</v>
      </c>
      <c r="I205" s="428">
        <v>-105410</v>
      </c>
      <c r="J205" s="428">
        <v>61797.600000000006</v>
      </c>
      <c r="K205" s="428">
        <v>352790.30000000005</v>
      </c>
      <c r="L205" s="433"/>
      <c r="M205" s="163"/>
      <c r="N205" s="163"/>
    </row>
    <row r="206" spans="1:14" ht="11.45" customHeight="1" x14ac:dyDescent="0.2">
      <c r="A206" s="285" t="s">
        <v>2066</v>
      </c>
      <c r="B206" s="153" t="s">
        <v>557</v>
      </c>
      <c r="C206" s="428">
        <v>286636.7</v>
      </c>
      <c r="D206" s="428">
        <v>108685.3</v>
      </c>
      <c r="E206" s="428">
        <v>3620.2</v>
      </c>
      <c r="F206" s="428">
        <v>6931.4</v>
      </c>
      <c r="G206" s="428">
        <v>56269</v>
      </c>
      <c r="H206" s="428">
        <v>175505.9</v>
      </c>
      <c r="I206" s="428">
        <v>-111795.7</v>
      </c>
      <c r="J206" s="428">
        <v>63710.2</v>
      </c>
      <c r="K206" s="428">
        <v>350346.9</v>
      </c>
      <c r="L206" s="433"/>
      <c r="M206" s="163"/>
      <c r="N206" s="163"/>
    </row>
    <row r="207" spans="1:14" ht="11.45" customHeight="1" x14ac:dyDescent="0.2">
      <c r="A207" s="285" t="s">
        <v>2066</v>
      </c>
      <c r="B207" s="285" t="s">
        <v>549</v>
      </c>
      <c r="C207" s="428">
        <v>282017.7</v>
      </c>
      <c r="D207" s="428">
        <v>111798.3</v>
      </c>
      <c r="E207" s="428">
        <v>3625.7</v>
      </c>
      <c r="F207" s="428">
        <v>7193.1</v>
      </c>
      <c r="G207" s="428">
        <v>58122</v>
      </c>
      <c r="H207" s="428">
        <v>180739.1</v>
      </c>
      <c r="I207" s="428">
        <v>-117155</v>
      </c>
      <c r="J207" s="428">
        <v>63584.100000000006</v>
      </c>
      <c r="K207" s="428">
        <v>345601.80000000005</v>
      </c>
      <c r="L207" s="433"/>
      <c r="M207" s="163"/>
      <c r="N207" s="163"/>
    </row>
    <row r="208" spans="1:14" ht="11.45" customHeight="1" x14ac:dyDescent="0.2">
      <c r="A208" s="285" t="s">
        <v>2066</v>
      </c>
      <c r="B208" s="153" t="s">
        <v>558</v>
      </c>
      <c r="C208" s="428">
        <v>275843.59999999998</v>
      </c>
      <c r="D208" s="428">
        <v>136213.9</v>
      </c>
      <c r="E208" s="428">
        <v>3882.7</v>
      </c>
      <c r="F208" s="428">
        <v>7365.5</v>
      </c>
      <c r="G208" s="428">
        <v>55240.7</v>
      </c>
      <c r="H208" s="428">
        <v>202702.8</v>
      </c>
      <c r="I208" s="428">
        <v>-120934.1</v>
      </c>
      <c r="J208" s="428">
        <v>81768.699999999983</v>
      </c>
      <c r="K208" s="428">
        <v>357612.29999999993</v>
      </c>
      <c r="L208" s="433"/>
      <c r="M208" s="163"/>
      <c r="N208" s="163"/>
    </row>
    <row r="209" spans="1:14" ht="11.45" customHeight="1" x14ac:dyDescent="0.2">
      <c r="A209" s="285" t="s">
        <v>2066</v>
      </c>
      <c r="B209" s="285" t="s">
        <v>559</v>
      </c>
      <c r="C209" s="428">
        <v>275075.40000000002</v>
      </c>
      <c r="D209" s="428">
        <v>132882.4</v>
      </c>
      <c r="E209" s="428">
        <v>3886.5</v>
      </c>
      <c r="F209" s="428">
        <v>7530.5</v>
      </c>
      <c r="G209" s="428">
        <v>55609.4</v>
      </c>
      <c r="H209" s="428">
        <v>199908.8</v>
      </c>
      <c r="I209" s="428">
        <v>-126715.5</v>
      </c>
      <c r="J209" s="428">
        <v>73193.299999999988</v>
      </c>
      <c r="K209" s="428">
        <v>348268.7</v>
      </c>
      <c r="L209" s="433"/>
      <c r="M209" s="163"/>
      <c r="N209" s="163"/>
    </row>
    <row r="210" spans="1:14" ht="11.45" customHeight="1" x14ac:dyDescent="0.2">
      <c r="A210" s="285" t="s">
        <v>2066</v>
      </c>
      <c r="B210" s="153" t="s">
        <v>550</v>
      </c>
      <c r="C210" s="428">
        <v>287497.5</v>
      </c>
      <c r="D210" s="428">
        <v>157411.9</v>
      </c>
      <c r="E210" s="428">
        <v>3893.4</v>
      </c>
      <c r="F210" s="428">
        <v>7351.5</v>
      </c>
      <c r="G210" s="428">
        <v>61847.199999999997</v>
      </c>
      <c r="H210" s="428">
        <v>230504</v>
      </c>
      <c r="I210" s="428">
        <v>-134416.29999999999</v>
      </c>
      <c r="J210" s="428">
        <v>96087.700000000012</v>
      </c>
      <c r="K210" s="428">
        <v>383585.2</v>
      </c>
      <c r="L210" s="433"/>
      <c r="M210" s="163"/>
      <c r="N210" s="163"/>
    </row>
    <row r="211" spans="1:14" ht="11.45" customHeight="1" x14ac:dyDescent="0.2">
      <c r="A211" s="234" t="s">
        <v>2206</v>
      </c>
      <c r="B211" s="285" t="s">
        <v>552</v>
      </c>
      <c r="C211" s="428">
        <v>284091</v>
      </c>
      <c r="D211" s="428">
        <v>147689</v>
      </c>
      <c r="E211" s="428">
        <v>3786.5</v>
      </c>
      <c r="F211" s="428">
        <v>7308.8</v>
      </c>
      <c r="G211" s="428">
        <v>63802.2</v>
      </c>
      <c r="H211" s="428">
        <f t="shared" ref="H211:H235" si="26">D211+E211+F211+G211</f>
        <v>222586.5</v>
      </c>
      <c r="I211" s="428">
        <v>-141017.9</v>
      </c>
      <c r="J211" s="428">
        <f t="shared" ref="J211:J222" si="27">H211+I211</f>
        <v>81568.600000000006</v>
      </c>
      <c r="K211" s="428">
        <f t="shared" ref="K211:K222" si="28">C211+J211</f>
        <v>365659.6</v>
      </c>
      <c r="L211" s="433"/>
      <c r="M211" s="163"/>
      <c r="N211" s="163"/>
    </row>
    <row r="212" spans="1:14" ht="11.45" customHeight="1" x14ac:dyDescent="0.2">
      <c r="A212" s="234" t="s">
        <v>2206</v>
      </c>
      <c r="B212" s="153" t="s">
        <v>553</v>
      </c>
      <c r="C212" s="433">
        <v>272944.3</v>
      </c>
      <c r="D212" s="433">
        <v>135934.20000000001</v>
      </c>
      <c r="E212" s="433">
        <v>3680.1</v>
      </c>
      <c r="F212" s="433">
        <v>7542</v>
      </c>
      <c r="G212" s="433">
        <v>62898.1</v>
      </c>
      <c r="H212" s="433">
        <f t="shared" si="26"/>
        <v>210054.40000000002</v>
      </c>
      <c r="I212" s="433">
        <v>-131790.1</v>
      </c>
      <c r="J212" s="433">
        <f t="shared" si="27"/>
        <v>78264.300000000017</v>
      </c>
      <c r="K212" s="433">
        <f t="shared" si="28"/>
        <v>351208.6</v>
      </c>
      <c r="L212" s="433"/>
      <c r="M212" s="163"/>
      <c r="N212" s="163"/>
    </row>
    <row r="213" spans="1:14" ht="11.45" customHeight="1" x14ac:dyDescent="0.2">
      <c r="A213" s="234" t="s">
        <v>2206</v>
      </c>
      <c r="B213" s="285" t="s">
        <v>547</v>
      </c>
      <c r="C213" s="428">
        <v>258977.5</v>
      </c>
      <c r="D213" s="428">
        <v>129039.7</v>
      </c>
      <c r="E213" s="428">
        <v>3928.4</v>
      </c>
      <c r="F213" s="428">
        <v>7748.6</v>
      </c>
      <c r="G213" s="428">
        <v>75410.399999999994</v>
      </c>
      <c r="H213" s="428">
        <f t="shared" si="26"/>
        <v>216127.1</v>
      </c>
      <c r="I213" s="428">
        <v>-130870.7</v>
      </c>
      <c r="J213" s="428">
        <f t="shared" si="27"/>
        <v>85256.400000000009</v>
      </c>
      <c r="K213" s="428">
        <f t="shared" si="28"/>
        <v>344233.9</v>
      </c>
      <c r="L213" s="433"/>
      <c r="M213" s="163"/>
      <c r="N213" s="163"/>
    </row>
    <row r="214" spans="1:14" ht="11.45" customHeight="1" x14ac:dyDescent="0.2">
      <c r="A214" s="234" t="s">
        <v>2206</v>
      </c>
      <c r="B214" s="153" t="s">
        <v>554</v>
      </c>
      <c r="C214" s="433">
        <v>248074.3</v>
      </c>
      <c r="D214" s="433">
        <v>127546.1</v>
      </c>
      <c r="E214" s="433">
        <v>3934.3</v>
      </c>
      <c r="F214" s="433">
        <v>9203.2000000000007</v>
      </c>
      <c r="G214" s="433">
        <v>85224.5</v>
      </c>
      <c r="H214" s="433">
        <f t="shared" si="26"/>
        <v>225908.1</v>
      </c>
      <c r="I214" s="433">
        <v>-134024</v>
      </c>
      <c r="J214" s="433">
        <f t="shared" si="27"/>
        <v>91884.1</v>
      </c>
      <c r="K214" s="433">
        <f t="shared" si="28"/>
        <v>339958.4</v>
      </c>
      <c r="L214" s="433"/>
      <c r="M214" s="163"/>
      <c r="N214" s="163"/>
    </row>
    <row r="215" spans="1:14" ht="11.45" customHeight="1" x14ac:dyDescent="0.2">
      <c r="A215" s="234" t="s">
        <v>2206</v>
      </c>
      <c r="B215" s="285" t="s">
        <v>555</v>
      </c>
      <c r="C215" s="428">
        <v>235600.5</v>
      </c>
      <c r="D215" s="428">
        <v>132232.70000000001</v>
      </c>
      <c r="E215" s="428">
        <v>3943</v>
      </c>
      <c r="F215" s="428">
        <v>9203</v>
      </c>
      <c r="G215" s="428">
        <v>94568.1</v>
      </c>
      <c r="H215" s="428">
        <f t="shared" si="26"/>
        <v>239946.80000000002</v>
      </c>
      <c r="I215" s="428">
        <v>-135177.1</v>
      </c>
      <c r="J215" s="428">
        <f t="shared" si="27"/>
        <v>104769.70000000001</v>
      </c>
      <c r="K215" s="428">
        <f t="shared" si="28"/>
        <v>340370.2</v>
      </c>
      <c r="L215" s="433"/>
      <c r="M215" s="163"/>
      <c r="N215" s="163"/>
    </row>
    <row r="216" spans="1:14" ht="11.45" customHeight="1" x14ac:dyDescent="0.2">
      <c r="A216" s="234" t="s">
        <v>2206</v>
      </c>
      <c r="B216" s="153" t="s">
        <v>548</v>
      </c>
      <c r="C216" s="433">
        <v>248198.9</v>
      </c>
      <c r="D216" s="433">
        <v>126706.8</v>
      </c>
      <c r="E216" s="433">
        <v>4201.8999999999996</v>
      </c>
      <c r="F216" s="433">
        <v>8390.4</v>
      </c>
      <c r="G216" s="433">
        <v>124636.7</v>
      </c>
      <c r="H216" s="433">
        <f t="shared" si="26"/>
        <v>263935.8</v>
      </c>
      <c r="I216" s="433">
        <v>-139819.1</v>
      </c>
      <c r="J216" s="433">
        <f t="shared" si="27"/>
        <v>124116.69999999998</v>
      </c>
      <c r="K216" s="433">
        <f t="shared" si="28"/>
        <v>372315.6</v>
      </c>
      <c r="L216" s="433"/>
      <c r="M216" s="163"/>
      <c r="N216" s="163"/>
    </row>
    <row r="217" spans="1:14" ht="11.45" customHeight="1" x14ac:dyDescent="0.2">
      <c r="A217" s="234" t="s">
        <v>2206</v>
      </c>
      <c r="B217" s="285" t="s">
        <v>556</v>
      </c>
      <c r="C217" s="428">
        <v>232550.2</v>
      </c>
      <c r="D217" s="428">
        <v>125862.2</v>
      </c>
      <c r="E217" s="428">
        <v>4173.6000000000004</v>
      </c>
      <c r="F217" s="428">
        <v>8308.2999999999993</v>
      </c>
      <c r="G217" s="428">
        <v>109153.9</v>
      </c>
      <c r="H217" s="428">
        <f t="shared" si="26"/>
        <v>247498</v>
      </c>
      <c r="I217" s="428">
        <v>-132682.5</v>
      </c>
      <c r="J217" s="428">
        <f t="shared" si="27"/>
        <v>114815.5</v>
      </c>
      <c r="K217" s="428">
        <f t="shared" si="28"/>
        <v>347365.7</v>
      </c>
      <c r="L217" s="433"/>
      <c r="M217" s="163"/>
      <c r="N217" s="163"/>
    </row>
    <row r="218" spans="1:14" ht="11.45" customHeight="1" x14ac:dyDescent="0.2">
      <c r="A218" s="234" t="s">
        <v>2206</v>
      </c>
      <c r="B218" s="153" t="s">
        <v>557</v>
      </c>
      <c r="C218" s="433">
        <v>229743.6</v>
      </c>
      <c r="D218" s="433">
        <v>123109.8</v>
      </c>
      <c r="E218" s="433">
        <v>4182.5</v>
      </c>
      <c r="F218" s="433">
        <v>8445.2000000000007</v>
      </c>
      <c r="G218" s="433">
        <v>117104.3</v>
      </c>
      <c r="H218" s="433">
        <f t="shared" si="26"/>
        <v>252841.8</v>
      </c>
      <c r="I218" s="433">
        <v>-129727.1</v>
      </c>
      <c r="J218" s="433">
        <f t="shared" si="27"/>
        <v>123114.69999999998</v>
      </c>
      <c r="K218" s="433">
        <f t="shared" si="28"/>
        <v>352858.3</v>
      </c>
      <c r="L218" s="433"/>
      <c r="M218" s="163"/>
      <c r="N218" s="163"/>
    </row>
    <row r="219" spans="1:14" ht="11.45" customHeight="1" x14ac:dyDescent="0.2">
      <c r="A219" s="234" t="s">
        <v>2206</v>
      </c>
      <c r="B219" s="285" t="s">
        <v>549</v>
      </c>
      <c r="C219" s="428">
        <v>226890.9</v>
      </c>
      <c r="D219" s="428">
        <v>127810.1</v>
      </c>
      <c r="E219" s="428">
        <v>4186.8</v>
      </c>
      <c r="F219" s="428">
        <v>8529.7000000000007</v>
      </c>
      <c r="G219" s="428">
        <v>119086.6</v>
      </c>
      <c r="H219" s="428">
        <f t="shared" si="26"/>
        <v>259613.2</v>
      </c>
      <c r="I219" s="428">
        <v>-129714.9</v>
      </c>
      <c r="J219" s="428">
        <f t="shared" si="27"/>
        <v>129898.30000000002</v>
      </c>
      <c r="K219" s="428">
        <f t="shared" si="28"/>
        <v>356789.2</v>
      </c>
      <c r="L219" s="433"/>
      <c r="M219" s="163"/>
      <c r="N219" s="163"/>
    </row>
    <row r="220" spans="1:14" ht="11.45" customHeight="1" x14ac:dyDescent="0.2">
      <c r="A220" s="234" t="s">
        <v>2206</v>
      </c>
      <c r="B220" s="153" t="s">
        <v>558</v>
      </c>
      <c r="C220" s="433">
        <v>219734.5</v>
      </c>
      <c r="D220" s="433">
        <v>137437.79999999999</v>
      </c>
      <c r="E220" s="433">
        <v>4194</v>
      </c>
      <c r="F220" s="433">
        <v>8446.5</v>
      </c>
      <c r="G220" s="433">
        <v>116778.1</v>
      </c>
      <c r="H220" s="433">
        <f t="shared" si="26"/>
        <v>266856.40000000002</v>
      </c>
      <c r="I220" s="433">
        <v>-129880.7</v>
      </c>
      <c r="J220" s="433">
        <f t="shared" si="27"/>
        <v>136975.70000000001</v>
      </c>
      <c r="K220" s="433">
        <f t="shared" si="28"/>
        <v>356710.2</v>
      </c>
      <c r="L220" s="433"/>
      <c r="M220" s="163"/>
      <c r="N220" s="163"/>
    </row>
    <row r="221" spans="1:14" ht="11.45" customHeight="1" x14ac:dyDescent="0.2">
      <c r="A221" s="234" t="s">
        <v>2206</v>
      </c>
      <c r="B221" s="285" t="s">
        <v>559</v>
      </c>
      <c r="C221" s="428">
        <v>231124.4</v>
      </c>
      <c r="D221" s="428">
        <v>141383.70000000001</v>
      </c>
      <c r="E221" s="428">
        <v>4201.3</v>
      </c>
      <c r="F221" s="428">
        <v>8753.2000000000007</v>
      </c>
      <c r="G221" s="428">
        <v>117653.8</v>
      </c>
      <c r="H221" s="428">
        <f t="shared" si="26"/>
        <v>271992</v>
      </c>
      <c r="I221" s="428">
        <v>-142364.70000000001</v>
      </c>
      <c r="J221" s="428">
        <f t="shared" si="27"/>
        <v>129627.29999999999</v>
      </c>
      <c r="K221" s="428">
        <f t="shared" si="28"/>
        <v>360751.69999999995</v>
      </c>
      <c r="L221" s="433"/>
      <c r="M221" s="163"/>
      <c r="N221" s="163"/>
    </row>
    <row r="222" spans="1:14" ht="11.45" customHeight="1" x14ac:dyDescent="0.2">
      <c r="A222" s="234" t="s">
        <v>2206</v>
      </c>
      <c r="B222" s="153" t="s">
        <v>550</v>
      </c>
      <c r="C222" s="433">
        <v>245780.7</v>
      </c>
      <c r="D222" s="433">
        <v>145932.20000000001</v>
      </c>
      <c r="E222" s="433">
        <v>4208.5</v>
      </c>
      <c r="F222" s="433">
        <v>8781.9</v>
      </c>
      <c r="G222" s="433">
        <v>170115.4</v>
      </c>
      <c r="H222" s="433">
        <f t="shared" si="26"/>
        <v>329038</v>
      </c>
      <c r="I222" s="433">
        <v>-161171.70000000001</v>
      </c>
      <c r="J222" s="433">
        <f t="shared" si="27"/>
        <v>167866.3</v>
      </c>
      <c r="K222" s="433">
        <f t="shared" si="28"/>
        <v>413647</v>
      </c>
      <c r="L222" s="433"/>
      <c r="M222" s="163"/>
      <c r="N222" s="163"/>
    </row>
    <row r="223" spans="1:14" ht="11.45" customHeight="1" x14ac:dyDescent="0.2">
      <c r="A223" s="154" t="s">
        <v>2479</v>
      </c>
      <c r="B223" s="153" t="s">
        <v>552</v>
      </c>
      <c r="C223" s="433">
        <v>238927.1</v>
      </c>
      <c r="D223" s="433">
        <v>146699.6</v>
      </c>
      <c r="E223" s="433">
        <v>4206.3</v>
      </c>
      <c r="F223" s="433">
        <v>8804.2999999999993</v>
      </c>
      <c r="G223" s="433">
        <v>138552.79999999999</v>
      </c>
      <c r="H223" s="433">
        <f t="shared" si="26"/>
        <v>298263</v>
      </c>
      <c r="I223" s="433">
        <v>-147873</v>
      </c>
      <c r="J223" s="433">
        <f t="shared" ref="J223:J234" si="29">H223+I223</f>
        <v>150390</v>
      </c>
      <c r="K223" s="433">
        <f t="shared" ref="K223:K234" si="30">C223+J223</f>
        <v>389317.1</v>
      </c>
      <c r="L223" s="433"/>
      <c r="M223" s="163"/>
      <c r="N223" s="163"/>
    </row>
    <row r="224" spans="1:14" ht="11.45" customHeight="1" x14ac:dyDescent="0.2">
      <c r="A224" s="154" t="s">
        <v>2479</v>
      </c>
      <c r="B224" s="285" t="s">
        <v>553</v>
      </c>
      <c r="C224" s="428">
        <v>231618.7</v>
      </c>
      <c r="D224" s="428">
        <v>127517.6</v>
      </c>
      <c r="E224" s="428">
        <v>3799.5</v>
      </c>
      <c r="F224" s="428">
        <v>8681.2999999999993</v>
      </c>
      <c r="G224" s="428">
        <v>147079.9</v>
      </c>
      <c r="H224" s="428">
        <f t="shared" si="26"/>
        <v>287078.3</v>
      </c>
      <c r="I224" s="428">
        <v>-132900.4</v>
      </c>
      <c r="J224" s="428">
        <f t="shared" si="29"/>
        <v>154177.9</v>
      </c>
      <c r="K224" s="428">
        <f t="shared" si="30"/>
        <v>385796.6</v>
      </c>
      <c r="L224" s="433"/>
      <c r="M224" s="163"/>
      <c r="N224" s="163"/>
    </row>
    <row r="225" spans="1:14" ht="11.45" customHeight="1" x14ac:dyDescent="0.2">
      <c r="A225" s="154" t="s">
        <v>2479</v>
      </c>
      <c r="B225" s="153" t="s">
        <v>547</v>
      </c>
      <c r="C225" s="433">
        <v>231666.3</v>
      </c>
      <c r="D225" s="433">
        <v>103832.7</v>
      </c>
      <c r="E225" s="433">
        <v>3786.1</v>
      </c>
      <c r="F225" s="433">
        <v>9289.2000000000007</v>
      </c>
      <c r="G225" s="433">
        <v>164110</v>
      </c>
      <c r="H225" s="433">
        <f t="shared" si="26"/>
        <v>281018</v>
      </c>
      <c r="I225" s="433">
        <v>-137411.1</v>
      </c>
      <c r="J225" s="433">
        <f t="shared" si="29"/>
        <v>143606.9</v>
      </c>
      <c r="K225" s="433">
        <f t="shared" si="30"/>
        <v>375273.19999999995</v>
      </c>
      <c r="L225" s="433"/>
      <c r="M225" s="163"/>
      <c r="N225" s="163"/>
    </row>
    <row r="226" spans="1:14" ht="11.45" customHeight="1" x14ac:dyDescent="0.2">
      <c r="A226" s="154" t="s">
        <v>2479</v>
      </c>
      <c r="B226" s="285" t="s">
        <v>554</v>
      </c>
      <c r="C226" s="428">
        <v>228522.6</v>
      </c>
      <c r="D226" s="428">
        <v>106212.1</v>
      </c>
      <c r="E226" s="428">
        <v>3789.7</v>
      </c>
      <c r="F226" s="428">
        <v>8910.5</v>
      </c>
      <c r="G226" s="428">
        <v>159222.5</v>
      </c>
      <c r="H226" s="428">
        <f t="shared" si="26"/>
        <v>278134.8</v>
      </c>
      <c r="I226" s="428">
        <v>-137402.1</v>
      </c>
      <c r="J226" s="428">
        <f t="shared" si="29"/>
        <v>140732.69999999998</v>
      </c>
      <c r="K226" s="428">
        <f t="shared" si="30"/>
        <v>369255.3</v>
      </c>
      <c r="L226" s="433"/>
      <c r="M226" s="163"/>
      <c r="N226" s="163"/>
    </row>
    <row r="227" spans="1:14" ht="11.45" customHeight="1" x14ac:dyDescent="0.2">
      <c r="A227" s="154" t="s">
        <v>2479</v>
      </c>
      <c r="B227" s="153" t="s">
        <v>555</v>
      </c>
      <c r="C227" s="433">
        <v>223881.5</v>
      </c>
      <c r="D227" s="433">
        <v>107981.5</v>
      </c>
      <c r="E227" s="433">
        <v>3796.2</v>
      </c>
      <c r="F227" s="433">
        <v>9505.7000000000007</v>
      </c>
      <c r="G227" s="433">
        <v>180516.1</v>
      </c>
      <c r="H227" s="433">
        <f t="shared" si="26"/>
        <v>301799.5</v>
      </c>
      <c r="I227" s="433">
        <v>-137225.1</v>
      </c>
      <c r="J227" s="433">
        <f t="shared" si="29"/>
        <v>164574.39999999999</v>
      </c>
      <c r="K227" s="433">
        <f t="shared" si="30"/>
        <v>388455.9</v>
      </c>
      <c r="L227" s="433"/>
      <c r="M227" s="163"/>
      <c r="N227" s="163"/>
    </row>
    <row r="228" spans="1:14" ht="11.45" customHeight="1" x14ac:dyDescent="0.2">
      <c r="A228" s="154" t="s">
        <v>2479</v>
      </c>
      <c r="B228" s="285" t="s">
        <v>548</v>
      </c>
      <c r="C228" s="428">
        <v>235750.8</v>
      </c>
      <c r="D228" s="428">
        <v>89973.6</v>
      </c>
      <c r="E228" s="428">
        <v>6903.5</v>
      </c>
      <c r="F228" s="428">
        <v>9426.5</v>
      </c>
      <c r="G228" s="428">
        <v>198089.2</v>
      </c>
      <c r="H228" s="428">
        <f t="shared" si="26"/>
        <v>304392.80000000005</v>
      </c>
      <c r="I228" s="428">
        <v>-140643.9</v>
      </c>
      <c r="J228" s="428">
        <f t="shared" si="29"/>
        <v>163748.90000000005</v>
      </c>
      <c r="K228" s="428">
        <f t="shared" si="30"/>
        <v>399499.70000000007</v>
      </c>
      <c r="L228" s="433"/>
      <c r="M228" s="163"/>
      <c r="N228" s="1368"/>
    </row>
    <row r="229" spans="1:14" ht="11.45" customHeight="1" x14ac:dyDescent="0.2">
      <c r="A229" s="154" t="s">
        <v>2479</v>
      </c>
      <c r="B229" s="153" t="s">
        <v>556</v>
      </c>
      <c r="C229" s="433">
        <v>238082.6</v>
      </c>
      <c r="D229" s="433">
        <v>88103.8</v>
      </c>
      <c r="E229" s="433">
        <v>7121.8</v>
      </c>
      <c r="F229" s="433">
        <v>9606.6</v>
      </c>
      <c r="G229" s="433">
        <v>184745.4</v>
      </c>
      <c r="H229" s="433">
        <f t="shared" si="26"/>
        <v>289577.59999999998</v>
      </c>
      <c r="I229" s="433">
        <v>-148951.9</v>
      </c>
      <c r="J229" s="433">
        <f t="shared" si="29"/>
        <v>140625.69999999998</v>
      </c>
      <c r="K229" s="433">
        <f t="shared" si="30"/>
        <v>378708.3</v>
      </c>
      <c r="L229" s="433"/>
      <c r="M229" s="163"/>
      <c r="N229" s="1368"/>
    </row>
    <row r="230" spans="1:14" ht="11.45" customHeight="1" x14ac:dyDescent="0.2">
      <c r="A230" s="154" t="s">
        <v>2479</v>
      </c>
      <c r="B230" s="285" t="s">
        <v>557</v>
      </c>
      <c r="C230" s="428">
        <v>238118.39999999999</v>
      </c>
      <c r="D230" s="428">
        <v>82947.7</v>
      </c>
      <c r="E230" s="428">
        <v>7130.8</v>
      </c>
      <c r="F230" s="428">
        <v>9688.6</v>
      </c>
      <c r="G230" s="428">
        <v>189534.3</v>
      </c>
      <c r="H230" s="428">
        <f t="shared" si="26"/>
        <v>289301.40000000002</v>
      </c>
      <c r="I230" s="428">
        <v>-152816.9</v>
      </c>
      <c r="J230" s="428">
        <f t="shared" si="29"/>
        <v>136484.50000000003</v>
      </c>
      <c r="K230" s="428">
        <f t="shared" si="30"/>
        <v>374602.9</v>
      </c>
      <c r="L230" s="433"/>
      <c r="M230" s="163"/>
      <c r="N230" s="1368"/>
    </row>
    <row r="231" spans="1:14" ht="11.45" customHeight="1" x14ac:dyDescent="0.2">
      <c r="A231" s="154" t="s">
        <v>2479</v>
      </c>
      <c r="B231" s="153" t="s">
        <v>549</v>
      </c>
      <c r="C231" s="433">
        <v>240274.2</v>
      </c>
      <c r="D231" s="433">
        <v>100124.7</v>
      </c>
      <c r="E231" s="433">
        <v>7135.2</v>
      </c>
      <c r="F231" s="433">
        <v>9254.2999999999993</v>
      </c>
      <c r="G231" s="433">
        <v>198741.2</v>
      </c>
      <c r="H231" s="433">
        <f t="shared" si="26"/>
        <v>315255.40000000002</v>
      </c>
      <c r="I231" s="433">
        <v>-152796</v>
      </c>
      <c r="J231" s="433">
        <f t="shared" si="29"/>
        <v>162459.40000000002</v>
      </c>
      <c r="K231" s="433">
        <f t="shared" si="30"/>
        <v>402733.60000000003</v>
      </c>
      <c r="L231" s="433"/>
      <c r="M231" s="163"/>
      <c r="N231" s="1368"/>
    </row>
    <row r="232" spans="1:14" ht="11.45" customHeight="1" x14ac:dyDescent="0.2">
      <c r="A232" s="154" t="s">
        <v>2479</v>
      </c>
      <c r="B232" s="285" t="s">
        <v>558</v>
      </c>
      <c r="C232" s="428">
        <v>251508.2</v>
      </c>
      <c r="D232" s="428">
        <v>89111.6</v>
      </c>
      <c r="E232" s="428">
        <v>7142.6</v>
      </c>
      <c r="F232" s="428">
        <v>9235.4</v>
      </c>
      <c r="G232" s="428">
        <v>187463.9</v>
      </c>
      <c r="H232" s="428">
        <f t="shared" si="26"/>
        <v>292953.5</v>
      </c>
      <c r="I232" s="428">
        <v>-163816.20000000001</v>
      </c>
      <c r="J232" s="428">
        <f t="shared" si="29"/>
        <v>129137.29999999999</v>
      </c>
      <c r="K232" s="428">
        <f t="shared" si="30"/>
        <v>380645.5</v>
      </c>
      <c r="L232" s="433"/>
      <c r="M232" s="163"/>
      <c r="N232" s="1368"/>
    </row>
    <row r="233" spans="1:14" ht="11.45" customHeight="1" x14ac:dyDescent="0.2">
      <c r="A233" s="154" t="s">
        <v>2479</v>
      </c>
      <c r="B233" s="135" t="s">
        <v>559</v>
      </c>
      <c r="C233" s="433">
        <v>243726.7</v>
      </c>
      <c r="D233" s="433">
        <v>92024.1</v>
      </c>
      <c r="E233" s="433">
        <v>7150.2</v>
      </c>
      <c r="F233" s="433">
        <v>9311.7000000000007</v>
      </c>
      <c r="G233" s="433">
        <v>205586.1</v>
      </c>
      <c r="H233" s="433">
        <f>D233+E233+F233+G233</f>
        <v>314072.09999999998</v>
      </c>
      <c r="I233" s="433">
        <v>-158950.29999999999</v>
      </c>
      <c r="J233" s="433">
        <f t="shared" si="29"/>
        <v>155121.79999999999</v>
      </c>
      <c r="K233" s="433">
        <f t="shared" si="30"/>
        <v>398848.5</v>
      </c>
      <c r="L233" s="433"/>
      <c r="M233" s="163"/>
      <c r="N233" s="1368"/>
    </row>
    <row r="234" spans="1:14" ht="11.45" customHeight="1" x14ac:dyDescent="0.2">
      <c r="A234" s="154" t="s">
        <v>2479</v>
      </c>
      <c r="B234" s="292" t="s">
        <v>550</v>
      </c>
      <c r="C234" s="428">
        <v>293991.7</v>
      </c>
      <c r="D234" s="428">
        <v>85426.8</v>
      </c>
      <c r="E234" s="428">
        <v>7157.5</v>
      </c>
      <c r="F234" s="428">
        <v>9287.5</v>
      </c>
      <c r="G234" s="428">
        <v>216923.6</v>
      </c>
      <c r="H234" s="428">
        <f>D234+E234+F234+G234</f>
        <v>318795.40000000002</v>
      </c>
      <c r="I234" s="428">
        <v>-199608.1</v>
      </c>
      <c r="J234" s="428">
        <f t="shared" si="29"/>
        <v>119187.30000000002</v>
      </c>
      <c r="K234" s="428">
        <f t="shared" si="30"/>
        <v>413179</v>
      </c>
      <c r="L234" s="433"/>
      <c r="M234" s="163"/>
      <c r="N234" s="1368"/>
    </row>
    <row r="235" spans="1:14" ht="11.45" customHeight="1" x14ac:dyDescent="0.2">
      <c r="A235" s="234" t="s">
        <v>3062</v>
      </c>
      <c r="B235" s="292" t="s">
        <v>552</v>
      </c>
      <c r="C235" s="428">
        <v>284285.5</v>
      </c>
      <c r="D235" s="428">
        <v>86888.2</v>
      </c>
      <c r="E235" s="428">
        <v>7671</v>
      </c>
      <c r="F235" s="428">
        <v>9258.2000000000007</v>
      </c>
      <c r="G235" s="428">
        <v>201325.7</v>
      </c>
      <c r="H235" s="428">
        <f t="shared" si="26"/>
        <v>305143.09999999998</v>
      </c>
      <c r="I235" s="428">
        <v>-190382.7</v>
      </c>
      <c r="J235" s="428">
        <f t="shared" ref="J235:J238" si="31">H235+I235</f>
        <v>114760.39999999997</v>
      </c>
      <c r="K235" s="428">
        <f t="shared" ref="K235:K238" si="32">C235+J235</f>
        <v>399045.89999999997</v>
      </c>
      <c r="L235" s="433"/>
      <c r="M235" s="163"/>
      <c r="N235" s="1368"/>
    </row>
    <row r="236" spans="1:14" ht="11.45" customHeight="1" x14ac:dyDescent="0.2">
      <c r="A236" s="234" t="s">
        <v>3062</v>
      </c>
      <c r="B236" s="135" t="s">
        <v>553</v>
      </c>
      <c r="C236" s="433">
        <v>289617.3</v>
      </c>
      <c r="D236" s="433">
        <v>75256.899999999994</v>
      </c>
      <c r="E236" s="433">
        <v>7378.4</v>
      </c>
      <c r="F236" s="433">
        <v>9046.1</v>
      </c>
      <c r="G236" s="433">
        <v>186359.7</v>
      </c>
      <c r="H236" s="433">
        <f>(D236+E236+F236+G236)</f>
        <v>278041.09999999998</v>
      </c>
      <c r="I236" s="433">
        <v>-177150.1</v>
      </c>
      <c r="J236" s="433">
        <f>H236+I236</f>
        <v>100890.99999999997</v>
      </c>
      <c r="K236" s="433">
        <f>C236+J236</f>
        <v>390508.29999999993</v>
      </c>
      <c r="L236" s="433"/>
      <c r="M236" s="163"/>
      <c r="N236" s="1368"/>
    </row>
    <row r="237" spans="1:14" s="153" customFormat="1" ht="11.45" customHeight="1" x14ac:dyDescent="0.2">
      <c r="A237" s="234" t="s">
        <v>3062</v>
      </c>
      <c r="B237" s="292" t="s">
        <v>547</v>
      </c>
      <c r="C237" s="428">
        <v>302125.59999999998</v>
      </c>
      <c r="D237" s="428">
        <v>80684.3</v>
      </c>
      <c r="E237" s="428">
        <v>7375.7</v>
      </c>
      <c r="F237" s="428">
        <v>8861.6</v>
      </c>
      <c r="G237" s="428">
        <v>173647.1</v>
      </c>
      <c r="H237" s="428">
        <f t="shared" ref="H237:H241" si="33">(D237+E237+F237+G237)</f>
        <v>270568.7</v>
      </c>
      <c r="I237" s="428">
        <v>-184497.9</v>
      </c>
      <c r="J237" s="428">
        <f t="shared" si="31"/>
        <v>86070.800000000017</v>
      </c>
      <c r="K237" s="428">
        <f t="shared" si="32"/>
        <v>388196.4</v>
      </c>
      <c r="L237" s="433"/>
      <c r="M237" s="667"/>
      <c r="N237" s="1445"/>
    </row>
    <row r="238" spans="1:14" s="153" customFormat="1" ht="11.45" customHeight="1" x14ac:dyDescent="0.2">
      <c r="A238" s="234" t="s">
        <v>3062</v>
      </c>
      <c r="B238" s="427" t="s">
        <v>554</v>
      </c>
      <c r="C238" s="1506">
        <v>305459.59999999998</v>
      </c>
      <c r="D238" s="1506">
        <v>80516.899999999994</v>
      </c>
      <c r="E238" s="1506">
        <v>7383.1</v>
      </c>
      <c r="F238" s="1506">
        <v>8329.2000000000007</v>
      </c>
      <c r="G238" s="1506">
        <v>167782.1</v>
      </c>
      <c r="H238" s="1506">
        <f t="shared" si="33"/>
        <v>264011.3</v>
      </c>
      <c r="I238" s="1506">
        <v>-188583.5</v>
      </c>
      <c r="J238" s="1506">
        <f t="shared" si="31"/>
        <v>75427.799999999988</v>
      </c>
      <c r="K238" s="1506">
        <f t="shared" si="32"/>
        <v>380887.39999999997</v>
      </c>
      <c r="L238" s="667"/>
      <c r="M238" s="667"/>
    </row>
    <row r="239" spans="1:14" ht="11.45" customHeight="1" x14ac:dyDescent="0.2">
      <c r="A239" s="234" t="s">
        <v>3062</v>
      </c>
      <c r="B239" s="292" t="s">
        <v>555</v>
      </c>
      <c r="C239" s="428">
        <v>301884.2</v>
      </c>
      <c r="D239" s="428">
        <v>98604.1</v>
      </c>
      <c r="E239" s="428">
        <v>7390.4</v>
      </c>
      <c r="F239" s="428">
        <v>8200.9</v>
      </c>
      <c r="G239" s="428">
        <v>179736.7</v>
      </c>
      <c r="H239" s="428">
        <f t="shared" si="33"/>
        <v>293932.09999999998</v>
      </c>
      <c r="I239" s="428">
        <v>-190464.1</v>
      </c>
      <c r="J239" s="428">
        <f t="shared" ref="J239:J241" si="34">H239+I239</f>
        <v>103467.99999999997</v>
      </c>
      <c r="K239" s="428">
        <f t="shared" ref="K239:K241" si="35">C239+J239</f>
        <v>405352.19999999995</v>
      </c>
      <c r="L239" s="163"/>
      <c r="M239" s="163"/>
    </row>
    <row r="240" spans="1:14" ht="11.45" customHeight="1" x14ac:dyDescent="0.2">
      <c r="A240" s="234" t="s">
        <v>3062</v>
      </c>
      <c r="B240" s="135" t="s">
        <v>548</v>
      </c>
      <c r="C240" s="433">
        <v>317802.09999999998</v>
      </c>
      <c r="D240" s="433">
        <v>94976.7</v>
      </c>
      <c r="E240" s="433">
        <v>7372.8</v>
      </c>
      <c r="F240" s="433">
        <v>17051.8</v>
      </c>
      <c r="G240" s="433">
        <v>197177.5</v>
      </c>
      <c r="H240" s="433">
        <f t="shared" si="33"/>
        <v>316578.8</v>
      </c>
      <c r="I240" s="433">
        <v>-198056.1</v>
      </c>
      <c r="J240" s="433">
        <f t="shared" ref="J240" si="36">H240+I240</f>
        <v>118522.69999999998</v>
      </c>
      <c r="K240" s="433">
        <f t="shared" ref="K240" si="37">C240+J240</f>
        <v>436324.79999999993</v>
      </c>
      <c r="M240" s="163"/>
    </row>
    <row r="241" spans="1:11" ht="11.45" customHeight="1" x14ac:dyDescent="0.2">
      <c r="A241" s="234" t="s">
        <v>3062</v>
      </c>
      <c r="B241" s="292" t="s">
        <v>556</v>
      </c>
      <c r="C241" s="428">
        <v>327284</v>
      </c>
      <c r="D241" s="428">
        <v>86457.9</v>
      </c>
      <c r="E241" s="428">
        <v>7621.1</v>
      </c>
      <c r="F241" s="428">
        <v>17017.099999999999</v>
      </c>
      <c r="G241" s="428">
        <v>184160.9</v>
      </c>
      <c r="H241" s="428">
        <f t="shared" si="33"/>
        <v>295257</v>
      </c>
      <c r="I241" s="428">
        <v>-204585.9</v>
      </c>
      <c r="J241" s="428">
        <f t="shared" si="34"/>
        <v>90671.1</v>
      </c>
      <c r="K241" s="428">
        <f t="shared" si="35"/>
        <v>417955.1</v>
      </c>
    </row>
    <row r="242" spans="1:11" ht="11.45" customHeight="1" thickBot="1" x14ac:dyDescent="0.25">
      <c r="A242" s="234" t="s">
        <v>3062</v>
      </c>
      <c r="B242" s="1509" t="s">
        <v>557</v>
      </c>
      <c r="C242" s="1510">
        <v>342571.3</v>
      </c>
      <c r="D242" s="1510">
        <v>80916.600000000006</v>
      </c>
      <c r="E242" s="1510">
        <v>7629.3</v>
      </c>
      <c r="F242" s="1510">
        <v>17076.099999999999</v>
      </c>
      <c r="G242" s="1510">
        <v>180648.5</v>
      </c>
      <c r="H242" s="1510">
        <v>286270.5</v>
      </c>
      <c r="I242" s="1510">
        <v>-204223</v>
      </c>
      <c r="J242" s="1510">
        <v>82047.5</v>
      </c>
      <c r="K242" s="1510">
        <v>424618.8</v>
      </c>
    </row>
    <row r="243" spans="1:11" ht="11.45" customHeight="1" thickBot="1" x14ac:dyDescent="0.25">
      <c r="A243" s="234" t="s">
        <v>3062</v>
      </c>
      <c r="B243" s="135" t="s">
        <v>549</v>
      </c>
      <c r="C243" s="1618">
        <v>341188.7</v>
      </c>
      <c r="D243" s="1618">
        <v>109285.9</v>
      </c>
      <c r="E243" s="1618">
        <v>7637.5</v>
      </c>
      <c r="F243" s="1618">
        <v>17241.900000000001</v>
      </c>
      <c r="G243" s="1618">
        <v>179386.6</v>
      </c>
      <c r="H243" s="1618">
        <f t="shared" ref="H243" si="38">(D243+E243+F243+G243)</f>
        <v>313551.90000000002</v>
      </c>
      <c r="I243" s="1618">
        <v>-211471</v>
      </c>
      <c r="J243" s="1618">
        <f t="shared" ref="J243" si="39">H243+I243</f>
        <v>102080.90000000002</v>
      </c>
      <c r="K243" s="1618">
        <f t="shared" ref="K243" si="40">C243+J243</f>
        <v>443269.60000000003</v>
      </c>
    </row>
    <row r="244" spans="1:11" x14ac:dyDescent="0.2">
      <c r="A244" s="473" t="s">
        <v>1335</v>
      </c>
      <c r="B244" s="473"/>
      <c r="C244" s="242" t="s">
        <v>1207</v>
      </c>
      <c r="D244" s="242"/>
      <c r="E244" s="242"/>
      <c r="F244" s="242"/>
      <c r="G244" s="242"/>
      <c r="H244" s="242"/>
      <c r="I244" s="242"/>
      <c r="J244" s="251" t="s">
        <v>1294</v>
      </c>
      <c r="K244" s="242"/>
    </row>
    <row r="245" spans="1:11" x14ac:dyDescent="0.2">
      <c r="A245" s="208"/>
      <c r="B245" s="208"/>
      <c r="C245" s="208"/>
      <c r="D245" s="208"/>
      <c r="E245" s="208"/>
      <c r="F245" s="208"/>
      <c r="G245" s="214"/>
      <c r="H245" s="208"/>
      <c r="I245" s="208"/>
      <c r="J245" s="208"/>
      <c r="K245" s="562"/>
    </row>
    <row r="246" spans="1:11" x14ac:dyDescent="0.2">
      <c r="C246" s="208"/>
      <c r="G246" s="214"/>
      <c r="H246" s="214"/>
      <c r="I246" s="163"/>
      <c r="J246" s="163"/>
      <c r="K246" s="163"/>
    </row>
    <row r="247" spans="1:11" x14ac:dyDescent="0.2">
      <c r="G247" s="163"/>
      <c r="J247" s="163"/>
    </row>
    <row r="248" spans="1:11" x14ac:dyDescent="0.2">
      <c r="C248" s="163"/>
      <c r="D248" s="163"/>
      <c r="E248" s="163"/>
      <c r="F248" s="163"/>
      <c r="G248" s="163"/>
      <c r="I248" s="163"/>
    </row>
    <row r="249" spans="1:11" x14ac:dyDescent="0.2">
      <c r="C249" s="163"/>
      <c r="D249" s="163"/>
      <c r="E249" s="163"/>
      <c r="F249" s="163"/>
      <c r="G249" s="163"/>
      <c r="H249" s="163"/>
      <c r="I249" s="163"/>
      <c r="J249" s="163"/>
      <c r="K249" s="163"/>
    </row>
    <row r="250" spans="1:11" x14ac:dyDescent="0.2">
      <c r="C250" s="163"/>
      <c r="D250" s="163"/>
      <c r="E250" s="163"/>
      <c r="F250" s="163"/>
      <c r="G250" s="163"/>
      <c r="H250" s="163"/>
      <c r="I250" s="163"/>
      <c r="J250" s="163"/>
      <c r="K250" s="163"/>
    </row>
    <row r="251" spans="1:11" x14ac:dyDescent="0.2">
      <c r="C251" s="163"/>
      <c r="D251" s="163"/>
      <c r="E251" s="163"/>
      <c r="F251" s="163"/>
      <c r="G251" s="163"/>
      <c r="H251" s="163"/>
      <c r="I251" s="163"/>
      <c r="J251" s="163"/>
      <c r="K251" s="163"/>
    </row>
    <row r="259" spans="3:11" x14ac:dyDescent="0.2">
      <c r="C259" s="163"/>
      <c r="D259" s="163"/>
      <c r="E259" s="163"/>
      <c r="F259" s="163"/>
      <c r="G259" s="163"/>
      <c r="H259" s="163"/>
      <c r="I259" s="163"/>
      <c r="J259" s="163"/>
      <c r="K259" s="163"/>
    </row>
    <row r="260" spans="3:11" x14ac:dyDescent="0.2">
      <c r="C260" s="163"/>
      <c r="D260" s="163"/>
      <c r="E260" s="163"/>
      <c r="F260" s="163"/>
      <c r="G260" s="163"/>
      <c r="H260" s="163"/>
      <c r="I260" s="163"/>
      <c r="J260" s="163"/>
      <c r="K260" s="163"/>
    </row>
    <row r="261" spans="3:11" x14ac:dyDescent="0.2">
      <c r="C261" s="163"/>
      <c r="D261" s="163"/>
      <c r="E261" s="163"/>
      <c r="F261" s="163"/>
      <c r="G261" s="163"/>
      <c r="H261" s="163"/>
      <c r="I261" s="163"/>
      <c r="J261" s="163"/>
      <c r="K261" s="163"/>
    </row>
    <row r="262" spans="3:11" x14ac:dyDescent="0.2">
      <c r="C262" s="163"/>
      <c r="D262" s="163"/>
      <c r="E262" s="163"/>
      <c r="F262" s="163"/>
      <c r="G262" s="163"/>
      <c r="H262" s="163"/>
      <c r="I262" s="163"/>
      <c r="J262" s="163"/>
      <c r="K262" s="163"/>
    </row>
    <row r="263" spans="3:11" x14ac:dyDescent="0.2">
      <c r="C263" s="163"/>
      <c r="D263" s="163"/>
      <c r="E263" s="163"/>
      <c r="F263" s="163"/>
      <c r="G263" s="163"/>
      <c r="H263" s="163"/>
      <c r="I263" s="163"/>
      <c r="J263" s="163"/>
      <c r="K263" s="163"/>
    </row>
    <row r="264" spans="3:11" x14ac:dyDescent="0.2">
      <c r="C264" s="163"/>
      <c r="D264" s="163"/>
      <c r="E264" s="163"/>
      <c r="F264" s="163"/>
      <c r="G264" s="163"/>
      <c r="H264" s="163"/>
      <c r="I264" s="163"/>
      <c r="J264" s="163"/>
      <c r="K264" s="163"/>
    </row>
    <row r="265" spans="3:11" x14ac:dyDescent="0.2">
      <c r="C265" s="163"/>
      <c r="D265" s="163"/>
      <c r="E265" s="163"/>
      <c r="F265" s="163"/>
      <c r="G265" s="163"/>
      <c r="H265" s="163"/>
      <c r="I265" s="163"/>
      <c r="J265" s="163"/>
      <c r="K265" s="163"/>
    </row>
    <row r="266" spans="3:11" x14ac:dyDescent="0.2">
      <c r="C266" s="163"/>
      <c r="D266" s="163"/>
      <c r="E266" s="163"/>
      <c r="F266" s="163"/>
      <c r="G266" s="163"/>
      <c r="H266" s="163"/>
      <c r="I266" s="163"/>
      <c r="J266" s="163"/>
      <c r="K266" s="163"/>
    </row>
    <row r="267" spans="3:11" x14ac:dyDescent="0.2">
      <c r="C267" s="163"/>
      <c r="D267" s="163"/>
      <c r="E267" s="163"/>
      <c r="F267" s="163"/>
      <c r="G267" s="163"/>
      <c r="H267" s="163"/>
      <c r="I267" s="163"/>
      <c r="J267" s="163"/>
      <c r="K267" s="163"/>
    </row>
    <row r="268" spans="3:11" x14ac:dyDescent="0.2">
      <c r="C268" s="163"/>
      <c r="D268" s="163"/>
      <c r="E268" s="163"/>
      <c r="F268" s="163"/>
      <c r="G268" s="163"/>
      <c r="H268" s="163"/>
      <c r="I268" s="163"/>
      <c r="J268" s="163"/>
      <c r="K268" s="163"/>
    </row>
    <row r="269" spans="3:11" x14ac:dyDescent="0.2">
      <c r="C269" s="163"/>
      <c r="D269" s="163"/>
      <c r="E269" s="163"/>
      <c r="F269" s="163"/>
      <c r="G269" s="163"/>
      <c r="H269" s="163"/>
      <c r="I269" s="163"/>
      <c r="J269" s="163"/>
      <c r="K269" s="163"/>
    </row>
  </sheetData>
  <customSheetViews>
    <customSheetView guid="{A374FC54-96E3-45F0-9C12-8450400C12DF}" scale="200">
      <pane xSplit="1" ySplit="7" topLeftCell="B43" activePane="bottomRight" state="frozen"/>
      <selection pane="bottomRight" activeCell="J46" sqref="J46:J48"/>
      <pageMargins left="0.59055118110236204" right="0.511811023622047" top="0.511811023622047" bottom="0.511811023622047" header="0" footer="0.35433070866141703"/>
      <pageSetup paperSize="132" firstPageNumber="17" orientation="portrait" useFirstPageNumber="1" r:id="rId1"/>
      <headerFooter>
        <oddFooter>&amp;C&amp;"Times New Roman,Regular"&amp;8&amp;P</oddFooter>
      </headerFooter>
    </customSheetView>
  </customSheetViews>
  <mergeCells count="14">
    <mergeCell ref="J1:K1"/>
    <mergeCell ref="J2:K2"/>
    <mergeCell ref="E4:E6"/>
    <mergeCell ref="F4:F6"/>
    <mergeCell ref="K3:K6"/>
    <mergeCell ref="J3:J6"/>
    <mergeCell ref="D4:D6"/>
    <mergeCell ref="A3:A7"/>
    <mergeCell ref="A1:I1"/>
    <mergeCell ref="G4:G6"/>
    <mergeCell ref="H4:H6"/>
    <mergeCell ref="C3:C6"/>
    <mergeCell ref="D3:H3"/>
    <mergeCell ref="I3:I6"/>
  </mergeCells>
  <phoneticPr fontId="53" type="noConversion"/>
  <conditionalFormatting sqref="C10:K29 A8:B33">
    <cfRule type="expression" dxfId="15" priority="75" stopIfTrue="1">
      <formula>MOD(ROW(),2)=1</formula>
    </cfRule>
    <cfRule type="expression" priority="76" stopIfTrue="1">
      <formula>MOD(ROW(),2)=1</formula>
    </cfRule>
  </conditionalFormatting>
  <conditionalFormatting sqref="A31:B33">
    <cfRule type="expression" priority="72" stopIfTrue="1">
      <formula>MOD(row,0)=0</formula>
    </cfRule>
  </conditionalFormatting>
  <conditionalFormatting sqref="A31:B33">
    <cfRule type="expression" priority="67" stopIfTrue="1">
      <formula>MOD((((#REF!))),0)=0</formula>
    </cfRule>
  </conditionalFormatting>
  <conditionalFormatting sqref="A32:B33">
    <cfRule type="expression" dxfId="14" priority="61" stopIfTrue="1">
      <formula>MOD(ROW(),2)=1</formula>
    </cfRule>
  </conditionalFormatting>
  <conditionalFormatting sqref="A32:B33">
    <cfRule type="expression" priority="58" stopIfTrue="1">
      <formula>MOD((((#REF!))),0)=0</formula>
    </cfRule>
  </conditionalFormatting>
  <conditionalFormatting sqref="A31:B33">
    <cfRule type="expression" priority="14" stopIfTrue="1">
      <formula>MOD(row,0)=0</formula>
    </cfRule>
  </conditionalFormatting>
  <conditionalFormatting sqref="A31:B33">
    <cfRule type="expression" priority="13" stopIfTrue="1">
      <formula>MOD((((#REF!))),0)=0</formula>
    </cfRule>
  </conditionalFormatting>
  <conditionalFormatting sqref="A32:B33">
    <cfRule type="expression" dxfId="13" priority="12" stopIfTrue="1">
      <formula>MOD(ROW(),2)=1</formula>
    </cfRule>
  </conditionalFormatting>
  <conditionalFormatting sqref="A32:B33">
    <cfRule type="expression" priority="11" stopIfTrue="1">
      <formula>MOD((((#REF!))),0)=0</formula>
    </cfRule>
  </conditionalFormatting>
  <conditionalFormatting sqref="H127:H138">
    <cfRule type="expression" dxfId="12" priority="9" stopIfTrue="1">
      <formula>MOD(ROW(),2)=1</formula>
    </cfRule>
    <cfRule type="expression" priority="10" stopIfTrue="1">
      <formula>MOD(ROW(),2)=1</formula>
    </cfRule>
  </conditionalFormatting>
  <conditionalFormatting sqref="H139:H149">
    <cfRule type="expression" dxfId="11" priority="7" stopIfTrue="1">
      <formula>MOD(ROW(),2)=1</formula>
    </cfRule>
    <cfRule type="expression" priority="8" stopIfTrue="1">
      <formula>MOD(ROW(),2)=1</formula>
    </cfRule>
  </conditionalFormatting>
  <conditionalFormatting sqref="H115:H126">
    <cfRule type="expression" dxfId="10" priority="5" stopIfTrue="1">
      <formula>MOD(ROW(),2)=1</formula>
    </cfRule>
    <cfRule type="expression" priority="6" stopIfTrue="1">
      <formula>MOD(ROW(),2)=1</formula>
    </cfRule>
  </conditionalFormatting>
  <conditionalFormatting sqref="J96:J99 H96:H101 C91:J95 K91:K99">
    <cfRule type="expression" dxfId="9" priority="3" stopIfTrue="1">
      <formula>MOD(ROW(),2)=1</formula>
    </cfRule>
    <cfRule type="expression" priority="4" stopIfTrue="1">
      <formula>MOD(ROW(),2)=1</formula>
    </cfRule>
  </conditionalFormatting>
  <conditionalFormatting sqref="H106:H114 H104">
    <cfRule type="expression" dxfId="8" priority="1" stopIfTrue="1">
      <formula>MOD(ROW(),2)=1</formula>
    </cfRule>
    <cfRule type="expression" priority="2" stopIfTrue="1">
      <formula>MOD(ROW(),2)=1</formula>
    </cfRule>
  </conditionalFormatting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Q267"/>
  <sheetViews>
    <sheetView zoomScale="150" zoomScaleNormal="150" zoomScaleSheetLayoutView="110" workbookViewId="0">
      <pane ySplit="7" topLeftCell="A8" activePane="bottomLeft" state="frozen"/>
      <selection activeCell="C8" sqref="C8:C9"/>
      <selection pane="bottomLeft" activeCell="C11" sqref="C11"/>
    </sheetView>
  </sheetViews>
  <sheetFormatPr defaultColWidth="9.140625" defaultRowHeight="11.25" x14ac:dyDescent="0.2"/>
  <cols>
    <col min="1" max="2" width="8" style="477" customWidth="1"/>
    <col min="3" max="3" width="12.140625" style="154" bestFit="1" customWidth="1"/>
    <col min="4" max="4" width="5.85546875" style="154" customWidth="1"/>
    <col min="5" max="5" width="6.85546875" style="154" customWidth="1"/>
    <col min="6" max="6" width="7.28515625" style="154" customWidth="1"/>
    <col min="7" max="7" width="7.42578125" style="154" bestFit="1" customWidth="1"/>
    <col min="8" max="8" width="6.28515625" style="154" bestFit="1" customWidth="1"/>
    <col min="9" max="9" width="7.42578125" style="154" customWidth="1"/>
    <col min="10" max="10" width="7.42578125" style="160" bestFit="1" customWidth="1"/>
    <col min="11" max="13" width="7.85546875" style="154" bestFit="1" customWidth="1"/>
    <col min="14" max="14" width="9" style="154" customWidth="1"/>
    <col min="15" max="16" width="8" style="154" customWidth="1"/>
    <col min="17" max="17" width="9.7109375" style="154" customWidth="1"/>
    <col min="18" max="18" width="8.140625" style="154" customWidth="1"/>
    <col min="19" max="19" width="9" style="154" customWidth="1"/>
    <col min="20" max="20" width="8" style="154" customWidth="1"/>
    <col min="21" max="22" width="11" style="154" bestFit="1" customWidth="1"/>
    <col min="23" max="23" width="10" style="154" bestFit="1" customWidth="1"/>
    <col min="24" max="24" width="11.5703125" style="154" bestFit="1" customWidth="1"/>
    <col min="25" max="16384" width="9.140625" style="154"/>
  </cols>
  <sheetData>
    <row r="1" spans="1:69" s="474" customFormat="1" ht="16.5" customHeight="1" x14ac:dyDescent="0.25">
      <c r="C1" s="475"/>
      <c r="D1" s="475"/>
      <c r="E1" s="475"/>
      <c r="F1" s="475"/>
      <c r="G1" s="475"/>
      <c r="H1" s="475"/>
      <c r="I1" s="2484" t="s">
        <v>425</v>
      </c>
      <c r="J1" s="2484"/>
      <c r="K1" s="2484"/>
      <c r="L1" s="2485" t="s">
        <v>1319</v>
      </c>
      <c r="M1" s="2485"/>
      <c r="N1" s="2485"/>
      <c r="O1" s="2485"/>
      <c r="P1" s="476"/>
      <c r="Q1" s="476"/>
      <c r="R1" s="476"/>
      <c r="S1" s="2478" t="s">
        <v>145</v>
      </c>
      <c r="T1" s="2478"/>
    </row>
    <row r="2" spans="1:69" ht="12" customHeight="1" x14ac:dyDescent="0.2">
      <c r="C2" s="1450"/>
      <c r="D2" s="1450"/>
      <c r="E2" s="1450"/>
      <c r="F2" s="1450"/>
      <c r="G2" s="1450"/>
      <c r="H2" s="1450"/>
      <c r="M2" s="1450"/>
      <c r="N2" s="1450"/>
      <c r="O2" s="1451"/>
      <c r="P2" s="1450"/>
      <c r="Q2" s="1450"/>
      <c r="R2" s="1450"/>
      <c r="S2" s="1450"/>
      <c r="T2" s="1690" t="s">
        <v>24</v>
      </c>
    </row>
    <row r="3" spans="1:69" s="478" customFormat="1" ht="12.75" customHeight="1" x14ac:dyDescent="0.2">
      <c r="A3" s="2468" t="s">
        <v>890</v>
      </c>
      <c r="B3" s="2468" t="s">
        <v>3061</v>
      </c>
      <c r="C3" s="2471" t="s">
        <v>475</v>
      </c>
      <c r="D3" s="2471"/>
      <c r="E3" s="2471"/>
      <c r="F3" s="2471"/>
      <c r="G3" s="2475" t="s">
        <v>3171</v>
      </c>
      <c r="H3" s="2476"/>
      <c r="I3" s="2476"/>
      <c r="J3" s="2476"/>
      <c r="K3" s="2476"/>
      <c r="L3" s="2476"/>
      <c r="M3" s="2476"/>
      <c r="N3" s="2476"/>
      <c r="O3" s="2476"/>
      <c r="P3" s="2476"/>
      <c r="Q3" s="2477"/>
      <c r="R3" s="2470" t="s">
        <v>892</v>
      </c>
      <c r="S3" s="2470" t="s">
        <v>893</v>
      </c>
      <c r="T3" s="2481" t="s">
        <v>1320</v>
      </c>
    </row>
    <row r="4" spans="1:69" s="479" customFormat="1" ht="15" customHeight="1" x14ac:dyDescent="0.2">
      <c r="A4" s="2469"/>
      <c r="B4" s="2469"/>
      <c r="C4" s="2470" t="s">
        <v>757</v>
      </c>
      <c r="D4" s="2480" t="s">
        <v>158</v>
      </c>
      <c r="E4" s="2466" t="s">
        <v>349</v>
      </c>
      <c r="F4" s="2470" t="s">
        <v>758</v>
      </c>
      <c r="G4" s="2472" t="s">
        <v>391</v>
      </c>
      <c r="H4" s="2473"/>
      <c r="I4" s="2473"/>
      <c r="J4" s="2473"/>
      <c r="K4" s="2473"/>
      <c r="L4" s="2473"/>
      <c r="M4" s="2474"/>
      <c r="N4" s="2471" t="s">
        <v>568</v>
      </c>
      <c r="O4" s="2471"/>
      <c r="P4" s="2471"/>
      <c r="Q4" s="2470" t="s">
        <v>891</v>
      </c>
      <c r="R4" s="2470"/>
      <c r="S4" s="2470"/>
      <c r="T4" s="2481"/>
    </row>
    <row r="5" spans="1:69" s="479" customFormat="1" ht="15" customHeight="1" x14ac:dyDescent="0.2">
      <c r="A5" s="2469"/>
      <c r="B5" s="2469"/>
      <c r="C5" s="2470"/>
      <c r="D5" s="2480"/>
      <c r="E5" s="2469"/>
      <c r="F5" s="2470"/>
      <c r="G5" s="2471" t="s">
        <v>1306</v>
      </c>
      <c r="H5" s="2471"/>
      <c r="I5" s="2471"/>
      <c r="J5" s="2471"/>
      <c r="K5" s="2471" t="s">
        <v>478</v>
      </c>
      <c r="L5" s="2471"/>
      <c r="M5" s="2471"/>
      <c r="N5" s="2466" t="s">
        <v>761</v>
      </c>
      <c r="O5" s="2466" t="s">
        <v>158</v>
      </c>
      <c r="P5" s="2466" t="s">
        <v>762</v>
      </c>
      <c r="Q5" s="2470"/>
      <c r="R5" s="2470"/>
      <c r="S5" s="2470"/>
      <c r="T5" s="2481"/>
    </row>
    <row r="6" spans="1:69" s="479" customFormat="1" ht="47.25" customHeight="1" x14ac:dyDescent="0.2">
      <c r="A6" s="2469"/>
      <c r="B6" s="2469"/>
      <c r="C6" s="2470"/>
      <c r="D6" s="2480"/>
      <c r="E6" s="2467"/>
      <c r="F6" s="2470"/>
      <c r="G6" s="1440" t="s">
        <v>115</v>
      </c>
      <c r="H6" s="480" t="s">
        <v>158</v>
      </c>
      <c r="I6" s="1440" t="s">
        <v>1218</v>
      </c>
      <c r="J6" s="1440" t="s">
        <v>759</v>
      </c>
      <c r="K6" s="1440" t="s">
        <v>115</v>
      </c>
      <c r="L6" s="481" t="s">
        <v>158</v>
      </c>
      <c r="M6" s="1440" t="s">
        <v>760</v>
      </c>
      <c r="N6" s="2467"/>
      <c r="O6" s="2467"/>
      <c r="P6" s="2467"/>
      <c r="Q6" s="2470"/>
      <c r="R6" s="2470"/>
      <c r="S6" s="2470"/>
      <c r="T6" s="2481"/>
    </row>
    <row r="7" spans="1:69" s="2119" customFormat="1" ht="12" x14ac:dyDescent="0.2">
      <c r="A7" s="2469"/>
      <c r="B7" s="2469"/>
      <c r="C7" s="2117">
        <v>1</v>
      </c>
      <c r="D7" s="2118">
        <f>C7+1</f>
        <v>2</v>
      </c>
      <c r="E7" s="2118">
        <f t="shared" ref="E7:T7" si="0">D7+1</f>
        <v>3</v>
      </c>
      <c r="F7" s="2118">
        <f t="shared" si="0"/>
        <v>4</v>
      </c>
      <c r="G7" s="2118">
        <f t="shared" si="0"/>
        <v>5</v>
      </c>
      <c r="H7" s="2118">
        <f t="shared" si="0"/>
        <v>6</v>
      </c>
      <c r="I7" s="2118">
        <f t="shared" si="0"/>
        <v>7</v>
      </c>
      <c r="J7" s="2118">
        <f t="shared" si="0"/>
        <v>8</v>
      </c>
      <c r="K7" s="2118">
        <f t="shared" si="0"/>
        <v>9</v>
      </c>
      <c r="L7" s="2118">
        <f t="shared" si="0"/>
        <v>10</v>
      </c>
      <c r="M7" s="2118">
        <f t="shared" si="0"/>
        <v>11</v>
      </c>
      <c r="N7" s="2118">
        <f t="shared" si="0"/>
        <v>12</v>
      </c>
      <c r="O7" s="2118">
        <f t="shared" si="0"/>
        <v>13</v>
      </c>
      <c r="P7" s="2118">
        <f t="shared" si="0"/>
        <v>14</v>
      </c>
      <c r="Q7" s="2118">
        <f t="shared" si="0"/>
        <v>15</v>
      </c>
      <c r="R7" s="2118">
        <f t="shared" si="0"/>
        <v>16</v>
      </c>
      <c r="S7" s="2118">
        <f t="shared" si="0"/>
        <v>17</v>
      </c>
      <c r="T7" s="2118">
        <f t="shared" si="0"/>
        <v>18</v>
      </c>
    </row>
    <row r="8" spans="1:69" ht="10.5" customHeight="1" x14ac:dyDescent="0.2">
      <c r="A8" s="1993" t="s">
        <v>535</v>
      </c>
      <c r="B8" s="290"/>
      <c r="C8" s="2121">
        <v>5966.2</v>
      </c>
      <c r="D8" s="2121">
        <v>141.30000000000001</v>
      </c>
      <c r="E8" s="2121">
        <f>C8+D8</f>
        <v>6107.5</v>
      </c>
      <c r="F8" s="2121">
        <v>691.5</v>
      </c>
      <c r="G8" s="2121">
        <f>E8-F8</f>
        <v>5416</v>
      </c>
      <c r="H8" s="2121">
        <v>859.7</v>
      </c>
      <c r="I8" s="2121">
        <v>2949.5</v>
      </c>
      <c r="J8" s="2121">
        <v>5751.1</v>
      </c>
      <c r="K8" s="2121">
        <v>25235.9</v>
      </c>
      <c r="L8" s="2122">
        <f>J8+K8</f>
        <v>30987</v>
      </c>
      <c r="M8" s="2122">
        <f>I8+L8</f>
        <v>33936.5</v>
      </c>
      <c r="N8" s="2121" t="s">
        <v>288</v>
      </c>
      <c r="O8" s="2121">
        <f>G8+J8</f>
        <v>11167.1</v>
      </c>
      <c r="P8" s="2121">
        <f>K8+O8</f>
        <v>36403</v>
      </c>
      <c r="Q8" s="2121">
        <v>722.2</v>
      </c>
      <c r="R8" s="2121">
        <f>P8+Q8</f>
        <v>37125.199999999997</v>
      </c>
      <c r="S8" s="2121">
        <v>0</v>
      </c>
      <c r="T8" s="2121">
        <v>3786.7</v>
      </c>
      <c r="U8" s="1994"/>
      <c r="V8" s="1994"/>
      <c r="W8" s="1994"/>
      <c r="X8" s="1994"/>
      <c r="Y8" s="1994"/>
      <c r="Z8" s="1994"/>
      <c r="AA8" s="1994"/>
      <c r="AB8" s="1994"/>
      <c r="AC8" s="1994"/>
      <c r="AD8" s="1994"/>
      <c r="AE8" s="1995"/>
      <c r="AF8" s="1995"/>
      <c r="AG8" s="1995"/>
      <c r="AH8" s="1995"/>
      <c r="AI8" s="1994"/>
      <c r="AJ8" s="1994"/>
      <c r="AK8" s="1994"/>
      <c r="AL8" s="1994"/>
      <c r="AM8" s="1994"/>
      <c r="AN8" s="1994"/>
      <c r="AO8" s="1994"/>
      <c r="AP8" s="1994"/>
      <c r="AQ8" s="1994"/>
      <c r="AR8" s="1994"/>
      <c r="AS8" s="1994"/>
      <c r="AT8" s="1994"/>
      <c r="AU8" s="1994"/>
      <c r="AV8" s="1994"/>
      <c r="AW8" s="1994"/>
      <c r="AX8" s="1994"/>
      <c r="AY8" s="1994"/>
      <c r="AZ8" s="1996"/>
      <c r="BA8" s="1996"/>
      <c r="BB8" s="1996"/>
      <c r="BC8" s="1996"/>
      <c r="BD8" s="1996"/>
      <c r="BE8" s="1996"/>
      <c r="BF8" s="1996"/>
      <c r="BG8" s="1997"/>
      <c r="BH8" s="1998"/>
      <c r="BI8" s="1998"/>
      <c r="BJ8" s="1996"/>
      <c r="BK8" s="1996"/>
      <c r="BL8" s="1999"/>
      <c r="BM8" s="2000"/>
      <c r="BN8" s="1996"/>
      <c r="BO8" s="1996"/>
      <c r="BP8" s="1999"/>
      <c r="BQ8" s="2001"/>
    </row>
    <row r="9" spans="1:69" s="153" customFormat="1" ht="10.5" customHeight="1" x14ac:dyDescent="0.2">
      <c r="A9" s="1993" t="s">
        <v>536</v>
      </c>
      <c r="B9" s="373"/>
      <c r="C9" s="2121">
        <v>7030.5</v>
      </c>
      <c r="D9" s="2121">
        <v>158</v>
      </c>
      <c r="E9" s="2121">
        <f t="shared" ref="E9:E22" si="1">C9+D9</f>
        <v>7188.5</v>
      </c>
      <c r="F9" s="2121">
        <v>623.4</v>
      </c>
      <c r="G9" s="2121">
        <f t="shared" ref="G9:G22" si="2">E9-F9</f>
        <v>6565.1</v>
      </c>
      <c r="H9" s="2121">
        <v>1006</v>
      </c>
      <c r="I9" s="2121">
        <v>3423.9</v>
      </c>
      <c r="J9" s="2121">
        <v>6614.3</v>
      </c>
      <c r="K9" s="2121">
        <v>29032.9</v>
      </c>
      <c r="L9" s="2122">
        <f t="shared" ref="L9:L22" si="3">J9+K9</f>
        <v>35647.200000000004</v>
      </c>
      <c r="M9" s="2122">
        <f>I9+L9</f>
        <v>39071.100000000006</v>
      </c>
      <c r="N9" s="2121" t="s">
        <v>288</v>
      </c>
      <c r="O9" s="2121">
        <f t="shared" ref="O9:O14" si="4">G9+J9</f>
        <v>13179.400000000001</v>
      </c>
      <c r="P9" s="2121">
        <f t="shared" ref="P9:P20" si="5">K9+O9</f>
        <v>42212.3</v>
      </c>
      <c r="Q9" s="2121">
        <v>1184.5</v>
      </c>
      <c r="R9" s="2121">
        <f t="shared" ref="R9:R20" si="6">P9+Q9</f>
        <v>43396.800000000003</v>
      </c>
      <c r="S9" s="2121">
        <v>0</v>
      </c>
      <c r="T9" s="2121">
        <v>3609.5</v>
      </c>
      <c r="U9" s="1994"/>
      <c r="V9" s="1994"/>
      <c r="W9" s="1994"/>
      <c r="X9" s="1994"/>
      <c r="Y9" s="1994"/>
      <c r="Z9" s="1994"/>
      <c r="AA9" s="1994"/>
      <c r="AB9" s="1994"/>
      <c r="AC9" s="1994"/>
      <c r="AD9" s="1994"/>
      <c r="AE9" s="1995"/>
      <c r="AF9" s="1995"/>
      <c r="AG9" s="1995"/>
      <c r="AH9" s="1995"/>
      <c r="AI9" s="1994"/>
      <c r="AJ9" s="1994"/>
      <c r="AK9" s="1994"/>
      <c r="AL9" s="1994"/>
      <c r="AM9" s="1994"/>
      <c r="AN9" s="1994"/>
      <c r="AO9" s="1994"/>
      <c r="AP9" s="1994"/>
      <c r="AQ9" s="1994"/>
      <c r="AR9" s="1994"/>
      <c r="AS9" s="1994"/>
      <c r="AT9" s="1994"/>
      <c r="AU9" s="1994"/>
      <c r="AV9" s="1994"/>
      <c r="AW9" s="1994"/>
      <c r="AX9" s="1994"/>
      <c r="AY9" s="1994"/>
      <c r="AZ9" s="1996"/>
      <c r="BA9" s="1996"/>
      <c r="BB9" s="1996"/>
      <c r="BC9" s="1996"/>
      <c r="BD9" s="1996"/>
      <c r="BE9" s="1996"/>
      <c r="BF9" s="1996"/>
      <c r="BG9" s="1997"/>
      <c r="BH9" s="1998"/>
      <c r="BI9" s="1998"/>
      <c r="BJ9" s="1996"/>
      <c r="BK9" s="1996"/>
      <c r="BL9" s="1999"/>
      <c r="BM9" s="1999"/>
      <c r="BN9" s="1996"/>
      <c r="BO9" s="1996"/>
      <c r="BP9" s="1999"/>
      <c r="BQ9" s="2001"/>
    </row>
    <row r="10" spans="1:69" s="236" customFormat="1" ht="10.5" customHeight="1" x14ac:dyDescent="0.2">
      <c r="A10" s="1993" t="s">
        <v>537</v>
      </c>
      <c r="B10" s="527"/>
      <c r="C10" s="2121">
        <v>7718</v>
      </c>
      <c r="D10" s="2121">
        <v>181.3</v>
      </c>
      <c r="E10" s="2121">
        <f t="shared" si="1"/>
        <v>7899.3</v>
      </c>
      <c r="F10" s="2121">
        <v>776</v>
      </c>
      <c r="G10" s="2121">
        <f t="shared" si="2"/>
        <v>7123.3</v>
      </c>
      <c r="H10" s="2121">
        <v>1024.8</v>
      </c>
      <c r="I10" s="2121">
        <v>3296.1</v>
      </c>
      <c r="J10" s="2121">
        <v>7336.1</v>
      </c>
      <c r="K10" s="2121">
        <v>31231.1</v>
      </c>
      <c r="L10" s="2122">
        <f t="shared" si="3"/>
        <v>38567.199999999997</v>
      </c>
      <c r="M10" s="2122">
        <f t="shared" ref="M10:M22" si="7">I10+L10</f>
        <v>41863.299999999996</v>
      </c>
      <c r="N10" s="2121" t="s">
        <v>288</v>
      </c>
      <c r="O10" s="2121">
        <f t="shared" si="4"/>
        <v>14459.400000000001</v>
      </c>
      <c r="P10" s="2121">
        <f t="shared" si="5"/>
        <v>45690.5</v>
      </c>
      <c r="Q10" s="2121">
        <v>1561.5</v>
      </c>
      <c r="R10" s="2121">
        <f t="shared" si="6"/>
        <v>47252</v>
      </c>
      <c r="S10" s="2121">
        <v>0</v>
      </c>
      <c r="T10" s="2121">
        <v>3836.4</v>
      </c>
      <c r="U10" s="1994"/>
      <c r="V10" s="1994"/>
      <c r="W10" s="1994"/>
      <c r="X10" s="1994"/>
      <c r="Y10" s="1994"/>
      <c r="Z10" s="1994"/>
      <c r="AA10" s="1994"/>
      <c r="AB10" s="1994"/>
      <c r="AC10" s="1994"/>
      <c r="AD10" s="1994"/>
      <c r="AE10" s="1995"/>
      <c r="AF10" s="1995"/>
      <c r="AG10" s="1995"/>
      <c r="AH10" s="1995"/>
      <c r="AI10" s="1994"/>
      <c r="AJ10" s="1994"/>
      <c r="AK10" s="1994"/>
      <c r="AL10" s="1994"/>
      <c r="AM10" s="1994"/>
      <c r="AN10" s="1994"/>
      <c r="AO10" s="1994"/>
      <c r="AP10" s="1994"/>
      <c r="AQ10" s="1994"/>
      <c r="AR10" s="1994"/>
      <c r="AS10" s="1994"/>
      <c r="AT10" s="1994"/>
      <c r="AU10" s="1994"/>
      <c r="AV10" s="1994"/>
      <c r="AW10" s="1994"/>
      <c r="AX10" s="1994"/>
      <c r="AY10" s="1994"/>
      <c r="AZ10" s="1996"/>
      <c r="BA10" s="1996"/>
      <c r="BB10" s="1996"/>
      <c r="BC10" s="1996"/>
      <c r="BD10" s="1996"/>
      <c r="BE10" s="1996"/>
      <c r="BF10" s="1996"/>
      <c r="BG10" s="1997"/>
      <c r="BH10" s="1998"/>
      <c r="BI10" s="1998"/>
      <c r="BJ10" s="1996"/>
      <c r="BK10" s="1996"/>
      <c r="BL10" s="1999"/>
      <c r="BM10" s="1999"/>
      <c r="BN10" s="1996"/>
      <c r="BO10" s="1996"/>
      <c r="BP10" s="1999"/>
      <c r="BQ10" s="2001"/>
    </row>
    <row r="11" spans="1:69" s="236" customFormat="1" ht="10.5" customHeight="1" x14ac:dyDescent="0.2">
      <c r="A11" s="1993" t="s">
        <v>538</v>
      </c>
      <c r="B11" s="491"/>
      <c r="C11" s="2121">
        <v>8249.2000000000007</v>
      </c>
      <c r="D11" s="2121">
        <v>205.5</v>
      </c>
      <c r="E11" s="2121">
        <f t="shared" si="1"/>
        <v>8454.7000000000007</v>
      </c>
      <c r="F11" s="2121">
        <v>880.1</v>
      </c>
      <c r="G11" s="2121">
        <f t="shared" si="2"/>
        <v>7574.6</v>
      </c>
      <c r="H11" s="2121">
        <v>2172.8000000000002</v>
      </c>
      <c r="I11" s="2121">
        <v>3499.1</v>
      </c>
      <c r="J11" s="2121">
        <v>7592.4</v>
      </c>
      <c r="K11" s="2121">
        <v>35460.300000000003</v>
      </c>
      <c r="L11" s="2122">
        <f>J11+K11</f>
        <v>43052.700000000004</v>
      </c>
      <c r="M11" s="2122">
        <f>I11+L11</f>
        <v>46551.8</v>
      </c>
      <c r="N11" s="2121" t="s">
        <v>288</v>
      </c>
      <c r="O11" s="2121">
        <f t="shared" si="4"/>
        <v>15167</v>
      </c>
      <c r="P11" s="2123">
        <f t="shared" si="5"/>
        <v>50627.3</v>
      </c>
      <c r="Q11" s="2121">
        <v>1515.7</v>
      </c>
      <c r="R11" s="2121">
        <f t="shared" si="6"/>
        <v>52143</v>
      </c>
      <c r="S11" s="2121">
        <v>0</v>
      </c>
      <c r="T11" s="2121">
        <v>4403.3999999999996</v>
      </c>
      <c r="U11" s="1994"/>
      <c r="V11" s="1994"/>
      <c r="W11" s="1994"/>
      <c r="X11" s="1994"/>
      <c r="Y11" s="1994"/>
      <c r="Z11" s="1994"/>
      <c r="AA11" s="1994"/>
      <c r="AB11" s="1994"/>
      <c r="AC11" s="1994"/>
      <c r="AD11" s="1994"/>
      <c r="AE11" s="1995"/>
      <c r="AF11" s="1995"/>
      <c r="AG11" s="1995"/>
      <c r="AH11" s="1995"/>
      <c r="AI11" s="1994"/>
      <c r="AJ11" s="1994"/>
      <c r="AK11" s="1994"/>
      <c r="AL11" s="1994"/>
      <c r="AM11" s="1994"/>
      <c r="AN11" s="1994"/>
      <c r="AO11" s="1994"/>
      <c r="AP11" s="1994"/>
      <c r="AQ11" s="1994"/>
      <c r="AR11" s="1994"/>
      <c r="AS11" s="1994"/>
      <c r="AT11" s="1994"/>
      <c r="AU11" s="1994"/>
      <c r="AV11" s="1994"/>
      <c r="AW11" s="1994"/>
      <c r="AX11" s="1994"/>
      <c r="AY11" s="1994"/>
      <c r="AZ11" s="1996"/>
      <c r="BA11" s="1996"/>
      <c r="BB11" s="1996"/>
      <c r="BC11" s="1996"/>
      <c r="BD11" s="1996"/>
      <c r="BE11" s="1996"/>
      <c r="BF11" s="1996"/>
      <c r="BG11" s="1997"/>
      <c r="BH11" s="1998"/>
      <c r="BI11" s="1998"/>
      <c r="BJ11" s="1996"/>
      <c r="BK11" s="1996"/>
      <c r="BL11" s="1999"/>
      <c r="BM11" s="1999"/>
      <c r="BN11" s="1996"/>
      <c r="BO11" s="1996"/>
      <c r="BP11" s="1999"/>
      <c r="BQ11" s="2001"/>
    </row>
    <row r="12" spans="1:69" s="236" customFormat="1" ht="10.5" customHeight="1" x14ac:dyDescent="0.2">
      <c r="A12" s="1993" t="s">
        <v>539</v>
      </c>
      <c r="B12" s="527"/>
      <c r="C12" s="2121">
        <v>8852.2000000000007</v>
      </c>
      <c r="D12" s="2121">
        <v>224.4</v>
      </c>
      <c r="E12" s="2121">
        <f t="shared" si="1"/>
        <v>9076.6</v>
      </c>
      <c r="F12" s="2121">
        <v>923.3</v>
      </c>
      <c r="G12" s="2121">
        <f t="shared" si="2"/>
        <v>8153.3</v>
      </c>
      <c r="H12" s="2121">
        <v>1800</v>
      </c>
      <c r="I12" s="2121">
        <v>4172.6000000000004</v>
      </c>
      <c r="J12" s="2121">
        <v>7735.2</v>
      </c>
      <c r="K12" s="2121">
        <v>39980.5</v>
      </c>
      <c r="L12" s="2122">
        <f t="shared" si="3"/>
        <v>47715.7</v>
      </c>
      <c r="M12" s="2122">
        <f t="shared" si="7"/>
        <v>51888.299999999996</v>
      </c>
      <c r="N12" s="2121" t="s">
        <v>288</v>
      </c>
      <c r="O12" s="2121">
        <f t="shared" si="4"/>
        <v>15888.5</v>
      </c>
      <c r="P12" s="2121">
        <f t="shared" si="5"/>
        <v>55869</v>
      </c>
      <c r="Q12" s="2121">
        <v>1264.3</v>
      </c>
      <c r="R12" s="2121">
        <f t="shared" si="6"/>
        <v>57133.3</v>
      </c>
      <c r="S12" s="2121">
        <v>0</v>
      </c>
      <c r="T12" s="2121">
        <v>4780.3999999999996</v>
      </c>
      <c r="U12" s="1994"/>
      <c r="V12" s="1994"/>
      <c r="W12" s="1994"/>
      <c r="X12" s="1994"/>
      <c r="Y12" s="1994"/>
      <c r="Z12" s="1994"/>
      <c r="AA12" s="1994"/>
      <c r="AB12" s="1994"/>
      <c r="AC12" s="1994"/>
      <c r="AD12" s="1994"/>
      <c r="AE12" s="1995"/>
      <c r="AF12" s="1995"/>
      <c r="AG12" s="1995"/>
      <c r="AH12" s="1995"/>
      <c r="AI12" s="1994"/>
      <c r="AJ12" s="1994"/>
      <c r="AK12" s="1994"/>
      <c r="AL12" s="1994"/>
      <c r="AM12" s="1994"/>
      <c r="AN12" s="1994"/>
      <c r="AO12" s="1994"/>
      <c r="AP12" s="1994"/>
      <c r="AQ12" s="1994"/>
      <c r="AR12" s="1994"/>
      <c r="AS12" s="1994"/>
      <c r="AT12" s="1994"/>
      <c r="AU12" s="1994"/>
      <c r="AV12" s="1994"/>
      <c r="AW12" s="1994"/>
      <c r="AX12" s="1994"/>
      <c r="AY12" s="1994"/>
      <c r="AZ12" s="1996"/>
      <c r="BA12" s="1996"/>
      <c r="BB12" s="1996"/>
      <c r="BC12" s="1996"/>
      <c r="BD12" s="1996"/>
      <c r="BE12" s="1996"/>
      <c r="BF12" s="1996"/>
      <c r="BG12" s="1997"/>
      <c r="BH12" s="1998"/>
      <c r="BI12" s="1998"/>
      <c r="BJ12" s="1996"/>
      <c r="BK12" s="1996"/>
      <c r="BL12" s="1999"/>
      <c r="BM12" s="1999"/>
      <c r="BN12" s="1996"/>
      <c r="BO12" s="1996"/>
      <c r="BP12" s="1999"/>
      <c r="BQ12" s="2001"/>
    </row>
    <row r="13" spans="1:69" s="236" customFormat="1" ht="10.5" customHeight="1" x14ac:dyDescent="0.2">
      <c r="A13" s="1993" t="s">
        <v>540</v>
      </c>
      <c r="B13" s="491"/>
      <c r="C13" s="2121">
        <v>9478.6</v>
      </c>
      <c r="D13" s="2121">
        <v>234.9</v>
      </c>
      <c r="E13" s="2121">
        <f t="shared" si="1"/>
        <v>9713.5</v>
      </c>
      <c r="F13" s="2121">
        <v>1026.9000000000001</v>
      </c>
      <c r="G13" s="2121">
        <f t="shared" si="2"/>
        <v>8686.6</v>
      </c>
      <c r="H13" s="2121">
        <v>2636.1</v>
      </c>
      <c r="I13" s="2121">
        <v>4891.6000000000004</v>
      </c>
      <c r="J13" s="2121">
        <v>8562.7999999999993</v>
      </c>
      <c r="K13" s="2121">
        <v>45777.3</v>
      </c>
      <c r="L13" s="2122">
        <f t="shared" si="3"/>
        <v>54340.100000000006</v>
      </c>
      <c r="M13" s="2122">
        <f t="shared" si="7"/>
        <v>59231.700000000004</v>
      </c>
      <c r="N13" s="2121" t="s">
        <v>288</v>
      </c>
      <c r="O13" s="2121">
        <f t="shared" si="4"/>
        <v>17249.400000000001</v>
      </c>
      <c r="P13" s="2121">
        <f t="shared" si="5"/>
        <v>63026.700000000004</v>
      </c>
      <c r="Q13" s="2121">
        <v>1057.0999999999999</v>
      </c>
      <c r="R13" s="2121">
        <f t="shared" si="6"/>
        <v>64083.8</v>
      </c>
      <c r="S13" s="2121">
        <v>22.5</v>
      </c>
      <c r="T13" s="2121">
        <v>5008.1000000000004</v>
      </c>
      <c r="U13" s="1994"/>
      <c r="V13" s="1994"/>
      <c r="W13" s="1994"/>
      <c r="X13" s="1994"/>
      <c r="Y13" s="1994"/>
      <c r="Z13" s="1994"/>
      <c r="AA13" s="1994"/>
      <c r="AB13" s="1994"/>
      <c r="AC13" s="1994"/>
      <c r="AD13" s="1994"/>
      <c r="AE13" s="1995"/>
      <c r="AF13" s="1995"/>
      <c r="AG13" s="1995"/>
      <c r="AH13" s="1995"/>
      <c r="AI13" s="1994"/>
      <c r="AJ13" s="1994"/>
      <c r="AK13" s="1994"/>
      <c r="AL13" s="1994"/>
      <c r="AM13" s="1994"/>
      <c r="AN13" s="1994"/>
      <c r="AO13" s="1994"/>
      <c r="AP13" s="1994"/>
      <c r="AQ13" s="1994"/>
      <c r="AR13" s="1994"/>
      <c r="AS13" s="1994"/>
      <c r="AT13" s="1994"/>
      <c r="AU13" s="1994"/>
      <c r="AV13" s="1994"/>
      <c r="AW13" s="1994"/>
      <c r="AX13" s="1994"/>
      <c r="AY13" s="1994"/>
      <c r="AZ13" s="1996"/>
      <c r="BA13" s="1996"/>
      <c r="BB13" s="1996"/>
      <c r="BC13" s="1996"/>
      <c r="BD13" s="1996"/>
      <c r="BE13" s="1996"/>
      <c r="BF13" s="1996"/>
      <c r="BG13" s="1997"/>
      <c r="BH13" s="1998"/>
      <c r="BI13" s="1998"/>
      <c r="BJ13" s="1996"/>
      <c r="BK13" s="1996"/>
      <c r="BL13" s="1999"/>
      <c r="BM13" s="1999"/>
      <c r="BN13" s="1996"/>
      <c r="BO13" s="1996"/>
      <c r="BP13" s="1999"/>
      <c r="BQ13" s="2001"/>
    </row>
    <row r="14" spans="1:69" s="236" customFormat="1" ht="10.5" customHeight="1" x14ac:dyDescent="0.2">
      <c r="A14" s="1993" t="s">
        <v>541</v>
      </c>
      <c r="B14" s="304"/>
      <c r="C14" s="2121">
        <v>11034.6</v>
      </c>
      <c r="D14" s="2121">
        <v>229.8</v>
      </c>
      <c r="E14" s="2121">
        <f t="shared" si="1"/>
        <v>11264.4</v>
      </c>
      <c r="F14" s="2121">
        <v>1088.4000000000001</v>
      </c>
      <c r="G14" s="2121">
        <f t="shared" si="2"/>
        <v>10176</v>
      </c>
      <c r="H14" s="2121">
        <v>3880.7</v>
      </c>
      <c r="I14" s="2121">
        <v>5615.2</v>
      </c>
      <c r="J14" s="2121">
        <v>9705.2999999999993</v>
      </c>
      <c r="K14" s="2121">
        <v>54881.1</v>
      </c>
      <c r="L14" s="2122">
        <f t="shared" si="3"/>
        <v>64586.399999999994</v>
      </c>
      <c r="M14" s="2122">
        <f t="shared" si="7"/>
        <v>70201.599999999991</v>
      </c>
      <c r="N14" s="2121" t="s">
        <v>288</v>
      </c>
      <c r="O14" s="2121">
        <f t="shared" si="4"/>
        <v>19881.3</v>
      </c>
      <c r="P14" s="2121">
        <f t="shared" si="5"/>
        <v>74762.399999999994</v>
      </c>
      <c r="Q14" s="2121">
        <v>967</v>
      </c>
      <c r="R14" s="2121">
        <f t="shared" si="6"/>
        <v>75729.399999999994</v>
      </c>
      <c r="S14" s="2121">
        <v>7</v>
      </c>
      <c r="T14" s="2121">
        <v>5093.1000000000004</v>
      </c>
      <c r="U14" s="1994"/>
      <c r="V14" s="1994"/>
      <c r="W14" s="1994"/>
      <c r="X14" s="1994"/>
      <c r="Y14" s="1994"/>
      <c r="Z14" s="1994"/>
      <c r="AA14" s="1994"/>
      <c r="AB14" s="1994"/>
      <c r="AC14" s="1994"/>
      <c r="AD14" s="1994"/>
      <c r="AE14" s="1995"/>
      <c r="AF14" s="1995"/>
      <c r="AG14" s="1995"/>
      <c r="AH14" s="1995"/>
      <c r="AI14" s="1994"/>
      <c r="AJ14" s="1994"/>
      <c r="AK14" s="1994"/>
      <c r="AL14" s="1994"/>
      <c r="AM14" s="1994"/>
      <c r="AN14" s="1994"/>
      <c r="AO14" s="1994"/>
      <c r="AP14" s="1994"/>
      <c r="AQ14" s="1994"/>
      <c r="AR14" s="1994"/>
      <c r="AS14" s="1994"/>
      <c r="AT14" s="1994"/>
      <c r="AU14" s="1994"/>
      <c r="AV14" s="1994"/>
      <c r="AW14" s="1994"/>
      <c r="AX14" s="1994"/>
      <c r="AY14" s="1994"/>
      <c r="AZ14" s="1996"/>
      <c r="BA14" s="1996"/>
      <c r="BB14" s="1996"/>
      <c r="BC14" s="1996"/>
      <c r="BD14" s="1996"/>
      <c r="BE14" s="1996"/>
      <c r="BF14" s="1996"/>
      <c r="BG14" s="1997"/>
      <c r="BH14" s="1998"/>
      <c r="BI14" s="1998"/>
      <c r="BJ14" s="1996"/>
      <c r="BK14" s="1996"/>
      <c r="BL14" s="1999"/>
      <c r="BM14" s="1999"/>
      <c r="BN14" s="1996"/>
      <c r="BO14" s="1996"/>
      <c r="BP14" s="1999"/>
      <c r="BQ14" s="2001"/>
    </row>
    <row r="15" spans="1:69" ht="10.5" customHeight="1" x14ac:dyDescent="0.2">
      <c r="A15" s="1993" t="s">
        <v>542</v>
      </c>
      <c r="B15" s="153"/>
      <c r="C15" s="2121">
        <v>12547</v>
      </c>
      <c r="D15" s="2121">
        <v>285.8</v>
      </c>
      <c r="E15" s="2121">
        <f>C15+D15</f>
        <v>12832.8</v>
      </c>
      <c r="F15" s="2121">
        <v>1354.5</v>
      </c>
      <c r="G15" s="2121">
        <f>E15-F15</f>
        <v>11478.3</v>
      </c>
      <c r="H15" s="2121" t="s">
        <v>3115</v>
      </c>
      <c r="I15" s="2121" t="s">
        <v>3116</v>
      </c>
      <c r="J15" s="2121">
        <v>10869.1</v>
      </c>
      <c r="K15" s="2121" t="s">
        <v>3117</v>
      </c>
      <c r="L15" s="2122">
        <v>75695.899999999994</v>
      </c>
      <c r="M15" s="2122">
        <v>81604.399999999994</v>
      </c>
      <c r="N15" s="2121" t="s">
        <v>288</v>
      </c>
      <c r="O15" s="2121">
        <v>22347.4</v>
      </c>
      <c r="P15" s="2121">
        <v>87174.1</v>
      </c>
      <c r="Q15" s="2121" t="s">
        <v>3118</v>
      </c>
      <c r="R15" s="2121">
        <v>88213.3</v>
      </c>
      <c r="S15" s="2121">
        <v>0</v>
      </c>
      <c r="T15" s="2121">
        <v>5537.1</v>
      </c>
      <c r="U15" s="1994"/>
      <c r="V15" s="1994"/>
      <c r="W15" s="1994"/>
      <c r="X15" s="1994"/>
      <c r="Y15" s="1994"/>
      <c r="Z15" s="1994"/>
      <c r="AA15" s="1994"/>
      <c r="AB15" s="1994"/>
      <c r="AC15" s="1994"/>
      <c r="AD15" s="1994"/>
      <c r="AE15" s="1995"/>
      <c r="AF15" s="1995"/>
      <c r="AG15" s="1995"/>
      <c r="AH15" s="1995"/>
      <c r="AI15" s="1994"/>
      <c r="AJ15" s="1994"/>
      <c r="AK15" s="1994"/>
      <c r="AL15" s="1994"/>
      <c r="AM15" s="1994"/>
      <c r="AN15" s="1994"/>
      <c r="AO15" s="1994"/>
      <c r="AP15" s="1994"/>
      <c r="AQ15" s="1994"/>
      <c r="AR15" s="1994"/>
      <c r="AS15" s="1994"/>
      <c r="AT15" s="1994"/>
      <c r="AU15" s="1994"/>
      <c r="AV15" s="1994"/>
      <c r="AW15" s="1994"/>
      <c r="AX15" s="1994"/>
      <c r="AY15" s="1994"/>
      <c r="AZ15" s="1996"/>
      <c r="BA15" s="1996"/>
      <c r="BB15" s="1996"/>
      <c r="BC15" s="1996"/>
      <c r="BD15" s="1996"/>
      <c r="BE15" s="2002"/>
      <c r="BF15" s="1996"/>
      <c r="BG15" s="1997"/>
      <c r="BH15" s="1998"/>
      <c r="BI15" s="1998"/>
      <c r="BJ15" s="1996"/>
      <c r="BK15" s="1996"/>
      <c r="BL15" s="1999"/>
      <c r="BM15" s="1999"/>
      <c r="BN15" s="1996"/>
      <c r="BO15" s="1996"/>
      <c r="BP15" s="1999"/>
      <c r="BQ15" s="2001"/>
    </row>
    <row r="16" spans="1:69" s="153" customFormat="1" ht="10.5" customHeight="1" x14ac:dyDescent="0.2">
      <c r="A16" s="1993" t="s">
        <v>543</v>
      </c>
      <c r="B16" s="304"/>
      <c r="C16" s="2121">
        <v>13581.6</v>
      </c>
      <c r="D16" s="2121">
        <v>298.60000000000002</v>
      </c>
      <c r="E16" s="2121">
        <f t="shared" si="1"/>
        <v>13880.2</v>
      </c>
      <c r="F16" s="2121">
        <v>1348.8</v>
      </c>
      <c r="G16" s="2121">
        <f t="shared" si="2"/>
        <v>12531.400000000001</v>
      </c>
      <c r="H16" s="2121">
        <v>5576</v>
      </c>
      <c r="I16" s="2121">
        <v>5931</v>
      </c>
      <c r="J16" s="2121">
        <v>11620.4</v>
      </c>
      <c r="K16" s="2121">
        <v>74454.899999999994</v>
      </c>
      <c r="L16" s="2122">
        <f t="shared" si="3"/>
        <v>86075.299999999988</v>
      </c>
      <c r="M16" s="2122">
        <f t="shared" si="7"/>
        <v>92006.299999999988</v>
      </c>
      <c r="N16" s="2121">
        <v>9.3000000000000007</v>
      </c>
      <c r="O16" s="2121">
        <f t="shared" ref="O16:O22" si="8">G16+J16+N16</f>
        <v>24161.100000000002</v>
      </c>
      <c r="P16" s="2121">
        <f t="shared" si="5"/>
        <v>98616</v>
      </c>
      <c r="Q16" s="2121">
        <v>1385.4</v>
      </c>
      <c r="R16" s="2121">
        <f t="shared" si="6"/>
        <v>100001.4</v>
      </c>
      <c r="S16" s="2121">
        <v>0</v>
      </c>
      <c r="T16" s="2121">
        <v>5696</v>
      </c>
      <c r="U16" s="1994"/>
      <c r="V16" s="1994"/>
      <c r="W16" s="1994"/>
      <c r="X16" s="1994"/>
      <c r="Y16" s="1994"/>
      <c r="Z16" s="1994"/>
      <c r="AA16" s="1994"/>
      <c r="AB16" s="1994"/>
      <c r="AC16" s="1994"/>
      <c r="AD16" s="1994"/>
      <c r="AE16" s="1995"/>
      <c r="AF16" s="1995"/>
      <c r="AG16" s="1995"/>
      <c r="AH16" s="1995"/>
      <c r="AI16" s="1994"/>
      <c r="AJ16" s="1994"/>
      <c r="AK16" s="1994"/>
      <c r="AL16" s="1994"/>
      <c r="AM16" s="1994"/>
      <c r="AN16" s="1994"/>
      <c r="AO16" s="1994"/>
      <c r="AP16" s="1994"/>
      <c r="AQ16" s="1994"/>
      <c r="AR16" s="1994"/>
      <c r="AS16" s="1994"/>
      <c r="AT16" s="1994"/>
      <c r="AU16" s="1994"/>
      <c r="AV16" s="1994"/>
      <c r="AW16" s="1994"/>
      <c r="AX16" s="1994"/>
      <c r="AY16" s="1994"/>
      <c r="AZ16" s="1996"/>
      <c r="BA16" s="1996"/>
      <c r="BB16" s="1996"/>
      <c r="BC16" s="1996"/>
      <c r="BD16" s="1996"/>
      <c r="BE16" s="1996"/>
      <c r="BF16" s="1996"/>
      <c r="BG16" s="1997"/>
      <c r="BH16" s="1998"/>
      <c r="BI16" s="1998"/>
      <c r="BJ16" s="1996"/>
      <c r="BK16" s="1996"/>
      <c r="BL16" s="1999"/>
      <c r="BM16" s="1999"/>
      <c r="BN16" s="1996"/>
      <c r="BO16" s="1996"/>
      <c r="BP16" s="1999"/>
      <c r="BQ16" s="2001"/>
    </row>
    <row r="17" spans="1:69" s="153" customFormat="1" ht="10.5" customHeight="1" x14ac:dyDescent="0.2">
      <c r="A17" s="1993" t="s">
        <v>544</v>
      </c>
      <c r="B17" s="1989"/>
      <c r="C17" s="2121">
        <v>15024.4</v>
      </c>
      <c r="D17" s="2121">
        <v>317.7</v>
      </c>
      <c r="E17" s="2121">
        <f t="shared" si="1"/>
        <v>15342.1</v>
      </c>
      <c r="F17" s="2121">
        <v>1440.5</v>
      </c>
      <c r="G17" s="2121">
        <f t="shared" si="2"/>
        <v>13901.6</v>
      </c>
      <c r="H17" s="2121">
        <v>4741.8999999999996</v>
      </c>
      <c r="I17" s="2121">
        <v>6494.8</v>
      </c>
      <c r="J17" s="2121">
        <v>12827.9</v>
      </c>
      <c r="K17" s="2121">
        <v>87251.1</v>
      </c>
      <c r="L17" s="2122">
        <f t="shared" si="3"/>
        <v>100079</v>
      </c>
      <c r="M17" s="2122">
        <f t="shared" si="7"/>
        <v>106573.8</v>
      </c>
      <c r="N17" s="2121">
        <v>13.7</v>
      </c>
      <c r="O17" s="2123">
        <f t="shared" si="8"/>
        <v>26743.200000000001</v>
      </c>
      <c r="P17" s="2123">
        <f t="shared" si="5"/>
        <v>113994.3</v>
      </c>
      <c r="Q17" s="2121">
        <v>2208</v>
      </c>
      <c r="R17" s="2121">
        <f t="shared" si="6"/>
        <v>116202.3</v>
      </c>
      <c r="S17" s="2121">
        <v>0</v>
      </c>
      <c r="T17" s="2121">
        <v>5720.7</v>
      </c>
      <c r="U17" s="1994"/>
      <c r="V17" s="1994"/>
      <c r="W17" s="1994"/>
      <c r="X17" s="1994"/>
      <c r="Y17" s="1994"/>
      <c r="Z17" s="1994"/>
      <c r="AA17" s="1994"/>
      <c r="AB17" s="1994"/>
      <c r="AC17" s="1994"/>
      <c r="AD17" s="1994"/>
      <c r="AE17" s="1995"/>
      <c r="AF17" s="1995"/>
      <c r="AG17" s="1995"/>
      <c r="AH17" s="1995"/>
      <c r="AI17" s="1994"/>
      <c r="AJ17" s="1994"/>
      <c r="AK17" s="1994"/>
      <c r="AL17" s="1994"/>
      <c r="AM17" s="1994"/>
      <c r="AN17" s="1994"/>
      <c r="AO17" s="1994"/>
      <c r="AP17" s="1994"/>
      <c r="AQ17" s="1994"/>
      <c r="AR17" s="1994"/>
      <c r="AS17" s="1994"/>
      <c r="AT17" s="1994"/>
      <c r="AU17" s="1994"/>
      <c r="AV17" s="1994"/>
      <c r="AW17" s="1994"/>
      <c r="AX17" s="1994"/>
      <c r="AY17" s="1994"/>
      <c r="AZ17" s="1996"/>
      <c r="BA17" s="1996"/>
      <c r="BB17" s="1996"/>
      <c r="BC17" s="1996"/>
      <c r="BD17" s="1996"/>
      <c r="BE17" s="2003"/>
      <c r="BF17" s="1996"/>
      <c r="BG17" s="1997"/>
      <c r="BH17" s="1998"/>
      <c r="BI17" s="1998"/>
      <c r="BJ17" s="1996"/>
      <c r="BK17" s="1996"/>
      <c r="BL17" s="1999"/>
      <c r="BM17" s="1999"/>
      <c r="BN17" s="1996"/>
      <c r="BO17" s="1996"/>
      <c r="BP17" s="1999"/>
      <c r="BQ17" s="2001"/>
    </row>
    <row r="18" spans="1:69" s="153" customFormat="1" ht="10.5" customHeight="1" x14ac:dyDescent="0.2">
      <c r="A18" s="1993" t="s">
        <v>545</v>
      </c>
      <c r="B18" s="304"/>
      <c r="C18" s="2121">
        <v>16942.2</v>
      </c>
      <c r="D18" s="2121">
        <v>345.2</v>
      </c>
      <c r="E18" s="2121">
        <f t="shared" si="1"/>
        <v>17287.400000000001</v>
      </c>
      <c r="F18" s="2121">
        <v>1476.4</v>
      </c>
      <c r="G18" s="2121">
        <f t="shared" si="2"/>
        <v>15811.000000000002</v>
      </c>
      <c r="H18" s="2121">
        <v>4387</v>
      </c>
      <c r="I18" s="2121">
        <v>7400.6</v>
      </c>
      <c r="J18" s="2121">
        <v>14612.6</v>
      </c>
      <c r="K18" s="2121">
        <v>99273.7</v>
      </c>
      <c r="L18" s="2122">
        <f t="shared" si="3"/>
        <v>113886.3</v>
      </c>
      <c r="M18" s="2122">
        <f t="shared" si="7"/>
        <v>121286.90000000001</v>
      </c>
      <c r="N18" s="2121">
        <v>24.4</v>
      </c>
      <c r="O18" s="2121">
        <f t="shared" si="8"/>
        <v>30448.000000000004</v>
      </c>
      <c r="P18" s="2121">
        <f t="shared" si="5"/>
        <v>129721.7</v>
      </c>
      <c r="Q18" s="2121">
        <v>3399.5</v>
      </c>
      <c r="R18" s="2121">
        <f t="shared" si="6"/>
        <v>133121.20000000001</v>
      </c>
      <c r="S18" s="2121">
        <v>2.1</v>
      </c>
      <c r="T18" s="2121">
        <v>6230.2</v>
      </c>
      <c r="U18" s="1994"/>
      <c r="V18" s="1994"/>
      <c r="W18" s="1994"/>
      <c r="X18" s="1994"/>
      <c r="Y18" s="1994"/>
      <c r="Z18" s="1994"/>
      <c r="AA18" s="1994"/>
      <c r="AB18" s="1994"/>
      <c r="AC18" s="1994"/>
      <c r="AD18" s="1994"/>
      <c r="AE18" s="1995"/>
      <c r="AF18" s="1995"/>
      <c r="AG18" s="1995"/>
      <c r="AH18" s="1995"/>
      <c r="AI18" s="1994"/>
      <c r="AJ18" s="1994"/>
      <c r="AK18" s="1994"/>
      <c r="AL18" s="1994"/>
      <c r="AM18" s="1994"/>
      <c r="AN18" s="1994"/>
      <c r="AO18" s="1994"/>
      <c r="AP18" s="1994"/>
      <c r="AQ18" s="1994"/>
      <c r="AR18" s="1994"/>
      <c r="AS18" s="1994"/>
      <c r="AT18" s="1994"/>
      <c r="AU18" s="1994"/>
      <c r="AV18" s="1994"/>
      <c r="AW18" s="1994"/>
      <c r="AX18" s="1994"/>
      <c r="AY18" s="1994"/>
      <c r="AZ18" s="1996"/>
      <c r="BA18" s="1996"/>
      <c r="BB18" s="1996"/>
      <c r="BC18" s="1996"/>
      <c r="BD18" s="1996"/>
      <c r="BE18" s="1996"/>
      <c r="BF18" s="1996"/>
      <c r="BG18" s="1997"/>
      <c r="BH18" s="1998"/>
      <c r="BI18" s="1999"/>
      <c r="BJ18" s="1996"/>
      <c r="BK18" s="1996"/>
      <c r="BL18" s="1999"/>
      <c r="BM18" s="1999"/>
      <c r="BN18" s="1996"/>
      <c r="BO18" s="1996"/>
      <c r="BP18" s="1999"/>
      <c r="BQ18" s="2001"/>
    </row>
    <row r="19" spans="1:69" s="153" customFormat="1" ht="10.5" customHeight="1" x14ac:dyDescent="0.2">
      <c r="A19" s="1993" t="s">
        <v>546</v>
      </c>
      <c r="B19" s="1989"/>
      <c r="C19" s="2121">
        <v>19965.900000000001</v>
      </c>
      <c r="D19" s="2121">
        <v>362</v>
      </c>
      <c r="E19" s="2121">
        <f t="shared" si="1"/>
        <v>20327.900000000001</v>
      </c>
      <c r="F19" s="2121">
        <v>1809.8</v>
      </c>
      <c r="G19" s="2121">
        <f t="shared" si="2"/>
        <v>18518.100000000002</v>
      </c>
      <c r="H19" s="2121">
        <v>4329.8</v>
      </c>
      <c r="I19" s="2121">
        <v>9693.2999999999993</v>
      </c>
      <c r="J19" s="2121">
        <v>16849.900000000001</v>
      </c>
      <c r="K19" s="2121">
        <v>116042.3</v>
      </c>
      <c r="L19" s="2122">
        <f>J19+K19</f>
        <v>132892.20000000001</v>
      </c>
      <c r="M19" s="2122">
        <f t="shared" si="7"/>
        <v>142585.5</v>
      </c>
      <c r="N19" s="2121">
        <v>36.1</v>
      </c>
      <c r="O19" s="2121">
        <f t="shared" si="8"/>
        <v>35404.1</v>
      </c>
      <c r="P19" s="2121">
        <f t="shared" si="5"/>
        <v>151446.39999999999</v>
      </c>
      <c r="Q19" s="2121">
        <v>4660.2</v>
      </c>
      <c r="R19" s="2121">
        <f t="shared" si="6"/>
        <v>156106.6</v>
      </c>
      <c r="S19" s="2121">
        <v>0</v>
      </c>
      <c r="T19" s="2121">
        <v>6740.2</v>
      </c>
      <c r="U19" s="1994"/>
      <c r="V19" s="1994"/>
      <c r="W19" s="1994"/>
      <c r="X19" s="1994"/>
      <c r="Y19" s="1994"/>
      <c r="Z19" s="1994"/>
      <c r="AA19" s="1994"/>
      <c r="AB19" s="1994"/>
      <c r="AC19" s="1994"/>
      <c r="AD19" s="1994"/>
      <c r="AE19" s="1995"/>
      <c r="AF19" s="1995"/>
      <c r="AG19" s="1995"/>
      <c r="AH19" s="1995"/>
      <c r="AI19" s="1994"/>
      <c r="AJ19" s="1994"/>
      <c r="AK19" s="1994"/>
      <c r="AL19" s="1994"/>
      <c r="AM19" s="1994"/>
      <c r="AN19" s="1994"/>
      <c r="AO19" s="1994"/>
      <c r="AP19" s="1994"/>
      <c r="AQ19" s="1994"/>
      <c r="AR19" s="1994"/>
      <c r="AS19" s="1994"/>
      <c r="AT19" s="1994"/>
      <c r="AU19" s="1994"/>
      <c r="AV19" s="1994"/>
      <c r="AW19" s="1994"/>
      <c r="AX19" s="1994"/>
      <c r="AY19" s="1994"/>
      <c r="AZ19" s="1996"/>
      <c r="BA19" s="1996"/>
      <c r="BB19" s="1996"/>
      <c r="BC19" s="1996"/>
      <c r="BD19" s="1996"/>
      <c r="BE19" s="1996"/>
      <c r="BF19" s="1996"/>
      <c r="BG19" s="1997"/>
      <c r="BH19" s="1998"/>
      <c r="BI19" s="1999"/>
      <c r="BJ19" s="1996"/>
      <c r="BK19" s="1996"/>
      <c r="BL19" s="1999"/>
      <c r="BM19" s="1999"/>
      <c r="BN19" s="1996"/>
      <c r="BO19" s="1996"/>
      <c r="BP19" s="1999"/>
      <c r="BQ19" s="2001"/>
    </row>
    <row r="20" spans="1:69" s="153" customFormat="1" ht="10.5" customHeight="1" x14ac:dyDescent="0.2">
      <c r="A20" s="1993" t="s">
        <v>551</v>
      </c>
      <c r="B20" s="372"/>
      <c r="C20" s="2121">
        <v>24496.3</v>
      </c>
      <c r="D20" s="2121">
        <v>397.8</v>
      </c>
      <c r="E20" s="2121">
        <f t="shared" si="1"/>
        <v>24894.1</v>
      </c>
      <c r="F20" s="2121">
        <v>2032</v>
      </c>
      <c r="G20" s="2121">
        <f t="shared" si="2"/>
        <v>22862.1</v>
      </c>
      <c r="H20" s="2121">
        <v>3438.5</v>
      </c>
      <c r="I20" s="2121">
        <v>11227.8</v>
      </c>
      <c r="J20" s="2121">
        <v>19739.599999999999</v>
      </c>
      <c r="K20" s="2121">
        <v>138021.9</v>
      </c>
      <c r="L20" s="2122">
        <f t="shared" si="3"/>
        <v>157761.5</v>
      </c>
      <c r="M20" s="2122">
        <f t="shared" si="7"/>
        <v>168989.3</v>
      </c>
      <c r="N20" s="2121">
        <v>50.6</v>
      </c>
      <c r="O20" s="2121">
        <f t="shared" si="8"/>
        <v>42652.299999999996</v>
      </c>
      <c r="P20" s="2121">
        <f t="shared" si="5"/>
        <v>180674.19999999998</v>
      </c>
      <c r="Q20" s="2121">
        <v>5027.7</v>
      </c>
      <c r="R20" s="2121">
        <f t="shared" si="6"/>
        <v>185701.9</v>
      </c>
      <c r="S20" s="2121">
        <v>0</v>
      </c>
      <c r="T20" s="2121">
        <v>7606.1</v>
      </c>
      <c r="U20" s="1994"/>
      <c r="V20" s="1994"/>
      <c r="W20" s="1994"/>
      <c r="X20" s="1994"/>
      <c r="Y20" s="1994"/>
      <c r="Z20" s="1994"/>
      <c r="AA20" s="1994"/>
      <c r="AB20" s="1994"/>
      <c r="AC20" s="1994"/>
      <c r="AD20" s="1994"/>
      <c r="AE20" s="1995"/>
      <c r="AF20" s="1995"/>
      <c r="AG20" s="1995"/>
      <c r="AH20" s="1995"/>
      <c r="AI20" s="1994"/>
      <c r="AJ20" s="1994"/>
      <c r="AK20" s="1994"/>
      <c r="AL20" s="1994"/>
      <c r="AM20" s="1994"/>
      <c r="AN20" s="1994"/>
      <c r="AO20" s="1994"/>
      <c r="AP20" s="1994"/>
      <c r="AQ20" s="1994"/>
      <c r="AR20" s="1994"/>
      <c r="AS20" s="1994"/>
      <c r="AT20" s="1994"/>
      <c r="AU20" s="1994"/>
      <c r="AV20" s="1994"/>
      <c r="AW20" s="1994"/>
      <c r="AX20" s="1994"/>
      <c r="AY20" s="1994"/>
      <c r="AZ20" s="1996"/>
      <c r="BA20" s="1996"/>
      <c r="BB20" s="1996"/>
      <c r="BC20" s="1996"/>
      <c r="BD20" s="1996"/>
      <c r="BE20" s="1996"/>
      <c r="BF20" s="1996"/>
      <c r="BG20" s="1997"/>
      <c r="BH20" s="1998"/>
      <c r="BI20" s="1999"/>
      <c r="BJ20" s="1996"/>
      <c r="BK20" s="1996"/>
      <c r="BL20" s="1999"/>
      <c r="BM20" s="1999"/>
      <c r="BN20" s="1996"/>
      <c r="BO20" s="1996"/>
      <c r="BP20" s="1999"/>
      <c r="BQ20" s="2001"/>
    </row>
    <row r="21" spans="1:69" s="153" customFormat="1" ht="10.5" customHeight="1" x14ac:dyDescent="0.2">
      <c r="A21" s="1993" t="s">
        <v>560</v>
      </c>
      <c r="B21" s="372"/>
      <c r="C21" s="2122">
        <v>28363</v>
      </c>
      <c r="D21" s="2124">
        <v>424.4</v>
      </c>
      <c r="E21" s="2121">
        <f t="shared" si="1"/>
        <v>28787.4</v>
      </c>
      <c r="F21" s="2124">
        <v>2143.6</v>
      </c>
      <c r="G21" s="2121">
        <f t="shared" si="2"/>
        <v>26643.800000000003</v>
      </c>
      <c r="H21" s="2122">
        <v>5100</v>
      </c>
      <c r="I21" s="2124">
        <v>12157.6</v>
      </c>
      <c r="J21" s="2124">
        <v>23462.5</v>
      </c>
      <c r="K21" s="2124">
        <v>161336.20000000001</v>
      </c>
      <c r="L21" s="2124">
        <f>J21+K21</f>
        <v>184798.7</v>
      </c>
      <c r="M21" s="2124">
        <f>I21+L21</f>
        <v>196956.30000000002</v>
      </c>
      <c r="N21" s="2124">
        <v>61.7</v>
      </c>
      <c r="O21" s="2122">
        <f t="shared" si="8"/>
        <v>50168</v>
      </c>
      <c r="P21" s="2124">
        <f>K21+O21</f>
        <v>211504.2</v>
      </c>
      <c r="Q21" s="2124">
        <v>5619.3</v>
      </c>
      <c r="R21" s="2122">
        <f>P21+Q21</f>
        <v>217123.5</v>
      </c>
      <c r="S21" s="2121">
        <v>0</v>
      </c>
      <c r="T21" s="2124">
        <v>7653.6</v>
      </c>
      <c r="U21" s="2004"/>
      <c r="V21" s="2004"/>
      <c r="W21" s="1994"/>
      <c r="X21" s="2004"/>
      <c r="Y21" s="2004"/>
      <c r="Z21" s="2004"/>
      <c r="AA21" s="2004"/>
      <c r="AB21" s="2004"/>
      <c r="AC21" s="2004"/>
      <c r="AD21" s="2004"/>
      <c r="AE21" s="1995"/>
      <c r="AF21" s="2004"/>
      <c r="AG21" s="1995"/>
      <c r="AH21" s="2004"/>
      <c r="AI21" s="2004"/>
      <c r="AJ21" s="2004"/>
      <c r="AK21" s="2004"/>
      <c r="AL21" s="2004"/>
      <c r="AM21" s="2004"/>
      <c r="AN21" s="2004"/>
      <c r="AO21" s="2004"/>
      <c r="AP21" s="1995"/>
      <c r="AQ21" s="1995"/>
      <c r="AR21" s="1995"/>
      <c r="AS21" s="2004"/>
      <c r="AT21" s="1994"/>
      <c r="AU21" s="2004"/>
      <c r="AV21" s="2004"/>
      <c r="AW21" s="2004"/>
      <c r="AX21" s="2004"/>
      <c r="AY21" s="2004"/>
      <c r="AZ21" s="1996"/>
      <c r="BA21" s="2005"/>
      <c r="BB21" s="2005"/>
      <c r="BC21" s="2005"/>
      <c r="BD21" s="2005"/>
      <c r="BE21" s="2005"/>
      <c r="BF21" s="2006"/>
      <c r="BG21" s="2007"/>
      <c r="BH21" s="2008"/>
      <c r="BI21" s="2004"/>
      <c r="BJ21" s="2005"/>
      <c r="BK21" s="2005"/>
      <c r="BL21" s="2005"/>
      <c r="BM21" s="2005"/>
      <c r="BN21" s="2005"/>
      <c r="BO21" s="2005"/>
      <c r="BP21" s="2004"/>
      <c r="BQ21" s="2001"/>
    </row>
    <row r="22" spans="1:69" s="153" customFormat="1" ht="10.5" customHeight="1" x14ac:dyDescent="0.2">
      <c r="A22" s="2120" t="s">
        <v>325</v>
      </c>
      <c r="B22" s="372"/>
      <c r="C22" s="2125">
        <v>35188.300000000003</v>
      </c>
      <c r="D22" s="2126">
        <v>460.2</v>
      </c>
      <c r="E22" s="2127">
        <f t="shared" si="1"/>
        <v>35648.5</v>
      </c>
      <c r="F22" s="2126">
        <v>2958.6</v>
      </c>
      <c r="G22" s="2127">
        <f t="shared" si="2"/>
        <v>32689.9</v>
      </c>
      <c r="H22" s="2125">
        <v>5221.6000000000004</v>
      </c>
      <c r="I22" s="2126">
        <v>15680.8</v>
      </c>
      <c r="J22" s="2126">
        <v>26517.599999999999</v>
      </c>
      <c r="K22" s="2126">
        <v>189480.5</v>
      </c>
      <c r="L22" s="2126">
        <f t="shared" si="3"/>
        <v>215998.1</v>
      </c>
      <c r="M22" s="2125">
        <f t="shared" si="7"/>
        <v>231678.9</v>
      </c>
      <c r="N22" s="2126">
        <v>106.9</v>
      </c>
      <c r="O22" s="2125">
        <f t="shared" si="8"/>
        <v>59314.400000000001</v>
      </c>
      <c r="P22" s="2125">
        <f>K22+O22</f>
        <v>248794.9</v>
      </c>
      <c r="Q22" s="2126">
        <v>5031.3</v>
      </c>
      <c r="R22" s="2126">
        <v>253826.3</v>
      </c>
      <c r="S22" s="2127">
        <v>0</v>
      </c>
      <c r="T22" s="2126">
        <v>7117.1</v>
      </c>
      <c r="U22" s="894"/>
      <c r="V22" s="894"/>
      <c r="W22" s="2010"/>
      <c r="X22" s="2009"/>
      <c r="Y22" s="894"/>
      <c r="Z22" s="894"/>
      <c r="AA22" s="894"/>
      <c r="AB22" s="894"/>
      <c r="AC22" s="2009"/>
      <c r="AD22" s="894"/>
      <c r="AE22" s="2009"/>
      <c r="AF22" s="894"/>
      <c r="AG22" s="2009"/>
      <c r="AH22" s="2009"/>
      <c r="AI22" s="894"/>
      <c r="AJ22" s="894"/>
      <c r="AK22" s="894"/>
      <c r="AL22" s="894"/>
      <c r="AM22" s="894"/>
      <c r="AN22" s="894"/>
      <c r="AO22" s="894"/>
      <c r="AP22" s="2009"/>
      <c r="AQ22" s="2009"/>
      <c r="AR22" s="2009"/>
      <c r="AS22" s="894"/>
      <c r="AT22" s="2011"/>
      <c r="AU22" s="894"/>
      <c r="AV22" s="894"/>
      <c r="AW22" s="894"/>
      <c r="AX22" s="894"/>
      <c r="AY22" s="894"/>
      <c r="AZ22" s="2012"/>
      <c r="BA22" s="2013"/>
      <c r="BB22" s="2013"/>
      <c r="BC22" s="2013"/>
      <c r="BD22" s="2013"/>
      <c r="BE22" s="894"/>
      <c r="BF22" s="2014"/>
      <c r="BG22" s="2015"/>
      <c r="BH22" s="2016"/>
      <c r="BI22" s="894"/>
      <c r="BJ22" s="2013"/>
      <c r="BK22" s="2013"/>
      <c r="BL22" s="2013"/>
      <c r="BM22" s="2013"/>
      <c r="BN22" s="2013"/>
      <c r="BO22" s="2013"/>
      <c r="BP22" s="2017"/>
      <c r="BQ22" s="2018"/>
    </row>
    <row r="23" spans="1:69" s="153" customFormat="1" ht="10.5" customHeight="1" x14ac:dyDescent="0.2">
      <c r="A23" s="2120" t="s">
        <v>85</v>
      </c>
      <c r="C23" s="2125">
        <v>38970</v>
      </c>
      <c r="D23" s="2126">
        <v>478.7</v>
      </c>
      <c r="E23" s="2127">
        <v>39448.699999999997</v>
      </c>
      <c r="F23" s="2126">
        <v>3399.5</v>
      </c>
      <c r="G23" s="2127">
        <v>36049.199999999997</v>
      </c>
      <c r="H23" s="2125">
        <v>7076.3</v>
      </c>
      <c r="I23" s="2126">
        <v>18312.599999999999</v>
      </c>
      <c r="J23" s="2126">
        <v>30236.5</v>
      </c>
      <c r="K23" s="2126">
        <v>230073</v>
      </c>
      <c r="L23" s="2126">
        <v>260309.5</v>
      </c>
      <c r="M23" s="2125">
        <v>278622.09999999998</v>
      </c>
      <c r="N23" s="2126">
        <v>141.19999999999999</v>
      </c>
      <c r="O23" s="2125">
        <v>66426.899999999994</v>
      </c>
      <c r="P23" s="2125">
        <v>296499.90000000002</v>
      </c>
      <c r="Q23" s="2126">
        <v>6084.7</v>
      </c>
      <c r="R23" s="2126">
        <v>302584.60000000003</v>
      </c>
      <c r="S23" s="2127">
        <v>0</v>
      </c>
      <c r="T23" s="2126">
        <v>9644</v>
      </c>
      <c r="U23" s="894"/>
      <c r="V23" s="894"/>
      <c r="W23" s="2010"/>
      <c r="X23" s="2009"/>
      <c r="Y23" s="894"/>
      <c r="Z23" s="894"/>
      <c r="AA23" s="894"/>
      <c r="AB23" s="894"/>
      <c r="AC23" s="2009"/>
      <c r="AD23" s="894"/>
      <c r="AE23" s="2009"/>
      <c r="AF23" s="894"/>
      <c r="AG23" s="2009"/>
      <c r="AH23" s="2009"/>
      <c r="AI23" s="894"/>
      <c r="AJ23" s="894"/>
      <c r="AK23" s="894"/>
      <c r="AL23" s="894"/>
      <c r="AM23" s="894"/>
      <c r="AN23" s="894"/>
      <c r="AO23" s="894"/>
      <c r="AP23" s="2009"/>
      <c r="AQ23" s="2009"/>
      <c r="AR23" s="2009"/>
      <c r="AS23" s="894"/>
      <c r="AT23" s="2011"/>
      <c r="AU23" s="894"/>
      <c r="AV23" s="894"/>
      <c r="AW23" s="894"/>
      <c r="AX23" s="894"/>
      <c r="AY23" s="894"/>
      <c r="AZ23" s="2012"/>
      <c r="BA23" s="2013"/>
      <c r="BB23" s="2013"/>
      <c r="BC23" s="2013"/>
      <c r="BD23" s="2013"/>
      <c r="BE23" s="894"/>
      <c r="BF23" s="2014"/>
      <c r="BG23" s="2015"/>
      <c r="BH23" s="2016"/>
      <c r="BI23" s="894"/>
      <c r="BJ23" s="2013"/>
      <c r="BK23" s="2013"/>
      <c r="BL23" s="2013"/>
      <c r="BM23" s="2013"/>
      <c r="BN23" s="2013"/>
      <c r="BO23" s="2013"/>
      <c r="BP23" s="2017"/>
      <c r="BQ23" s="2018"/>
    </row>
    <row r="24" spans="1:69" s="153" customFormat="1" ht="10.5" customHeight="1" x14ac:dyDescent="0.2">
      <c r="A24" s="2120" t="s">
        <v>81</v>
      </c>
      <c r="C24" s="2125">
        <v>67049.8</v>
      </c>
      <c r="D24" s="2126">
        <v>-221.7</v>
      </c>
      <c r="E24" s="2127">
        <v>-5768.2</v>
      </c>
      <c r="F24" s="2126">
        <v>61059.900000000009</v>
      </c>
      <c r="G24" s="2127">
        <v>54225</v>
      </c>
      <c r="H24" s="2125">
        <v>175.5</v>
      </c>
      <c r="I24" s="2126">
        <v>61381.4</v>
      </c>
      <c r="J24" s="2126">
        <v>115781.9</v>
      </c>
      <c r="K24" s="2126">
        <v>12762.9</v>
      </c>
      <c r="L24" s="2126">
        <v>93.8</v>
      </c>
      <c r="M24" s="2125">
        <v>12856.699999999999</v>
      </c>
      <c r="N24" s="2126">
        <v>261852</v>
      </c>
      <c r="O24" s="2125">
        <v>23541.3</v>
      </c>
      <c r="P24" s="2125">
        <v>285393.3</v>
      </c>
      <c r="Q24" s="2126">
        <v>414031.89999999997</v>
      </c>
      <c r="R24" s="2126">
        <v>-45754.599999999977</v>
      </c>
      <c r="S24" s="2127">
        <v>368277.3</v>
      </c>
      <c r="T24" s="2126">
        <v>429337.2</v>
      </c>
      <c r="U24" s="894"/>
      <c r="V24" s="894"/>
      <c r="W24" s="2010"/>
      <c r="X24" s="2009"/>
      <c r="Y24" s="894"/>
      <c r="Z24" s="894"/>
      <c r="AA24" s="894"/>
      <c r="AB24" s="894"/>
      <c r="AC24" s="2009"/>
      <c r="AD24" s="894"/>
      <c r="AE24" s="2009"/>
      <c r="AF24" s="894"/>
      <c r="AG24" s="2009"/>
      <c r="AH24" s="2009"/>
      <c r="AI24" s="894"/>
      <c r="AJ24" s="894"/>
      <c r="AK24" s="894"/>
      <c r="AL24" s="894"/>
      <c r="AM24" s="894"/>
      <c r="AN24" s="894"/>
      <c r="AO24" s="894"/>
      <c r="AP24" s="2009"/>
      <c r="AQ24" s="2009"/>
      <c r="AR24" s="2009"/>
      <c r="AS24" s="894"/>
      <c r="AT24" s="2011"/>
      <c r="AU24" s="894"/>
      <c r="AV24" s="894"/>
      <c r="AW24" s="894"/>
      <c r="AX24" s="894"/>
      <c r="AY24" s="894"/>
      <c r="AZ24" s="2012"/>
      <c r="BA24" s="2013"/>
      <c r="BB24" s="2013"/>
      <c r="BC24" s="2013"/>
      <c r="BD24" s="2013"/>
      <c r="BE24" s="894"/>
      <c r="BF24" s="2014"/>
      <c r="BG24" s="2015"/>
      <c r="BH24" s="2016"/>
      <c r="BI24" s="894"/>
      <c r="BJ24" s="2013"/>
      <c r="BK24" s="2013"/>
      <c r="BL24" s="2013"/>
      <c r="BM24" s="2013"/>
      <c r="BN24" s="2013"/>
      <c r="BO24" s="2013"/>
      <c r="BP24" s="2017"/>
      <c r="BQ24" s="2018"/>
    </row>
    <row r="25" spans="1:69" s="153" customFormat="1" ht="10.5" customHeight="1" x14ac:dyDescent="0.2">
      <c r="A25" s="2120" t="s">
        <v>189</v>
      </c>
      <c r="C25" s="2125">
        <v>70573.399999999994</v>
      </c>
      <c r="D25" s="2126">
        <v>-404.7</v>
      </c>
      <c r="E25" s="2127">
        <v>-6049.4</v>
      </c>
      <c r="F25" s="2126">
        <v>64119.299999999996</v>
      </c>
      <c r="G25" s="2127">
        <v>73200.600000000006</v>
      </c>
      <c r="H25" s="2125">
        <v>372.6</v>
      </c>
      <c r="I25" s="2126">
        <v>63438.3</v>
      </c>
      <c r="J25" s="2126">
        <v>137011.5</v>
      </c>
      <c r="K25" s="2126">
        <v>16901.400000000001</v>
      </c>
      <c r="L25" s="2126">
        <v>108</v>
      </c>
      <c r="M25" s="2125">
        <v>17009.400000000001</v>
      </c>
      <c r="N25" s="2126">
        <v>332161.3</v>
      </c>
      <c r="O25" s="2125">
        <v>27348.5</v>
      </c>
      <c r="P25" s="2125">
        <v>359509.8</v>
      </c>
      <c r="Q25" s="2126">
        <v>513530.69999999995</v>
      </c>
      <c r="R25" s="2126">
        <v>-67193.599999999977</v>
      </c>
      <c r="S25" s="2127">
        <v>446337.1</v>
      </c>
      <c r="T25" s="2126">
        <v>510456.39999999997</v>
      </c>
      <c r="U25" s="894"/>
      <c r="V25" s="894"/>
      <c r="W25" s="2010"/>
      <c r="X25" s="2009"/>
      <c r="Y25" s="894"/>
      <c r="Z25" s="894"/>
      <c r="AA25" s="894"/>
      <c r="AB25" s="894"/>
      <c r="AC25" s="2009"/>
      <c r="AD25" s="894"/>
      <c r="AE25" s="2009"/>
      <c r="AF25" s="894"/>
      <c r="AG25" s="2009"/>
      <c r="AH25" s="2009"/>
      <c r="AI25" s="894"/>
      <c r="AJ25" s="894"/>
      <c r="AK25" s="894"/>
      <c r="AL25" s="894"/>
      <c r="AM25" s="894"/>
      <c r="AN25" s="894"/>
      <c r="AO25" s="894"/>
      <c r="AP25" s="2009"/>
      <c r="AQ25" s="2009"/>
      <c r="AR25" s="2009"/>
      <c r="AS25" s="894"/>
      <c r="AT25" s="2011"/>
      <c r="AU25" s="894"/>
      <c r="AV25" s="894"/>
      <c r="AW25" s="894"/>
      <c r="AX25" s="894"/>
      <c r="AY25" s="894"/>
      <c r="AZ25" s="2012"/>
      <c r="BA25" s="2013"/>
      <c r="BB25" s="2013"/>
      <c r="BC25" s="2013"/>
      <c r="BD25" s="2013"/>
      <c r="BE25" s="894"/>
      <c r="BF25" s="2014"/>
      <c r="BG25" s="2015"/>
      <c r="BH25" s="2016"/>
      <c r="BI25" s="894"/>
      <c r="BJ25" s="2013"/>
      <c r="BK25" s="2013"/>
      <c r="BL25" s="2013"/>
      <c r="BM25" s="2013"/>
      <c r="BN25" s="2013"/>
      <c r="BO25" s="2013"/>
      <c r="BP25" s="2017"/>
      <c r="BQ25" s="2018"/>
    </row>
    <row r="26" spans="1:69" s="153" customFormat="1" ht="10.5" customHeight="1" x14ac:dyDescent="0.2">
      <c r="A26" s="2120" t="s">
        <v>696</v>
      </c>
      <c r="C26" s="2125">
        <v>78818.7</v>
      </c>
      <c r="D26" s="2126">
        <v>-378.5</v>
      </c>
      <c r="E26" s="2127">
        <v>-6273.8</v>
      </c>
      <c r="F26" s="2126">
        <v>72166.399999999994</v>
      </c>
      <c r="G26" s="2127">
        <v>91700.5</v>
      </c>
      <c r="H26" s="2125">
        <v>261.89999999999998</v>
      </c>
      <c r="I26" s="2126">
        <v>63861.3</v>
      </c>
      <c r="J26" s="2126">
        <v>155823.70000000001</v>
      </c>
      <c r="K26" s="2126">
        <v>15284.1</v>
      </c>
      <c r="L26" s="2126">
        <v>46</v>
      </c>
      <c r="M26" s="2125">
        <v>15330.1</v>
      </c>
      <c r="N26" s="2126">
        <v>398311.5</v>
      </c>
      <c r="O26" s="2125">
        <v>31174.9</v>
      </c>
      <c r="P26" s="2125">
        <v>429486.4</v>
      </c>
      <c r="Q26" s="2126">
        <v>600640.20000000007</v>
      </c>
      <c r="R26" s="2126">
        <v>-82966.200000000099</v>
      </c>
      <c r="S26" s="2127">
        <v>517674</v>
      </c>
      <c r="T26" s="2126">
        <v>589840.4</v>
      </c>
      <c r="U26" s="894"/>
      <c r="V26" s="894"/>
      <c r="W26" s="2010"/>
      <c r="X26" s="2009"/>
      <c r="Y26" s="894"/>
      <c r="Z26" s="894"/>
      <c r="AA26" s="894"/>
      <c r="AB26" s="894"/>
      <c r="AC26" s="2009"/>
      <c r="AD26" s="894"/>
      <c r="AE26" s="2009"/>
      <c r="AF26" s="894"/>
      <c r="AG26" s="2009"/>
      <c r="AH26" s="2009"/>
      <c r="AI26" s="894"/>
      <c r="AJ26" s="894"/>
      <c r="AK26" s="894"/>
      <c r="AL26" s="894"/>
      <c r="AM26" s="894"/>
      <c r="AN26" s="894"/>
      <c r="AO26" s="894"/>
      <c r="AP26" s="2009"/>
      <c r="AQ26" s="2009"/>
      <c r="AR26" s="2009"/>
      <c r="AS26" s="894"/>
      <c r="AT26" s="2011"/>
      <c r="AU26" s="894"/>
      <c r="AV26" s="894"/>
      <c r="AW26" s="894"/>
      <c r="AX26" s="894"/>
      <c r="AY26" s="894"/>
      <c r="AZ26" s="2012"/>
      <c r="BA26" s="2013"/>
      <c r="BB26" s="2013"/>
      <c r="BC26" s="2013"/>
      <c r="BD26" s="2013"/>
      <c r="BE26" s="894"/>
      <c r="BF26" s="2014"/>
      <c r="BG26" s="2015"/>
      <c r="BH26" s="2016"/>
      <c r="BI26" s="894"/>
      <c r="BJ26" s="2013"/>
      <c r="BK26" s="2013"/>
      <c r="BL26" s="2013"/>
      <c r="BM26" s="2013"/>
      <c r="BN26" s="2013"/>
      <c r="BO26" s="2013"/>
      <c r="BP26" s="2017"/>
      <c r="BQ26" s="2018"/>
    </row>
    <row r="27" spans="1:69" s="153" customFormat="1" ht="10.5" customHeight="1" x14ac:dyDescent="0.2">
      <c r="A27" s="2120" t="s">
        <v>804</v>
      </c>
      <c r="C27" s="2125">
        <v>113250.1</v>
      </c>
      <c r="D27" s="2126">
        <v>-344.5</v>
      </c>
      <c r="E27" s="2127">
        <v>-6493.8</v>
      </c>
      <c r="F27" s="2126">
        <v>106411.8</v>
      </c>
      <c r="G27" s="2127">
        <v>110094.5</v>
      </c>
      <c r="H27" s="2125">
        <v>249.7</v>
      </c>
      <c r="I27" s="2126">
        <v>64634.2</v>
      </c>
      <c r="J27" s="2126">
        <v>174978.4</v>
      </c>
      <c r="K27" s="2126">
        <v>9376.7999999999993</v>
      </c>
      <c r="L27" s="2126">
        <v>43.7</v>
      </c>
      <c r="M27" s="2125">
        <v>9420.5</v>
      </c>
      <c r="N27" s="2126">
        <v>440915.1</v>
      </c>
      <c r="O27" s="2125">
        <v>36526.800000000003</v>
      </c>
      <c r="P27" s="2125">
        <v>477441.89999999997</v>
      </c>
      <c r="Q27" s="2126">
        <v>661840.79999999993</v>
      </c>
      <c r="R27" s="2126">
        <v>-88069.7</v>
      </c>
      <c r="S27" s="2127">
        <v>573771.1</v>
      </c>
      <c r="T27" s="2126">
        <v>680182.9</v>
      </c>
      <c r="U27" s="894"/>
      <c r="V27" s="894"/>
      <c r="W27" s="2010"/>
      <c r="X27" s="2009"/>
      <c r="Y27" s="894"/>
      <c r="Z27" s="894"/>
      <c r="AA27" s="894"/>
      <c r="AB27" s="894"/>
      <c r="AC27" s="2009"/>
      <c r="AD27" s="894"/>
      <c r="AE27" s="2009"/>
      <c r="AF27" s="894"/>
      <c r="AG27" s="2009"/>
      <c r="AH27" s="2009"/>
      <c r="AI27" s="894"/>
      <c r="AJ27" s="894"/>
      <c r="AK27" s="894"/>
      <c r="AL27" s="894"/>
      <c r="AM27" s="894"/>
      <c r="AN27" s="894"/>
      <c r="AO27" s="894"/>
      <c r="AP27" s="2009"/>
      <c r="AQ27" s="2009"/>
      <c r="AR27" s="2009"/>
      <c r="AS27" s="894"/>
      <c r="AT27" s="2011"/>
      <c r="AU27" s="894"/>
      <c r="AV27" s="894"/>
      <c r="AW27" s="894"/>
      <c r="AX27" s="894"/>
      <c r="AY27" s="894"/>
      <c r="AZ27" s="2012"/>
      <c r="BA27" s="2013"/>
      <c r="BB27" s="2013"/>
      <c r="BC27" s="2013"/>
      <c r="BD27" s="2013"/>
      <c r="BE27" s="894"/>
      <c r="BF27" s="2014"/>
      <c r="BG27" s="2015"/>
      <c r="BH27" s="2016"/>
      <c r="BI27" s="894"/>
      <c r="BJ27" s="2013"/>
      <c r="BK27" s="2013"/>
      <c r="BL27" s="2013"/>
      <c r="BM27" s="2013"/>
      <c r="BN27" s="2013"/>
      <c r="BO27" s="2013"/>
      <c r="BP27" s="2017"/>
      <c r="BQ27" s="2018"/>
    </row>
    <row r="28" spans="1:69" s="153" customFormat="1" ht="10.5" customHeight="1" x14ac:dyDescent="0.2">
      <c r="A28" s="2120" t="s">
        <v>978</v>
      </c>
      <c r="C28" s="2125">
        <v>160056.6</v>
      </c>
      <c r="D28" s="2126">
        <v>-318.89999999999998</v>
      </c>
      <c r="E28" s="2127">
        <v>-6695</v>
      </c>
      <c r="F28" s="2126">
        <v>153042.70000000001</v>
      </c>
      <c r="G28" s="2127">
        <v>117498.3</v>
      </c>
      <c r="H28" s="2125">
        <v>266.89999999999998</v>
      </c>
      <c r="I28" s="2126">
        <v>76341.3</v>
      </c>
      <c r="J28" s="2126">
        <v>194106.5</v>
      </c>
      <c r="K28" s="2126">
        <v>12612.9</v>
      </c>
      <c r="L28" s="2126">
        <v>40.6</v>
      </c>
      <c r="M28" s="2125">
        <v>12653.5</v>
      </c>
      <c r="N28" s="2126">
        <v>493936.5</v>
      </c>
      <c r="O28" s="2125">
        <v>43834.8</v>
      </c>
      <c r="P28" s="2125">
        <v>537771.30000000005</v>
      </c>
      <c r="Q28" s="2126">
        <v>744531.3</v>
      </c>
      <c r="R28" s="2126">
        <v>-105128.7</v>
      </c>
      <c r="S28" s="2127">
        <v>639402.60000000009</v>
      </c>
      <c r="T28" s="2126">
        <v>792445.3</v>
      </c>
      <c r="U28" s="894"/>
      <c r="V28" s="894"/>
      <c r="W28" s="2010"/>
      <c r="X28" s="2009"/>
      <c r="Y28" s="894"/>
      <c r="Z28" s="894"/>
      <c r="AA28" s="894"/>
      <c r="AB28" s="894"/>
      <c r="AC28" s="2009"/>
      <c r="AD28" s="894"/>
      <c r="AE28" s="2009"/>
      <c r="AF28" s="894"/>
      <c r="AG28" s="2009"/>
      <c r="AH28" s="2009"/>
      <c r="AI28" s="894"/>
      <c r="AJ28" s="894"/>
      <c r="AK28" s="894"/>
      <c r="AL28" s="894"/>
      <c r="AM28" s="894"/>
      <c r="AN28" s="894"/>
      <c r="AO28" s="894"/>
      <c r="AP28" s="2009"/>
      <c r="AQ28" s="2009"/>
      <c r="AR28" s="2009"/>
      <c r="AS28" s="894"/>
      <c r="AT28" s="2011"/>
      <c r="AU28" s="894"/>
      <c r="AV28" s="894"/>
      <c r="AW28" s="894"/>
      <c r="AX28" s="894"/>
      <c r="AY28" s="894"/>
      <c r="AZ28" s="2012"/>
      <c r="BA28" s="2013"/>
      <c r="BB28" s="2013"/>
      <c r="BC28" s="2013"/>
      <c r="BD28" s="2013"/>
      <c r="BE28" s="894"/>
      <c r="BF28" s="2014"/>
      <c r="BG28" s="2015"/>
      <c r="BH28" s="2016"/>
      <c r="BI28" s="894"/>
      <c r="BJ28" s="2013"/>
      <c r="BK28" s="2013"/>
      <c r="BL28" s="2013"/>
      <c r="BM28" s="2013"/>
      <c r="BN28" s="2013"/>
      <c r="BO28" s="2013"/>
      <c r="BP28" s="2017"/>
      <c r="BQ28" s="2018"/>
    </row>
    <row r="29" spans="1:69" s="153" customFormat="1" ht="10.5" customHeight="1" x14ac:dyDescent="0.2">
      <c r="A29" s="2120" t="s">
        <v>1029</v>
      </c>
      <c r="C29" s="2125">
        <v>189228.79999999999</v>
      </c>
      <c r="D29" s="2126">
        <v>-274.10000000000002</v>
      </c>
      <c r="E29" s="2127">
        <v>-7257.5</v>
      </c>
      <c r="F29" s="2126">
        <v>181697.19999999998</v>
      </c>
      <c r="G29" s="2127">
        <v>110224.8</v>
      </c>
      <c r="H29" s="2125">
        <v>183.4</v>
      </c>
      <c r="I29" s="2126">
        <v>105074</v>
      </c>
      <c r="J29" s="2126">
        <v>215482.2</v>
      </c>
      <c r="K29" s="2126">
        <v>16448.8</v>
      </c>
      <c r="L29" s="2126">
        <v>80.3</v>
      </c>
      <c r="M29" s="2125">
        <v>16529.099999999999</v>
      </c>
      <c r="N29" s="2126">
        <v>557021.80000000005</v>
      </c>
      <c r="O29" s="2125">
        <v>50121.5</v>
      </c>
      <c r="P29" s="2125">
        <v>607143.30000000005</v>
      </c>
      <c r="Q29" s="2126">
        <v>839154.60000000009</v>
      </c>
      <c r="R29" s="2126">
        <v>-110802.8</v>
      </c>
      <c r="S29" s="2127">
        <v>728351.8</v>
      </c>
      <c r="T29" s="2126">
        <v>910049</v>
      </c>
      <c r="U29" s="894"/>
      <c r="V29" s="894"/>
      <c r="W29" s="2010"/>
      <c r="X29" s="2009"/>
      <c r="Y29" s="894"/>
      <c r="Z29" s="894"/>
      <c r="AA29" s="894"/>
      <c r="AB29" s="894"/>
      <c r="AC29" s="2009"/>
      <c r="AD29" s="894"/>
      <c r="AE29" s="2009"/>
      <c r="AF29" s="894"/>
      <c r="AG29" s="2009"/>
      <c r="AH29" s="2009"/>
      <c r="AI29" s="894"/>
      <c r="AJ29" s="894"/>
      <c r="AK29" s="894"/>
      <c r="AL29" s="894"/>
      <c r="AM29" s="894"/>
      <c r="AN29" s="894"/>
      <c r="AO29" s="894"/>
      <c r="AP29" s="2009"/>
      <c r="AQ29" s="2009"/>
      <c r="AR29" s="2009"/>
      <c r="AS29" s="894"/>
      <c r="AT29" s="2011"/>
      <c r="AU29" s="894"/>
      <c r="AV29" s="894"/>
      <c r="AW29" s="894"/>
      <c r="AX29" s="894"/>
      <c r="AY29" s="894"/>
      <c r="AZ29" s="2012"/>
      <c r="BA29" s="2013"/>
      <c r="BB29" s="2013"/>
      <c r="BC29" s="2013"/>
      <c r="BD29" s="2013"/>
      <c r="BE29" s="894"/>
      <c r="BF29" s="2014"/>
      <c r="BG29" s="2015"/>
      <c r="BH29" s="2016"/>
      <c r="BI29" s="894"/>
      <c r="BJ29" s="2013"/>
      <c r="BK29" s="2013"/>
      <c r="BL29" s="2013"/>
      <c r="BM29" s="2013"/>
      <c r="BN29" s="2013"/>
      <c r="BO29" s="2013"/>
      <c r="BP29" s="2017"/>
      <c r="BQ29" s="2018"/>
    </row>
    <row r="30" spans="1:69" s="153" customFormat="1" ht="10.5" customHeight="1" x14ac:dyDescent="0.2">
      <c r="A30" s="2120" t="s">
        <v>1150</v>
      </c>
      <c r="C30" s="2125">
        <v>233135.6</v>
      </c>
      <c r="D30" s="2126">
        <v>-83</v>
      </c>
      <c r="E30" s="2127">
        <v>-8475.2000000000007</v>
      </c>
      <c r="F30" s="2126">
        <v>224577.4</v>
      </c>
      <c r="G30" s="2127">
        <v>114189.1</v>
      </c>
      <c r="H30" s="2125">
        <v>-89.1</v>
      </c>
      <c r="I30" s="2126">
        <v>138762.6</v>
      </c>
      <c r="J30" s="2126">
        <v>252862.6</v>
      </c>
      <c r="K30" s="2126">
        <v>15573</v>
      </c>
      <c r="L30" s="2126">
        <v>108.3</v>
      </c>
      <c r="M30" s="2125">
        <v>15681.3</v>
      </c>
      <c r="N30" s="2126">
        <v>650644</v>
      </c>
      <c r="O30" s="2125">
        <v>60778.8</v>
      </c>
      <c r="P30" s="2125">
        <v>711422.8</v>
      </c>
      <c r="Q30" s="2126">
        <v>979966.70000000007</v>
      </c>
      <c r="R30" s="2126">
        <v>-127800.9</v>
      </c>
      <c r="S30" s="2127">
        <v>852165.8</v>
      </c>
      <c r="T30" s="2126">
        <v>1076743.2</v>
      </c>
      <c r="U30" s="894"/>
      <c r="V30" s="894"/>
      <c r="W30" s="2010"/>
      <c r="X30" s="2009"/>
      <c r="Y30" s="894"/>
      <c r="Z30" s="894"/>
      <c r="AA30" s="894"/>
      <c r="AB30" s="894"/>
      <c r="AC30" s="2009"/>
      <c r="AD30" s="894"/>
      <c r="AE30" s="2009"/>
      <c r="AF30" s="894"/>
      <c r="AG30" s="2009"/>
      <c r="AH30" s="2009"/>
      <c r="AI30" s="894"/>
      <c r="AJ30" s="894"/>
      <c r="AK30" s="894"/>
      <c r="AL30" s="894"/>
      <c r="AM30" s="894"/>
      <c r="AN30" s="894"/>
      <c r="AO30" s="894"/>
      <c r="AP30" s="2009"/>
      <c r="AQ30" s="2009"/>
      <c r="AR30" s="2009"/>
      <c r="AS30" s="894"/>
      <c r="AT30" s="2011"/>
      <c r="AU30" s="894"/>
      <c r="AV30" s="894"/>
      <c r="AW30" s="894"/>
      <c r="AX30" s="894"/>
      <c r="AY30" s="894"/>
      <c r="AZ30" s="2012"/>
      <c r="BA30" s="2013"/>
      <c r="BB30" s="2013"/>
      <c r="BC30" s="2013"/>
      <c r="BD30" s="2013"/>
      <c r="BE30" s="894"/>
      <c r="BF30" s="2014"/>
      <c r="BG30" s="2015"/>
      <c r="BH30" s="2016"/>
      <c r="BI30" s="894"/>
      <c r="BJ30" s="2013"/>
      <c r="BK30" s="2013"/>
      <c r="BL30" s="2013"/>
      <c r="BM30" s="2013"/>
      <c r="BN30" s="2013"/>
      <c r="BO30" s="2013"/>
      <c r="BP30" s="2017"/>
      <c r="BQ30" s="2018"/>
    </row>
    <row r="31" spans="1:69" s="153" customFormat="1" ht="10.5" customHeight="1" x14ac:dyDescent="0.2">
      <c r="A31" s="2120" t="s">
        <v>1174</v>
      </c>
      <c r="C31" s="2125">
        <v>266697</v>
      </c>
      <c r="D31" s="2126">
        <v>-46.6</v>
      </c>
      <c r="E31" s="2127">
        <v>-9534.1</v>
      </c>
      <c r="F31" s="2126">
        <v>257116.3</v>
      </c>
      <c r="G31" s="2127">
        <v>97307.599999999991</v>
      </c>
      <c r="H31" s="2125">
        <v>-108.6</v>
      </c>
      <c r="I31" s="2126">
        <v>191178.6</v>
      </c>
      <c r="J31" s="2126">
        <v>288377.59999999998</v>
      </c>
      <c r="K31" s="2126">
        <v>16744.2</v>
      </c>
      <c r="L31" s="2126">
        <v>142.6</v>
      </c>
      <c r="M31" s="2125">
        <v>16886.8</v>
      </c>
      <c r="N31" s="2126">
        <v>752988.79999999993</v>
      </c>
      <c r="O31" s="2125">
        <v>71394.7</v>
      </c>
      <c r="P31" s="2125">
        <v>824383.49999999988</v>
      </c>
      <c r="Q31" s="2126">
        <v>1129647.8999999999</v>
      </c>
      <c r="R31" s="2126">
        <v>-153298.70000000001</v>
      </c>
      <c r="S31" s="2127">
        <v>976349.2</v>
      </c>
      <c r="T31" s="2126">
        <v>1233465.5</v>
      </c>
      <c r="U31" s="894"/>
      <c r="V31" s="894"/>
      <c r="W31" s="2010"/>
      <c r="X31" s="2009"/>
      <c r="Y31" s="894"/>
      <c r="Z31" s="894"/>
      <c r="AA31" s="894"/>
      <c r="AB31" s="894"/>
      <c r="AC31" s="2009"/>
      <c r="AD31" s="894"/>
      <c r="AE31" s="2009"/>
      <c r="AF31" s="894"/>
      <c r="AG31" s="2009"/>
      <c r="AH31" s="2009"/>
      <c r="AI31" s="894"/>
      <c r="AJ31" s="894"/>
      <c r="AK31" s="894"/>
      <c r="AL31" s="894"/>
      <c r="AM31" s="894"/>
      <c r="AN31" s="894"/>
      <c r="AO31" s="894"/>
      <c r="AP31" s="2009"/>
      <c r="AQ31" s="2009"/>
      <c r="AR31" s="2009"/>
      <c r="AS31" s="894"/>
      <c r="AT31" s="2011"/>
      <c r="AU31" s="894"/>
      <c r="AV31" s="894"/>
      <c r="AW31" s="894"/>
      <c r="AX31" s="894"/>
      <c r="AY31" s="894"/>
      <c r="AZ31" s="2012"/>
      <c r="BA31" s="2013"/>
      <c r="BB31" s="2013"/>
      <c r="BC31" s="2013"/>
      <c r="BD31" s="2013"/>
      <c r="BE31" s="894"/>
      <c r="BF31" s="2014"/>
      <c r="BG31" s="2015"/>
      <c r="BH31" s="2016"/>
      <c r="BI31" s="894"/>
      <c r="BJ31" s="2013"/>
      <c r="BK31" s="2013"/>
      <c r="BL31" s="2013"/>
      <c r="BM31" s="2013"/>
      <c r="BN31" s="2013"/>
      <c r="BO31" s="2013"/>
      <c r="BP31" s="2017"/>
      <c r="BQ31" s="2018"/>
    </row>
    <row r="32" spans="1:69" s="153" customFormat="1" ht="10.5" customHeight="1" x14ac:dyDescent="0.2">
      <c r="A32" s="2120" t="s">
        <v>1296</v>
      </c>
      <c r="C32" s="2125">
        <v>264674.5</v>
      </c>
      <c r="D32" s="2126">
        <v>-20.5</v>
      </c>
      <c r="E32" s="2127">
        <v>-11436.5</v>
      </c>
      <c r="F32" s="2126">
        <v>253217.5</v>
      </c>
      <c r="G32" s="2127">
        <v>94869.599999999991</v>
      </c>
      <c r="H32" s="2125">
        <v>-3111.6</v>
      </c>
      <c r="I32" s="2126">
        <v>237765</v>
      </c>
      <c r="J32" s="2126">
        <v>329523</v>
      </c>
      <c r="K32" s="2126">
        <v>11337.8</v>
      </c>
      <c r="L32" s="2126">
        <v>787.8</v>
      </c>
      <c r="M32" s="2125">
        <v>12125.599999999999</v>
      </c>
      <c r="N32" s="2126">
        <v>880749.5</v>
      </c>
      <c r="O32" s="2125">
        <v>89467</v>
      </c>
      <c r="P32" s="2125">
        <v>970216.5</v>
      </c>
      <c r="Q32" s="2126">
        <v>1311865.1000000001</v>
      </c>
      <c r="R32" s="2126">
        <v>-191334.1</v>
      </c>
      <c r="S32" s="2127">
        <v>1120531</v>
      </c>
      <c r="T32" s="2126">
        <v>1373748.5</v>
      </c>
      <c r="U32" s="894"/>
      <c r="V32" s="894"/>
      <c r="W32" s="2010"/>
      <c r="X32" s="2009"/>
      <c r="Y32" s="894"/>
      <c r="Z32" s="894"/>
      <c r="AA32" s="894"/>
      <c r="AB32" s="894"/>
      <c r="AC32" s="2009"/>
      <c r="AD32" s="894"/>
      <c r="AE32" s="2009"/>
      <c r="AF32" s="894"/>
      <c r="AG32" s="2009"/>
      <c r="AH32" s="2009"/>
      <c r="AI32" s="894"/>
      <c r="AJ32" s="894"/>
      <c r="AK32" s="894"/>
      <c r="AL32" s="894"/>
      <c r="AM32" s="894"/>
      <c r="AN32" s="894"/>
      <c r="AO32" s="894"/>
      <c r="AP32" s="2009"/>
      <c r="AQ32" s="2009"/>
      <c r="AR32" s="2009"/>
      <c r="AS32" s="894"/>
      <c r="AT32" s="2011"/>
      <c r="AU32" s="894"/>
      <c r="AV32" s="894"/>
      <c r="AW32" s="894"/>
      <c r="AX32" s="894"/>
      <c r="AY32" s="894"/>
      <c r="AZ32" s="2012"/>
      <c r="BA32" s="2013"/>
      <c r="BB32" s="2013"/>
      <c r="BC32" s="2013"/>
      <c r="BD32" s="2013"/>
      <c r="BE32" s="894"/>
      <c r="BF32" s="2014"/>
      <c r="BG32" s="2015"/>
      <c r="BH32" s="2016"/>
      <c r="BI32" s="894"/>
      <c r="BJ32" s="2013"/>
      <c r="BK32" s="2013"/>
      <c r="BL32" s="2013"/>
      <c r="BM32" s="2013"/>
      <c r="BN32" s="2013"/>
      <c r="BO32" s="2013"/>
      <c r="BP32" s="2017"/>
      <c r="BQ32" s="2018"/>
    </row>
    <row r="33" spans="1:69" s="153" customFormat="1" ht="10.5" customHeight="1" x14ac:dyDescent="0.2">
      <c r="A33" s="2120" t="s">
        <v>1404</v>
      </c>
      <c r="C33" s="2125">
        <v>272399.5</v>
      </c>
      <c r="D33" s="2126">
        <v>-155.1</v>
      </c>
      <c r="E33" s="2127">
        <v>-12662.8</v>
      </c>
      <c r="F33" s="2126">
        <v>259581.6</v>
      </c>
      <c r="G33" s="2127">
        <v>113248.3</v>
      </c>
      <c r="H33" s="2125">
        <v>-2534.3000000000002</v>
      </c>
      <c r="I33" s="2126">
        <v>287704.5</v>
      </c>
      <c r="J33" s="2126">
        <v>398418.5</v>
      </c>
      <c r="K33" s="2126">
        <v>13590.7</v>
      </c>
      <c r="L33" s="2126">
        <v>1239.4000000000001</v>
      </c>
      <c r="M33" s="2125">
        <v>14830.1</v>
      </c>
      <c r="N33" s="2126">
        <v>985443.3</v>
      </c>
      <c r="O33" s="2125">
        <v>93123</v>
      </c>
      <c r="P33" s="2125">
        <v>1078566.3</v>
      </c>
      <c r="Q33" s="2126">
        <v>1491814.9</v>
      </c>
      <c r="R33" s="2126">
        <v>-217369.60000000001</v>
      </c>
      <c r="S33" s="2127">
        <v>1274445.2999999998</v>
      </c>
      <c r="T33" s="2126">
        <v>1534026.9</v>
      </c>
      <c r="U33" s="894"/>
      <c r="V33" s="894"/>
      <c r="W33" s="2010"/>
      <c r="X33" s="2009"/>
      <c r="Y33" s="894"/>
      <c r="Z33" s="894"/>
      <c r="AA33" s="894"/>
      <c r="AB33" s="894"/>
      <c r="AC33" s="2009"/>
      <c r="AD33" s="894"/>
      <c r="AE33" s="2009"/>
      <c r="AF33" s="894"/>
      <c r="AG33" s="2009"/>
      <c r="AH33" s="2009"/>
      <c r="AI33" s="894"/>
      <c r="AJ33" s="894"/>
      <c r="AK33" s="894"/>
      <c r="AL33" s="894"/>
      <c r="AM33" s="894"/>
      <c r="AN33" s="894"/>
      <c r="AO33" s="894"/>
      <c r="AP33" s="2009"/>
      <c r="AQ33" s="2009"/>
      <c r="AR33" s="2009"/>
      <c r="AS33" s="894"/>
      <c r="AT33" s="2011"/>
      <c r="AU33" s="894"/>
      <c r="AV33" s="894"/>
      <c r="AW33" s="894"/>
      <c r="AX33" s="894"/>
      <c r="AY33" s="894"/>
      <c r="AZ33" s="2012"/>
      <c r="BA33" s="2013"/>
      <c r="BB33" s="2013"/>
      <c r="BC33" s="2013"/>
      <c r="BD33" s="2013"/>
      <c r="BE33" s="894"/>
      <c r="BF33" s="2014"/>
      <c r="BG33" s="2015"/>
      <c r="BH33" s="2016"/>
      <c r="BI33" s="894"/>
      <c r="BJ33" s="2013"/>
      <c r="BK33" s="2013"/>
      <c r="BL33" s="2013"/>
      <c r="BM33" s="2013"/>
      <c r="BN33" s="2013"/>
      <c r="BO33" s="2013"/>
      <c r="BP33" s="2017"/>
      <c r="BQ33" s="2018"/>
    </row>
    <row r="34" spans="1:69" s="153" customFormat="1" ht="10.5" customHeight="1" x14ac:dyDescent="0.2">
      <c r="A34" s="2120" t="s">
        <v>1484</v>
      </c>
      <c r="C34" s="2125">
        <v>297336.2</v>
      </c>
      <c r="D34" s="2126">
        <v>-113.1</v>
      </c>
      <c r="E34" s="2127">
        <v>-13909.2</v>
      </c>
      <c r="F34" s="2126">
        <v>283313.90000000002</v>
      </c>
      <c r="G34" s="2127">
        <v>181119.4</v>
      </c>
      <c r="H34" s="2125">
        <v>71.3</v>
      </c>
      <c r="I34" s="2126">
        <v>302132.8</v>
      </c>
      <c r="J34" s="2126">
        <v>483323.5</v>
      </c>
      <c r="K34" s="2126">
        <v>19200.800000000003</v>
      </c>
      <c r="L34" s="2126">
        <v>1285.2</v>
      </c>
      <c r="M34" s="2125">
        <v>20486.000000000004</v>
      </c>
      <c r="N34" s="2126">
        <v>1075226.5</v>
      </c>
      <c r="O34" s="2125">
        <v>91712.4</v>
      </c>
      <c r="P34" s="2125">
        <v>1166938.8999999999</v>
      </c>
      <c r="Q34" s="2126">
        <v>1670748.4</v>
      </c>
      <c r="R34" s="2126">
        <v>-250124.9</v>
      </c>
      <c r="S34" s="2127">
        <v>1420623.5</v>
      </c>
      <c r="T34" s="2126">
        <v>1703937.4</v>
      </c>
      <c r="U34" s="894"/>
      <c r="V34" s="894"/>
      <c r="W34" s="2010"/>
      <c r="X34" s="2009"/>
      <c r="Y34" s="894"/>
      <c r="Z34" s="894"/>
      <c r="AA34" s="894"/>
      <c r="AB34" s="894"/>
      <c r="AC34" s="2009"/>
      <c r="AD34" s="894"/>
      <c r="AE34" s="2009"/>
      <c r="AF34" s="894"/>
      <c r="AG34" s="2009"/>
      <c r="AH34" s="2009"/>
      <c r="AI34" s="894"/>
      <c r="AJ34" s="894"/>
      <c r="AK34" s="894"/>
      <c r="AL34" s="894"/>
      <c r="AM34" s="894"/>
      <c r="AN34" s="894"/>
      <c r="AO34" s="894"/>
      <c r="AP34" s="2009"/>
      <c r="AQ34" s="2009"/>
      <c r="AR34" s="2009"/>
      <c r="AS34" s="894"/>
      <c r="AT34" s="2011"/>
      <c r="AU34" s="894"/>
      <c r="AV34" s="894"/>
      <c r="AW34" s="894"/>
      <c r="AX34" s="894"/>
      <c r="AY34" s="894"/>
      <c r="AZ34" s="2012"/>
      <c r="BA34" s="2013"/>
      <c r="BB34" s="2013"/>
      <c r="BC34" s="2013"/>
      <c r="BD34" s="2013"/>
      <c r="BE34" s="894"/>
      <c r="BF34" s="2014"/>
      <c r="BG34" s="2015"/>
      <c r="BH34" s="2016"/>
      <c r="BI34" s="894"/>
      <c r="BJ34" s="2013"/>
      <c r="BK34" s="2013"/>
      <c r="BL34" s="2013"/>
      <c r="BM34" s="2013"/>
      <c r="BN34" s="2013"/>
      <c r="BO34" s="2013"/>
      <c r="BP34" s="2017"/>
      <c r="BQ34" s="2018"/>
    </row>
    <row r="35" spans="1:69" s="153" customFormat="1" ht="10.5" customHeight="1" x14ac:dyDescent="0.2">
      <c r="A35" s="2120" t="s">
        <v>1536</v>
      </c>
      <c r="B35" s="372"/>
      <c r="C35" s="2125">
        <v>382179.2</v>
      </c>
      <c r="D35" s="2126">
        <v>-191.5</v>
      </c>
      <c r="E35" s="2127">
        <v>-14841.5</v>
      </c>
      <c r="F35" s="2126">
        <v>367146.2</v>
      </c>
      <c r="G35" s="2127">
        <v>220997.5</v>
      </c>
      <c r="H35" s="2125">
        <v>-621.4</v>
      </c>
      <c r="I35" s="2126">
        <v>344143.9</v>
      </c>
      <c r="J35" s="2126">
        <v>564520</v>
      </c>
      <c r="K35" s="2126">
        <v>19666.599999999999</v>
      </c>
      <c r="L35" s="2126">
        <v>1305.4000000000001</v>
      </c>
      <c r="M35" s="2125">
        <v>20972</v>
      </c>
      <c r="N35" s="2126">
        <v>1164390.5</v>
      </c>
      <c r="O35" s="2125">
        <v>94826.3</v>
      </c>
      <c r="P35" s="2125">
        <v>1259216.8</v>
      </c>
      <c r="Q35" s="2126">
        <v>1844708.8</v>
      </c>
      <c r="R35" s="2126">
        <v>-282809.7</v>
      </c>
      <c r="S35" s="2127">
        <v>1561899.1</v>
      </c>
      <c r="T35" s="2126">
        <v>1929045.3</v>
      </c>
      <c r="U35" s="894"/>
      <c r="V35" s="894"/>
      <c r="W35" s="2010"/>
      <c r="X35" s="2009"/>
      <c r="Y35" s="894"/>
      <c r="Z35" s="894"/>
      <c r="AA35" s="894"/>
      <c r="AB35" s="894"/>
      <c r="AC35" s="2009"/>
      <c r="AD35" s="894"/>
      <c r="AE35" s="2009"/>
      <c r="AF35" s="894"/>
      <c r="AG35" s="2009"/>
      <c r="AH35" s="2009"/>
      <c r="AI35" s="894"/>
      <c r="AJ35" s="894"/>
      <c r="AK35" s="894"/>
      <c r="AL35" s="894"/>
      <c r="AM35" s="894"/>
      <c r="AN35" s="894"/>
      <c r="AO35" s="894"/>
      <c r="AP35" s="2009"/>
      <c r="AQ35" s="2009"/>
      <c r="AR35" s="2009"/>
      <c r="AS35" s="894"/>
      <c r="AT35" s="2011"/>
      <c r="AU35" s="894"/>
      <c r="AV35" s="894"/>
      <c r="AW35" s="894"/>
      <c r="AX35" s="894"/>
      <c r="AY35" s="894"/>
      <c r="AZ35" s="2012"/>
      <c r="BA35" s="2013"/>
      <c r="BB35" s="2013"/>
      <c r="BC35" s="2013"/>
      <c r="BD35" s="2013"/>
      <c r="BE35" s="894"/>
      <c r="BF35" s="2014"/>
      <c r="BG35" s="2015"/>
      <c r="BH35" s="2016"/>
      <c r="BI35" s="894"/>
      <c r="BJ35" s="2013"/>
      <c r="BK35" s="2013"/>
      <c r="BL35" s="2013"/>
      <c r="BM35" s="2013"/>
      <c r="BN35" s="2013"/>
      <c r="BO35" s="2013"/>
      <c r="BP35" s="2017"/>
      <c r="BQ35" s="2018"/>
    </row>
    <row r="36" spans="1:69" s="153" customFormat="1" ht="10.5" customHeight="1" x14ac:dyDescent="0.2">
      <c r="A36" s="372" t="s">
        <v>1817</v>
      </c>
      <c r="B36" s="1989"/>
      <c r="C36" s="2128">
        <v>364298.8</v>
      </c>
      <c r="D36" s="2128">
        <v>-309.5</v>
      </c>
      <c r="E36" s="2128">
        <v>-13446.1</v>
      </c>
      <c r="F36" s="2128">
        <v>350543.2</v>
      </c>
      <c r="G36" s="2128">
        <v>283289.09999999998</v>
      </c>
      <c r="H36" s="2128">
        <v>-328</v>
      </c>
      <c r="I36" s="2128">
        <v>364051</v>
      </c>
      <c r="J36" s="2128">
        <v>647012.1</v>
      </c>
      <c r="K36" s="2128">
        <v>27775.1</v>
      </c>
      <c r="L36" s="2128">
        <v>1284.8</v>
      </c>
      <c r="M36" s="2128">
        <v>29059.899999999998</v>
      </c>
      <c r="N36" s="2128">
        <v>1328344.5999999999</v>
      </c>
      <c r="O36" s="2128">
        <v>97727.3</v>
      </c>
      <c r="P36" s="2128">
        <v>1426071.9</v>
      </c>
      <c r="Q36" s="2128">
        <v>2102143.9</v>
      </c>
      <c r="R36" s="2128">
        <v>-354713.8</v>
      </c>
      <c r="S36" s="2128">
        <v>1747430.0999999999</v>
      </c>
      <c r="T36" s="2128">
        <v>2097973.2999999998</v>
      </c>
      <c r="U36" s="761"/>
      <c r="V36" s="761"/>
      <c r="W36" s="761"/>
      <c r="X36" s="761"/>
    </row>
    <row r="37" spans="1:69" s="153" customFormat="1" ht="10.5" customHeight="1" x14ac:dyDescent="0.2">
      <c r="A37" s="372" t="s">
        <v>2066</v>
      </c>
      <c r="B37" s="372"/>
      <c r="C37" s="2128">
        <v>316728.3</v>
      </c>
      <c r="D37" s="2128">
        <v>-226.8575237</v>
      </c>
      <c r="E37" s="2128">
        <v>-11439.6</v>
      </c>
      <c r="F37" s="2128">
        <v>305061.84247629996</v>
      </c>
      <c r="G37" s="2128">
        <v>387321.3</v>
      </c>
      <c r="H37" s="2128">
        <v>-229.44749623799999</v>
      </c>
      <c r="I37" s="2128">
        <v>360755</v>
      </c>
      <c r="J37" s="2128">
        <v>747846.852503762</v>
      </c>
      <c r="K37" s="2128">
        <v>35683.699999999997</v>
      </c>
      <c r="L37" s="2128">
        <v>1266.768873904</v>
      </c>
      <c r="M37" s="2128">
        <v>36950.468873903999</v>
      </c>
      <c r="N37" s="2128">
        <v>1469220.3</v>
      </c>
      <c r="O37" s="2128">
        <v>100646.8</v>
      </c>
      <c r="P37" s="2128">
        <v>1569867.1</v>
      </c>
      <c r="Q37" s="2128">
        <v>2354664.4213776663</v>
      </c>
      <c r="R37" s="2128">
        <v>-385833.7</v>
      </c>
      <c r="S37" s="2128">
        <v>1968830.7213776663</v>
      </c>
      <c r="T37" s="2128">
        <v>2273892.5638539661</v>
      </c>
      <c r="U37" s="761"/>
      <c r="V37" s="761"/>
      <c r="W37" s="761"/>
      <c r="X37" s="761"/>
    </row>
    <row r="38" spans="1:69" s="153" customFormat="1" ht="10.5" customHeight="1" x14ac:dyDescent="0.2">
      <c r="A38" s="372" t="s">
        <v>2206</v>
      </c>
      <c r="B38" s="1709"/>
      <c r="C38" s="2128">
        <v>291129</v>
      </c>
      <c r="D38" s="2128">
        <v>-152.25259260000001</v>
      </c>
      <c r="E38" s="2128">
        <v>-9527</v>
      </c>
      <c r="F38" s="2128">
        <v>281449.74740739999</v>
      </c>
      <c r="G38" s="2128">
        <v>424836.21</v>
      </c>
      <c r="H38" s="2128">
        <v>1168.2334702729997</v>
      </c>
      <c r="I38" s="2128">
        <v>339631</v>
      </c>
      <c r="J38" s="2128">
        <v>765635.44347027293</v>
      </c>
      <c r="K38" s="2128">
        <v>40011.599999999999</v>
      </c>
      <c r="L38" s="2128">
        <v>1005.6505162810001</v>
      </c>
      <c r="M38" s="2128">
        <v>41017.250516280998</v>
      </c>
      <c r="N38" s="2128">
        <v>1618124.5</v>
      </c>
      <c r="O38" s="2128">
        <v>101740.86349219801</v>
      </c>
      <c r="P38" s="2128">
        <v>1719865.3634921981</v>
      </c>
      <c r="Q38" s="2128">
        <v>2526518.057478752</v>
      </c>
      <c r="R38" s="2128">
        <v>-400010.06081562402</v>
      </c>
      <c r="S38" s="2128">
        <v>2126507.996663128</v>
      </c>
      <c r="T38" s="2128">
        <v>2407957.7440705281</v>
      </c>
      <c r="U38" s="761"/>
      <c r="V38" s="761"/>
      <c r="W38" s="761"/>
      <c r="X38" s="761"/>
    </row>
    <row r="39" spans="1:69" s="153" customFormat="1" ht="10.5" customHeight="1" x14ac:dyDescent="0.2">
      <c r="A39" s="372" t="s">
        <v>3064</v>
      </c>
      <c r="B39" s="1989"/>
      <c r="C39" s="2128">
        <v>316564.2</v>
      </c>
      <c r="D39" s="2128">
        <v>-448.2</v>
      </c>
      <c r="E39" s="2128">
        <v>-7094.4</v>
      </c>
      <c r="F39" s="2128">
        <v>309021.59999999998</v>
      </c>
      <c r="G39" s="2128">
        <v>487873.1</v>
      </c>
      <c r="H39" s="2128">
        <v>8906.2999999999993</v>
      </c>
      <c r="I39" s="2128">
        <v>333567.40000000002</v>
      </c>
      <c r="J39" s="2128">
        <v>830346.8</v>
      </c>
      <c r="K39" s="2128">
        <v>37596.1</v>
      </c>
      <c r="L39" s="2128">
        <v>42.7</v>
      </c>
      <c r="M39" s="2128">
        <v>37638.799999999996</v>
      </c>
      <c r="N39" s="2128">
        <v>1725356.1</v>
      </c>
      <c r="O39" s="2128">
        <v>105453.4</v>
      </c>
      <c r="P39" s="2128">
        <v>1830809.5</v>
      </c>
      <c r="Q39" s="2128">
        <v>2698795.1</v>
      </c>
      <c r="R39" s="2128">
        <v>-454915.9</v>
      </c>
      <c r="S39" s="2128">
        <v>2243879.2000000002</v>
      </c>
      <c r="T39" s="2128">
        <v>2552900.8000000003</v>
      </c>
      <c r="U39" s="761"/>
      <c r="V39" s="761"/>
      <c r="W39" s="761"/>
      <c r="X39" s="761"/>
    </row>
    <row r="40" spans="1:69" s="153" customFormat="1" ht="10.5" customHeight="1" x14ac:dyDescent="0.2">
      <c r="A40" s="372"/>
      <c r="B40" s="1989"/>
      <c r="C40" s="2128"/>
      <c r="D40" s="2128"/>
      <c r="E40" s="2128"/>
      <c r="F40" s="2128"/>
      <c r="G40" s="2128"/>
      <c r="H40" s="2128"/>
      <c r="I40" s="2128"/>
      <c r="J40" s="2128"/>
      <c r="K40" s="2128"/>
      <c r="L40" s="2128"/>
      <c r="M40" s="2128"/>
      <c r="N40" s="2128"/>
      <c r="O40" s="2128"/>
      <c r="P40" s="2128"/>
      <c r="Q40" s="2128"/>
      <c r="R40" s="2128"/>
      <c r="S40" s="2128"/>
      <c r="T40" s="2128"/>
      <c r="U40" s="761"/>
      <c r="V40" s="761"/>
      <c r="W40" s="761"/>
      <c r="X40" s="761"/>
    </row>
    <row r="41" spans="1:69" s="153" customFormat="1" ht="10.5" customHeight="1" x14ac:dyDescent="0.2">
      <c r="A41" s="372"/>
      <c r="B41" s="1989"/>
      <c r="C41" s="2128"/>
      <c r="D41" s="2128"/>
      <c r="E41" s="2128"/>
      <c r="F41" s="2128"/>
      <c r="G41" s="2128"/>
      <c r="H41" s="2128"/>
      <c r="I41" s="2128"/>
      <c r="J41" s="2128"/>
      <c r="K41" s="2128"/>
      <c r="L41" s="2128"/>
      <c r="M41" s="2128"/>
      <c r="N41" s="2128"/>
      <c r="O41" s="2128"/>
      <c r="P41" s="2128"/>
      <c r="Q41" s="2128"/>
      <c r="R41" s="2128"/>
      <c r="S41" s="2128"/>
      <c r="T41" s="2128"/>
      <c r="U41" s="761"/>
      <c r="V41" s="761"/>
      <c r="W41" s="761"/>
      <c r="X41" s="761"/>
    </row>
    <row r="42" spans="1:69" s="153" customFormat="1" ht="10.5" customHeight="1" x14ac:dyDescent="0.2">
      <c r="A42" s="372"/>
      <c r="B42" s="1989"/>
      <c r="C42" s="2128"/>
      <c r="D42" s="2128"/>
      <c r="E42" s="2128"/>
      <c r="F42" s="2128"/>
      <c r="G42" s="2128"/>
      <c r="H42" s="2128"/>
      <c r="I42" s="2128"/>
      <c r="J42" s="2128"/>
      <c r="K42" s="2128"/>
      <c r="L42" s="2128"/>
      <c r="M42" s="2128"/>
      <c r="N42" s="2128"/>
      <c r="O42" s="2128"/>
      <c r="P42" s="2128"/>
      <c r="Q42" s="2128"/>
      <c r="R42" s="2128"/>
      <c r="S42" s="2128"/>
      <c r="T42" s="2128"/>
      <c r="U42" s="761"/>
      <c r="V42" s="761"/>
      <c r="W42" s="761"/>
      <c r="X42" s="761"/>
    </row>
    <row r="43" spans="1:69" s="153" customFormat="1" ht="10.5" customHeight="1" x14ac:dyDescent="0.2">
      <c r="A43" s="372" t="s">
        <v>81</v>
      </c>
      <c r="B43" s="372" t="s">
        <v>552</v>
      </c>
      <c r="C43" s="2128">
        <v>49971.9</v>
      </c>
      <c r="D43" s="2128">
        <v>-239.5</v>
      </c>
      <c r="E43" s="2128">
        <v>-4927.2</v>
      </c>
      <c r="F43" s="2128">
        <v>44805.200000000004</v>
      </c>
      <c r="G43" s="2128">
        <v>57841.7</v>
      </c>
      <c r="H43" s="2128">
        <v>58.8</v>
      </c>
      <c r="I43" s="2128">
        <v>50705.4</v>
      </c>
      <c r="J43" s="2128">
        <v>108605.9</v>
      </c>
      <c r="K43" s="2128">
        <v>12740.9</v>
      </c>
      <c r="L43" s="2128">
        <v>70</v>
      </c>
      <c r="M43" s="2128">
        <v>12810.9</v>
      </c>
      <c r="N43" s="2128">
        <v>212053.3</v>
      </c>
      <c r="O43" s="2128">
        <v>18437.3</v>
      </c>
      <c r="P43" s="2128">
        <v>230490.59999999998</v>
      </c>
      <c r="Q43" s="2128">
        <v>351907.39999999997</v>
      </c>
      <c r="R43" s="2128">
        <v>-45004.7</v>
      </c>
      <c r="S43" s="2128">
        <v>306902.69999999995</v>
      </c>
      <c r="T43" s="2128">
        <v>351707.89999999997</v>
      </c>
      <c r="U43" s="761"/>
      <c r="V43" s="761"/>
      <c r="W43" s="761"/>
      <c r="X43" s="761"/>
    </row>
    <row r="44" spans="1:69" s="153" customFormat="1" ht="10.5" customHeight="1" x14ac:dyDescent="0.2">
      <c r="A44" s="372" t="s">
        <v>81</v>
      </c>
      <c r="B44" s="1989" t="s">
        <v>553</v>
      </c>
      <c r="C44" s="2128">
        <v>53703.199999999997</v>
      </c>
      <c r="D44" s="2128">
        <v>-239.4</v>
      </c>
      <c r="E44" s="2128">
        <v>-4998.3999999999996</v>
      </c>
      <c r="F44" s="2128">
        <v>48465.399999999994</v>
      </c>
      <c r="G44" s="2128">
        <v>54738</v>
      </c>
      <c r="H44" s="2128">
        <v>53.5</v>
      </c>
      <c r="I44" s="2128">
        <v>51469.4</v>
      </c>
      <c r="J44" s="2128">
        <v>106260.9</v>
      </c>
      <c r="K44" s="2128">
        <v>12793.2</v>
      </c>
      <c r="L44" s="2128">
        <v>94.1</v>
      </c>
      <c r="M44" s="2128">
        <v>12887.300000000001</v>
      </c>
      <c r="N44" s="2128">
        <v>215166.3</v>
      </c>
      <c r="O44" s="2128">
        <v>18683.3</v>
      </c>
      <c r="P44" s="2128">
        <v>233849.59999999998</v>
      </c>
      <c r="Q44" s="2128">
        <v>352997.8</v>
      </c>
      <c r="R44" s="2128">
        <v>-43463.1</v>
      </c>
      <c r="S44" s="2128">
        <v>309534.7</v>
      </c>
      <c r="T44" s="2128">
        <v>358000.1</v>
      </c>
      <c r="U44" s="761"/>
      <c r="V44" s="761"/>
      <c r="W44" s="761"/>
      <c r="X44" s="761"/>
    </row>
    <row r="45" spans="1:69" s="153" customFormat="1" ht="10.5" customHeight="1" x14ac:dyDescent="0.2">
      <c r="A45" s="372" t="s">
        <v>81</v>
      </c>
      <c r="B45" s="372" t="s">
        <v>547</v>
      </c>
      <c r="C45" s="2128">
        <v>55834.400000000001</v>
      </c>
      <c r="D45" s="2128">
        <v>-230.9</v>
      </c>
      <c r="E45" s="2128">
        <v>-5060.3999999999996</v>
      </c>
      <c r="F45" s="2128">
        <v>50543.1</v>
      </c>
      <c r="G45" s="2128">
        <v>56483.199999999997</v>
      </c>
      <c r="H45" s="2128">
        <v>85.7</v>
      </c>
      <c r="I45" s="2128">
        <v>52600.800000000003</v>
      </c>
      <c r="J45" s="2128">
        <v>109169.7</v>
      </c>
      <c r="K45" s="2128">
        <v>12903.1</v>
      </c>
      <c r="L45" s="2128">
        <v>89.5</v>
      </c>
      <c r="M45" s="2128">
        <v>12992.6</v>
      </c>
      <c r="N45" s="2128">
        <v>219045.7</v>
      </c>
      <c r="O45" s="2128">
        <v>18858.3</v>
      </c>
      <c r="P45" s="2128">
        <v>237904</v>
      </c>
      <c r="Q45" s="2128">
        <v>360066.3</v>
      </c>
      <c r="R45" s="2128">
        <v>-43084</v>
      </c>
      <c r="S45" s="2128">
        <v>316982.3</v>
      </c>
      <c r="T45" s="2128">
        <v>367525.39999999997</v>
      </c>
      <c r="U45" s="761"/>
      <c r="V45" s="761"/>
      <c r="W45" s="761"/>
      <c r="X45" s="761"/>
    </row>
    <row r="46" spans="1:69" s="153" customFormat="1" ht="10.5" customHeight="1" x14ac:dyDescent="0.2">
      <c r="A46" s="372" t="s">
        <v>81</v>
      </c>
      <c r="B46" s="1989" t="s">
        <v>554</v>
      </c>
      <c r="C46" s="2128">
        <v>55194.5</v>
      </c>
      <c r="D46" s="2128">
        <v>-231.5</v>
      </c>
      <c r="E46" s="2128">
        <v>-5161.5</v>
      </c>
      <c r="F46" s="2128">
        <v>49801.5</v>
      </c>
      <c r="G46" s="2128">
        <v>54856.3</v>
      </c>
      <c r="H46" s="2128">
        <v>155.1</v>
      </c>
      <c r="I46" s="2128">
        <v>53720.9</v>
      </c>
      <c r="J46" s="2128">
        <v>108732.3</v>
      </c>
      <c r="K46" s="2128">
        <v>13221.7</v>
      </c>
      <c r="L46" s="2128">
        <v>73.2</v>
      </c>
      <c r="M46" s="2128">
        <v>13294.900000000001</v>
      </c>
      <c r="N46" s="2128">
        <v>223267.8</v>
      </c>
      <c r="O46" s="2128">
        <v>19374.3</v>
      </c>
      <c r="P46" s="2128">
        <v>242642.09999999998</v>
      </c>
      <c r="Q46" s="2128">
        <v>364669.3</v>
      </c>
      <c r="R46" s="2128">
        <v>-45074.2</v>
      </c>
      <c r="S46" s="2128">
        <v>319595.09999999998</v>
      </c>
      <c r="T46" s="2128">
        <v>369396.6</v>
      </c>
      <c r="U46" s="761"/>
      <c r="V46" s="761"/>
      <c r="W46" s="761"/>
      <c r="X46" s="761"/>
    </row>
    <row r="47" spans="1:69" s="153" customFormat="1" ht="10.5" customHeight="1" x14ac:dyDescent="0.2">
      <c r="A47" s="372" t="s">
        <v>81</v>
      </c>
      <c r="B47" s="372" t="s">
        <v>555</v>
      </c>
      <c r="C47" s="2128">
        <v>63101.5</v>
      </c>
      <c r="D47" s="2128">
        <v>-232</v>
      </c>
      <c r="E47" s="2128">
        <v>-5244.4</v>
      </c>
      <c r="F47" s="2128">
        <v>57625.1</v>
      </c>
      <c r="G47" s="2128">
        <v>51412.800000000003</v>
      </c>
      <c r="H47" s="2128">
        <v>192.5</v>
      </c>
      <c r="I47" s="2128">
        <v>54498</v>
      </c>
      <c r="J47" s="2128">
        <v>106103.3</v>
      </c>
      <c r="K47" s="2128">
        <v>13823.1</v>
      </c>
      <c r="L47" s="2128">
        <v>65.2</v>
      </c>
      <c r="M47" s="2128">
        <v>13888.300000000001</v>
      </c>
      <c r="N47" s="2128">
        <v>229572.2</v>
      </c>
      <c r="O47" s="2128">
        <v>19829.2</v>
      </c>
      <c r="P47" s="2128">
        <v>249401.40000000002</v>
      </c>
      <c r="Q47" s="2128">
        <v>369393</v>
      </c>
      <c r="R47" s="2128">
        <v>-46275.5</v>
      </c>
      <c r="S47" s="2128">
        <v>323117.5</v>
      </c>
      <c r="T47" s="2128">
        <v>380742.6</v>
      </c>
      <c r="U47" s="761"/>
      <c r="V47" s="761"/>
      <c r="W47" s="761"/>
      <c r="X47" s="761"/>
    </row>
    <row r="48" spans="1:69" s="153" customFormat="1" ht="10.5" customHeight="1" x14ac:dyDescent="0.2">
      <c r="A48" s="372" t="s">
        <v>81</v>
      </c>
      <c r="B48" s="1989" t="s">
        <v>548</v>
      </c>
      <c r="C48" s="2128">
        <v>61855.6</v>
      </c>
      <c r="D48" s="2128">
        <v>-231.2</v>
      </c>
      <c r="E48" s="2128">
        <v>-5337.2</v>
      </c>
      <c r="F48" s="2128">
        <v>56287.200000000004</v>
      </c>
      <c r="G48" s="2128">
        <v>48773.1</v>
      </c>
      <c r="H48" s="2128">
        <v>273.8</v>
      </c>
      <c r="I48" s="2128">
        <v>55023.3</v>
      </c>
      <c r="J48" s="2128">
        <v>104070.20000000001</v>
      </c>
      <c r="K48" s="2128">
        <v>14934.5</v>
      </c>
      <c r="L48" s="2128">
        <v>75.400000000000006</v>
      </c>
      <c r="M48" s="2128">
        <v>15009.9</v>
      </c>
      <c r="N48" s="2128">
        <v>235800.1</v>
      </c>
      <c r="O48" s="2128">
        <v>20353.7</v>
      </c>
      <c r="P48" s="2128">
        <v>256153.80000000002</v>
      </c>
      <c r="Q48" s="2128">
        <v>375233.9</v>
      </c>
      <c r="R48" s="2128">
        <v>-44565.7</v>
      </c>
      <c r="S48" s="2128">
        <v>330668.2</v>
      </c>
      <c r="T48" s="2128">
        <v>386955.4</v>
      </c>
      <c r="U48" s="761"/>
      <c r="V48" s="761"/>
      <c r="W48" s="761"/>
      <c r="X48" s="761"/>
    </row>
    <row r="49" spans="1:24" s="153" customFormat="1" ht="10.5" customHeight="1" x14ac:dyDescent="0.2">
      <c r="A49" s="372" t="s">
        <v>81</v>
      </c>
      <c r="B49" s="372" t="s">
        <v>556</v>
      </c>
      <c r="C49" s="2128">
        <v>61506.1</v>
      </c>
      <c r="D49" s="2128">
        <v>-231.5</v>
      </c>
      <c r="E49" s="2128">
        <v>-5435.7</v>
      </c>
      <c r="F49" s="2128">
        <v>55838.9</v>
      </c>
      <c r="G49" s="2128">
        <v>48531.1</v>
      </c>
      <c r="H49" s="2128">
        <v>309.89999999999998</v>
      </c>
      <c r="I49" s="2128">
        <v>56206.9</v>
      </c>
      <c r="J49" s="2128">
        <v>105047.9</v>
      </c>
      <c r="K49" s="2128">
        <v>14205</v>
      </c>
      <c r="L49" s="2128">
        <v>63.8</v>
      </c>
      <c r="M49" s="2128">
        <v>14268.8</v>
      </c>
      <c r="N49" s="2128">
        <v>238100.1</v>
      </c>
      <c r="O49" s="2128">
        <v>20775.2</v>
      </c>
      <c r="P49" s="2128">
        <v>258875.30000000002</v>
      </c>
      <c r="Q49" s="2128">
        <v>378192</v>
      </c>
      <c r="R49" s="2128">
        <v>-45977.1</v>
      </c>
      <c r="S49" s="2128">
        <v>332214.90000000002</v>
      </c>
      <c r="T49" s="2128">
        <v>388053.80000000005</v>
      </c>
      <c r="U49" s="761"/>
      <c r="V49" s="761"/>
      <c r="W49" s="761"/>
      <c r="X49" s="761"/>
    </row>
    <row r="50" spans="1:24" s="153" customFormat="1" ht="10.5" customHeight="1" x14ac:dyDescent="0.2">
      <c r="A50" s="372" t="s">
        <v>81</v>
      </c>
      <c r="B50" s="1989" t="s">
        <v>557</v>
      </c>
      <c r="C50" s="2128">
        <v>64738.3</v>
      </c>
      <c r="D50" s="2128">
        <v>-231.8</v>
      </c>
      <c r="E50" s="2128">
        <v>-5511.5</v>
      </c>
      <c r="F50" s="2128">
        <v>58995</v>
      </c>
      <c r="G50" s="2128">
        <v>49364.9</v>
      </c>
      <c r="H50" s="2128">
        <v>236.3</v>
      </c>
      <c r="I50" s="2128">
        <v>57188.4</v>
      </c>
      <c r="J50" s="2128">
        <v>106789.6</v>
      </c>
      <c r="K50" s="2128">
        <v>14262.3</v>
      </c>
      <c r="L50" s="2128">
        <v>73.3</v>
      </c>
      <c r="M50" s="2128">
        <v>14335.599999999999</v>
      </c>
      <c r="N50" s="2128">
        <v>240218.9</v>
      </c>
      <c r="O50" s="2128">
        <v>21116</v>
      </c>
      <c r="P50" s="2128">
        <v>261334.9</v>
      </c>
      <c r="Q50" s="2128">
        <v>382460.1</v>
      </c>
      <c r="R50" s="2128">
        <v>-45851.199999999997</v>
      </c>
      <c r="S50" s="2128">
        <v>336608.89999999997</v>
      </c>
      <c r="T50" s="2128">
        <v>395603.89999999997</v>
      </c>
      <c r="U50" s="761"/>
      <c r="V50" s="761"/>
      <c r="W50" s="761"/>
      <c r="X50" s="761"/>
    </row>
    <row r="51" spans="1:24" s="153" customFormat="1" ht="10.5" customHeight="1" x14ac:dyDescent="0.2">
      <c r="A51" s="372" t="s">
        <v>81</v>
      </c>
      <c r="B51" s="372" t="s">
        <v>549</v>
      </c>
      <c r="C51" s="2128">
        <v>63916.5</v>
      </c>
      <c r="D51" s="2128">
        <v>-221.6</v>
      </c>
      <c r="E51" s="2128">
        <v>-5580.9</v>
      </c>
      <c r="F51" s="2128">
        <v>58114</v>
      </c>
      <c r="G51" s="2128">
        <v>47846.3</v>
      </c>
      <c r="H51" s="2128">
        <v>188.6</v>
      </c>
      <c r="I51" s="2128">
        <v>58320.800000000003</v>
      </c>
      <c r="J51" s="2128">
        <v>106355.70000000001</v>
      </c>
      <c r="K51" s="2128">
        <v>15139.2</v>
      </c>
      <c r="L51" s="2128">
        <v>83.8</v>
      </c>
      <c r="M51" s="2128">
        <v>15223</v>
      </c>
      <c r="N51" s="2128">
        <v>243019.9</v>
      </c>
      <c r="O51" s="2128">
        <v>21683.1</v>
      </c>
      <c r="P51" s="2128">
        <v>264703</v>
      </c>
      <c r="Q51" s="2128">
        <v>386281.7</v>
      </c>
      <c r="R51" s="2128">
        <v>-44802.9</v>
      </c>
      <c r="S51" s="2128">
        <v>341478.8</v>
      </c>
      <c r="T51" s="2128">
        <v>399592.8</v>
      </c>
      <c r="U51" s="761"/>
      <c r="V51" s="761"/>
      <c r="W51" s="761"/>
      <c r="X51" s="761"/>
    </row>
    <row r="52" spans="1:24" s="153" customFormat="1" ht="10.5" customHeight="1" x14ac:dyDescent="0.2">
      <c r="A52" s="372" t="s">
        <v>81</v>
      </c>
      <c r="B52" s="1989" t="s">
        <v>558</v>
      </c>
      <c r="C52" s="2128">
        <v>64384.6</v>
      </c>
      <c r="D52" s="2128">
        <v>-221.9</v>
      </c>
      <c r="E52" s="2128">
        <v>-5635.4</v>
      </c>
      <c r="F52" s="2128">
        <v>58527.299999999996</v>
      </c>
      <c r="G52" s="2128">
        <v>47768.800000000003</v>
      </c>
      <c r="H52" s="2128">
        <v>178.6</v>
      </c>
      <c r="I52" s="2128">
        <v>59258</v>
      </c>
      <c r="J52" s="2128">
        <v>107205.4</v>
      </c>
      <c r="K52" s="2128">
        <v>15453.2</v>
      </c>
      <c r="L52" s="2128">
        <v>86.6</v>
      </c>
      <c r="M52" s="2128">
        <v>15539.800000000001</v>
      </c>
      <c r="N52" s="2128">
        <v>247741.5</v>
      </c>
      <c r="O52" s="2128">
        <v>22257.5</v>
      </c>
      <c r="P52" s="2128">
        <v>269999</v>
      </c>
      <c r="Q52" s="2128">
        <v>392744.2</v>
      </c>
      <c r="R52" s="2128">
        <v>-44504.800000000003</v>
      </c>
      <c r="S52" s="2128">
        <v>348239.4</v>
      </c>
      <c r="T52" s="2128">
        <v>406766.7</v>
      </c>
      <c r="U52" s="761"/>
      <c r="V52" s="761"/>
      <c r="W52" s="761"/>
      <c r="X52" s="761"/>
    </row>
    <row r="53" spans="1:24" s="153" customFormat="1" ht="10.5" customHeight="1" x14ac:dyDescent="0.2">
      <c r="A53" s="372" t="s">
        <v>81</v>
      </c>
      <c r="B53" s="372" t="s">
        <v>559</v>
      </c>
      <c r="C53" s="2128">
        <v>65115</v>
      </c>
      <c r="D53" s="2128">
        <v>-222.2</v>
      </c>
      <c r="E53" s="2128">
        <v>-5701.4</v>
      </c>
      <c r="F53" s="2128">
        <v>59191.4</v>
      </c>
      <c r="G53" s="2128">
        <v>49418.8</v>
      </c>
      <c r="H53" s="2128">
        <v>186.8</v>
      </c>
      <c r="I53" s="2128">
        <v>60226.2</v>
      </c>
      <c r="J53" s="2128">
        <v>109831.8</v>
      </c>
      <c r="K53" s="2128">
        <v>14749.1</v>
      </c>
      <c r="L53" s="2128">
        <v>58.5</v>
      </c>
      <c r="M53" s="2128">
        <v>14807.6</v>
      </c>
      <c r="N53" s="2128">
        <v>254967.6</v>
      </c>
      <c r="O53" s="2128">
        <v>22781.9</v>
      </c>
      <c r="P53" s="2128">
        <v>277749.5</v>
      </c>
      <c r="Q53" s="2128">
        <v>402388.9</v>
      </c>
      <c r="R53" s="2128">
        <v>-44247.3</v>
      </c>
      <c r="S53" s="2128">
        <v>358141.60000000003</v>
      </c>
      <c r="T53" s="2128">
        <v>417333.00000000006</v>
      </c>
      <c r="U53" s="761"/>
      <c r="V53" s="761"/>
      <c r="W53" s="761"/>
      <c r="X53" s="761"/>
    </row>
    <row r="54" spans="1:24" s="153" customFormat="1" ht="10.5" customHeight="1" x14ac:dyDescent="0.2">
      <c r="A54" s="372" t="s">
        <v>81</v>
      </c>
      <c r="B54" s="1989" t="s">
        <v>550</v>
      </c>
      <c r="C54" s="2128">
        <v>67049.8</v>
      </c>
      <c r="D54" s="2128">
        <v>-221.7</v>
      </c>
      <c r="E54" s="2128">
        <v>-5768.2</v>
      </c>
      <c r="F54" s="2128">
        <v>61059.900000000009</v>
      </c>
      <c r="G54" s="2128">
        <v>54364.4</v>
      </c>
      <c r="H54" s="2128">
        <v>175.5</v>
      </c>
      <c r="I54" s="2128">
        <v>61381.4</v>
      </c>
      <c r="J54" s="2128">
        <v>115921.3</v>
      </c>
      <c r="K54" s="2128">
        <v>15009.7</v>
      </c>
      <c r="L54" s="2128">
        <v>93.8</v>
      </c>
      <c r="M54" s="2128">
        <v>15103.5</v>
      </c>
      <c r="N54" s="2128">
        <v>261852</v>
      </c>
      <c r="O54" s="2128">
        <v>23541.3</v>
      </c>
      <c r="P54" s="2128">
        <v>285393.3</v>
      </c>
      <c r="Q54" s="2128">
        <v>416418.1</v>
      </c>
      <c r="R54" s="2128">
        <v>-48140.800000000003</v>
      </c>
      <c r="S54" s="2128">
        <v>368277.3</v>
      </c>
      <c r="T54" s="2128">
        <v>429337.2</v>
      </c>
      <c r="U54" s="761"/>
      <c r="V54" s="761"/>
      <c r="W54" s="761"/>
      <c r="X54" s="761"/>
    </row>
    <row r="55" spans="1:24" s="153" customFormat="1" ht="10.5" customHeight="1" x14ac:dyDescent="0.2">
      <c r="A55" s="372" t="s">
        <v>189</v>
      </c>
      <c r="B55" s="372" t="s">
        <v>552</v>
      </c>
      <c r="C55" s="2129">
        <v>68672.399999999994</v>
      </c>
      <c r="D55" s="2129">
        <v>-221.7</v>
      </c>
      <c r="E55" s="2129">
        <v>-5858.9</v>
      </c>
      <c r="F55" s="2130">
        <f t="shared" ref="F55:F66" si="9">C55+D55+E55</f>
        <v>62591.799999999996</v>
      </c>
      <c r="G55" s="2129">
        <v>53964.6</v>
      </c>
      <c r="H55" s="2129">
        <v>183.8</v>
      </c>
      <c r="I55" s="2129">
        <v>62005.7</v>
      </c>
      <c r="J55" s="2129">
        <f t="shared" ref="J55:J66" si="10">G55+H55+I55</f>
        <v>116154.1</v>
      </c>
      <c r="K55" s="2129">
        <v>15042.6</v>
      </c>
      <c r="L55" s="2129">
        <v>88.5</v>
      </c>
      <c r="M55" s="2129">
        <f t="shared" ref="M55:M66" si="11">K55+L55</f>
        <v>15131.1</v>
      </c>
      <c r="N55" s="2129">
        <v>264880.90000000002</v>
      </c>
      <c r="O55" s="2129">
        <v>23663.5</v>
      </c>
      <c r="P55" s="2129">
        <f t="shared" ref="P55:P66" si="12">N55+O55</f>
        <v>288544.40000000002</v>
      </c>
      <c r="Q55" s="2129">
        <f t="shared" ref="Q55:Q66" si="13">J55+M55+P55</f>
        <v>419829.60000000003</v>
      </c>
      <c r="R55" s="2129">
        <v>-51083.9</v>
      </c>
      <c r="S55" s="2129">
        <f t="shared" ref="S55:S66" si="14">Q55+R55</f>
        <v>368745.7</v>
      </c>
      <c r="T55" s="2129">
        <f t="shared" ref="T55:T66" si="15">F55+S55</f>
        <v>431337.5</v>
      </c>
      <c r="U55" s="761"/>
      <c r="V55" s="761"/>
      <c r="W55" s="761"/>
      <c r="X55" s="761"/>
    </row>
    <row r="56" spans="1:24" s="153" customFormat="1" ht="10.5" customHeight="1" x14ac:dyDescent="0.2">
      <c r="A56" s="372" t="s">
        <v>189</v>
      </c>
      <c r="B56" s="1989" t="s">
        <v>553</v>
      </c>
      <c r="C56" s="2129">
        <v>69088.100000000006</v>
      </c>
      <c r="D56" s="2129">
        <v>-222.3</v>
      </c>
      <c r="E56" s="2129">
        <v>-5881.2</v>
      </c>
      <c r="F56" s="2130">
        <f t="shared" si="9"/>
        <v>62984.600000000006</v>
      </c>
      <c r="G56" s="2129">
        <v>53396.4</v>
      </c>
      <c r="H56" s="2129">
        <v>195.4</v>
      </c>
      <c r="I56" s="2129">
        <v>62479.9</v>
      </c>
      <c r="J56" s="2129">
        <f t="shared" si="10"/>
        <v>116071.70000000001</v>
      </c>
      <c r="K56" s="2129">
        <v>15222.4</v>
      </c>
      <c r="L56" s="2129">
        <v>89.3</v>
      </c>
      <c r="M56" s="2129">
        <f t="shared" si="11"/>
        <v>15311.699999999999</v>
      </c>
      <c r="N56" s="2129">
        <v>271428</v>
      </c>
      <c r="O56" s="2129">
        <v>23913.8</v>
      </c>
      <c r="P56" s="2129">
        <f t="shared" si="12"/>
        <v>295341.8</v>
      </c>
      <c r="Q56" s="2129">
        <f t="shared" si="13"/>
        <v>426725.2</v>
      </c>
      <c r="R56" s="2129">
        <v>-49245.5</v>
      </c>
      <c r="S56" s="2129">
        <f t="shared" si="14"/>
        <v>377479.7</v>
      </c>
      <c r="T56" s="2129">
        <f t="shared" si="15"/>
        <v>440464.30000000005</v>
      </c>
      <c r="U56" s="761"/>
      <c r="V56" s="761"/>
      <c r="W56" s="761"/>
      <c r="X56" s="761"/>
    </row>
    <row r="57" spans="1:24" s="153" customFormat="1" ht="10.5" customHeight="1" x14ac:dyDescent="0.2">
      <c r="A57" s="372" t="s">
        <v>189</v>
      </c>
      <c r="B57" s="372" t="s">
        <v>547</v>
      </c>
      <c r="C57" s="2129">
        <v>71063.899999999994</v>
      </c>
      <c r="D57" s="2129">
        <v>-212.2</v>
      </c>
      <c r="E57" s="2129">
        <v>-5897.4</v>
      </c>
      <c r="F57" s="2130">
        <f t="shared" si="9"/>
        <v>64954.299999999996</v>
      </c>
      <c r="G57" s="2129">
        <v>53618.8</v>
      </c>
      <c r="H57" s="2129">
        <v>201.3</v>
      </c>
      <c r="I57" s="2129">
        <v>62814.7</v>
      </c>
      <c r="J57" s="2129">
        <f t="shared" si="10"/>
        <v>116634.8</v>
      </c>
      <c r="K57" s="2129">
        <v>15467.8</v>
      </c>
      <c r="L57" s="2129">
        <v>69.3</v>
      </c>
      <c r="M57" s="2129">
        <f t="shared" si="11"/>
        <v>15537.099999999999</v>
      </c>
      <c r="N57" s="2129">
        <v>278211.3</v>
      </c>
      <c r="O57" s="2129">
        <v>24189.8</v>
      </c>
      <c r="P57" s="2129">
        <f t="shared" si="12"/>
        <v>302401.09999999998</v>
      </c>
      <c r="Q57" s="2129">
        <f t="shared" si="13"/>
        <v>434573</v>
      </c>
      <c r="R57" s="2129">
        <v>-52692</v>
      </c>
      <c r="S57" s="2129">
        <f t="shared" si="14"/>
        <v>381881</v>
      </c>
      <c r="T57" s="2129">
        <f t="shared" si="15"/>
        <v>446835.3</v>
      </c>
      <c r="U57" s="761"/>
      <c r="V57" s="761"/>
      <c r="W57" s="761"/>
      <c r="X57" s="761"/>
    </row>
    <row r="58" spans="1:24" s="153" customFormat="1" ht="10.5" customHeight="1" x14ac:dyDescent="0.2">
      <c r="A58" s="372" t="s">
        <v>189</v>
      </c>
      <c r="B58" s="1989" t="s">
        <v>554</v>
      </c>
      <c r="C58" s="2129">
        <v>72343</v>
      </c>
      <c r="D58" s="2129">
        <v>-212.5</v>
      </c>
      <c r="E58" s="2129">
        <v>-5921.1</v>
      </c>
      <c r="F58" s="2130">
        <f t="shared" si="9"/>
        <v>66209.399999999994</v>
      </c>
      <c r="G58" s="2129">
        <v>54221.4</v>
      </c>
      <c r="H58" s="2129">
        <v>249.9</v>
      </c>
      <c r="I58" s="2129">
        <v>63304.9</v>
      </c>
      <c r="J58" s="2129">
        <f t="shared" si="10"/>
        <v>117776.20000000001</v>
      </c>
      <c r="K58" s="2129">
        <v>15949.7</v>
      </c>
      <c r="L58" s="2129">
        <v>103.1</v>
      </c>
      <c r="M58" s="2129">
        <f t="shared" si="11"/>
        <v>16052.800000000001</v>
      </c>
      <c r="N58" s="2129">
        <v>285326.5</v>
      </c>
      <c r="O58" s="2129">
        <v>24542.9</v>
      </c>
      <c r="P58" s="2129">
        <f t="shared" si="12"/>
        <v>309869.40000000002</v>
      </c>
      <c r="Q58" s="2129">
        <f t="shared" si="13"/>
        <v>443698.4</v>
      </c>
      <c r="R58" s="2129">
        <v>-56464</v>
      </c>
      <c r="S58" s="2129">
        <f t="shared" si="14"/>
        <v>387234.4</v>
      </c>
      <c r="T58" s="2129">
        <f t="shared" si="15"/>
        <v>453443.80000000005</v>
      </c>
      <c r="U58" s="761"/>
      <c r="V58" s="761"/>
      <c r="W58" s="761"/>
      <c r="X58" s="761"/>
    </row>
    <row r="59" spans="1:24" s="153" customFormat="1" ht="10.5" customHeight="1" x14ac:dyDescent="0.2">
      <c r="A59" s="372" t="s">
        <v>189</v>
      </c>
      <c r="B59" s="372" t="s">
        <v>555</v>
      </c>
      <c r="C59" s="2129">
        <v>69933.399999999994</v>
      </c>
      <c r="D59" s="2129">
        <v>-212.7</v>
      </c>
      <c r="E59" s="2129">
        <v>-5948.4</v>
      </c>
      <c r="F59" s="2130">
        <f t="shared" si="9"/>
        <v>63772.299999999996</v>
      </c>
      <c r="G59" s="2129">
        <v>54698.7</v>
      </c>
      <c r="H59" s="2129">
        <v>308.89999999999998</v>
      </c>
      <c r="I59" s="2129">
        <v>63449.8</v>
      </c>
      <c r="J59" s="2129">
        <f t="shared" si="10"/>
        <v>118457.4</v>
      </c>
      <c r="K59" s="2129">
        <v>17160.900000000001</v>
      </c>
      <c r="L59" s="2129">
        <v>102.7</v>
      </c>
      <c r="M59" s="2129">
        <f t="shared" si="11"/>
        <v>17263.600000000002</v>
      </c>
      <c r="N59" s="2129">
        <v>294820.90000000002</v>
      </c>
      <c r="O59" s="2129">
        <v>24673</v>
      </c>
      <c r="P59" s="2129">
        <f t="shared" si="12"/>
        <v>319493.90000000002</v>
      </c>
      <c r="Q59" s="2129">
        <f t="shared" si="13"/>
        <v>455214.9</v>
      </c>
      <c r="R59" s="2129">
        <v>-55815.3</v>
      </c>
      <c r="S59" s="2129">
        <f t="shared" si="14"/>
        <v>399399.60000000003</v>
      </c>
      <c r="T59" s="2129">
        <f t="shared" si="15"/>
        <v>463171.9</v>
      </c>
      <c r="U59" s="761"/>
      <c r="V59" s="761"/>
      <c r="W59" s="761"/>
      <c r="X59" s="761"/>
    </row>
    <row r="60" spans="1:24" s="153" customFormat="1" ht="10.5" customHeight="1" x14ac:dyDescent="0.2">
      <c r="A60" s="372" t="s">
        <v>189</v>
      </c>
      <c r="B60" s="1838" t="s">
        <v>548</v>
      </c>
      <c r="C60" s="2129">
        <v>70598.600000000006</v>
      </c>
      <c r="D60" s="2129">
        <v>-410.4</v>
      </c>
      <c r="E60" s="2129">
        <v>-5945.2</v>
      </c>
      <c r="F60" s="2130">
        <f t="shared" si="9"/>
        <v>64243.000000000015</v>
      </c>
      <c r="G60" s="2129">
        <v>52434</v>
      </c>
      <c r="H60" s="2129">
        <v>355.3</v>
      </c>
      <c r="I60" s="2129">
        <v>63351.1</v>
      </c>
      <c r="J60" s="2129">
        <f t="shared" si="10"/>
        <v>116140.4</v>
      </c>
      <c r="K60" s="2129">
        <v>18928.900000000001</v>
      </c>
      <c r="L60" s="2129">
        <v>78.099999999999994</v>
      </c>
      <c r="M60" s="2129">
        <f t="shared" si="11"/>
        <v>19007</v>
      </c>
      <c r="N60" s="2129">
        <v>302665.90000000002</v>
      </c>
      <c r="O60" s="2129">
        <v>25660.400000000001</v>
      </c>
      <c r="P60" s="2129">
        <f t="shared" si="12"/>
        <v>328326.30000000005</v>
      </c>
      <c r="Q60" s="2129">
        <f t="shared" si="13"/>
        <v>463473.70000000007</v>
      </c>
      <c r="R60" s="2129">
        <v>-59195.3</v>
      </c>
      <c r="S60" s="2129">
        <f t="shared" si="14"/>
        <v>404278.40000000008</v>
      </c>
      <c r="T60" s="2129">
        <f t="shared" si="15"/>
        <v>468521.40000000008</v>
      </c>
      <c r="U60" s="761"/>
      <c r="V60" s="761"/>
      <c r="W60" s="761"/>
      <c r="X60" s="761"/>
    </row>
    <row r="61" spans="1:24" s="153" customFormat="1" ht="10.5" customHeight="1" x14ac:dyDescent="0.2">
      <c r="A61" s="372" t="s">
        <v>189</v>
      </c>
      <c r="B61" s="372" t="s">
        <v>556</v>
      </c>
      <c r="C61" s="2129">
        <v>67627.600000000006</v>
      </c>
      <c r="D61" s="2129">
        <v>-412.2</v>
      </c>
      <c r="E61" s="2129">
        <v>-5945.4</v>
      </c>
      <c r="F61" s="2130">
        <f t="shared" si="9"/>
        <v>61270.000000000007</v>
      </c>
      <c r="G61" s="2129">
        <v>54801.9</v>
      </c>
      <c r="H61" s="2129">
        <v>386.3</v>
      </c>
      <c r="I61" s="2129">
        <v>63680</v>
      </c>
      <c r="J61" s="2129">
        <f t="shared" si="10"/>
        <v>118868.20000000001</v>
      </c>
      <c r="K61" s="2129">
        <v>19792.900000000001</v>
      </c>
      <c r="L61" s="2129">
        <v>88.1</v>
      </c>
      <c r="M61" s="2129">
        <f t="shared" si="11"/>
        <v>19881</v>
      </c>
      <c r="N61" s="2129">
        <v>306698.59999999998</v>
      </c>
      <c r="O61" s="2129">
        <v>25529.8</v>
      </c>
      <c r="P61" s="2129">
        <f t="shared" si="12"/>
        <v>332228.39999999997</v>
      </c>
      <c r="Q61" s="2129">
        <f t="shared" si="13"/>
        <v>470977.6</v>
      </c>
      <c r="R61" s="2129">
        <v>-60637.599999999999</v>
      </c>
      <c r="S61" s="2129">
        <f t="shared" si="14"/>
        <v>410340</v>
      </c>
      <c r="T61" s="2129">
        <f t="shared" si="15"/>
        <v>471610</v>
      </c>
      <c r="U61" s="761"/>
      <c r="V61" s="761"/>
      <c r="W61" s="761"/>
      <c r="X61" s="761"/>
    </row>
    <row r="62" spans="1:24" s="153" customFormat="1" ht="10.5" customHeight="1" x14ac:dyDescent="0.2">
      <c r="A62" s="372" t="s">
        <v>189</v>
      </c>
      <c r="B62" s="1838" t="s">
        <v>557</v>
      </c>
      <c r="C62" s="2129">
        <v>67730.7</v>
      </c>
      <c r="D62" s="2129">
        <v>-413.8</v>
      </c>
      <c r="E62" s="2129">
        <v>-5951.1</v>
      </c>
      <c r="F62" s="2130">
        <f t="shared" si="9"/>
        <v>61365.799999999996</v>
      </c>
      <c r="G62" s="2129">
        <v>56044.2</v>
      </c>
      <c r="H62" s="2129">
        <v>441</v>
      </c>
      <c r="I62" s="2129">
        <v>63994.3</v>
      </c>
      <c r="J62" s="2129">
        <f t="shared" si="10"/>
        <v>120479.5</v>
      </c>
      <c r="K62" s="2129">
        <v>19816</v>
      </c>
      <c r="L62" s="2129">
        <v>88.5</v>
      </c>
      <c r="M62" s="2129">
        <f t="shared" si="11"/>
        <v>19904.5</v>
      </c>
      <c r="N62" s="2129">
        <v>309993.2</v>
      </c>
      <c r="O62" s="2129">
        <v>25937.7</v>
      </c>
      <c r="P62" s="2129">
        <f t="shared" si="12"/>
        <v>335930.9</v>
      </c>
      <c r="Q62" s="2129">
        <f t="shared" si="13"/>
        <v>476314.9</v>
      </c>
      <c r="R62" s="2129">
        <v>-60755.3</v>
      </c>
      <c r="S62" s="2129">
        <f t="shared" si="14"/>
        <v>415559.60000000003</v>
      </c>
      <c r="T62" s="2129">
        <f t="shared" si="15"/>
        <v>476925.4</v>
      </c>
      <c r="U62" s="761"/>
      <c r="V62" s="761"/>
      <c r="W62" s="761"/>
      <c r="X62" s="761"/>
    </row>
    <row r="63" spans="1:24" s="153" customFormat="1" ht="10.5" customHeight="1" x14ac:dyDescent="0.2">
      <c r="A63" s="372" t="s">
        <v>189</v>
      </c>
      <c r="B63" s="372" t="s">
        <v>549</v>
      </c>
      <c r="C63" s="2129">
        <v>68859.399999999994</v>
      </c>
      <c r="D63" s="2129">
        <v>-404.9</v>
      </c>
      <c r="E63" s="2129">
        <v>-5968</v>
      </c>
      <c r="F63" s="2130">
        <f t="shared" si="9"/>
        <v>62486.5</v>
      </c>
      <c r="G63" s="2129">
        <v>60950.1</v>
      </c>
      <c r="H63" s="2129">
        <v>442.4</v>
      </c>
      <c r="I63" s="2129">
        <v>64018.3</v>
      </c>
      <c r="J63" s="2129">
        <f t="shared" si="10"/>
        <v>125410.8</v>
      </c>
      <c r="K63" s="2129">
        <v>19991.8</v>
      </c>
      <c r="L63" s="2129">
        <v>87.2</v>
      </c>
      <c r="M63" s="2129">
        <f t="shared" si="11"/>
        <v>20079</v>
      </c>
      <c r="N63" s="2129">
        <v>315758.5</v>
      </c>
      <c r="O63" s="2129">
        <v>26457.9</v>
      </c>
      <c r="P63" s="2129">
        <f t="shared" si="12"/>
        <v>342216.4</v>
      </c>
      <c r="Q63" s="2129">
        <f t="shared" si="13"/>
        <v>487706.2</v>
      </c>
      <c r="R63" s="2129">
        <v>-62888.4</v>
      </c>
      <c r="S63" s="2129">
        <f t="shared" si="14"/>
        <v>424817.8</v>
      </c>
      <c r="T63" s="2129">
        <f t="shared" si="15"/>
        <v>487304.3</v>
      </c>
      <c r="U63" s="761"/>
      <c r="V63" s="761"/>
      <c r="W63" s="761"/>
      <c r="X63" s="761"/>
    </row>
    <row r="64" spans="1:24" s="153" customFormat="1" ht="10.5" customHeight="1" x14ac:dyDescent="0.2">
      <c r="A64" s="372" t="s">
        <v>189</v>
      </c>
      <c r="B64" s="1838" t="s">
        <v>558</v>
      </c>
      <c r="C64" s="2129">
        <v>69082.2</v>
      </c>
      <c r="D64" s="2129">
        <v>-401.4</v>
      </c>
      <c r="E64" s="2129">
        <v>-5999.7</v>
      </c>
      <c r="F64" s="2130">
        <f t="shared" si="9"/>
        <v>62681.100000000006</v>
      </c>
      <c r="G64" s="2129">
        <v>63730.1</v>
      </c>
      <c r="H64" s="2129">
        <v>480.8</v>
      </c>
      <c r="I64" s="2129">
        <v>63887.1</v>
      </c>
      <c r="J64" s="2129">
        <f t="shared" si="10"/>
        <v>128098</v>
      </c>
      <c r="K64" s="2129">
        <v>18444</v>
      </c>
      <c r="L64" s="2129">
        <v>95.3</v>
      </c>
      <c r="M64" s="2129">
        <f t="shared" si="11"/>
        <v>18539.3</v>
      </c>
      <c r="N64" s="2129">
        <v>322121.2</v>
      </c>
      <c r="O64" s="2129">
        <v>26681.599999999999</v>
      </c>
      <c r="P64" s="2129">
        <f t="shared" si="12"/>
        <v>348802.8</v>
      </c>
      <c r="Q64" s="2129">
        <f t="shared" si="13"/>
        <v>495440.1</v>
      </c>
      <c r="R64" s="2129">
        <v>-66393.3</v>
      </c>
      <c r="S64" s="2129">
        <f t="shared" si="14"/>
        <v>429046.8</v>
      </c>
      <c r="T64" s="2129">
        <f t="shared" si="15"/>
        <v>491727.9</v>
      </c>
      <c r="U64" s="761"/>
      <c r="V64" s="761"/>
      <c r="W64" s="761"/>
      <c r="X64" s="761"/>
    </row>
    <row r="65" spans="1:24" s="153" customFormat="1" ht="10.5" customHeight="1" x14ac:dyDescent="0.2">
      <c r="A65" s="372" t="s">
        <v>189</v>
      </c>
      <c r="B65" s="372" t="s">
        <v>559</v>
      </c>
      <c r="C65" s="2129">
        <v>67825.899999999994</v>
      </c>
      <c r="D65" s="2129">
        <v>-403.4</v>
      </c>
      <c r="E65" s="2129">
        <v>-6033.5</v>
      </c>
      <c r="F65" s="2130">
        <f t="shared" si="9"/>
        <v>61389</v>
      </c>
      <c r="G65" s="2129">
        <v>65604.2</v>
      </c>
      <c r="H65" s="2129">
        <v>491.7</v>
      </c>
      <c r="I65" s="2129">
        <v>63824.4</v>
      </c>
      <c r="J65" s="2129">
        <f t="shared" si="10"/>
        <v>129920.29999999999</v>
      </c>
      <c r="K65" s="2129">
        <v>18848.900000000001</v>
      </c>
      <c r="L65" s="2129">
        <v>94.3</v>
      </c>
      <c r="M65" s="2129">
        <f t="shared" si="11"/>
        <v>18943.2</v>
      </c>
      <c r="N65" s="2129">
        <v>327816.59999999998</v>
      </c>
      <c r="O65" s="2129">
        <v>26966.6</v>
      </c>
      <c r="P65" s="2129">
        <f t="shared" si="12"/>
        <v>354783.19999999995</v>
      </c>
      <c r="Q65" s="2129">
        <f t="shared" si="13"/>
        <v>503646.69999999995</v>
      </c>
      <c r="R65" s="2129">
        <v>-65707.3</v>
      </c>
      <c r="S65" s="2129">
        <f t="shared" si="14"/>
        <v>437939.39999999997</v>
      </c>
      <c r="T65" s="2129">
        <f t="shared" si="15"/>
        <v>499328.39999999997</v>
      </c>
      <c r="U65" s="761"/>
      <c r="V65" s="761"/>
      <c r="W65" s="761"/>
      <c r="X65" s="761"/>
    </row>
    <row r="66" spans="1:24" s="153" customFormat="1" ht="10.5" customHeight="1" x14ac:dyDescent="0.2">
      <c r="A66" s="372" t="s">
        <v>189</v>
      </c>
      <c r="B66" s="1838" t="s">
        <v>550</v>
      </c>
      <c r="C66" s="2131">
        <v>70495.3</v>
      </c>
      <c r="D66" s="2131">
        <v>-404.7</v>
      </c>
      <c r="E66" s="2131">
        <v>-6049.4</v>
      </c>
      <c r="F66" s="2132">
        <f t="shared" si="9"/>
        <v>64041.200000000004</v>
      </c>
      <c r="G66" s="2131">
        <v>73341.100000000006</v>
      </c>
      <c r="H66" s="2131">
        <v>372.6</v>
      </c>
      <c r="I66" s="2131">
        <v>63438.3</v>
      </c>
      <c r="J66" s="2131">
        <f t="shared" si="10"/>
        <v>137152</v>
      </c>
      <c r="K66" s="2131">
        <v>19287.099999999999</v>
      </c>
      <c r="L66" s="2131">
        <v>108</v>
      </c>
      <c r="M66" s="2131">
        <f t="shared" si="11"/>
        <v>19395.099999999999</v>
      </c>
      <c r="N66" s="2131">
        <v>332161.3</v>
      </c>
      <c r="O66" s="2131">
        <v>27348.5</v>
      </c>
      <c r="P66" s="2131">
        <f t="shared" si="12"/>
        <v>359509.8</v>
      </c>
      <c r="Q66" s="2131">
        <f t="shared" si="13"/>
        <v>516056.9</v>
      </c>
      <c r="R66" s="2131">
        <v>-69641.7</v>
      </c>
      <c r="S66" s="2131">
        <f t="shared" si="14"/>
        <v>446415.2</v>
      </c>
      <c r="T66" s="2131">
        <f t="shared" si="15"/>
        <v>510456.4</v>
      </c>
      <c r="U66" s="761"/>
      <c r="V66" s="761"/>
      <c r="W66" s="761"/>
      <c r="X66" s="761"/>
    </row>
    <row r="67" spans="1:24" s="153" customFormat="1" ht="10.5" customHeight="1" x14ac:dyDescent="0.2">
      <c r="A67" s="372" t="s">
        <v>696</v>
      </c>
      <c r="B67" s="372" t="s">
        <v>552</v>
      </c>
      <c r="C67" s="2128">
        <v>72433.100000000006</v>
      </c>
      <c r="D67" s="2128">
        <v>-407.1</v>
      </c>
      <c r="E67" s="2128">
        <v>-6068.6</v>
      </c>
      <c r="F67" s="2128">
        <v>65957.399999999994</v>
      </c>
      <c r="G67" s="2128">
        <v>75485.5</v>
      </c>
      <c r="H67" s="2128">
        <v>299.2</v>
      </c>
      <c r="I67" s="2128">
        <v>63749.3</v>
      </c>
      <c r="J67" s="2128">
        <v>139534</v>
      </c>
      <c r="K67" s="2128">
        <v>19031.7</v>
      </c>
      <c r="L67" s="2128">
        <v>66.5</v>
      </c>
      <c r="M67" s="2128">
        <v>19098.2</v>
      </c>
      <c r="N67" s="2128">
        <v>332883.7</v>
      </c>
      <c r="O67" s="2128">
        <v>27109.1</v>
      </c>
      <c r="P67" s="2128">
        <v>359992.8</v>
      </c>
      <c r="Q67" s="2128">
        <v>518625</v>
      </c>
      <c r="R67" s="2128">
        <v>-71546.8</v>
      </c>
      <c r="S67" s="2128">
        <v>447078.2</v>
      </c>
      <c r="T67" s="2128">
        <v>513035.6</v>
      </c>
      <c r="U67" s="761"/>
      <c r="V67" s="761"/>
      <c r="W67" s="761"/>
      <c r="X67" s="761"/>
    </row>
    <row r="68" spans="1:24" s="153" customFormat="1" ht="10.5" customHeight="1" x14ac:dyDescent="0.2">
      <c r="A68" s="372" t="s">
        <v>696</v>
      </c>
      <c r="B68" s="1838" t="s">
        <v>553</v>
      </c>
      <c r="C68" s="2128">
        <v>72766</v>
      </c>
      <c r="D68" s="2128">
        <v>-407.1</v>
      </c>
      <c r="E68" s="2128">
        <v>-6095.1</v>
      </c>
      <c r="F68" s="2128">
        <v>66263.799999999988</v>
      </c>
      <c r="G68" s="2128">
        <v>76794.2</v>
      </c>
      <c r="H68" s="2128">
        <v>303.39999999999998</v>
      </c>
      <c r="I68" s="2128">
        <v>63775.4</v>
      </c>
      <c r="J68" s="2128">
        <v>140873</v>
      </c>
      <c r="K68" s="2128">
        <v>19755.099999999999</v>
      </c>
      <c r="L68" s="2128">
        <v>85.3</v>
      </c>
      <c r="M68" s="2128">
        <v>19840.399999999998</v>
      </c>
      <c r="N68" s="2128">
        <v>337226.8</v>
      </c>
      <c r="O68" s="2128">
        <v>28040.6</v>
      </c>
      <c r="P68" s="2128">
        <v>365267.39999999997</v>
      </c>
      <c r="Q68" s="2128">
        <v>525980.79999999993</v>
      </c>
      <c r="R68" s="2128">
        <v>-67715.5</v>
      </c>
      <c r="S68" s="2128">
        <v>458265.29999999993</v>
      </c>
      <c r="T68" s="2128">
        <v>524529.09999999986</v>
      </c>
      <c r="U68" s="761"/>
      <c r="V68" s="761"/>
      <c r="W68" s="761"/>
      <c r="X68" s="761"/>
    </row>
    <row r="69" spans="1:24" s="153" customFormat="1" ht="10.5" customHeight="1" x14ac:dyDescent="0.2">
      <c r="A69" s="372" t="s">
        <v>696</v>
      </c>
      <c r="B69" s="372" t="s">
        <v>547</v>
      </c>
      <c r="C69" s="2128">
        <v>70487</v>
      </c>
      <c r="D69" s="2128">
        <v>-398.6</v>
      </c>
      <c r="E69" s="2128">
        <v>-6126</v>
      </c>
      <c r="F69" s="2128">
        <v>63962.399999999994</v>
      </c>
      <c r="G69" s="2128">
        <v>80637.2</v>
      </c>
      <c r="H69" s="2128">
        <v>308.5</v>
      </c>
      <c r="I69" s="2128">
        <v>63936.7</v>
      </c>
      <c r="J69" s="2128">
        <v>144882.4</v>
      </c>
      <c r="K69" s="2128">
        <v>18839.2</v>
      </c>
      <c r="L69" s="2128">
        <v>88.6</v>
      </c>
      <c r="M69" s="2128">
        <v>18927.8</v>
      </c>
      <c r="N69" s="2128">
        <v>341895.1</v>
      </c>
      <c r="O69" s="2128">
        <v>28336.5</v>
      </c>
      <c r="P69" s="2128">
        <v>370231.6</v>
      </c>
      <c r="Q69" s="2128">
        <v>534041.79999999993</v>
      </c>
      <c r="R69" s="2128">
        <v>-73407.7</v>
      </c>
      <c r="S69" s="2128">
        <v>460634.09999999992</v>
      </c>
      <c r="T69" s="2128">
        <v>524596.49999999988</v>
      </c>
      <c r="U69" s="761"/>
      <c r="V69" s="761"/>
      <c r="W69" s="761"/>
      <c r="X69" s="761"/>
    </row>
    <row r="70" spans="1:24" s="153" customFormat="1" ht="10.5" customHeight="1" x14ac:dyDescent="0.2">
      <c r="A70" s="372" t="s">
        <v>696</v>
      </c>
      <c r="B70" s="1838" t="s">
        <v>554</v>
      </c>
      <c r="C70" s="2128">
        <v>69314.100000000006</v>
      </c>
      <c r="D70" s="2128">
        <v>-391.3</v>
      </c>
      <c r="E70" s="2128">
        <v>-6158.5</v>
      </c>
      <c r="F70" s="2128">
        <v>62764.3</v>
      </c>
      <c r="G70" s="2128">
        <v>87795.3</v>
      </c>
      <c r="H70" s="2128">
        <v>268.5</v>
      </c>
      <c r="I70" s="2128">
        <v>63973</v>
      </c>
      <c r="J70" s="2128">
        <v>152036.79999999999</v>
      </c>
      <c r="K70" s="2128">
        <v>17414</v>
      </c>
      <c r="L70" s="2128">
        <v>89.3</v>
      </c>
      <c r="M70" s="2128">
        <v>17503.3</v>
      </c>
      <c r="N70" s="2128">
        <v>347905.2</v>
      </c>
      <c r="O70" s="2128">
        <v>28962.2</v>
      </c>
      <c r="P70" s="2128">
        <v>376867.4</v>
      </c>
      <c r="Q70" s="2128">
        <v>546407.5</v>
      </c>
      <c r="R70" s="2128">
        <v>-76646.3</v>
      </c>
      <c r="S70" s="2128">
        <v>469761.2</v>
      </c>
      <c r="T70" s="2128">
        <v>532525.5</v>
      </c>
      <c r="U70" s="761"/>
      <c r="V70" s="761"/>
      <c r="W70" s="761"/>
      <c r="X70" s="761"/>
    </row>
    <row r="71" spans="1:24" s="153" customFormat="1" ht="10.5" customHeight="1" x14ac:dyDescent="0.2">
      <c r="A71" s="372" t="s">
        <v>696</v>
      </c>
      <c r="B71" s="372" t="s">
        <v>555</v>
      </c>
      <c r="C71" s="2128">
        <v>62373.599999999999</v>
      </c>
      <c r="D71" s="2128">
        <v>-393.7</v>
      </c>
      <c r="E71" s="2128">
        <v>-6184.2</v>
      </c>
      <c r="F71" s="2128">
        <v>55795.700000000004</v>
      </c>
      <c r="G71" s="2128">
        <v>90685.2</v>
      </c>
      <c r="H71" s="2128">
        <v>275.5</v>
      </c>
      <c r="I71" s="2128">
        <v>63952.5</v>
      </c>
      <c r="J71" s="2128">
        <v>154913.20000000001</v>
      </c>
      <c r="K71" s="2128">
        <v>19884.599999999999</v>
      </c>
      <c r="L71" s="2128">
        <v>90.4</v>
      </c>
      <c r="M71" s="2128">
        <v>19975</v>
      </c>
      <c r="N71" s="2128">
        <v>353014.5</v>
      </c>
      <c r="O71" s="2128">
        <v>29189.4</v>
      </c>
      <c r="P71" s="2128">
        <v>382203.9</v>
      </c>
      <c r="Q71" s="2128">
        <v>557092.10000000009</v>
      </c>
      <c r="R71" s="2128">
        <v>-77113.5</v>
      </c>
      <c r="S71" s="2128">
        <v>479978.60000000009</v>
      </c>
      <c r="T71" s="2128">
        <v>535774.30000000005</v>
      </c>
      <c r="U71" s="761"/>
      <c r="V71" s="761"/>
      <c r="W71" s="761"/>
      <c r="X71" s="761"/>
    </row>
    <row r="72" spans="1:24" s="153" customFormat="1" ht="10.5" customHeight="1" x14ac:dyDescent="0.2">
      <c r="A72" s="372" t="s">
        <v>696</v>
      </c>
      <c r="B72" s="1838" t="s">
        <v>548</v>
      </c>
      <c r="C72" s="2128">
        <v>66830.3</v>
      </c>
      <c r="D72" s="2128">
        <v>-396.1</v>
      </c>
      <c r="E72" s="2128">
        <v>-6205.1</v>
      </c>
      <c r="F72" s="2128">
        <v>60229.1</v>
      </c>
      <c r="G72" s="2128">
        <v>90970.9</v>
      </c>
      <c r="H72" s="2128">
        <v>291.10000000000002</v>
      </c>
      <c r="I72" s="2128">
        <v>63716.2</v>
      </c>
      <c r="J72" s="2128">
        <v>154978.20000000001</v>
      </c>
      <c r="K72" s="2128">
        <v>19249.5</v>
      </c>
      <c r="L72" s="2128">
        <v>74.5</v>
      </c>
      <c r="M72" s="2128">
        <v>19324</v>
      </c>
      <c r="N72" s="2128">
        <v>362373.4</v>
      </c>
      <c r="O72" s="2128">
        <v>29680.5</v>
      </c>
      <c r="P72" s="2128">
        <v>392053.9</v>
      </c>
      <c r="Q72" s="2128">
        <v>566356.10000000009</v>
      </c>
      <c r="R72" s="2128">
        <v>-78811.8</v>
      </c>
      <c r="S72" s="2128">
        <v>487544.3000000001</v>
      </c>
      <c r="T72" s="2128">
        <v>547773.40000000014</v>
      </c>
      <c r="U72" s="761"/>
      <c r="V72" s="761"/>
      <c r="W72" s="761"/>
      <c r="X72" s="761"/>
    </row>
    <row r="73" spans="1:24" s="153" customFormat="1" ht="10.5" customHeight="1" x14ac:dyDescent="0.2">
      <c r="A73" s="372" t="s">
        <v>696</v>
      </c>
      <c r="B73" s="372" t="s">
        <v>556</v>
      </c>
      <c r="C73" s="2128">
        <v>69643.5</v>
      </c>
      <c r="D73" s="2128">
        <v>-398</v>
      </c>
      <c r="E73" s="2128">
        <v>-6234.6</v>
      </c>
      <c r="F73" s="2128">
        <v>63010.9</v>
      </c>
      <c r="G73" s="2128">
        <v>89011.1</v>
      </c>
      <c r="H73" s="2128">
        <v>298.5</v>
      </c>
      <c r="I73" s="2128">
        <v>63496.3</v>
      </c>
      <c r="J73" s="2128">
        <v>152805.90000000002</v>
      </c>
      <c r="K73" s="2128">
        <v>17872.900000000001</v>
      </c>
      <c r="L73" s="2128">
        <v>80.5</v>
      </c>
      <c r="M73" s="2128">
        <v>17953.400000000001</v>
      </c>
      <c r="N73" s="2128">
        <v>366774.6</v>
      </c>
      <c r="O73" s="2128">
        <v>29744.799999999999</v>
      </c>
      <c r="P73" s="2128">
        <v>396519.39999999997</v>
      </c>
      <c r="Q73" s="2128">
        <v>567278.69999999995</v>
      </c>
      <c r="R73" s="2128">
        <v>-84585.3</v>
      </c>
      <c r="S73" s="2128">
        <v>482693.39999999997</v>
      </c>
      <c r="T73" s="2128">
        <v>545704.29999999993</v>
      </c>
      <c r="U73" s="761"/>
      <c r="V73" s="761"/>
      <c r="W73" s="761"/>
      <c r="X73" s="761"/>
    </row>
    <row r="74" spans="1:24" s="153" customFormat="1" ht="10.5" customHeight="1" x14ac:dyDescent="0.2">
      <c r="A74" s="372" t="s">
        <v>696</v>
      </c>
      <c r="B74" s="1838" t="s">
        <v>557</v>
      </c>
      <c r="C74" s="2128">
        <v>69764.899999999994</v>
      </c>
      <c r="D74" s="2128">
        <v>-400.3</v>
      </c>
      <c r="E74" s="2128">
        <v>-6241.3</v>
      </c>
      <c r="F74" s="2128">
        <v>63123.299999999988</v>
      </c>
      <c r="G74" s="2128">
        <v>89641.9</v>
      </c>
      <c r="H74" s="2128">
        <v>240.7</v>
      </c>
      <c r="I74" s="2128">
        <v>63274.1</v>
      </c>
      <c r="J74" s="2128">
        <v>153156.69999999998</v>
      </c>
      <c r="K74" s="2128">
        <v>19122</v>
      </c>
      <c r="L74" s="2128">
        <v>54.8</v>
      </c>
      <c r="M74" s="2128">
        <v>19176.8</v>
      </c>
      <c r="N74" s="2128">
        <v>372124.2</v>
      </c>
      <c r="O74" s="2128">
        <v>30127.9</v>
      </c>
      <c r="P74" s="2128">
        <v>402252.10000000003</v>
      </c>
      <c r="Q74" s="2128">
        <v>574585.59999999998</v>
      </c>
      <c r="R74" s="2128">
        <v>-84699.199999999997</v>
      </c>
      <c r="S74" s="2128">
        <v>489886.39999999997</v>
      </c>
      <c r="T74" s="2128">
        <v>553009.69999999995</v>
      </c>
      <c r="U74" s="761"/>
      <c r="V74" s="761"/>
      <c r="W74" s="761"/>
      <c r="X74" s="761"/>
    </row>
    <row r="75" spans="1:24" s="153" customFormat="1" ht="10.5" customHeight="1" x14ac:dyDescent="0.2">
      <c r="A75" s="372" t="s">
        <v>696</v>
      </c>
      <c r="B75" s="372" t="s">
        <v>549</v>
      </c>
      <c r="C75" s="2128">
        <v>72004.2</v>
      </c>
      <c r="D75" s="2128">
        <v>-391.6</v>
      </c>
      <c r="E75" s="2128">
        <v>-6262.8</v>
      </c>
      <c r="F75" s="2128">
        <v>65349.799999999988</v>
      </c>
      <c r="G75" s="2128">
        <v>90548.3</v>
      </c>
      <c r="H75" s="2128">
        <v>275.10000000000002</v>
      </c>
      <c r="I75" s="2128">
        <v>63403.3</v>
      </c>
      <c r="J75" s="2128">
        <v>154226.70000000001</v>
      </c>
      <c r="K75" s="2128">
        <v>18308.2</v>
      </c>
      <c r="L75" s="2128">
        <v>50.5</v>
      </c>
      <c r="M75" s="2128">
        <v>18358.7</v>
      </c>
      <c r="N75" s="2128">
        <v>378473.1</v>
      </c>
      <c r="O75" s="2128">
        <v>30436.5</v>
      </c>
      <c r="P75" s="2128">
        <v>408909.6</v>
      </c>
      <c r="Q75" s="2128">
        <v>581495</v>
      </c>
      <c r="R75" s="2128">
        <v>-84109.6</v>
      </c>
      <c r="S75" s="2128">
        <v>497385.4</v>
      </c>
      <c r="T75" s="2128">
        <v>562735.19999999995</v>
      </c>
      <c r="U75" s="761"/>
      <c r="V75" s="761"/>
      <c r="W75" s="761"/>
      <c r="X75" s="761"/>
    </row>
    <row r="76" spans="1:24" s="153" customFormat="1" ht="10.5" customHeight="1" x14ac:dyDescent="0.2">
      <c r="A76" s="372" t="s">
        <v>696</v>
      </c>
      <c r="B76" s="1838" t="s">
        <v>558</v>
      </c>
      <c r="C76" s="2128">
        <v>75074.600000000006</v>
      </c>
      <c r="D76" s="2128">
        <v>-373</v>
      </c>
      <c r="E76" s="2128">
        <v>-6305.5</v>
      </c>
      <c r="F76" s="2128">
        <v>68396.100000000006</v>
      </c>
      <c r="G76" s="2128">
        <v>89925.7</v>
      </c>
      <c r="H76" s="2128">
        <v>305</v>
      </c>
      <c r="I76" s="2128">
        <v>63761.8</v>
      </c>
      <c r="J76" s="2128">
        <v>153992.5</v>
      </c>
      <c r="K76" s="2128">
        <v>18887.099999999999</v>
      </c>
      <c r="L76" s="2128">
        <v>50.6</v>
      </c>
      <c r="M76" s="2128">
        <v>18937.699999999997</v>
      </c>
      <c r="N76" s="2128">
        <v>382026.7</v>
      </c>
      <c r="O76" s="2128">
        <v>30367</v>
      </c>
      <c r="P76" s="2128">
        <v>412393.7</v>
      </c>
      <c r="Q76" s="2128">
        <v>585323.9</v>
      </c>
      <c r="R76" s="2128">
        <v>-86981.2</v>
      </c>
      <c r="S76" s="2128">
        <v>498342.7</v>
      </c>
      <c r="T76" s="2128">
        <v>566738.80000000005</v>
      </c>
      <c r="U76" s="761"/>
      <c r="V76" s="761"/>
      <c r="W76" s="761"/>
      <c r="X76" s="761"/>
    </row>
    <row r="77" spans="1:24" s="153" customFormat="1" ht="10.5" customHeight="1" x14ac:dyDescent="0.2">
      <c r="A77" s="372" t="s">
        <v>696</v>
      </c>
      <c r="B77" s="372" t="s">
        <v>559</v>
      </c>
      <c r="C77" s="2128">
        <v>72775</v>
      </c>
      <c r="D77" s="2128">
        <v>-375.8</v>
      </c>
      <c r="E77" s="2128">
        <v>-6304.3</v>
      </c>
      <c r="F77" s="2128">
        <v>66094.899999999994</v>
      </c>
      <c r="G77" s="2128">
        <v>88199.3</v>
      </c>
      <c r="H77" s="2128">
        <v>297.89999999999998</v>
      </c>
      <c r="I77" s="2128">
        <v>63959.6</v>
      </c>
      <c r="J77" s="2128">
        <v>152456.79999999999</v>
      </c>
      <c r="K77" s="2128">
        <v>18343.400000000001</v>
      </c>
      <c r="L77" s="2128">
        <v>45.9</v>
      </c>
      <c r="M77" s="2128">
        <v>18389.300000000003</v>
      </c>
      <c r="N77" s="2128">
        <v>390272.5</v>
      </c>
      <c r="O77" s="2128">
        <v>30904.7</v>
      </c>
      <c r="P77" s="2128">
        <v>421177.2</v>
      </c>
      <c r="Q77" s="2128">
        <v>592023.30000000005</v>
      </c>
      <c r="R77" s="2128">
        <v>-83816</v>
      </c>
      <c r="S77" s="2128">
        <v>508207.30000000005</v>
      </c>
      <c r="T77" s="2128">
        <v>574302.20000000007</v>
      </c>
      <c r="U77" s="761"/>
      <c r="V77" s="761"/>
      <c r="W77" s="761"/>
      <c r="X77" s="761"/>
    </row>
    <row r="78" spans="1:24" s="153" customFormat="1" ht="10.5" customHeight="1" x14ac:dyDescent="0.2">
      <c r="A78" s="372" t="s">
        <v>696</v>
      </c>
      <c r="B78" s="1838" t="s">
        <v>550</v>
      </c>
      <c r="C78" s="2128">
        <v>78818.7</v>
      </c>
      <c r="D78" s="2128">
        <v>-378.5</v>
      </c>
      <c r="E78" s="2128">
        <v>-6273.8</v>
      </c>
      <c r="F78" s="2128">
        <v>72166.399999999994</v>
      </c>
      <c r="G78" s="2128">
        <v>91999.6</v>
      </c>
      <c r="H78" s="2128">
        <v>261.89999999999998</v>
      </c>
      <c r="I78" s="2128">
        <v>63861.3</v>
      </c>
      <c r="J78" s="2128">
        <v>156122.79999999999</v>
      </c>
      <c r="K78" s="2128">
        <v>18347.900000000001</v>
      </c>
      <c r="L78" s="2128">
        <v>46</v>
      </c>
      <c r="M78" s="2128">
        <v>18393.900000000001</v>
      </c>
      <c r="N78" s="2128">
        <v>398311.5</v>
      </c>
      <c r="O78" s="2128">
        <v>31174.9</v>
      </c>
      <c r="P78" s="2128">
        <v>429486.4</v>
      </c>
      <c r="Q78" s="2128">
        <v>604003.1</v>
      </c>
      <c r="R78" s="2128">
        <v>-86329.1</v>
      </c>
      <c r="S78" s="2128">
        <v>517674</v>
      </c>
      <c r="T78" s="2128">
        <v>589840.4</v>
      </c>
      <c r="U78" s="761"/>
      <c r="V78" s="761"/>
      <c r="W78" s="761"/>
      <c r="X78" s="761"/>
    </row>
    <row r="79" spans="1:24" s="153" customFormat="1" ht="10.5" customHeight="1" x14ac:dyDescent="0.2">
      <c r="A79" s="372" t="s">
        <v>804</v>
      </c>
      <c r="B79" s="372" t="s">
        <v>552</v>
      </c>
      <c r="C79" s="2128">
        <v>83854.600000000006</v>
      </c>
      <c r="D79" s="2128">
        <v>-381.3</v>
      </c>
      <c r="E79" s="2128">
        <v>-6314.3</v>
      </c>
      <c r="F79" s="2128">
        <v>77159</v>
      </c>
      <c r="G79" s="2128">
        <v>93310.3</v>
      </c>
      <c r="H79" s="2128">
        <v>229.2</v>
      </c>
      <c r="I79" s="2128">
        <v>64070.400000000001</v>
      </c>
      <c r="J79" s="2128">
        <v>157609.9</v>
      </c>
      <c r="K79" s="2128">
        <v>18258.099999999999</v>
      </c>
      <c r="L79" s="2128">
        <v>51.1</v>
      </c>
      <c r="M79" s="2128">
        <v>18309.199999999997</v>
      </c>
      <c r="N79" s="2128">
        <v>400961.1</v>
      </c>
      <c r="O79" s="2128">
        <v>31406.3</v>
      </c>
      <c r="P79" s="2128">
        <v>432367.39999999997</v>
      </c>
      <c r="Q79" s="2128">
        <v>608286.5</v>
      </c>
      <c r="R79" s="2128">
        <v>-89795.7</v>
      </c>
      <c r="S79" s="2128">
        <v>518490.8</v>
      </c>
      <c r="T79" s="2128">
        <v>595649.80000000005</v>
      </c>
      <c r="U79" s="761"/>
      <c r="V79" s="761"/>
      <c r="W79" s="761"/>
      <c r="X79" s="761"/>
    </row>
    <row r="80" spans="1:24" s="153" customFormat="1" ht="10.5" customHeight="1" x14ac:dyDescent="0.2">
      <c r="A80" s="372" t="s">
        <v>804</v>
      </c>
      <c r="B80" s="1838" t="s">
        <v>553</v>
      </c>
      <c r="C80" s="2128">
        <v>88048.9</v>
      </c>
      <c r="D80" s="2128">
        <v>-384.1</v>
      </c>
      <c r="E80" s="2128">
        <v>-6364.7</v>
      </c>
      <c r="F80" s="2128">
        <v>81300.099999999991</v>
      </c>
      <c r="G80" s="2128">
        <v>93244.1</v>
      </c>
      <c r="H80" s="2128">
        <v>214.5</v>
      </c>
      <c r="I80" s="2128">
        <v>64323.3</v>
      </c>
      <c r="J80" s="2128">
        <v>157781.90000000002</v>
      </c>
      <c r="K80" s="2128">
        <v>18524.8</v>
      </c>
      <c r="L80" s="2128">
        <v>43.2</v>
      </c>
      <c r="M80" s="2128">
        <v>18568</v>
      </c>
      <c r="N80" s="2128">
        <v>405631.1</v>
      </c>
      <c r="O80" s="2128">
        <v>31737.3</v>
      </c>
      <c r="P80" s="2128">
        <v>437368.39999999997</v>
      </c>
      <c r="Q80" s="2128">
        <v>613718.30000000005</v>
      </c>
      <c r="R80" s="2128">
        <v>-88616.6</v>
      </c>
      <c r="S80" s="2128">
        <v>525101.70000000007</v>
      </c>
      <c r="T80" s="2128">
        <v>606401.80000000005</v>
      </c>
      <c r="U80" s="761"/>
      <c r="V80" s="761"/>
      <c r="W80" s="761"/>
      <c r="X80" s="761"/>
    </row>
    <row r="81" spans="1:24" s="153" customFormat="1" ht="10.5" customHeight="1" x14ac:dyDescent="0.2">
      <c r="A81" s="372" t="s">
        <v>804</v>
      </c>
      <c r="B81" s="372" t="s">
        <v>547</v>
      </c>
      <c r="C81" s="2128">
        <v>90059.9</v>
      </c>
      <c r="D81" s="2128">
        <v>-376.9</v>
      </c>
      <c r="E81" s="2128">
        <v>-6403.7</v>
      </c>
      <c r="F81" s="2128">
        <v>83279.3</v>
      </c>
      <c r="G81" s="2128">
        <v>92203.4</v>
      </c>
      <c r="H81" s="2128">
        <v>213.9</v>
      </c>
      <c r="I81" s="2128">
        <v>64314.400000000001</v>
      </c>
      <c r="J81" s="2128">
        <v>156731.69999999998</v>
      </c>
      <c r="K81" s="2128">
        <v>17936</v>
      </c>
      <c r="L81" s="2128">
        <v>64.3</v>
      </c>
      <c r="M81" s="2128">
        <v>18000.3</v>
      </c>
      <c r="N81" s="2128">
        <v>409860.3</v>
      </c>
      <c r="O81" s="2128">
        <v>32071.599999999999</v>
      </c>
      <c r="P81" s="2128">
        <v>441931.89999999997</v>
      </c>
      <c r="Q81" s="2128">
        <v>616663.89999999991</v>
      </c>
      <c r="R81" s="2128">
        <v>-90347.1</v>
      </c>
      <c r="S81" s="2128">
        <v>526316.79999999993</v>
      </c>
      <c r="T81" s="2128">
        <v>609596.1</v>
      </c>
      <c r="U81" s="761"/>
      <c r="V81" s="761"/>
      <c r="W81" s="761"/>
      <c r="X81" s="761"/>
    </row>
    <row r="82" spans="1:24" s="153" customFormat="1" ht="10.5" customHeight="1" x14ac:dyDescent="0.2">
      <c r="A82" s="372" t="s">
        <v>804</v>
      </c>
      <c r="B82" s="1838" t="s">
        <v>554</v>
      </c>
      <c r="C82" s="2128">
        <v>95098.1</v>
      </c>
      <c r="D82" s="2128">
        <v>-356.6</v>
      </c>
      <c r="E82" s="2128">
        <v>-6433.4</v>
      </c>
      <c r="F82" s="2128">
        <v>88308.1</v>
      </c>
      <c r="G82" s="2128">
        <v>99580.1</v>
      </c>
      <c r="H82" s="2128">
        <v>210.7</v>
      </c>
      <c r="I82" s="2128">
        <v>64372.7</v>
      </c>
      <c r="J82" s="2128">
        <v>164163.5</v>
      </c>
      <c r="K82" s="2128">
        <v>18373.2</v>
      </c>
      <c r="L82" s="2128">
        <v>66</v>
      </c>
      <c r="M82" s="2128">
        <v>18439.2</v>
      </c>
      <c r="N82" s="2128">
        <v>413224.6</v>
      </c>
      <c r="O82" s="2128">
        <v>32415.200000000001</v>
      </c>
      <c r="P82" s="2128">
        <v>445639.8</v>
      </c>
      <c r="Q82" s="2128">
        <v>628242.5</v>
      </c>
      <c r="R82" s="2128">
        <v>-92000.3</v>
      </c>
      <c r="S82" s="2128">
        <v>536242.19999999995</v>
      </c>
      <c r="T82" s="2128">
        <v>624550.29999999993</v>
      </c>
      <c r="U82" s="761"/>
      <c r="V82" s="761"/>
      <c r="W82" s="761"/>
      <c r="X82" s="761"/>
    </row>
    <row r="83" spans="1:24" s="153" customFormat="1" ht="10.5" customHeight="1" x14ac:dyDescent="0.2">
      <c r="A83" s="372" t="s">
        <v>804</v>
      </c>
      <c r="B83" s="372" t="s">
        <v>555</v>
      </c>
      <c r="C83" s="2128">
        <v>94469</v>
      </c>
      <c r="D83" s="2128">
        <v>-359.2</v>
      </c>
      <c r="E83" s="2128">
        <v>-6422.2</v>
      </c>
      <c r="F83" s="2128">
        <v>87687.6</v>
      </c>
      <c r="G83" s="2128">
        <v>98788.800000000003</v>
      </c>
      <c r="H83" s="2128">
        <v>210.4</v>
      </c>
      <c r="I83" s="2128">
        <v>64246.6</v>
      </c>
      <c r="J83" s="2128">
        <v>163245.79999999999</v>
      </c>
      <c r="K83" s="2128">
        <v>19361.3</v>
      </c>
      <c r="L83" s="2128">
        <v>69.8</v>
      </c>
      <c r="M83" s="2128">
        <v>19431.099999999999</v>
      </c>
      <c r="N83" s="2128">
        <v>415432.7</v>
      </c>
      <c r="O83" s="2128">
        <v>32797</v>
      </c>
      <c r="P83" s="2128">
        <v>448229.7</v>
      </c>
      <c r="Q83" s="2128">
        <v>630906.6</v>
      </c>
      <c r="R83" s="2128">
        <v>-94188.3</v>
      </c>
      <c r="S83" s="2128">
        <v>536718.29999999993</v>
      </c>
      <c r="T83" s="2128">
        <v>624405.89999999991</v>
      </c>
      <c r="U83" s="761"/>
      <c r="V83" s="761"/>
      <c r="W83" s="761"/>
      <c r="X83" s="761"/>
    </row>
    <row r="84" spans="1:24" s="153" customFormat="1" ht="10.5" customHeight="1" x14ac:dyDescent="0.2">
      <c r="A84" s="372" t="s">
        <v>804</v>
      </c>
      <c r="B84" s="1709" t="s">
        <v>548</v>
      </c>
      <c r="C84" s="2128">
        <v>99360.799999999988</v>
      </c>
      <c r="D84" s="2128">
        <v>-361.9</v>
      </c>
      <c r="E84" s="2128">
        <v>-6461.5</v>
      </c>
      <c r="F84" s="2128">
        <v>92537.4</v>
      </c>
      <c r="G84" s="2128">
        <v>97162.5</v>
      </c>
      <c r="H84" s="2128">
        <v>210.5</v>
      </c>
      <c r="I84" s="2128">
        <v>64038.6</v>
      </c>
      <c r="J84" s="2128">
        <v>161411.6</v>
      </c>
      <c r="K84" s="2128">
        <v>21468.799999999999</v>
      </c>
      <c r="L84" s="2128">
        <v>36.1</v>
      </c>
      <c r="M84" s="2128">
        <v>21504.899999999998</v>
      </c>
      <c r="N84" s="2128">
        <v>423723.4</v>
      </c>
      <c r="O84" s="2128">
        <v>33774.1</v>
      </c>
      <c r="P84" s="2128">
        <v>457497.5</v>
      </c>
      <c r="Q84" s="2128">
        <v>640414</v>
      </c>
      <c r="R84" s="2128">
        <v>-91994.6</v>
      </c>
      <c r="S84" s="2128">
        <v>548419.4</v>
      </c>
      <c r="T84" s="2128">
        <v>640956.80000000005</v>
      </c>
      <c r="U84" s="761"/>
      <c r="V84" s="761"/>
      <c r="W84" s="761"/>
      <c r="X84" s="761"/>
    </row>
    <row r="85" spans="1:24" s="153" customFormat="1" ht="10.5" customHeight="1" x14ac:dyDescent="0.2">
      <c r="A85" s="372" t="s">
        <v>804</v>
      </c>
      <c r="B85" s="372" t="s">
        <v>556</v>
      </c>
      <c r="C85" s="2128">
        <v>100268.6</v>
      </c>
      <c r="D85" s="2128">
        <v>-364.5</v>
      </c>
      <c r="E85" s="2128">
        <v>-6505.9</v>
      </c>
      <c r="F85" s="2128">
        <v>93398.200000000012</v>
      </c>
      <c r="G85" s="2128">
        <v>98276.5</v>
      </c>
      <c r="H85" s="2128">
        <v>205.6</v>
      </c>
      <c r="I85" s="2128">
        <v>64224.2</v>
      </c>
      <c r="J85" s="2128">
        <v>162706.29999999999</v>
      </c>
      <c r="K85" s="2128">
        <v>21793.1</v>
      </c>
      <c r="L85" s="2128">
        <v>36.6</v>
      </c>
      <c r="M85" s="2128">
        <v>21829.699999999997</v>
      </c>
      <c r="N85" s="2128">
        <v>421097.4</v>
      </c>
      <c r="O85" s="2128">
        <v>34230.800000000003</v>
      </c>
      <c r="P85" s="2128">
        <v>455328.2</v>
      </c>
      <c r="Q85" s="2128">
        <v>639864.19999999995</v>
      </c>
      <c r="R85" s="2128">
        <v>-95516.1</v>
      </c>
      <c r="S85" s="2128">
        <v>544348.1</v>
      </c>
      <c r="T85" s="2128">
        <v>637746.30000000005</v>
      </c>
      <c r="U85" s="761"/>
      <c r="V85" s="761"/>
      <c r="W85" s="761"/>
      <c r="X85" s="761"/>
    </row>
    <row r="86" spans="1:24" s="153" customFormat="1" ht="10.5" customHeight="1" x14ac:dyDescent="0.2">
      <c r="A86" s="372" t="s">
        <v>804</v>
      </c>
      <c r="B86" s="1709" t="s">
        <v>557</v>
      </c>
      <c r="C86" s="2128">
        <v>104567.2</v>
      </c>
      <c r="D86" s="2128">
        <v>-366.9</v>
      </c>
      <c r="E86" s="2128">
        <v>-6529</v>
      </c>
      <c r="F86" s="2128">
        <v>97671.3</v>
      </c>
      <c r="G86" s="2128">
        <v>97326.1</v>
      </c>
      <c r="H86" s="2128">
        <v>200.6</v>
      </c>
      <c r="I86" s="2128">
        <v>64403.9</v>
      </c>
      <c r="J86" s="2128">
        <v>161930.6</v>
      </c>
      <c r="K86" s="2128">
        <v>23756.7</v>
      </c>
      <c r="L86" s="2128">
        <v>41.4</v>
      </c>
      <c r="M86" s="2128">
        <v>23798.100000000002</v>
      </c>
      <c r="N86" s="2128">
        <v>423611.3</v>
      </c>
      <c r="O86" s="2128">
        <v>34608.6</v>
      </c>
      <c r="P86" s="2128">
        <v>458219.89999999997</v>
      </c>
      <c r="Q86" s="2128">
        <v>643948.6</v>
      </c>
      <c r="R86" s="2128">
        <v>-94163.7</v>
      </c>
      <c r="S86" s="2128">
        <v>549784.9</v>
      </c>
      <c r="T86" s="2128">
        <v>647456.20000000007</v>
      </c>
      <c r="U86" s="761"/>
      <c r="V86" s="761"/>
      <c r="W86" s="761"/>
      <c r="X86" s="761"/>
    </row>
    <row r="87" spans="1:24" s="153" customFormat="1" ht="10.5" customHeight="1" x14ac:dyDescent="0.2">
      <c r="A87" s="372" t="s">
        <v>804</v>
      </c>
      <c r="B87" s="372" t="s">
        <v>549</v>
      </c>
      <c r="C87" s="2128">
        <v>108003.4</v>
      </c>
      <c r="D87" s="2128">
        <v>-359.9</v>
      </c>
      <c r="E87" s="2128">
        <v>-6569.4</v>
      </c>
      <c r="F87" s="2128">
        <v>101074.1</v>
      </c>
      <c r="G87" s="2128">
        <v>98156.2</v>
      </c>
      <c r="H87" s="2128">
        <v>200.2</v>
      </c>
      <c r="I87" s="2128">
        <v>64553.7</v>
      </c>
      <c r="J87" s="2128">
        <v>162910.09999999998</v>
      </c>
      <c r="K87" s="2128">
        <v>25058.7</v>
      </c>
      <c r="L87" s="2128">
        <v>45.5</v>
      </c>
      <c r="M87" s="2128">
        <v>25104.2</v>
      </c>
      <c r="N87" s="2128">
        <v>426477.8</v>
      </c>
      <c r="O87" s="2128">
        <v>35031.699999999997</v>
      </c>
      <c r="P87" s="2128">
        <v>461509.5</v>
      </c>
      <c r="Q87" s="2128">
        <v>649523.80000000005</v>
      </c>
      <c r="R87" s="2128">
        <v>-94934.9</v>
      </c>
      <c r="S87" s="2128">
        <v>554588.9</v>
      </c>
      <c r="T87" s="2128">
        <v>655663</v>
      </c>
      <c r="U87" s="761"/>
      <c r="V87" s="761"/>
      <c r="W87" s="761"/>
      <c r="X87" s="761"/>
    </row>
    <row r="88" spans="1:24" s="153" customFormat="1" ht="10.5" customHeight="1" x14ac:dyDescent="0.2">
      <c r="A88" s="372" t="s">
        <v>804</v>
      </c>
      <c r="B88" s="1709" t="s">
        <v>558</v>
      </c>
      <c r="C88" s="2128">
        <v>108748.59999999999</v>
      </c>
      <c r="D88" s="2128">
        <v>-339.9</v>
      </c>
      <c r="E88" s="2128">
        <v>-6532.9</v>
      </c>
      <c r="F88" s="2128">
        <v>101875.8</v>
      </c>
      <c r="G88" s="2128">
        <v>100874.7</v>
      </c>
      <c r="H88" s="2128">
        <v>200.1</v>
      </c>
      <c r="I88" s="2128">
        <v>64540.3</v>
      </c>
      <c r="J88" s="2128">
        <v>165615.1</v>
      </c>
      <c r="K88" s="2128">
        <v>26408.100000000002</v>
      </c>
      <c r="L88" s="2128">
        <v>46.1</v>
      </c>
      <c r="M88" s="2128">
        <v>26454.2</v>
      </c>
      <c r="N88" s="2128">
        <v>429895.8</v>
      </c>
      <c r="O88" s="2128">
        <v>35439.199999999997</v>
      </c>
      <c r="P88" s="2128">
        <v>465335</v>
      </c>
      <c r="Q88" s="2128">
        <v>657404.30000000005</v>
      </c>
      <c r="R88" s="2128">
        <v>-97944.8</v>
      </c>
      <c r="S88" s="2128">
        <v>559459.5</v>
      </c>
      <c r="T88" s="2128">
        <v>661335.30000000005</v>
      </c>
      <c r="U88" s="761"/>
      <c r="V88" s="761"/>
      <c r="W88" s="761"/>
      <c r="X88" s="761"/>
    </row>
    <row r="89" spans="1:24" s="153" customFormat="1" ht="10.5" customHeight="1" x14ac:dyDescent="0.2">
      <c r="A89" s="372" t="s">
        <v>804</v>
      </c>
      <c r="B89" s="372" t="s">
        <v>559</v>
      </c>
      <c r="C89" s="2128">
        <v>109871.29999999999</v>
      </c>
      <c r="D89" s="2128">
        <v>-342.2</v>
      </c>
      <c r="E89" s="2128">
        <v>-6521.9</v>
      </c>
      <c r="F89" s="2128">
        <v>103007.2</v>
      </c>
      <c r="G89" s="2128">
        <v>102572.40000000001</v>
      </c>
      <c r="H89" s="2128">
        <v>199.8</v>
      </c>
      <c r="I89" s="2128">
        <v>64596.5</v>
      </c>
      <c r="J89" s="2128">
        <v>167368.70000000001</v>
      </c>
      <c r="K89" s="2128">
        <v>27343.9</v>
      </c>
      <c r="L89" s="2128">
        <v>45.4</v>
      </c>
      <c r="M89" s="2128">
        <v>27389.300000000003</v>
      </c>
      <c r="N89" s="2128">
        <v>433006.7</v>
      </c>
      <c r="O89" s="2128">
        <v>35833.800000000003</v>
      </c>
      <c r="P89" s="2128">
        <v>468840.5</v>
      </c>
      <c r="Q89" s="2128">
        <v>663598.5</v>
      </c>
      <c r="R89" s="2128">
        <v>-98310.3</v>
      </c>
      <c r="S89" s="2128">
        <v>565288.19999999995</v>
      </c>
      <c r="T89" s="2128">
        <v>668295.39999999991</v>
      </c>
      <c r="U89" s="761"/>
      <c r="V89" s="761"/>
      <c r="W89" s="761"/>
      <c r="X89" s="761"/>
    </row>
    <row r="90" spans="1:24" s="153" customFormat="1" ht="10.5" customHeight="1" x14ac:dyDescent="0.2">
      <c r="A90" s="372" t="s">
        <v>804</v>
      </c>
      <c r="B90" s="1709" t="s">
        <v>550</v>
      </c>
      <c r="C90" s="2128">
        <v>113384.8</v>
      </c>
      <c r="D90" s="2128">
        <v>-344.5</v>
      </c>
      <c r="E90" s="2128">
        <v>-6493.8</v>
      </c>
      <c r="F90" s="2128">
        <v>106546.5</v>
      </c>
      <c r="G90" s="2128">
        <v>110094.7</v>
      </c>
      <c r="H90" s="2128">
        <v>249.7</v>
      </c>
      <c r="I90" s="2128">
        <v>64634.2</v>
      </c>
      <c r="J90" s="2128">
        <v>174978.59999999998</v>
      </c>
      <c r="K90" s="2128">
        <v>9376.7000000000007</v>
      </c>
      <c r="L90" s="2128">
        <v>43.7</v>
      </c>
      <c r="M90" s="2128">
        <v>9420.4000000000015</v>
      </c>
      <c r="N90" s="2128">
        <v>440915.1</v>
      </c>
      <c r="O90" s="2128">
        <v>36526.800000000003</v>
      </c>
      <c r="P90" s="2128">
        <v>477441.89999999997</v>
      </c>
      <c r="Q90" s="2128">
        <v>661840.89999999991</v>
      </c>
      <c r="R90" s="2128">
        <v>-88204.5</v>
      </c>
      <c r="S90" s="2128">
        <v>573636.39999999991</v>
      </c>
      <c r="T90" s="2128">
        <v>680182.89999999991</v>
      </c>
      <c r="U90" s="761"/>
      <c r="V90" s="761"/>
      <c r="W90" s="761"/>
      <c r="X90" s="761"/>
    </row>
    <row r="91" spans="1:24" s="153" customFormat="1" ht="10.5" customHeight="1" x14ac:dyDescent="0.2">
      <c r="A91" s="372" t="s">
        <v>978</v>
      </c>
      <c r="B91" s="372" t="s">
        <v>552</v>
      </c>
      <c r="C91" s="2128">
        <v>116609.4</v>
      </c>
      <c r="D91" s="2128">
        <v>-346.7</v>
      </c>
      <c r="E91" s="2128">
        <v>-6444.4</v>
      </c>
      <c r="F91" s="2128">
        <v>109818.3</v>
      </c>
      <c r="G91" s="2128">
        <v>114693.2</v>
      </c>
      <c r="H91" s="2128">
        <v>249.7</v>
      </c>
      <c r="I91" s="2128">
        <v>65259</v>
      </c>
      <c r="J91" s="2128">
        <v>180201.9</v>
      </c>
      <c r="K91" s="2128">
        <v>10301.5</v>
      </c>
      <c r="L91" s="2128">
        <v>29.5</v>
      </c>
      <c r="M91" s="2128">
        <v>10331</v>
      </c>
      <c r="N91" s="2128">
        <v>445157.1</v>
      </c>
      <c r="O91" s="2128">
        <v>36954.300000000003</v>
      </c>
      <c r="P91" s="2128">
        <v>482111.39999999997</v>
      </c>
      <c r="Q91" s="2128">
        <v>672644.29999999993</v>
      </c>
      <c r="R91" s="2128">
        <v>-92313.600000000006</v>
      </c>
      <c r="S91" s="2128">
        <v>580330.69999999995</v>
      </c>
      <c r="T91" s="2128">
        <v>690149</v>
      </c>
      <c r="U91" s="761"/>
      <c r="V91" s="761"/>
      <c r="W91" s="761"/>
      <c r="X91" s="761"/>
    </row>
    <row r="92" spans="1:24" s="153" customFormat="1" ht="10.5" customHeight="1" x14ac:dyDescent="0.2">
      <c r="A92" s="372" t="s">
        <v>978</v>
      </c>
      <c r="B92" s="1709" t="s">
        <v>553</v>
      </c>
      <c r="C92" s="2128">
        <v>119431.6</v>
      </c>
      <c r="D92" s="2128">
        <v>-348.9</v>
      </c>
      <c r="E92" s="2128">
        <v>-6531</v>
      </c>
      <c r="F92" s="2128">
        <v>112551.70000000001</v>
      </c>
      <c r="G92" s="2128">
        <v>110266.8</v>
      </c>
      <c r="H92" s="2128">
        <v>249.8</v>
      </c>
      <c r="I92" s="2128">
        <v>65950.8</v>
      </c>
      <c r="J92" s="2128">
        <v>176467.40000000002</v>
      </c>
      <c r="K92" s="2128">
        <v>10209.200000000001</v>
      </c>
      <c r="L92" s="2128">
        <v>38.6</v>
      </c>
      <c r="M92" s="2128">
        <v>10247.800000000001</v>
      </c>
      <c r="N92" s="2128">
        <v>448771.3</v>
      </c>
      <c r="O92" s="2128">
        <v>37493.4</v>
      </c>
      <c r="P92" s="2128">
        <v>486264.7</v>
      </c>
      <c r="Q92" s="2128">
        <v>672979.9</v>
      </c>
      <c r="R92" s="2128">
        <v>-87646.7</v>
      </c>
      <c r="S92" s="2128">
        <v>585333.20000000007</v>
      </c>
      <c r="T92" s="2128">
        <v>697884.90000000014</v>
      </c>
      <c r="U92" s="761"/>
      <c r="V92" s="761"/>
      <c r="W92" s="761"/>
      <c r="X92" s="761"/>
    </row>
    <row r="93" spans="1:24" s="153" customFormat="1" ht="10.5" customHeight="1" x14ac:dyDescent="0.2">
      <c r="A93" s="372" t="s">
        <v>978</v>
      </c>
      <c r="B93" s="372" t="s">
        <v>547</v>
      </c>
      <c r="C93" s="2128">
        <v>122140.8</v>
      </c>
      <c r="D93" s="2128">
        <v>-185</v>
      </c>
      <c r="E93" s="2128">
        <v>-6549.9</v>
      </c>
      <c r="F93" s="2128">
        <v>115405.90000000001</v>
      </c>
      <c r="G93" s="2128">
        <v>109894.5</v>
      </c>
      <c r="H93" s="2128">
        <v>249.7</v>
      </c>
      <c r="I93" s="2128">
        <v>66731.5</v>
      </c>
      <c r="J93" s="2128">
        <v>176875.7</v>
      </c>
      <c r="K93" s="2128">
        <v>10474.1</v>
      </c>
      <c r="L93" s="2128">
        <v>38.5</v>
      </c>
      <c r="M93" s="2128">
        <v>10512.6</v>
      </c>
      <c r="N93" s="2128">
        <v>453865.3</v>
      </c>
      <c r="O93" s="2128">
        <v>38141.5</v>
      </c>
      <c r="P93" s="2128">
        <v>492006.8</v>
      </c>
      <c r="Q93" s="2128">
        <v>679395.1</v>
      </c>
      <c r="R93" s="2128">
        <v>-89389.5</v>
      </c>
      <c r="S93" s="2128">
        <v>590005.6</v>
      </c>
      <c r="T93" s="2128">
        <v>705411.5</v>
      </c>
      <c r="U93" s="761"/>
      <c r="V93" s="761"/>
      <c r="W93" s="761"/>
      <c r="X93" s="761"/>
    </row>
    <row r="94" spans="1:24" s="153" customFormat="1" ht="10.5" customHeight="1" x14ac:dyDescent="0.2">
      <c r="A94" s="372" t="s">
        <v>978</v>
      </c>
      <c r="B94" s="1709" t="s">
        <v>554</v>
      </c>
      <c r="C94" s="2128">
        <v>127559</v>
      </c>
      <c r="D94" s="2128">
        <v>-185.3</v>
      </c>
      <c r="E94" s="2128">
        <v>-6573.1</v>
      </c>
      <c r="F94" s="2128">
        <v>120800.59999999999</v>
      </c>
      <c r="G94" s="2128">
        <v>114551.9</v>
      </c>
      <c r="H94" s="2128">
        <v>249.6</v>
      </c>
      <c r="I94" s="2128">
        <v>67333</v>
      </c>
      <c r="J94" s="2128">
        <v>182134.5</v>
      </c>
      <c r="K94" s="2128">
        <v>10785.7</v>
      </c>
      <c r="L94" s="2128">
        <v>38.6</v>
      </c>
      <c r="M94" s="2128">
        <v>10824.300000000001</v>
      </c>
      <c r="N94" s="2128">
        <v>456079.6</v>
      </c>
      <c r="O94" s="2128">
        <v>38936.9</v>
      </c>
      <c r="P94" s="2128">
        <v>495016.5</v>
      </c>
      <c r="Q94" s="2128">
        <v>687975.3</v>
      </c>
      <c r="R94" s="2128">
        <v>-89063.5</v>
      </c>
      <c r="S94" s="2128">
        <v>598911.80000000005</v>
      </c>
      <c r="T94" s="2128">
        <v>719712.4</v>
      </c>
      <c r="U94" s="761"/>
      <c r="V94" s="761"/>
      <c r="W94" s="761"/>
      <c r="X94" s="761"/>
    </row>
    <row r="95" spans="1:24" s="153" customFormat="1" ht="10.5" customHeight="1" x14ac:dyDescent="0.2">
      <c r="A95" s="372" t="s">
        <v>978</v>
      </c>
      <c r="B95" s="372" t="s">
        <v>555</v>
      </c>
      <c r="C95" s="2128">
        <v>130589.2</v>
      </c>
      <c r="D95" s="2128">
        <v>-185.7</v>
      </c>
      <c r="E95" s="2128">
        <v>-6569</v>
      </c>
      <c r="F95" s="2128">
        <v>123834.5</v>
      </c>
      <c r="G95" s="2128">
        <v>113901.8</v>
      </c>
      <c r="H95" s="2128">
        <v>249.4</v>
      </c>
      <c r="I95" s="2128">
        <v>68003.5</v>
      </c>
      <c r="J95" s="2128">
        <v>182154.7</v>
      </c>
      <c r="K95" s="2128">
        <v>11055.9</v>
      </c>
      <c r="L95" s="2128">
        <v>38.799999999999997</v>
      </c>
      <c r="M95" s="2128">
        <v>11094.699999999999</v>
      </c>
      <c r="N95" s="2128">
        <v>458829</v>
      </c>
      <c r="O95" s="2128">
        <v>39469.4</v>
      </c>
      <c r="P95" s="2128">
        <v>498298.4</v>
      </c>
      <c r="Q95" s="2128">
        <v>691547.8</v>
      </c>
      <c r="R95" s="2128">
        <v>-92479.6</v>
      </c>
      <c r="S95" s="2128">
        <v>599068.20000000007</v>
      </c>
      <c r="T95" s="2128">
        <v>722902.70000000007</v>
      </c>
      <c r="U95" s="761"/>
      <c r="V95" s="761"/>
      <c r="W95" s="761"/>
      <c r="X95" s="761"/>
    </row>
    <row r="96" spans="1:24" s="153" customFormat="1" ht="10.5" customHeight="1" x14ac:dyDescent="0.2">
      <c r="A96" s="372" t="s">
        <v>978</v>
      </c>
      <c r="B96" s="372" t="s">
        <v>549</v>
      </c>
      <c r="C96" s="2128">
        <v>134168.29999999999</v>
      </c>
      <c r="D96" s="2128">
        <v>-186.1</v>
      </c>
      <c r="E96" s="2128">
        <v>-6559.3</v>
      </c>
      <c r="F96" s="2128">
        <v>127422.89999999998</v>
      </c>
      <c r="G96" s="2128">
        <v>114816.7</v>
      </c>
      <c r="H96" s="2128">
        <v>249.4</v>
      </c>
      <c r="I96" s="2128">
        <v>68491.7</v>
      </c>
      <c r="J96" s="2128">
        <v>183557.8</v>
      </c>
      <c r="K96" s="2128">
        <v>12191.8</v>
      </c>
      <c r="L96" s="2128">
        <v>36.299999999999997</v>
      </c>
      <c r="M96" s="2128">
        <v>12228.099999999999</v>
      </c>
      <c r="N96" s="2128">
        <v>465842.8</v>
      </c>
      <c r="O96" s="2128">
        <v>40785.699999999997</v>
      </c>
      <c r="P96" s="2128">
        <v>506628.5</v>
      </c>
      <c r="Q96" s="2128">
        <v>702414.4</v>
      </c>
      <c r="R96" s="2128">
        <v>-93699.3</v>
      </c>
      <c r="S96" s="2128">
        <v>608715.1</v>
      </c>
      <c r="T96" s="2128">
        <v>736138</v>
      </c>
      <c r="U96" s="761"/>
      <c r="V96" s="761"/>
      <c r="W96" s="761"/>
      <c r="X96" s="761"/>
    </row>
    <row r="97" spans="1:24" s="153" customFormat="1" ht="10.5" customHeight="1" x14ac:dyDescent="0.2">
      <c r="A97" s="372" t="s">
        <v>978</v>
      </c>
      <c r="B97" s="1709" t="s">
        <v>558</v>
      </c>
      <c r="C97" s="2128">
        <v>136664.6</v>
      </c>
      <c r="D97" s="2128">
        <v>-186.5</v>
      </c>
      <c r="E97" s="2128">
        <v>-6555.3</v>
      </c>
      <c r="F97" s="2128">
        <v>129922.8</v>
      </c>
      <c r="G97" s="2128">
        <v>114929.29999999999</v>
      </c>
      <c r="H97" s="2128">
        <v>195.3</v>
      </c>
      <c r="I97" s="2128">
        <v>69617.5</v>
      </c>
      <c r="J97" s="2128">
        <v>184742.09999999998</v>
      </c>
      <c r="K97" s="2128">
        <v>12316.5</v>
      </c>
      <c r="L97" s="2128">
        <v>37.9</v>
      </c>
      <c r="M97" s="2128">
        <v>12354.4</v>
      </c>
      <c r="N97" s="2128">
        <v>464629.3</v>
      </c>
      <c r="O97" s="2128">
        <v>41079.800000000003</v>
      </c>
      <c r="P97" s="2128">
        <v>505709.1</v>
      </c>
      <c r="Q97" s="2128">
        <v>702805.6</v>
      </c>
      <c r="R97" s="2128">
        <v>-95348.2</v>
      </c>
      <c r="S97" s="2128">
        <v>607457.4</v>
      </c>
      <c r="T97" s="2128">
        <v>737380.20000000007</v>
      </c>
      <c r="U97" s="761"/>
      <c r="V97" s="761"/>
      <c r="W97" s="761"/>
      <c r="X97" s="761"/>
    </row>
    <row r="98" spans="1:24" s="153" customFormat="1" ht="10.5" customHeight="1" x14ac:dyDescent="0.2">
      <c r="A98" s="372" t="s">
        <v>978</v>
      </c>
      <c r="B98" s="372" t="s">
        <v>559</v>
      </c>
      <c r="C98" s="2128">
        <v>143036.6</v>
      </c>
      <c r="D98" s="2128">
        <v>-186.8</v>
      </c>
      <c r="E98" s="2128">
        <v>-6582.9</v>
      </c>
      <c r="F98" s="2128">
        <v>136266.90000000002</v>
      </c>
      <c r="G98" s="2128">
        <v>115989.3</v>
      </c>
      <c r="H98" s="2128">
        <v>210.8</v>
      </c>
      <c r="I98" s="2128">
        <v>70879.7</v>
      </c>
      <c r="J98" s="2128">
        <v>187079.8</v>
      </c>
      <c r="K98" s="2128">
        <v>12533</v>
      </c>
      <c r="L98" s="2128">
        <v>38.799999999999997</v>
      </c>
      <c r="M98" s="2128">
        <v>12571.8</v>
      </c>
      <c r="N98" s="2128">
        <v>466480.9</v>
      </c>
      <c r="O98" s="2128">
        <v>41423.699999999997</v>
      </c>
      <c r="P98" s="2128">
        <v>507904.60000000003</v>
      </c>
      <c r="Q98" s="2128">
        <v>707556.2</v>
      </c>
      <c r="R98" s="2128">
        <v>-96645.5</v>
      </c>
      <c r="S98" s="2128">
        <v>610910.69999999995</v>
      </c>
      <c r="T98" s="2128">
        <v>747177.6</v>
      </c>
      <c r="U98" s="761"/>
      <c r="V98" s="761"/>
      <c r="W98" s="761"/>
      <c r="X98" s="761"/>
    </row>
    <row r="99" spans="1:24" s="153" customFormat="1" ht="10.5" customHeight="1" x14ac:dyDescent="0.2">
      <c r="A99" s="372" t="s">
        <v>978</v>
      </c>
      <c r="B99" s="1709" t="s">
        <v>550</v>
      </c>
      <c r="C99" s="2128">
        <v>146907.4</v>
      </c>
      <c r="D99" s="2128">
        <v>-333.6</v>
      </c>
      <c r="E99" s="2128">
        <v>-6587.2</v>
      </c>
      <c r="F99" s="2128">
        <v>139986.59999999998</v>
      </c>
      <c r="G99" s="2128">
        <v>114014.5</v>
      </c>
      <c r="H99" s="2128">
        <v>162.19999999999999</v>
      </c>
      <c r="I99" s="2128">
        <v>72095</v>
      </c>
      <c r="J99" s="2128">
        <v>186271.7</v>
      </c>
      <c r="K99" s="2128">
        <v>13186.3</v>
      </c>
      <c r="L99" s="2128">
        <v>38.299999999999997</v>
      </c>
      <c r="M99" s="2128">
        <v>13224.599999999999</v>
      </c>
      <c r="N99" s="2128">
        <v>472534.6</v>
      </c>
      <c r="O99" s="2128">
        <v>42305.8</v>
      </c>
      <c r="P99" s="2128">
        <v>514840.39999999997</v>
      </c>
      <c r="Q99" s="2128">
        <v>714336.7</v>
      </c>
      <c r="R99" s="2128">
        <v>-100321.8</v>
      </c>
      <c r="S99" s="2128">
        <v>614014.89999999991</v>
      </c>
      <c r="T99" s="2128">
        <v>754001.49999999988</v>
      </c>
      <c r="U99" s="761"/>
      <c r="V99" s="761"/>
      <c r="W99" s="761"/>
      <c r="X99" s="761"/>
    </row>
    <row r="100" spans="1:24" s="153" customFormat="1" ht="10.5" customHeight="1" x14ac:dyDescent="0.2">
      <c r="A100" s="372" t="s">
        <v>1029</v>
      </c>
      <c r="B100" s="372" t="s">
        <v>552</v>
      </c>
      <c r="C100" s="2128">
        <v>150352.1</v>
      </c>
      <c r="D100" s="2128">
        <v>-333.9</v>
      </c>
      <c r="E100" s="2128">
        <v>-6621.2</v>
      </c>
      <c r="F100" s="2128">
        <v>143397</v>
      </c>
      <c r="G100" s="2128">
        <v>113143.8</v>
      </c>
      <c r="H100" s="2128">
        <v>184</v>
      </c>
      <c r="I100" s="2128">
        <v>73368.5</v>
      </c>
      <c r="J100" s="2128">
        <v>186696.3</v>
      </c>
      <c r="K100" s="2128">
        <v>13078.4</v>
      </c>
      <c r="L100" s="2128">
        <v>39.9</v>
      </c>
      <c r="M100" s="2128">
        <v>13118.3</v>
      </c>
      <c r="N100" s="2128">
        <v>478406.6</v>
      </c>
      <c r="O100" s="2128">
        <v>42680.2</v>
      </c>
      <c r="P100" s="2128">
        <v>521086.8</v>
      </c>
      <c r="Q100" s="2128">
        <v>720901.39999999991</v>
      </c>
      <c r="R100" s="2128">
        <v>-103374.1</v>
      </c>
      <c r="S100" s="2128">
        <v>617527.29999999993</v>
      </c>
      <c r="T100" s="2128">
        <v>760924.29999999993</v>
      </c>
      <c r="U100" s="761"/>
      <c r="V100" s="761"/>
      <c r="W100" s="761"/>
      <c r="X100" s="761"/>
    </row>
    <row r="101" spans="1:24" s="153" customFormat="1" ht="10.5" customHeight="1" x14ac:dyDescent="0.2">
      <c r="A101" s="372" t="s">
        <v>1029</v>
      </c>
      <c r="B101" s="1709" t="s">
        <v>553</v>
      </c>
      <c r="C101" s="2128">
        <v>154204.20000000001</v>
      </c>
      <c r="D101" s="2128">
        <v>-334.2</v>
      </c>
      <c r="E101" s="2128">
        <v>-6674.9</v>
      </c>
      <c r="F101" s="2128">
        <v>147195.1</v>
      </c>
      <c r="G101" s="2128">
        <v>111922.5</v>
      </c>
      <c r="H101" s="2128">
        <v>190.8</v>
      </c>
      <c r="I101" s="2128">
        <v>74652.3</v>
      </c>
      <c r="J101" s="2128">
        <v>186765.6</v>
      </c>
      <c r="K101" s="2128">
        <v>13779.6</v>
      </c>
      <c r="L101" s="2128">
        <v>40.9</v>
      </c>
      <c r="M101" s="2128">
        <v>13820.5</v>
      </c>
      <c r="N101" s="2128">
        <v>481172.4</v>
      </c>
      <c r="O101" s="2128">
        <v>43015.6</v>
      </c>
      <c r="P101" s="2128">
        <v>524188</v>
      </c>
      <c r="Q101" s="2128">
        <v>724774.1</v>
      </c>
      <c r="R101" s="2128">
        <v>-100733.9</v>
      </c>
      <c r="S101" s="2128">
        <v>624040.19999999995</v>
      </c>
      <c r="T101" s="2128">
        <v>771235.29999999993</v>
      </c>
      <c r="U101" s="761"/>
      <c r="V101" s="761"/>
      <c r="W101" s="761"/>
      <c r="X101" s="761"/>
    </row>
    <row r="102" spans="1:24" s="153" customFormat="1" ht="10.5" customHeight="1" x14ac:dyDescent="0.2">
      <c r="A102" s="372" t="s">
        <v>1029</v>
      </c>
      <c r="B102" s="372" t="s">
        <v>547</v>
      </c>
      <c r="C102" s="2128">
        <v>160056.6</v>
      </c>
      <c r="D102" s="2128">
        <v>-318.89999999999998</v>
      </c>
      <c r="E102" s="2128">
        <v>-6695</v>
      </c>
      <c r="F102" s="2128">
        <v>153042.70000000001</v>
      </c>
      <c r="G102" s="2128">
        <v>117498.3</v>
      </c>
      <c r="H102" s="2128">
        <v>266.89999999999998</v>
      </c>
      <c r="I102" s="2128">
        <v>76341.3</v>
      </c>
      <c r="J102" s="2128">
        <v>194106.5</v>
      </c>
      <c r="K102" s="2128">
        <v>12612.9</v>
      </c>
      <c r="L102" s="2128">
        <v>40.6</v>
      </c>
      <c r="M102" s="2128">
        <v>12653.5</v>
      </c>
      <c r="N102" s="2128">
        <v>493936.5</v>
      </c>
      <c r="O102" s="2128">
        <v>43834.8</v>
      </c>
      <c r="P102" s="2128">
        <v>537771.30000000005</v>
      </c>
      <c r="Q102" s="2128">
        <v>744531.3</v>
      </c>
      <c r="R102" s="2128">
        <v>-105128.7</v>
      </c>
      <c r="S102" s="2128">
        <v>639402.60000000009</v>
      </c>
      <c r="T102" s="2128">
        <v>792445.3</v>
      </c>
      <c r="U102" s="761"/>
      <c r="V102" s="761"/>
      <c r="W102" s="761"/>
      <c r="X102" s="761"/>
    </row>
    <row r="103" spans="1:24" s="153" customFormat="1" ht="10.5" customHeight="1" x14ac:dyDescent="0.2">
      <c r="A103" s="372" t="s">
        <v>1029</v>
      </c>
      <c r="B103" s="1709" t="s">
        <v>554</v>
      </c>
      <c r="C103" s="2128">
        <v>163910.9</v>
      </c>
      <c r="D103" s="2128">
        <v>-311.8</v>
      </c>
      <c r="E103" s="2128">
        <v>-6843</v>
      </c>
      <c r="F103" s="2128">
        <v>156756.1</v>
      </c>
      <c r="G103" s="2128">
        <v>117625.5</v>
      </c>
      <c r="H103" s="2128">
        <v>373.7</v>
      </c>
      <c r="I103" s="2128">
        <v>85418.9</v>
      </c>
      <c r="J103" s="2128">
        <v>203418.09999999998</v>
      </c>
      <c r="K103" s="2128">
        <v>14337.6</v>
      </c>
      <c r="L103" s="2128">
        <v>36.200000000000003</v>
      </c>
      <c r="M103" s="2128">
        <v>14373.800000000001</v>
      </c>
      <c r="N103" s="2128">
        <v>509391.5</v>
      </c>
      <c r="O103" s="2128">
        <v>46168.1</v>
      </c>
      <c r="P103" s="2128">
        <v>555559.6</v>
      </c>
      <c r="Q103" s="2128">
        <v>773351.5</v>
      </c>
      <c r="R103" s="2128">
        <v>-107844.6</v>
      </c>
      <c r="S103" s="2128">
        <v>665506.9</v>
      </c>
      <c r="T103" s="2128">
        <v>822263</v>
      </c>
      <c r="U103" s="761"/>
      <c r="V103" s="761"/>
      <c r="W103" s="761"/>
      <c r="X103" s="761"/>
    </row>
    <row r="104" spans="1:24" s="153" customFormat="1" ht="10.5" customHeight="1" x14ac:dyDescent="0.2">
      <c r="A104" s="372" t="s">
        <v>1029</v>
      </c>
      <c r="B104" s="372" t="s">
        <v>555</v>
      </c>
      <c r="C104" s="2128">
        <v>163722.1</v>
      </c>
      <c r="D104" s="2128">
        <v>-312.10000000000002</v>
      </c>
      <c r="E104" s="2128">
        <v>-6916.5</v>
      </c>
      <c r="F104" s="2128">
        <v>156493.5</v>
      </c>
      <c r="G104" s="2128">
        <v>114659.4</v>
      </c>
      <c r="H104" s="2128">
        <v>296.39999999999998</v>
      </c>
      <c r="I104" s="2128">
        <v>87583.4</v>
      </c>
      <c r="J104" s="2128">
        <v>202539.19999999998</v>
      </c>
      <c r="K104" s="2128">
        <v>16191.9</v>
      </c>
      <c r="L104" s="2128">
        <v>29.1</v>
      </c>
      <c r="M104" s="2128">
        <v>16221</v>
      </c>
      <c r="N104" s="2128">
        <v>515269.3</v>
      </c>
      <c r="O104" s="2128">
        <v>46647</v>
      </c>
      <c r="P104" s="2128">
        <v>561916.30000000005</v>
      </c>
      <c r="Q104" s="2128">
        <v>780676.5</v>
      </c>
      <c r="R104" s="2128">
        <v>-107629.6</v>
      </c>
      <c r="S104" s="2128">
        <v>673046.9</v>
      </c>
      <c r="T104" s="2128">
        <v>829540.4</v>
      </c>
      <c r="U104" s="761"/>
      <c r="V104" s="761"/>
      <c r="W104" s="761"/>
      <c r="X104" s="761"/>
    </row>
    <row r="105" spans="1:24" s="153" customFormat="1" ht="10.5" customHeight="1" x14ac:dyDescent="0.2">
      <c r="A105" s="372" t="s">
        <v>1029</v>
      </c>
      <c r="B105" s="1709" t="s">
        <v>548</v>
      </c>
      <c r="C105" s="2128">
        <v>167301.9</v>
      </c>
      <c r="D105" s="2128">
        <v>-296.39999999999998</v>
      </c>
      <c r="E105" s="2128">
        <v>-6911.1</v>
      </c>
      <c r="F105" s="2128">
        <v>160094.39999999999</v>
      </c>
      <c r="G105" s="2128">
        <v>112061</v>
      </c>
      <c r="H105" s="2128">
        <v>249.1</v>
      </c>
      <c r="I105" s="2128">
        <v>89476.800000000003</v>
      </c>
      <c r="J105" s="2128">
        <v>201786.90000000002</v>
      </c>
      <c r="K105" s="2128">
        <v>18130.8</v>
      </c>
      <c r="L105" s="2128">
        <v>29.3</v>
      </c>
      <c r="M105" s="2128">
        <v>18160.099999999999</v>
      </c>
      <c r="N105" s="2128">
        <v>527873.30000000005</v>
      </c>
      <c r="O105" s="2128">
        <v>47646.2</v>
      </c>
      <c r="P105" s="2128">
        <v>575519.5</v>
      </c>
      <c r="Q105" s="2128">
        <v>795466.5</v>
      </c>
      <c r="R105" s="2128">
        <v>-106395</v>
      </c>
      <c r="S105" s="2128">
        <v>689071.5</v>
      </c>
      <c r="T105" s="2128">
        <v>849165.9</v>
      </c>
      <c r="U105" s="761"/>
      <c r="V105" s="761"/>
      <c r="W105" s="761"/>
      <c r="X105" s="761"/>
    </row>
    <row r="106" spans="1:24" s="153" customFormat="1" ht="10.5" customHeight="1" x14ac:dyDescent="0.2">
      <c r="A106" s="372" t="s">
        <v>1029</v>
      </c>
      <c r="B106" s="372" t="s">
        <v>556</v>
      </c>
      <c r="C106" s="2128">
        <v>167657.9</v>
      </c>
      <c r="D106" s="2128">
        <v>-296.60000000000002</v>
      </c>
      <c r="E106" s="2128">
        <v>-6971.7</v>
      </c>
      <c r="F106" s="2128">
        <v>160389.59999999998</v>
      </c>
      <c r="G106" s="2128">
        <v>111202.1</v>
      </c>
      <c r="H106" s="2128">
        <v>252.4</v>
      </c>
      <c r="I106" s="2128">
        <v>92080.3</v>
      </c>
      <c r="J106" s="2128">
        <v>203534.8</v>
      </c>
      <c r="K106" s="2128">
        <v>17788.7</v>
      </c>
      <c r="L106" s="2128">
        <v>27.3</v>
      </c>
      <c r="M106" s="2128">
        <v>17816</v>
      </c>
      <c r="N106" s="2128">
        <v>525823.19999999995</v>
      </c>
      <c r="O106" s="2128">
        <v>48210.400000000001</v>
      </c>
      <c r="P106" s="2128">
        <v>574033.6</v>
      </c>
      <c r="Q106" s="2128">
        <v>795384.39999999991</v>
      </c>
      <c r="R106" s="2128">
        <v>-106929.3</v>
      </c>
      <c r="S106" s="2128">
        <v>688455.09999999986</v>
      </c>
      <c r="T106" s="2128">
        <v>848844.69999999984</v>
      </c>
      <c r="U106" s="761"/>
      <c r="V106" s="761"/>
      <c r="W106" s="761"/>
      <c r="X106" s="761"/>
    </row>
    <row r="107" spans="1:24" s="153" customFormat="1" ht="10.5" customHeight="1" x14ac:dyDescent="0.2">
      <c r="A107" s="372" t="s">
        <v>1029</v>
      </c>
      <c r="B107" s="1709" t="s">
        <v>557</v>
      </c>
      <c r="C107" s="2128">
        <v>171593.60000000001</v>
      </c>
      <c r="D107" s="2128">
        <v>-296.8</v>
      </c>
      <c r="E107" s="2128">
        <v>-7037.8</v>
      </c>
      <c r="F107" s="2128">
        <v>164259.00000000003</v>
      </c>
      <c r="G107" s="2128">
        <v>110667.5</v>
      </c>
      <c r="H107" s="2128">
        <v>345.4</v>
      </c>
      <c r="I107" s="2128">
        <v>94624.5</v>
      </c>
      <c r="J107" s="2128">
        <v>205637.4</v>
      </c>
      <c r="K107" s="2128">
        <v>17229.099999999999</v>
      </c>
      <c r="L107" s="2128">
        <v>26.5</v>
      </c>
      <c r="M107" s="2128">
        <v>17255.599999999999</v>
      </c>
      <c r="N107" s="2128">
        <v>529070</v>
      </c>
      <c r="O107" s="2128">
        <v>48858.1</v>
      </c>
      <c r="P107" s="2128">
        <v>577928.1</v>
      </c>
      <c r="Q107" s="2128">
        <v>800821.1</v>
      </c>
      <c r="R107" s="2128">
        <v>-105211.8</v>
      </c>
      <c r="S107" s="2128">
        <v>695609.29999999993</v>
      </c>
      <c r="T107" s="2128">
        <v>859868.29999999993</v>
      </c>
      <c r="U107" s="761"/>
      <c r="V107" s="761"/>
      <c r="W107" s="761"/>
      <c r="X107" s="761"/>
    </row>
    <row r="108" spans="1:24" s="153" customFormat="1" ht="10.5" customHeight="1" x14ac:dyDescent="0.2">
      <c r="A108" s="372" t="s">
        <v>1029</v>
      </c>
      <c r="B108" s="372" t="s">
        <v>549</v>
      </c>
      <c r="C108" s="2128">
        <v>177494.1</v>
      </c>
      <c r="D108" s="2128">
        <v>-288.89999999999998</v>
      </c>
      <c r="E108" s="2128">
        <v>-7098.8</v>
      </c>
      <c r="F108" s="2128">
        <v>170106.40000000002</v>
      </c>
      <c r="G108" s="2128">
        <v>105618.5</v>
      </c>
      <c r="H108" s="2128">
        <v>206.6</v>
      </c>
      <c r="I108" s="2128">
        <v>97525.4</v>
      </c>
      <c r="J108" s="2128">
        <v>203350.5</v>
      </c>
      <c r="K108" s="2128">
        <v>17807.099999999999</v>
      </c>
      <c r="L108" s="2128">
        <v>46.6</v>
      </c>
      <c r="M108" s="2128">
        <v>17853.699999999997</v>
      </c>
      <c r="N108" s="2128">
        <v>536433.1</v>
      </c>
      <c r="O108" s="2128">
        <v>48900.6</v>
      </c>
      <c r="P108" s="2128">
        <v>585333.69999999995</v>
      </c>
      <c r="Q108" s="2128">
        <v>806537.89999999991</v>
      </c>
      <c r="R108" s="2128">
        <v>-109451.8</v>
      </c>
      <c r="S108" s="2128">
        <v>697086.09999999986</v>
      </c>
      <c r="T108" s="2128">
        <v>867192.49999999988</v>
      </c>
      <c r="U108" s="761"/>
      <c r="V108" s="761"/>
      <c r="W108" s="761"/>
      <c r="X108" s="761"/>
    </row>
    <row r="109" spans="1:24" s="153" customFormat="1" ht="10.5" customHeight="1" x14ac:dyDescent="0.2">
      <c r="A109" s="372" t="s">
        <v>1029</v>
      </c>
      <c r="B109" s="1709" t="s">
        <v>558</v>
      </c>
      <c r="C109" s="2128">
        <v>181244.9</v>
      </c>
      <c r="D109" s="2128">
        <v>-289.10000000000002</v>
      </c>
      <c r="E109" s="2128">
        <v>-7140.9</v>
      </c>
      <c r="F109" s="2128">
        <v>173814.9</v>
      </c>
      <c r="G109" s="2128">
        <v>104269.6</v>
      </c>
      <c r="H109" s="2128">
        <v>227</v>
      </c>
      <c r="I109" s="2128">
        <v>100469.8</v>
      </c>
      <c r="J109" s="2128">
        <v>204966.40000000002</v>
      </c>
      <c r="K109" s="2128">
        <v>16993.5</v>
      </c>
      <c r="L109" s="2128">
        <v>52.3</v>
      </c>
      <c r="M109" s="2128">
        <v>17045.8</v>
      </c>
      <c r="N109" s="2128">
        <v>541245.19999999995</v>
      </c>
      <c r="O109" s="2128">
        <v>49071.3</v>
      </c>
      <c r="P109" s="2128">
        <v>590316.5</v>
      </c>
      <c r="Q109" s="2128">
        <v>812328.7</v>
      </c>
      <c r="R109" s="2128">
        <v>-112738.4</v>
      </c>
      <c r="S109" s="2128">
        <v>699590.29999999993</v>
      </c>
      <c r="T109" s="2128">
        <v>873405.2</v>
      </c>
      <c r="U109" s="761"/>
      <c r="V109" s="761"/>
      <c r="W109" s="761"/>
      <c r="X109" s="761"/>
    </row>
    <row r="110" spans="1:24" s="153" customFormat="1" ht="10.5" customHeight="1" x14ac:dyDescent="0.2">
      <c r="A110" s="372" t="s">
        <v>1029</v>
      </c>
      <c r="B110" s="372" t="s">
        <v>559</v>
      </c>
      <c r="C110" s="2128">
        <v>183631.7</v>
      </c>
      <c r="D110" s="2128">
        <v>-289.39999999999998</v>
      </c>
      <c r="E110" s="2128">
        <v>-7182.1</v>
      </c>
      <c r="F110" s="2128">
        <v>176160.2</v>
      </c>
      <c r="G110" s="2128">
        <v>105968.5</v>
      </c>
      <c r="H110" s="2128">
        <v>181.8</v>
      </c>
      <c r="I110" s="2128">
        <v>102903.8</v>
      </c>
      <c r="J110" s="2128">
        <v>209054.1</v>
      </c>
      <c r="K110" s="2128">
        <v>16353.2</v>
      </c>
      <c r="L110" s="2128">
        <v>75</v>
      </c>
      <c r="M110" s="2128">
        <v>16428.2</v>
      </c>
      <c r="N110" s="2128">
        <v>544728.19999999995</v>
      </c>
      <c r="O110" s="2128">
        <v>49506.400000000001</v>
      </c>
      <c r="P110" s="2128">
        <v>594234.6</v>
      </c>
      <c r="Q110" s="2128">
        <v>819716.9</v>
      </c>
      <c r="R110" s="2128">
        <v>-106935.1</v>
      </c>
      <c r="S110" s="2128">
        <v>712781.8</v>
      </c>
      <c r="T110" s="2128">
        <v>888942</v>
      </c>
      <c r="U110" s="761"/>
      <c r="V110" s="761"/>
      <c r="W110" s="761"/>
      <c r="X110" s="761"/>
    </row>
    <row r="111" spans="1:24" s="153" customFormat="1" ht="10.5" customHeight="1" x14ac:dyDescent="0.2">
      <c r="A111" s="372" t="s">
        <v>1029</v>
      </c>
      <c r="B111" s="1709" t="s">
        <v>550</v>
      </c>
      <c r="C111" s="2128">
        <v>189228.79999999999</v>
      </c>
      <c r="D111" s="2128">
        <v>-274.10000000000002</v>
      </c>
      <c r="E111" s="2128">
        <v>-7257.5</v>
      </c>
      <c r="F111" s="2128">
        <v>181697.19999999998</v>
      </c>
      <c r="G111" s="2128">
        <v>110224.8</v>
      </c>
      <c r="H111" s="2128">
        <v>183.4</v>
      </c>
      <c r="I111" s="2128">
        <v>105074</v>
      </c>
      <c r="J111" s="2128">
        <v>215482.2</v>
      </c>
      <c r="K111" s="2128">
        <v>16448.8</v>
      </c>
      <c r="L111" s="2128">
        <v>80.3</v>
      </c>
      <c r="M111" s="2128">
        <v>16529.099999999999</v>
      </c>
      <c r="N111" s="2128">
        <v>557021.80000000005</v>
      </c>
      <c r="O111" s="2128">
        <v>50121.5</v>
      </c>
      <c r="P111" s="2128">
        <v>607143.30000000005</v>
      </c>
      <c r="Q111" s="2128">
        <v>839154.60000000009</v>
      </c>
      <c r="R111" s="2128">
        <v>-110802.8</v>
      </c>
      <c r="S111" s="2128">
        <v>728351.8</v>
      </c>
      <c r="T111" s="2128">
        <v>910049</v>
      </c>
      <c r="U111" s="761"/>
      <c r="V111" s="761"/>
      <c r="W111" s="761"/>
      <c r="X111" s="761"/>
    </row>
    <row r="112" spans="1:24" s="153" customFormat="1" ht="10.5" customHeight="1" x14ac:dyDescent="0.2">
      <c r="A112" s="372" t="s">
        <v>1150</v>
      </c>
      <c r="B112" s="372" t="s">
        <v>552</v>
      </c>
      <c r="C112" s="2128">
        <v>196820.2</v>
      </c>
      <c r="D112" s="2128">
        <v>-274.3</v>
      </c>
      <c r="E112" s="2128">
        <v>-7324.4</v>
      </c>
      <c r="F112" s="2128">
        <v>189221.5</v>
      </c>
      <c r="G112" s="2128">
        <v>121706.8</v>
      </c>
      <c r="H112" s="2128">
        <v>189.3</v>
      </c>
      <c r="I112" s="2128">
        <v>107050.3</v>
      </c>
      <c r="J112" s="2128">
        <v>228946.40000000002</v>
      </c>
      <c r="K112" s="2128">
        <v>15192.9</v>
      </c>
      <c r="L112" s="2128">
        <v>79</v>
      </c>
      <c r="M112" s="2128">
        <v>15271.9</v>
      </c>
      <c r="N112" s="2128">
        <v>555844.6</v>
      </c>
      <c r="O112" s="2128">
        <v>50644.4</v>
      </c>
      <c r="P112" s="2128">
        <v>606489</v>
      </c>
      <c r="Q112" s="2128">
        <v>850707.3</v>
      </c>
      <c r="R112" s="2128">
        <v>-110702.39999999999</v>
      </c>
      <c r="S112" s="2128">
        <v>740004.9</v>
      </c>
      <c r="T112" s="2128">
        <v>929226.4</v>
      </c>
      <c r="U112" s="761"/>
      <c r="V112" s="761"/>
      <c r="W112" s="761"/>
      <c r="X112" s="761"/>
    </row>
    <row r="113" spans="1:24" s="153" customFormat="1" ht="10.5" customHeight="1" x14ac:dyDescent="0.2">
      <c r="A113" s="372" t="s">
        <v>1150</v>
      </c>
      <c r="B113" s="1709" t="s">
        <v>553</v>
      </c>
      <c r="C113" s="2128">
        <v>198475</v>
      </c>
      <c r="D113" s="2128">
        <v>-274.7</v>
      </c>
      <c r="E113" s="2128">
        <v>-7499.8</v>
      </c>
      <c r="F113" s="2128">
        <v>190700.5</v>
      </c>
      <c r="G113" s="2128">
        <v>115652.9</v>
      </c>
      <c r="H113" s="2128">
        <v>171</v>
      </c>
      <c r="I113" s="2128">
        <v>109701.2</v>
      </c>
      <c r="J113" s="2128">
        <v>225525.09999999998</v>
      </c>
      <c r="K113" s="2128">
        <v>15339.9</v>
      </c>
      <c r="L113" s="2128">
        <v>81.2</v>
      </c>
      <c r="M113" s="2128">
        <v>15421.1</v>
      </c>
      <c r="N113" s="2128">
        <v>559927.30000000005</v>
      </c>
      <c r="O113" s="2128">
        <v>51032.6</v>
      </c>
      <c r="P113" s="2128">
        <v>610959.9</v>
      </c>
      <c r="Q113" s="2128">
        <v>851906.1</v>
      </c>
      <c r="R113" s="2128">
        <v>-109240.3</v>
      </c>
      <c r="S113" s="2128">
        <v>742665.79999999993</v>
      </c>
      <c r="T113" s="2128">
        <v>933366.29999999993</v>
      </c>
      <c r="U113" s="761"/>
      <c r="V113" s="761"/>
      <c r="W113" s="761"/>
      <c r="X113" s="761"/>
    </row>
    <row r="114" spans="1:24" s="153" customFormat="1" ht="10.5" customHeight="1" x14ac:dyDescent="0.2">
      <c r="A114" s="372" t="s">
        <v>1150</v>
      </c>
      <c r="B114" s="372" t="s">
        <v>547</v>
      </c>
      <c r="C114" s="2128">
        <v>203775.9</v>
      </c>
      <c r="D114" s="2128">
        <v>-266.89999999999998</v>
      </c>
      <c r="E114" s="2128">
        <v>-7590.5</v>
      </c>
      <c r="F114" s="2128">
        <v>195918.5</v>
      </c>
      <c r="G114" s="2128">
        <v>118140.2</v>
      </c>
      <c r="H114" s="2128">
        <v>15.6</v>
      </c>
      <c r="I114" s="2128">
        <v>111755</v>
      </c>
      <c r="J114" s="2128">
        <v>229910.8</v>
      </c>
      <c r="K114" s="2128">
        <v>15435.1</v>
      </c>
      <c r="L114" s="2128">
        <v>99.6</v>
      </c>
      <c r="M114" s="2128">
        <v>15534.7</v>
      </c>
      <c r="N114" s="2128">
        <v>571404.5</v>
      </c>
      <c r="O114" s="2128">
        <v>51851.1</v>
      </c>
      <c r="P114" s="2128">
        <v>623255.6</v>
      </c>
      <c r="Q114" s="2128">
        <v>868701.1</v>
      </c>
      <c r="R114" s="2128">
        <v>-113091.8</v>
      </c>
      <c r="S114" s="2128">
        <v>755609.29999999993</v>
      </c>
      <c r="T114" s="2128">
        <v>951527.79999999993</v>
      </c>
      <c r="U114" s="761"/>
      <c r="V114" s="761"/>
      <c r="W114" s="761"/>
      <c r="X114" s="761"/>
    </row>
    <row r="115" spans="1:24" s="153" customFormat="1" ht="10.5" customHeight="1" x14ac:dyDescent="0.2">
      <c r="A115" s="372" t="s">
        <v>1150</v>
      </c>
      <c r="B115" s="1709" t="s">
        <v>554</v>
      </c>
      <c r="C115" s="2128">
        <v>203356.7</v>
      </c>
      <c r="D115" s="2128">
        <v>-267</v>
      </c>
      <c r="E115" s="2128">
        <v>-7687.7</v>
      </c>
      <c r="F115" s="2128">
        <v>195402</v>
      </c>
      <c r="G115" s="2128">
        <v>112618.5</v>
      </c>
      <c r="H115" s="2128">
        <v>-31.6</v>
      </c>
      <c r="I115" s="2128">
        <v>114107.7</v>
      </c>
      <c r="J115" s="2128">
        <v>226694.59999999998</v>
      </c>
      <c r="K115" s="2128">
        <v>15778.7</v>
      </c>
      <c r="L115" s="2128">
        <v>99.6</v>
      </c>
      <c r="M115" s="2128">
        <v>15878.300000000001</v>
      </c>
      <c r="N115" s="2128">
        <v>576260.5</v>
      </c>
      <c r="O115" s="2128">
        <v>52138.400000000001</v>
      </c>
      <c r="P115" s="2128">
        <v>628398.9</v>
      </c>
      <c r="Q115" s="2128">
        <v>870971.8</v>
      </c>
      <c r="R115" s="2128">
        <v>-114631.2</v>
      </c>
      <c r="S115" s="2128">
        <v>756340.60000000009</v>
      </c>
      <c r="T115" s="2128">
        <v>951742.60000000009</v>
      </c>
      <c r="U115" s="761"/>
      <c r="V115" s="761"/>
      <c r="W115" s="761"/>
      <c r="X115" s="761"/>
    </row>
    <row r="116" spans="1:24" s="153" customFormat="1" ht="10.5" customHeight="1" x14ac:dyDescent="0.2">
      <c r="A116" s="372" t="s">
        <v>1150</v>
      </c>
      <c r="B116" s="372" t="s">
        <v>555</v>
      </c>
      <c r="C116" s="2128">
        <v>205753.7</v>
      </c>
      <c r="D116" s="2128">
        <v>-267.10000000000002</v>
      </c>
      <c r="E116" s="2128">
        <v>-7829.7</v>
      </c>
      <c r="F116" s="2128">
        <v>197656.90000000002</v>
      </c>
      <c r="G116" s="2128">
        <v>110075.8</v>
      </c>
      <c r="H116" s="2128">
        <v>-33</v>
      </c>
      <c r="I116" s="2128">
        <v>116399.9</v>
      </c>
      <c r="J116" s="2128">
        <v>226442.7</v>
      </c>
      <c r="K116" s="2128">
        <v>15864.6</v>
      </c>
      <c r="L116" s="2128">
        <v>99.8</v>
      </c>
      <c r="M116" s="2128">
        <v>15964.4</v>
      </c>
      <c r="N116" s="2128">
        <v>584825.4</v>
      </c>
      <c r="O116" s="2128">
        <v>53682.7</v>
      </c>
      <c r="P116" s="2128">
        <v>638508.1</v>
      </c>
      <c r="Q116" s="2128">
        <v>880915.2</v>
      </c>
      <c r="R116" s="2128">
        <v>-119084.1</v>
      </c>
      <c r="S116" s="2128">
        <v>761831.1</v>
      </c>
      <c r="T116" s="2128">
        <v>959488</v>
      </c>
      <c r="U116" s="761"/>
      <c r="V116" s="761"/>
      <c r="W116" s="761"/>
      <c r="X116" s="761"/>
    </row>
    <row r="117" spans="1:24" s="153" customFormat="1" ht="10.5" customHeight="1" x14ac:dyDescent="0.2">
      <c r="A117" s="372" t="s">
        <v>1150</v>
      </c>
      <c r="B117" s="1709" t="s">
        <v>548</v>
      </c>
      <c r="C117" s="2128">
        <v>209317.4</v>
      </c>
      <c r="D117" s="2128">
        <v>-229.9</v>
      </c>
      <c r="E117" s="2128">
        <v>-7869.5</v>
      </c>
      <c r="F117" s="2128">
        <v>201218</v>
      </c>
      <c r="G117" s="2128">
        <v>103457.8</v>
      </c>
      <c r="H117" s="2128">
        <v>-26.3</v>
      </c>
      <c r="I117" s="2128">
        <v>118379.6</v>
      </c>
      <c r="J117" s="2128">
        <v>221811.1</v>
      </c>
      <c r="K117" s="2128">
        <v>16269.4</v>
      </c>
      <c r="L117" s="2128">
        <v>87</v>
      </c>
      <c r="M117" s="2128">
        <v>16356.4</v>
      </c>
      <c r="N117" s="2128">
        <v>601195.4</v>
      </c>
      <c r="O117" s="2128">
        <v>55338.6</v>
      </c>
      <c r="P117" s="2128">
        <v>656534</v>
      </c>
      <c r="Q117" s="2128">
        <v>894701.5</v>
      </c>
      <c r="R117" s="2128">
        <v>-119588.9</v>
      </c>
      <c r="S117" s="2128">
        <v>775112.6</v>
      </c>
      <c r="T117" s="2128">
        <v>976330.6</v>
      </c>
      <c r="U117" s="761"/>
      <c r="V117" s="761"/>
      <c r="W117" s="761"/>
      <c r="X117" s="761"/>
    </row>
    <row r="118" spans="1:24" s="153" customFormat="1" ht="10.5" customHeight="1" x14ac:dyDescent="0.2">
      <c r="A118" s="372" t="s">
        <v>1150</v>
      </c>
      <c r="B118" s="372" t="s">
        <v>556</v>
      </c>
      <c r="C118" s="2128">
        <v>210592.6</v>
      </c>
      <c r="D118" s="2128">
        <v>-229.9</v>
      </c>
      <c r="E118" s="2128">
        <v>-8020</v>
      </c>
      <c r="F118" s="2128">
        <v>202342.7</v>
      </c>
      <c r="G118" s="2128">
        <v>100079.6</v>
      </c>
      <c r="H118" s="2128">
        <v>-30.9</v>
      </c>
      <c r="I118" s="2128">
        <v>121677</v>
      </c>
      <c r="J118" s="2128">
        <v>221725.7</v>
      </c>
      <c r="K118" s="2128">
        <v>17422.5</v>
      </c>
      <c r="L118" s="2128">
        <v>88.1</v>
      </c>
      <c r="M118" s="2128">
        <v>17510.599999999999</v>
      </c>
      <c r="N118" s="2128">
        <v>602905.9</v>
      </c>
      <c r="O118" s="2128">
        <v>55923.1</v>
      </c>
      <c r="P118" s="2128">
        <v>658829</v>
      </c>
      <c r="Q118" s="2128">
        <v>898065.3</v>
      </c>
      <c r="R118" s="2128">
        <v>-123725.4</v>
      </c>
      <c r="S118" s="2128">
        <v>774339.9</v>
      </c>
      <c r="T118" s="2128">
        <v>976682.60000000009</v>
      </c>
      <c r="U118" s="761"/>
      <c r="V118" s="761"/>
      <c r="W118" s="761"/>
      <c r="X118" s="761"/>
    </row>
    <row r="119" spans="1:24" s="153" customFormat="1" ht="10.5" customHeight="1" x14ac:dyDescent="0.2">
      <c r="A119" s="372" t="s">
        <v>1150</v>
      </c>
      <c r="B119" s="1709" t="s">
        <v>557</v>
      </c>
      <c r="C119" s="2128">
        <v>214670.6</v>
      </c>
      <c r="D119" s="2128">
        <v>-102.1</v>
      </c>
      <c r="E119" s="2128">
        <v>-8145.2</v>
      </c>
      <c r="F119" s="2128">
        <v>206423.30000000002</v>
      </c>
      <c r="G119" s="2128">
        <v>102659</v>
      </c>
      <c r="H119" s="2128">
        <v>-45.6</v>
      </c>
      <c r="I119" s="2128">
        <v>124964.5</v>
      </c>
      <c r="J119" s="2128">
        <v>227577.9</v>
      </c>
      <c r="K119" s="2128">
        <v>16638.5</v>
      </c>
      <c r="L119" s="2128">
        <v>92.9</v>
      </c>
      <c r="M119" s="2128">
        <v>16731.400000000001</v>
      </c>
      <c r="N119" s="2128">
        <v>608706.9</v>
      </c>
      <c r="O119" s="2128">
        <v>56932.2</v>
      </c>
      <c r="P119" s="2128">
        <v>665639.1</v>
      </c>
      <c r="Q119" s="2128">
        <v>909948.39999999991</v>
      </c>
      <c r="R119" s="2128">
        <v>-126109.3</v>
      </c>
      <c r="S119" s="2128">
        <v>783839.09999999986</v>
      </c>
      <c r="T119" s="2128">
        <v>990262.39999999991</v>
      </c>
      <c r="U119" s="761"/>
      <c r="V119" s="761"/>
      <c r="W119" s="761"/>
      <c r="X119" s="761"/>
    </row>
    <row r="120" spans="1:24" s="153" customFormat="1" ht="10.5" customHeight="1" x14ac:dyDescent="0.2">
      <c r="A120" s="372" t="s">
        <v>1150</v>
      </c>
      <c r="B120" s="372" t="s">
        <v>549</v>
      </c>
      <c r="C120" s="2128">
        <v>220327.5</v>
      </c>
      <c r="D120" s="2128">
        <v>-98.7</v>
      </c>
      <c r="E120" s="2128">
        <v>-8245.7000000000007</v>
      </c>
      <c r="F120" s="2128">
        <v>211983.1</v>
      </c>
      <c r="G120" s="2128">
        <v>99749.2</v>
      </c>
      <c r="H120" s="2128">
        <v>-49.7</v>
      </c>
      <c r="I120" s="2128">
        <v>128262.2</v>
      </c>
      <c r="J120" s="2128">
        <v>227961.7</v>
      </c>
      <c r="K120" s="2128">
        <v>16808.099999999999</v>
      </c>
      <c r="L120" s="2128">
        <v>101.1</v>
      </c>
      <c r="M120" s="2128">
        <v>16909.199999999997</v>
      </c>
      <c r="N120" s="2128">
        <v>617325.69999999995</v>
      </c>
      <c r="O120" s="2128">
        <v>57492.3</v>
      </c>
      <c r="P120" s="2128">
        <v>674818</v>
      </c>
      <c r="Q120" s="2128">
        <v>919688.9</v>
      </c>
      <c r="R120" s="2128">
        <v>-129157.6</v>
      </c>
      <c r="S120" s="2128">
        <v>790531.3</v>
      </c>
      <c r="T120" s="2128">
        <v>1002514.4</v>
      </c>
      <c r="U120" s="761"/>
      <c r="V120" s="761"/>
      <c r="W120" s="761"/>
      <c r="X120" s="761"/>
    </row>
    <row r="121" spans="1:24" s="153" customFormat="1" ht="10.5" customHeight="1" x14ac:dyDescent="0.2">
      <c r="A121" s="372" t="s">
        <v>1150</v>
      </c>
      <c r="B121" s="1709" t="s">
        <v>558</v>
      </c>
      <c r="C121" s="2128">
        <v>222688.1</v>
      </c>
      <c r="D121" s="2128">
        <v>-98.6</v>
      </c>
      <c r="E121" s="2128">
        <v>-8345.6</v>
      </c>
      <c r="F121" s="2128">
        <v>214243.9</v>
      </c>
      <c r="G121" s="2128">
        <v>97531.199999999997</v>
      </c>
      <c r="H121" s="2128">
        <v>-57.9</v>
      </c>
      <c r="I121" s="2128">
        <v>131561.70000000001</v>
      </c>
      <c r="J121" s="2128">
        <v>229035</v>
      </c>
      <c r="K121" s="2128">
        <v>16675.2</v>
      </c>
      <c r="L121" s="2128">
        <v>109.2</v>
      </c>
      <c r="M121" s="2128">
        <v>16784.400000000001</v>
      </c>
      <c r="N121" s="2128">
        <v>625421.6</v>
      </c>
      <c r="O121" s="2128">
        <v>58627</v>
      </c>
      <c r="P121" s="2128">
        <v>684048.6</v>
      </c>
      <c r="Q121" s="2128">
        <v>929868</v>
      </c>
      <c r="R121" s="2128">
        <v>-129023.4</v>
      </c>
      <c r="S121" s="2128">
        <v>800844.6</v>
      </c>
      <c r="T121" s="2128">
        <v>1015088.5</v>
      </c>
      <c r="U121" s="761"/>
      <c r="V121" s="761"/>
      <c r="W121" s="761"/>
      <c r="X121" s="761"/>
    </row>
    <row r="122" spans="1:24" s="153" customFormat="1" ht="10.5" customHeight="1" x14ac:dyDescent="0.2">
      <c r="A122" s="372" t="s">
        <v>1150</v>
      </c>
      <c r="B122" s="372" t="s">
        <v>559</v>
      </c>
      <c r="C122" s="2128">
        <v>223727.3</v>
      </c>
      <c r="D122" s="2128">
        <v>-98.5</v>
      </c>
      <c r="E122" s="2128">
        <v>-8430.2999999999993</v>
      </c>
      <c r="F122" s="2128">
        <v>215198.5</v>
      </c>
      <c r="G122" s="2128">
        <v>102077.9</v>
      </c>
      <c r="H122" s="2128">
        <v>-59.3</v>
      </c>
      <c r="I122" s="2128">
        <v>135166.70000000001</v>
      </c>
      <c r="J122" s="2128">
        <v>237185.30000000002</v>
      </c>
      <c r="K122" s="2128">
        <v>16607.900000000001</v>
      </c>
      <c r="L122" s="2128">
        <v>110.9</v>
      </c>
      <c r="M122" s="2128">
        <v>16718.800000000003</v>
      </c>
      <c r="N122" s="2128">
        <v>634238.30000000005</v>
      </c>
      <c r="O122" s="2128">
        <v>59458.9</v>
      </c>
      <c r="P122" s="2128">
        <v>693697.20000000007</v>
      </c>
      <c r="Q122" s="2128">
        <v>947601.3</v>
      </c>
      <c r="R122" s="2128">
        <v>-129693.1</v>
      </c>
      <c r="S122" s="2128">
        <v>817908.20000000007</v>
      </c>
      <c r="T122" s="2128">
        <v>1033106.7000000001</v>
      </c>
      <c r="U122" s="761"/>
      <c r="V122" s="761"/>
      <c r="W122" s="761"/>
      <c r="X122" s="761"/>
    </row>
    <row r="123" spans="1:24" s="153" customFormat="1" ht="10.5" customHeight="1" x14ac:dyDescent="0.2">
      <c r="A123" s="372" t="s">
        <v>1150</v>
      </c>
      <c r="B123" s="1709" t="s">
        <v>550</v>
      </c>
      <c r="C123" s="2128">
        <v>233135.6</v>
      </c>
      <c r="D123" s="2128">
        <v>-83</v>
      </c>
      <c r="E123" s="2128">
        <v>-8475.2000000000007</v>
      </c>
      <c r="F123" s="2128">
        <v>224577.4</v>
      </c>
      <c r="G123" s="2128">
        <v>114189.1</v>
      </c>
      <c r="H123" s="2128">
        <v>-89.1</v>
      </c>
      <c r="I123" s="2128">
        <v>138762.6</v>
      </c>
      <c r="J123" s="2128">
        <v>252862.6</v>
      </c>
      <c r="K123" s="2128">
        <v>15573</v>
      </c>
      <c r="L123" s="2128">
        <v>108.3</v>
      </c>
      <c r="M123" s="2128">
        <v>15681.3</v>
      </c>
      <c r="N123" s="2128">
        <v>650644</v>
      </c>
      <c r="O123" s="2128">
        <v>60778.8</v>
      </c>
      <c r="P123" s="2128">
        <v>711422.8</v>
      </c>
      <c r="Q123" s="2128">
        <v>979966.70000000007</v>
      </c>
      <c r="R123" s="2128">
        <v>-127800.9</v>
      </c>
      <c r="S123" s="2128">
        <v>852165.8</v>
      </c>
      <c r="T123" s="2128">
        <v>1076743.2</v>
      </c>
      <c r="U123" s="761"/>
      <c r="V123" s="761"/>
      <c r="W123" s="761"/>
      <c r="X123" s="761"/>
    </row>
    <row r="124" spans="1:24" s="153" customFormat="1" ht="10.5" customHeight="1" x14ac:dyDescent="0.2">
      <c r="A124" s="372" t="s">
        <v>1174</v>
      </c>
      <c r="B124" s="372" t="s">
        <v>552</v>
      </c>
      <c r="C124" s="2128">
        <v>235885.4</v>
      </c>
      <c r="D124" s="2128">
        <v>-82.9</v>
      </c>
      <c r="E124" s="2128">
        <v>-8610.6</v>
      </c>
      <c r="F124" s="2128">
        <v>227191.9</v>
      </c>
      <c r="G124" s="2128">
        <v>116648.3</v>
      </c>
      <c r="H124" s="2128">
        <v>-52.9</v>
      </c>
      <c r="I124" s="2128">
        <v>142260.9</v>
      </c>
      <c r="J124" s="2128">
        <v>258856.3</v>
      </c>
      <c r="K124" s="2128">
        <v>15529.7</v>
      </c>
      <c r="L124" s="2128">
        <v>113.4</v>
      </c>
      <c r="M124" s="2128">
        <v>15643.1</v>
      </c>
      <c r="N124" s="2128">
        <v>644864.30000000005</v>
      </c>
      <c r="O124" s="2128">
        <v>61192.5</v>
      </c>
      <c r="P124" s="2128">
        <v>706056.8</v>
      </c>
      <c r="Q124" s="2128">
        <v>980556.2</v>
      </c>
      <c r="R124" s="2128">
        <v>-130812.1</v>
      </c>
      <c r="S124" s="2128">
        <v>849744.1</v>
      </c>
      <c r="T124" s="2128">
        <v>1076936</v>
      </c>
      <c r="U124" s="761"/>
      <c r="V124" s="761"/>
      <c r="W124" s="761"/>
      <c r="X124" s="761"/>
    </row>
    <row r="125" spans="1:24" s="153" customFormat="1" ht="10.5" customHeight="1" x14ac:dyDescent="0.2">
      <c r="A125" s="372" t="s">
        <v>1174</v>
      </c>
      <c r="B125" s="1709" t="s">
        <v>553</v>
      </c>
      <c r="C125" s="2128">
        <v>241535</v>
      </c>
      <c r="D125" s="2128">
        <v>-82.9</v>
      </c>
      <c r="E125" s="2128">
        <v>-8757.5</v>
      </c>
      <c r="F125" s="2128">
        <v>232694.6</v>
      </c>
      <c r="G125" s="2128">
        <v>113296.3</v>
      </c>
      <c r="H125" s="2128">
        <v>-60</v>
      </c>
      <c r="I125" s="2128">
        <v>146558.1</v>
      </c>
      <c r="J125" s="2128">
        <v>259794.40000000002</v>
      </c>
      <c r="K125" s="2128">
        <v>15633</v>
      </c>
      <c r="L125" s="2128">
        <v>118.7</v>
      </c>
      <c r="M125" s="2128">
        <v>15751.7</v>
      </c>
      <c r="N125" s="2128">
        <v>651267.9</v>
      </c>
      <c r="O125" s="2128">
        <v>61740.4</v>
      </c>
      <c r="P125" s="2128">
        <v>713008.3</v>
      </c>
      <c r="Q125" s="2128">
        <v>988554.40000000014</v>
      </c>
      <c r="R125" s="2128">
        <v>-130725.2</v>
      </c>
      <c r="S125" s="2128">
        <v>857829.20000000019</v>
      </c>
      <c r="T125" s="2128">
        <v>1090523.8000000003</v>
      </c>
      <c r="U125" s="761"/>
      <c r="V125" s="761"/>
      <c r="W125" s="761"/>
      <c r="X125" s="761"/>
    </row>
    <row r="126" spans="1:24" s="153" customFormat="1" ht="10.5" customHeight="1" x14ac:dyDescent="0.2">
      <c r="A126" s="372" t="s">
        <v>1174</v>
      </c>
      <c r="B126" s="372" t="s">
        <v>547</v>
      </c>
      <c r="C126" s="2128">
        <v>246745.8</v>
      </c>
      <c r="D126" s="2128">
        <v>-79.599999999999994</v>
      </c>
      <c r="E126" s="2128">
        <v>-8801</v>
      </c>
      <c r="F126" s="2128">
        <v>237865.19999999998</v>
      </c>
      <c r="G126" s="2128">
        <v>113640.1</v>
      </c>
      <c r="H126" s="2128">
        <v>-53.3</v>
      </c>
      <c r="I126" s="2128">
        <v>150412.6</v>
      </c>
      <c r="J126" s="2128">
        <v>263999.40000000002</v>
      </c>
      <c r="K126" s="2128">
        <v>15429.5</v>
      </c>
      <c r="L126" s="2128">
        <v>119.6</v>
      </c>
      <c r="M126" s="2128">
        <v>15549.1</v>
      </c>
      <c r="N126" s="2128">
        <v>659321.59999999998</v>
      </c>
      <c r="O126" s="2128">
        <v>62392.3</v>
      </c>
      <c r="P126" s="2128">
        <v>721713.9</v>
      </c>
      <c r="Q126" s="2128">
        <v>1001262.4</v>
      </c>
      <c r="R126" s="2128">
        <v>-135906.5</v>
      </c>
      <c r="S126" s="2128">
        <v>865355.9</v>
      </c>
      <c r="T126" s="2128">
        <v>1103221.1000000001</v>
      </c>
      <c r="U126" s="761"/>
      <c r="V126" s="761"/>
      <c r="W126" s="761"/>
      <c r="X126" s="761"/>
    </row>
    <row r="127" spans="1:24" s="153" customFormat="1" ht="10.5" customHeight="1" x14ac:dyDescent="0.2">
      <c r="A127" s="372" t="s">
        <v>1174</v>
      </c>
      <c r="B127" s="1709" t="s">
        <v>554</v>
      </c>
      <c r="C127" s="2128">
        <v>247313.7</v>
      </c>
      <c r="D127" s="2128">
        <v>-79.400000000000006</v>
      </c>
      <c r="E127" s="2128">
        <v>-8873.6</v>
      </c>
      <c r="F127" s="2128">
        <v>238360.7</v>
      </c>
      <c r="G127" s="2128">
        <v>110003</v>
      </c>
      <c r="H127" s="2128">
        <v>-93.5</v>
      </c>
      <c r="I127" s="2128">
        <v>154679.29999999999</v>
      </c>
      <c r="J127" s="2128">
        <v>264588.79999999999</v>
      </c>
      <c r="K127" s="2128">
        <v>14933.8</v>
      </c>
      <c r="L127" s="2128">
        <v>121.5</v>
      </c>
      <c r="M127" s="2128">
        <v>15055.3</v>
      </c>
      <c r="N127" s="2128">
        <v>663877.80000000005</v>
      </c>
      <c r="O127" s="2128">
        <v>62802.1</v>
      </c>
      <c r="P127" s="2128">
        <v>726679.9</v>
      </c>
      <c r="Q127" s="2128">
        <v>1006324</v>
      </c>
      <c r="R127" s="2128">
        <v>-135056.9</v>
      </c>
      <c r="S127" s="2128">
        <v>871267.1</v>
      </c>
      <c r="T127" s="2128">
        <v>1109627.8</v>
      </c>
      <c r="U127" s="761"/>
      <c r="V127" s="761"/>
      <c r="W127" s="761"/>
      <c r="X127" s="761"/>
    </row>
    <row r="128" spans="1:24" s="153" customFormat="1" ht="10.5" customHeight="1" x14ac:dyDescent="0.2">
      <c r="A128" s="372" t="s">
        <v>1174</v>
      </c>
      <c r="B128" s="372" t="s">
        <v>555</v>
      </c>
      <c r="C128" s="2128">
        <v>245055.9</v>
      </c>
      <c r="D128" s="2128">
        <v>-79.400000000000006</v>
      </c>
      <c r="E128" s="2128">
        <v>-8963</v>
      </c>
      <c r="F128" s="2128">
        <v>236013.5</v>
      </c>
      <c r="G128" s="2128">
        <v>108618.9</v>
      </c>
      <c r="H128" s="2128">
        <v>-77.5</v>
      </c>
      <c r="I128" s="2128">
        <v>159082.1</v>
      </c>
      <c r="J128" s="2128">
        <v>267623.5</v>
      </c>
      <c r="K128" s="2128">
        <v>15233.5</v>
      </c>
      <c r="L128" s="2128">
        <v>123.8</v>
      </c>
      <c r="M128" s="2128">
        <v>15357.3</v>
      </c>
      <c r="N128" s="2128">
        <v>672927.1</v>
      </c>
      <c r="O128" s="2128">
        <v>63846.8</v>
      </c>
      <c r="P128" s="2128">
        <v>736773.9</v>
      </c>
      <c r="Q128" s="2128">
        <v>1019754.7</v>
      </c>
      <c r="R128" s="2128">
        <v>-135614.29999999999</v>
      </c>
      <c r="S128" s="2128">
        <v>884140.39999999991</v>
      </c>
      <c r="T128" s="2128">
        <v>1120153.8999999999</v>
      </c>
      <c r="U128" s="761"/>
      <c r="V128" s="761"/>
      <c r="W128" s="761"/>
      <c r="X128" s="761"/>
    </row>
    <row r="129" spans="1:24" s="153" customFormat="1" ht="10.5" customHeight="1" x14ac:dyDescent="0.2">
      <c r="A129" s="372" t="s">
        <v>1174</v>
      </c>
      <c r="B129" s="1709" t="s">
        <v>548</v>
      </c>
      <c r="C129" s="2128">
        <v>247248.3</v>
      </c>
      <c r="D129" s="2128">
        <v>-63.8</v>
      </c>
      <c r="E129" s="2128">
        <v>-9026.9</v>
      </c>
      <c r="F129" s="2128">
        <v>238157.59999999998</v>
      </c>
      <c r="G129" s="2128">
        <v>98616.8</v>
      </c>
      <c r="H129" s="2128">
        <v>-77.3</v>
      </c>
      <c r="I129" s="2128">
        <v>162236.1</v>
      </c>
      <c r="J129" s="2128">
        <v>260775.60000000003</v>
      </c>
      <c r="K129" s="2128">
        <v>15860.7</v>
      </c>
      <c r="L129" s="2128">
        <v>126.3</v>
      </c>
      <c r="M129" s="2128">
        <v>15987</v>
      </c>
      <c r="N129" s="2128">
        <v>695351.7</v>
      </c>
      <c r="O129" s="2128">
        <v>64571</v>
      </c>
      <c r="P129" s="2128">
        <v>759922.7</v>
      </c>
      <c r="Q129" s="2128">
        <v>1036685.3</v>
      </c>
      <c r="R129" s="2128">
        <v>-134877.4</v>
      </c>
      <c r="S129" s="2128">
        <v>901807.9</v>
      </c>
      <c r="T129" s="2128">
        <v>1139965.5</v>
      </c>
      <c r="U129" s="761"/>
      <c r="V129" s="761"/>
      <c r="W129" s="761"/>
      <c r="X129" s="761"/>
    </row>
    <row r="130" spans="1:24" s="153" customFormat="1" ht="10.5" customHeight="1" x14ac:dyDescent="0.2">
      <c r="A130" s="372" t="s">
        <v>1174</v>
      </c>
      <c r="B130" s="372" t="s">
        <v>556</v>
      </c>
      <c r="C130" s="2128">
        <v>248006.2</v>
      </c>
      <c r="D130" s="2128">
        <v>-63.6</v>
      </c>
      <c r="E130" s="2128">
        <v>-9076.7999999999993</v>
      </c>
      <c r="F130" s="2128">
        <v>238865.80000000002</v>
      </c>
      <c r="G130" s="2128">
        <v>96350</v>
      </c>
      <c r="H130" s="2128">
        <v>-82.3</v>
      </c>
      <c r="I130" s="2128">
        <v>167656.79999999999</v>
      </c>
      <c r="J130" s="2128">
        <v>263924.5</v>
      </c>
      <c r="K130" s="2128">
        <v>15717.400000000001</v>
      </c>
      <c r="L130" s="2128">
        <v>129</v>
      </c>
      <c r="M130" s="2128">
        <v>15846.400000000001</v>
      </c>
      <c r="N130" s="2128">
        <v>697328.6</v>
      </c>
      <c r="O130" s="2128">
        <v>65115.9</v>
      </c>
      <c r="P130" s="2128">
        <v>762444.5</v>
      </c>
      <c r="Q130" s="2128">
        <v>1042215.4</v>
      </c>
      <c r="R130" s="2128">
        <v>-137810.29999999999</v>
      </c>
      <c r="S130" s="2128">
        <v>904405.10000000009</v>
      </c>
      <c r="T130" s="2128">
        <v>1143270.9000000001</v>
      </c>
      <c r="U130" s="761"/>
      <c r="V130" s="761"/>
      <c r="W130" s="761"/>
      <c r="X130" s="761"/>
    </row>
    <row r="131" spans="1:24" s="153" customFormat="1" ht="10.5" customHeight="1" x14ac:dyDescent="0.2">
      <c r="A131" s="372" t="s">
        <v>1174</v>
      </c>
      <c r="B131" s="1709" t="s">
        <v>557</v>
      </c>
      <c r="C131" s="2128">
        <v>252498.3</v>
      </c>
      <c r="D131" s="2128">
        <v>-63.6</v>
      </c>
      <c r="E131" s="2128">
        <v>-9135.4</v>
      </c>
      <c r="F131" s="2128">
        <v>243299.3</v>
      </c>
      <c r="G131" s="2128">
        <v>93499</v>
      </c>
      <c r="H131" s="2128">
        <v>-96.3</v>
      </c>
      <c r="I131" s="2128">
        <v>172045.2</v>
      </c>
      <c r="J131" s="2128">
        <v>265447.90000000002</v>
      </c>
      <c r="K131" s="2128">
        <v>15132.699999999999</v>
      </c>
      <c r="L131" s="2128">
        <v>131.30000000000001</v>
      </c>
      <c r="M131" s="2128">
        <v>15263.999999999998</v>
      </c>
      <c r="N131" s="2128">
        <v>705479.1</v>
      </c>
      <c r="O131" s="2128">
        <v>66149.100000000006</v>
      </c>
      <c r="P131" s="2128">
        <v>771628.2</v>
      </c>
      <c r="Q131" s="2128">
        <v>1052340.1000000001</v>
      </c>
      <c r="R131" s="2128">
        <v>-141475.1</v>
      </c>
      <c r="S131" s="2128">
        <v>910865.00000000012</v>
      </c>
      <c r="T131" s="2128">
        <v>1154164.3</v>
      </c>
      <c r="U131" s="761"/>
      <c r="V131" s="761"/>
      <c r="W131" s="761"/>
      <c r="X131" s="761"/>
    </row>
    <row r="132" spans="1:24" s="153" customFormat="1" ht="10.5" customHeight="1" x14ac:dyDescent="0.2">
      <c r="A132" s="372" t="s">
        <v>1174</v>
      </c>
      <c r="B132" s="372" t="s">
        <v>549</v>
      </c>
      <c r="C132" s="2128">
        <v>254145.9</v>
      </c>
      <c r="D132" s="2128">
        <v>-62.1</v>
      </c>
      <c r="E132" s="2128">
        <v>-9271.2000000000007</v>
      </c>
      <c r="F132" s="2128">
        <v>244812.6</v>
      </c>
      <c r="G132" s="2128">
        <v>90288.4</v>
      </c>
      <c r="H132" s="2128">
        <v>-78.900000000000006</v>
      </c>
      <c r="I132" s="2128">
        <v>176411</v>
      </c>
      <c r="J132" s="2128">
        <v>266620.5</v>
      </c>
      <c r="K132" s="2128">
        <v>15757.8</v>
      </c>
      <c r="L132" s="2128">
        <v>134.80000000000001</v>
      </c>
      <c r="M132" s="2128">
        <v>15892.599999999999</v>
      </c>
      <c r="N132" s="2128">
        <v>715937.6</v>
      </c>
      <c r="O132" s="2128">
        <v>67404.7</v>
      </c>
      <c r="P132" s="2128">
        <v>783342.29999999993</v>
      </c>
      <c r="Q132" s="2128">
        <v>1065855.3999999999</v>
      </c>
      <c r="R132" s="2128">
        <v>-144771.6</v>
      </c>
      <c r="S132" s="2128">
        <v>921083.79999999993</v>
      </c>
      <c r="T132" s="2128">
        <v>1165896.3999999999</v>
      </c>
      <c r="U132" s="761"/>
      <c r="V132" s="761"/>
      <c r="W132" s="761"/>
      <c r="X132" s="761"/>
    </row>
    <row r="133" spans="1:24" s="153" customFormat="1" ht="10.5" customHeight="1" x14ac:dyDescent="0.2">
      <c r="A133" s="372" t="s">
        <v>1174</v>
      </c>
      <c r="B133" s="1709" t="s">
        <v>558</v>
      </c>
      <c r="C133" s="2128">
        <v>254337.1</v>
      </c>
      <c r="D133" s="2128">
        <v>-62.1</v>
      </c>
      <c r="E133" s="2128">
        <v>-9392</v>
      </c>
      <c r="F133" s="2128">
        <v>244883</v>
      </c>
      <c r="G133" s="2128">
        <v>84155.7</v>
      </c>
      <c r="H133" s="2128">
        <v>-91.6</v>
      </c>
      <c r="I133" s="2128">
        <v>180860.79999999999</v>
      </c>
      <c r="J133" s="2128">
        <v>264924.89999999997</v>
      </c>
      <c r="K133" s="2128">
        <v>16322.6</v>
      </c>
      <c r="L133" s="2128">
        <v>147.30000000000001</v>
      </c>
      <c r="M133" s="2128">
        <v>16469.900000000001</v>
      </c>
      <c r="N133" s="2128">
        <v>726361.9</v>
      </c>
      <c r="O133" s="2128">
        <v>68513.600000000006</v>
      </c>
      <c r="P133" s="2128">
        <v>794875.5</v>
      </c>
      <c r="Q133" s="2128">
        <v>1076270.3</v>
      </c>
      <c r="R133" s="2128">
        <v>-143770.5</v>
      </c>
      <c r="S133" s="2128">
        <v>932499.8</v>
      </c>
      <c r="T133" s="2128">
        <v>1177382.8</v>
      </c>
      <c r="U133" s="761"/>
      <c r="V133" s="761"/>
      <c r="W133" s="761"/>
      <c r="X133" s="761"/>
    </row>
    <row r="134" spans="1:24" s="153" customFormat="1" ht="10.5" customHeight="1" x14ac:dyDescent="0.2">
      <c r="A134" s="372" t="s">
        <v>1174</v>
      </c>
      <c r="B134" s="372" t="s">
        <v>559</v>
      </c>
      <c r="C134" s="2128">
        <v>257517.80000000002</v>
      </c>
      <c r="D134" s="2128">
        <v>-62.1</v>
      </c>
      <c r="E134" s="2128">
        <v>-9472.1</v>
      </c>
      <c r="F134" s="2128">
        <v>247983.6</v>
      </c>
      <c r="G134" s="2128">
        <v>82570.299999999988</v>
      </c>
      <c r="H134" s="2128">
        <v>-86.7</v>
      </c>
      <c r="I134" s="2128">
        <v>185730.1</v>
      </c>
      <c r="J134" s="2128">
        <v>268213.69999999995</v>
      </c>
      <c r="K134" s="2128">
        <v>16853.7</v>
      </c>
      <c r="L134" s="2128">
        <v>144.1</v>
      </c>
      <c r="M134" s="2128">
        <v>16997.8</v>
      </c>
      <c r="N134" s="2128">
        <v>736285.1</v>
      </c>
      <c r="O134" s="2128">
        <v>69618.7</v>
      </c>
      <c r="P134" s="2128">
        <v>805903.79999999993</v>
      </c>
      <c r="Q134" s="2128">
        <v>1091115.2999999998</v>
      </c>
      <c r="R134" s="2128">
        <v>-148993</v>
      </c>
      <c r="S134" s="2128">
        <v>942122.29999999981</v>
      </c>
      <c r="T134" s="2128">
        <v>1190105.8999999999</v>
      </c>
      <c r="U134" s="761"/>
      <c r="V134" s="761"/>
      <c r="W134" s="761"/>
      <c r="X134" s="761"/>
    </row>
    <row r="135" spans="1:24" s="153" customFormat="1" ht="10.5" customHeight="1" x14ac:dyDescent="0.2">
      <c r="A135" s="372" t="s">
        <v>1174</v>
      </c>
      <c r="B135" s="1709" t="s">
        <v>550</v>
      </c>
      <c r="C135" s="2128">
        <v>266697</v>
      </c>
      <c r="D135" s="2128">
        <v>-46.6</v>
      </c>
      <c r="E135" s="2128">
        <v>-9534.1</v>
      </c>
      <c r="F135" s="2128">
        <v>257116.3</v>
      </c>
      <c r="G135" s="2128">
        <v>97307.599999999991</v>
      </c>
      <c r="H135" s="2128">
        <v>-108.6</v>
      </c>
      <c r="I135" s="2128">
        <v>191178.6</v>
      </c>
      <c r="J135" s="2128">
        <v>288377.59999999998</v>
      </c>
      <c r="K135" s="2128">
        <v>16744.2</v>
      </c>
      <c r="L135" s="2128">
        <v>142.6</v>
      </c>
      <c r="M135" s="2128">
        <v>16886.8</v>
      </c>
      <c r="N135" s="2128">
        <v>752988.79999999993</v>
      </c>
      <c r="O135" s="2128">
        <v>71394.7</v>
      </c>
      <c r="P135" s="2128">
        <v>824383.49999999988</v>
      </c>
      <c r="Q135" s="2128">
        <v>1129647.8999999999</v>
      </c>
      <c r="R135" s="2128">
        <v>-153298.70000000001</v>
      </c>
      <c r="S135" s="2128">
        <v>976349.2</v>
      </c>
      <c r="T135" s="2128">
        <v>1233465.5</v>
      </c>
      <c r="U135" s="761"/>
      <c r="V135" s="761"/>
      <c r="W135" s="761"/>
      <c r="X135" s="761"/>
    </row>
    <row r="136" spans="1:24" s="153" customFormat="1" ht="10.5" customHeight="1" x14ac:dyDescent="0.2">
      <c r="A136" s="372" t="s">
        <v>1296</v>
      </c>
      <c r="B136" s="372" t="s">
        <v>552</v>
      </c>
      <c r="C136" s="2128">
        <v>264753</v>
      </c>
      <c r="D136" s="2128">
        <v>-46.6</v>
      </c>
      <c r="E136" s="2128">
        <v>-9696.6</v>
      </c>
      <c r="F136" s="2128">
        <v>255009.8</v>
      </c>
      <c r="G136" s="2128">
        <v>94750</v>
      </c>
      <c r="H136" s="2128">
        <v>-3639.4</v>
      </c>
      <c r="I136" s="2128">
        <v>196288.2</v>
      </c>
      <c r="J136" s="2128">
        <v>287398.80000000005</v>
      </c>
      <c r="K136" s="2128">
        <v>12720.7</v>
      </c>
      <c r="L136" s="2128">
        <v>2750.5</v>
      </c>
      <c r="M136" s="2128">
        <v>15471.2</v>
      </c>
      <c r="N136" s="2128">
        <v>754280.1</v>
      </c>
      <c r="O136" s="2128">
        <v>81145.899999999994</v>
      </c>
      <c r="P136" s="2128">
        <v>835426</v>
      </c>
      <c r="Q136" s="2128">
        <v>1138296</v>
      </c>
      <c r="R136" s="2128">
        <v>-160761.29999999999</v>
      </c>
      <c r="S136" s="2128">
        <v>977534.7</v>
      </c>
      <c r="T136" s="2128">
        <v>1232544.5</v>
      </c>
      <c r="U136" s="761"/>
      <c r="V136" s="761"/>
      <c r="W136" s="761"/>
      <c r="X136" s="761"/>
    </row>
    <row r="137" spans="1:24" s="153" customFormat="1" ht="10.5" customHeight="1" x14ac:dyDescent="0.2">
      <c r="A137" s="372" t="s">
        <v>1296</v>
      </c>
      <c r="B137" s="1709" t="s">
        <v>553</v>
      </c>
      <c r="C137" s="2128">
        <v>265935.3</v>
      </c>
      <c r="D137" s="2128">
        <v>-46.6</v>
      </c>
      <c r="E137" s="2128">
        <v>-9897.9</v>
      </c>
      <c r="F137" s="2128">
        <v>255990.8</v>
      </c>
      <c r="G137" s="2128">
        <v>101262.3</v>
      </c>
      <c r="H137" s="2128">
        <v>-3621.7</v>
      </c>
      <c r="I137" s="2128">
        <v>200263.3</v>
      </c>
      <c r="J137" s="2128">
        <v>297903.89999999997</v>
      </c>
      <c r="K137" s="2128">
        <v>10249.699999999999</v>
      </c>
      <c r="L137" s="2128">
        <v>2750.4</v>
      </c>
      <c r="M137" s="2128">
        <v>13000.099999999999</v>
      </c>
      <c r="N137" s="2128">
        <v>767380.5</v>
      </c>
      <c r="O137" s="2128">
        <v>82397.2</v>
      </c>
      <c r="P137" s="2128">
        <v>849777.7</v>
      </c>
      <c r="Q137" s="2128">
        <v>1160681.7</v>
      </c>
      <c r="R137" s="2128">
        <v>-159571.9</v>
      </c>
      <c r="S137" s="2128">
        <v>1001109.7999999999</v>
      </c>
      <c r="T137" s="2128">
        <v>1257100.5999999999</v>
      </c>
      <c r="U137" s="761"/>
      <c r="V137" s="761"/>
      <c r="W137" s="761"/>
      <c r="X137" s="761"/>
    </row>
    <row r="138" spans="1:24" s="153" customFormat="1" ht="10.5" customHeight="1" x14ac:dyDescent="0.2">
      <c r="A138" s="372" t="s">
        <v>1296</v>
      </c>
      <c r="B138" s="372" t="s">
        <v>547</v>
      </c>
      <c r="C138" s="2128">
        <v>263054.3</v>
      </c>
      <c r="D138" s="2128">
        <v>-46.6</v>
      </c>
      <c r="E138" s="2128">
        <v>-10073.6</v>
      </c>
      <c r="F138" s="2128">
        <v>252934.09999999998</v>
      </c>
      <c r="G138" s="2128">
        <v>94415.3</v>
      </c>
      <c r="H138" s="2128">
        <v>-3317.9</v>
      </c>
      <c r="I138" s="2128">
        <v>203929</v>
      </c>
      <c r="J138" s="2128">
        <v>295026.40000000002</v>
      </c>
      <c r="K138" s="2128">
        <v>10474</v>
      </c>
      <c r="L138" s="2128">
        <v>817.5</v>
      </c>
      <c r="M138" s="2128">
        <v>11291.5</v>
      </c>
      <c r="N138" s="2128">
        <v>776684.60000000009</v>
      </c>
      <c r="O138" s="2128">
        <v>83969.7</v>
      </c>
      <c r="P138" s="2128">
        <v>860654.3</v>
      </c>
      <c r="Q138" s="2128">
        <v>1166972.2000000002</v>
      </c>
      <c r="R138" s="2128">
        <v>-162271.4</v>
      </c>
      <c r="S138" s="2128">
        <v>1004700.8000000002</v>
      </c>
      <c r="T138" s="2128">
        <v>1257634.9000000001</v>
      </c>
      <c r="U138" s="761"/>
      <c r="V138" s="761"/>
      <c r="W138" s="761"/>
      <c r="X138" s="761"/>
    </row>
    <row r="139" spans="1:24" s="153" customFormat="1" ht="10.5" customHeight="1" x14ac:dyDescent="0.2">
      <c r="A139" s="372" t="s">
        <v>1296</v>
      </c>
      <c r="B139" s="1709" t="s">
        <v>554</v>
      </c>
      <c r="C139" s="2128">
        <v>263175.40000000002</v>
      </c>
      <c r="D139" s="2128">
        <v>-46.5</v>
      </c>
      <c r="E139" s="2128">
        <v>-10206.6</v>
      </c>
      <c r="F139" s="2128">
        <v>252922.30000000002</v>
      </c>
      <c r="G139" s="2128">
        <v>92173.900000000009</v>
      </c>
      <c r="H139" s="2128">
        <v>-3336.5</v>
      </c>
      <c r="I139" s="2128">
        <v>208549.3</v>
      </c>
      <c r="J139" s="2128">
        <v>297386.7</v>
      </c>
      <c r="K139" s="2128">
        <v>10352.900000000001</v>
      </c>
      <c r="L139" s="2128">
        <v>810.8</v>
      </c>
      <c r="M139" s="2128">
        <v>11163.7</v>
      </c>
      <c r="N139" s="2128">
        <v>787837.60000000009</v>
      </c>
      <c r="O139" s="2128">
        <v>84920.9</v>
      </c>
      <c r="P139" s="2128">
        <v>872758.50000000012</v>
      </c>
      <c r="Q139" s="2128">
        <v>1181308.9000000001</v>
      </c>
      <c r="R139" s="2128">
        <v>-168000.7</v>
      </c>
      <c r="S139" s="2128">
        <v>1013308.2000000002</v>
      </c>
      <c r="T139" s="2128">
        <v>1266230.5000000002</v>
      </c>
      <c r="U139" s="761"/>
      <c r="V139" s="761"/>
      <c r="W139" s="761"/>
      <c r="X139" s="761"/>
    </row>
    <row r="140" spans="1:24" s="153" customFormat="1" ht="10.5" customHeight="1" x14ac:dyDescent="0.2">
      <c r="A140" s="372" t="s">
        <v>1296</v>
      </c>
      <c r="B140" s="372" t="s">
        <v>555</v>
      </c>
      <c r="C140" s="2128">
        <v>262538.5</v>
      </c>
      <c r="D140" s="2128">
        <v>-46.6</v>
      </c>
      <c r="E140" s="2128">
        <v>-10838.1</v>
      </c>
      <c r="F140" s="2128">
        <v>251653.8</v>
      </c>
      <c r="G140" s="2128">
        <v>92579.8</v>
      </c>
      <c r="H140" s="2128">
        <v>-3339.7</v>
      </c>
      <c r="I140" s="2128">
        <v>220197.9</v>
      </c>
      <c r="J140" s="2128">
        <v>309438</v>
      </c>
      <c r="K140" s="2128">
        <v>10547.3</v>
      </c>
      <c r="L140" s="2128">
        <v>811.8</v>
      </c>
      <c r="M140" s="2128">
        <v>11359.099999999999</v>
      </c>
      <c r="N140" s="2128">
        <v>801468.1</v>
      </c>
      <c r="O140" s="2128">
        <v>86102.9</v>
      </c>
      <c r="P140" s="2128">
        <v>887571</v>
      </c>
      <c r="Q140" s="2128">
        <v>1208368.1000000001</v>
      </c>
      <c r="R140" s="2128">
        <v>-175388.1</v>
      </c>
      <c r="S140" s="2128">
        <v>1032980.0000000001</v>
      </c>
      <c r="T140" s="2128">
        <v>1284633.8</v>
      </c>
      <c r="U140" s="761"/>
      <c r="V140" s="761"/>
      <c r="W140" s="761"/>
      <c r="X140" s="761"/>
    </row>
    <row r="141" spans="1:24" s="153" customFormat="1" ht="10.5" customHeight="1" x14ac:dyDescent="0.2">
      <c r="A141" s="372" t="s">
        <v>1296</v>
      </c>
      <c r="B141" s="1709" t="s">
        <v>548</v>
      </c>
      <c r="C141" s="2128">
        <v>264023.8</v>
      </c>
      <c r="D141" s="2128">
        <v>-31.1</v>
      </c>
      <c r="E141" s="2128">
        <v>-10487.9</v>
      </c>
      <c r="F141" s="2128">
        <v>253504.8</v>
      </c>
      <c r="G141" s="2128">
        <v>87256.900000000009</v>
      </c>
      <c r="H141" s="2128">
        <v>-3130.6</v>
      </c>
      <c r="I141" s="2128">
        <v>215058.2</v>
      </c>
      <c r="J141" s="2128">
        <v>299184.5</v>
      </c>
      <c r="K141" s="2128">
        <v>10909.1</v>
      </c>
      <c r="L141" s="2128">
        <v>823.4</v>
      </c>
      <c r="M141" s="2128">
        <v>11732.5</v>
      </c>
      <c r="N141" s="2128">
        <v>819865.5</v>
      </c>
      <c r="O141" s="2128">
        <v>87357.8</v>
      </c>
      <c r="P141" s="2128">
        <v>907223.3</v>
      </c>
      <c r="Q141" s="2128">
        <v>1218140.3</v>
      </c>
      <c r="R141" s="2128">
        <v>-175058.3</v>
      </c>
      <c r="S141" s="2128">
        <v>1043082</v>
      </c>
      <c r="T141" s="2128">
        <v>1296586.8</v>
      </c>
      <c r="U141" s="761"/>
      <c r="V141" s="761"/>
      <c r="W141" s="761"/>
      <c r="X141" s="761"/>
    </row>
    <row r="142" spans="1:24" s="153" customFormat="1" ht="10.5" customHeight="1" x14ac:dyDescent="0.2">
      <c r="A142" s="372" t="s">
        <v>1296</v>
      </c>
      <c r="B142" s="372" t="s">
        <v>556</v>
      </c>
      <c r="C142" s="2128">
        <v>262688.3</v>
      </c>
      <c r="D142" s="2128">
        <v>-31</v>
      </c>
      <c r="E142" s="2128">
        <v>-10838.1</v>
      </c>
      <c r="F142" s="2128">
        <v>251819.19999999998</v>
      </c>
      <c r="G142" s="2128">
        <v>81024.5</v>
      </c>
      <c r="H142" s="2128">
        <v>-3139.3</v>
      </c>
      <c r="I142" s="2128">
        <v>220197.9</v>
      </c>
      <c r="J142" s="2128">
        <v>298083.09999999998</v>
      </c>
      <c r="K142" s="2128">
        <v>10622.900000000001</v>
      </c>
      <c r="L142" s="2128">
        <v>805</v>
      </c>
      <c r="M142" s="2128">
        <v>11427.900000000001</v>
      </c>
      <c r="N142" s="2128">
        <v>825239.10000000009</v>
      </c>
      <c r="O142" s="2128">
        <v>88481.3</v>
      </c>
      <c r="P142" s="2128">
        <v>913720.40000000014</v>
      </c>
      <c r="Q142" s="2128">
        <v>1223231.4000000001</v>
      </c>
      <c r="R142" s="2128">
        <v>-181826.2</v>
      </c>
      <c r="S142" s="2128">
        <v>1041405.2000000002</v>
      </c>
      <c r="T142" s="2128">
        <v>1293224.4000000001</v>
      </c>
      <c r="U142" s="761"/>
      <c r="V142" s="761"/>
      <c r="W142" s="761"/>
      <c r="X142" s="761"/>
    </row>
    <row r="143" spans="1:24" s="153" customFormat="1" ht="10.5" customHeight="1" x14ac:dyDescent="0.2">
      <c r="A143" s="372" t="s">
        <v>1296</v>
      </c>
      <c r="B143" s="1709" t="s">
        <v>557</v>
      </c>
      <c r="C143" s="2128">
        <v>262356.90000000002</v>
      </c>
      <c r="D143" s="2128">
        <v>-31</v>
      </c>
      <c r="E143" s="2128">
        <v>-11018.1</v>
      </c>
      <c r="F143" s="2128">
        <v>251307.80000000002</v>
      </c>
      <c r="G143" s="2128">
        <v>75046</v>
      </c>
      <c r="H143" s="2128">
        <v>-3141.9</v>
      </c>
      <c r="I143" s="2128">
        <v>224354.4</v>
      </c>
      <c r="J143" s="2128">
        <v>296258.5</v>
      </c>
      <c r="K143" s="2128">
        <v>10930.9</v>
      </c>
      <c r="L143" s="2128">
        <v>817.8</v>
      </c>
      <c r="M143" s="2128">
        <v>11748.699999999999</v>
      </c>
      <c r="N143" s="2128">
        <v>836647.70000000007</v>
      </c>
      <c r="O143" s="2128">
        <v>88864.7</v>
      </c>
      <c r="P143" s="2128">
        <v>925512.4</v>
      </c>
      <c r="Q143" s="2128">
        <v>1233519.6000000001</v>
      </c>
      <c r="R143" s="2128">
        <v>-184621.5</v>
      </c>
      <c r="S143" s="2128">
        <v>1048898.1000000001</v>
      </c>
      <c r="T143" s="2128">
        <v>1300205.9000000001</v>
      </c>
      <c r="U143" s="761"/>
      <c r="V143" s="761"/>
      <c r="W143" s="761"/>
      <c r="X143" s="761"/>
    </row>
    <row r="144" spans="1:24" s="153" customFormat="1" ht="10.5" customHeight="1" x14ac:dyDescent="0.2">
      <c r="A144" s="372" t="s">
        <v>1296</v>
      </c>
      <c r="B144" s="372" t="s">
        <v>549</v>
      </c>
      <c r="C144" s="2128">
        <v>263071.39999999997</v>
      </c>
      <c r="D144" s="2128">
        <v>-31.1</v>
      </c>
      <c r="E144" s="2128">
        <v>-11069.1</v>
      </c>
      <c r="F144" s="2128">
        <v>251971.19999999995</v>
      </c>
      <c r="G144" s="2128">
        <v>74553.599999999991</v>
      </c>
      <c r="H144" s="2128">
        <v>-3133.4</v>
      </c>
      <c r="I144" s="2128">
        <v>227943.7</v>
      </c>
      <c r="J144" s="2128">
        <v>299363.90000000002</v>
      </c>
      <c r="K144" s="2128">
        <v>10761.699999999999</v>
      </c>
      <c r="L144" s="2128">
        <v>814.8</v>
      </c>
      <c r="M144" s="2128">
        <v>11576.499999999998</v>
      </c>
      <c r="N144" s="2128">
        <v>846177.6</v>
      </c>
      <c r="O144" s="2128">
        <v>88558.8</v>
      </c>
      <c r="P144" s="2128">
        <v>934736.4</v>
      </c>
      <c r="Q144" s="2128">
        <v>1245676.8</v>
      </c>
      <c r="R144" s="2128">
        <v>-189272.8</v>
      </c>
      <c r="S144" s="2128">
        <v>1056404</v>
      </c>
      <c r="T144" s="2128">
        <v>1308375.2</v>
      </c>
      <c r="U144" s="761"/>
      <c r="V144" s="761"/>
      <c r="W144" s="761"/>
      <c r="X144" s="761"/>
    </row>
    <row r="145" spans="1:24" s="153" customFormat="1" ht="10.5" customHeight="1" x14ac:dyDescent="0.2">
      <c r="A145" s="372" t="s">
        <v>1296</v>
      </c>
      <c r="B145" s="1709" t="s">
        <v>558</v>
      </c>
      <c r="C145" s="2128">
        <v>258799.2</v>
      </c>
      <c r="D145" s="2128">
        <v>-31</v>
      </c>
      <c r="E145" s="2128">
        <v>-11211.4</v>
      </c>
      <c r="F145" s="2128">
        <v>247556.80000000002</v>
      </c>
      <c r="G145" s="2128">
        <v>71616.900000000009</v>
      </c>
      <c r="H145" s="2128">
        <v>-3204.9</v>
      </c>
      <c r="I145" s="2128">
        <v>231297.9</v>
      </c>
      <c r="J145" s="2128">
        <v>299709.90000000002</v>
      </c>
      <c r="K145" s="2128">
        <v>11765.300000000001</v>
      </c>
      <c r="L145" s="2128">
        <v>796.8</v>
      </c>
      <c r="M145" s="2128">
        <v>12562.1</v>
      </c>
      <c r="N145" s="2128">
        <v>855226.5</v>
      </c>
      <c r="O145" s="2128">
        <v>88887.8</v>
      </c>
      <c r="P145" s="2128">
        <v>944114.3</v>
      </c>
      <c r="Q145" s="2128">
        <v>1256386.3</v>
      </c>
      <c r="R145" s="2128">
        <v>-186921.1</v>
      </c>
      <c r="S145" s="2128">
        <v>1069465.2</v>
      </c>
      <c r="T145" s="2128">
        <v>1317022</v>
      </c>
      <c r="U145" s="761"/>
      <c r="V145" s="761"/>
      <c r="W145" s="761"/>
      <c r="X145" s="761"/>
    </row>
    <row r="146" spans="1:24" s="153" customFormat="1" ht="10.5" customHeight="1" x14ac:dyDescent="0.2">
      <c r="A146" s="372" t="s">
        <v>1296</v>
      </c>
      <c r="B146" s="372" t="s">
        <v>559</v>
      </c>
      <c r="C146" s="2128">
        <v>261061.1</v>
      </c>
      <c r="D146" s="2128">
        <v>-31</v>
      </c>
      <c r="E146" s="2128">
        <v>-11349</v>
      </c>
      <c r="F146" s="2128">
        <v>249681.1</v>
      </c>
      <c r="G146" s="2128">
        <v>76668.700000000012</v>
      </c>
      <c r="H146" s="2128">
        <v>-4002.6</v>
      </c>
      <c r="I146" s="2128">
        <v>234598.5</v>
      </c>
      <c r="J146" s="2128">
        <v>307264.59999999998</v>
      </c>
      <c r="K146" s="2128">
        <v>11830.800000000001</v>
      </c>
      <c r="L146" s="2128">
        <v>783.8</v>
      </c>
      <c r="M146" s="2128">
        <v>12614.6</v>
      </c>
      <c r="N146" s="2128">
        <v>865873.29999999993</v>
      </c>
      <c r="O146" s="2128">
        <v>89498.7</v>
      </c>
      <c r="P146" s="2128">
        <v>955371.99999999988</v>
      </c>
      <c r="Q146" s="2128">
        <v>1275251.1999999997</v>
      </c>
      <c r="R146" s="2128">
        <v>-185228.79999999999</v>
      </c>
      <c r="S146" s="2128">
        <v>1090022.3999999997</v>
      </c>
      <c r="T146" s="2128">
        <v>1339703.4999999998</v>
      </c>
      <c r="U146" s="761"/>
      <c r="V146" s="761"/>
      <c r="W146" s="761"/>
      <c r="X146" s="761"/>
    </row>
    <row r="147" spans="1:24" s="153" customFormat="1" ht="10.5" customHeight="1" x14ac:dyDescent="0.2">
      <c r="A147" s="372" t="s">
        <v>1296</v>
      </c>
      <c r="B147" s="1709" t="s">
        <v>550</v>
      </c>
      <c r="C147" s="2128">
        <v>264674.5</v>
      </c>
      <c r="D147" s="2128">
        <v>-20.5</v>
      </c>
      <c r="E147" s="2128">
        <v>-11436.5</v>
      </c>
      <c r="F147" s="2128">
        <v>253217.5</v>
      </c>
      <c r="G147" s="2128">
        <v>94869.599999999991</v>
      </c>
      <c r="H147" s="2128">
        <v>-3111.6</v>
      </c>
      <c r="I147" s="2128">
        <v>237765</v>
      </c>
      <c r="J147" s="2128">
        <v>329523</v>
      </c>
      <c r="K147" s="2128">
        <v>11337.8</v>
      </c>
      <c r="L147" s="2128">
        <v>787.8</v>
      </c>
      <c r="M147" s="2128">
        <v>12125.599999999999</v>
      </c>
      <c r="N147" s="2128">
        <v>880749.5</v>
      </c>
      <c r="O147" s="2128">
        <v>89467</v>
      </c>
      <c r="P147" s="2128">
        <v>970216.5</v>
      </c>
      <c r="Q147" s="2128">
        <v>1311865.1000000001</v>
      </c>
      <c r="R147" s="2128">
        <v>-191334.1</v>
      </c>
      <c r="S147" s="2128">
        <v>1120531</v>
      </c>
      <c r="T147" s="2128">
        <v>1373748.5</v>
      </c>
      <c r="U147" s="761"/>
      <c r="V147" s="761"/>
      <c r="W147" s="761"/>
      <c r="X147" s="761"/>
    </row>
    <row r="148" spans="1:24" s="153" customFormat="1" ht="10.5" customHeight="1" x14ac:dyDescent="0.2">
      <c r="A148" s="372" t="s">
        <v>1404</v>
      </c>
      <c r="B148" s="372" t="s">
        <v>552</v>
      </c>
      <c r="C148" s="2133">
        <f>251973.1+11327.6</f>
        <v>263300.7</v>
      </c>
      <c r="D148" s="2133">
        <v>-20.5</v>
      </c>
      <c r="E148" s="1181">
        <v>-11623.5</v>
      </c>
      <c r="F148" s="1181">
        <f t="shared" ref="F148:F159" si="16">E148+D148+C148</f>
        <v>251656.7</v>
      </c>
      <c r="G148" s="2133">
        <f>12131.7+85040</f>
        <v>97171.7</v>
      </c>
      <c r="H148" s="2133">
        <v>-3154.5</v>
      </c>
      <c r="I148" s="1181">
        <v>242800.7</v>
      </c>
      <c r="J148" s="1181">
        <f t="shared" ref="J148:J159" si="17">I148+H148+G148</f>
        <v>336817.9</v>
      </c>
      <c r="K148" s="2133">
        <f>1596.2+9946.9</f>
        <v>11543.1</v>
      </c>
      <c r="L148" s="2133">
        <v>788.1</v>
      </c>
      <c r="M148" s="2133">
        <f t="shared" ref="M148:M159" si="18">K148+L148</f>
        <v>12331.2</v>
      </c>
      <c r="N148" s="2133">
        <f>4119.1+870520</f>
        <v>874639.1</v>
      </c>
      <c r="O148" s="2133">
        <v>88902.5</v>
      </c>
      <c r="P148" s="2133">
        <f t="shared" ref="P148:P159" si="19">N148+O148</f>
        <v>963541.6</v>
      </c>
      <c r="Q148" s="2133">
        <f t="shared" ref="Q148:Q159" si="20">J148+M148+P148</f>
        <v>1312690.7</v>
      </c>
      <c r="R148" s="2133">
        <v>-189656.9</v>
      </c>
      <c r="S148" s="2133">
        <f t="shared" ref="S148:S159" si="21">Q148+R148</f>
        <v>1123033.8</v>
      </c>
      <c r="T148" s="1181">
        <f t="shared" ref="T148:T159" si="22">F148+S148</f>
        <v>1374690.5</v>
      </c>
      <c r="U148" s="354"/>
      <c r="V148" s="761"/>
      <c r="W148" s="761"/>
      <c r="X148" s="761"/>
    </row>
    <row r="149" spans="1:24" s="153" customFormat="1" ht="10.5" customHeight="1" x14ac:dyDescent="0.2">
      <c r="A149" s="372" t="s">
        <v>1404</v>
      </c>
      <c r="B149" s="1709" t="s">
        <v>553</v>
      </c>
      <c r="C149" s="2134">
        <f>254675.2+12613.9</f>
        <v>267289.10000000003</v>
      </c>
      <c r="D149" s="2134">
        <v>-15.5</v>
      </c>
      <c r="E149" s="2135">
        <v>-11712.5</v>
      </c>
      <c r="F149" s="2135">
        <f t="shared" si="16"/>
        <v>255561.10000000003</v>
      </c>
      <c r="G149" s="2134">
        <f>17116.9+84549.3</f>
        <v>101666.20000000001</v>
      </c>
      <c r="H149" s="2134">
        <v>-3250.7</v>
      </c>
      <c r="I149" s="2135">
        <v>246822.2</v>
      </c>
      <c r="J149" s="2135">
        <f t="shared" si="17"/>
        <v>345237.7</v>
      </c>
      <c r="K149" s="2134">
        <f>1597.8+9812.7</f>
        <v>11410.5</v>
      </c>
      <c r="L149" s="2134">
        <v>783.4</v>
      </c>
      <c r="M149" s="2134">
        <f t="shared" si="18"/>
        <v>12193.9</v>
      </c>
      <c r="N149" s="2134">
        <f>4103.3+880066.1</f>
        <v>884169.4</v>
      </c>
      <c r="O149" s="2134">
        <v>88786</v>
      </c>
      <c r="P149" s="2134">
        <f t="shared" si="19"/>
        <v>972955.4</v>
      </c>
      <c r="Q149" s="2135">
        <f t="shared" si="20"/>
        <v>1330387</v>
      </c>
      <c r="R149" s="2135">
        <v>-189024.7</v>
      </c>
      <c r="S149" s="2134">
        <f t="shared" si="21"/>
        <v>1141362.3</v>
      </c>
      <c r="T149" s="2134">
        <f t="shared" si="22"/>
        <v>1396923.4000000001</v>
      </c>
      <c r="U149" s="332"/>
      <c r="V149" s="761"/>
      <c r="W149" s="761"/>
      <c r="X149" s="761"/>
    </row>
    <row r="150" spans="1:24" s="153" customFormat="1" ht="10.5" customHeight="1" x14ac:dyDescent="0.2">
      <c r="A150" s="372" t="s">
        <v>1404</v>
      </c>
      <c r="B150" s="372" t="s">
        <v>547</v>
      </c>
      <c r="C150" s="2133">
        <f>251729.4+13507.3</f>
        <v>265236.7</v>
      </c>
      <c r="D150" s="2133">
        <v>-15.5</v>
      </c>
      <c r="E150" s="1181">
        <v>-11807.6</v>
      </c>
      <c r="F150" s="1181">
        <f t="shared" si="16"/>
        <v>253413.6</v>
      </c>
      <c r="G150" s="2133">
        <f>10446.5+85226.7</f>
        <v>95673.2</v>
      </c>
      <c r="H150" s="2133">
        <v>-3249.3</v>
      </c>
      <c r="I150" s="1181">
        <v>251177</v>
      </c>
      <c r="J150" s="1181">
        <f t="shared" si="17"/>
        <v>343600.9</v>
      </c>
      <c r="K150" s="2133">
        <f>1599.3+10042.8</f>
        <v>11642.099999999999</v>
      </c>
      <c r="L150" s="2133">
        <v>780.9</v>
      </c>
      <c r="M150" s="2133">
        <f t="shared" si="18"/>
        <v>12422.999999999998</v>
      </c>
      <c r="N150" s="2133">
        <f>4057+888313.8</f>
        <v>892370.8</v>
      </c>
      <c r="O150" s="2133">
        <v>89280.6</v>
      </c>
      <c r="P150" s="2133">
        <f t="shared" si="19"/>
        <v>981651.4</v>
      </c>
      <c r="Q150" s="1181">
        <f t="shared" si="20"/>
        <v>1337675.3</v>
      </c>
      <c r="R150" s="1181">
        <v>-194276.8</v>
      </c>
      <c r="S150" s="1181">
        <f t="shared" si="21"/>
        <v>1143398.5</v>
      </c>
      <c r="T150" s="1181">
        <f t="shared" si="22"/>
        <v>1396812.1</v>
      </c>
      <c r="U150" s="354"/>
      <c r="V150" s="761"/>
      <c r="W150" s="761"/>
      <c r="X150" s="761"/>
    </row>
    <row r="151" spans="1:24" s="153" customFormat="1" ht="10.5" customHeight="1" x14ac:dyDescent="0.2">
      <c r="A151" s="372" t="s">
        <v>1404</v>
      </c>
      <c r="B151" s="1709" t="s">
        <v>554</v>
      </c>
      <c r="C151" s="2134">
        <f>248150.4+12242.9</f>
        <v>260393.3</v>
      </c>
      <c r="D151" s="2134">
        <v>-15.5</v>
      </c>
      <c r="E151" s="2135">
        <v>-11910.1</v>
      </c>
      <c r="F151" s="2135">
        <f t="shared" si="16"/>
        <v>248467.69999999998</v>
      </c>
      <c r="G151" s="2134">
        <f>14507.2+81151.7</f>
        <v>95658.9</v>
      </c>
      <c r="H151" s="2134">
        <v>-2776.5</v>
      </c>
      <c r="I151" s="2135">
        <v>255593.8</v>
      </c>
      <c r="J151" s="2135">
        <f t="shared" si="17"/>
        <v>348476.19999999995</v>
      </c>
      <c r="K151" s="2134">
        <f>1601.1+10562.3</f>
        <v>12163.4</v>
      </c>
      <c r="L151" s="2134">
        <v>782.2</v>
      </c>
      <c r="M151" s="2134">
        <f t="shared" si="18"/>
        <v>12945.6</v>
      </c>
      <c r="N151" s="2134">
        <f>4026.9+901582.3</f>
        <v>905609.20000000007</v>
      </c>
      <c r="O151" s="2134">
        <v>89794.3</v>
      </c>
      <c r="P151" s="2134">
        <f t="shared" si="19"/>
        <v>995403.50000000012</v>
      </c>
      <c r="Q151" s="2134">
        <f t="shared" si="20"/>
        <v>1356825.3</v>
      </c>
      <c r="R151" s="2135">
        <v>-197398.1</v>
      </c>
      <c r="S151" s="2135">
        <f t="shared" si="21"/>
        <v>1159427.2</v>
      </c>
      <c r="T151" s="2135">
        <f t="shared" si="22"/>
        <v>1407894.9</v>
      </c>
      <c r="U151" s="332"/>
      <c r="V151" s="761"/>
      <c r="W151" s="761"/>
      <c r="X151" s="761"/>
    </row>
    <row r="152" spans="1:24" s="153" customFormat="1" ht="10.5" customHeight="1" x14ac:dyDescent="0.2">
      <c r="A152" s="372" t="s">
        <v>1404</v>
      </c>
      <c r="B152" s="372" t="s">
        <v>555</v>
      </c>
      <c r="C152" s="2133">
        <f>245304.3+12402.6</f>
        <v>257706.9</v>
      </c>
      <c r="D152" s="2133">
        <v>-15.5</v>
      </c>
      <c r="E152" s="1181">
        <v>-12028.5</v>
      </c>
      <c r="F152" s="1181">
        <f t="shared" si="16"/>
        <v>245662.9</v>
      </c>
      <c r="G152" s="2133">
        <f>15583.1+82178.2</f>
        <v>97761.3</v>
      </c>
      <c r="H152" s="2133">
        <v>-2735.5</v>
      </c>
      <c r="I152" s="1181">
        <v>259426.9</v>
      </c>
      <c r="J152" s="1181">
        <f t="shared" si="17"/>
        <v>354452.7</v>
      </c>
      <c r="K152" s="2133">
        <f>1602.7+11319.7</f>
        <v>12922.400000000001</v>
      </c>
      <c r="L152" s="2133">
        <v>841.7</v>
      </c>
      <c r="M152" s="2133">
        <f t="shared" si="18"/>
        <v>13764.100000000002</v>
      </c>
      <c r="N152" s="2133">
        <f>4010.3+911689.9</f>
        <v>915700.20000000007</v>
      </c>
      <c r="O152" s="2133">
        <v>90666.2</v>
      </c>
      <c r="P152" s="2133">
        <f t="shared" si="19"/>
        <v>1006366.4</v>
      </c>
      <c r="Q152" s="2133">
        <f t="shared" si="20"/>
        <v>1374583.2</v>
      </c>
      <c r="R152" s="1181">
        <v>-202666.5</v>
      </c>
      <c r="S152" s="1181">
        <f t="shared" si="21"/>
        <v>1171916.7</v>
      </c>
      <c r="T152" s="1181">
        <f t="shared" si="22"/>
        <v>1417579.5999999999</v>
      </c>
      <c r="U152" s="354"/>
      <c r="V152" s="761"/>
      <c r="W152" s="761"/>
      <c r="X152" s="761"/>
    </row>
    <row r="153" spans="1:24" s="153" customFormat="1" ht="10.5" customHeight="1" x14ac:dyDescent="0.2">
      <c r="A153" s="372" t="s">
        <v>1404</v>
      </c>
      <c r="B153" s="1709" t="s">
        <v>548</v>
      </c>
      <c r="C153" s="2134">
        <f>247691.7+17008.5</f>
        <v>264700.2</v>
      </c>
      <c r="D153" s="2134">
        <v>0</v>
      </c>
      <c r="E153" s="2135">
        <v>-11995.8</v>
      </c>
      <c r="F153" s="2135">
        <f t="shared" si="16"/>
        <v>252704.40000000002</v>
      </c>
      <c r="G153" s="2134">
        <f>21067.4+77062.5</f>
        <v>98129.9</v>
      </c>
      <c r="H153" s="2134">
        <v>-2709.8</v>
      </c>
      <c r="I153" s="2135">
        <v>262758.59999999998</v>
      </c>
      <c r="J153" s="2135">
        <f t="shared" si="17"/>
        <v>358178.69999999995</v>
      </c>
      <c r="K153" s="2134">
        <f>1604.4+12212.5</f>
        <v>13816.9</v>
      </c>
      <c r="L153" s="2134">
        <v>1236</v>
      </c>
      <c r="M153" s="2134">
        <f t="shared" si="18"/>
        <v>15052.9</v>
      </c>
      <c r="N153" s="2134">
        <f>4061.8+928364.2</f>
        <v>932426</v>
      </c>
      <c r="O153" s="2134">
        <v>91704.2</v>
      </c>
      <c r="P153" s="2134">
        <f t="shared" si="19"/>
        <v>1024130.2</v>
      </c>
      <c r="Q153" s="2134">
        <f t="shared" si="20"/>
        <v>1397361.7999999998</v>
      </c>
      <c r="R153" s="2135">
        <v>-204765.4</v>
      </c>
      <c r="S153" s="2135">
        <f t="shared" si="21"/>
        <v>1192596.3999999999</v>
      </c>
      <c r="T153" s="2135">
        <f t="shared" si="22"/>
        <v>1445300.7999999998</v>
      </c>
      <c r="U153" s="332"/>
      <c r="V153" s="761"/>
      <c r="W153" s="761"/>
      <c r="X153" s="761"/>
    </row>
    <row r="154" spans="1:24" s="153" customFormat="1" ht="10.5" customHeight="1" x14ac:dyDescent="0.2">
      <c r="A154" s="372" t="s">
        <v>1404</v>
      </c>
      <c r="B154" s="372" t="s">
        <v>556</v>
      </c>
      <c r="C154" s="2133">
        <f>245563.2+13415.6</f>
        <v>258978.80000000002</v>
      </c>
      <c r="D154" s="2133">
        <v>-164.9</v>
      </c>
      <c r="E154" s="1181">
        <v>-12104.9</v>
      </c>
      <c r="F154" s="1181">
        <f t="shared" si="16"/>
        <v>246709.00000000003</v>
      </c>
      <c r="G154" s="2133">
        <f>17669.8+81236.8</f>
        <v>98906.6</v>
      </c>
      <c r="H154" s="2133">
        <v>-2716.4</v>
      </c>
      <c r="I154" s="1181">
        <v>268761.40000000002</v>
      </c>
      <c r="J154" s="1181">
        <f t="shared" si="17"/>
        <v>364951.6</v>
      </c>
      <c r="K154" s="2133">
        <f>1594.5+13011.6</f>
        <v>14606.1</v>
      </c>
      <c r="L154" s="2133">
        <v>1233.9000000000001</v>
      </c>
      <c r="M154" s="2133">
        <f t="shared" si="18"/>
        <v>15840</v>
      </c>
      <c r="N154" s="2133">
        <f>4017.9+932969.8</f>
        <v>936987.70000000007</v>
      </c>
      <c r="O154" s="2133">
        <v>92816.2</v>
      </c>
      <c r="P154" s="2133">
        <f t="shared" si="19"/>
        <v>1029803.9</v>
      </c>
      <c r="Q154" s="2133">
        <f t="shared" si="20"/>
        <v>1410595.5</v>
      </c>
      <c r="R154" s="2133">
        <v>-206821.4</v>
      </c>
      <c r="S154" s="1181">
        <f t="shared" si="21"/>
        <v>1203774.1000000001</v>
      </c>
      <c r="T154" s="1181">
        <f t="shared" si="22"/>
        <v>1450483.1</v>
      </c>
      <c r="U154" s="354"/>
      <c r="V154" s="761"/>
      <c r="W154" s="761"/>
      <c r="X154" s="761"/>
    </row>
    <row r="155" spans="1:24" s="153" customFormat="1" ht="10.5" customHeight="1" x14ac:dyDescent="0.2">
      <c r="A155" s="372" t="s">
        <v>1404</v>
      </c>
      <c r="B155" s="1709" t="s">
        <v>557</v>
      </c>
      <c r="C155" s="2134">
        <f>250320.8+15120.6</f>
        <v>265441.39999999997</v>
      </c>
      <c r="D155" s="2134">
        <v>-164.9</v>
      </c>
      <c r="E155" s="2135">
        <v>-12197.6</v>
      </c>
      <c r="F155" s="2135">
        <f t="shared" si="16"/>
        <v>253078.89999999997</v>
      </c>
      <c r="G155" s="2134">
        <f>13370.8+79549.7</f>
        <v>92920.5</v>
      </c>
      <c r="H155" s="2134">
        <v>-2724.7</v>
      </c>
      <c r="I155" s="2135">
        <v>273367.5</v>
      </c>
      <c r="J155" s="2135">
        <f t="shared" si="17"/>
        <v>363563.3</v>
      </c>
      <c r="K155" s="2134">
        <f>1597.8+12874.1</f>
        <v>14471.9</v>
      </c>
      <c r="L155" s="2134">
        <v>1238.5</v>
      </c>
      <c r="M155" s="2134">
        <f t="shared" si="18"/>
        <v>15710.4</v>
      </c>
      <c r="N155" s="2134">
        <f>3909.2+940855.8</f>
        <v>944765</v>
      </c>
      <c r="O155" s="2134">
        <v>93126.8</v>
      </c>
      <c r="P155" s="2134">
        <f t="shared" si="19"/>
        <v>1037891.8</v>
      </c>
      <c r="Q155" s="2134">
        <f t="shared" si="20"/>
        <v>1417165.5</v>
      </c>
      <c r="R155" s="2134">
        <v>-208046.8</v>
      </c>
      <c r="S155" s="2135">
        <f t="shared" si="21"/>
        <v>1209118.7</v>
      </c>
      <c r="T155" s="2135">
        <f t="shared" si="22"/>
        <v>1462197.5999999999</v>
      </c>
      <c r="U155" s="332"/>
      <c r="V155" s="761"/>
      <c r="W155" s="761"/>
      <c r="X155" s="761"/>
    </row>
    <row r="156" spans="1:24" s="153" customFormat="1" ht="10.5" customHeight="1" x14ac:dyDescent="0.2">
      <c r="A156" s="372" t="s">
        <v>1404</v>
      </c>
      <c r="B156" s="372" t="s">
        <v>549</v>
      </c>
      <c r="C156" s="2133">
        <f>251391.3+18081.8</f>
        <v>269473.09999999998</v>
      </c>
      <c r="D156" s="2133">
        <v>-164.9</v>
      </c>
      <c r="E156" s="1181">
        <v>-12331.1</v>
      </c>
      <c r="F156" s="1181">
        <f t="shared" si="16"/>
        <v>256977.09999999998</v>
      </c>
      <c r="G156" s="2133">
        <f>11760.6+80727.4</f>
        <v>92488</v>
      </c>
      <c r="H156" s="2133">
        <v>-2692.3</v>
      </c>
      <c r="I156" s="1181">
        <v>277498.2</v>
      </c>
      <c r="J156" s="1181">
        <f t="shared" si="17"/>
        <v>367293.9</v>
      </c>
      <c r="K156" s="2133">
        <f>1597.8+12886.9</f>
        <v>14484.699999999999</v>
      </c>
      <c r="L156" s="2133">
        <v>1236.7</v>
      </c>
      <c r="M156" s="2133">
        <f t="shared" si="18"/>
        <v>15721.4</v>
      </c>
      <c r="N156" s="2133">
        <f>3956+950723.6</f>
        <v>954679.6</v>
      </c>
      <c r="O156" s="2133">
        <v>93508.800000000003</v>
      </c>
      <c r="P156" s="2133">
        <f t="shared" si="19"/>
        <v>1048188.4</v>
      </c>
      <c r="Q156" s="2133">
        <f t="shared" si="20"/>
        <v>1431203.7000000002</v>
      </c>
      <c r="R156" s="2133">
        <v>-213756.2</v>
      </c>
      <c r="S156" s="2133">
        <f t="shared" si="21"/>
        <v>1217447.5000000002</v>
      </c>
      <c r="T156" s="2133">
        <f t="shared" si="22"/>
        <v>1474424.6</v>
      </c>
      <c r="U156" s="354"/>
      <c r="V156" s="761"/>
      <c r="W156" s="761"/>
      <c r="X156" s="761"/>
    </row>
    <row r="157" spans="1:24" s="153" customFormat="1" ht="10.5" customHeight="1" x14ac:dyDescent="0.2">
      <c r="A157" s="372" t="s">
        <v>1404</v>
      </c>
      <c r="B157" s="1709" t="s">
        <v>558</v>
      </c>
      <c r="C157" s="2134">
        <f>249633.4+13454.1</f>
        <v>263087.5</v>
      </c>
      <c r="D157" s="2134">
        <v>-155.1</v>
      </c>
      <c r="E157" s="2135">
        <v>-12435</v>
      </c>
      <c r="F157" s="2135">
        <f t="shared" si="16"/>
        <v>250497.4</v>
      </c>
      <c r="G157" s="2134">
        <f>16694.9+76559.5</f>
        <v>93254.399999999994</v>
      </c>
      <c r="H157" s="2134">
        <v>-2625</v>
      </c>
      <c r="I157" s="2135">
        <v>281239.5</v>
      </c>
      <c r="J157" s="2135">
        <f t="shared" si="17"/>
        <v>371868.9</v>
      </c>
      <c r="K157" s="2134">
        <f>1601.1+12218.1</f>
        <v>13819.2</v>
      </c>
      <c r="L157" s="2134">
        <v>1237.2</v>
      </c>
      <c r="M157" s="2134">
        <f t="shared" si="18"/>
        <v>15056.400000000001</v>
      </c>
      <c r="N157" s="2134">
        <f>3929.3+959088</f>
        <v>963017.3</v>
      </c>
      <c r="O157" s="2134">
        <v>93503.4</v>
      </c>
      <c r="P157" s="2134">
        <f t="shared" si="19"/>
        <v>1056520.7</v>
      </c>
      <c r="Q157" s="2134">
        <f t="shared" si="20"/>
        <v>1443446</v>
      </c>
      <c r="R157" s="2134">
        <v>-213228.1</v>
      </c>
      <c r="S157" s="2134">
        <f t="shared" si="21"/>
        <v>1230217.8999999999</v>
      </c>
      <c r="T157" s="2134">
        <f t="shared" si="22"/>
        <v>1480715.2999999998</v>
      </c>
      <c r="U157" s="332"/>
      <c r="V157" s="761"/>
      <c r="W157" s="761"/>
      <c r="X157" s="761"/>
    </row>
    <row r="158" spans="1:24" s="153" customFormat="1" ht="10.5" customHeight="1" x14ac:dyDescent="0.2">
      <c r="A158" s="372" t="s">
        <v>1404</v>
      </c>
      <c r="B158" s="372" t="s">
        <v>559</v>
      </c>
      <c r="C158" s="2133">
        <f>248731+16078.8</f>
        <v>264809.8</v>
      </c>
      <c r="D158" s="2133">
        <v>-155.6</v>
      </c>
      <c r="E158" s="1181">
        <v>-12571.8</v>
      </c>
      <c r="F158" s="1181">
        <f t="shared" si="16"/>
        <v>252082.4</v>
      </c>
      <c r="G158" s="2133">
        <f>33722.6+79332.8</f>
        <v>113055.4</v>
      </c>
      <c r="H158" s="2133">
        <v>-2762.7</v>
      </c>
      <c r="I158" s="1181">
        <v>284496.3</v>
      </c>
      <c r="J158" s="1181">
        <f t="shared" si="17"/>
        <v>394789</v>
      </c>
      <c r="K158" s="2133">
        <f>1601.1+13042.1</f>
        <v>14643.2</v>
      </c>
      <c r="L158" s="2133">
        <v>1239.7</v>
      </c>
      <c r="M158" s="2133">
        <f t="shared" si="18"/>
        <v>15882.900000000001</v>
      </c>
      <c r="N158" s="2133">
        <f>3918.6+972627.7</f>
        <v>976546.29999999993</v>
      </c>
      <c r="O158" s="2133">
        <v>93453.2</v>
      </c>
      <c r="P158" s="2133">
        <f t="shared" si="19"/>
        <v>1069999.5</v>
      </c>
      <c r="Q158" s="2133">
        <f t="shared" si="20"/>
        <v>1480671.4</v>
      </c>
      <c r="R158" s="2133">
        <v>-215598.3</v>
      </c>
      <c r="S158" s="2133">
        <f t="shared" si="21"/>
        <v>1265073.0999999999</v>
      </c>
      <c r="T158" s="2133">
        <f t="shared" si="22"/>
        <v>1517155.4999999998</v>
      </c>
      <c r="U158" s="354"/>
      <c r="V158" s="761"/>
      <c r="W158" s="761"/>
      <c r="X158" s="761"/>
    </row>
    <row r="159" spans="1:24" s="153" customFormat="1" ht="10.5" customHeight="1" x14ac:dyDescent="0.2">
      <c r="A159" s="372" t="s">
        <v>1404</v>
      </c>
      <c r="B159" s="1709" t="s">
        <v>550</v>
      </c>
      <c r="C159" s="2134">
        <f>257195.4+15204.1</f>
        <v>272399.5</v>
      </c>
      <c r="D159" s="2134">
        <v>-155.1</v>
      </c>
      <c r="E159" s="2135">
        <v>-12662.8</v>
      </c>
      <c r="F159" s="2135">
        <f t="shared" si="16"/>
        <v>259581.6</v>
      </c>
      <c r="G159" s="2134">
        <f>31189+82059.3</f>
        <v>113248.3</v>
      </c>
      <c r="H159" s="2134">
        <v>-2534.3000000000002</v>
      </c>
      <c r="I159" s="2135">
        <v>287704.5</v>
      </c>
      <c r="J159" s="2135">
        <f t="shared" si="17"/>
        <v>398418.5</v>
      </c>
      <c r="K159" s="2134">
        <f>1600.7+11990</f>
        <v>13590.7</v>
      </c>
      <c r="L159" s="2134">
        <v>1239.4000000000001</v>
      </c>
      <c r="M159" s="2134">
        <f t="shared" si="18"/>
        <v>14830.1</v>
      </c>
      <c r="N159" s="2134">
        <f>3937+981506.3</f>
        <v>985443.3</v>
      </c>
      <c r="O159" s="2134">
        <v>93123</v>
      </c>
      <c r="P159" s="2134">
        <f t="shared" si="19"/>
        <v>1078566.3</v>
      </c>
      <c r="Q159" s="2134">
        <f t="shared" si="20"/>
        <v>1491814.9</v>
      </c>
      <c r="R159" s="2134">
        <v>-217369.60000000001</v>
      </c>
      <c r="S159" s="2134">
        <f t="shared" si="21"/>
        <v>1274445.2999999998</v>
      </c>
      <c r="T159" s="2134">
        <f t="shared" si="22"/>
        <v>1534026.9</v>
      </c>
      <c r="U159" s="332"/>
      <c r="V159" s="761"/>
      <c r="W159" s="761"/>
      <c r="X159" s="761"/>
    </row>
    <row r="160" spans="1:24" s="153" customFormat="1" ht="10.5" customHeight="1" x14ac:dyDescent="0.2">
      <c r="A160" s="372" t="s">
        <v>1484</v>
      </c>
      <c r="B160" s="372" t="s">
        <v>552</v>
      </c>
      <c r="C160" s="2136">
        <f>255655.5+17122.2</f>
        <v>272777.7</v>
      </c>
      <c r="D160" s="2136">
        <v>-145</v>
      </c>
      <c r="E160" s="2137">
        <v>-12827.1</v>
      </c>
      <c r="F160" s="2137">
        <f t="shared" ref="F160:F171" si="23">E160+D160+C160</f>
        <v>259805.6</v>
      </c>
      <c r="G160" s="2136">
        <f>29485.4+100464.7</f>
        <v>129950.1</v>
      </c>
      <c r="H160" s="2136">
        <v>-2570.8000000000002</v>
      </c>
      <c r="I160" s="2137">
        <v>289917.09999999998</v>
      </c>
      <c r="J160" s="2137">
        <f t="shared" ref="J160:J171" si="24">I160+H160+G160</f>
        <v>417296.4</v>
      </c>
      <c r="K160" s="2136">
        <f>1594.5+12924.6</f>
        <v>14519.1</v>
      </c>
      <c r="L160" s="2136">
        <v>1237.3</v>
      </c>
      <c r="M160" s="2136">
        <f t="shared" ref="M160:M171" si="25">K160+L160</f>
        <v>15756.4</v>
      </c>
      <c r="N160" s="2136">
        <f>3945.7+974332.1</f>
        <v>978277.79999999993</v>
      </c>
      <c r="O160" s="2136">
        <v>92725.5</v>
      </c>
      <c r="P160" s="2136">
        <f t="shared" ref="P160:P171" si="26">N160+O160</f>
        <v>1071003.2999999998</v>
      </c>
      <c r="Q160" s="2136">
        <f t="shared" ref="Q160:Q171" si="27">J160+M160+P160</f>
        <v>1504056.0999999999</v>
      </c>
      <c r="R160" s="2136">
        <v>-217925.6</v>
      </c>
      <c r="S160" s="2136">
        <f t="shared" ref="S160:S171" si="28">Q160+R160</f>
        <v>1286130.4999999998</v>
      </c>
      <c r="T160" s="2136">
        <f t="shared" ref="T160:T171" si="29">F160+S160</f>
        <v>1545936.0999999999</v>
      </c>
      <c r="U160" s="286"/>
      <c r="V160" s="761"/>
      <c r="W160" s="761"/>
      <c r="X160" s="761"/>
    </row>
    <row r="161" spans="1:24" s="153" customFormat="1" ht="10.5" customHeight="1" x14ac:dyDescent="0.2">
      <c r="A161" s="372" t="s">
        <v>1484</v>
      </c>
      <c r="B161" s="1709" t="s">
        <v>553</v>
      </c>
      <c r="C161" s="2128">
        <f>257546.7+17047.7</f>
        <v>274594.40000000002</v>
      </c>
      <c r="D161" s="2128">
        <v>-145.80000000000001</v>
      </c>
      <c r="E161" s="531">
        <v>-12937.9</v>
      </c>
      <c r="F161" s="531">
        <f t="shared" si="23"/>
        <v>261510.7</v>
      </c>
      <c r="G161" s="2128">
        <f>29929+108422.7</f>
        <v>138351.70000000001</v>
      </c>
      <c r="H161" s="2128">
        <v>-2551.3000000000002</v>
      </c>
      <c r="I161" s="531">
        <v>291416.8</v>
      </c>
      <c r="J161" s="531">
        <f t="shared" si="24"/>
        <v>427217.2</v>
      </c>
      <c r="K161" s="2128">
        <f>1596.1+12930.1</f>
        <v>14526.2</v>
      </c>
      <c r="L161" s="2128">
        <v>1237.3</v>
      </c>
      <c r="M161" s="2128">
        <f t="shared" si="25"/>
        <v>15763.5</v>
      </c>
      <c r="N161" s="2128">
        <f>3961.4+979960.6</f>
        <v>983922</v>
      </c>
      <c r="O161" s="2128">
        <v>92125.5</v>
      </c>
      <c r="P161" s="2128">
        <f t="shared" si="26"/>
        <v>1076047.5</v>
      </c>
      <c r="Q161" s="2128">
        <f t="shared" si="27"/>
        <v>1519028.2</v>
      </c>
      <c r="R161" s="2128">
        <v>-215644.9</v>
      </c>
      <c r="S161" s="2128">
        <f t="shared" si="28"/>
        <v>1303383.3</v>
      </c>
      <c r="T161" s="2128">
        <f t="shared" si="29"/>
        <v>1564894</v>
      </c>
      <c r="U161" s="195"/>
      <c r="V161" s="761"/>
      <c r="W161" s="761"/>
      <c r="X161" s="761"/>
    </row>
    <row r="162" spans="1:24" s="153" customFormat="1" ht="10.5" customHeight="1" x14ac:dyDescent="0.2">
      <c r="A162" s="372" t="s">
        <v>1484</v>
      </c>
      <c r="B162" s="372" t="s">
        <v>547</v>
      </c>
      <c r="C162" s="2136">
        <f>254607.6+16670.6</f>
        <v>271278.2</v>
      </c>
      <c r="D162" s="2136">
        <v>-146.6</v>
      </c>
      <c r="E162" s="2137">
        <v>-13072.1</v>
      </c>
      <c r="F162" s="2137">
        <f t="shared" si="23"/>
        <v>258059.5</v>
      </c>
      <c r="G162" s="2136">
        <f>28908.2+111850.4</f>
        <v>140758.6</v>
      </c>
      <c r="H162" s="2136">
        <v>-2487.3000000000002</v>
      </c>
      <c r="I162" s="2137">
        <v>292402.59999999998</v>
      </c>
      <c r="J162" s="2137">
        <f t="shared" si="24"/>
        <v>430673.9</v>
      </c>
      <c r="K162" s="2136">
        <f>1599.4+14293.8</f>
        <v>15893.199999999999</v>
      </c>
      <c r="L162" s="2136">
        <v>1233.4000000000001</v>
      </c>
      <c r="M162" s="2136">
        <f t="shared" si="25"/>
        <v>17126.599999999999</v>
      </c>
      <c r="N162" s="2136">
        <f>3967.7+988997.5</f>
        <v>992965.2</v>
      </c>
      <c r="O162" s="2136">
        <v>92107.9</v>
      </c>
      <c r="P162" s="2136">
        <f t="shared" si="26"/>
        <v>1085073.0999999999</v>
      </c>
      <c r="Q162" s="2136">
        <f t="shared" si="27"/>
        <v>1532873.5999999999</v>
      </c>
      <c r="R162" s="2136">
        <v>-219316.9</v>
      </c>
      <c r="S162" s="2136">
        <f t="shared" si="28"/>
        <v>1313556.7</v>
      </c>
      <c r="T162" s="2136">
        <f t="shared" si="29"/>
        <v>1571616.2</v>
      </c>
      <c r="U162" s="286"/>
      <c r="V162" s="761"/>
      <c r="W162" s="761"/>
      <c r="X162" s="761"/>
    </row>
    <row r="163" spans="1:24" s="153" customFormat="1" ht="10.5" customHeight="1" x14ac:dyDescent="0.2">
      <c r="A163" s="372" t="s">
        <v>1484</v>
      </c>
      <c r="B163" s="1709" t="s">
        <v>554</v>
      </c>
      <c r="C163" s="2128">
        <f>256007.2+14238.6</f>
        <v>270245.8</v>
      </c>
      <c r="D163" s="2128">
        <v>-134.4</v>
      </c>
      <c r="E163" s="2138">
        <v>-13180.8</v>
      </c>
      <c r="F163" s="531">
        <f t="shared" si="23"/>
        <v>256930.59999999998</v>
      </c>
      <c r="G163" s="2128">
        <f>33824.6+113820</f>
        <v>147644.6</v>
      </c>
      <c r="H163" s="2128">
        <v>-2352.1</v>
      </c>
      <c r="I163" s="531">
        <v>293225.5</v>
      </c>
      <c r="J163" s="531">
        <f t="shared" si="24"/>
        <v>438518</v>
      </c>
      <c r="K163" s="531">
        <f>1599.4+13999.5</f>
        <v>15598.9</v>
      </c>
      <c r="L163" s="2128">
        <v>1293.3</v>
      </c>
      <c r="M163" s="2128">
        <f t="shared" si="25"/>
        <v>16892.2</v>
      </c>
      <c r="N163" s="2128">
        <f>3989.7+998027</f>
        <v>1002016.7</v>
      </c>
      <c r="O163" s="531">
        <v>92738.5</v>
      </c>
      <c r="P163" s="2128">
        <f t="shared" si="26"/>
        <v>1094755.2</v>
      </c>
      <c r="Q163" s="2128">
        <f t="shared" si="27"/>
        <v>1550165.4</v>
      </c>
      <c r="R163" s="2128">
        <v>-224966.8</v>
      </c>
      <c r="S163" s="2128">
        <f t="shared" si="28"/>
        <v>1325198.5999999999</v>
      </c>
      <c r="T163" s="2128">
        <f t="shared" si="29"/>
        <v>1582129.1999999997</v>
      </c>
      <c r="U163" s="195"/>
      <c r="V163" s="761"/>
      <c r="W163" s="761"/>
      <c r="X163" s="761"/>
    </row>
    <row r="164" spans="1:24" s="153" customFormat="1" ht="10.5" customHeight="1" x14ac:dyDescent="0.2">
      <c r="A164" s="372" t="s">
        <v>1484</v>
      </c>
      <c r="B164" s="372" t="s">
        <v>555</v>
      </c>
      <c r="C164" s="2136">
        <f>255448.9+14918.8</f>
        <v>270367.7</v>
      </c>
      <c r="D164" s="2136">
        <v>-135.5</v>
      </c>
      <c r="E164" s="2139">
        <v>-13252.2</v>
      </c>
      <c r="F164" s="2139">
        <f t="shared" si="23"/>
        <v>256980</v>
      </c>
      <c r="G164" s="2136">
        <f>30168.5+123234.1</f>
        <v>153402.6</v>
      </c>
      <c r="H164" s="2136">
        <v>-583.79999999999995</v>
      </c>
      <c r="I164" s="2137">
        <v>293546.09999999998</v>
      </c>
      <c r="J164" s="2137">
        <f t="shared" si="24"/>
        <v>446364.9</v>
      </c>
      <c r="K164" s="2137">
        <f>1601.1+15108.3</f>
        <v>16709.399999999998</v>
      </c>
      <c r="L164" s="2136">
        <v>1311.8</v>
      </c>
      <c r="M164" s="2136">
        <f t="shared" si="25"/>
        <v>18021.199999999997</v>
      </c>
      <c r="N164" s="2136">
        <f>3998.2+1007591.1</f>
        <v>1011589.2999999999</v>
      </c>
      <c r="O164" s="2137">
        <v>93185.3</v>
      </c>
      <c r="P164" s="2137">
        <f t="shared" si="26"/>
        <v>1104774.5999999999</v>
      </c>
      <c r="Q164" s="2137">
        <f t="shared" si="27"/>
        <v>1569160.7</v>
      </c>
      <c r="R164" s="2136">
        <v>-228880.6</v>
      </c>
      <c r="S164" s="2136">
        <f t="shared" si="28"/>
        <v>1340280.0999999999</v>
      </c>
      <c r="T164" s="2136">
        <f t="shared" si="29"/>
        <v>1597260.0999999999</v>
      </c>
      <c r="U164" s="286"/>
      <c r="V164" s="761"/>
      <c r="W164" s="761"/>
      <c r="X164" s="761"/>
    </row>
    <row r="165" spans="1:24" s="153" customFormat="1" ht="10.5" customHeight="1" x14ac:dyDescent="0.2">
      <c r="A165" s="372" t="s">
        <v>1484</v>
      </c>
      <c r="B165" s="1709" t="s">
        <v>548</v>
      </c>
      <c r="C165" s="2128">
        <f>259113.4+15013.1</f>
        <v>274126.5</v>
      </c>
      <c r="D165" s="2128">
        <v>-136.1</v>
      </c>
      <c r="E165" s="2138">
        <v>-13317.6</v>
      </c>
      <c r="F165" s="2138">
        <f t="shared" si="23"/>
        <v>260672.8</v>
      </c>
      <c r="G165" s="2128">
        <f>34438.2+122398.7</f>
        <v>156836.9</v>
      </c>
      <c r="H165" s="2128">
        <v>-547.29999999999995</v>
      </c>
      <c r="I165" s="531">
        <v>293137.7</v>
      </c>
      <c r="J165" s="531">
        <f t="shared" si="24"/>
        <v>449427.30000000005</v>
      </c>
      <c r="K165" s="531">
        <f>1604.2+18882.4</f>
        <v>20486.600000000002</v>
      </c>
      <c r="L165" s="2128">
        <v>1311</v>
      </c>
      <c r="M165" s="2128">
        <f t="shared" si="25"/>
        <v>21797.600000000002</v>
      </c>
      <c r="N165" s="2128">
        <f>4077.2+1025498.5</f>
        <v>1029575.7</v>
      </c>
      <c r="O165" s="531">
        <v>94123.3</v>
      </c>
      <c r="P165" s="531">
        <f t="shared" si="26"/>
        <v>1123699</v>
      </c>
      <c r="Q165" s="531">
        <f t="shared" si="27"/>
        <v>1594923.9</v>
      </c>
      <c r="R165" s="2128">
        <v>-238237.5</v>
      </c>
      <c r="S165" s="2128">
        <f t="shared" si="28"/>
        <v>1356686.4</v>
      </c>
      <c r="T165" s="2128">
        <f t="shared" si="29"/>
        <v>1617359.2</v>
      </c>
      <c r="U165" s="195"/>
      <c r="V165" s="761"/>
      <c r="W165" s="761"/>
      <c r="X165" s="761"/>
    </row>
    <row r="166" spans="1:24" s="153" customFormat="1" ht="10.5" customHeight="1" x14ac:dyDescent="0.2">
      <c r="A166" s="372" t="s">
        <v>1484</v>
      </c>
      <c r="B166" s="372" t="s">
        <v>556</v>
      </c>
      <c r="C166" s="2136">
        <f>259738.6+14611.3</f>
        <v>274349.90000000002</v>
      </c>
      <c r="D166" s="2136">
        <v>-123.4</v>
      </c>
      <c r="E166" s="2140">
        <v>-13441.3</v>
      </c>
      <c r="F166" s="2140">
        <f t="shared" si="23"/>
        <v>260785.2</v>
      </c>
      <c r="G166" s="2136">
        <f>32763.8+130479</f>
        <v>163242.79999999999</v>
      </c>
      <c r="H166" s="2136">
        <v>-502.9</v>
      </c>
      <c r="I166" s="2137">
        <v>295377.90000000002</v>
      </c>
      <c r="J166" s="2137">
        <f t="shared" si="24"/>
        <v>458117.8</v>
      </c>
      <c r="K166" s="2137">
        <f>1594.5+18094.9</f>
        <v>19689.400000000001</v>
      </c>
      <c r="L166" s="2136">
        <v>1291.5999999999999</v>
      </c>
      <c r="M166" s="2136">
        <f t="shared" si="25"/>
        <v>20981</v>
      </c>
      <c r="N166" s="2136">
        <f>4055.1+1025031.9</f>
        <v>1029087</v>
      </c>
      <c r="O166" s="2137">
        <v>92567.5</v>
      </c>
      <c r="P166" s="2137">
        <f t="shared" si="26"/>
        <v>1121654.5</v>
      </c>
      <c r="Q166" s="2137">
        <f t="shared" si="27"/>
        <v>1600753.3</v>
      </c>
      <c r="R166" s="2136">
        <v>-239730</v>
      </c>
      <c r="S166" s="2136">
        <f t="shared" si="28"/>
        <v>1361023.3</v>
      </c>
      <c r="T166" s="2136">
        <f t="shared" si="29"/>
        <v>1621808.5</v>
      </c>
      <c r="U166" s="286"/>
      <c r="V166" s="761"/>
      <c r="W166" s="761"/>
      <c r="X166" s="761"/>
    </row>
    <row r="167" spans="1:24" s="153" customFormat="1" ht="10.5" customHeight="1" x14ac:dyDescent="0.2">
      <c r="A167" s="372" t="s">
        <v>1484</v>
      </c>
      <c r="B167" s="1709" t="s">
        <v>557</v>
      </c>
      <c r="C167" s="2128">
        <f>260343.4+17143.1</f>
        <v>277486.5</v>
      </c>
      <c r="D167" s="2128">
        <v>-124</v>
      </c>
      <c r="E167" s="2138">
        <v>-13689.2</v>
      </c>
      <c r="F167" s="2138">
        <f t="shared" si="23"/>
        <v>263673.3</v>
      </c>
      <c r="G167" s="2128">
        <f>26329.1+135885.8</f>
        <v>162214.9</v>
      </c>
      <c r="H167" s="2128">
        <v>-161.69999999999999</v>
      </c>
      <c r="I167" s="531">
        <v>297370.40000000002</v>
      </c>
      <c r="J167" s="531">
        <f t="shared" si="24"/>
        <v>459423.6</v>
      </c>
      <c r="K167" s="531">
        <f>1594.5+18412.7</f>
        <v>20007.2</v>
      </c>
      <c r="L167" s="2128">
        <v>1289.3</v>
      </c>
      <c r="M167" s="2128">
        <f t="shared" si="25"/>
        <v>21296.5</v>
      </c>
      <c r="N167" s="2128">
        <f>4066.6+1032328</f>
        <v>1036394.6</v>
      </c>
      <c r="O167" s="531">
        <v>92752.6</v>
      </c>
      <c r="P167" s="531">
        <f t="shared" si="26"/>
        <v>1129147.2</v>
      </c>
      <c r="Q167" s="531">
        <f t="shared" si="27"/>
        <v>1609867.2999999998</v>
      </c>
      <c r="R167" s="2128">
        <v>-240301.7</v>
      </c>
      <c r="S167" s="2128">
        <f t="shared" si="28"/>
        <v>1369565.5999999999</v>
      </c>
      <c r="T167" s="2128">
        <f t="shared" si="29"/>
        <v>1633238.9</v>
      </c>
      <c r="U167" s="195"/>
      <c r="V167" s="761"/>
      <c r="W167" s="761"/>
      <c r="X167" s="761"/>
    </row>
    <row r="168" spans="1:24" s="153" customFormat="1" ht="10.5" customHeight="1" x14ac:dyDescent="0.2">
      <c r="A168" s="372" t="s">
        <v>1484</v>
      </c>
      <c r="B168" s="372" t="s">
        <v>549</v>
      </c>
      <c r="C168" s="2136">
        <f>263114.5+16128.2</f>
        <v>279242.7</v>
      </c>
      <c r="D168" s="2136">
        <v>-124.7</v>
      </c>
      <c r="E168" s="2140">
        <v>-13807.5</v>
      </c>
      <c r="F168" s="2140">
        <f t="shared" si="23"/>
        <v>265310.5</v>
      </c>
      <c r="G168" s="2136">
        <f>22201+111536.8</f>
        <v>133737.79999999999</v>
      </c>
      <c r="H168" s="2136">
        <v>-143.4</v>
      </c>
      <c r="I168" s="2137">
        <v>298907.2</v>
      </c>
      <c r="J168" s="2137">
        <f t="shared" si="24"/>
        <v>432501.6</v>
      </c>
      <c r="K168" s="2137">
        <f>1594.5+18554.8</f>
        <v>20149.3</v>
      </c>
      <c r="L168" s="2136">
        <v>1288.2</v>
      </c>
      <c r="M168" s="2136">
        <f t="shared" si="25"/>
        <v>21437.5</v>
      </c>
      <c r="N168" s="2136">
        <f>4075.8+1040202.9</f>
        <v>1044278.7000000001</v>
      </c>
      <c r="O168" s="2137">
        <v>92295.4</v>
      </c>
      <c r="P168" s="2137">
        <f t="shared" si="26"/>
        <v>1136574.1000000001</v>
      </c>
      <c r="Q168" s="2137">
        <f t="shared" si="27"/>
        <v>1590513.2000000002</v>
      </c>
      <c r="R168" s="2136">
        <v>-216295.5</v>
      </c>
      <c r="S168" s="2136">
        <f t="shared" si="28"/>
        <v>1374217.7000000002</v>
      </c>
      <c r="T168" s="2136">
        <f t="shared" si="29"/>
        <v>1639528.2000000002</v>
      </c>
      <c r="U168" s="286"/>
      <c r="V168" s="761"/>
      <c r="W168" s="761"/>
      <c r="X168" s="761"/>
    </row>
    <row r="169" spans="1:24" s="153" customFormat="1" ht="10.5" customHeight="1" x14ac:dyDescent="0.2">
      <c r="A169" s="372" t="s">
        <v>1484</v>
      </c>
      <c r="B169" s="1709" t="s">
        <v>558</v>
      </c>
      <c r="C169" s="2128">
        <f>265600.7+16859.1</f>
        <v>282459.8</v>
      </c>
      <c r="D169" s="2128">
        <v>-111.9</v>
      </c>
      <c r="E169" s="2138">
        <v>-13807.5</v>
      </c>
      <c r="F169" s="2138">
        <f t="shared" si="23"/>
        <v>268540.39999999997</v>
      </c>
      <c r="G169" s="2128">
        <f>34797.8+133561.3</f>
        <v>168359.09999999998</v>
      </c>
      <c r="H169" s="2128">
        <v>-138.19999999999999</v>
      </c>
      <c r="I169" s="531">
        <v>298285.40000000002</v>
      </c>
      <c r="J169" s="531">
        <f t="shared" si="24"/>
        <v>466506.3</v>
      </c>
      <c r="K169" s="531">
        <f>1597.8+18325.3</f>
        <v>19923.099999999999</v>
      </c>
      <c r="L169" s="2128">
        <v>1288.3</v>
      </c>
      <c r="M169" s="2128">
        <f t="shared" si="25"/>
        <v>21211.399999999998</v>
      </c>
      <c r="N169" s="2128">
        <f>4077.1+1048672.9</f>
        <v>1052750</v>
      </c>
      <c r="O169" s="531">
        <v>92134.3</v>
      </c>
      <c r="P169" s="531">
        <f t="shared" si="26"/>
        <v>1144884.3</v>
      </c>
      <c r="Q169" s="531">
        <f t="shared" si="27"/>
        <v>1632602</v>
      </c>
      <c r="R169" s="2128">
        <v>-247056.6</v>
      </c>
      <c r="S169" s="2128">
        <f t="shared" si="28"/>
        <v>1385545.4</v>
      </c>
      <c r="T169" s="2128">
        <f t="shared" si="29"/>
        <v>1654085.7999999998</v>
      </c>
      <c r="U169" s="195"/>
      <c r="V169" s="761"/>
      <c r="W169" s="761"/>
      <c r="X169" s="761"/>
    </row>
    <row r="170" spans="1:24" s="153" customFormat="1" ht="10.5" customHeight="1" x14ac:dyDescent="0.2">
      <c r="A170" s="372" t="s">
        <v>1484</v>
      </c>
      <c r="B170" s="372" t="s">
        <v>559</v>
      </c>
      <c r="C170" s="2136">
        <f>271808+14629.3</f>
        <v>286437.3</v>
      </c>
      <c r="D170" s="2136">
        <v>-112.5</v>
      </c>
      <c r="E170" s="2140">
        <v>-13835.1</v>
      </c>
      <c r="F170" s="2139">
        <f t="shared" si="23"/>
        <v>272489.7</v>
      </c>
      <c r="G170" s="2136">
        <f>31707.4+130780.7</f>
        <v>162488.1</v>
      </c>
      <c r="H170" s="2136">
        <v>43.7</v>
      </c>
      <c r="I170" s="2137">
        <v>298715.59999999998</v>
      </c>
      <c r="J170" s="2137">
        <f t="shared" si="24"/>
        <v>461247.4</v>
      </c>
      <c r="K170" s="2137">
        <f>1597.8+18243</f>
        <v>19840.8</v>
      </c>
      <c r="L170" s="2136">
        <v>1286.2</v>
      </c>
      <c r="M170" s="2136">
        <f t="shared" si="25"/>
        <v>21127</v>
      </c>
      <c r="N170" s="2136">
        <f>4096.7+1063255.7</f>
        <v>1067352.3999999999</v>
      </c>
      <c r="O170" s="2137">
        <v>92001.4</v>
      </c>
      <c r="P170" s="2137">
        <f t="shared" si="26"/>
        <v>1159353.7999999998</v>
      </c>
      <c r="Q170" s="2137">
        <f t="shared" si="27"/>
        <v>1641728.1999999997</v>
      </c>
      <c r="R170" s="2137">
        <v>-234155.5</v>
      </c>
      <c r="S170" s="2137">
        <f t="shared" si="28"/>
        <v>1407572.6999999997</v>
      </c>
      <c r="T170" s="2137">
        <f t="shared" si="29"/>
        <v>1680062.3999999997</v>
      </c>
      <c r="U170" s="286"/>
      <c r="V170" s="761"/>
      <c r="W170" s="761"/>
      <c r="X170" s="761"/>
    </row>
    <row r="171" spans="1:24" s="153" customFormat="1" ht="10.5" customHeight="1" x14ac:dyDescent="0.2">
      <c r="A171" s="372" t="s">
        <v>1484</v>
      </c>
      <c r="B171" s="1709" t="s">
        <v>550</v>
      </c>
      <c r="C171" s="2128">
        <f>286040.9+11295.3</f>
        <v>297336.2</v>
      </c>
      <c r="D171" s="2128">
        <v>-113.1</v>
      </c>
      <c r="E171" s="2138">
        <v>-13909.2</v>
      </c>
      <c r="F171" s="2128">
        <f t="shared" si="23"/>
        <v>283313.90000000002</v>
      </c>
      <c r="G171" s="2128">
        <f>42117.1+139002.3</f>
        <v>181119.4</v>
      </c>
      <c r="H171" s="2128">
        <v>71.3</v>
      </c>
      <c r="I171" s="531">
        <v>302132.8</v>
      </c>
      <c r="J171" s="2128">
        <f t="shared" si="24"/>
        <v>483323.5</v>
      </c>
      <c r="K171" s="531">
        <f>1604.4+17596.4</f>
        <v>19200.800000000003</v>
      </c>
      <c r="L171" s="2128">
        <v>1285.2</v>
      </c>
      <c r="M171" s="2128">
        <f t="shared" si="25"/>
        <v>20486.000000000004</v>
      </c>
      <c r="N171" s="2128">
        <f>4147.6+1071078.9</f>
        <v>1075226.5</v>
      </c>
      <c r="O171" s="531">
        <v>91712.4</v>
      </c>
      <c r="P171" s="531">
        <f t="shared" si="26"/>
        <v>1166938.8999999999</v>
      </c>
      <c r="Q171" s="531">
        <f t="shared" si="27"/>
        <v>1670748.4</v>
      </c>
      <c r="R171" s="531">
        <v>-250124.9</v>
      </c>
      <c r="S171" s="531">
        <f t="shared" si="28"/>
        <v>1420623.5</v>
      </c>
      <c r="T171" s="531">
        <f t="shared" si="29"/>
        <v>1703937.4</v>
      </c>
      <c r="U171" s="195"/>
      <c r="V171" s="761"/>
      <c r="W171" s="761"/>
      <c r="X171" s="761"/>
    </row>
    <row r="172" spans="1:24" s="153" customFormat="1" ht="10.5" customHeight="1" x14ac:dyDescent="0.2">
      <c r="A172" s="372" t="s">
        <v>1536</v>
      </c>
      <c r="B172" s="372" t="s">
        <v>552</v>
      </c>
      <c r="C172" s="2128">
        <f>297266.4+13630.7</f>
        <v>310897.10000000003</v>
      </c>
      <c r="D172" s="2128">
        <v>-100.2</v>
      </c>
      <c r="E172" s="2138">
        <v>-14064.6</v>
      </c>
      <c r="F172" s="2138">
        <f t="shared" ref="F172:F183" si="30">E172+D172+C172</f>
        <v>296732.30000000005</v>
      </c>
      <c r="G172" s="2128">
        <f>38923.9+157754</f>
        <v>196677.9</v>
      </c>
      <c r="H172" s="2128">
        <v>41.3</v>
      </c>
      <c r="I172" s="531">
        <v>305838.09999999998</v>
      </c>
      <c r="J172" s="531">
        <f t="shared" ref="J172:J183" si="31">I172+H172+G172</f>
        <v>502557.29999999993</v>
      </c>
      <c r="K172" s="531">
        <f>1596.1+17516.8</f>
        <v>19112.899999999998</v>
      </c>
      <c r="L172" s="2128">
        <v>1285.2</v>
      </c>
      <c r="M172" s="2128">
        <f t="shared" ref="M172:M183" si="32">K172+L172</f>
        <v>20398.099999999999</v>
      </c>
      <c r="N172" s="2128">
        <f>4145.7+1069056.1</f>
        <v>1073201.8</v>
      </c>
      <c r="O172" s="531">
        <v>91062.6</v>
      </c>
      <c r="P172" s="531">
        <f t="shared" ref="P172:P183" si="33">N172+O172</f>
        <v>1164264.4000000001</v>
      </c>
      <c r="Q172" s="531">
        <f t="shared" ref="Q172:Q183" si="34">J172+M172+P172</f>
        <v>1687219.8</v>
      </c>
      <c r="R172" s="531">
        <v>-245140.3</v>
      </c>
      <c r="S172" s="531">
        <f t="shared" ref="S172:S183" si="35">Q172+R172</f>
        <v>1442079.5</v>
      </c>
      <c r="T172" s="531">
        <f t="shared" ref="T172:T183" si="36">F172+S172</f>
        <v>1738811.8</v>
      </c>
      <c r="U172" s="195"/>
      <c r="V172" s="761"/>
      <c r="W172" s="761"/>
      <c r="X172" s="761"/>
    </row>
    <row r="173" spans="1:24" s="153" customFormat="1" ht="10.5" customHeight="1" x14ac:dyDescent="0.2">
      <c r="A173" s="372" t="s">
        <v>1536</v>
      </c>
      <c r="B173" s="1709" t="s">
        <v>553</v>
      </c>
      <c r="C173" s="2136">
        <f>307680.5+14569.5</f>
        <v>322250</v>
      </c>
      <c r="D173" s="2136">
        <v>-100.8</v>
      </c>
      <c r="E173" s="2138">
        <v>-14203.1</v>
      </c>
      <c r="F173" s="2138">
        <f t="shared" si="30"/>
        <v>307946.09999999998</v>
      </c>
      <c r="G173" s="2136">
        <f>22094.6+173066.1</f>
        <v>195160.7</v>
      </c>
      <c r="H173" s="2136">
        <v>-1.2</v>
      </c>
      <c r="I173" s="2141">
        <v>309584.90000000002</v>
      </c>
      <c r="J173" s="531">
        <f t="shared" si="31"/>
        <v>504744.4</v>
      </c>
      <c r="K173" s="2137">
        <f>1597.8+17926.2</f>
        <v>19524</v>
      </c>
      <c r="L173" s="2136">
        <v>1285.2</v>
      </c>
      <c r="M173" s="2136">
        <f t="shared" si="32"/>
        <v>20809.2</v>
      </c>
      <c r="N173" s="2136">
        <f>4156.2+1075365.1</f>
        <v>1079521.3</v>
      </c>
      <c r="O173" s="2137">
        <v>89972.7</v>
      </c>
      <c r="P173" s="2137">
        <f t="shared" si="33"/>
        <v>1169494</v>
      </c>
      <c r="Q173" s="531">
        <f t="shared" si="34"/>
        <v>1695047.6</v>
      </c>
      <c r="R173" s="2137">
        <v>-251467.2</v>
      </c>
      <c r="S173" s="531">
        <f t="shared" si="35"/>
        <v>1443580.4000000001</v>
      </c>
      <c r="T173" s="531">
        <f t="shared" si="36"/>
        <v>1751526.5</v>
      </c>
      <c r="U173" s="286"/>
      <c r="V173" s="761"/>
      <c r="W173" s="761"/>
      <c r="X173" s="761"/>
    </row>
    <row r="174" spans="1:24" s="153" customFormat="1" ht="10.5" customHeight="1" x14ac:dyDescent="0.2">
      <c r="A174" s="372" t="s">
        <v>1536</v>
      </c>
      <c r="B174" s="372" t="s">
        <v>547</v>
      </c>
      <c r="C174" s="2128">
        <f>313613.3+17544.3</f>
        <v>331157.59999999998</v>
      </c>
      <c r="D174" s="2128">
        <v>-101.3</v>
      </c>
      <c r="E174" s="2138">
        <v>-14346.6</v>
      </c>
      <c r="F174" s="2138">
        <f t="shared" si="30"/>
        <v>316709.69999999995</v>
      </c>
      <c r="G174" s="2128">
        <f>12186.7+178287</f>
        <v>190473.7</v>
      </c>
      <c r="H174" s="2128">
        <v>228.2</v>
      </c>
      <c r="I174" s="531">
        <v>313792.09999999998</v>
      </c>
      <c r="J174" s="531">
        <f t="shared" si="31"/>
        <v>504494</v>
      </c>
      <c r="K174" s="531">
        <f>1599.3+17863.5</f>
        <v>19462.8</v>
      </c>
      <c r="L174" s="2128">
        <v>1289.7</v>
      </c>
      <c r="M174" s="2128">
        <f t="shared" si="32"/>
        <v>20752.5</v>
      </c>
      <c r="N174" s="2128">
        <f>4183.6+1086820.9</f>
        <v>1091004.5</v>
      </c>
      <c r="O174" s="531">
        <v>89527.9</v>
      </c>
      <c r="P174" s="531">
        <f t="shared" si="33"/>
        <v>1180532.3999999999</v>
      </c>
      <c r="Q174" s="531">
        <f t="shared" si="34"/>
        <v>1705778.9</v>
      </c>
      <c r="R174" s="531">
        <v>-255727.4</v>
      </c>
      <c r="S174" s="531">
        <f t="shared" si="35"/>
        <v>1450051.5</v>
      </c>
      <c r="T174" s="531">
        <f t="shared" si="36"/>
        <v>1766761.2</v>
      </c>
      <c r="U174" s="195"/>
      <c r="V174" s="761"/>
      <c r="W174" s="761"/>
      <c r="X174" s="761"/>
    </row>
    <row r="175" spans="1:24" s="153" customFormat="1" ht="10.5" customHeight="1" x14ac:dyDescent="0.2">
      <c r="A175" s="372" t="s">
        <v>1536</v>
      </c>
      <c r="B175" s="1709" t="s">
        <v>554</v>
      </c>
      <c r="C175" s="2136">
        <f>322383.4+14543.2</f>
        <v>336926.60000000003</v>
      </c>
      <c r="D175" s="2136">
        <v>-88.4</v>
      </c>
      <c r="E175" s="2139">
        <v>-14474.3</v>
      </c>
      <c r="F175" s="2139">
        <f t="shared" si="30"/>
        <v>322363.90000000002</v>
      </c>
      <c r="G175" s="2142">
        <f>11533.9+180055.7</f>
        <v>191589.6</v>
      </c>
      <c r="H175" s="2136">
        <v>378.7</v>
      </c>
      <c r="I175" s="2137">
        <v>317826.7</v>
      </c>
      <c r="J175" s="2137">
        <f t="shared" si="31"/>
        <v>509795</v>
      </c>
      <c r="K175" s="2137">
        <f>1600.6+18227.3</f>
        <v>19827.899999999998</v>
      </c>
      <c r="L175" s="2136">
        <v>1338.8</v>
      </c>
      <c r="M175" s="2136">
        <f t="shared" si="32"/>
        <v>21166.699999999997</v>
      </c>
      <c r="N175" s="2136">
        <f>4197.8+1087741.9</f>
        <v>1091939.7</v>
      </c>
      <c r="O175" s="2137">
        <v>92427.4</v>
      </c>
      <c r="P175" s="2137">
        <f t="shared" si="33"/>
        <v>1184367.0999999999</v>
      </c>
      <c r="Q175" s="2137">
        <f t="shared" si="34"/>
        <v>1715328.7999999998</v>
      </c>
      <c r="R175" s="2137">
        <v>-253594.2</v>
      </c>
      <c r="S175" s="2141">
        <f t="shared" si="35"/>
        <v>1461734.5999999999</v>
      </c>
      <c r="T175" s="2137">
        <f t="shared" si="36"/>
        <v>1784098.5</v>
      </c>
      <c r="U175" s="286"/>
      <c r="V175" s="761"/>
      <c r="W175" s="761"/>
      <c r="X175" s="761"/>
    </row>
    <row r="176" spans="1:24" s="153" customFormat="1" ht="10.5" customHeight="1" x14ac:dyDescent="0.2">
      <c r="A176" s="372" t="s">
        <v>1536</v>
      </c>
      <c r="B176" s="372" t="s">
        <v>555</v>
      </c>
      <c r="C176" s="2128">
        <f>330892.7+14510.5</f>
        <v>345403.2</v>
      </c>
      <c r="D176" s="2128">
        <v>-88.8</v>
      </c>
      <c r="E176" s="2138">
        <v>-14640.3</v>
      </c>
      <c r="F176" s="2138">
        <f t="shared" si="30"/>
        <v>330674.10000000003</v>
      </c>
      <c r="G176" s="2128">
        <f>9855.8+183243.1</f>
        <v>193098.9</v>
      </c>
      <c r="H176" s="2128">
        <v>150.6</v>
      </c>
      <c r="I176" s="531">
        <v>321229.3</v>
      </c>
      <c r="J176" s="531">
        <f t="shared" si="31"/>
        <v>514478.79999999993</v>
      </c>
      <c r="K176" s="531">
        <f>1602.3+18970.2</f>
        <v>20572.5</v>
      </c>
      <c r="L176" s="2128">
        <v>1338.8</v>
      </c>
      <c r="M176" s="2128">
        <f t="shared" si="32"/>
        <v>21911.3</v>
      </c>
      <c r="N176" s="2128">
        <f>4186.3+1094312.8</f>
        <v>1098499.1000000001</v>
      </c>
      <c r="O176" s="531">
        <v>92531.3</v>
      </c>
      <c r="P176" s="531">
        <f t="shared" si="33"/>
        <v>1191030.4000000001</v>
      </c>
      <c r="Q176" s="531">
        <f t="shared" si="34"/>
        <v>1727420.5</v>
      </c>
      <c r="R176" s="531">
        <v>-257184.7</v>
      </c>
      <c r="S176" s="531">
        <f t="shared" si="35"/>
        <v>1470235.8</v>
      </c>
      <c r="T176" s="531">
        <f t="shared" si="36"/>
        <v>1800909.9000000001</v>
      </c>
      <c r="U176" s="195"/>
      <c r="V176" s="761"/>
      <c r="W176" s="761"/>
      <c r="X176" s="761"/>
    </row>
    <row r="177" spans="1:24" s="153" customFormat="1" ht="10.5" customHeight="1" x14ac:dyDescent="0.2">
      <c r="A177" s="372" t="s">
        <v>1536</v>
      </c>
      <c r="B177" s="1709" t="s">
        <v>548</v>
      </c>
      <c r="C177" s="2136">
        <f>341180.7+15796.1</f>
        <v>356976.8</v>
      </c>
      <c r="D177" s="2136">
        <v>-89.3</v>
      </c>
      <c r="E177" s="2140">
        <v>-14722.3</v>
      </c>
      <c r="F177" s="2139">
        <f t="shared" si="30"/>
        <v>342165.2</v>
      </c>
      <c r="G177" s="2136">
        <f>1313.5+189941.4</f>
        <v>191254.9</v>
      </c>
      <c r="H177" s="2136">
        <v>160.1</v>
      </c>
      <c r="I177" s="2137">
        <v>322671.5</v>
      </c>
      <c r="J177" s="2137">
        <f t="shared" si="31"/>
        <v>514086.5</v>
      </c>
      <c r="K177" s="2137">
        <f>1604+19376.7</f>
        <v>20980.7</v>
      </c>
      <c r="L177" s="2136">
        <v>1337.5</v>
      </c>
      <c r="M177" s="2136">
        <f t="shared" si="32"/>
        <v>22318.2</v>
      </c>
      <c r="N177" s="2136">
        <f>4273.2+1113581.9</f>
        <v>1117855.0999999999</v>
      </c>
      <c r="O177" s="2137">
        <v>94285.5</v>
      </c>
      <c r="P177" s="2137">
        <f t="shared" si="33"/>
        <v>1212140.5999999999</v>
      </c>
      <c r="Q177" s="2137">
        <f t="shared" si="34"/>
        <v>1748545.2999999998</v>
      </c>
      <c r="R177" s="2137">
        <v>-261316.5</v>
      </c>
      <c r="S177" s="2137">
        <f t="shared" si="35"/>
        <v>1487228.7999999998</v>
      </c>
      <c r="T177" s="2137">
        <f t="shared" si="36"/>
        <v>1829393.9999999998</v>
      </c>
      <c r="U177" s="286"/>
      <c r="V177" s="761"/>
      <c r="W177" s="761"/>
      <c r="X177" s="761"/>
    </row>
    <row r="178" spans="1:24" s="153" customFormat="1" ht="10.5" customHeight="1" x14ac:dyDescent="0.2">
      <c r="A178" s="372" t="s">
        <v>1536</v>
      </c>
      <c r="B178" s="372" t="s">
        <v>556</v>
      </c>
      <c r="C178" s="2128">
        <f>343476.8+15680.7</f>
        <v>359157.5</v>
      </c>
      <c r="D178" s="2128">
        <v>-76.3</v>
      </c>
      <c r="E178" s="2138">
        <v>-14809.8</v>
      </c>
      <c r="F178" s="2138">
        <f t="shared" si="30"/>
        <v>344271.4</v>
      </c>
      <c r="G178" s="2128">
        <f>-206.2+191553.9</f>
        <v>191347.69999999998</v>
      </c>
      <c r="H178" s="2128">
        <v>20.8</v>
      </c>
      <c r="I178" s="531">
        <v>327886.59999999998</v>
      </c>
      <c r="J178" s="531">
        <f t="shared" si="31"/>
        <v>519255.1</v>
      </c>
      <c r="K178" s="531">
        <f>1596.1+19123.2</f>
        <v>20719.3</v>
      </c>
      <c r="L178" s="2128">
        <v>1305.2</v>
      </c>
      <c r="M178" s="2128">
        <f t="shared" si="32"/>
        <v>22024.5</v>
      </c>
      <c r="N178" s="2128">
        <f>4260.7+1112505.6</f>
        <v>1116766.3</v>
      </c>
      <c r="O178" s="531">
        <v>93966.3</v>
      </c>
      <c r="P178" s="531">
        <f t="shared" si="33"/>
        <v>1210732.6000000001</v>
      </c>
      <c r="Q178" s="531">
        <f t="shared" si="34"/>
        <v>1752012.2000000002</v>
      </c>
      <c r="R178" s="531">
        <v>-268801.8</v>
      </c>
      <c r="S178" s="531">
        <f t="shared" si="35"/>
        <v>1483210.4000000001</v>
      </c>
      <c r="T178" s="531">
        <f t="shared" si="36"/>
        <v>1827481.8000000003</v>
      </c>
      <c r="U178" s="195"/>
      <c r="V178" s="761"/>
      <c r="W178" s="761"/>
      <c r="X178" s="761"/>
    </row>
    <row r="179" spans="1:24" s="153" customFormat="1" ht="10.5" customHeight="1" x14ac:dyDescent="0.2">
      <c r="A179" s="372" t="s">
        <v>1536</v>
      </c>
      <c r="B179" s="1709" t="s">
        <v>557</v>
      </c>
      <c r="C179" s="2136">
        <f>347148.6+14582.4</f>
        <v>361731</v>
      </c>
      <c r="D179" s="2136">
        <v>-76.7</v>
      </c>
      <c r="E179" s="2140">
        <v>-14879</v>
      </c>
      <c r="F179" s="2139">
        <f t="shared" si="30"/>
        <v>346775.3</v>
      </c>
      <c r="G179" s="2136">
        <f>-11316.8+190796.2</f>
        <v>179479.40000000002</v>
      </c>
      <c r="H179" s="2136">
        <v>-53.9</v>
      </c>
      <c r="I179" s="2137">
        <v>331495.7</v>
      </c>
      <c r="J179" s="2137">
        <f t="shared" si="31"/>
        <v>510921.2</v>
      </c>
      <c r="K179" s="2137">
        <f>1597.7+19564.5</f>
        <v>21162.2</v>
      </c>
      <c r="L179" s="2136">
        <v>1306.4000000000001</v>
      </c>
      <c r="M179" s="2136">
        <f t="shared" si="32"/>
        <v>22468.600000000002</v>
      </c>
      <c r="N179" s="2136">
        <f>4265.7+1125888.4</f>
        <v>1130154.0999999999</v>
      </c>
      <c r="O179" s="2137">
        <v>94451</v>
      </c>
      <c r="P179" s="2137">
        <f t="shared" si="33"/>
        <v>1224605.0999999999</v>
      </c>
      <c r="Q179" s="2137">
        <f t="shared" si="34"/>
        <v>1757994.9</v>
      </c>
      <c r="R179" s="2137">
        <v>-265316.3</v>
      </c>
      <c r="S179" s="2137">
        <f t="shared" si="35"/>
        <v>1492678.5999999999</v>
      </c>
      <c r="T179" s="2137">
        <f t="shared" si="36"/>
        <v>1839453.9</v>
      </c>
      <c r="U179" s="286"/>
      <c r="V179" s="761"/>
      <c r="W179" s="761"/>
      <c r="X179" s="761"/>
    </row>
    <row r="180" spans="1:24" s="153" customFormat="1" ht="10.5" customHeight="1" x14ac:dyDescent="0.2">
      <c r="A180" s="372" t="s">
        <v>1536</v>
      </c>
      <c r="B180" s="372" t="s">
        <v>549</v>
      </c>
      <c r="C180" s="2128">
        <f>346841.2+15356.7</f>
        <v>362197.9</v>
      </c>
      <c r="D180" s="2128">
        <v>-77.099999999999994</v>
      </c>
      <c r="E180" s="2138">
        <v>-14918.6</v>
      </c>
      <c r="F180" s="2138">
        <f t="shared" si="30"/>
        <v>347202.2</v>
      </c>
      <c r="G180" s="2128">
        <f>-9799.1+188683.3</f>
        <v>178884.19999999998</v>
      </c>
      <c r="H180" s="2128">
        <v>-303.7</v>
      </c>
      <c r="I180" s="531">
        <v>335387</v>
      </c>
      <c r="J180" s="531">
        <f t="shared" si="31"/>
        <v>513967.5</v>
      </c>
      <c r="K180" s="531">
        <f>1599.3+19457.4</f>
        <v>21056.7</v>
      </c>
      <c r="L180" s="2128">
        <v>1305.5</v>
      </c>
      <c r="M180" s="2128">
        <f t="shared" si="32"/>
        <v>22362.2</v>
      </c>
      <c r="N180" s="2128">
        <f>4268.2+1132931.1</f>
        <v>1137199.3</v>
      </c>
      <c r="O180" s="531">
        <v>94702.5</v>
      </c>
      <c r="P180" s="531">
        <f t="shared" si="33"/>
        <v>1231901.8</v>
      </c>
      <c r="Q180" s="531">
        <f t="shared" si="34"/>
        <v>1768231.5</v>
      </c>
      <c r="R180" s="531">
        <v>-269068.2</v>
      </c>
      <c r="S180" s="531">
        <f t="shared" si="35"/>
        <v>1499163.3</v>
      </c>
      <c r="T180" s="531">
        <f t="shared" si="36"/>
        <v>1846365.5</v>
      </c>
      <c r="U180" s="195"/>
      <c r="V180" s="761"/>
      <c r="W180" s="761"/>
      <c r="X180" s="761"/>
    </row>
    <row r="181" spans="1:24" s="153" customFormat="1" ht="10.5" customHeight="1" x14ac:dyDescent="0.2">
      <c r="A181" s="372" t="s">
        <v>1536</v>
      </c>
      <c r="B181" s="1709" t="s">
        <v>558</v>
      </c>
      <c r="C181" s="2136">
        <f>352524.2+17183</f>
        <v>369707.2</v>
      </c>
      <c r="D181" s="2136">
        <v>-64.099999999999994</v>
      </c>
      <c r="E181" s="2139">
        <v>-14921.1</v>
      </c>
      <c r="F181" s="2139">
        <f t="shared" si="30"/>
        <v>354722</v>
      </c>
      <c r="G181" s="2136">
        <f>-1952.8+189105.6</f>
        <v>187152.80000000002</v>
      </c>
      <c r="H181" s="2136">
        <v>-358.5</v>
      </c>
      <c r="I181" s="2137">
        <v>336913</v>
      </c>
      <c r="J181" s="2137">
        <f t="shared" si="31"/>
        <v>523707.30000000005</v>
      </c>
      <c r="K181" s="2137">
        <f>1600.9+18791.9</f>
        <v>20392.800000000003</v>
      </c>
      <c r="L181" s="2136">
        <v>1305.4000000000001</v>
      </c>
      <c r="M181" s="2136">
        <f t="shared" si="32"/>
        <v>21698.200000000004</v>
      </c>
      <c r="N181" s="2136">
        <f>4279+1136600</f>
        <v>1140879</v>
      </c>
      <c r="O181" s="2137">
        <v>94580.3</v>
      </c>
      <c r="P181" s="2137">
        <f t="shared" si="33"/>
        <v>1235459.3</v>
      </c>
      <c r="Q181" s="2137">
        <f t="shared" si="34"/>
        <v>1780864.8</v>
      </c>
      <c r="R181" s="2137">
        <v>-272847.8</v>
      </c>
      <c r="S181" s="2137">
        <f t="shared" si="35"/>
        <v>1508017</v>
      </c>
      <c r="T181" s="2137">
        <f t="shared" si="36"/>
        <v>1862739</v>
      </c>
      <c r="U181" s="286"/>
      <c r="V181" s="761"/>
      <c r="W181" s="761"/>
      <c r="X181" s="761"/>
    </row>
    <row r="182" spans="1:24" s="153" customFormat="1" ht="10.5" customHeight="1" x14ac:dyDescent="0.2">
      <c r="A182" s="372" t="s">
        <v>1536</v>
      </c>
      <c r="B182" s="372" t="s">
        <v>559</v>
      </c>
      <c r="C182" s="2128">
        <f>361530.9+16389.4</f>
        <v>377920.30000000005</v>
      </c>
      <c r="D182" s="2128">
        <v>-190.6</v>
      </c>
      <c r="E182" s="2138">
        <v>-14937.2</v>
      </c>
      <c r="F182" s="2138">
        <f t="shared" si="30"/>
        <v>362792.50000000006</v>
      </c>
      <c r="G182" s="2128">
        <f>-482.4+197929.6</f>
        <v>197447.2</v>
      </c>
      <c r="H182" s="2128">
        <v>-362.3</v>
      </c>
      <c r="I182" s="531">
        <v>339570.3</v>
      </c>
      <c r="J182" s="531">
        <f t="shared" si="31"/>
        <v>536655.19999999995</v>
      </c>
      <c r="K182" s="531">
        <f>1602.5+18822.15</f>
        <v>20424.650000000001</v>
      </c>
      <c r="L182" s="2128">
        <v>1305.4000000000001</v>
      </c>
      <c r="M182" s="2128">
        <f t="shared" si="32"/>
        <v>21730.050000000003</v>
      </c>
      <c r="N182" s="2128">
        <f>4269+1144212.7</f>
        <v>1148481.7</v>
      </c>
      <c r="O182" s="531">
        <v>94279.2</v>
      </c>
      <c r="P182" s="531">
        <f t="shared" si="33"/>
        <v>1242760.8999999999</v>
      </c>
      <c r="Q182" s="531">
        <f t="shared" si="34"/>
        <v>1801146.15</v>
      </c>
      <c r="R182" s="531">
        <v>-272339.59999999998</v>
      </c>
      <c r="S182" s="531">
        <f t="shared" si="35"/>
        <v>1528806.5499999998</v>
      </c>
      <c r="T182" s="531">
        <f t="shared" si="36"/>
        <v>1891599.0499999998</v>
      </c>
      <c r="U182" s="195"/>
      <c r="V182" s="761"/>
      <c r="W182" s="761"/>
      <c r="X182" s="761"/>
    </row>
    <row r="183" spans="1:24" s="153" customFormat="1" ht="10.5" customHeight="1" x14ac:dyDescent="0.2">
      <c r="A183" s="372" t="s">
        <v>1536</v>
      </c>
      <c r="B183" s="1709" t="s">
        <v>550</v>
      </c>
      <c r="C183" s="2136">
        <f>366917.3+15261.9</f>
        <v>382179.2</v>
      </c>
      <c r="D183" s="2136">
        <v>-191.5</v>
      </c>
      <c r="E183" s="2139">
        <v>-14841.5</v>
      </c>
      <c r="F183" s="2139">
        <f t="shared" si="30"/>
        <v>367146.2</v>
      </c>
      <c r="G183" s="2136">
        <f>17285.5+203712</f>
        <v>220997.5</v>
      </c>
      <c r="H183" s="2136">
        <v>-621.4</v>
      </c>
      <c r="I183" s="2137">
        <v>344143.9</v>
      </c>
      <c r="J183" s="2137">
        <f t="shared" si="31"/>
        <v>564520</v>
      </c>
      <c r="K183" s="2137">
        <f>1604.1+18062.5</f>
        <v>19666.599999999999</v>
      </c>
      <c r="L183" s="2136">
        <v>1305.4000000000001</v>
      </c>
      <c r="M183" s="2136">
        <f t="shared" si="32"/>
        <v>20972</v>
      </c>
      <c r="N183" s="2136">
        <f>4331.5+1160059</f>
        <v>1164390.5</v>
      </c>
      <c r="O183" s="2137">
        <v>94826.3</v>
      </c>
      <c r="P183" s="2137">
        <f t="shared" si="33"/>
        <v>1259216.8</v>
      </c>
      <c r="Q183" s="2137">
        <f t="shared" si="34"/>
        <v>1844708.8</v>
      </c>
      <c r="R183" s="2137">
        <v>-282809.7</v>
      </c>
      <c r="S183" s="2137">
        <f t="shared" si="35"/>
        <v>1561899.1</v>
      </c>
      <c r="T183" s="2141">
        <f t="shared" si="36"/>
        <v>1929045.3</v>
      </c>
      <c r="U183" s="332"/>
      <c r="V183" s="761"/>
      <c r="W183" s="761"/>
      <c r="X183" s="761"/>
    </row>
    <row r="184" spans="1:24" s="153" customFormat="1" ht="10.5" customHeight="1" x14ac:dyDescent="0.2">
      <c r="A184" s="372" t="s">
        <v>1817</v>
      </c>
      <c r="B184" s="372" t="s">
        <v>552</v>
      </c>
      <c r="C184" s="2128">
        <v>383848.60000000003</v>
      </c>
      <c r="D184" s="2128">
        <v>-179.1</v>
      </c>
      <c r="E184" s="2128">
        <v>-14804.8</v>
      </c>
      <c r="F184" s="2128">
        <v>368864.7</v>
      </c>
      <c r="G184" s="2128">
        <v>229119.19999999998</v>
      </c>
      <c r="H184" s="2128">
        <v>-561.70000000000005</v>
      </c>
      <c r="I184" s="2128">
        <v>346247.9</v>
      </c>
      <c r="J184" s="2128">
        <v>574805.4</v>
      </c>
      <c r="K184" s="2128">
        <v>19879.899999999998</v>
      </c>
      <c r="L184" s="2128">
        <v>1305.3</v>
      </c>
      <c r="M184" s="2128">
        <v>21185.199999999997</v>
      </c>
      <c r="N184" s="2128">
        <v>1163370.2</v>
      </c>
      <c r="O184" s="2128">
        <v>94498.7</v>
      </c>
      <c r="P184" s="2128">
        <v>1257868.8999999999</v>
      </c>
      <c r="Q184" s="2128">
        <v>1853859.5</v>
      </c>
      <c r="R184" s="2128">
        <v>-273726.7</v>
      </c>
      <c r="S184" s="2128">
        <v>1580132.8</v>
      </c>
      <c r="T184" s="2128">
        <v>1948997.5</v>
      </c>
      <c r="U184" s="761"/>
      <c r="V184" s="761"/>
      <c r="W184" s="761"/>
      <c r="X184" s="761"/>
    </row>
    <row r="185" spans="1:24" s="153" customFormat="1" ht="10.5" customHeight="1" x14ac:dyDescent="0.2">
      <c r="A185" s="372" t="s">
        <v>1817</v>
      </c>
      <c r="B185" s="1709" t="s">
        <v>553</v>
      </c>
      <c r="C185" s="2128">
        <v>387438.6</v>
      </c>
      <c r="D185" s="2128">
        <v>-180.6</v>
      </c>
      <c r="E185" s="2128">
        <v>-14772.9</v>
      </c>
      <c r="F185" s="2128">
        <v>372485.1</v>
      </c>
      <c r="G185" s="2128">
        <v>224481.9</v>
      </c>
      <c r="H185" s="2128">
        <v>-314</v>
      </c>
      <c r="I185" s="2128">
        <v>349876.5</v>
      </c>
      <c r="J185" s="2128">
        <v>574044.4</v>
      </c>
      <c r="K185" s="2128">
        <v>20265</v>
      </c>
      <c r="L185" s="2128">
        <v>1303</v>
      </c>
      <c r="M185" s="2128">
        <v>21568</v>
      </c>
      <c r="N185" s="2128">
        <v>1171230.2</v>
      </c>
      <c r="O185" s="2128">
        <v>94405</v>
      </c>
      <c r="P185" s="2128">
        <v>1265635.2</v>
      </c>
      <c r="Q185" s="2128">
        <v>1861247.6</v>
      </c>
      <c r="R185" s="2128">
        <v>-282261.8</v>
      </c>
      <c r="S185" s="2128">
        <v>1578985.8</v>
      </c>
      <c r="T185" s="2128">
        <v>1951470.9</v>
      </c>
      <c r="U185" s="761"/>
      <c r="V185" s="761"/>
      <c r="W185" s="761"/>
      <c r="X185" s="761"/>
    </row>
    <row r="186" spans="1:24" s="153" customFormat="1" ht="10.5" customHeight="1" x14ac:dyDescent="0.2">
      <c r="A186" s="372" t="s">
        <v>1817</v>
      </c>
      <c r="B186" s="372" t="s">
        <v>547</v>
      </c>
      <c r="C186" s="2128">
        <v>377588.89999999997</v>
      </c>
      <c r="D186" s="2128">
        <v>-225</v>
      </c>
      <c r="E186" s="2128">
        <v>-14667.6</v>
      </c>
      <c r="F186" s="2128">
        <v>362696.3</v>
      </c>
      <c r="G186" s="2128">
        <v>227518.69999999998</v>
      </c>
      <c r="H186" s="2128">
        <v>-390.3</v>
      </c>
      <c r="I186" s="2128">
        <v>352702.1</v>
      </c>
      <c r="J186" s="2128">
        <v>579830.5</v>
      </c>
      <c r="K186" s="2128">
        <v>21043</v>
      </c>
      <c r="L186" s="2128">
        <v>1306.2</v>
      </c>
      <c r="M186" s="2128">
        <v>22349.200000000001</v>
      </c>
      <c r="N186" s="2128">
        <v>1187022.8</v>
      </c>
      <c r="O186" s="2128">
        <v>94238.3</v>
      </c>
      <c r="P186" s="2128">
        <v>1281261.1000000001</v>
      </c>
      <c r="Q186" s="2128">
        <v>1883440.8</v>
      </c>
      <c r="R186" s="2128">
        <v>-285774.40000000002</v>
      </c>
      <c r="S186" s="2128">
        <v>1597666.4</v>
      </c>
      <c r="T186" s="2128">
        <v>1960362.7</v>
      </c>
      <c r="U186" s="761"/>
      <c r="V186" s="761"/>
      <c r="W186" s="761"/>
      <c r="X186" s="761"/>
    </row>
    <row r="187" spans="1:24" s="153" customFormat="1" ht="10.5" customHeight="1" x14ac:dyDescent="0.2">
      <c r="A187" s="372" t="s">
        <v>1817</v>
      </c>
      <c r="B187" s="1709" t="s">
        <v>554</v>
      </c>
      <c r="C187" s="2128">
        <v>376864.7</v>
      </c>
      <c r="D187" s="2128">
        <v>-212.8</v>
      </c>
      <c r="E187" s="2128">
        <v>-14559.4</v>
      </c>
      <c r="F187" s="2128">
        <v>362092.5</v>
      </c>
      <c r="G187" s="2128">
        <v>230967.1</v>
      </c>
      <c r="H187" s="2128">
        <v>-565.6</v>
      </c>
      <c r="I187" s="2128">
        <v>353468.5</v>
      </c>
      <c r="J187" s="2128">
        <v>583870</v>
      </c>
      <c r="K187" s="2128">
        <v>22189.4</v>
      </c>
      <c r="L187" s="2128">
        <v>1340.7</v>
      </c>
      <c r="M187" s="2128">
        <v>23530.100000000002</v>
      </c>
      <c r="N187" s="2128">
        <v>1196477.7999999998</v>
      </c>
      <c r="O187" s="2128">
        <v>93564.2</v>
      </c>
      <c r="P187" s="2128">
        <v>1290041.9999999998</v>
      </c>
      <c r="Q187" s="2128">
        <v>1897442.0999999996</v>
      </c>
      <c r="R187" s="2128">
        <v>-290265.59999999998</v>
      </c>
      <c r="S187" s="2128">
        <v>1607176.4999999995</v>
      </c>
      <c r="T187" s="2128">
        <v>1969268.9999999995</v>
      </c>
      <c r="U187" s="761"/>
      <c r="V187" s="761"/>
      <c r="W187" s="761"/>
      <c r="X187" s="761"/>
    </row>
    <row r="188" spans="1:24" s="153" customFormat="1" ht="10.5" customHeight="1" x14ac:dyDescent="0.2">
      <c r="A188" s="372" t="s">
        <v>1817</v>
      </c>
      <c r="B188" s="372" t="s">
        <v>555</v>
      </c>
      <c r="C188" s="2128">
        <v>365461.89999999997</v>
      </c>
      <c r="D188" s="2128">
        <v>-347.9</v>
      </c>
      <c r="E188" s="2128">
        <v>-14486.4</v>
      </c>
      <c r="F188" s="2128">
        <v>350627.6</v>
      </c>
      <c r="G188" s="2128">
        <v>240051.20000000001</v>
      </c>
      <c r="H188" s="2128">
        <v>-532</v>
      </c>
      <c r="I188" s="2128">
        <v>354169.7</v>
      </c>
      <c r="J188" s="2128">
        <v>593688.9</v>
      </c>
      <c r="K188" s="2128">
        <v>23730.7</v>
      </c>
      <c r="L188" s="2128">
        <v>1371.4</v>
      </c>
      <c r="M188" s="2128">
        <v>25102.100000000002</v>
      </c>
      <c r="N188" s="2128">
        <v>1211707.1000000001</v>
      </c>
      <c r="O188" s="2128">
        <v>93598.7</v>
      </c>
      <c r="P188" s="2128">
        <v>1305305.8</v>
      </c>
      <c r="Q188" s="2128">
        <v>1924096.8</v>
      </c>
      <c r="R188" s="2128">
        <v>-295849.5</v>
      </c>
      <c r="S188" s="2128">
        <v>1628247.3</v>
      </c>
      <c r="T188" s="2128">
        <v>1978874.9</v>
      </c>
      <c r="U188" s="761"/>
      <c r="V188" s="761"/>
      <c r="W188" s="761"/>
      <c r="X188" s="761"/>
    </row>
    <row r="189" spans="1:24" s="153" customFormat="1" ht="10.5" customHeight="1" x14ac:dyDescent="0.2">
      <c r="A189" s="372" t="s">
        <v>1817</v>
      </c>
      <c r="B189" s="1709" t="s">
        <v>548</v>
      </c>
      <c r="C189" s="2128">
        <v>369155.3</v>
      </c>
      <c r="D189" s="2128">
        <v>-348.7</v>
      </c>
      <c r="E189" s="2128">
        <v>-14374.6</v>
      </c>
      <c r="F189" s="2128">
        <v>354432</v>
      </c>
      <c r="G189" s="2128">
        <v>234516.2</v>
      </c>
      <c r="H189" s="2128">
        <v>-483.9</v>
      </c>
      <c r="I189" s="2128">
        <v>353733.7</v>
      </c>
      <c r="J189" s="2128">
        <v>587766</v>
      </c>
      <c r="K189" s="2128">
        <v>25145.4</v>
      </c>
      <c r="L189" s="2128">
        <v>1371</v>
      </c>
      <c r="M189" s="2128">
        <v>26516.400000000001</v>
      </c>
      <c r="N189" s="2128">
        <v>1239303.3999999999</v>
      </c>
      <c r="O189" s="2128">
        <v>94220</v>
      </c>
      <c r="P189" s="2128">
        <v>1333523.3999999999</v>
      </c>
      <c r="Q189" s="2128">
        <v>1947805.7999999998</v>
      </c>
      <c r="R189" s="2128">
        <v>-305188.09999999998</v>
      </c>
      <c r="S189" s="2128">
        <v>1642617.6999999997</v>
      </c>
      <c r="T189" s="2128">
        <v>1997049.6999999997</v>
      </c>
      <c r="U189" s="761"/>
      <c r="V189" s="761"/>
      <c r="W189" s="761"/>
      <c r="X189" s="761"/>
    </row>
    <row r="190" spans="1:24" s="153" customFormat="1" ht="10.5" customHeight="1" x14ac:dyDescent="0.2">
      <c r="A190" s="372" t="s">
        <v>1817</v>
      </c>
      <c r="B190" s="372" t="s">
        <v>556</v>
      </c>
      <c r="C190" s="2128">
        <v>365244</v>
      </c>
      <c r="D190" s="2128">
        <v>-337.6</v>
      </c>
      <c r="E190" s="2128">
        <v>-14250.7</v>
      </c>
      <c r="F190" s="2128">
        <v>350655.7</v>
      </c>
      <c r="G190" s="2128">
        <v>232061</v>
      </c>
      <c r="H190" s="2128">
        <v>-520.20000000000005</v>
      </c>
      <c r="I190" s="2128">
        <v>356310.4</v>
      </c>
      <c r="J190" s="2128">
        <v>587851.19999999995</v>
      </c>
      <c r="K190" s="2128">
        <v>26768.6</v>
      </c>
      <c r="L190" s="2128">
        <v>1252</v>
      </c>
      <c r="M190" s="2128">
        <v>28020.6</v>
      </c>
      <c r="N190" s="2128">
        <v>1242935.3</v>
      </c>
      <c r="O190" s="2128">
        <v>94783.6</v>
      </c>
      <c r="P190" s="2128">
        <v>1337718.9000000001</v>
      </c>
      <c r="Q190" s="2128">
        <v>1953590.7000000002</v>
      </c>
      <c r="R190" s="2128">
        <v>-311011.8</v>
      </c>
      <c r="S190" s="2128">
        <v>1642578.9000000001</v>
      </c>
      <c r="T190" s="2128">
        <v>1993234.6</v>
      </c>
      <c r="U190" s="761"/>
      <c r="V190" s="761"/>
      <c r="W190" s="761"/>
      <c r="X190" s="761"/>
    </row>
    <row r="191" spans="1:24" s="153" customFormat="1" ht="10.5" customHeight="1" x14ac:dyDescent="0.2">
      <c r="A191" s="372" t="s">
        <v>1817</v>
      </c>
      <c r="B191" s="1709" t="s">
        <v>557</v>
      </c>
      <c r="C191" s="2128">
        <v>362666.39999999997</v>
      </c>
      <c r="D191" s="2128">
        <v>-330.4</v>
      </c>
      <c r="E191" s="2128">
        <v>-14178.7</v>
      </c>
      <c r="F191" s="2128">
        <v>348157.3</v>
      </c>
      <c r="G191" s="2128">
        <v>231435.9</v>
      </c>
      <c r="H191" s="2128">
        <v>-591.5</v>
      </c>
      <c r="I191" s="2128">
        <v>358833.3</v>
      </c>
      <c r="J191" s="2128">
        <v>589677.69999999995</v>
      </c>
      <c r="K191" s="2128">
        <v>26342.600000000002</v>
      </c>
      <c r="L191" s="2128">
        <v>1251.7</v>
      </c>
      <c r="M191" s="2128">
        <v>27594.300000000003</v>
      </c>
      <c r="N191" s="2128">
        <v>1255980.8999999999</v>
      </c>
      <c r="O191" s="2128">
        <v>95425</v>
      </c>
      <c r="P191" s="2128">
        <v>1351405.9</v>
      </c>
      <c r="Q191" s="2128">
        <v>1968677.9</v>
      </c>
      <c r="R191" s="2128">
        <v>-312931.8</v>
      </c>
      <c r="S191" s="2128">
        <v>1655746.0999999999</v>
      </c>
      <c r="T191" s="2128">
        <v>2003903.4</v>
      </c>
      <c r="U191" s="761"/>
      <c r="V191" s="761"/>
      <c r="W191" s="761"/>
      <c r="X191" s="761"/>
    </row>
    <row r="192" spans="1:24" s="153" customFormat="1" ht="10.5" customHeight="1" x14ac:dyDescent="0.2">
      <c r="A192" s="372" t="s">
        <v>1817</v>
      </c>
      <c r="B192" s="372" t="s">
        <v>549</v>
      </c>
      <c r="C192" s="2128">
        <v>356401.3</v>
      </c>
      <c r="D192" s="2128">
        <v>-331.7</v>
      </c>
      <c r="E192" s="2128">
        <v>-14016.9</v>
      </c>
      <c r="F192" s="2128">
        <v>342052.7</v>
      </c>
      <c r="G192" s="2128">
        <v>235466.59999999998</v>
      </c>
      <c r="H192" s="2128">
        <v>-428.4</v>
      </c>
      <c r="I192" s="2128">
        <v>360648.1</v>
      </c>
      <c r="J192" s="2128">
        <v>595686.29999999993</v>
      </c>
      <c r="K192" s="2128">
        <v>26166.6</v>
      </c>
      <c r="L192" s="2128">
        <v>1249.7</v>
      </c>
      <c r="M192" s="2128">
        <v>27416.3</v>
      </c>
      <c r="N192" s="2128">
        <v>1268400.5</v>
      </c>
      <c r="O192" s="2128">
        <v>96191.3</v>
      </c>
      <c r="P192" s="2128">
        <v>1364591.8</v>
      </c>
      <c r="Q192" s="2128">
        <v>1987694.4</v>
      </c>
      <c r="R192" s="2128">
        <v>-314673.90000000002</v>
      </c>
      <c r="S192" s="2128">
        <v>1673020.5</v>
      </c>
      <c r="T192" s="2128">
        <v>2015073.2</v>
      </c>
      <c r="U192" s="761"/>
      <c r="V192" s="761"/>
      <c r="W192" s="761"/>
      <c r="X192" s="761"/>
    </row>
    <row r="193" spans="1:24" s="153" customFormat="1" ht="10.5" customHeight="1" x14ac:dyDescent="0.2">
      <c r="A193" s="372" t="s">
        <v>1817</v>
      </c>
      <c r="B193" s="1709" t="s">
        <v>558</v>
      </c>
      <c r="C193" s="2128">
        <v>350836.7</v>
      </c>
      <c r="D193" s="2128">
        <v>-320.7</v>
      </c>
      <c r="E193" s="2128">
        <v>-13877.9</v>
      </c>
      <c r="F193" s="2128">
        <v>336638.10000000003</v>
      </c>
      <c r="G193" s="2128">
        <v>254513.59999999998</v>
      </c>
      <c r="H193" s="2128">
        <v>-489.8</v>
      </c>
      <c r="I193" s="2128">
        <v>361662.7</v>
      </c>
      <c r="J193" s="2128">
        <v>615686.5</v>
      </c>
      <c r="K193" s="2128">
        <v>26356.400000000001</v>
      </c>
      <c r="L193" s="2128">
        <v>1266.5999999999999</v>
      </c>
      <c r="M193" s="2128">
        <v>27623</v>
      </c>
      <c r="N193" s="2128">
        <v>1287766.5</v>
      </c>
      <c r="O193" s="2128">
        <v>97230.2</v>
      </c>
      <c r="P193" s="2128">
        <v>1384996.7</v>
      </c>
      <c r="Q193" s="2128">
        <v>2028306.2</v>
      </c>
      <c r="R193" s="2128">
        <v>-313717.3</v>
      </c>
      <c r="S193" s="2128">
        <v>1714588.9</v>
      </c>
      <c r="T193" s="2128">
        <v>2051227</v>
      </c>
      <c r="U193" s="761"/>
      <c r="V193" s="761"/>
      <c r="W193" s="761"/>
      <c r="X193" s="761"/>
    </row>
    <row r="194" spans="1:24" s="153" customFormat="1" ht="10.5" customHeight="1" x14ac:dyDescent="0.2">
      <c r="A194" s="372" t="s">
        <v>1817</v>
      </c>
      <c r="B194" s="372" t="s">
        <v>559</v>
      </c>
      <c r="C194" s="2128">
        <v>354795.80000000005</v>
      </c>
      <c r="D194" s="2128">
        <v>-293.7</v>
      </c>
      <c r="E194" s="2128">
        <v>-13761.3</v>
      </c>
      <c r="F194" s="2128">
        <v>340740.80000000005</v>
      </c>
      <c r="G194" s="2128">
        <v>251155.7</v>
      </c>
      <c r="H194" s="2128">
        <v>-486.5</v>
      </c>
      <c r="I194" s="2128">
        <v>362301.4</v>
      </c>
      <c r="J194" s="2128">
        <v>612970.60000000009</v>
      </c>
      <c r="K194" s="2128">
        <v>27439.9</v>
      </c>
      <c r="L194" s="2128">
        <v>1266.9000000000001</v>
      </c>
      <c r="M194" s="2128">
        <v>28706.800000000003</v>
      </c>
      <c r="N194" s="2128">
        <v>1301879.5999999999</v>
      </c>
      <c r="O194" s="2128">
        <v>97067.7</v>
      </c>
      <c r="P194" s="2128">
        <v>1398947.2999999998</v>
      </c>
      <c r="Q194" s="2128">
        <v>2040624.7</v>
      </c>
      <c r="R194" s="2128">
        <v>-329392.2</v>
      </c>
      <c r="S194" s="2128">
        <v>1711232.5</v>
      </c>
      <c r="T194" s="2128">
        <v>2051973.3</v>
      </c>
      <c r="U194" s="761"/>
      <c r="V194" s="761"/>
      <c r="W194" s="761"/>
      <c r="X194" s="761"/>
    </row>
    <row r="195" spans="1:24" s="153" customFormat="1" ht="10.5" customHeight="1" x14ac:dyDescent="0.2">
      <c r="A195" s="372" t="s">
        <v>1817</v>
      </c>
      <c r="B195" s="1709" t="s">
        <v>550</v>
      </c>
      <c r="C195" s="2128">
        <v>364298.8</v>
      </c>
      <c r="D195" s="2128">
        <v>-309.5</v>
      </c>
      <c r="E195" s="2128">
        <v>-13446.1</v>
      </c>
      <c r="F195" s="2128">
        <v>350543.2</v>
      </c>
      <c r="G195" s="2128">
        <v>283289.09999999998</v>
      </c>
      <c r="H195" s="2128">
        <v>-328</v>
      </c>
      <c r="I195" s="2128">
        <v>364051</v>
      </c>
      <c r="J195" s="2128">
        <v>647012.1</v>
      </c>
      <c r="K195" s="2128">
        <v>27775.1</v>
      </c>
      <c r="L195" s="2128">
        <v>1284.8</v>
      </c>
      <c r="M195" s="2128">
        <v>29059.899999999998</v>
      </c>
      <c r="N195" s="2128">
        <v>1328344.5999999999</v>
      </c>
      <c r="O195" s="2128">
        <v>97727.3</v>
      </c>
      <c r="P195" s="2128">
        <v>1426071.9</v>
      </c>
      <c r="Q195" s="2128">
        <v>2102143.9</v>
      </c>
      <c r="R195" s="2128">
        <v>-354713.8</v>
      </c>
      <c r="S195" s="2128">
        <v>1747430.0999999999</v>
      </c>
      <c r="T195" s="2128">
        <v>2097973.2999999998</v>
      </c>
      <c r="U195" s="761"/>
      <c r="V195" s="761"/>
      <c r="W195" s="761"/>
      <c r="X195" s="761"/>
    </row>
    <row r="196" spans="1:24" s="153" customFormat="1" ht="10.5" customHeight="1" x14ac:dyDescent="0.2">
      <c r="A196" s="372" t="s">
        <v>2066</v>
      </c>
      <c r="B196" s="372" t="s">
        <v>552</v>
      </c>
      <c r="C196" s="2128">
        <v>357566.8</v>
      </c>
      <c r="D196" s="2128">
        <v>-314.8</v>
      </c>
      <c r="E196" s="2128">
        <v>-13404.7</v>
      </c>
      <c r="F196" s="2128">
        <v>343847.3</v>
      </c>
      <c r="G196" s="2128">
        <v>281747.90000000002</v>
      </c>
      <c r="H196" s="2128">
        <v>-132.6</v>
      </c>
      <c r="I196" s="2128">
        <v>364444.1</v>
      </c>
      <c r="J196" s="2128">
        <v>646059.4</v>
      </c>
      <c r="K196" s="2128">
        <v>28769.899999999998</v>
      </c>
      <c r="L196" s="2128">
        <v>1285.5</v>
      </c>
      <c r="M196" s="2128">
        <v>30055.399999999998</v>
      </c>
      <c r="N196" s="2128">
        <v>1330871.3999999999</v>
      </c>
      <c r="O196" s="2128">
        <v>97774.6</v>
      </c>
      <c r="P196" s="2128">
        <v>1428646</v>
      </c>
      <c r="Q196" s="2128">
        <v>2104760.7999999998</v>
      </c>
      <c r="R196" s="2128">
        <v>-349624.5</v>
      </c>
      <c r="S196" s="2128">
        <v>1755136.2999999998</v>
      </c>
      <c r="T196" s="2128">
        <v>2098983.5999999996</v>
      </c>
      <c r="U196" s="761"/>
      <c r="V196" s="761"/>
      <c r="W196" s="761"/>
      <c r="X196" s="761"/>
    </row>
    <row r="197" spans="1:24" s="153" customFormat="1" ht="10.5" customHeight="1" x14ac:dyDescent="0.2">
      <c r="A197" s="372" t="s">
        <v>2066</v>
      </c>
      <c r="B197" s="1709" t="s">
        <v>553</v>
      </c>
      <c r="C197" s="2128">
        <v>340412.10000000003</v>
      </c>
      <c r="D197" s="2128">
        <v>-307.7</v>
      </c>
      <c r="E197" s="2128">
        <v>-13232.5</v>
      </c>
      <c r="F197" s="2128">
        <v>326871.90000000002</v>
      </c>
      <c r="G197" s="2128">
        <v>288401</v>
      </c>
      <c r="H197" s="2128">
        <v>66.900000000000006</v>
      </c>
      <c r="I197" s="2128">
        <v>364452.2</v>
      </c>
      <c r="J197" s="2128">
        <v>652920.10000000009</v>
      </c>
      <c r="K197" s="2128">
        <v>29307</v>
      </c>
      <c r="L197" s="2128">
        <v>1282.9000000000001</v>
      </c>
      <c r="M197" s="2128">
        <v>30589.9</v>
      </c>
      <c r="N197" s="2128">
        <v>1341316.9000000001</v>
      </c>
      <c r="O197" s="2128">
        <v>98060.800000000003</v>
      </c>
      <c r="P197" s="2128">
        <v>1439377.7000000002</v>
      </c>
      <c r="Q197" s="2128">
        <v>2122887.7000000002</v>
      </c>
      <c r="R197" s="2128">
        <v>-346986.6</v>
      </c>
      <c r="S197" s="2128">
        <v>1775901.1</v>
      </c>
      <c r="T197" s="2128">
        <v>2102773</v>
      </c>
      <c r="U197" s="761"/>
      <c r="V197" s="761"/>
      <c r="W197" s="761"/>
      <c r="X197" s="761"/>
    </row>
    <row r="198" spans="1:24" s="153" customFormat="1" ht="10.5" customHeight="1" x14ac:dyDescent="0.2">
      <c r="A198" s="372" t="s">
        <v>2066</v>
      </c>
      <c r="B198" s="372" t="s">
        <v>547</v>
      </c>
      <c r="C198" s="2128">
        <v>335440.8</v>
      </c>
      <c r="D198" s="2128">
        <v>-323.89999999999998</v>
      </c>
      <c r="E198" s="2128">
        <v>-13061.2</v>
      </c>
      <c r="F198" s="2128">
        <v>322055.7</v>
      </c>
      <c r="G198" s="2128">
        <v>292468.69999999995</v>
      </c>
      <c r="H198" s="2128">
        <v>-97.3</v>
      </c>
      <c r="I198" s="2128">
        <v>364381.5</v>
      </c>
      <c r="J198" s="2128">
        <v>656752.89999999991</v>
      </c>
      <c r="K198" s="2128">
        <v>28734.899999999998</v>
      </c>
      <c r="L198" s="2128">
        <v>1285</v>
      </c>
      <c r="M198" s="2128">
        <v>30019.899999999998</v>
      </c>
      <c r="N198" s="2128">
        <v>1358152.1</v>
      </c>
      <c r="O198" s="2128">
        <v>98350.1</v>
      </c>
      <c r="P198" s="2128">
        <v>1456502.2000000002</v>
      </c>
      <c r="Q198" s="2128">
        <v>2143275</v>
      </c>
      <c r="R198" s="2128">
        <v>-350497.5</v>
      </c>
      <c r="S198" s="2128">
        <v>1792777.5</v>
      </c>
      <c r="T198" s="2128">
        <v>2114833.2000000002</v>
      </c>
      <c r="U198" s="761"/>
      <c r="V198" s="761"/>
      <c r="W198" s="761"/>
      <c r="X198" s="761"/>
    </row>
    <row r="199" spans="1:24" s="153" customFormat="1" ht="10.5" customHeight="1" x14ac:dyDescent="0.2">
      <c r="A199" s="372" t="s">
        <v>2066</v>
      </c>
      <c r="B199" s="1709" t="s">
        <v>554</v>
      </c>
      <c r="C199" s="2128">
        <v>326476.40000000002</v>
      </c>
      <c r="D199" s="2128">
        <v>-280.2</v>
      </c>
      <c r="E199" s="2128">
        <v>-12962.1</v>
      </c>
      <c r="F199" s="2128">
        <v>313234.10000000003</v>
      </c>
      <c r="G199" s="2128">
        <v>305132.3</v>
      </c>
      <c r="H199" s="2128">
        <v>142.1</v>
      </c>
      <c r="I199" s="2128">
        <v>363418.4</v>
      </c>
      <c r="J199" s="2128">
        <v>668692.80000000005</v>
      </c>
      <c r="K199" s="2128">
        <v>29382.300000000003</v>
      </c>
      <c r="L199" s="2128">
        <v>1283</v>
      </c>
      <c r="M199" s="2128">
        <v>30665.300000000003</v>
      </c>
      <c r="N199" s="2128">
        <v>1368456.5</v>
      </c>
      <c r="O199" s="2128">
        <v>99662.6</v>
      </c>
      <c r="P199" s="2128">
        <v>1468119.1</v>
      </c>
      <c r="Q199" s="2128">
        <v>2167477.2000000002</v>
      </c>
      <c r="R199" s="2128">
        <v>-365896.6</v>
      </c>
      <c r="S199" s="2128">
        <v>1801580.6</v>
      </c>
      <c r="T199" s="2128">
        <v>2114814.7000000002</v>
      </c>
      <c r="U199" s="761"/>
      <c r="V199" s="761"/>
      <c r="W199" s="761"/>
      <c r="X199" s="761"/>
    </row>
    <row r="200" spans="1:24" s="153" customFormat="1" ht="10.5" customHeight="1" x14ac:dyDescent="0.2">
      <c r="A200" s="372" t="s">
        <v>2066</v>
      </c>
      <c r="B200" s="372" t="s">
        <v>555</v>
      </c>
      <c r="C200" s="2128">
        <v>319060.90000000002</v>
      </c>
      <c r="D200" s="2128">
        <v>-254.1</v>
      </c>
      <c r="E200" s="2128">
        <v>-12793.4</v>
      </c>
      <c r="F200" s="2128">
        <v>306013.40000000002</v>
      </c>
      <c r="G200" s="2128">
        <v>299206.8</v>
      </c>
      <c r="H200" s="2128">
        <v>-63.8</v>
      </c>
      <c r="I200" s="2128">
        <v>362435.1</v>
      </c>
      <c r="J200" s="2128">
        <v>661578.1</v>
      </c>
      <c r="K200" s="2128">
        <v>30067.4</v>
      </c>
      <c r="L200" s="2128">
        <v>1250.5</v>
      </c>
      <c r="M200" s="2128">
        <v>31317.9</v>
      </c>
      <c r="N200" s="2128">
        <v>1384929.7</v>
      </c>
      <c r="O200" s="2128">
        <v>98293.3</v>
      </c>
      <c r="P200" s="2128">
        <v>1483223</v>
      </c>
      <c r="Q200" s="2128">
        <v>2176119</v>
      </c>
      <c r="R200" s="2128">
        <v>-354216.3</v>
      </c>
      <c r="S200" s="2128">
        <v>1821902.7</v>
      </c>
      <c r="T200" s="2128">
        <v>2127916.1</v>
      </c>
      <c r="U200" s="761"/>
      <c r="V200" s="761"/>
      <c r="W200" s="761"/>
      <c r="X200" s="761"/>
    </row>
    <row r="201" spans="1:24" s="153" customFormat="1" ht="10.5" customHeight="1" x14ac:dyDescent="0.2">
      <c r="A201" s="372" t="s">
        <v>2066</v>
      </c>
      <c r="B201" s="1709" t="s">
        <v>548</v>
      </c>
      <c r="C201" s="2128">
        <v>319397.09999999998</v>
      </c>
      <c r="D201" s="2128">
        <v>-255.4</v>
      </c>
      <c r="E201" s="2128">
        <v>-12536.6</v>
      </c>
      <c r="F201" s="2128">
        <v>306605.09999999998</v>
      </c>
      <c r="G201" s="2128">
        <v>293597.40000000002</v>
      </c>
      <c r="H201" s="2128">
        <v>-10</v>
      </c>
      <c r="I201" s="2128">
        <v>360944.2</v>
      </c>
      <c r="J201" s="2128">
        <v>654531.60000000009</v>
      </c>
      <c r="K201" s="2128">
        <v>32609.8</v>
      </c>
      <c r="L201" s="2128">
        <v>1250.5</v>
      </c>
      <c r="M201" s="2128">
        <v>33860.300000000003</v>
      </c>
      <c r="N201" s="2128">
        <v>1403295.3</v>
      </c>
      <c r="O201" s="2128">
        <v>98973</v>
      </c>
      <c r="P201" s="2128">
        <v>1502268.3</v>
      </c>
      <c r="Q201" s="2128">
        <v>2190660.2000000002</v>
      </c>
      <c r="R201" s="2128">
        <v>-353090.2</v>
      </c>
      <c r="S201" s="2128">
        <v>1837570.0000000002</v>
      </c>
      <c r="T201" s="2128">
        <v>2144175.1</v>
      </c>
      <c r="U201" s="761"/>
      <c r="V201" s="761"/>
      <c r="W201" s="761"/>
      <c r="X201" s="761"/>
    </row>
    <row r="202" spans="1:24" s="153" customFormat="1" ht="10.5" customHeight="1" x14ac:dyDescent="0.2">
      <c r="A202" s="372" t="s">
        <v>2066</v>
      </c>
      <c r="B202" s="372" t="s">
        <v>556</v>
      </c>
      <c r="C202" s="2128">
        <v>314305.10000000003</v>
      </c>
      <c r="D202" s="2128">
        <v>-256.3</v>
      </c>
      <c r="E202" s="2128">
        <v>-12448</v>
      </c>
      <c r="F202" s="2128">
        <v>301600.80000000005</v>
      </c>
      <c r="G202" s="2128">
        <v>303575.80000000005</v>
      </c>
      <c r="H202" s="2128">
        <v>-242.6</v>
      </c>
      <c r="I202" s="2128">
        <v>360981.5</v>
      </c>
      <c r="J202" s="2128">
        <v>664314.70000000007</v>
      </c>
      <c r="K202" s="2128">
        <v>34182</v>
      </c>
      <c r="L202" s="2128">
        <v>1263.3</v>
      </c>
      <c r="M202" s="2128">
        <v>35445.300000000003</v>
      </c>
      <c r="N202" s="2128">
        <v>1403676</v>
      </c>
      <c r="O202" s="2128">
        <v>98611.3</v>
      </c>
      <c r="P202" s="2128">
        <v>1502287.3</v>
      </c>
      <c r="Q202" s="2128">
        <v>2202047.3000000003</v>
      </c>
      <c r="R202" s="2128">
        <v>-364612.5</v>
      </c>
      <c r="S202" s="2128">
        <v>1837434.8000000003</v>
      </c>
      <c r="T202" s="2128">
        <v>2139035.6000000006</v>
      </c>
      <c r="U202" s="761"/>
      <c r="V202" s="761"/>
      <c r="W202" s="761"/>
      <c r="X202" s="761"/>
    </row>
    <row r="203" spans="1:24" s="153" customFormat="1" ht="10.5" customHeight="1" x14ac:dyDescent="0.2">
      <c r="A203" s="372" t="s">
        <v>2066</v>
      </c>
      <c r="B203" s="1709" t="s">
        <v>557</v>
      </c>
      <c r="C203" s="2128">
        <v>314276</v>
      </c>
      <c r="D203" s="2128">
        <v>-248.9</v>
      </c>
      <c r="E203" s="2128">
        <v>-12265.8</v>
      </c>
      <c r="F203" s="2128">
        <v>301761.3</v>
      </c>
      <c r="G203" s="2128">
        <v>309838.40000000002</v>
      </c>
      <c r="H203" s="2128">
        <v>-202.8</v>
      </c>
      <c r="I203" s="2128">
        <v>360541.5</v>
      </c>
      <c r="J203" s="2128">
        <v>670177.10000000009</v>
      </c>
      <c r="K203" s="2128">
        <v>33864.340000000004</v>
      </c>
      <c r="L203" s="2128">
        <v>1263.46</v>
      </c>
      <c r="M203" s="2128">
        <v>35127.800000000003</v>
      </c>
      <c r="N203" s="2128">
        <v>1411641.5999999999</v>
      </c>
      <c r="O203" s="2128">
        <v>98981.7</v>
      </c>
      <c r="P203" s="2128">
        <v>1510623.2999999998</v>
      </c>
      <c r="Q203" s="2128">
        <v>2215928.2000000002</v>
      </c>
      <c r="R203" s="2128">
        <v>-368411.4</v>
      </c>
      <c r="S203" s="2128">
        <v>1847516.8000000003</v>
      </c>
      <c r="T203" s="2128">
        <v>2149278.1</v>
      </c>
      <c r="U203" s="761"/>
      <c r="V203" s="761"/>
      <c r="W203" s="761"/>
      <c r="X203" s="761"/>
    </row>
    <row r="204" spans="1:24" s="153" customFormat="1" ht="10.5" customHeight="1" x14ac:dyDescent="0.2">
      <c r="A204" s="372" t="s">
        <v>2066</v>
      </c>
      <c r="B204" s="372" t="s">
        <v>549</v>
      </c>
      <c r="C204" s="2128">
        <v>309082.5</v>
      </c>
      <c r="D204" s="2128">
        <v>-248.99007990000001</v>
      </c>
      <c r="E204" s="2128">
        <v>-12046.4</v>
      </c>
      <c r="F204" s="2128">
        <v>296787.10992010002</v>
      </c>
      <c r="G204" s="2128">
        <v>324536.40000000002</v>
      </c>
      <c r="H204" s="2128">
        <v>-200.93270095899999</v>
      </c>
      <c r="I204" s="2128">
        <v>359889.4</v>
      </c>
      <c r="J204" s="2128">
        <v>684224.86729904101</v>
      </c>
      <c r="K204" s="2128">
        <v>35289.11</v>
      </c>
      <c r="L204" s="2128">
        <v>1263.5999999999999</v>
      </c>
      <c r="M204" s="2128">
        <v>36552.71</v>
      </c>
      <c r="N204" s="2128">
        <v>1423710.4</v>
      </c>
      <c r="O204" s="2128">
        <v>99691.1</v>
      </c>
      <c r="P204" s="2128">
        <v>1523401.5</v>
      </c>
      <c r="Q204" s="2128">
        <v>2244179.0772990407</v>
      </c>
      <c r="R204" s="2128">
        <v>-377442.02</v>
      </c>
      <c r="S204" s="2128">
        <v>1866737.0572990407</v>
      </c>
      <c r="T204" s="2128">
        <v>2163524.1672191406</v>
      </c>
      <c r="U204" s="761"/>
      <c r="V204" s="761"/>
      <c r="W204" s="761"/>
      <c r="X204" s="761"/>
    </row>
    <row r="205" spans="1:24" s="153" customFormat="1" ht="10.5" customHeight="1" x14ac:dyDescent="0.2">
      <c r="A205" s="372" t="s">
        <v>2066</v>
      </c>
      <c r="B205" s="1709" t="s">
        <v>558</v>
      </c>
      <c r="C205" s="2128">
        <v>304210.59999999998</v>
      </c>
      <c r="D205" s="2128">
        <v>-249.78133469999997</v>
      </c>
      <c r="E205" s="2128">
        <v>-11880.7</v>
      </c>
      <c r="F205" s="2128">
        <v>292080.11866529996</v>
      </c>
      <c r="G205" s="2128">
        <v>355143</v>
      </c>
      <c r="H205" s="2128">
        <v>-236.88397352800007</v>
      </c>
      <c r="I205" s="2128">
        <v>360471.2</v>
      </c>
      <c r="J205" s="2128">
        <v>715377.31602647202</v>
      </c>
      <c r="K205" s="2128">
        <v>34730</v>
      </c>
      <c r="L205" s="2128">
        <v>1265.026888483</v>
      </c>
      <c r="M205" s="2128">
        <v>35995.026888483</v>
      </c>
      <c r="N205" s="2128">
        <v>1433972.0999999999</v>
      </c>
      <c r="O205" s="2128">
        <v>99729.1</v>
      </c>
      <c r="P205" s="2128">
        <v>1533701.2</v>
      </c>
      <c r="Q205" s="2128">
        <v>2285073.5429149549</v>
      </c>
      <c r="R205" s="2128">
        <v>-380695.12</v>
      </c>
      <c r="S205" s="2128">
        <v>1904378.4229149548</v>
      </c>
      <c r="T205" s="2128">
        <v>2196458.5415802547</v>
      </c>
      <c r="U205" s="761"/>
      <c r="V205" s="761"/>
      <c r="W205" s="761"/>
      <c r="X205" s="761"/>
    </row>
    <row r="206" spans="1:24" s="153" customFormat="1" ht="10.5" customHeight="1" x14ac:dyDescent="0.2">
      <c r="A206" s="372" t="s">
        <v>2066</v>
      </c>
      <c r="B206" s="372" t="s">
        <v>559</v>
      </c>
      <c r="C206" s="2128">
        <v>300597</v>
      </c>
      <c r="D206" s="2128">
        <v>-225.75629029999999</v>
      </c>
      <c r="E206" s="2128">
        <v>-11721.2</v>
      </c>
      <c r="F206" s="2128">
        <v>288650.0437097</v>
      </c>
      <c r="G206" s="2128">
        <v>361156.4</v>
      </c>
      <c r="H206" s="2128">
        <v>-253.79261237199998</v>
      </c>
      <c r="I206" s="2128">
        <v>361022.3</v>
      </c>
      <c r="J206" s="2128">
        <v>721924.90738762799</v>
      </c>
      <c r="K206" s="2128">
        <v>35294.92</v>
      </c>
      <c r="L206" s="2128">
        <v>1267.0999999999999</v>
      </c>
      <c r="M206" s="2128">
        <v>36562.019999999997</v>
      </c>
      <c r="N206" s="2128">
        <v>1445221.6569999999</v>
      </c>
      <c r="O206" s="2128">
        <v>100021.1</v>
      </c>
      <c r="P206" s="2128">
        <v>1545242.757</v>
      </c>
      <c r="Q206" s="2128">
        <v>2303729.684387628</v>
      </c>
      <c r="R206" s="2128">
        <v>-388457.95</v>
      </c>
      <c r="S206" s="2128">
        <v>1915271.734387628</v>
      </c>
      <c r="T206" s="2128">
        <v>2203921.7780973278</v>
      </c>
      <c r="U206" s="761"/>
      <c r="V206" s="761"/>
      <c r="W206" s="761"/>
      <c r="X206" s="761"/>
    </row>
    <row r="207" spans="1:24" s="153" customFormat="1" ht="10.5" customHeight="1" x14ac:dyDescent="0.2">
      <c r="A207" s="372" t="s">
        <v>2066</v>
      </c>
      <c r="B207" s="1709" t="s">
        <v>550</v>
      </c>
      <c r="C207" s="2128">
        <v>316728.3</v>
      </c>
      <c r="D207" s="2128">
        <v>-226.8575237</v>
      </c>
      <c r="E207" s="2128">
        <v>-11439.6</v>
      </c>
      <c r="F207" s="2128">
        <v>305061.84247629996</v>
      </c>
      <c r="G207" s="2128">
        <v>387321.3</v>
      </c>
      <c r="H207" s="2128">
        <v>-229.44749623799999</v>
      </c>
      <c r="I207" s="2128">
        <v>360755</v>
      </c>
      <c r="J207" s="2128">
        <v>747846.852503762</v>
      </c>
      <c r="K207" s="2128">
        <v>35683.699999999997</v>
      </c>
      <c r="L207" s="2128">
        <v>1266.768873904</v>
      </c>
      <c r="M207" s="2128">
        <v>36950.468873903999</v>
      </c>
      <c r="N207" s="2128">
        <v>1469220.3</v>
      </c>
      <c r="O207" s="2128">
        <v>100646.8</v>
      </c>
      <c r="P207" s="2128">
        <v>1569867.1</v>
      </c>
      <c r="Q207" s="2128">
        <v>2354664.4213776663</v>
      </c>
      <c r="R207" s="2128">
        <v>-385833.7</v>
      </c>
      <c r="S207" s="2128">
        <v>1968830.7213776663</v>
      </c>
      <c r="T207" s="2128">
        <v>2273892.5638539661</v>
      </c>
      <c r="U207" s="761"/>
      <c r="V207" s="761"/>
      <c r="W207" s="761"/>
      <c r="X207" s="761"/>
    </row>
    <row r="208" spans="1:24" s="153" customFormat="1" ht="10.5" customHeight="1" x14ac:dyDescent="0.2">
      <c r="A208" s="1676" t="s">
        <v>2206</v>
      </c>
      <c r="B208" s="372" t="s">
        <v>552</v>
      </c>
      <c r="C208" s="2134">
        <f>284091+35034.6</f>
        <v>319125.59999999998</v>
      </c>
      <c r="D208" s="2134">
        <v>-227.6</v>
      </c>
      <c r="E208" s="2143">
        <v>-11278.3</v>
      </c>
      <c r="F208" s="2143">
        <f t="shared" ref="F208:F219" si="37">E208+D208+C208</f>
        <v>307619.69999999995</v>
      </c>
      <c r="G208" s="2143">
        <f>147689+241984.8</f>
        <v>389673.8</v>
      </c>
      <c r="H208" s="2143">
        <v>-163.98</v>
      </c>
      <c r="I208" s="2143">
        <v>360407.5</v>
      </c>
      <c r="J208" s="2143">
        <f t="shared" ref="J208:J219" si="38">I208+H208+G208</f>
        <v>749917.32000000007</v>
      </c>
      <c r="K208" s="2143">
        <f>1596.1+34140.75</f>
        <v>35736.85</v>
      </c>
      <c r="L208" s="2143">
        <v>1266.8</v>
      </c>
      <c r="M208" s="2143">
        <f t="shared" ref="M208:M219" si="39">K208+L208</f>
        <v>37003.65</v>
      </c>
      <c r="N208" s="2143">
        <f>4775.6+1456170.2</f>
        <v>1460945.8</v>
      </c>
      <c r="O208" s="2143">
        <v>100074.9</v>
      </c>
      <c r="P208" s="2143">
        <f t="shared" ref="P208:P219" si="40">N208+O208</f>
        <v>1561020.7</v>
      </c>
      <c r="Q208" s="2143">
        <f t="shared" ref="Q208:Q219" si="41">J208+M208+P208</f>
        <v>2347941.67</v>
      </c>
      <c r="R208" s="2143">
        <v>-394097.4</v>
      </c>
      <c r="S208" s="2143">
        <f t="shared" ref="S208:S219" si="42">Q208+R208</f>
        <v>1953844.27</v>
      </c>
      <c r="T208" s="2143">
        <f t="shared" ref="T208:T219" si="43">F208+S208</f>
        <v>2261463.9699999997</v>
      </c>
      <c r="U208" s="863"/>
      <c r="V208" s="667"/>
      <c r="W208" s="667"/>
      <c r="X208" s="761"/>
    </row>
    <row r="209" spans="1:24" s="153" customFormat="1" ht="10.5" customHeight="1" x14ac:dyDescent="0.2">
      <c r="A209" s="1676" t="s">
        <v>2206</v>
      </c>
      <c r="B209" s="1676" t="s">
        <v>553</v>
      </c>
      <c r="C209" s="2133">
        <f>272944.3+33275.2</f>
        <v>306219.5</v>
      </c>
      <c r="D209" s="2133">
        <v>-220.31941029999999</v>
      </c>
      <c r="E209" s="2144">
        <v>-11189.1</v>
      </c>
      <c r="F209" s="2144">
        <f t="shared" si="37"/>
        <v>294810.08058970002</v>
      </c>
      <c r="G209" s="2144">
        <f>135934.2+245916.6</f>
        <v>381850.80000000005</v>
      </c>
      <c r="H209" s="2144">
        <v>-184.07404976500004</v>
      </c>
      <c r="I209" s="2144">
        <v>359637.9</v>
      </c>
      <c r="J209" s="2144">
        <f t="shared" si="38"/>
        <v>741304.62595023506</v>
      </c>
      <c r="K209" s="2144">
        <f>1597.7+34525.4</f>
        <v>36123.1</v>
      </c>
      <c r="L209" s="2144">
        <v>1201.1955113040001</v>
      </c>
      <c r="M209" s="2144">
        <f t="shared" si="39"/>
        <v>37324.295511304001</v>
      </c>
      <c r="N209" s="2144">
        <f>4773.9+1466107.5</f>
        <v>1470881.4</v>
      </c>
      <c r="O209" s="2144">
        <v>100282.02499999999</v>
      </c>
      <c r="P209" s="2144">
        <f t="shared" si="40"/>
        <v>1571163.4249999998</v>
      </c>
      <c r="Q209" s="2144">
        <f t="shared" si="41"/>
        <v>2349792.3464615392</v>
      </c>
      <c r="R209" s="2144">
        <v>-380193.68900000001</v>
      </c>
      <c r="S209" s="2144">
        <f t="shared" si="42"/>
        <v>1969598.6574615391</v>
      </c>
      <c r="T209" s="2144">
        <f t="shared" si="43"/>
        <v>2264408.7380512394</v>
      </c>
      <c r="U209" s="863"/>
      <c r="V209" s="667"/>
      <c r="W209" s="667"/>
      <c r="X209" s="761"/>
    </row>
    <row r="210" spans="1:24" s="153" customFormat="1" ht="10.5" customHeight="1" x14ac:dyDescent="0.2">
      <c r="A210" s="1676" t="s">
        <v>2206</v>
      </c>
      <c r="B210" s="372" t="s">
        <v>547</v>
      </c>
      <c r="C210" s="2134">
        <f>258978.5+34340.5</f>
        <v>293319</v>
      </c>
      <c r="D210" s="2134">
        <v>-203.0471393</v>
      </c>
      <c r="E210" s="2143">
        <v>-11121.1</v>
      </c>
      <c r="F210" s="2143">
        <f t="shared" si="37"/>
        <v>281994.85286069999</v>
      </c>
      <c r="G210" s="2143">
        <f>129039.7+241855.5</f>
        <v>370895.2</v>
      </c>
      <c r="H210" s="2143">
        <v>-156.70200486300007</v>
      </c>
      <c r="I210" s="2143">
        <v>359490.1</v>
      </c>
      <c r="J210" s="2143">
        <f t="shared" si="38"/>
        <v>730228.59799513698</v>
      </c>
      <c r="K210" s="2143">
        <f>1599.3+35456.57</f>
        <v>37055.870000000003</v>
      </c>
      <c r="L210" s="2143">
        <v>1201.19</v>
      </c>
      <c r="M210" s="2143">
        <f t="shared" si="39"/>
        <v>38257.060000000005</v>
      </c>
      <c r="N210" s="2143">
        <f>4771.3+1484269.14</f>
        <v>1489040.44</v>
      </c>
      <c r="O210" s="2143">
        <v>100486.64</v>
      </c>
      <c r="P210" s="2143">
        <f t="shared" si="40"/>
        <v>1589527.0799999998</v>
      </c>
      <c r="Q210" s="2143">
        <f t="shared" si="41"/>
        <v>2358012.737995137</v>
      </c>
      <c r="R210" s="2143">
        <v>-375674.83</v>
      </c>
      <c r="S210" s="2143">
        <f t="shared" si="42"/>
        <v>1982337.9079951369</v>
      </c>
      <c r="T210" s="2143">
        <f t="shared" si="43"/>
        <v>2264332.7608558368</v>
      </c>
      <c r="U210" s="863"/>
      <c r="V210" s="667"/>
      <c r="W210" s="667"/>
      <c r="X210" s="761"/>
    </row>
    <row r="211" spans="1:24" s="153" customFormat="1" ht="10.5" customHeight="1" x14ac:dyDescent="0.2">
      <c r="A211" s="1676" t="s">
        <v>2206</v>
      </c>
      <c r="B211" s="1676" t="s">
        <v>554</v>
      </c>
      <c r="C211" s="2133">
        <f>248074.3+33026.98</f>
        <v>281101.27999999997</v>
      </c>
      <c r="D211" s="2133">
        <v>-203.63114350000001</v>
      </c>
      <c r="E211" s="2144">
        <v>-10924.4</v>
      </c>
      <c r="F211" s="2133">
        <f t="shared" si="37"/>
        <v>269973.24885649997</v>
      </c>
      <c r="G211" s="2133">
        <f>127546.1+240756.7</f>
        <v>368302.80000000005</v>
      </c>
      <c r="H211" s="2133">
        <v>238.61182724</v>
      </c>
      <c r="I211" s="2133">
        <v>358450</v>
      </c>
      <c r="J211" s="2133">
        <f t="shared" si="38"/>
        <v>726991.41182724002</v>
      </c>
      <c r="K211" s="2133">
        <f>1600.9+35662.04</f>
        <v>37262.94</v>
      </c>
      <c r="L211" s="2133">
        <v>1198.2818063240002</v>
      </c>
      <c r="M211" s="2133">
        <f t="shared" si="39"/>
        <v>38461.221806324</v>
      </c>
      <c r="N211" s="2133">
        <f>4794.1+1499572.2</f>
        <v>1504366.3</v>
      </c>
      <c r="O211" s="2133">
        <v>100674.22</v>
      </c>
      <c r="P211" s="2133">
        <f t="shared" si="40"/>
        <v>1605040.52</v>
      </c>
      <c r="Q211" s="2133">
        <f t="shared" si="41"/>
        <v>2370493.1536335638</v>
      </c>
      <c r="R211" s="2133">
        <v>-371525.36681668402</v>
      </c>
      <c r="S211" s="2133">
        <f t="shared" si="42"/>
        <v>1998967.7868168796</v>
      </c>
      <c r="T211" s="2133">
        <f t="shared" si="43"/>
        <v>2268941.0356733794</v>
      </c>
      <c r="U211" s="863"/>
      <c r="V211" s="667"/>
      <c r="W211" s="667"/>
      <c r="X211" s="761"/>
    </row>
    <row r="212" spans="1:24" s="153" customFormat="1" ht="10.5" customHeight="1" x14ac:dyDescent="0.2">
      <c r="A212" s="1676" t="s">
        <v>2206</v>
      </c>
      <c r="B212" s="372" t="s">
        <v>555</v>
      </c>
      <c r="C212" s="2145">
        <f>235600.5+30070.8</f>
        <v>265671.3</v>
      </c>
      <c r="D212" s="2134">
        <v>-198.6</v>
      </c>
      <c r="E212" s="2134">
        <v>-10724</v>
      </c>
      <c r="F212" s="2134">
        <f t="shared" si="37"/>
        <v>254748.69999999998</v>
      </c>
      <c r="G212" s="2134">
        <f>132232.7+231727.3</f>
        <v>363960</v>
      </c>
      <c r="H212" s="2134">
        <v>431.03541259300005</v>
      </c>
      <c r="I212" s="2134">
        <v>356896.1</v>
      </c>
      <c r="J212" s="2134">
        <f t="shared" si="38"/>
        <v>721287.13541259291</v>
      </c>
      <c r="K212" s="2134">
        <f>1602.2+36549</f>
        <v>38151.199999999997</v>
      </c>
      <c r="L212" s="2134">
        <v>1198.334490124</v>
      </c>
      <c r="M212" s="2134">
        <f t="shared" si="39"/>
        <v>39349.534490123995</v>
      </c>
      <c r="N212" s="2134">
        <f>4833.3+1517356.73</f>
        <v>1522190.03</v>
      </c>
      <c r="O212" s="2134">
        <v>100979.78752896401</v>
      </c>
      <c r="P212" s="2134">
        <f t="shared" si="40"/>
        <v>1623169.817528964</v>
      </c>
      <c r="Q212" s="2134">
        <f t="shared" si="41"/>
        <v>2383806.4874316808</v>
      </c>
      <c r="R212" s="2134">
        <v>-362685.61664270901</v>
      </c>
      <c r="S212" s="2134">
        <f t="shared" si="42"/>
        <v>2021120.8707889719</v>
      </c>
      <c r="T212" s="2134">
        <f t="shared" si="43"/>
        <v>2275869.5707889721</v>
      </c>
      <c r="U212" s="863"/>
      <c r="V212" s="667"/>
      <c r="W212" s="667"/>
      <c r="X212" s="761"/>
    </row>
    <row r="213" spans="1:24" s="153" customFormat="1" ht="10.5" customHeight="1" x14ac:dyDescent="0.2">
      <c r="A213" s="1676" t="s">
        <v>2206</v>
      </c>
      <c r="B213" s="1676" t="s">
        <v>548</v>
      </c>
      <c r="C213" s="1181">
        <f>248198.9+29264.9</f>
        <v>277463.8</v>
      </c>
      <c r="D213" s="2133">
        <v>-199.59068910000002</v>
      </c>
      <c r="E213" s="2133">
        <v>-10469.799999999999</v>
      </c>
      <c r="F213" s="2133">
        <f t="shared" si="37"/>
        <v>266794.40931089997</v>
      </c>
      <c r="G213" s="2133">
        <f>126706.8+224924.6</f>
        <v>351631.4</v>
      </c>
      <c r="H213" s="2133">
        <v>879.2</v>
      </c>
      <c r="I213" s="2133">
        <v>354691.8</v>
      </c>
      <c r="J213" s="2133">
        <f t="shared" si="38"/>
        <v>707202.4</v>
      </c>
      <c r="K213" s="2133">
        <f>1603.8+37708.41</f>
        <v>39312.210000000006</v>
      </c>
      <c r="L213" s="2133">
        <v>1198.334490124</v>
      </c>
      <c r="M213" s="2133">
        <f t="shared" si="39"/>
        <v>40510.544490124004</v>
      </c>
      <c r="N213" s="2133">
        <f>4921.7+1541511.6</f>
        <v>1546433.3</v>
      </c>
      <c r="O213" s="2133">
        <v>101593.58900170801</v>
      </c>
      <c r="P213" s="2133">
        <f t="shared" si="40"/>
        <v>1648026.889001708</v>
      </c>
      <c r="Q213" s="2133">
        <f t="shared" si="41"/>
        <v>2395739.833491832</v>
      </c>
      <c r="R213" s="2133">
        <v>-368225.65530089702</v>
      </c>
      <c r="S213" s="2133">
        <f t="shared" si="42"/>
        <v>2027514.1781909349</v>
      </c>
      <c r="T213" s="2133">
        <f t="shared" si="43"/>
        <v>2294308.5875018351</v>
      </c>
      <c r="U213" s="863"/>
      <c r="V213" s="667"/>
      <c r="W213" s="667"/>
      <c r="X213" s="761"/>
    </row>
    <row r="214" spans="1:24" s="153" customFormat="1" ht="10.5" customHeight="1" x14ac:dyDescent="0.2">
      <c r="A214" s="1676" t="s">
        <v>2206</v>
      </c>
      <c r="B214" s="372" t="s">
        <v>556</v>
      </c>
      <c r="C214" s="2135">
        <f>232550.2+34239</f>
        <v>266789.2</v>
      </c>
      <c r="D214" s="2134">
        <v>-181.07537120000001</v>
      </c>
      <c r="E214" s="2134">
        <v>-10292.799999999999</v>
      </c>
      <c r="F214" s="2134">
        <f t="shared" si="37"/>
        <v>256315.32462880001</v>
      </c>
      <c r="G214" s="2134">
        <f>125862.2+241866.9</f>
        <v>367729.1</v>
      </c>
      <c r="H214" s="2134">
        <v>816.23242813599995</v>
      </c>
      <c r="I214" s="2134">
        <v>353404.7</v>
      </c>
      <c r="J214" s="2134">
        <f t="shared" si="38"/>
        <v>721950.03242813598</v>
      </c>
      <c r="K214" s="2134">
        <f>1596.1+36737.5</f>
        <v>38333.599999999999</v>
      </c>
      <c r="L214" s="2134">
        <v>1129.324338224</v>
      </c>
      <c r="M214" s="2134">
        <f t="shared" si="39"/>
        <v>39462.924338224002</v>
      </c>
      <c r="N214" s="2134">
        <f>4916.2+1539650.24</f>
        <v>1544566.44</v>
      </c>
      <c r="O214" s="2134">
        <v>101359.00451200899</v>
      </c>
      <c r="P214" s="2134">
        <f t="shared" si="40"/>
        <v>1645925.4445120089</v>
      </c>
      <c r="Q214" s="2134">
        <f t="shared" si="41"/>
        <v>2407338.4012783691</v>
      </c>
      <c r="R214" s="2134">
        <v>-376202.14552901697</v>
      </c>
      <c r="S214" s="2134">
        <f t="shared" si="42"/>
        <v>2031136.2557493523</v>
      </c>
      <c r="T214" s="2134">
        <f t="shared" si="43"/>
        <v>2287451.5803781524</v>
      </c>
      <c r="U214" s="863"/>
      <c r="V214" s="667"/>
      <c r="W214" s="667"/>
      <c r="X214" s="761"/>
    </row>
    <row r="215" spans="1:24" s="153" customFormat="1" ht="10.5" customHeight="1" x14ac:dyDescent="0.2">
      <c r="A215" s="1676" t="s">
        <v>2206</v>
      </c>
      <c r="B215" s="1676" t="s">
        <v>557</v>
      </c>
      <c r="C215" s="1181">
        <f>229743.6+32834.693</f>
        <v>262578.29300000001</v>
      </c>
      <c r="D215" s="2133">
        <v>-181.5397279</v>
      </c>
      <c r="E215" s="2133">
        <v>-10111.299999999999</v>
      </c>
      <c r="F215" s="2133">
        <f t="shared" si="37"/>
        <v>252285.45327210001</v>
      </c>
      <c r="G215" s="2133">
        <f>123109.8+256358.009</f>
        <v>379467.80900000001</v>
      </c>
      <c r="H215" s="2133">
        <v>1049.897709436</v>
      </c>
      <c r="I215" s="2133">
        <v>351863.3</v>
      </c>
      <c r="J215" s="2133">
        <f t="shared" si="38"/>
        <v>732381.00670943595</v>
      </c>
      <c r="K215" s="2133">
        <f>1597.7+36676.72</f>
        <v>38274.42</v>
      </c>
      <c r="L215" s="2133">
        <v>1129.316633273</v>
      </c>
      <c r="M215" s="2133">
        <f t="shared" si="39"/>
        <v>39403.736633273002</v>
      </c>
      <c r="N215" s="2133">
        <f>1548692.48+4933.3</f>
        <v>1553625.78</v>
      </c>
      <c r="O215" s="2133">
        <v>101464.07673337799</v>
      </c>
      <c r="P215" s="2133">
        <f t="shared" si="40"/>
        <v>1655089.856733378</v>
      </c>
      <c r="Q215" s="2133">
        <f t="shared" si="41"/>
        <v>2426874.6000760868</v>
      </c>
      <c r="R215" s="2133">
        <v>-376053.71090484899</v>
      </c>
      <c r="S215" s="2133">
        <f t="shared" si="42"/>
        <v>2050820.8891712378</v>
      </c>
      <c r="T215" s="2133">
        <f t="shared" si="43"/>
        <v>2303106.3424433377</v>
      </c>
      <c r="U215" s="863"/>
      <c r="V215" s="667"/>
      <c r="W215" s="667"/>
      <c r="X215" s="761"/>
    </row>
    <row r="216" spans="1:24" s="153" customFormat="1" ht="10.5" customHeight="1" x14ac:dyDescent="0.2">
      <c r="A216" s="1676" t="s">
        <v>2206</v>
      </c>
      <c r="B216" s="372" t="s">
        <v>549</v>
      </c>
      <c r="C216" s="2135">
        <f>226890.9+32545.05</f>
        <v>259435.94999999998</v>
      </c>
      <c r="D216" s="2134">
        <v>-175.05758850000001</v>
      </c>
      <c r="E216" s="2134">
        <v>-10013</v>
      </c>
      <c r="F216" s="2134">
        <f t="shared" si="37"/>
        <v>249247.89241149998</v>
      </c>
      <c r="G216" s="2134">
        <f>127810.1+262558.232</f>
        <v>390368.33200000005</v>
      </c>
      <c r="H216" s="2134">
        <v>1257.7263449500001</v>
      </c>
      <c r="I216" s="2134">
        <v>348210</v>
      </c>
      <c r="J216" s="2134">
        <f t="shared" si="38"/>
        <v>739836.05834494997</v>
      </c>
      <c r="K216" s="2134">
        <f>1599.3+36537.68</f>
        <v>38136.980000000003</v>
      </c>
      <c r="L216" s="2134">
        <v>1129.35144947</v>
      </c>
      <c r="M216" s="2134">
        <f t="shared" si="39"/>
        <v>39266.331449470003</v>
      </c>
      <c r="N216" s="2134">
        <f>1570992.89+4957.5</f>
        <v>1575950.39</v>
      </c>
      <c r="O216" s="2134">
        <v>102016.501126723</v>
      </c>
      <c r="P216" s="2134">
        <f t="shared" si="40"/>
        <v>1677966.8911267228</v>
      </c>
      <c r="Q216" s="2134">
        <f t="shared" si="41"/>
        <v>2457069.2809211425</v>
      </c>
      <c r="R216" s="2134">
        <v>-387074.07642774301</v>
      </c>
      <c r="S216" s="2134">
        <f t="shared" si="42"/>
        <v>2069995.2044933995</v>
      </c>
      <c r="T216" s="2134">
        <f t="shared" si="43"/>
        <v>2319243.0969048995</v>
      </c>
      <c r="U216" s="863"/>
      <c r="V216" s="667"/>
      <c r="W216" s="667"/>
      <c r="X216" s="761"/>
    </row>
    <row r="217" spans="1:24" s="153" customFormat="1" ht="10.5" customHeight="1" x14ac:dyDescent="0.2">
      <c r="A217" s="1676" t="s">
        <v>2206</v>
      </c>
      <c r="B217" s="1676" t="s">
        <v>558</v>
      </c>
      <c r="C217" s="1181">
        <f>219734.5+28363.02</f>
        <v>248097.52</v>
      </c>
      <c r="D217" s="2133">
        <v>-174.7619412</v>
      </c>
      <c r="E217" s="2133">
        <v>-9905.2999999999993</v>
      </c>
      <c r="F217" s="2133">
        <f t="shared" si="37"/>
        <v>238017.4580588</v>
      </c>
      <c r="G217" s="2133">
        <f>137437.8+277698.659</f>
        <v>415136.45899999997</v>
      </c>
      <c r="H217" s="2133">
        <v>1491.536569934</v>
      </c>
      <c r="I217" s="2133">
        <v>346106.8</v>
      </c>
      <c r="J217" s="2133">
        <f t="shared" si="38"/>
        <v>762734.79556993395</v>
      </c>
      <c r="K217" s="2133">
        <f>1600.79+36863.07</f>
        <v>38463.86</v>
      </c>
      <c r="L217" s="2133">
        <v>1005.5501950730001</v>
      </c>
      <c r="M217" s="2133">
        <f t="shared" si="39"/>
        <v>39469.410195073004</v>
      </c>
      <c r="N217" s="2133">
        <f>4982.8+1573730.454</f>
        <v>1578713.254</v>
      </c>
      <c r="O217" s="2133">
        <v>101905.82752297701</v>
      </c>
      <c r="P217" s="2133">
        <f t="shared" si="40"/>
        <v>1680619.081522977</v>
      </c>
      <c r="Q217" s="2133">
        <f t="shared" si="41"/>
        <v>2482823.287287984</v>
      </c>
      <c r="R217" s="2133">
        <v>-394070.16483847401</v>
      </c>
      <c r="S217" s="2133">
        <f t="shared" si="42"/>
        <v>2088753.12244951</v>
      </c>
      <c r="T217" s="2133">
        <f t="shared" si="43"/>
        <v>2326770.5805083099</v>
      </c>
      <c r="U217" s="863"/>
      <c r="V217" s="667"/>
      <c r="W217" s="667"/>
      <c r="X217" s="761"/>
    </row>
    <row r="218" spans="1:24" s="153" customFormat="1" ht="10.5" customHeight="1" x14ac:dyDescent="0.2">
      <c r="A218" s="1676" t="s">
        <v>2206</v>
      </c>
      <c r="B218" s="372" t="s">
        <v>559</v>
      </c>
      <c r="C218" s="2135">
        <f>231124.4+33176.11</f>
        <v>264300.51</v>
      </c>
      <c r="D218" s="2134">
        <v>-151.5066128</v>
      </c>
      <c r="E218" s="2134">
        <v>-9784.5</v>
      </c>
      <c r="F218" s="2134">
        <f t="shared" si="37"/>
        <v>254364.50338720001</v>
      </c>
      <c r="G218" s="2134">
        <f>141383.7+283084.02</f>
        <v>424467.72000000003</v>
      </c>
      <c r="H218" s="2134">
        <v>1363.0708364039999</v>
      </c>
      <c r="I218" s="2134">
        <v>343012.1</v>
      </c>
      <c r="J218" s="2134">
        <f t="shared" si="38"/>
        <v>768842.89083640394</v>
      </c>
      <c r="K218" s="2134">
        <f>1602.5+37374.9</f>
        <v>38977.4</v>
      </c>
      <c r="L218" s="2134">
        <v>1004.0626950730001</v>
      </c>
      <c r="M218" s="2134">
        <f t="shared" si="39"/>
        <v>39981.462695073002</v>
      </c>
      <c r="N218" s="2134">
        <f>5031.2+1594020.26</f>
        <v>1599051.46</v>
      </c>
      <c r="O218" s="2134">
        <v>101931.63505837999</v>
      </c>
      <c r="P218" s="2134">
        <f t="shared" si="40"/>
        <v>1700983.0950583799</v>
      </c>
      <c r="Q218" s="2134">
        <f t="shared" si="41"/>
        <v>2509807.4485898567</v>
      </c>
      <c r="R218" s="2134">
        <v>-415987.77676463593</v>
      </c>
      <c r="S218" s="2134">
        <f t="shared" si="42"/>
        <v>2093819.6718252208</v>
      </c>
      <c r="T218" s="2134">
        <f t="shared" si="43"/>
        <v>2348184.175212421</v>
      </c>
      <c r="U218" s="863"/>
      <c r="V218" s="667"/>
      <c r="W218" s="667"/>
      <c r="X218" s="761"/>
    </row>
    <row r="219" spans="1:24" s="153" customFormat="1" ht="10.5" customHeight="1" x14ac:dyDescent="0.2">
      <c r="A219" s="1676" t="s">
        <v>2206</v>
      </c>
      <c r="B219" s="1676" t="s">
        <v>550</v>
      </c>
      <c r="C219" s="1181">
        <f>245780.7+45348.3</f>
        <v>291129</v>
      </c>
      <c r="D219" s="2133">
        <v>-152.25259260000001</v>
      </c>
      <c r="E219" s="2133">
        <v>-9527</v>
      </c>
      <c r="F219" s="2133">
        <f t="shared" si="37"/>
        <v>281449.74740739999</v>
      </c>
      <c r="G219" s="2133">
        <f>145932.2+278904.01</f>
        <v>424836.21</v>
      </c>
      <c r="H219" s="2133">
        <v>1168.2334702729997</v>
      </c>
      <c r="I219" s="2133">
        <v>339631</v>
      </c>
      <c r="J219" s="2133">
        <f t="shared" si="38"/>
        <v>765635.44347027293</v>
      </c>
      <c r="K219" s="2133">
        <f>1604+38407.6</f>
        <v>40011.599999999999</v>
      </c>
      <c r="L219" s="2133">
        <v>1005.6505162810001</v>
      </c>
      <c r="M219" s="2133">
        <f t="shared" si="39"/>
        <v>41017.250516280998</v>
      </c>
      <c r="N219" s="2133">
        <f>5113.3+1613011.2</f>
        <v>1618124.5</v>
      </c>
      <c r="O219" s="2133">
        <v>101740.86349219801</v>
      </c>
      <c r="P219" s="2133">
        <f t="shared" si="40"/>
        <v>1719865.3634921981</v>
      </c>
      <c r="Q219" s="2133">
        <f t="shared" si="41"/>
        <v>2526518.057478752</v>
      </c>
      <c r="R219" s="2133">
        <v>-400010.06081562402</v>
      </c>
      <c r="S219" s="2133">
        <f t="shared" si="42"/>
        <v>2126507.996663128</v>
      </c>
      <c r="T219" s="2133">
        <f t="shared" si="43"/>
        <v>2407957.7440705281</v>
      </c>
      <c r="U219" s="863"/>
      <c r="V219" s="667"/>
      <c r="W219" s="667"/>
      <c r="X219" s="761"/>
    </row>
    <row r="220" spans="1:24" s="153" customFormat="1" ht="10.5" customHeight="1" x14ac:dyDescent="0.2">
      <c r="A220" s="372" t="s">
        <v>2596</v>
      </c>
      <c r="B220" s="1676" t="s">
        <v>552</v>
      </c>
      <c r="C220" s="1181">
        <f>238927.1+44133.37</f>
        <v>283060.47000000003</v>
      </c>
      <c r="D220" s="2133">
        <v>-153.0234384</v>
      </c>
      <c r="E220" s="2133">
        <v>-9422</v>
      </c>
      <c r="F220" s="2133">
        <f>C220+D220+E220</f>
        <v>273485.44656160002</v>
      </c>
      <c r="G220" s="2133">
        <f>146699.6+290869.2</f>
        <v>437568.80000000005</v>
      </c>
      <c r="H220" s="2133">
        <v>1133.3871932320001</v>
      </c>
      <c r="I220" s="2133">
        <v>341819</v>
      </c>
      <c r="J220" s="2133">
        <f>G220+H220+I220</f>
        <v>780521.18719323212</v>
      </c>
      <c r="K220" s="2133">
        <f>1596.1+38953.2</f>
        <v>40549.299999999996</v>
      </c>
      <c r="L220" s="2133">
        <v>1005.7</v>
      </c>
      <c r="M220" s="2133">
        <f>K220+L220</f>
        <v>41554.999999999993</v>
      </c>
      <c r="N220" s="2133">
        <f>5083.2+1608054.6</f>
        <v>1613137.8</v>
      </c>
      <c r="O220" s="2133">
        <v>100912.4</v>
      </c>
      <c r="P220" s="2133">
        <f>N220+O220</f>
        <v>1714050.2</v>
      </c>
      <c r="Q220" s="2133">
        <f t="shared" ref="Q220:Q234" si="44">J220+M220+P220</f>
        <v>2536126.3871932318</v>
      </c>
      <c r="R220" s="2133">
        <v>-406384.61617703002</v>
      </c>
      <c r="S220" s="2133">
        <f t="shared" ref="S220:S231" si="45">Q220+R220</f>
        <v>2129741.7710162019</v>
      </c>
      <c r="T220" s="2133">
        <f t="shared" ref="T220:T231" si="46">F220+S220</f>
        <v>2403227.217577802</v>
      </c>
      <c r="U220" s="863"/>
      <c r="V220" s="667"/>
      <c r="W220" s="667"/>
      <c r="X220" s="761"/>
    </row>
    <row r="221" spans="1:24" s="153" customFormat="1" ht="10.5" customHeight="1" x14ac:dyDescent="0.2">
      <c r="A221" s="372" t="s">
        <v>2596</v>
      </c>
      <c r="B221" s="372" t="s">
        <v>553</v>
      </c>
      <c r="C221" s="2135">
        <f>231618.7+40573.12</f>
        <v>272191.82</v>
      </c>
      <c r="D221" s="2134">
        <v>-472.33318550000001</v>
      </c>
      <c r="E221" s="2134">
        <v>-9264</v>
      </c>
      <c r="F221" s="2134">
        <f>C221+D221+E221</f>
        <v>262455.48681450001</v>
      </c>
      <c r="G221" s="2134">
        <f>127517.6+298675.55</f>
        <v>426193.15</v>
      </c>
      <c r="H221" s="2134">
        <v>1800.2167069230004</v>
      </c>
      <c r="I221" s="2134">
        <v>343854</v>
      </c>
      <c r="J221" s="2134">
        <f>G221+H221+I221</f>
        <v>771847.366706923</v>
      </c>
      <c r="K221" s="2134">
        <f>1597.7+38216.6</f>
        <v>39814.299999999996</v>
      </c>
      <c r="L221" s="2134">
        <v>1004.2</v>
      </c>
      <c r="M221" s="2134">
        <f>K221+L221</f>
        <v>40818.499999999993</v>
      </c>
      <c r="N221" s="2134">
        <f>5093.5+1615536.63</f>
        <v>1620630.13</v>
      </c>
      <c r="O221" s="2134">
        <v>100674.447000007</v>
      </c>
      <c r="P221" s="2134">
        <f>N221+O221</f>
        <v>1721304.5770000068</v>
      </c>
      <c r="Q221" s="2134">
        <f t="shared" si="44"/>
        <v>2533970.4437069297</v>
      </c>
      <c r="R221" s="2134">
        <v>-391705.35311726603</v>
      </c>
      <c r="S221" s="2134">
        <f t="shared" si="45"/>
        <v>2142265.0905896635</v>
      </c>
      <c r="T221" s="2134">
        <f t="shared" si="46"/>
        <v>2404720.5774041633</v>
      </c>
      <c r="U221" s="863"/>
      <c r="V221" s="667"/>
      <c r="W221" s="667"/>
      <c r="X221" s="761"/>
    </row>
    <row r="222" spans="1:24" s="153" customFormat="1" ht="10.5" customHeight="1" x14ac:dyDescent="0.2">
      <c r="A222" s="372" t="s">
        <v>2596</v>
      </c>
      <c r="B222" s="1676" t="s">
        <v>547</v>
      </c>
      <c r="C222" s="1181">
        <f>231666.1+33430.39</f>
        <v>265096.49</v>
      </c>
      <c r="D222" s="2133">
        <v>-457.33176900000001</v>
      </c>
      <c r="E222" s="2133">
        <v>-8999</v>
      </c>
      <c r="F222" s="2133">
        <f>C222+D222+E222</f>
        <v>255640.15823100001</v>
      </c>
      <c r="G222" s="2133">
        <f>103832.7+302981</f>
        <v>406813.7</v>
      </c>
      <c r="H222" s="2133">
        <v>2196.522174228</v>
      </c>
      <c r="I222" s="2133">
        <v>347963</v>
      </c>
      <c r="J222" s="2133">
        <f>G222+H222+I222</f>
        <v>756973.22217422794</v>
      </c>
      <c r="K222" s="2133">
        <f>1599.3+36611.6</f>
        <v>38210.9</v>
      </c>
      <c r="L222" s="2133">
        <v>1003.911885834</v>
      </c>
      <c r="M222" s="2133">
        <f>K222+L222</f>
        <v>39214.811885834002</v>
      </c>
      <c r="N222" s="2133">
        <f>5113.9+1625152.57</f>
        <v>1630266.47</v>
      </c>
      <c r="O222" s="2133">
        <v>100536.04494166501</v>
      </c>
      <c r="P222" s="2133">
        <f>N222+O222</f>
        <v>1730802.5149416649</v>
      </c>
      <c r="Q222" s="2133">
        <f t="shared" si="44"/>
        <v>2526990.5490017268</v>
      </c>
      <c r="R222" s="2133">
        <v>-370093.6</v>
      </c>
      <c r="S222" s="2133">
        <f t="shared" si="45"/>
        <v>2156896.9490017267</v>
      </c>
      <c r="T222" s="2133">
        <f t="shared" si="46"/>
        <v>2412537.1072327266</v>
      </c>
      <c r="U222" s="667"/>
      <c r="V222" s="667"/>
      <c r="W222" s="667"/>
      <c r="X222" s="667"/>
    </row>
    <row r="223" spans="1:24" s="153" customFormat="1" ht="10.5" customHeight="1" x14ac:dyDescent="0.2">
      <c r="A223" s="372" t="s">
        <v>2596</v>
      </c>
      <c r="B223" s="372" t="s">
        <v>554</v>
      </c>
      <c r="C223" s="2135">
        <f>228522.6+21744.6</f>
        <v>250267.2</v>
      </c>
      <c r="D223" s="2134">
        <v>-460.41399999999999</v>
      </c>
      <c r="E223" s="2134">
        <v>-8729.9</v>
      </c>
      <c r="F223" s="2134">
        <f>C223+D223+E223</f>
        <v>241076.88600000003</v>
      </c>
      <c r="G223" s="2134">
        <f>106212.1+321060.1</f>
        <v>427272.19999999995</v>
      </c>
      <c r="H223" s="2134">
        <v>2259.027816541</v>
      </c>
      <c r="I223" s="2134">
        <v>344738.5</v>
      </c>
      <c r="J223" s="2134">
        <f>G223+H223+I223</f>
        <v>774269.72781654098</v>
      </c>
      <c r="K223" s="2134">
        <f>1600.9+36852.3</f>
        <v>38453.200000000004</v>
      </c>
      <c r="L223" s="2134">
        <v>1001.911885835</v>
      </c>
      <c r="M223" s="2134">
        <f>K223+L223</f>
        <v>39455.111885835002</v>
      </c>
      <c r="N223" s="2134">
        <f>5145+1629597.15</f>
        <v>1634742.15</v>
      </c>
      <c r="O223" s="2134">
        <v>100120.863658676</v>
      </c>
      <c r="P223" s="2134">
        <f>N223+O223</f>
        <v>1734863.0136586758</v>
      </c>
      <c r="Q223" s="2134">
        <f t="shared" si="44"/>
        <v>2548587.8533610515</v>
      </c>
      <c r="R223" s="2134">
        <v>-372448.4</v>
      </c>
      <c r="S223" s="2134">
        <f t="shared" si="45"/>
        <v>2176139.4533610516</v>
      </c>
      <c r="T223" s="2134">
        <f t="shared" si="46"/>
        <v>2417216.3393610516</v>
      </c>
      <c r="U223" s="667"/>
      <c r="V223" s="667"/>
      <c r="W223" s="667"/>
      <c r="X223" s="667"/>
    </row>
    <row r="224" spans="1:24" s="153" customFormat="1" ht="10.5" customHeight="1" x14ac:dyDescent="0.2">
      <c r="A224" s="372" t="s">
        <v>2596</v>
      </c>
      <c r="B224" s="1676" t="s">
        <v>555</v>
      </c>
      <c r="C224" s="1181">
        <f>223881.5+22581.22</f>
        <v>246462.72</v>
      </c>
      <c r="D224" s="2133">
        <v>-460.91840769999999</v>
      </c>
      <c r="E224" s="2133">
        <v>-8531.9</v>
      </c>
      <c r="F224" s="2133">
        <f t="shared" ref="F224:F239" si="47">C224+D224+E224</f>
        <v>237469.90159230001</v>
      </c>
      <c r="G224" s="2133">
        <f>107981.5+330666.1</f>
        <v>438647.6</v>
      </c>
      <c r="H224" s="2133">
        <v>2617.5483304159998</v>
      </c>
      <c r="I224" s="2133">
        <v>341307.5</v>
      </c>
      <c r="J224" s="2133">
        <f t="shared" ref="J224:J239" si="48">G224+H224+I224</f>
        <v>782572.64833041595</v>
      </c>
      <c r="K224" s="2133">
        <f>1602.4+37234.3</f>
        <v>38836.700000000004</v>
      </c>
      <c r="L224" s="2133">
        <v>1000.511885786</v>
      </c>
      <c r="M224" s="2133">
        <f t="shared" ref="M224:M239" si="49">K224+L224</f>
        <v>39837.211885786004</v>
      </c>
      <c r="N224" s="2133">
        <f>5167.5+1637369.41</f>
        <v>1642536.91</v>
      </c>
      <c r="O224" s="2133">
        <v>100191.50705214</v>
      </c>
      <c r="P224" s="2133">
        <f t="shared" ref="P224:P234" si="50">N224+O224</f>
        <v>1742728.41705214</v>
      </c>
      <c r="Q224" s="2133">
        <f t="shared" si="44"/>
        <v>2565138.2772683417</v>
      </c>
      <c r="R224" s="2133">
        <v>-379708.8</v>
      </c>
      <c r="S224" s="2133">
        <f t="shared" si="45"/>
        <v>2185429.4772683419</v>
      </c>
      <c r="T224" s="2133">
        <f t="shared" si="46"/>
        <v>2422899.3788606417</v>
      </c>
      <c r="U224" s="667"/>
      <c r="V224" s="667"/>
      <c r="W224" s="667"/>
      <c r="X224" s="667"/>
    </row>
    <row r="225" spans="1:24" s="153" customFormat="1" ht="10.5" customHeight="1" x14ac:dyDescent="0.2">
      <c r="A225" s="372" t="s">
        <v>2596</v>
      </c>
      <c r="B225" s="372" t="s">
        <v>548</v>
      </c>
      <c r="C225" s="2135">
        <f>235750.8+19525.648</f>
        <v>255276.44799999997</v>
      </c>
      <c r="D225" s="2134">
        <v>-463.88124669999996</v>
      </c>
      <c r="E225" s="2134">
        <v>-8263.1</v>
      </c>
      <c r="F225" s="2134">
        <f t="shared" si="47"/>
        <v>246549.46675329996</v>
      </c>
      <c r="G225" s="2134">
        <f>89973.6+325599.5</f>
        <v>415573.1</v>
      </c>
      <c r="H225" s="2134">
        <v>1976.6391142330001</v>
      </c>
      <c r="I225" s="2134">
        <v>337386.3</v>
      </c>
      <c r="J225" s="2134">
        <f t="shared" si="48"/>
        <v>754936.03911423299</v>
      </c>
      <c r="K225" s="2134">
        <f>1604+37992.4</f>
        <v>39596.400000000001</v>
      </c>
      <c r="L225" s="2134">
        <v>1036.2157977859999</v>
      </c>
      <c r="M225" s="2134">
        <f t="shared" si="49"/>
        <v>40632.615797785998</v>
      </c>
      <c r="N225" s="2134">
        <f>5256.2+1658046.8</f>
        <v>1663303</v>
      </c>
      <c r="O225" s="2134">
        <v>102030.998823592</v>
      </c>
      <c r="P225" s="2134">
        <f t="shared" si="50"/>
        <v>1765333.998823592</v>
      </c>
      <c r="Q225" s="2134">
        <f t="shared" si="44"/>
        <v>2560902.6537356111</v>
      </c>
      <c r="R225" s="2134">
        <v>-372875.1</v>
      </c>
      <c r="S225" s="2134">
        <f t="shared" si="45"/>
        <v>2188027.553735611</v>
      </c>
      <c r="T225" s="2134">
        <f t="shared" si="46"/>
        <v>2434577.0204889108</v>
      </c>
      <c r="U225" s="667"/>
      <c r="V225" s="667"/>
      <c r="W225" s="667"/>
      <c r="X225" s="667"/>
    </row>
    <row r="226" spans="1:24" s="153" customFormat="1" ht="10.5" customHeight="1" x14ac:dyDescent="0.2">
      <c r="A226" s="372" t="s">
        <v>2596</v>
      </c>
      <c r="B226" s="1676" t="s">
        <v>556</v>
      </c>
      <c r="C226" s="1181">
        <f>238082.6+21792.32</f>
        <v>259874.92</v>
      </c>
      <c r="D226" s="2133">
        <v>-489.46644450000002</v>
      </c>
      <c r="E226" s="2133">
        <v>-8095.7</v>
      </c>
      <c r="F226" s="2133">
        <f t="shared" si="47"/>
        <v>251289.75355550001</v>
      </c>
      <c r="G226" s="2133">
        <f>88103.8+346257.4</f>
        <v>434361.2</v>
      </c>
      <c r="H226" s="2133">
        <v>1456.4321638870001</v>
      </c>
      <c r="I226" s="2133">
        <v>332617.3</v>
      </c>
      <c r="J226" s="2133">
        <f t="shared" si="48"/>
        <v>768434.93216388696</v>
      </c>
      <c r="K226" s="2133">
        <f>1594.5+37686.5</f>
        <v>39281</v>
      </c>
      <c r="L226" s="2133">
        <v>1215.0874559860001</v>
      </c>
      <c r="M226" s="2133">
        <f t="shared" si="49"/>
        <v>40496.087455986002</v>
      </c>
      <c r="N226" s="2133">
        <f>5243.1+1653041.4</f>
        <v>1658284.5</v>
      </c>
      <c r="O226" s="2133">
        <v>102427.80437568499</v>
      </c>
      <c r="P226" s="2133">
        <f t="shared" si="50"/>
        <v>1760712.3043756851</v>
      </c>
      <c r="Q226" s="2133">
        <f t="shared" si="44"/>
        <v>2569643.3239955581</v>
      </c>
      <c r="R226" s="2133">
        <v>-389490.8</v>
      </c>
      <c r="S226" s="2133">
        <f t="shared" si="45"/>
        <v>2180152.5239955583</v>
      </c>
      <c r="T226" s="2133">
        <f t="shared" si="46"/>
        <v>2431442.2775510582</v>
      </c>
      <c r="U226" s="667"/>
      <c r="V226" s="667"/>
      <c r="W226" s="667"/>
      <c r="X226" s="667"/>
    </row>
    <row r="227" spans="1:24" s="153" customFormat="1" ht="10.5" customHeight="1" x14ac:dyDescent="0.2">
      <c r="A227" s="372" t="s">
        <v>2596</v>
      </c>
      <c r="B227" s="372" t="s">
        <v>557</v>
      </c>
      <c r="C227" s="2135">
        <f>238118.4+26359.2</f>
        <v>264477.59999999998</v>
      </c>
      <c r="D227" s="2134">
        <v>-467.8</v>
      </c>
      <c r="E227" s="2134">
        <v>-7883.5</v>
      </c>
      <c r="F227" s="2134">
        <f t="shared" si="47"/>
        <v>256126.3</v>
      </c>
      <c r="G227" s="2134">
        <f>82947.7+350943.3</f>
        <v>433891</v>
      </c>
      <c r="H227" s="2134">
        <v>1571.8</v>
      </c>
      <c r="I227" s="2134">
        <v>330859.14490000001</v>
      </c>
      <c r="J227" s="2134">
        <f t="shared" si="48"/>
        <v>766321.9449</v>
      </c>
      <c r="K227" s="2134">
        <f>1597.6+37999.6</f>
        <v>39597.199999999997</v>
      </c>
      <c r="L227" s="2134">
        <v>1215.0999999999999</v>
      </c>
      <c r="M227" s="2134">
        <f t="shared" si="49"/>
        <v>40812.299999999996</v>
      </c>
      <c r="N227" s="2134">
        <f>5260.7+1657008.2</f>
        <v>1662268.9</v>
      </c>
      <c r="O227" s="2134">
        <v>102621.7</v>
      </c>
      <c r="P227" s="2134">
        <f t="shared" si="50"/>
        <v>1764890.5999999999</v>
      </c>
      <c r="Q227" s="2134">
        <f t="shared" si="44"/>
        <v>2572024.8448999999</v>
      </c>
      <c r="R227" s="2134">
        <v>-389509.2</v>
      </c>
      <c r="S227" s="2134">
        <f t="shared" si="45"/>
        <v>2182515.6448999997</v>
      </c>
      <c r="T227" s="2134">
        <f t="shared" si="46"/>
        <v>2438641.9448999995</v>
      </c>
      <c r="U227" s="667"/>
      <c r="V227" s="667"/>
      <c r="W227" s="667"/>
      <c r="X227" s="667"/>
    </row>
    <row r="228" spans="1:24" s="153" customFormat="1" ht="10.5" customHeight="1" x14ac:dyDescent="0.2">
      <c r="A228" s="372" t="s">
        <v>2596</v>
      </c>
      <c r="B228" s="1676" t="s">
        <v>549</v>
      </c>
      <c r="C228" s="1181">
        <f>240274.2+27069.1</f>
        <v>267343.3</v>
      </c>
      <c r="D228" s="2133">
        <v>-470.3</v>
      </c>
      <c r="E228" s="2133">
        <v>-7615.2</v>
      </c>
      <c r="F228" s="2133">
        <f t="shared" si="47"/>
        <v>259257.8</v>
      </c>
      <c r="G228" s="2133">
        <f>100124.7+353947.2</f>
        <v>454071.9</v>
      </c>
      <c r="H228" s="2133">
        <v>6738.6</v>
      </c>
      <c r="I228" s="2133">
        <v>330939.6949</v>
      </c>
      <c r="J228" s="2133">
        <f t="shared" si="48"/>
        <v>791750.1949</v>
      </c>
      <c r="K228" s="2133">
        <f>1599.2+37532.3</f>
        <v>39131.5</v>
      </c>
      <c r="L228" s="2133">
        <v>55.9</v>
      </c>
      <c r="M228" s="2133">
        <f t="shared" si="49"/>
        <v>39187.4</v>
      </c>
      <c r="N228" s="2133">
        <f>5283.7+1692499.8</f>
        <v>1697783.5</v>
      </c>
      <c r="O228" s="2133">
        <v>104865.3</v>
      </c>
      <c r="P228" s="2133">
        <f t="shared" si="50"/>
        <v>1802648.8</v>
      </c>
      <c r="Q228" s="2133">
        <f t="shared" si="44"/>
        <v>2633586.3949000002</v>
      </c>
      <c r="R228" s="2133">
        <v>-404033.8</v>
      </c>
      <c r="S228" s="2133">
        <f t="shared" si="45"/>
        <v>2229552.5949000004</v>
      </c>
      <c r="T228" s="2133">
        <f t="shared" si="46"/>
        <v>2488810.3949000002</v>
      </c>
      <c r="U228" s="667"/>
      <c r="V228" s="667"/>
      <c r="W228" s="667"/>
      <c r="X228" s="667"/>
    </row>
    <row r="229" spans="1:24" s="153" customFormat="1" ht="10.5" customHeight="1" x14ac:dyDescent="0.2">
      <c r="A229" s="372" t="s">
        <v>2596</v>
      </c>
      <c r="B229" s="372" t="s">
        <v>558</v>
      </c>
      <c r="C229" s="2135">
        <f>251508.2+27533.2</f>
        <v>279041.40000000002</v>
      </c>
      <c r="D229" s="2134">
        <v>-472.7</v>
      </c>
      <c r="E229" s="2134">
        <v>-7470.5</v>
      </c>
      <c r="F229" s="2134">
        <f t="shared" si="47"/>
        <v>271098.2</v>
      </c>
      <c r="G229" s="2134">
        <f>89111.6+368328</f>
        <v>457439.6</v>
      </c>
      <c r="H229" s="2134">
        <v>7309.4</v>
      </c>
      <c r="I229" s="2134">
        <v>332199.4449</v>
      </c>
      <c r="J229" s="2134">
        <f t="shared" si="48"/>
        <v>796948.4449</v>
      </c>
      <c r="K229" s="2134">
        <f>2976.2+37209.9</f>
        <v>40186.1</v>
      </c>
      <c r="L229" s="2134">
        <v>43.5</v>
      </c>
      <c r="M229" s="2134">
        <f t="shared" si="49"/>
        <v>40229.599999999999</v>
      </c>
      <c r="N229" s="2134">
        <f>18818.4+1682771.4</f>
        <v>1701589.7999999998</v>
      </c>
      <c r="O229" s="2134">
        <v>103431.7</v>
      </c>
      <c r="P229" s="2134">
        <f t="shared" si="50"/>
        <v>1805021.4999999998</v>
      </c>
      <c r="Q229" s="2134">
        <f t="shared" si="44"/>
        <v>2642199.5448999996</v>
      </c>
      <c r="R229" s="2134">
        <v>-439306.1</v>
      </c>
      <c r="S229" s="2134">
        <f t="shared" si="45"/>
        <v>2202893.4448999995</v>
      </c>
      <c r="T229" s="2134">
        <f t="shared" si="46"/>
        <v>2473991.6448999997</v>
      </c>
      <c r="U229" s="667"/>
      <c r="V229" s="667"/>
      <c r="W229" s="667"/>
      <c r="X229" s="667"/>
    </row>
    <row r="230" spans="1:24" s="153" customFormat="1" ht="10.5" customHeight="1" x14ac:dyDescent="0.2">
      <c r="A230" s="372" t="s">
        <v>2596</v>
      </c>
      <c r="B230" s="1676" t="s">
        <v>559</v>
      </c>
      <c r="C230" s="1181">
        <f>243726.7+31957.3</f>
        <v>275684</v>
      </c>
      <c r="D230" s="2133">
        <v>-445.9</v>
      </c>
      <c r="E230" s="2133">
        <v>-7258.8</v>
      </c>
      <c r="F230" s="2133">
        <f t="shared" si="47"/>
        <v>267979.3</v>
      </c>
      <c r="G230" s="2133">
        <f>92024.1+378257.9</f>
        <v>470282</v>
      </c>
      <c r="H230" s="2133">
        <v>8332.4</v>
      </c>
      <c r="I230" s="2133">
        <v>333736.7</v>
      </c>
      <c r="J230" s="2133">
        <f t="shared" si="48"/>
        <v>812351.10000000009</v>
      </c>
      <c r="K230" s="2133">
        <f>1602.5+38470.3</f>
        <v>40072.800000000003</v>
      </c>
      <c r="L230" s="2133">
        <v>43.2</v>
      </c>
      <c r="M230" s="2133">
        <f t="shared" si="49"/>
        <v>40116</v>
      </c>
      <c r="N230" s="2133">
        <f>5318.5+1711758.2</f>
        <v>1717076.7</v>
      </c>
      <c r="O230" s="2133">
        <v>105855.5</v>
      </c>
      <c r="P230" s="2133">
        <f t="shared" si="50"/>
        <v>1822932.2</v>
      </c>
      <c r="Q230" s="2133">
        <f t="shared" si="44"/>
        <v>2675399.2999999998</v>
      </c>
      <c r="R230" s="2133">
        <v>-438531.5</v>
      </c>
      <c r="S230" s="2133">
        <f t="shared" si="45"/>
        <v>2236867.7999999998</v>
      </c>
      <c r="T230" s="2133">
        <f t="shared" si="46"/>
        <v>2504847.0999999996</v>
      </c>
      <c r="U230" s="667"/>
      <c r="V230" s="667"/>
      <c r="W230" s="667"/>
      <c r="X230" s="667"/>
    </row>
    <row r="231" spans="1:24" s="153" customFormat="1" ht="10.5" customHeight="1" x14ac:dyDescent="0.2">
      <c r="A231" s="372" t="s">
        <v>2596</v>
      </c>
      <c r="B231" s="372" t="s">
        <v>550</v>
      </c>
      <c r="C231" s="2135">
        <f>293917.8+22646.4</f>
        <v>316564.2</v>
      </c>
      <c r="D231" s="2134">
        <v>-448.2</v>
      </c>
      <c r="E231" s="2134">
        <v>-7094.4</v>
      </c>
      <c r="F231" s="2134">
        <f t="shared" si="47"/>
        <v>309021.59999999998</v>
      </c>
      <c r="G231" s="2134">
        <f>85426.8+402446.3</f>
        <v>487873.1</v>
      </c>
      <c r="H231" s="2134">
        <v>8906.2999999999993</v>
      </c>
      <c r="I231" s="2134">
        <v>333567.40000000002</v>
      </c>
      <c r="J231" s="2134">
        <f t="shared" si="48"/>
        <v>830346.8</v>
      </c>
      <c r="K231" s="2134">
        <f>1604+35992.1</f>
        <v>37596.1</v>
      </c>
      <c r="L231" s="2134">
        <v>42.7</v>
      </c>
      <c r="M231" s="2134">
        <f t="shared" si="49"/>
        <v>37638.799999999996</v>
      </c>
      <c r="N231" s="2134">
        <f>5355.6+1720000.5</f>
        <v>1725356.1</v>
      </c>
      <c r="O231" s="2134">
        <v>105453.4</v>
      </c>
      <c r="P231" s="2134">
        <f t="shared" si="50"/>
        <v>1830809.5</v>
      </c>
      <c r="Q231" s="2134">
        <f t="shared" si="44"/>
        <v>2698795.1</v>
      </c>
      <c r="R231" s="2134">
        <v>-454915.9</v>
      </c>
      <c r="S231" s="2134">
        <f t="shared" si="45"/>
        <v>2243879.2000000002</v>
      </c>
      <c r="T231" s="2134">
        <f t="shared" si="46"/>
        <v>2552900.8000000003</v>
      </c>
      <c r="U231" s="667"/>
      <c r="V231" s="667"/>
      <c r="W231" s="667"/>
      <c r="X231" s="667"/>
    </row>
    <row r="232" spans="1:24" s="153" customFormat="1" ht="10.5" customHeight="1" x14ac:dyDescent="0.2">
      <c r="A232" s="1676" t="s">
        <v>3062</v>
      </c>
      <c r="B232" s="372" t="s">
        <v>552</v>
      </c>
      <c r="C232" s="2135">
        <f>284285.5+25789</f>
        <v>310074.5</v>
      </c>
      <c r="D232" s="2134">
        <v>-450.5</v>
      </c>
      <c r="E232" s="2134">
        <v>-7004.6</v>
      </c>
      <c r="F232" s="2134">
        <f t="shared" si="47"/>
        <v>302619.40000000002</v>
      </c>
      <c r="G232" s="2134">
        <f>86888.2+414200.3</f>
        <v>501088.5</v>
      </c>
      <c r="H232" s="2134">
        <v>8410.9</v>
      </c>
      <c r="I232" s="2134">
        <v>334860.79999999999</v>
      </c>
      <c r="J232" s="2134">
        <f t="shared" si="48"/>
        <v>844360.2</v>
      </c>
      <c r="K232" s="2134">
        <f>1896.1+35737.7</f>
        <v>37633.799999999996</v>
      </c>
      <c r="L232" s="2134">
        <v>42.6</v>
      </c>
      <c r="M232" s="2134">
        <f t="shared" si="49"/>
        <v>37676.399999999994</v>
      </c>
      <c r="N232" s="2134">
        <f>5341.3+1715198.7</f>
        <v>1720540</v>
      </c>
      <c r="O232" s="2134">
        <v>105404.4</v>
      </c>
      <c r="P232" s="2134">
        <f t="shared" si="50"/>
        <v>1825944.4</v>
      </c>
      <c r="Q232" s="2134">
        <f t="shared" si="44"/>
        <v>2707981</v>
      </c>
      <c r="R232" s="2134">
        <v>-463745.6</v>
      </c>
      <c r="S232" s="2134">
        <f t="shared" ref="S232" si="51">Q232+R232</f>
        <v>2244235.4</v>
      </c>
      <c r="T232" s="2134">
        <f t="shared" ref="T232" si="52">F232+S232</f>
        <v>2546854.7999999998</v>
      </c>
      <c r="U232" s="667"/>
      <c r="V232" s="667"/>
      <c r="W232" s="667"/>
      <c r="X232" s="667"/>
    </row>
    <row r="233" spans="1:24" s="153" customFormat="1" ht="10.5" customHeight="1" x14ac:dyDescent="0.2">
      <c r="A233" s="1676" t="s">
        <v>3062</v>
      </c>
      <c r="B233" s="1676" t="s">
        <v>553</v>
      </c>
      <c r="C233" s="1181">
        <f>289617.3+27126</f>
        <v>316743.3</v>
      </c>
      <c r="D233" s="2133">
        <v>-387.4</v>
      </c>
      <c r="E233" s="2133">
        <v>-6814.8</v>
      </c>
      <c r="F233" s="2133">
        <f t="shared" si="47"/>
        <v>309541.09999999998</v>
      </c>
      <c r="G233" s="2133">
        <f>75256.9+421677.4</f>
        <v>496934.30000000005</v>
      </c>
      <c r="H233" s="2133">
        <v>8797</v>
      </c>
      <c r="I233" s="2133">
        <v>335139.59999999998</v>
      </c>
      <c r="J233" s="2133">
        <f t="shared" si="48"/>
        <v>840870.9</v>
      </c>
      <c r="K233" s="2133">
        <f>1597.7+35809.1</f>
        <v>37406.799999999996</v>
      </c>
      <c r="L233" s="2133">
        <v>42.2</v>
      </c>
      <c r="M233" s="2133">
        <f t="shared" si="49"/>
        <v>37448.999999999993</v>
      </c>
      <c r="N233" s="2133">
        <f>5365.1+1720170.1</f>
        <v>1725535.2000000002</v>
      </c>
      <c r="O233" s="2133">
        <v>105616.4</v>
      </c>
      <c r="P233" s="2133">
        <f t="shared" si="50"/>
        <v>1831151.6</v>
      </c>
      <c r="Q233" s="2133">
        <f t="shared" si="44"/>
        <v>2709471.5</v>
      </c>
      <c r="R233" s="2133">
        <v>-458137.3</v>
      </c>
      <c r="S233" s="2133">
        <f t="shared" ref="S233" si="53">Q233+R233</f>
        <v>2251334.2000000002</v>
      </c>
      <c r="T233" s="2133">
        <f t="shared" ref="T233" si="54">F233+S233</f>
        <v>2560875.3000000003</v>
      </c>
      <c r="U233" s="667"/>
      <c r="V233" s="667"/>
      <c r="W233" s="667"/>
      <c r="X233" s="667"/>
    </row>
    <row r="234" spans="1:24" s="153" customFormat="1" ht="10.5" customHeight="1" x14ac:dyDescent="0.2">
      <c r="A234" s="1676" t="s">
        <v>3062</v>
      </c>
      <c r="B234" s="372" t="s">
        <v>547</v>
      </c>
      <c r="C234" s="2135">
        <f>302125.6+14256.5</f>
        <v>316382.09999999998</v>
      </c>
      <c r="D234" s="2134">
        <v>-389.6</v>
      </c>
      <c r="E234" s="2134">
        <v>-6581.6</v>
      </c>
      <c r="F234" s="2134">
        <f t="shared" si="47"/>
        <v>309410.90000000002</v>
      </c>
      <c r="G234" s="2134">
        <f>80684.3+436864.9</f>
        <v>517549.2</v>
      </c>
      <c r="H234" s="2134">
        <v>8240.7000000000007</v>
      </c>
      <c r="I234" s="2134">
        <v>335513</v>
      </c>
      <c r="J234" s="2134">
        <f t="shared" si="48"/>
        <v>861302.9</v>
      </c>
      <c r="K234" s="2134">
        <f>1599.3+34767.4</f>
        <v>36366.700000000004</v>
      </c>
      <c r="L234" s="2134">
        <v>42.2</v>
      </c>
      <c r="M234" s="2134">
        <f t="shared" si="49"/>
        <v>36408.9</v>
      </c>
      <c r="N234" s="2134">
        <f>5370.2+1729164.5</f>
        <v>1734534.7</v>
      </c>
      <c r="O234" s="2134">
        <v>106145.3</v>
      </c>
      <c r="P234" s="2134">
        <f t="shared" si="50"/>
        <v>1840680</v>
      </c>
      <c r="Q234" s="2134">
        <f t="shared" si="44"/>
        <v>2738391.8</v>
      </c>
      <c r="R234" s="2134">
        <v>-478917.2</v>
      </c>
      <c r="S234" s="2134">
        <f t="shared" ref="S234" si="55">Q234+R234</f>
        <v>2259474.5999999996</v>
      </c>
      <c r="T234" s="2134">
        <f t="shared" ref="T234" si="56">F234+S234</f>
        <v>2568885.4999999995</v>
      </c>
      <c r="U234" s="667"/>
      <c r="V234" s="667"/>
      <c r="W234" s="667"/>
      <c r="X234" s="667"/>
    </row>
    <row r="235" spans="1:24" s="153" customFormat="1" ht="10.5" customHeight="1" x14ac:dyDescent="0.2">
      <c r="A235" s="1676" t="s">
        <v>3062</v>
      </c>
      <c r="B235" s="1512" t="s">
        <v>554</v>
      </c>
      <c r="C235" s="2146">
        <v>316929.7</v>
      </c>
      <c r="D235" s="2147">
        <v>-392.1</v>
      </c>
      <c r="E235" s="2147">
        <v>-6437.8</v>
      </c>
      <c r="F235" s="2147">
        <f t="shared" si="47"/>
        <v>310099.80000000005</v>
      </c>
      <c r="G235" s="2147">
        <v>530278.9</v>
      </c>
      <c r="H235" s="2147">
        <v>8927.2999999999993</v>
      </c>
      <c r="I235" s="2147">
        <v>335936.9</v>
      </c>
      <c r="J235" s="2147">
        <f t="shared" si="48"/>
        <v>875143.10000000009</v>
      </c>
      <c r="K235" s="2147">
        <f>(16009+334637)/10</f>
        <v>35064.6</v>
      </c>
      <c r="L235" s="2147">
        <v>40.1</v>
      </c>
      <c r="M235" s="2147">
        <f t="shared" si="49"/>
        <v>35104.699999999997</v>
      </c>
      <c r="N235" s="2147">
        <f>(53837+17334389)/10</f>
        <v>1738822.6</v>
      </c>
      <c r="O235" s="2147">
        <v>107755.3</v>
      </c>
      <c r="P235" s="2147">
        <f t="shared" ref="P235:P239" si="57">N235+O235</f>
        <v>1846577.9000000001</v>
      </c>
      <c r="Q235" s="2147">
        <f t="shared" ref="Q235:Q236" si="58">J235+M235+P235</f>
        <v>2756825.7</v>
      </c>
      <c r="R235" s="2147">
        <v>-491485.5</v>
      </c>
      <c r="S235" s="2147">
        <f t="shared" ref="S235" si="59">Q235+R235</f>
        <v>2265340.2000000002</v>
      </c>
      <c r="T235" s="2147">
        <f t="shared" ref="T235" si="60">F235+S235</f>
        <v>2575440</v>
      </c>
      <c r="U235" s="667"/>
      <c r="V235" s="667"/>
      <c r="W235" s="667"/>
      <c r="X235" s="667"/>
    </row>
    <row r="236" spans="1:24" ht="10.5" customHeight="1" x14ac:dyDescent="0.2">
      <c r="A236" s="1676" t="s">
        <v>3062</v>
      </c>
      <c r="B236" s="372" t="s">
        <v>555</v>
      </c>
      <c r="C236" s="2135">
        <v>321504.40000000002</v>
      </c>
      <c r="D236" s="2147">
        <v>-364</v>
      </c>
      <c r="E236" s="2147">
        <v>-6284</v>
      </c>
      <c r="F236" s="2147">
        <f t="shared" si="47"/>
        <v>314856.40000000002</v>
      </c>
      <c r="G236" s="2147">
        <v>553910.4</v>
      </c>
      <c r="H236" s="2147">
        <v>9306.2000000000007</v>
      </c>
      <c r="I236" s="2147">
        <v>335643.5</v>
      </c>
      <c r="J236" s="2147">
        <f t="shared" si="48"/>
        <v>898860.1</v>
      </c>
      <c r="K236" s="2147">
        <v>34500.300000000003</v>
      </c>
      <c r="L236" s="2147">
        <v>38.700000000000003</v>
      </c>
      <c r="M236" s="2147">
        <f t="shared" si="49"/>
        <v>34539</v>
      </c>
      <c r="N236" s="2147">
        <v>1753123.9</v>
      </c>
      <c r="O236" s="2147">
        <v>108020.4</v>
      </c>
      <c r="P236" s="2147">
        <f t="shared" si="57"/>
        <v>1861144.2999999998</v>
      </c>
      <c r="Q236" s="2147">
        <f t="shared" si="58"/>
        <v>2794543.4</v>
      </c>
      <c r="R236" s="2147">
        <v>-507495.4</v>
      </c>
      <c r="S236" s="2147">
        <f t="shared" ref="S236" si="61">Q236+R236</f>
        <v>2287048</v>
      </c>
      <c r="T236" s="2147">
        <f t="shared" ref="T236" si="62">F236+S236</f>
        <v>2601904.4</v>
      </c>
      <c r="U236" s="863"/>
      <c r="V236" s="724"/>
      <c r="W236" s="667"/>
      <c r="X236" s="724"/>
    </row>
    <row r="237" spans="1:24" ht="9" customHeight="1" x14ac:dyDescent="0.2">
      <c r="A237" s="1676" t="s">
        <v>3062</v>
      </c>
      <c r="B237" s="1676" t="s">
        <v>548</v>
      </c>
      <c r="C237" s="1181">
        <v>330014.09999999998</v>
      </c>
      <c r="D237" s="2133">
        <v>-366.2</v>
      </c>
      <c r="E237" s="2133">
        <v>-6191.4</v>
      </c>
      <c r="F237" s="2147">
        <f t="shared" si="47"/>
        <v>323456.49999999994</v>
      </c>
      <c r="G237" s="2133">
        <v>549325.69999999995</v>
      </c>
      <c r="H237" s="2133">
        <v>9374.5</v>
      </c>
      <c r="I237" s="2133">
        <v>336028.4</v>
      </c>
      <c r="J237" s="2147">
        <f t="shared" si="48"/>
        <v>894728.6</v>
      </c>
      <c r="K237" s="2133">
        <v>36609.4</v>
      </c>
      <c r="L237" s="2133">
        <v>38.700000000000003</v>
      </c>
      <c r="M237" s="2147">
        <f t="shared" si="49"/>
        <v>36648.1</v>
      </c>
      <c r="N237" s="2133">
        <v>1758932.7</v>
      </c>
      <c r="O237" s="2133">
        <v>106592.3</v>
      </c>
      <c r="P237" s="2147">
        <f t="shared" si="57"/>
        <v>1865525</v>
      </c>
      <c r="Q237" s="2147">
        <f t="shared" ref="Q237:Q239" si="63">J237+M237+P237</f>
        <v>2796901.7</v>
      </c>
      <c r="R237" s="2133">
        <v>-488881.3</v>
      </c>
      <c r="S237" s="2147">
        <f t="shared" ref="S237:S238" si="64">Q237+R237</f>
        <v>2308020.4000000004</v>
      </c>
      <c r="T237" s="2147">
        <f t="shared" ref="T237:T238" si="65">F237+S237</f>
        <v>2631476.9000000004</v>
      </c>
      <c r="U237" s="227"/>
      <c r="V237" s="724"/>
      <c r="W237" s="724"/>
      <c r="X237" s="724"/>
    </row>
    <row r="238" spans="1:24" ht="9" customHeight="1" x14ac:dyDescent="0.2">
      <c r="A238" s="1676" t="s">
        <v>3062</v>
      </c>
      <c r="B238" s="372" t="s">
        <v>556</v>
      </c>
      <c r="C238" s="2135">
        <v>342252.79999999999</v>
      </c>
      <c r="D238" s="2134">
        <v>-368.3</v>
      </c>
      <c r="E238" s="2134">
        <v>-6013.6</v>
      </c>
      <c r="F238" s="2147">
        <f>C238+D238+E238</f>
        <v>335870.9</v>
      </c>
      <c r="G238" s="2134">
        <v>563207.80000000005</v>
      </c>
      <c r="H238" s="2134">
        <v>9500.4</v>
      </c>
      <c r="I238" s="2134">
        <v>334177.3</v>
      </c>
      <c r="J238" s="2147">
        <f t="shared" si="48"/>
        <v>906885.5</v>
      </c>
      <c r="K238" s="2134">
        <v>36809.699999999997</v>
      </c>
      <c r="L238" s="2134">
        <v>38.700000000000003</v>
      </c>
      <c r="M238" s="2147">
        <f t="shared" si="49"/>
        <v>36848.399999999994</v>
      </c>
      <c r="N238" s="2134">
        <v>1752534.8</v>
      </c>
      <c r="O238" s="2134">
        <v>106489.2</v>
      </c>
      <c r="P238" s="2147">
        <f t="shared" si="57"/>
        <v>1859024</v>
      </c>
      <c r="Q238" s="2147">
        <f t="shared" si="63"/>
        <v>2802757.9</v>
      </c>
      <c r="R238" s="2134">
        <v>-509208.8</v>
      </c>
      <c r="S238" s="2147">
        <f t="shared" si="64"/>
        <v>2293549.1</v>
      </c>
      <c r="T238" s="2147">
        <f t="shared" si="65"/>
        <v>2629420</v>
      </c>
      <c r="U238" s="724"/>
      <c r="V238" s="724"/>
      <c r="W238" s="724"/>
      <c r="X238" s="724"/>
    </row>
    <row r="239" spans="1:24" ht="8.25" customHeight="1" thickBot="1" x14ac:dyDescent="0.25">
      <c r="A239" s="1676" t="s">
        <v>3062</v>
      </c>
      <c r="B239" s="1598" t="s">
        <v>557</v>
      </c>
      <c r="C239" s="2148">
        <v>354875.4</v>
      </c>
      <c r="D239" s="2149">
        <v>-307</v>
      </c>
      <c r="E239" s="2149">
        <v>-5916.4</v>
      </c>
      <c r="F239" s="2150">
        <f t="shared" si="47"/>
        <v>348652</v>
      </c>
      <c r="G239" s="2149">
        <v>579532.1</v>
      </c>
      <c r="H239" s="2149">
        <v>9420.4</v>
      </c>
      <c r="I239" s="2149">
        <v>333012.59999999998</v>
      </c>
      <c r="J239" s="2150">
        <f t="shared" si="48"/>
        <v>921965.1</v>
      </c>
      <c r="K239" s="2149">
        <v>36931.300000000003</v>
      </c>
      <c r="L239" s="2149">
        <v>38.5</v>
      </c>
      <c r="M239" s="2150">
        <f t="shared" si="49"/>
        <v>36969.800000000003</v>
      </c>
      <c r="N239" s="2149">
        <v>1757406.8</v>
      </c>
      <c r="O239" s="2149">
        <v>106458.9</v>
      </c>
      <c r="P239" s="2149">
        <f t="shared" si="57"/>
        <v>1863865.7</v>
      </c>
      <c r="Q239" s="2150">
        <f t="shared" si="63"/>
        <v>2822800.6</v>
      </c>
      <c r="R239" s="2149">
        <v>-511541.8</v>
      </c>
      <c r="S239" s="2150">
        <f t="shared" ref="S239" si="66">Q239+R239</f>
        <v>2311258.8000000003</v>
      </c>
      <c r="T239" s="2150">
        <f t="shared" ref="T239" si="67">F239+S239</f>
        <v>2659910.8000000003</v>
      </c>
      <c r="U239" s="163"/>
      <c r="V239" s="724"/>
      <c r="W239" s="724"/>
      <c r="X239" s="724"/>
    </row>
    <row r="240" spans="1:24" ht="12" customHeight="1" x14ac:dyDescent="0.2">
      <c r="A240" s="178" t="s">
        <v>1330</v>
      </c>
      <c r="B240" s="178"/>
      <c r="C240" s="2482" t="s">
        <v>1208</v>
      </c>
      <c r="D240" s="2482"/>
      <c r="E240" s="2482"/>
      <c r="F240" s="2482"/>
      <c r="G240" s="2482"/>
      <c r="H240" s="242"/>
      <c r="I240" s="2151" t="s">
        <v>1294</v>
      </c>
      <c r="J240" s="707"/>
      <c r="K240" s="745"/>
      <c r="L240" s="745"/>
      <c r="M240" s="745"/>
      <c r="N240" s="1682" t="s">
        <v>207</v>
      </c>
      <c r="O240" s="2483" t="s">
        <v>1321</v>
      </c>
      <c r="P240" s="2483"/>
      <c r="Q240" s="2483"/>
      <c r="R240" s="2483"/>
      <c r="S240" s="2483"/>
      <c r="T240" s="2483"/>
      <c r="V240" s="724"/>
    </row>
    <row r="241" spans="1:21" ht="12" customHeight="1" x14ac:dyDescent="0.2">
      <c r="C241" s="724"/>
      <c r="D241" s="724"/>
      <c r="E241" s="958"/>
      <c r="F241" s="745"/>
      <c r="G241" s="1441"/>
      <c r="H241" s="485"/>
      <c r="I241" s="1186"/>
      <c r="J241" s="1018"/>
      <c r="K241" s="1019"/>
      <c r="L241" s="1019"/>
      <c r="M241" s="1019"/>
      <c r="N241" s="482"/>
      <c r="O241" s="2426" t="s">
        <v>1359</v>
      </c>
      <c r="P241" s="2426"/>
      <c r="Q241" s="2426"/>
      <c r="R241" s="2426"/>
      <c r="S241" s="2426"/>
      <c r="T241" s="2426"/>
    </row>
    <row r="242" spans="1:21" ht="9.75" customHeight="1" x14ac:dyDescent="0.2">
      <c r="A242" s="724"/>
      <c r="B242" s="724"/>
      <c r="E242" s="163"/>
      <c r="H242" s="163"/>
      <c r="K242" s="160"/>
      <c r="L242" s="163"/>
      <c r="M242" s="163"/>
      <c r="O242" s="1442" t="s">
        <v>1280</v>
      </c>
      <c r="P242" s="575"/>
      <c r="Q242" s="575"/>
      <c r="R242" s="242" t="s">
        <v>1279</v>
      </c>
      <c r="S242" s="575"/>
      <c r="T242" s="575"/>
    </row>
    <row r="243" spans="1:21" x14ac:dyDescent="0.2">
      <c r="A243" s="163"/>
      <c r="B243" s="163"/>
      <c r="C243" s="163"/>
      <c r="E243" s="163"/>
      <c r="H243" s="163"/>
      <c r="K243" s="160"/>
      <c r="N243" s="178"/>
      <c r="O243" s="2479" t="s">
        <v>1208</v>
      </c>
      <c r="P243" s="2479"/>
      <c r="Q243" s="2479"/>
      <c r="R243" s="2479"/>
      <c r="S243" s="2479"/>
      <c r="T243" s="2479"/>
      <c r="U243" s="163"/>
    </row>
    <row r="244" spans="1:21" x14ac:dyDescent="0.2">
      <c r="C244" s="163"/>
      <c r="D244" s="163"/>
      <c r="E244" s="1122"/>
      <c r="F244" s="1123"/>
      <c r="H244" s="163"/>
      <c r="J244" s="163"/>
      <c r="M244" s="452"/>
      <c r="N244" s="452"/>
      <c r="O244" s="724"/>
      <c r="P244" s="163"/>
      <c r="Q244" s="163"/>
      <c r="R244" s="163"/>
      <c r="S244" s="1185"/>
      <c r="T244" s="163"/>
    </row>
    <row r="245" spans="1:21" ht="12.75" x14ac:dyDescent="0.2">
      <c r="C245" s="163"/>
      <c r="D245" s="163"/>
      <c r="E245" s="1122"/>
      <c r="F245" s="970"/>
      <c r="H245" s="163"/>
      <c r="J245" s="163"/>
      <c r="L245" s="452"/>
      <c r="M245" s="452"/>
      <c r="N245" s="452"/>
      <c r="O245" s="163"/>
      <c r="P245" s="163"/>
      <c r="Q245" s="163"/>
      <c r="R245" s="163"/>
      <c r="S245" s="1185"/>
      <c r="T245" s="163"/>
    </row>
    <row r="246" spans="1:21" x14ac:dyDescent="0.2">
      <c r="C246" s="163"/>
      <c r="D246" s="163"/>
      <c r="E246" s="163"/>
      <c r="F246" s="163"/>
      <c r="G246" s="163"/>
      <c r="H246" s="163"/>
      <c r="I246" s="163"/>
      <c r="J246" s="163"/>
      <c r="K246" s="163"/>
      <c r="L246" s="452"/>
      <c r="M246" s="163"/>
      <c r="N246" s="452"/>
      <c r="O246" s="163"/>
      <c r="Q246" s="163"/>
      <c r="R246" s="163"/>
      <c r="S246" s="163"/>
      <c r="T246" s="163"/>
    </row>
    <row r="247" spans="1:21" x14ac:dyDescent="0.2">
      <c r="A247" s="1185"/>
      <c r="B247" s="1185"/>
      <c r="C247" s="163"/>
      <c r="D247" s="163"/>
      <c r="E247" s="163"/>
      <c r="F247" s="163"/>
      <c r="G247" s="163"/>
      <c r="H247" s="163"/>
      <c r="I247" s="163"/>
      <c r="J247" s="163"/>
      <c r="K247" s="163"/>
      <c r="L247" s="163"/>
      <c r="M247" s="163"/>
      <c r="N247" s="452"/>
      <c r="O247" s="452"/>
      <c r="P247" s="163"/>
      <c r="Q247" s="163"/>
      <c r="R247" s="163"/>
      <c r="S247" s="163"/>
      <c r="T247" s="163"/>
    </row>
    <row r="248" spans="1:21" x14ac:dyDescent="0.2">
      <c r="C248" s="163"/>
      <c r="D248" s="163"/>
      <c r="E248" s="163"/>
      <c r="F248" s="163"/>
      <c r="G248" s="163"/>
      <c r="H248" s="163"/>
      <c r="I248" s="163"/>
      <c r="J248" s="163"/>
      <c r="K248" s="163"/>
      <c r="L248" s="163"/>
      <c r="M248" s="163"/>
      <c r="N248" s="452"/>
      <c r="O248" s="163"/>
      <c r="P248" s="163"/>
      <c r="Q248" s="163"/>
      <c r="R248" s="163"/>
      <c r="S248" s="163"/>
      <c r="T248" s="163"/>
    </row>
    <row r="249" spans="1:21" x14ac:dyDescent="0.2">
      <c r="C249" s="163"/>
      <c r="D249" s="163"/>
      <c r="E249" s="163"/>
      <c r="F249" s="163"/>
      <c r="G249" s="163"/>
      <c r="H249" s="163"/>
      <c r="I249" s="163"/>
      <c r="J249" s="469"/>
      <c r="K249" s="163"/>
      <c r="L249" s="163"/>
      <c r="M249" s="163"/>
      <c r="N249" s="452"/>
      <c r="O249" s="452"/>
      <c r="P249" s="452"/>
      <c r="Q249" s="452"/>
      <c r="R249" s="452"/>
      <c r="S249" s="452"/>
      <c r="T249" s="163"/>
    </row>
    <row r="250" spans="1:21" x14ac:dyDescent="0.2">
      <c r="C250" s="163"/>
      <c r="D250" s="163"/>
      <c r="E250" s="163"/>
      <c r="F250" s="163"/>
      <c r="G250" s="163"/>
      <c r="H250" s="163"/>
      <c r="I250" s="163"/>
      <c r="J250" s="163"/>
      <c r="K250" s="163"/>
      <c r="L250" s="163"/>
      <c r="M250" s="163"/>
      <c r="N250" s="452"/>
      <c r="O250" s="452"/>
      <c r="P250" s="163"/>
      <c r="Q250" s="163"/>
      <c r="R250" s="452"/>
      <c r="S250" s="163"/>
      <c r="T250" s="163"/>
    </row>
    <row r="251" spans="1:21" x14ac:dyDescent="0.2">
      <c r="C251" s="163"/>
      <c r="D251" s="163"/>
      <c r="E251" s="163"/>
      <c r="F251" s="163"/>
      <c r="G251" s="163"/>
      <c r="H251" s="163"/>
      <c r="I251" s="163"/>
      <c r="J251" s="163"/>
      <c r="K251" s="163"/>
      <c r="L251" s="163"/>
      <c r="M251" s="163"/>
      <c r="N251" s="452"/>
      <c r="O251" s="452"/>
      <c r="P251" s="163"/>
      <c r="Q251" s="163"/>
      <c r="R251" s="452"/>
      <c r="S251" s="163"/>
      <c r="T251" s="163"/>
    </row>
    <row r="252" spans="1:21" x14ac:dyDescent="0.2">
      <c r="C252" s="163"/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  <c r="P252" s="163"/>
      <c r="Q252" s="163"/>
      <c r="R252" s="163"/>
      <c r="S252" s="163"/>
      <c r="T252" s="163"/>
    </row>
    <row r="253" spans="1:21" x14ac:dyDescent="0.2">
      <c r="G253" s="163"/>
      <c r="H253" s="163"/>
      <c r="I253" s="163"/>
      <c r="J253" s="163"/>
      <c r="K253" s="163"/>
      <c r="L253" s="163"/>
      <c r="M253" s="163"/>
      <c r="N253" s="163"/>
      <c r="O253" s="163"/>
      <c r="P253" s="163"/>
      <c r="Q253" s="163"/>
      <c r="R253" s="163"/>
      <c r="S253" s="163"/>
      <c r="T253" s="163"/>
    </row>
    <row r="254" spans="1:21" x14ac:dyDescent="0.2">
      <c r="G254" s="163"/>
      <c r="H254" s="163"/>
      <c r="I254" s="163"/>
      <c r="J254" s="163"/>
      <c r="K254" s="163"/>
      <c r="L254" s="163"/>
      <c r="M254" s="163"/>
      <c r="N254" s="163"/>
      <c r="O254" s="163"/>
      <c r="P254" s="163"/>
      <c r="Q254" s="163"/>
      <c r="R254" s="163"/>
      <c r="S254" s="163"/>
      <c r="T254" s="163"/>
    </row>
    <row r="255" spans="1:21" x14ac:dyDescent="0.2">
      <c r="O255" s="163"/>
    </row>
    <row r="256" spans="1:21" x14ac:dyDescent="0.2">
      <c r="O256" s="163"/>
    </row>
    <row r="257" spans="7:20" x14ac:dyDescent="0.2">
      <c r="G257" s="163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</row>
    <row r="258" spans="7:20" x14ac:dyDescent="0.2">
      <c r="G258" s="16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</row>
    <row r="259" spans="7:20" x14ac:dyDescent="0.2">
      <c r="G259" s="163"/>
      <c r="H259" s="163"/>
      <c r="I259" s="163"/>
      <c r="J259" s="163"/>
      <c r="K259" s="163"/>
      <c r="L259" s="163"/>
      <c r="M259" s="163"/>
      <c r="N259" s="163"/>
      <c r="O259" s="163"/>
      <c r="P259" s="163"/>
      <c r="Q259" s="163"/>
      <c r="R259" s="163"/>
      <c r="S259" s="163"/>
      <c r="T259" s="163"/>
    </row>
    <row r="260" spans="7:20" x14ac:dyDescent="0.2">
      <c r="G260" s="163"/>
      <c r="H260" s="163"/>
      <c r="I260" s="163"/>
      <c r="J260" s="163"/>
      <c r="K260" s="163"/>
      <c r="L260" s="163"/>
      <c r="M260" s="163"/>
      <c r="N260" s="163"/>
      <c r="O260" s="163"/>
      <c r="P260" s="163"/>
      <c r="Q260" s="163"/>
      <c r="R260" s="163"/>
      <c r="S260" s="163"/>
      <c r="T260" s="163"/>
    </row>
    <row r="261" spans="7:20" x14ac:dyDescent="0.2">
      <c r="G261" s="163"/>
      <c r="H261" s="163"/>
      <c r="I261" s="163"/>
      <c r="J261" s="163"/>
      <c r="K261" s="163"/>
      <c r="L261" s="163"/>
      <c r="M261" s="163"/>
      <c r="N261" s="163"/>
      <c r="O261" s="163"/>
      <c r="P261" s="163"/>
      <c r="Q261" s="163"/>
      <c r="R261" s="163"/>
      <c r="S261" s="163"/>
      <c r="T261" s="163"/>
    </row>
    <row r="262" spans="7:20" x14ac:dyDescent="0.2">
      <c r="G262" s="163"/>
      <c r="H262" s="163"/>
      <c r="I262" s="163"/>
      <c r="J262" s="163"/>
      <c r="K262" s="163"/>
      <c r="L262" s="163"/>
      <c r="M262" s="163"/>
      <c r="N262" s="163"/>
      <c r="O262" s="163"/>
      <c r="P262" s="163"/>
      <c r="Q262" s="163"/>
      <c r="R262" s="163"/>
      <c r="S262" s="163"/>
      <c r="T262" s="163"/>
    </row>
    <row r="263" spans="7:20" x14ac:dyDescent="0.2"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</row>
    <row r="264" spans="7:20" x14ac:dyDescent="0.2">
      <c r="G264" s="163"/>
      <c r="H264" s="163"/>
      <c r="I264" s="163"/>
      <c r="J264" s="163"/>
      <c r="K264" s="163"/>
      <c r="L264" s="163"/>
      <c r="M264" s="163"/>
      <c r="N264" s="163"/>
      <c r="O264" s="163"/>
      <c r="P264" s="163"/>
      <c r="Q264" s="163"/>
      <c r="R264" s="163"/>
      <c r="S264" s="163"/>
      <c r="T264" s="163"/>
    </row>
    <row r="265" spans="7:20" x14ac:dyDescent="0.2">
      <c r="G265" s="163"/>
      <c r="H265" s="163"/>
      <c r="I265" s="163"/>
      <c r="J265" s="163"/>
      <c r="K265" s="163"/>
      <c r="L265" s="163"/>
      <c r="M265" s="163"/>
      <c r="N265" s="163"/>
      <c r="O265" s="163"/>
      <c r="P265" s="163"/>
      <c r="Q265" s="163"/>
      <c r="R265" s="163"/>
      <c r="S265" s="163"/>
      <c r="T265" s="163"/>
    </row>
    <row r="266" spans="7:20" x14ac:dyDescent="0.2">
      <c r="G266" s="163"/>
      <c r="H266" s="16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</row>
    <row r="267" spans="7:20" x14ac:dyDescent="0.2">
      <c r="G267" s="163"/>
      <c r="H267" s="163"/>
      <c r="I267" s="163"/>
      <c r="J267" s="163"/>
      <c r="K267" s="163"/>
      <c r="L267" s="163"/>
      <c r="M267" s="163"/>
      <c r="N267" s="163"/>
      <c r="O267" s="163"/>
      <c r="P267" s="163"/>
      <c r="Q267" s="163"/>
      <c r="R267" s="163"/>
      <c r="S267" s="163"/>
      <c r="T267" s="163"/>
    </row>
  </sheetData>
  <customSheetViews>
    <customSheetView guid="{A374FC54-96E3-45F0-9C12-8450400C12DF}" scale="180">
      <pane xSplit="1" ySplit="7" topLeftCell="P42" activePane="bottomRight" state="frozen"/>
      <selection pane="bottomRight" activeCell="S46" sqref="S46:S48"/>
      <pageMargins left="0.55118110236220497" right="0.47244094488188998" top="0.511811023622047" bottom="0.511811023622047" header="0" footer="0.39370078740157499"/>
      <pageSetup paperSize="132" firstPageNumber="18" orientation="portrait" useFirstPageNumber="1" r:id="rId1"/>
      <headerFooter alignWithMargins="0">
        <oddFooter>&amp;C&amp;"Times New Roman,Regular"&amp;8&amp;P</oddFooter>
      </headerFooter>
    </customSheetView>
  </customSheetViews>
  <mergeCells count="26">
    <mergeCell ref="S3:S6"/>
    <mergeCell ref="S1:T1"/>
    <mergeCell ref="O243:T243"/>
    <mergeCell ref="D4:D6"/>
    <mergeCell ref="C4:C6"/>
    <mergeCell ref="N4:P4"/>
    <mergeCell ref="T3:T6"/>
    <mergeCell ref="R3:R6"/>
    <mergeCell ref="C240:G240"/>
    <mergeCell ref="O240:T240"/>
    <mergeCell ref="N5:N6"/>
    <mergeCell ref="O5:O6"/>
    <mergeCell ref="O241:T241"/>
    <mergeCell ref="I1:K1"/>
    <mergeCell ref="L1:O1"/>
    <mergeCell ref="Q4:Q6"/>
    <mergeCell ref="P5:P6"/>
    <mergeCell ref="A3:A7"/>
    <mergeCell ref="F4:F6"/>
    <mergeCell ref="G5:J5"/>
    <mergeCell ref="C3:F3"/>
    <mergeCell ref="G4:M4"/>
    <mergeCell ref="E4:E6"/>
    <mergeCell ref="K5:M5"/>
    <mergeCell ref="B3:B7"/>
    <mergeCell ref="G3:Q3"/>
  </mergeCells>
  <phoneticPr fontId="0" type="noConversion"/>
  <conditionalFormatting sqref="D240:E240 C208:C212 C184:T210 D184:T239 A8:B13 C8:T147">
    <cfRule type="expression" dxfId="7" priority="93" stopIfTrue="1">
      <formula>MOD(ROW(),2)=1</formula>
    </cfRule>
  </conditionalFormatting>
  <conditionalFormatting sqref="A10:B13">
    <cfRule type="expression" dxfId="6" priority="87" stopIfTrue="1">
      <formula>MOD(ROW(),2)=1</formula>
    </cfRule>
    <cfRule type="expression" priority="88" stopIfTrue="1">
      <formula>MOD(ROW(),2)=1</formula>
    </cfRule>
  </conditionalFormatting>
  <conditionalFormatting sqref="A11:B13">
    <cfRule type="expression" priority="84" stopIfTrue="1">
      <formula>MOD(row,0)=0</formula>
    </cfRule>
  </conditionalFormatting>
  <conditionalFormatting sqref="A11:B13">
    <cfRule type="expression" priority="79" stopIfTrue="1">
      <formula>MOD((((#REF!))),0)=0</formula>
    </cfRule>
  </conditionalFormatting>
  <conditionalFormatting sqref="C172:T183">
    <cfRule type="expression" dxfId="5" priority="3" stopIfTrue="1">
      <formula>MOD(ROW(),2)=1</formula>
    </cfRule>
  </conditionalFormatting>
  <conditionalFormatting sqref="C160:T171">
    <cfRule type="expression" dxfId="4" priority="2" stopIfTrue="1">
      <formula>MOD(ROW(),2)=1</formula>
    </cfRule>
  </conditionalFormatting>
  <conditionalFormatting sqref="C148:T159">
    <cfRule type="expression" dxfId="3" priority="1" stopIfTrue="1">
      <formula>MOD(ROW(),2)=1</formula>
    </cfRule>
  </conditionalFormatting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280"/>
  <sheetViews>
    <sheetView zoomScale="130" zoomScaleNormal="130" workbookViewId="0">
      <pane xSplit="1" ySplit="5" topLeftCell="B6" activePane="bottomRight" state="frozen"/>
      <selection activeCell="Q6" sqref="Q6"/>
      <selection pane="topRight" activeCell="Q6" sqref="Q6"/>
      <selection pane="bottomLeft" activeCell="Q6" sqref="Q6"/>
      <selection pane="bottomRight" activeCell="C3" sqref="C3:C4"/>
    </sheetView>
  </sheetViews>
  <sheetFormatPr defaultColWidth="9.140625" defaultRowHeight="11.25" x14ac:dyDescent="0.2"/>
  <cols>
    <col min="1" max="1" width="8.85546875" style="160" customWidth="1"/>
    <col min="2" max="2" width="8.85546875" style="154" customWidth="1"/>
    <col min="3" max="3" width="12.85546875" style="154" customWidth="1"/>
    <col min="4" max="4" width="13.5703125" style="154" customWidth="1"/>
    <col min="5" max="5" width="13" style="154" customWidth="1"/>
    <col min="6" max="6" width="14" style="154" customWidth="1"/>
    <col min="7" max="7" width="14.5703125" style="154" customWidth="1"/>
    <col min="8" max="8" width="15.28515625" style="154" customWidth="1"/>
    <col min="9" max="9" width="14.85546875" style="154" customWidth="1"/>
    <col min="10" max="10" width="15.85546875" style="154" customWidth="1"/>
    <col min="11" max="11" width="16" style="154" customWidth="1"/>
    <col min="12" max="12" width="15.28515625" style="154" customWidth="1"/>
    <col min="13" max="14" width="9.140625" style="154"/>
    <col min="15" max="15" width="10.42578125" style="154" customWidth="1"/>
    <col min="16" max="20" width="9.140625" style="154"/>
    <col min="21" max="21" width="10.140625" style="154" customWidth="1"/>
    <col min="22" max="16384" width="9.140625" style="154"/>
  </cols>
  <sheetData>
    <row r="1" spans="1:14" ht="15" customHeight="1" x14ac:dyDescent="0.2">
      <c r="C1" s="1682"/>
      <c r="D1" s="1682"/>
      <c r="E1" s="2167" t="s">
        <v>3173</v>
      </c>
      <c r="F1" s="1682"/>
      <c r="G1" s="1682"/>
      <c r="H1" s="1682" t="s">
        <v>3174</v>
      </c>
      <c r="I1" s="1682"/>
      <c r="J1" s="1682"/>
      <c r="K1" s="1682"/>
      <c r="L1" s="2153" t="s">
        <v>208</v>
      </c>
    </row>
    <row r="2" spans="1:14" ht="11.25" customHeight="1" x14ac:dyDescent="0.2">
      <c r="G2" s="195"/>
      <c r="L2" s="2072" t="s">
        <v>24</v>
      </c>
    </row>
    <row r="3" spans="1:14" ht="11.25" customHeight="1" x14ac:dyDescent="0.2">
      <c r="A3" s="2322" t="s">
        <v>920</v>
      </c>
      <c r="B3" s="1985"/>
      <c r="C3" s="2486" t="s">
        <v>477</v>
      </c>
      <c r="D3" s="2489" t="s">
        <v>1164</v>
      </c>
      <c r="E3" s="2490" t="s">
        <v>796</v>
      </c>
      <c r="F3" s="2487"/>
      <c r="G3" s="2488"/>
      <c r="H3" s="2487" t="s">
        <v>150</v>
      </c>
      <c r="I3" s="2487"/>
      <c r="J3" s="2488"/>
      <c r="K3" s="2486" t="s">
        <v>747</v>
      </c>
      <c r="L3" s="2486" t="s">
        <v>873</v>
      </c>
    </row>
    <row r="4" spans="1:14" ht="11.25" customHeight="1" x14ac:dyDescent="0.2">
      <c r="A4" s="2322"/>
      <c r="B4" s="1986"/>
      <c r="C4" s="2342"/>
      <c r="D4" s="2342"/>
      <c r="E4" s="1986" t="s">
        <v>377</v>
      </c>
      <c r="F4" s="1986" t="s">
        <v>471</v>
      </c>
      <c r="G4" s="1986" t="s">
        <v>379</v>
      </c>
      <c r="H4" s="1986" t="s">
        <v>377</v>
      </c>
      <c r="I4" s="1986" t="s">
        <v>471</v>
      </c>
      <c r="J4" s="1984" t="s">
        <v>470</v>
      </c>
      <c r="K4" s="2342"/>
      <c r="L4" s="2342"/>
    </row>
    <row r="5" spans="1:14" s="177" customFormat="1" ht="16.5" customHeight="1" x14ac:dyDescent="0.15">
      <c r="A5" s="2322"/>
      <c r="B5" s="1984"/>
      <c r="C5" s="316">
        <v>1</v>
      </c>
      <c r="D5" s="316">
        <v>2</v>
      </c>
      <c r="E5" s="483">
        <v>3</v>
      </c>
      <c r="F5" s="472">
        <v>4</v>
      </c>
      <c r="G5" s="483" t="s">
        <v>209</v>
      </c>
      <c r="H5" s="316">
        <v>6</v>
      </c>
      <c r="I5" s="316">
        <v>7</v>
      </c>
      <c r="J5" s="316" t="s">
        <v>212</v>
      </c>
      <c r="K5" s="472">
        <v>9</v>
      </c>
      <c r="L5" s="472" t="s">
        <v>210</v>
      </c>
    </row>
    <row r="6" spans="1:14" s="177" customFormat="1" ht="16.5" customHeight="1" x14ac:dyDescent="0.15">
      <c r="A6" s="1895"/>
      <c r="B6" s="1895"/>
      <c r="C6" s="810"/>
      <c r="D6" s="810"/>
      <c r="E6" s="2152"/>
      <c r="F6" s="458"/>
      <c r="G6" s="2152"/>
      <c r="H6" s="810"/>
      <c r="I6" s="810"/>
      <c r="J6" s="810"/>
      <c r="K6" s="458"/>
      <c r="L6" s="458"/>
    </row>
    <row r="7" spans="1:14" s="177" customFormat="1" ht="16.5" customHeight="1" x14ac:dyDescent="0.2">
      <c r="A7" s="1895" t="s">
        <v>545</v>
      </c>
      <c r="B7" s="1895"/>
      <c r="C7" s="2063">
        <v>55868.899999999994</v>
      </c>
      <c r="D7" s="2063">
        <v>73.599999999999994</v>
      </c>
      <c r="E7" s="195">
        <v>1976.33</v>
      </c>
      <c r="F7" s="354">
        <v>1936.03</v>
      </c>
      <c r="G7" s="195">
        <v>3912.3599999999997</v>
      </c>
      <c r="H7" s="2063">
        <v>6906.73</v>
      </c>
      <c r="I7" s="2063">
        <v>65627.22</v>
      </c>
      <c r="J7" s="2063">
        <v>72533.95</v>
      </c>
      <c r="K7" s="354">
        <v>31530.54</v>
      </c>
      <c r="L7" s="354">
        <v>163919.35</v>
      </c>
    </row>
    <row r="8" spans="1:14" s="177" customFormat="1" ht="16.5" customHeight="1" x14ac:dyDescent="0.2">
      <c r="A8" s="1895" t="s">
        <v>546</v>
      </c>
      <c r="B8" s="1895"/>
      <c r="C8" s="2063">
        <v>62086.18</v>
      </c>
      <c r="D8" s="2063">
        <v>51.27</v>
      </c>
      <c r="E8" s="195">
        <v>2419.9699999999998</v>
      </c>
      <c r="F8" s="354">
        <v>1287.3599999999999</v>
      </c>
      <c r="G8" s="195">
        <v>3707.33</v>
      </c>
      <c r="H8" s="2063">
        <v>8709.85</v>
      </c>
      <c r="I8" s="2063">
        <v>80416.11</v>
      </c>
      <c r="J8" s="2063">
        <v>89125.96</v>
      </c>
      <c r="K8" s="354">
        <v>35238.61</v>
      </c>
      <c r="L8" s="354">
        <v>190209.34999999998</v>
      </c>
    </row>
    <row r="9" spans="1:14" s="177" customFormat="1" ht="16.5" customHeight="1" x14ac:dyDescent="0.2">
      <c r="A9" s="1895" t="s">
        <v>551</v>
      </c>
      <c r="B9" s="1895"/>
      <c r="C9" s="2063">
        <v>71096.06</v>
      </c>
      <c r="D9" s="2063">
        <v>36.17</v>
      </c>
      <c r="E9" s="195">
        <v>2294.04</v>
      </c>
      <c r="F9" s="354">
        <v>708.52</v>
      </c>
      <c r="G9" s="195">
        <v>3002.56</v>
      </c>
      <c r="H9" s="2063">
        <v>12764.38</v>
      </c>
      <c r="I9" s="2063">
        <v>98942.17</v>
      </c>
      <c r="J9" s="2063">
        <v>111706.55</v>
      </c>
      <c r="K9" s="354">
        <v>39093.699999999997</v>
      </c>
      <c r="L9" s="354">
        <v>224935.03999999998</v>
      </c>
    </row>
    <row r="10" spans="1:14" s="177" customFormat="1" ht="16.5" customHeight="1" x14ac:dyDescent="0.2">
      <c r="A10" s="1895" t="s">
        <v>560</v>
      </c>
      <c r="B10" s="1895"/>
      <c r="C10" s="2063">
        <v>79679.7</v>
      </c>
      <c r="D10" s="2063">
        <v>22.21</v>
      </c>
      <c r="E10" s="195">
        <v>3150.15</v>
      </c>
      <c r="F10" s="354">
        <v>737.35</v>
      </c>
      <c r="G10" s="195">
        <v>3887.5</v>
      </c>
      <c r="H10" s="2063">
        <v>14037.93</v>
      </c>
      <c r="I10" s="2063">
        <v>116916.81</v>
      </c>
      <c r="J10" s="2063">
        <v>130954.73999999999</v>
      </c>
      <c r="K10" s="354">
        <v>42629.83</v>
      </c>
      <c r="L10" s="354">
        <v>257173.97999999998</v>
      </c>
    </row>
    <row r="11" spans="1:14" s="177" customFormat="1" ht="16.5" customHeight="1" x14ac:dyDescent="0.2">
      <c r="A11" s="1895" t="s">
        <v>325</v>
      </c>
      <c r="B11" s="1895"/>
      <c r="C11" s="2063">
        <v>93102.5</v>
      </c>
      <c r="D11" s="2063">
        <v>18.88</v>
      </c>
      <c r="E11" s="195">
        <v>3027.13</v>
      </c>
      <c r="F11" s="354">
        <v>445.66</v>
      </c>
      <c r="G11" s="195">
        <v>3472.79</v>
      </c>
      <c r="H11" s="2063">
        <v>8564.77</v>
      </c>
      <c r="I11" s="2063">
        <v>149683.78</v>
      </c>
      <c r="J11" s="2063">
        <v>158248.54999999999</v>
      </c>
      <c r="K11" s="354">
        <v>49112.05</v>
      </c>
      <c r="L11" s="354">
        <v>303954.76999999996</v>
      </c>
    </row>
    <row r="12" spans="1:14" s="177" customFormat="1" ht="16.5" customHeight="1" x14ac:dyDescent="0.2">
      <c r="A12" s="1895" t="s">
        <v>85</v>
      </c>
      <c r="B12" s="1895"/>
      <c r="C12" s="2063">
        <v>108006.8</v>
      </c>
      <c r="D12" s="2063">
        <v>15.42</v>
      </c>
      <c r="E12" s="195">
        <v>3581.76</v>
      </c>
      <c r="F12" s="354">
        <v>871.8</v>
      </c>
      <c r="G12" s="195">
        <v>4453.5600000000004</v>
      </c>
      <c r="H12" s="2063">
        <v>8878.2099999999991</v>
      </c>
      <c r="I12" s="2063">
        <v>175104.43</v>
      </c>
      <c r="J12" s="2063">
        <v>183982.63999999998</v>
      </c>
      <c r="K12" s="354">
        <v>53138.66</v>
      </c>
      <c r="L12" s="354">
        <v>349597.07999999996</v>
      </c>
    </row>
    <row r="13" spans="1:14" s="177" customFormat="1" ht="16.5" customHeight="1" x14ac:dyDescent="0.2">
      <c r="A13" s="1895" t="s">
        <v>81</v>
      </c>
      <c r="B13" s="1895"/>
      <c r="C13" s="2063">
        <v>115921.3</v>
      </c>
      <c r="D13" s="2063">
        <v>12.31</v>
      </c>
      <c r="E13" s="195">
        <v>4028.87</v>
      </c>
      <c r="F13" s="354">
        <v>855.33</v>
      </c>
      <c r="G13" s="195">
        <v>4884.2</v>
      </c>
      <c r="H13" s="2063">
        <v>11062.31</v>
      </c>
      <c r="I13" s="2063">
        <v>215758.99</v>
      </c>
      <c r="J13" s="2063">
        <v>226821.3</v>
      </c>
      <c r="K13" s="354">
        <v>68779.06</v>
      </c>
      <c r="L13" s="354">
        <v>416418.17</v>
      </c>
    </row>
    <row r="14" spans="1:14" s="177" customFormat="1" ht="16.5" customHeight="1" x14ac:dyDescent="0.2">
      <c r="A14" s="1895" t="s">
        <v>189</v>
      </c>
      <c r="B14" s="1895"/>
      <c r="C14" s="2061">
        <v>137011.5</v>
      </c>
      <c r="D14" s="2038">
        <v>9.4</v>
      </c>
      <c r="E14" s="2061">
        <v>2162.1</v>
      </c>
      <c r="F14" s="2038">
        <v>2320.9</v>
      </c>
      <c r="G14" s="2038">
        <v>4483</v>
      </c>
      <c r="H14" s="2061">
        <v>14837.8</v>
      </c>
      <c r="I14" s="2038">
        <v>273618.90000000002</v>
      </c>
      <c r="J14" s="2038">
        <v>288456.7</v>
      </c>
      <c r="K14" s="2038">
        <v>83570.100000000006</v>
      </c>
      <c r="L14" s="2038">
        <v>513530.69999999995</v>
      </c>
    </row>
    <row r="15" spans="1:14" s="177" customFormat="1" ht="16.5" customHeight="1" x14ac:dyDescent="0.15">
      <c r="A15" s="1895" t="s">
        <v>696</v>
      </c>
      <c r="B15" s="1895"/>
      <c r="C15" s="1922">
        <v>155823.70000000001</v>
      </c>
      <c r="D15" s="1922">
        <v>5.8</v>
      </c>
      <c r="E15" s="1922">
        <v>2533.9</v>
      </c>
      <c r="F15" s="1922">
        <v>3231.1</v>
      </c>
      <c r="G15" s="1922">
        <v>5765</v>
      </c>
      <c r="H15" s="1922">
        <v>12790.5</v>
      </c>
      <c r="I15" s="1922">
        <v>334233.59999999998</v>
      </c>
      <c r="J15" s="1922">
        <v>347024.1</v>
      </c>
      <c r="K15" s="1922">
        <v>92021.6</v>
      </c>
      <c r="L15" s="1922">
        <v>600640.19999999995</v>
      </c>
    </row>
    <row r="16" spans="1:14" ht="11.85" customHeight="1" x14ac:dyDescent="0.2">
      <c r="A16" s="279" t="s">
        <v>804</v>
      </c>
      <c r="B16" s="292"/>
      <c r="C16" s="1924">
        <v>174978.3</v>
      </c>
      <c r="D16" s="1924">
        <v>2.2999999999999998</v>
      </c>
      <c r="E16" s="1924">
        <v>3450</v>
      </c>
      <c r="F16" s="1924">
        <v>5171.6000000000004</v>
      </c>
      <c r="G16" s="1924">
        <v>8621.6</v>
      </c>
      <c r="H16" s="1924">
        <v>5968.1</v>
      </c>
      <c r="I16" s="1924">
        <v>371817.6</v>
      </c>
      <c r="J16" s="1924">
        <v>377785.69999999995</v>
      </c>
      <c r="K16" s="1924">
        <v>100452.9</v>
      </c>
      <c r="L16" s="1924">
        <v>661840.79999999993</v>
      </c>
      <c r="N16" s="163"/>
    </row>
    <row r="17" spans="1:16" ht="11.85" customHeight="1" x14ac:dyDescent="0.2">
      <c r="A17" s="236" t="s">
        <v>978</v>
      </c>
      <c r="B17" s="1989"/>
      <c r="C17" s="1922">
        <v>194106.4</v>
      </c>
      <c r="D17" s="1922">
        <v>0</v>
      </c>
      <c r="E17" s="1922">
        <v>5184.7</v>
      </c>
      <c r="F17" s="1922">
        <v>5839.1</v>
      </c>
      <c r="G17" s="1922">
        <v>11023.8</v>
      </c>
      <c r="H17" s="1922">
        <v>7468.8</v>
      </c>
      <c r="I17" s="1922">
        <v>419702.1</v>
      </c>
      <c r="J17" s="1922">
        <v>427170.89999999997</v>
      </c>
      <c r="K17" s="1922">
        <v>112230.3</v>
      </c>
      <c r="L17" s="1922">
        <v>744531.4</v>
      </c>
      <c r="N17" s="163"/>
    </row>
    <row r="18" spans="1:16" s="234" customFormat="1" ht="11.85" customHeight="1" x14ac:dyDescent="0.2">
      <c r="A18" s="275" t="s">
        <v>1029</v>
      </c>
      <c r="B18" s="372"/>
      <c r="C18" s="1924">
        <v>215482.2</v>
      </c>
      <c r="D18" s="1924">
        <v>0</v>
      </c>
      <c r="E18" s="1924">
        <v>5215.7</v>
      </c>
      <c r="F18" s="1924">
        <v>7348.3</v>
      </c>
      <c r="G18" s="1924">
        <v>12564</v>
      </c>
      <c r="H18" s="1924">
        <v>11313.3</v>
      </c>
      <c r="I18" s="1924">
        <v>475125.2</v>
      </c>
      <c r="J18" s="1924">
        <v>486438.5</v>
      </c>
      <c r="K18" s="1924">
        <v>124669.9</v>
      </c>
      <c r="L18" s="1924">
        <v>839154.6</v>
      </c>
      <c r="N18" s="163"/>
    </row>
    <row r="19" spans="1:16" s="236" customFormat="1" ht="11.85" customHeight="1" x14ac:dyDescent="0.2">
      <c r="A19" s="236" t="s">
        <v>1150</v>
      </c>
      <c r="B19" s="1989"/>
      <c r="C19" s="1922">
        <v>252862.6</v>
      </c>
      <c r="D19" s="1922">
        <v>0</v>
      </c>
      <c r="E19" s="1922">
        <v>6541.6</v>
      </c>
      <c r="F19" s="1922">
        <v>9916</v>
      </c>
      <c r="G19" s="1922">
        <v>16457.599999999999</v>
      </c>
      <c r="H19" s="1922">
        <v>9139.7000000000007</v>
      </c>
      <c r="I19" s="1922">
        <v>565645.19999999995</v>
      </c>
      <c r="J19" s="1922">
        <v>574784.89999999991</v>
      </c>
      <c r="K19" s="1922">
        <v>135861.70000000001</v>
      </c>
      <c r="L19" s="1922">
        <v>979966.79999999981</v>
      </c>
      <c r="M19" s="234"/>
      <c r="N19" s="163"/>
    </row>
    <row r="20" spans="1:16" s="236" customFormat="1" ht="11.85" customHeight="1" x14ac:dyDescent="0.2">
      <c r="A20" s="275" t="s">
        <v>1174</v>
      </c>
      <c r="B20" s="372"/>
      <c r="C20" s="1924">
        <v>288377.59999999998</v>
      </c>
      <c r="D20" s="1924">
        <v>0</v>
      </c>
      <c r="E20" s="1924">
        <v>7732.4</v>
      </c>
      <c r="F20" s="1924">
        <v>14235.7</v>
      </c>
      <c r="G20" s="1924">
        <v>21968.1</v>
      </c>
      <c r="H20" s="1924">
        <v>9154.4</v>
      </c>
      <c r="I20" s="1924">
        <v>651090.5</v>
      </c>
      <c r="J20" s="1924">
        <v>660244.9</v>
      </c>
      <c r="K20" s="1924">
        <v>159057.29999999999</v>
      </c>
      <c r="L20" s="1924">
        <v>1129647.8999999999</v>
      </c>
      <c r="N20" s="667"/>
    </row>
    <row r="21" spans="1:16" s="236" customFormat="1" ht="11.85" customHeight="1" x14ac:dyDescent="0.2">
      <c r="A21" s="236" t="s">
        <v>1296</v>
      </c>
      <c r="B21" s="1989"/>
      <c r="C21" s="1922">
        <v>329523</v>
      </c>
      <c r="D21" s="1922">
        <v>0</v>
      </c>
      <c r="E21" s="1922">
        <v>1415.9</v>
      </c>
      <c r="F21" s="1922">
        <v>20902.7</v>
      </c>
      <c r="G21" s="1922">
        <v>22318.600000000002</v>
      </c>
      <c r="H21" s="1922">
        <v>10709.7</v>
      </c>
      <c r="I21" s="1922">
        <v>766225.4</v>
      </c>
      <c r="J21" s="1922">
        <v>776935.1</v>
      </c>
      <c r="K21" s="1922">
        <v>183088.4</v>
      </c>
      <c r="L21" s="1922">
        <v>1311865.0999999999</v>
      </c>
      <c r="N21" s="667"/>
    </row>
    <row r="22" spans="1:16" s="236" customFormat="1" ht="11.85" customHeight="1" x14ac:dyDescent="0.2">
      <c r="A22" s="275" t="s">
        <v>1404</v>
      </c>
      <c r="B22" s="372"/>
      <c r="C22" s="1924">
        <v>398418.5</v>
      </c>
      <c r="D22" s="1924">
        <v>0</v>
      </c>
      <c r="E22" s="1924">
        <v>2252.4</v>
      </c>
      <c r="F22" s="1924">
        <v>28546.6</v>
      </c>
      <c r="G22" s="1924">
        <v>30799</v>
      </c>
      <c r="H22" s="1924">
        <v>12577.7</v>
      </c>
      <c r="I22" s="1924">
        <v>846542.1</v>
      </c>
      <c r="J22" s="1924">
        <v>859119.79999999993</v>
      </c>
      <c r="K22" s="1924">
        <v>203477.6</v>
      </c>
      <c r="L22" s="1924">
        <v>1491814.9</v>
      </c>
      <c r="N22" s="667"/>
    </row>
    <row r="23" spans="1:16" s="236" customFormat="1" ht="11.85" customHeight="1" x14ac:dyDescent="0.2">
      <c r="A23" s="236" t="s">
        <v>1484</v>
      </c>
      <c r="B23" s="1989"/>
      <c r="C23" s="1922">
        <v>483323.5</v>
      </c>
      <c r="D23" s="1922">
        <v>0</v>
      </c>
      <c r="E23" s="1922">
        <v>2519.4</v>
      </c>
      <c r="F23" s="1922">
        <v>30302.1</v>
      </c>
      <c r="G23" s="1922">
        <v>32821.5</v>
      </c>
      <c r="H23" s="1922">
        <v>17966.599999999999</v>
      </c>
      <c r="I23" s="1922">
        <v>922464.1</v>
      </c>
      <c r="J23" s="1922">
        <v>940430.7</v>
      </c>
      <c r="K23" s="1922">
        <v>214172.7</v>
      </c>
      <c r="L23" s="1922">
        <v>1670748.4</v>
      </c>
      <c r="N23" s="667"/>
      <c r="O23" s="214"/>
    </row>
    <row r="24" spans="1:16" s="153" customFormat="1" ht="11.85" customHeight="1" x14ac:dyDescent="0.2">
      <c r="A24" s="275" t="s">
        <v>1536</v>
      </c>
      <c r="B24" s="372"/>
      <c r="C24" s="1924">
        <v>564520</v>
      </c>
      <c r="D24" s="1924">
        <v>0</v>
      </c>
      <c r="E24" s="1924">
        <v>2522.8000000000002</v>
      </c>
      <c r="F24" s="1924">
        <v>29500</v>
      </c>
      <c r="G24" s="1924">
        <v>32022.799999999999</v>
      </c>
      <c r="H24" s="1924">
        <v>18449.099999999999</v>
      </c>
      <c r="I24" s="1924">
        <v>994526.9</v>
      </c>
      <c r="J24" s="1924">
        <v>1012976</v>
      </c>
      <c r="K24" s="1924">
        <v>235190</v>
      </c>
      <c r="L24" s="1924">
        <v>1844708.8</v>
      </c>
    </row>
    <row r="25" spans="1:16" ht="11.85" customHeight="1" x14ac:dyDescent="0.2">
      <c r="A25" s="236" t="s">
        <v>1817</v>
      </c>
      <c r="B25" s="1989"/>
      <c r="C25" s="1922">
        <v>647012.1</v>
      </c>
      <c r="D25" s="1922">
        <v>0</v>
      </c>
      <c r="E25" s="1922">
        <v>3617.6623075949301</v>
      </c>
      <c r="F25" s="1922">
        <v>28991.292731279518</v>
      </c>
      <c r="G25" s="1922">
        <v>32608.955038874446</v>
      </c>
      <c r="H25" s="1922">
        <v>25434.9005207714</v>
      </c>
      <c r="I25" s="1922">
        <v>1133333.5170284815</v>
      </c>
      <c r="J25" s="1922">
        <v>1158768.417549253</v>
      </c>
      <c r="K25" s="1922">
        <v>263754.42741187243</v>
      </c>
      <c r="L25" s="1922">
        <v>2102143.9</v>
      </c>
      <c r="M25" s="163"/>
    </row>
    <row r="26" spans="1:16" ht="11.85" customHeight="1" x14ac:dyDescent="0.2">
      <c r="A26" s="275" t="s">
        <v>2066</v>
      </c>
      <c r="B26" s="372"/>
      <c r="C26" s="1924">
        <v>747846.852503762</v>
      </c>
      <c r="D26" s="1924">
        <v>0</v>
      </c>
      <c r="E26" s="1924">
        <v>3588.2760941767501</v>
      </c>
      <c r="F26" s="1924">
        <v>30604.57865103833</v>
      </c>
      <c r="G26" s="1924">
        <v>34192.854745215081</v>
      </c>
      <c r="H26" s="1924">
        <v>33362.150288469296</v>
      </c>
      <c r="I26" s="1924">
        <v>1245158.7816230939</v>
      </c>
      <c r="J26" s="1924">
        <v>1278520.9319115633</v>
      </c>
      <c r="K26" s="1924">
        <v>294103.7256432448</v>
      </c>
      <c r="L26" s="1924">
        <v>2354664.3648037855</v>
      </c>
      <c r="M26" s="163"/>
      <c r="N26" s="163"/>
    </row>
    <row r="27" spans="1:16" ht="11.85" customHeight="1" x14ac:dyDescent="0.2">
      <c r="A27" s="236" t="s">
        <v>2206</v>
      </c>
      <c r="B27" s="1989"/>
      <c r="C27" s="1922">
        <v>765636.51602964511</v>
      </c>
      <c r="D27" s="1922">
        <v>0</v>
      </c>
      <c r="E27" s="1922">
        <v>3347.7066646281901</v>
      </c>
      <c r="F27" s="1922">
        <v>30452.255932425949</v>
      </c>
      <c r="G27" s="1922">
        <v>33799.962597054138</v>
      </c>
      <c r="H27" s="1922">
        <v>37659.8685549316</v>
      </c>
      <c r="I27" s="1922">
        <v>1375521.9983677785</v>
      </c>
      <c r="J27" s="1922">
        <v>1413181.8669227101</v>
      </c>
      <c r="K27" s="1922">
        <v>313899.63275917998</v>
      </c>
      <c r="L27" s="1922">
        <v>2526517.9783085892</v>
      </c>
      <c r="M27" s="163"/>
      <c r="N27" s="163"/>
      <c r="O27" s="163"/>
      <c r="P27" s="163"/>
    </row>
    <row r="28" spans="1:16" ht="11.85" customHeight="1" x14ac:dyDescent="0.2">
      <c r="A28" s="275" t="s">
        <v>2479</v>
      </c>
      <c r="B28" s="372"/>
      <c r="C28" s="1924">
        <v>830346.8</v>
      </c>
      <c r="D28" s="1924">
        <v>0</v>
      </c>
      <c r="E28" s="1924">
        <v>2363.1434585245097</v>
      </c>
      <c r="F28" s="1924">
        <v>30826.308748839998</v>
      </c>
      <c r="G28" s="1924">
        <v>33189.452207364506</v>
      </c>
      <c r="H28" s="1924">
        <v>35246.962483798205</v>
      </c>
      <c r="I28" s="1924">
        <v>1477817.1887107571</v>
      </c>
      <c r="J28" s="1924">
        <v>1513064.1511945552</v>
      </c>
      <c r="K28" s="1924">
        <v>322194.65000000002</v>
      </c>
      <c r="L28" s="1924">
        <v>2698795.0534019195</v>
      </c>
      <c r="M28" s="163"/>
      <c r="N28" s="163"/>
      <c r="O28" s="163"/>
      <c r="P28" s="163"/>
    </row>
    <row r="29" spans="1:16" ht="11.85" customHeight="1" x14ac:dyDescent="0.2">
      <c r="A29" s="458"/>
      <c r="B29" s="778"/>
      <c r="C29" s="1922"/>
      <c r="D29" s="1922"/>
      <c r="E29" s="1922"/>
      <c r="F29" s="1922"/>
      <c r="G29" s="1922"/>
      <c r="H29" s="1922"/>
      <c r="I29" s="1922"/>
      <c r="J29" s="1922"/>
      <c r="K29" s="1922"/>
      <c r="L29" s="1922"/>
      <c r="M29" s="163"/>
      <c r="N29" s="163"/>
      <c r="O29" s="163"/>
      <c r="P29" s="163"/>
    </row>
    <row r="30" spans="1:16" ht="11.85" customHeight="1" x14ac:dyDescent="0.2">
      <c r="A30" s="490"/>
      <c r="B30" s="1991"/>
      <c r="C30" s="1924"/>
      <c r="D30" s="1924"/>
      <c r="E30" s="1924"/>
      <c r="F30" s="1924"/>
      <c r="G30" s="1924"/>
      <c r="H30" s="1924"/>
      <c r="I30" s="1924"/>
      <c r="J30" s="1924"/>
      <c r="K30" s="1924"/>
      <c r="L30" s="1924"/>
      <c r="M30" s="163"/>
      <c r="N30" s="163"/>
      <c r="O30" s="163"/>
      <c r="P30" s="163"/>
    </row>
    <row r="31" spans="1:16" ht="11.85" customHeight="1" x14ac:dyDescent="0.2">
      <c r="A31" s="458"/>
      <c r="B31" s="778"/>
      <c r="C31" s="1922"/>
      <c r="D31" s="1922"/>
      <c r="E31" s="1922"/>
      <c r="F31" s="1922"/>
      <c r="G31" s="1922"/>
      <c r="H31" s="1922"/>
      <c r="I31" s="1922"/>
      <c r="J31" s="1922"/>
      <c r="K31" s="1922"/>
      <c r="L31" s="1922"/>
      <c r="M31" s="163"/>
      <c r="N31" s="163"/>
      <c r="O31" s="163"/>
      <c r="P31" s="163"/>
    </row>
    <row r="32" spans="1:16" ht="11.85" customHeight="1" x14ac:dyDescent="0.2">
      <c r="A32" s="458" t="s">
        <v>85</v>
      </c>
      <c r="B32" s="372" t="s">
        <v>552</v>
      </c>
      <c r="C32" s="2034">
        <v>95138.5</v>
      </c>
      <c r="D32" s="2034">
        <v>18.54</v>
      </c>
      <c r="E32" s="2034">
        <v>2967.58</v>
      </c>
      <c r="F32" s="2034">
        <v>510.32</v>
      </c>
      <c r="G32" s="2034">
        <f t="shared" ref="G32:G67" si="0">E32+F32</f>
        <v>3477.9</v>
      </c>
      <c r="H32" s="2034">
        <v>8346.3700000000008</v>
      </c>
      <c r="I32" s="2034">
        <v>151383.74</v>
      </c>
      <c r="J32" s="2034">
        <f t="shared" ref="J32:J67" si="1">H32+I32</f>
        <v>159730.10999999999</v>
      </c>
      <c r="K32" s="2043">
        <v>49634.22</v>
      </c>
      <c r="L32" s="2034">
        <f t="shared" ref="L32:L67" si="2">C32+D32+G32+J32+K32</f>
        <v>307999.27</v>
      </c>
      <c r="M32" s="163"/>
      <c r="N32" s="163"/>
      <c r="O32" s="163"/>
      <c r="P32" s="163"/>
    </row>
    <row r="33" spans="1:16" ht="11.85" customHeight="1" x14ac:dyDescent="0.2">
      <c r="A33" s="458" t="s">
        <v>85</v>
      </c>
      <c r="B33" s="1989" t="s">
        <v>553</v>
      </c>
      <c r="C33" s="2034">
        <v>93014.5</v>
      </c>
      <c r="D33" s="2034">
        <v>18.29</v>
      </c>
      <c r="E33" s="2034">
        <v>2688.53</v>
      </c>
      <c r="F33" s="2034">
        <v>573.32000000000005</v>
      </c>
      <c r="G33" s="2034">
        <f t="shared" si="0"/>
        <v>3261.8500000000004</v>
      </c>
      <c r="H33" s="2034">
        <v>9186.17</v>
      </c>
      <c r="I33" s="2034">
        <v>153732.99</v>
      </c>
      <c r="J33" s="2034">
        <f t="shared" si="1"/>
        <v>162919.16</v>
      </c>
      <c r="K33" s="2043">
        <v>50242.87</v>
      </c>
      <c r="L33" s="2034">
        <f t="shared" si="2"/>
        <v>309456.67</v>
      </c>
      <c r="M33" s="163"/>
      <c r="N33" s="163"/>
      <c r="O33" s="163"/>
      <c r="P33" s="163"/>
    </row>
    <row r="34" spans="1:16" ht="11.85" customHeight="1" x14ac:dyDescent="0.2">
      <c r="A34" s="458" t="s">
        <v>85</v>
      </c>
      <c r="B34" s="372" t="s">
        <v>547</v>
      </c>
      <c r="C34" s="2034">
        <v>97590.400000000009</v>
      </c>
      <c r="D34" s="2034">
        <v>17.95</v>
      </c>
      <c r="E34" s="2034">
        <v>2780.13</v>
      </c>
      <c r="F34" s="2034">
        <v>675.17</v>
      </c>
      <c r="G34" s="2034">
        <f t="shared" si="0"/>
        <v>3455.3</v>
      </c>
      <c r="H34" s="2034">
        <v>10607.5</v>
      </c>
      <c r="I34" s="2034">
        <v>158014.17000000001</v>
      </c>
      <c r="J34" s="2034">
        <f t="shared" si="1"/>
        <v>168621.67</v>
      </c>
      <c r="K34" s="2043">
        <v>50556.45</v>
      </c>
      <c r="L34" s="2034">
        <f t="shared" si="2"/>
        <v>320241.77</v>
      </c>
      <c r="M34" s="163"/>
      <c r="N34" s="163"/>
      <c r="O34" s="163"/>
      <c r="P34" s="163"/>
    </row>
    <row r="35" spans="1:16" ht="11.85" customHeight="1" x14ac:dyDescent="0.2">
      <c r="A35" s="458" t="s">
        <v>85</v>
      </c>
      <c r="B35" s="1989" t="s">
        <v>554</v>
      </c>
      <c r="C35" s="2034">
        <v>98947.3</v>
      </c>
      <c r="D35" s="2034">
        <v>17.73</v>
      </c>
      <c r="E35" s="2034">
        <v>2786.9</v>
      </c>
      <c r="F35" s="2034">
        <v>707.92</v>
      </c>
      <c r="G35" s="2034">
        <f t="shared" si="0"/>
        <v>3494.82</v>
      </c>
      <c r="H35" s="2034">
        <v>11099.46</v>
      </c>
      <c r="I35" s="2034">
        <v>158552.04</v>
      </c>
      <c r="J35" s="2034">
        <f t="shared" si="1"/>
        <v>169651.5</v>
      </c>
      <c r="K35" s="2043">
        <v>51045.22</v>
      </c>
      <c r="L35" s="2034">
        <f t="shared" si="2"/>
        <v>323156.56999999995</v>
      </c>
      <c r="M35" s="163"/>
      <c r="N35" s="163"/>
      <c r="O35" s="163"/>
      <c r="P35" s="163"/>
    </row>
    <row r="36" spans="1:16" ht="11.85" customHeight="1" x14ac:dyDescent="0.2">
      <c r="A36" s="458" t="s">
        <v>85</v>
      </c>
      <c r="B36" s="372" t="s">
        <v>555</v>
      </c>
      <c r="C36" s="2034">
        <v>100961.5</v>
      </c>
      <c r="D36" s="2034">
        <v>17.52</v>
      </c>
      <c r="E36" s="2034">
        <v>2894.22</v>
      </c>
      <c r="F36" s="2034">
        <v>829.56</v>
      </c>
      <c r="G36" s="2034">
        <f t="shared" si="0"/>
        <v>3723.7799999999997</v>
      </c>
      <c r="H36" s="2034">
        <v>10531.94</v>
      </c>
      <c r="I36" s="2034">
        <v>160583.59</v>
      </c>
      <c r="J36" s="2034">
        <f t="shared" si="1"/>
        <v>171115.53</v>
      </c>
      <c r="K36" s="2034">
        <v>51972.24</v>
      </c>
      <c r="L36" s="2034">
        <f t="shared" si="2"/>
        <v>327790.57</v>
      </c>
      <c r="M36" s="163"/>
      <c r="N36" s="163"/>
      <c r="O36" s="163"/>
      <c r="P36" s="163"/>
    </row>
    <row r="37" spans="1:16" ht="11.85" customHeight="1" x14ac:dyDescent="0.2">
      <c r="A37" s="458" t="s">
        <v>85</v>
      </c>
      <c r="B37" s="1989" t="s">
        <v>548</v>
      </c>
      <c r="C37" s="2034">
        <v>99797.1</v>
      </c>
      <c r="D37" s="2034">
        <v>17.489999999999998</v>
      </c>
      <c r="E37" s="2034">
        <v>2910.6</v>
      </c>
      <c r="F37" s="2034">
        <v>798.28</v>
      </c>
      <c r="G37" s="2034">
        <f t="shared" si="0"/>
        <v>3708.88</v>
      </c>
      <c r="H37" s="2034">
        <v>10616.7</v>
      </c>
      <c r="I37" s="2034">
        <v>162947.25</v>
      </c>
      <c r="J37" s="2034">
        <f t="shared" si="1"/>
        <v>173563.95</v>
      </c>
      <c r="K37" s="2034">
        <v>51062.559999999998</v>
      </c>
      <c r="L37" s="2034">
        <f t="shared" si="2"/>
        <v>328149.98000000004</v>
      </c>
      <c r="M37" s="163"/>
      <c r="N37" s="163"/>
      <c r="O37" s="163"/>
      <c r="P37" s="163"/>
    </row>
    <row r="38" spans="1:16" ht="11.85" customHeight="1" x14ac:dyDescent="0.2">
      <c r="A38" s="458" t="s">
        <v>85</v>
      </c>
      <c r="B38" s="372" t="s">
        <v>556</v>
      </c>
      <c r="C38" s="2034">
        <v>100811.4</v>
      </c>
      <c r="D38" s="2034">
        <v>16.920000000000002</v>
      </c>
      <c r="E38" s="2034">
        <v>3057.73</v>
      </c>
      <c r="F38" s="2034">
        <v>809.83</v>
      </c>
      <c r="G38" s="2034">
        <f t="shared" si="0"/>
        <v>3867.56</v>
      </c>
      <c r="H38" s="2034">
        <v>10344.64</v>
      </c>
      <c r="I38" s="2034">
        <v>164480.32999999999</v>
      </c>
      <c r="J38" s="2034">
        <f t="shared" si="1"/>
        <v>174824.96999999997</v>
      </c>
      <c r="K38" s="2034">
        <v>51957.32</v>
      </c>
      <c r="L38" s="2034">
        <f t="shared" si="2"/>
        <v>331478.17</v>
      </c>
      <c r="M38" s="163"/>
      <c r="N38" s="163"/>
      <c r="O38" s="163"/>
      <c r="P38" s="163"/>
    </row>
    <row r="39" spans="1:16" ht="11.85" customHeight="1" x14ac:dyDescent="0.2">
      <c r="A39" s="458" t="s">
        <v>85</v>
      </c>
      <c r="B39" s="1989" t="s">
        <v>557</v>
      </c>
      <c r="C39" s="2034">
        <v>101406.1</v>
      </c>
      <c r="D39" s="2034">
        <v>16.649999999999999</v>
      </c>
      <c r="E39" s="2034">
        <v>3291.48</v>
      </c>
      <c r="F39" s="2034">
        <v>747.89</v>
      </c>
      <c r="G39" s="2034">
        <f t="shared" si="0"/>
        <v>4039.37</v>
      </c>
      <c r="H39" s="2034">
        <v>11105.45</v>
      </c>
      <c r="I39" s="2034">
        <v>166459.01999999999</v>
      </c>
      <c r="J39" s="2034">
        <f t="shared" si="1"/>
        <v>177564.47</v>
      </c>
      <c r="K39" s="2034">
        <v>51048.88</v>
      </c>
      <c r="L39" s="2034">
        <f t="shared" si="2"/>
        <v>334075.46999999997</v>
      </c>
      <c r="M39" s="163"/>
      <c r="N39" s="163"/>
      <c r="O39" s="163"/>
      <c r="P39" s="163"/>
    </row>
    <row r="40" spans="1:16" ht="11.85" customHeight="1" x14ac:dyDescent="0.2">
      <c r="A40" s="458" t="s">
        <v>85</v>
      </c>
      <c r="B40" s="372" t="s">
        <v>549</v>
      </c>
      <c r="C40" s="2034">
        <v>101816.5</v>
      </c>
      <c r="D40" s="2034">
        <v>16.22</v>
      </c>
      <c r="E40" s="2034">
        <v>3142.16</v>
      </c>
      <c r="F40" s="2034">
        <v>779.43</v>
      </c>
      <c r="G40" s="2034">
        <f t="shared" si="0"/>
        <v>3921.5899999999997</v>
      </c>
      <c r="H40" s="2034">
        <v>10481.9</v>
      </c>
      <c r="I40" s="2034">
        <v>168387.16</v>
      </c>
      <c r="J40" s="2034">
        <f t="shared" si="1"/>
        <v>178869.06</v>
      </c>
      <c r="K40" s="2034">
        <v>51778.79</v>
      </c>
      <c r="L40" s="2034">
        <f t="shared" si="2"/>
        <v>336402.16</v>
      </c>
      <c r="M40" s="163"/>
      <c r="N40" s="163"/>
      <c r="O40" s="163"/>
      <c r="P40" s="163"/>
    </row>
    <row r="41" spans="1:16" ht="11.85" customHeight="1" x14ac:dyDescent="0.2">
      <c r="A41" s="458" t="s">
        <v>85</v>
      </c>
      <c r="B41" s="1989" t="s">
        <v>558</v>
      </c>
      <c r="C41" s="2034">
        <v>103711.4</v>
      </c>
      <c r="D41" s="2034">
        <v>16.100000000000001</v>
      </c>
      <c r="E41" s="2034">
        <v>3324.5</v>
      </c>
      <c r="F41" s="2034">
        <v>875.63</v>
      </c>
      <c r="G41" s="2034">
        <f t="shared" si="0"/>
        <v>4200.13</v>
      </c>
      <c r="H41" s="2034">
        <v>9233.59</v>
      </c>
      <c r="I41" s="2034">
        <v>170399.77</v>
      </c>
      <c r="J41" s="2034">
        <f t="shared" si="1"/>
        <v>179633.36</v>
      </c>
      <c r="K41" s="2034">
        <v>52007.88</v>
      </c>
      <c r="L41" s="2034">
        <f t="shared" si="2"/>
        <v>339568.87</v>
      </c>
      <c r="M41" s="163"/>
      <c r="N41" s="163"/>
      <c r="O41" s="163"/>
      <c r="P41" s="163"/>
    </row>
    <row r="42" spans="1:16" ht="11.85" customHeight="1" x14ac:dyDescent="0.2">
      <c r="A42" s="458" t="s">
        <v>85</v>
      </c>
      <c r="B42" s="372" t="s">
        <v>559</v>
      </c>
      <c r="C42" s="2034">
        <v>103415.29999999999</v>
      </c>
      <c r="D42" s="2034">
        <v>15.86</v>
      </c>
      <c r="E42" s="2034">
        <v>3385.16</v>
      </c>
      <c r="F42" s="2034">
        <v>819.13</v>
      </c>
      <c r="G42" s="2034">
        <f t="shared" si="0"/>
        <v>4204.29</v>
      </c>
      <c r="H42" s="2034">
        <v>9249.8700000000008</v>
      </c>
      <c r="I42" s="2034">
        <v>173373.31</v>
      </c>
      <c r="J42" s="2034">
        <f t="shared" si="1"/>
        <v>182623.18</v>
      </c>
      <c r="K42" s="2034">
        <v>52760.94</v>
      </c>
      <c r="L42" s="2034">
        <f t="shared" si="2"/>
        <v>343019.57</v>
      </c>
      <c r="M42" s="163"/>
      <c r="N42" s="163"/>
      <c r="O42" s="163"/>
      <c r="P42" s="163"/>
    </row>
    <row r="43" spans="1:16" ht="11.85" customHeight="1" x14ac:dyDescent="0.2">
      <c r="A43" s="458" t="s">
        <v>85</v>
      </c>
      <c r="B43" s="1989" t="s">
        <v>550</v>
      </c>
      <c r="C43" s="2034">
        <v>108006.8</v>
      </c>
      <c r="D43" s="2034">
        <v>15.42</v>
      </c>
      <c r="E43" s="2034">
        <v>3581.76</v>
      </c>
      <c r="F43" s="2034">
        <v>871.8</v>
      </c>
      <c r="G43" s="2034">
        <f t="shared" si="0"/>
        <v>4453.5600000000004</v>
      </c>
      <c r="H43" s="2034">
        <v>8878.2099999999991</v>
      </c>
      <c r="I43" s="2034">
        <v>175104.43</v>
      </c>
      <c r="J43" s="2034">
        <f t="shared" si="1"/>
        <v>183982.63999999998</v>
      </c>
      <c r="K43" s="2034">
        <v>53138.66</v>
      </c>
      <c r="L43" s="2034">
        <f t="shared" si="2"/>
        <v>349597.07999999996</v>
      </c>
      <c r="M43" s="163"/>
      <c r="N43" s="163"/>
      <c r="O43" s="163"/>
      <c r="P43" s="163"/>
    </row>
    <row r="44" spans="1:16" ht="11.85" customHeight="1" x14ac:dyDescent="0.2">
      <c r="A44" s="458" t="s">
        <v>81</v>
      </c>
      <c r="B44" s="372" t="s">
        <v>552</v>
      </c>
      <c r="C44" s="2034">
        <v>108605.9</v>
      </c>
      <c r="D44" s="2034">
        <v>15.16</v>
      </c>
      <c r="E44" s="2034">
        <v>3693.05</v>
      </c>
      <c r="F44" s="2034">
        <v>910.89</v>
      </c>
      <c r="G44" s="2034">
        <f t="shared" si="0"/>
        <v>4603.9400000000005</v>
      </c>
      <c r="H44" s="2034">
        <v>9102.67</v>
      </c>
      <c r="I44" s="2034">
        <v>175339.1</v>
      </c>
      <c r="J44" s="2034">
        <f t="shared" si="1"/>
        <v>184441.77000000002</v>
      </c>
      <c r="K44" s="2034">
        <v>54240.6</v>
      </c>
      <c r="L44" s="2034">
        <f t="shared" si="2"/>
        <v>351907.37</v>
      </c>
      <c r="M44" s="163"/>
      <c r="N44" s="163"/>
      <c r="O44" s="163"/>
      <c r="P44" s="163"/>
    </row>
    <row r="45" spans="1:16" ht="11.85" customHeight="1" x14ac:dyDescent="0.2">
      <c r="A45" s="458" t="s">
        <v>81</v>
      </c>
      <c r="B45" s="1989" t="s">
        <v>553</v>
      </c>
      <c r="C45" s="2034">
        <v>106260.9</v>
      </c>
      <c r="D45" s="2034">
        <v>15.03</v>
      </c>
      <c r="E45" s="2034">
        <v>3784.19</v>
      </c>
      <c r="F45" s="2034">
        <v>945.97</v>
      </c>
      <c r="G45" s="2034">
        <f t="shared" si="0"/>
        <v>4730.16</v>
      </c>
      <c r="H45" s="2034">
        <v>9088.07</v>
      </c>
      <c r="I45" s="2034">
        <v>178010.28</v>
      </c>
      <c r="J45" s="2034">
        <f t="shared" si="1"/>
        <v>187098.35</v>
      </c>
      <c r="K45" s="2034">
        <v>54893.23</v>
      </c>
      <c r="L45" s="2034">
        <f t="shared" si="2"/>
        <v>352997.67</v>
      </c>
      <c r="M45" s="163"/>
      <c r="N45" s="163"/>
      <c r="O45" s="163"/>
      <c r="P45" s="163"/>
    </row>
    <row r="46" spans="1:16" ht="11.85" customHeight="1" x14ac:dyDescent="0.2">
      <c r="A46" s="458" t="s">
        <v>81</v>
      </c>
      <c r="B46" s="372" t="s">
        <v>547</v>
      </c>
      <c r="C46" s="2034">
        <v>109169.7</v>
      </c>
      <c r="D46" s="2034">
        <v>14.62</v>
      </c>
      <c r="E46" s="2034">
        <v>3758.74</v>
      </c>
      <c r="F46" s="2034">
        <v>959</v>
      </c>
      <c r="G46" s="2034">
        <f t="shared" si="0"/>
        <v>4717.74</v>
      </c>
      <c r="H46" s="2034">
        <v>9219.2199999999993</v>
      </c>
      <c r="I46" s="2034">
        <v>181101.34</v>
      </c>
      <c r="J46" s="2034">
        <f t="shared" si="1"/>
        <v>190320.56</v>
      </c>
      <c r="K46" s="2034">
        <v>55843.55</v>
      </c>
      <c r="L46" s="2034">
        <f t="shared" si="2"/>
        <v>360066.17</v>
      </c>
      <c r="M46" s="163"/>
      <c r="N46" s="163"/>
      <c r="O46" s="163"/>
      <c r="P46" s="163"/>
    </row>
    <row r="47" spans="1:16" ht="11.85" customHeight="1" x14ac:dyDescent="0.2">
      <c r="A47" s="458" t="s">
        <v>81</v>
      </c>
      <c r="B47" s="1989" t="s">
        <v>554</v>
      </c>
      <c r="C47" s="2034">
        <v>108732.29999999999</v>
      </c>
      <c r="D47" s="2034">
        <v>14.25</v>
      </c>
      <c r="E47" s="2034">
        <v>3802.96</v>
      </c>
      <c r="F47" s="2034">
        <v>897.68</v>
      </c>
      <c r="G47" s="2034">
        <f t="shared" si="0"/>
        <v>4700.6400000000003</v>
      </c>
      <c r="H47" s="2034">
        <v>9477.68</v>
      </c>
      <c r="I47" s="2034">
        <v>184747.04</v>
      </c>
      <c r="J47" s="2034">
        <f t="shared" si="1"/>
        <v>194224.72</v>
      </c>
      <c r="K47" s="2034">
        <v>56997.26</v>
      </c>
      <c r="L47" s="2034">
        <f t="shared" si="2"/>
        <v>364669.17</v>
      </c>
      <c r="M47" s="163"/>
      <c r="N47" s="163"/>
      <c r="O47" s="163"/>
      <c r="P47" s="163"/>
    </row>
    <row r="48" spans="1:16" ht="11.85" customHeight="1" x14ac:dyDescent="0.2">
      <c r="A48" s="458" t="s">
        <v>81</v>
      </c>
      <c r="B48" s="372" t="s">
        <v>555</v>
      </c>
      <c r="C48" s="2034">
        <v>106103.3</v>
      </c>
      <c r="D48" s="2034">
        <v>14.27</v>
      </c>
      <c r="E48" s="2034">
        <v>3853.78</v>
      </c>
      <c r="F48" s="2034">
        <v>946.02</v>
      </c>
      <c r="G48" s="2034">
        <f t="shared" si="0"/>
        <v>4799.8</v>
      </c>
      <c r="H48" s="2034">
        <v>10020.24</v>
      </c>
      <c r="I48" s="2034">
        <v>190395.17</v>
      </c>
      <c r="J48" s="2034">
        <f t="shared" si="1"/>
        <v>200415.41</v>
      </c>
      <c r="K48" s="2034">
        <v>58060.2</v>
      </c>
      <c r="L48" s="2034">
        <f t="shared" si="2"/>
        <v>369392.98000000004</v>
      </c>
      <c r="M48" s="163"/>
      <c r="N48" s="163"/>
      <c r="O48" s="163"/>
      <c r="P48" s="163"/>
    </row>
    <row r="49" spans="1:16" ht="11.85" customHeight="1" x14ac:dyDescent="0.2">
      <c r="A49" s="458" t="s">
        <v>81</v>
      </c>
      <c r="B49" s="1989" t="s">
        <v>548</v>
      </c>
      <c r="C49" s="2034">
        <v>104070.20000000001</v>
      </c>
      <c r="D49" s="2034">
        <v>13.76</v>
      </c>
      <c r="E49" s="2034">
        <v>3974.17</v>
      </c>
      <c r="F49" s="2034">
        <v>991.54</v>
      </c>
      <c r="G49" s="2034">
        <f t="shared" si="0"/>
        <v>4965.71</v>
      </c>
      <c r="H49" s="2034">
        <v>11022.05</v>
      </c>
      <c r="I49" s="2034">
        <v>194955.82</v>
      </c>
      <c r="J49" s="2034">
        <f t="shared" si="1"/>
        <v>205977.87</v>
      </c>
      <c r="K49" s="2034">
        <v>60206.32</v>
      </c>
      <c r="L49" s="2034">
        <f t="shared" si="2"/>
        <v>375233.86000000004</v>
      </c>
      <c r="M49" s="163"/>
      <c r="N49" s="163"/>
      <c r="O49" s="163"/>
      <c r="P49" s="163"/>
    </row>
    <row r="50" spans="1:16" ht="11.85" customHeight="1" x14ac:dyDescent="0.2">
      <c r="A50" s="458" t="s">
        <v>81</v>
      </c>
      <c r="B50" s="372" t="s">
        <v>556</v>
      </c>
      <c r="C50" s="2034">
        <v>105047.9</v>
      </c>
      <c r="D50" s="2034">
        <v>13.5</v>
      </c>
      <c r="E50" s="2034">
        <v>3959.71</v>
      </c>
      <c r="F50" s="2034">
        <v>1047.3599999999999</v>
      </c>
      <c r="G50" s="2034">
        <f t="shared" si="0"/>
        <v>5007.07</v>
      </c>
      <c r="H50" s="2034">
        <v>10295.48</v>
      </c>
      <c r="I50" s="2034">
        <v>196320.57</v>
      </c>
      <c r="J50" s="2034">
        <f t="shared" si="1"/>
        <v>206616.05000000002</v>
      </c>
      <c r="K50" s="2034">
        <v>61507.360000000001</v>
      </c>
      <c r="L50" s="2034">
        <f t="shared" si="2"/>
        <v>378191.88</v>
      </c>
      <c r="M50" s="163"/>
      <c r="N50" s="163"/>
      <c r="O50" s="163"/>
      <c r="P50" s="163"/>
    </row>
    <row r="51" spans="1:16" ht="11.85" customHeight="1" x14ac:dyDescent="0.2">
      <c r="A51" s="458" t="s">
        <v>81</v>
      </c>
      <c r="B51" s="1989" t="s">
        <v>557</v>
      </c>
      <c r="C51" s="2034">
        <v>106789.6</v>
      </c>
      <c r="D51" s="2034">
        <v>13.32</v>
      </c>
      <c r="E51" s="2034">
        <v>4109.7700000000004</v>
      </c>
      <c r="F51" s="2034">
        <v>1104.5899999999999</v>
      </c>
      <c r="G51" s="2034">
        <f t="shared" si="0"/>
        <v>5214.3600000000006</v>
      </c>
      <c r="H51" s="2034">
        <v>10286.5</v>
      </c>
      <c r="I51" s="2034">
        <v>198436.07</v>
      </c>
      <c r="J51" s="2034">
        <f t="shared" si="1"/>
        <v>208722.57</v>
      </c>
      <c r="K51" s="2034">
        <v>61720.23</v>
      </c>
      <c r="L51" s="2034">
        <f t="shared" si="2"/>
        <v>382460.08</v>
      </c>
      <c r="M51" s="163"/>
      <c r="N51" s="163"/>
      <c r="O51" s="163"/>
      <c r="P51" s="163"/>
    </row>
    <row r="52" spans="1:16" ht="11.85" customHeight="1" x14ac:dyDescent="0.2">
      <c r="A52" s="458" t="s">
        <v>81</v>
      </c>
      <c r="B52" s="372" t="s">
        <v>549</v>
      </c>
      <c r="C52" s="2034">
        <v>106355.7</v>
      </c>
      <c r="D52" s="2034">
        <v>12.96</v>
      </c>
      <c r="E52" s="2034">
        <v>4377.22</v>
      </c>
      <c r="F52" s="2034">
        <v>1204.8800000000001</v>
      </c>
      <c r="G52" s="2034">
        <f t="shared" si="0"/>
        <v>5582.1</v>
      </c>
      <c r="H52" s="2034">
        <v>10943.31</v>
      </c>
      <c r="I52" s="2034">
        <v>199894.99</v>
      </c>
      <c r="J52" s="2034">
        <f t="shared" si="1"/>
        <v>210838.3</v>
      </c>
      <c r="K52" s="2034">
        <v>63492.62</v>
      </c>
      <c r="L52" s="2034">
        <f t="shared" si="2"/>
        <v>386281.68</v>
      </c>
      <c r="M52" s="163"/>
      <c r="N52" s="163"/>
      <c r="O52" s="163"/>
      <c r="P52" s="163"/>
    </row>
    <row r="53" spans="1:16" ht="11.85" customHeight="1" x14ac:dyDescent="0.2">
      <c r="A53" s="458" t="s">
        <v>81</v>
      </c>
      <c r="B53" s="1989" t="s">
        <v>558</v>
      </c>
      <c r="C53" s="2034">
        <v>107205.4</v>
      </c>
      <c r="D53" s="2034">
        <v>12.72</v>
      </c>
      <c r="E53" s="2034">
        <v>4279.0600000000004</v>
      </c>
      <c r="F53" s="2034">
        <v>906.18</v>
      </c>
      <c r="G53" s="2034">
        <f t="shared" si="0"/>
        <v>5185.2400000000007</v>
      </c>
      <c r="H53" s="2034">
        <v>11247.91</v>
      </c>
      <c r="I53" s="2034">
        <v>204872.65</v>
      </c>
      <c r="J53" s="2034">
        <f t="shared" si="1"/>
        <v>216120.56</v>
      </c>
      <c r="K53" s="2034">
        <v>64220.25</v>
      </c>
      <c r="L53" s="2034">
        <f t="shared" si="2"/>
        <v>392744.17</v>
      </c>
      <c r="M53" s="163"/>
      <c r="N53" s="163"/>
      <c r="O53" s="163"/>
      <c r="P53" s="163"/>
    </row>
    <row r="54" spans="1:16" ht="11.85" customHeight="1" x14ac:dyDescent="0.2">
      <c r="A54" s="458" t="s">
        <v>81</v>
      </c>
      <c r="B54" s="372" t="s">
        <v>559</v>
      </c>
      <c r="C54" s="2034">
        <v>109831.8</v>
      </c>
      <c r="D54" s="2034">
        <v>12.56</v>
      </c>
      <c r="E54" s="2034">
        <v>4102.38</v>
      </c>
      <c r="F54" s="2034">
        <v>868.23</v>
      </c>
      <c r="G54" s="2034">
        <f t="shared" si="0"/>
        <v>4970.6100000000006</v>
      </c>
      <c r="H54" s="2034">
        <v>10692.75</v>
      </c>
      <c r="I54" s="2034">
        <v>210922.77</v>
      </c>
      <c r="J54" s="2034">
        <f t="shared" si="1"/>
        <v>221615.52</v>
      </c>
      <c r="K54" s="2034">
        <v>65939.48</v>
      </c>
      <c r="L54" s="2034">
        <f t="shared" si="2"/>
        <v>402369.97</v>
      </c>
      <c r="M54" s="163"/>
      <c r="N54" s="163"/>
      <c r="O54" s="163"/>
      <c r="P54" s="163"/>
    </row>
    <row r="55" spans="1:16" ht="11.85" customHeight="1" x14ac:dyDescent="0.2">
      <c r="A55" s="458" t="s">
        <v>81</v>
      </c>
      <c r="B55" s="1989" t="s">
        <v>550</v>
      </c>
      <c r="C55" s="2034">
        <v>115921.3</v>
      </c>
      <c r="D55" s="2034">
        <v>12.31</v>
      </c>
      <c r="E55" s="2034">
        <v>4028.87</v>
      </c>
      <c r="F55" s="2034">
        <v>855.33</v>
      </c>
      <c r="G55" s="2034">
        <f t="shared" si="0"/>
        <v>4884.2</v>
      </c>
      <c r="H55" s="2034">
        <v>11062.31</v>
      </c>
      <c r="I55" s="2034">
        <v>215758.99</v>
      </c>
      <c r="J55" s="2034">
        <f t="shared" si="1"/>
        <v>226821.3</v>
      </c>
      <c r="K55" s="2034">
        <v>68779.06</v>
      </c>
      <c r="L55" s="2034">
        <f t="shared" si="2"/>
        <v>416418.17</v>
      </c>
      <c r="M55" s="163"/>
      <c r="N55" s="163"/>
      <c r="O55" s="163"/>
      <c r="P55" s="163"/>
    </row>
    <row r="56" spans="1:16" ht="11.85" customHeight="1" x14ac:dyDescent="0.2">
      <c r="A56" s="458" t="s">
        <v>189</v>
      </c>
      <c r="B56" s="372" t="s">
        <v>552</v>
      </c>
      <c r="C56" s="2034">
        <v>116154.1</v>
      </c>
      <c r="D56" s="2034">
        <v>12.01</v>
      </c>
      <c r="E56" s="2034">
        <v>3860.9</v>
      </c>
      <c r="F56" s="2034">
        <v>851.15</v>
      </c>
      <c r="G56" s="2034">
        <f t="shared" si="0"/>
        <v>4712.05</v>
      </c>
      <c r="H56" s="2034">
        <v>11258.07</v>
      </c>
      <c r="I56" s="2034">
        <v>218377.57</v>
      </c>
      <c r="J56" s="2034">
        <f t="shared" si="1"/>
        <v>229635.64</v>
      </c>
      <c r="K56" s="2034">
        <v>69315.66</v>
      </c>
      <c r="L56" s="2034">
        <f t="shared" si="2"/>
        <v>419829.46000000008</v>
      </c>
      <c r="M56" s="163"/>
      <c r="N56" s="163"/>
      <c r="O56" s="163"/>
      <c r="P56" s="163"/>
    </row>
    <row r="57" spans="1:16" ht="11.85" customHeight="1" x14ac:dyDescent="0.2">
      <c r="A57" s="458" t="s">
        <v>189</v>
      </c>
      <c r="B57" s="1989" t="s">
        <v>553</v>
      </c>
      <c r="C57" s="2034">
        <v>116071.70000000001</v>
      </c>
      <c r="D57" s="2034">
        <v>11.78</v>
      </c>
      <c r="E57" s="2034">
        <v>3878.87</v>
      </c>
      <c r="F57" s="2034">
        <v>931.18</v>
      </c>
      <c r="G57" s="2034">
        <f t="shared" si="0"/>
        <v>4810.05</v>
      </c>
      <c r="H57" s="2034">
        <v>11421.04</v>
      </c>
      <c r="I57" s="2034">
        <v>224192.47</v>
      </c>
      <c r="J57" s="2034">
        <f t="shared" si="1"/>
        <v>235613.51</v>
      </c>
      <c r="K57" s="2034">
        <v>70218.13</v>
      </c>
      <c r="L57" s="2034">
        <f t="shared" si="2"/>
        <v>426725.17000000004</v>
      </c>
      <c r="M57" s="163"/>
      <c r="N57" s="163"/>
      <c r="O57" s="163"/>
      <c r="P57" s="163"/>
    </row>
    <row r="58" spans="1:16" ht="11.85" customHeight="1" x14ac:dyDescent="0.2">
      <c r="A58" s="458" t="s">
        <v>189</v>
      </c>
      <c r="B58" s="372" t="s">
        <v>547</v>
      </c>
      <c r="C58" s="2034">
        <v>116634.8</v>
      </c>
      <c r="D58" s="2034">
        <v>11.55</v>
      </c>
      <c r="E58" s="2034">
        <v>3926.6</v>
      </c>
      <c r="F58" s="2034">
        <v>1042.1500000000001</v>
      </c>
      <c r="G58" s="2034">
        <f t="shared" si="0"/>
        <v>4968.75</v>
      </c>
      <c r="H58" s="2034">
        <v>11598.93</v>
      </c>
      <c r="I58" s="2034">
        <v>230525.84</v>
      </c>
      <c r="J58" s="2034">
        <f t="shared" si="1"/>
        <v>242124.77</v>
      </c>
      <c r="K58" s="2034">
        <v>70833</v>
      </c>
      <c r="L58" s="2034">
        <f t="shared" si="2"/>
        <v>434572.87</v>
      </c>
      <c r="M58" s="163"/>
      <c r="N58" s="163"/>
      <c r="O58" s="163"/>
      <c r="P58" s="163"/>
    </row>
    <row r="59" spans="1:16" ht="11.85" customHeight="1" x14ac:dyDescent="0.2">
      <c r="A59" s="458" t="s">
        <v>189</v>
      </c>
      <c r="B59" s="1989" t="s">
        <v>554</v>
      </c>
      <c r="C59" s="2034">
        <v>117776.2</v>
      </c>
      <c r="D59" s="2034">
        <v>11.15</v>
      </c>
      <c r="E59" s="2034">
        <v>4229.01</v>
      </c>
      <c r="F59" s="2034">
        <v>1366.67</v>
      </c>
      <c r="G59" s="2034">
        <f t="shared" si="0"/>
        <v>5595.68</v>
      </c>
      <c r="H59" s="2034">
        <v>11812.63</v>
      </c>
      <c r="I59" s="2034">
        <v>236686.24</v>
      </c>
      <c r="J59" s="2034">
        <f t="shared" si="1"/>
        <v>248498.87</v>
      </c>
      <c r="K59" s="2034">
        <v>71816.570000000007</v>
      </c>
      <c r="L59" s="2034">
        <f t="shared" si="2"/>
        <v>443698.47000000003</v>
      </c>
      <c r="M59" s="163"/>
      <c r="N59" s="163"/>
      <c r="O59" s="163"/>
      <c r="P59" s="163"/>
    </row>
    <row r="60" spans="1:16" ht="11.85" customHeight="1" x14ac:dyDescent="0.2">
      <c r="A60" s="458" t="s">
        <v>189</v>
      </c>
      <c r="B60" s="372" t="s">
        <v>555</v>
      </c>
      <c r="C60" s="2034">
        <v>118457.4</v>
      </c>
      <c r="D60" s="2034">
        <v>10.85</v>
      </c>
      <c r="E60" s="2034">
        <v>4168.95</v>
      </c>
      <c r="F60" s="2034">
        <v>1350.08</v>
      </c>
      <c r="G60" s="2034">
        <f t="shared" si="0"/>
        <v>5519.03</v>
      </c>
      <c r="H60" s="2034">
        <v>13083.78</v>
      </c>
      <c r="I60" s="2034">
        <v>245946.39</v>
      </c>
      <c r="J60" s="2034">
        <f t="shared" si="1"/>
        <v>259030.17</v>
      </c>
      <c r="K60" s="2034">
        <v>72197.42</v>
      </c>
      <c r="L60" s="2034">
        <f t="shared" si="2"/>
        <v>455214.87</v>
      </c>
      <c r="M60" s="163"/>
      <c r="N60" s="163"/>
      <c r="O60" s="163"/>
      <c r="P60" s="163"/>
    </row>
    <row r="61" spans="1:16" ht="11.85" customHeight="1" x14ac:dyDescent="0.2">
      <c r="A61" s="458" t="s">
        <v>189</v>
      </c>
      <c r="B61" s="1989" t="s">
        <v>548</v>
      </c>
      <c r="C61" s="2034">
        <v>116140.4</v>
      </c>
      <c r="D61" s="2034">
        <v>10.55</v>
      </c>
      <c r="E61" s="2034">
        <v>4089.45</v>
      </c>
      <c r="F61" s="2034">
        <v>1672.44</v>
      </c>
      <c r="G61" s="2034">
        <f t="shared" si="0"/>
        <v>5761.8899999999994</v>
      </c>
      <c r="H61" s="2034">
        <v>14906.98</v>
      </c>
      <c r="I61" s="2034">
        <v>251923.13</v>
      </c>
      <c r="J61" s="2034">
        <f t="shared" si="1"/>
        <v>266830.11</v>
      </c>
      <c r="K61" s="2034">
        <v>74730.62</v>
      </c>
      <c r="L61" s="2034">
        <f t="shared" si="2"/>
        <v>463473.56999999995</v>
      </c>
      <c r="M61" s="163"/>
      <c r="N61" s="163"/>
      <c r="O61" s="163"/>
      <c r="P61" s="163"/>
    </row>
    <row r="62" spans="1:16" ht="11.85" customHeight="1" x14ac:dyDescent="0.2">
      <c r="A62" s="458" t="s">
        <v>189</v>
      </c>
      <c r="B62" s="372" t="s">
        <v>556</v>
      </c>
      <c r="C62" s="2034">
        <v>118868.20000000001</v>
      </c>
      <c r="D62" s="2034">
        <v>10.27</v>
      </c>
      <c r="E62" s="2034">
        <v>4499.88</v>
      </c>
      <c r="F62" s="2034">
        <v>2001.85</v>
      </c>
      <c r="G62" s="2034">
        <f t="shared" si="0"/>
        <v>6501.73</v>
      </c>
      <c r="H62" s="2034">
        <v>15370.94</v>
      </c>
      <c r="I62" s="2034">
        <v>254514.11</v>
      </c>
      <c r="J62" s="2034">
        <f t="shared" si="1"/>
        <v>269885.05</v>
      </c>
      <c r="K62" s="2034">
        <v>75712.52</v>
      </c>
      <c r="L62" s="2034">
        <f t="shared" si="2"/>
        <v>470977.77</v>
      </c>
      <c r="M62" s="163"/>
      <c r="N62" s="163"/>
      <c r="O62" s="163"/>
      <c r="P62" s="163"/>
    </row>
    <row r="63" spans="1:16" ht="11.85" customHeight="1" x14ac:dyDescent="0.2">
      <c r="A63" s="458" t="s">
        <v>189</v>
      </c>
      <c r="B63" s="1989" t="s">
        <v>557</v>
      </c>
      <c r="C63" s="2034">
        <v>120479.5</v>
      </c>
      <c r="D63" s="2034">
        <v>10</v>
      </c>
      <c r="E63" s="2034">
        <v>4534.6000000000004</v>
      </c>
      <c r="F63" s="2034">
        <v>2014.1</v>
      </c>
      <c r="G63" s="2034">
        <f t="shared" si="0"/>
        <v>6548.7000000000007</v>
      </c>
      <c r="H63" s="2034">
        <v>15359.9</v>
      </c>
      <c r="I63" s="2034">
        <v>257756.3</v>
      </c>
      <c r="J63" s="2034">
        <f t="shared" si="1"/>
        <v>273116.2</v>
      </c>
      <c r="K63" s="2034">
        <v>76160.5</v>
      </c>
      <c r="L63" s="2034">
        <f t="shared" si="2"/>
        <v>476314.9</v>
      </c>
      <c r="M63" s="163"/>
      <c r="N63" s="163"/>
      <c r="O63" s="163"/>
      <c r="P63" s="163"/>
    </row>
    <row r="64" spans="1:16" ht="11.85" customHeight="1" x14ac:dyDescent="0.2">
      <c r="A64" s="458" t="s">
        <v>189</v>
      </c>
      <c r="B64" s="372" t="s">
        <v>549</v>
      </c>
      <c r="C64" s="2034">
        <v>125410.8</v>
      </c>
      <c r="D64" s="2034">
        <v>9.9</v>
      </c>
      <c r="E64" s="2034">
        <v>4508</v>
      </c>
      <c r="F64" s="2034">
        <v>2097.6999999999998</v>
      </c>
      <c r="G64" s="2034">
        <f t="shared" si="0"/>
        <v>6605.7</v>
      </c>
      <c r="H64" s="2034">
        <v>15561.1</v>
      </c>
      <c r="I64" s="2034">
        <v>262821.2</v>
      </c>
      <c r="J64" s="2034">
        <f t="shared" si="1"/>
        <v>278382.3</v>
      </c>
      <c r="K64" s="2034">
        <v>77297.399999999994</v>
      </c>
      <c r="L64" s="2034">
        <f t="shared" si="2"/>
        <v>487706.1</v>
      </c>
      <c r="M64" s="163"/>
      <c r="N64" s="163"/>
      <c r="O64" s="163"/>
      <c r="P64" s="163"/>
    </row>
    <row r="65" spans="1:16" ht="11.85" customHeight="1" x14ac:dyDescent="0.2">
      <c r="A65" s="458" t="s">
        <v>189</v>
      </c>
      <c r="B65" s="1989" t="s">
        <v>558</v>
      </c>
      <c r="C65" s="2034">
        <v>128098</v>
      </c>
      <c r="D65" s="2034">
        <v>9.6999999999999993</v>
      </c>
      <c r="E65" s="2034">
        <v>4226.2</v>
      </c>
      <c r="F65" s="2034">
        <v>2200.4</v>
      </c>
      <c r="G65" s="2034">
        <f t="shared" si="0"/>
        <v>6426.6</v>
      </c>
      <c r="H65" s="2034">
        <v>14303.4</v>
      </c>
      <c r="I65" s="2034">
        <v>267875.7</v>
      </c>
      <c r="J65" s="2034">
        <f t="shared" si="1"/>
        <v>282179.10000000003</v>
      </c>
      <c r="K65" s="2034">
        <v>78726.8</v>
      </c>
      <c r="L65" s="2034">
        <f t="shared" si="2"/>
        <v>495440.2</v>
      </c>
      <c r="M65" s="163"/>
      <c r="N65" s="163"/>
      <c r="O65" s="163"/>
      <c r="P65" s="163"/>
    </row>
    <row r="66" spans="1:16" ht="11.85" customHeight="1" x14ac:dyDescent="0.2">
      <c r="A66" s="458" t="s">
        <v>189</v>
      </c>
      <c r="B66" s="372" t="s">
        <v>559</v>
      </c>
      <c r="C66" s="2034">
        <v>129920.3</v>
      </c>
      <c r="D66" s="2034">
        <v>9.6</v>
      </c>
      <c r="E66" s="2034">
        <v>4043</v>
      </c>
      <c r="F66" s="2034">
        <v>2328.1999999999998</v>
      </c>
      <c r="G66" s="2034">
        <f t="shared" si="0"/>
        <v>6371.2</v>
      </c>
      <c r="H66" s="2034">
        <v>14890.5</v>
      </c>
      <c r="I66" s="2034">
        <v>271997.90000000002</v>
      </c>
      <c r="J66" s="2034">
        <f t="shared" si="1"/>
        <v>286888.40000000002</v>
      </c>
      <c r="K66" s="2034">
        <v>80457.100000000006</v>
      </c>
      <c r="L66" s="2034">
        <f t="shared" si="2"/>
        <v>503646.6</v>
      </c>
      <c r="M66" s="163"/>
      <c r="N66" s="163"/>
      <c r="O66" s="163"/>
      <c r="P66" s="163"/>
    </row>
    <row r="67" spans="1:16" ht="11.85" customHeight="1" x14ac:dyDescent="0.2">
      <c r="A67" s="458" t="s">
        <v>189</v>
      </c>
      <c r="B67" s="1989" t="s">
        <v>550</v>
      </c>
      <c r="C67" s="2158">
        <v>137152</v>
      </c>
      <c r="D67" s="2158">
        <v>9.4</v>
      </c>
      <c r="E67" s="2158">
        <v>4573</v>
      </c>
      <c r="F67" s="2158">
        <v>2320.9</v>
      </c>
      <c r="G67" s="2158">
        <f t="shared" si="0"/>
        <v>6893.9</v>
      </c>
      <c r="H67" s="2158">
        <v>14812.7</v>
      </c>
      <c r="I67" s="2158">
        <v>273618.90000000002</v>
      </c>
      <c r="J67" s="2158">
        <f t="shared" si="1"/>
        <v>288431.60000000003</v>
      </c>
      <c r="K67" s="2158">
        <v>83570</v>
      </c>
      <c r="L67" s="2158">
        <f t="shared" si="2"/>
        <v>516056.9</v>
      </c>
      <c r="M67" s="163"/>
      <c r="N67" s="163"/>
      <c r="O67" s="163"/>
      <c r="P67" s="163"/>
    </row>
    <row r="68" spans="1:16" ht="11.85" customHeight="1" x14ac:dyDescent="0.2">
      <c r="A68" s="458" t="s">
        <v>696</v>
      </c>
      <c r="B68" s="372" t="s">
        <v>552</v>
      </c>
      <c r="C68" s="2038">
        <v>139534</v>
      </c>
      <c r="D68" s="2038">
        <v>8.6999999999999993</v>
      </c>
      <c r="E68" s="2038">
        <v>4465.8999999999996</v>
      </c>
      <c r="F68" s="2038">
        <v>2440</v>
      </c>
      <c r="G68" s="2038">
        <f t="shared" ref="G68:G90" si="3">E68+F68</f>
        <v>6905.9</v>
      </c>
      <c r="H68" s="2038">
        <v>14623.6</v>
      </c>
      <c r="I68" s="2038">
        <v>274260.90000000002</v>
      </c>
      <c r="J68" s="2038">
        <f t="shared" ref="J68:J83" si="4">H68+I68</f>
        <v>288884.5</v>
      </c>
      <c r="K68" s="2038">
        <v>83291.8</v>
      </c>
      <c r="L68" s="2038">
        <f t="shared" ref="L68:L90" si="5">C68+D68+G68+J68+K68</f>
        <v>518624.89999999997</v>
      </c>
      <c r="M68" s="163"/>
      <c r="N68" s="163"/>
      <c r="O68" s="163"/>
      <c r="P68" s="163"/>
    </row>
    <row r="69" spans="1:16" ht="11.85" customHeight="1" x14ac:dyDescent="0.2">
      <c r="A69" s="458" t="s">
        <v>696</v>
      </c>
      <c r="B69" s="1989" t="s">
        <v>553</v>
      </c>
      <c r="C69" s="2034">
        <v>140873</v>
      </c>
      <c r="D69" s="2034">
        <v>8.4</v>
      </c>
      <c r="E69" s="2034">
        <v>4566.8999999999996</v>
      </c>
      <c r="F69" s="2034">
        <v>3030.8</v>
      </c>
      <c r="G69" s="2034">
        <f t="shared" si="3"/>
        <v>7597.7</v>
      </c>
      <c r="H69" s="2034">
        <v>15265</v>
      </c>
      <c r="I69" s="2034">
        <v>278080.3</v>
      </c>
      <c r="J69" s="2034">
        <f t="shared" si="4"/>
        <v>293345.3</v>
      </c>
      <c r="K69" s="2034">
        <v>84156.3</v>
      </c>
      <c r="L69" s="2034">
        <f t="shared" si="5"/>
        <v>525980.70000000007</v>
      </c>
      <c r="M69" s="163"/>
      <c r="N69" s="163"/>
      <c r="O69" s="163"/>
      <c r="P69" s="163"/>
    </row>
    <row r="70" spans="1:16" ht="11.85" customHeight="1" x14ac:dyDescent="0.2">
      <c r="A70" s="458" t="s">
        <v>696</v>
      </c>
      <c r="B70" s="372" t="s">
        <v>547</v>
      </c>
      <c r="C70" s="2038">
        <v>144882.4</v>
      </c>
      <c r="D70" s="2038">
        <v>8.1999999999999993</v>
      </c>
      <c r="E70" s="2038">
        <v>4906.8999999999996</v>
      </c>
      <c r="F70" s="2038">
        <v>3092.7</v>
      </c>
      <c r="G70" s="2038">
        <f t="shared" si="3"/>
        <v>7999.5999999999995</v>
      </c>
      <c r="H70" s="2038">
        <v>14012.9</v>
      </c>
      <c r="I70" s="2038">
        <v>283189</v>
      </c>
      <c r="J70" s="2038">
        <f t="shared" si="4"/>
        <v>297201.90000000002</v>
      </c>
      <c r="K70" s="2038">
        <v>83950</v>
      </c>
      <c r="L70" s="2038">
        <f t="shared" si="5"/>
        <v>534042.10000000009</v>
      </c>
      <c r="M70" s="163"/>
      <c r="N70" s="163"/>
      <c r="O70" s="163"/>
      <c r="P70" s="163"/>
    </row>
    <row r="71" spans="1:16" ht="11.85" customHeight="1" x14ac:dyDescent="0.2">
      <c r="A71" s="458" t="s">
        <v>696</v>
      </c>
      <c r="B71" s="1989" t="s">
        <v>554</v>
      </c>
      <c r="C71" s="2034">
        <v>152036.79999999999</v>
      </c>
      <c r="D71" s="2034">
        <v>7.9</v>
      </c>
      <c r="E71" s="2034">
        <v>4866.2</v>
      </c>
      <c r="F71" s="2034">
        <v>3338.1</v>
      </c>
      <c r="G71" s="2034">
        <f t="shared" si="3"/>
        <v>8204.2999999999993</v>
      </c>
      <c r="H71" s="2034">
        <v>12629.1</v>
      </c>
      <c r="I71" s="2034">
        <v>290132.59999999998</v>
      </c>
      <c r="J71" s="2034">
        <f t="shared" si="4"/>
        <v>302761.69999999995</v>
      </c>
      <c r="K71" s="2034">
        <v>83396.7</v>
      </c>
      <c r="L71" s="2034">
        <f t="shared" si="5"/>
        <v>546407.39999999991</v>
      </c>
      <c r="M71" s="163"/>
      <c r="N71" s="163"/>
      <c r="O71" s="163"/>
      <c r="P71" s="163"/>
    </row>
    <row r="72" spans="1:16" ht="11.85" customHeight="1" x14ac:dyDescent="0.2">
      <c r="A72" s="458" t="s">
        <v>696</v>
      </c>
      <c r="B72" s="372" t="s">
        <v>555</v>
      </c>
      <c r="C72" s="2038">
        <v>154913.20000000001</v>
      </c>
      <c r="D72" s="2038">
        <v>7.6</v>
      </c>
      <c r="E72" s="2038">
        <v>5070.8999999999996</v>
      </c>
      <c r="F72" s="2038">
        <v>3124.8</v>
      </c>
      <c r="G72" s="2038">
        <f t="shared" si="3"/>
        <v>8195.7000000000007</v>
      </c>
      <c r="H72" s="2038">
        <v>14896.6</v>
      </c>
      <c r="I72" s="2038">
        <v>295169.3</v>
      </c>
      <c r="J72" s="2038">
        <f t="shared" si="4"/>
        <v>310065.89999999997</v>
      </c>
      <c r="K72" s="2038">
        <v>83909.7</v>
      </c>
      <c r="L72" s="2038">
        <f t="shared" si="5"/>
        <v>557092.1</v>
      </c>
      <c r="M72" s="163"/>
      <c r="N72" s="163"/>
      <c r="O72" s="163"/>
      <c r="P72" s="163"/>
    </row>
    <row r="73" spans="1:16" ht="11.85" customHeight="1" x14ac:dyDescent="0.2">
      <c r="A73" s="458" t="s">
        <v>696</v>
      </c>
      <c r="B73" s="1989" t="s">
        <v>548</v>
      </c>
      <c r="C73" s="2034">
        <v>154978.20000000001</v>
      </c>
      <c r="D73" s="2034">
        <v>7.4</v>
      </c>
      <c r="E73" s="2034">
        <v>5157.8</v>
      </c>
      <c r="F73" s="2034">
        <v>3151.2</v>
      </c>
      <c r="G73" s="2034">
        <f t="shared" si="3"/>
        <v>8309</v>
      </c>
      <c r="H73" s="2034">
        <v>14159</v>
      </c>
      <c r="I73" s="2034">
        <v>303099.8</v>
      </c>
      <c r="J73" s="2034">
        <f t="shared" si="4"/>
        <v>317258.8</v>
      </c>
      <c r="K73" s="2034">
        <v>85802.8</v>
      </c>
      <c r="L73" s="2034">
        <f t="shared" si="5"/>
        <v>566356.20000000007</v>
      </c>
      <c r="M73" s="163"/>
      <c r="N73" s="163"/>
      <c r="O73" s="163"/>
      <c r="P73" s="163"/>
    </row>
    <row r="74" spans="1:16" ht="11.85" customHeight="1" x14ac:dyDescent="0.2">
      <c r="A74" s="458" t="s">
        <v>696</v>
      </c>
      <c r="B74" s="372" t="s">
        <v>556</v>
      </c>
      <c r="C74" s="2038">
        <v>152805.9</v>
      </c>
      <c r="D74" s="2038">
        <v>7.1</v>
      </c>
      <c r="E74" s="2038">
        <v>4981.8</v>
      </c>
      <c r="F74" s="2038">
        <v>3172.5</v>
      </c>
      <c r="G74" s="2038">
        <f t="shared" si="3"/>
        <v>8154.3</v>
      </c>
      <c r="H74" s="2038">
        <v>12964.5</v>
      </c>
      <c r="I74" s="2038">
        <v>306415.5</v>
      </c>
      <c r="J74" s="2038">
        <f t="shared" si="4"/>
        <v>319380</v>
      </c>
      <c r="K74" s="2038">
        <v>86931.4</v>
      </c>
      <c r="L74" s="2038">
        <f t="shared" si="5"/>
        <v>567278.69999999995</v>
      </c>
      <c r="M74" s="163"/>
      <c r="N74" s="163"/>
      <c r="O74" s="163"/>
      <c r="P74" s="163"/>
    </row>
    <row r="75" spans="1:16" ht="11.85" customHeight="1" x14ac:dyDescent="0.2">
      <c r="A75" s="458" t="s">
        <v>696</v>
      </c>
      <c r="B75" s="1989" t="s">
        <v>557</v>
      </c>
      <c r="C75" s="2034">
        <v>153156.70000000001</v>
      </c>
      <c r="D75" s="2034">
        <v>6.9</v>
      </c>
      <c r="E75" s="2034">
        <v>5034.5</v>
      </c>
      <c r="F75" s="2034">
        <v>3175.3</v>
      </c>
      <c r="G75" s="2034">
        <f t="shared" si="3"/>
        <v>8209.7999999999993</v>
      </c>
      <c r="H75" s="2034">
        <v>14135.4</v>
      </c>
      <c r="I75" s="2034">
        <v>312745</v>
      </c>
      <c r="J75" s="2034">
        <f t="shared" si="4"/>
        <v>326880.40000000002</v>
      </c>
      <c r="K75" s="2034">
        <v>86331.7</v>
      </c>
      <c r="L75" s="2034">
        <f t="shared" si="5"/>
        <v>574585.5</v>
      </c>
      <c r="M75" s="163"/>
      <c r="N75" s="163"/>
      <c r="O75" s="163"/>
      <c r="P75" s="163"/>
    </row>
    <row r="76" spans="1:16" ht="11.85" customHeight="1" x14ac:dyDescent="0.2">
      <c r="A76" s="458" t="s">
        <v>696</v>
      </c>
      <c r="B76" s="372" t="s">
        <v>549</v>
      </c>
      <c r="C76" s="2038">
        <v>154226.70000000001</v>
      </c>
      <c r="D76" s="2038">
        <v>6.5</v>
      </c>
      <c r="E76" s="2038">
        <v>5241.5</v>
      </c>
      <c r="F76" s="2038">
        <v>3328.2</v>
      </c>
      <c r="G76" s="2038">
        <f t="shared" si="3"/>
        <v>8569.7000000000007</v>
      </c>
      <c r="H76" s="2038">
        <v>13110.7</v>
      </c>
      <c r="I76" s="2038">
        <v>317372.5</v>
      </c>
      <c r="J76" s="2038">
        <f t="shared" si="4"/>
        <v>330483.20000000001</v>
      </c>
      <c r="K76" s="2038">
        <v>88208.8</v>
      </c>
      <c r="L76" s="2038">
        <f t="shared" si="5"/>
        <v>581494.9</v>
      </c>
      <c r="M76" s="163"/>
      <c r="N76" s="163"/>
      <c r="O76" s="163"/>
      <c r="P76" s="163"/>
    </row>
    <row r="77" spans="1:16" ht="11.85" customHeight="1" x14ac:dyDescent="0.2">
      <c r="A77" s="458" t="s">
        <v>696</v>
      </c>
      <c r="B77" s="1989" t="s">
        <v>558</v>
      </c>
      <c r="C77" s="2034">
        <v>153992.5</v>
      </c>
      <c r="D77" s="2034">
        <v>6.3</v>
      </c>
      <c r="E77" s="2034">
        <v>5291.7</v>
      </c>
      <c r="F77" s="2034">
        <v>3295.3</v>
      </c>
      <c r="G77" s="2034">
        <f t="shared" si="3"/>
        <v>8587</v>
      </c>
      <c r="H77" s="2034">
        <v>13639.7</v>
      </c>
      <c r="I77" s="2034">
        <v>320559.5</v>
      </c>
      <c r="J77" s="2034">
        <f t="shared" si="4"/>
        <v>334199.2</v>
      </c>
      <c r="K77" s="2034">
        <v>88538.9</v>
      </c>
      <c r="L77" s="2034">
        <f t="shared" si="5"/>
        <v>585323.9</v>
      </c>
      <c r="M77" s="163"/>
      <c r="N77" s="163"/>
      <c r="O77" s="163"/>
      <c r="P77" s="163"/>
    </row>
    <row r="78" spans="1:16" ht="11.85" customHeight="1" x14ac:dyDescent="0.2">
      <c r="A78" s="458" t="s">
        <v>696</v>
      </c>
      <c r="B78" s="372" t="s">
        <v>559</v>
      </c>
      <c r="C78" s="2038">
        <v>152456.79999999999</v>
      </c>
      <c r="D78" s="2038">
        <v>6</v>
      </c>
      <c r="E78" s="2038">
        <v>5373.2</v>
      </c>
      <c r="F78" s="2038">
        <v>3239.7</v>
      </c>
      <c r="G78" s="2038">
        <f t="shared" si="3"/>
        <v>8612.9</v>
      </c>
      <c r="H78" s="2038">
        <v>13010.1</v>
      </c>
      <c r="I78" s="2038">
        <v>328257.59999999998</v>
      </c>
      <c r="J78" s="2038">
        <f t="shared" si="4"/>
        <v>341267.69999999995</v>
      </c>
      <c r="K78" s="2038">
        <v>89680</v>
      </c>
      <c r="L78" s="2038">
        <f t="shared" si="5"/>
        <v>592023.39999999991</v>
      </c>
      <c r="M78" s="163"/>
      <c r="N78" s="163"/>
      <c r="O78" s="163"/>
      <c r="P78" s="163"/>
    </row>
    <row r="79" spans="1:16" ht="11.85" customHeight="1" x14ac:dyDescent="0.2">
      <c r="A79" s="458" t="s">
        <v>696</v>
      </c>
      <c r="B79" s="1989" t="s">
        <v>550</v>
      </c>
      <c r="C79" s="2059">
        <v>156122.70000000001</v>
      </c>
      <c r="D79" s="1037">
        <v>5.8</v>
      </c>
      <c r="E79" s="1037">
        <v>5636.7</v>
      </c>
      <c r="F79" s="1037">
        <v>3231.1</v>
      </c>
      <c r="G79" s="1037">
        <f t="shared" si="3"/>
        <v>8867.7999999999993</v>
      </c>
      <c r="H79" s="1037">
        <v>12751.5</v>
      </c>
      <c r="I79" s="1037">
        <v>334233.59999999998</v>
      </c>
      <c r="J79" s="1037">
        <f t="shared" si="4"/>
        <v>346985.1</v>
      </c>
      <c r="K79" s="1037">
        <v>92021.7</v>
      </c>
      <c r="L79" s="1037">
        <f t="shared" si="5"/>
        <v>604003.1</v>
      </c>
      <c r="M79" s="163"/>
      <c r="N79" s="163"/>
      <c r="O79" s="163"/>
      <c r="P79" s="163"/>
    </row>
    <row r="80" spans="1:16" ht="11.85" customHeight="1" x14ac:dyDescent="0.2">
      <c r="A80" s="458" t="s">
        <v>804</v>
      </c>
      <c r="B80" s="1989" t="s">
        <v>552</v>
      </c>
      <c r="C80" s="1037">
        <v>157609.9</v>
      </c>
      <c r="D80" s="1037">
        <v>5.5</v>
      </c>
      <c r="E80" s="1037">
        <v>5539.8</v>
      </c>
      <c r="F80" s="1037">
        <v>3266.2</v>
      </c>
      <c r="G80" s="1037">
        <f t="shared" si="3"/>
        <v>8806</v>
      </c>
      <c r="H80" s="1037">
        <v>12763.9</v>
      </c>
      <c r="I80" s="1037">
        <v>336836</v>
      </c>
      <c r="J80" s="1037">
        <f t="shared" si="4"/>
        <v>349599.9</v>
      </c>
      <c r="K80" s="1037">
        <v>92265.3</v>
      </c>
      <c r="L80" s="1037">
        <f t="shared" si="5"/>
        <v>608286.60000000009</v>
      </c>
      <c r="M80" s="163"/>
      <c r="N80" s="163"/>
      <c r="O80" s="163"/>
      <c r="P80" s="163"/>
    </row>
    <row r="81" spans="1:16" ht="11.85" customHeight="1" x14ac:dyDescent="0.2">
      <c r="A81" s="458" t="s">
        <v>804</v>
      </c>
      <c r="B81" s="372" t="s">
        <v>553</v>
      </c>
      <c r="C81" s="2050">
        <v>157781.9</v>
      </c>
      <c r="D81" s="2050">
        <v>5.0999999999999996</v>
      </c>
      <c r="E81" s="2050">
        <v>5667.9</v>
      </c>
      <c r="F81" s="2050">
        <v>3324.1</v>
      </c>
      <c r="G81" s="2050">
        <f t="shared" si="3"/>
        <v>8992</v>
      </c>
      <c r="H81" s="2050">
        <v>12895</v>
      </c>
      <c r="I81" s="2050">
        <v>341519.4</v>
      </c>
      <c r="J81" s="2050">
        <f t="shared" si="4"/>
        <v>354414.4</v>
      </c>
      <c r="K81" s="2050">
        <v>92525</v>
      </c>
      <c r="L81" s="2050">
        <f t="shared" si="5"/>
        <v>613718.4</v>
      </c>
      <c r="M81" s="163"/>
      <c r="N81" s="163"/>
      <c r="O81" s="163"/>
      <c r="P81" s="163"/>
    </row>
    <row r="82" spans="1:16" ht="11.85" customHeight="1" x14ac:dyDescent="0.2">
      <c r="A82" s="458" t="s">
        <v>804</v>
      </c>
      <c r="B82" s="1989" t="s">
        <v>547</v>
      </c>
      <c r="C82" s="1037">
        <v>156731.69999999998</v>
      </c>
      <c r="D82" s="1037">
        <v>4.9000000000000004</v>
      </c>
      <c r="E82" s="1037">
        <v>5811.5</v>
      </c>
      <c r="F82" s="1037">
        <v>3466.7</v>
      </c>
      <c r="G82" s="1037">
        <f t="shared" si="3"/>
        <v>9278.2000000000007</v>
      </c>
      <c r="H82" s="1037">
        <v>12212</v>
      </c>
      <c r="I82" s="1037">
        <v>346405.8</v>
      </c>
      <c r="J82" s="1037">
        <f t="shared" si="4"/>
        <v>358617.8</v>
      </c>
      <c r="K82" s="1037">
        <f>93059.5-1028.2</f>
        <v>92031.3</v>
      </c>
      <c r="L82" s="1037">
        <f t="shared" si="5"/>
        <v>616663.9</v>
      </c>
      <c r="M82" s="163"/>
      <c r="N82" s="163"/>
      <c r="O82" s="163"/>
      <c r="P82" s="163"/>
    </row>
    <row r="83" spans="1:16" ht="11.85" customHeight="1" x14ac:dyDescent="0.2">
      <c r="A83" s="458" t="s">
        <v>804</v>
      </c>
      <c r="B83" s="372" t="s">
        <v>554</v>
      </c>
      <c r="C83" s="1924">
        <v>164163.5</v>
      </c>
      <c r="D83" s="1924">
        <v>4.5999999999999996</v>
      </c>
      <c r="E83" s="1924">
        <v>5945.3</v>
      </c>
      <c r="F83" s="1924">
        <v>3507.9</v>
      </c>
      <c r="G83" s="2050">
        <f t="shared" si="3"/>
        <v>9453.2000000000007</v>
      </c>
      <c r="H83" s="1924">
        <v>12489.3</v>
      </c>
      <c r="I83" s="1924">
        <v>348477.4</v>
      </c>
      <c r="J83" s="2050">
        <f t="shared" si="4"/>
        <v>360966.7</v>
      </c>
      <c r="K83" s="1924">
        <v>93654.5</v>
      </c>
      <c r="L83" s="2050">
        <f t="shared" si="5"/>
        <v>628242.5</v>
      </c>
      <c r="M83" s="163"/>
      <c r="N83" s="163"/>
      <c r="O83" s="163"/>
      <c r="P83" s="163"/>
    </row>
    <row r="84" spans="1:16" ht="11.85" customHeight="1" x14ac:dyDescent="0.2">
      <c r="A84" s="458" t="s">
        <v>804</v>
      </c>
      <c r="B84" s="1989" t="s">
        <v>555</v>
      </c>
      <c r="C84" s="1922">
        <v>163245.79999999999</v>
      </c>
      <c r="D84" s="1922">
        <v>4.3</v>
      </c>
      <c r="E84" s="1922">
        <v>6398.4</v>
      </c>
      <c r="F84" s="1922">
        <v>3613.5</v>
      </c>
      <c r="G84" s="1037">
        <f t="shared" si="3"/>
        <v>10011.9</v>
      </c>
      <c r="H84" s="1922">
        <v>13028.4</v>
      </c>
      <c r="I84" s="1922">
        <v>350994.4</v>
      </c>
      <c r="J84" s="1037">
        <v>364022.8</v>
      </c>
      <c r="K84" s="1922">
        <v>93621.8</v>
      </c>
      <c r="L84" s="1037">
        <f t="shared" si="5"/>
        <v>630906.6</v>
      </c>
      <c r="M84" s="163"/>
      <c r="N84" s="163"/>
      <c r="O84" s="163"/>
      <c r="P84" s="163"/>
    </row>
    <row r="85" spans="1:16" ht="11.85" customHeight="1" x14ac:dyDescent="0.2">
      <c r="A85" s="458" t="s">
        <v>804</v>
      </c>
      <c r="B85" s="372" t="s">
        <v>548</v>
      </c>
      <c r="C85" s="2050">
        <v>161411.6</v>
      </c>
      <c r="D85" s="2050">
        <v>4</v>
      </c>
      <c r="E85" s="2050">
        <v>7456.6</v>
      </c>
      <c r="F85" s="2050">
        <v>3815.4</v>
      </c>
      <c r="G85" s="2050">
        <f t="shared" si="3"/>
        <v>11272</v>
      </c>
      <c r="H85" s="2050">
        <v>14044.3</v>
      </c>
      <c r="I85" s="2050">
        <v>358018</v>
      </c>
      <c r="J85" s="2050">
        <f t="shared" ref="J85:J148" si="6">H85+I85</f>
        <v>372062.3</v>
      </c>
      <c r="K85" s="2050">
        <v>95667.6</v>
      </c>
      <c r="L85" s="2050">
        <f t="shared" si="5"/>
        <v>640417.5</v>
      </c>
      <c r="M85" s="163"/>
      <c r="N85" s="163"/>
      <c r="O85" s="163"/>
      <c r="P85" s="163"/>
    </row>
    <row r="86" spans="1:16" ht="11.85" customHeight="1" x14ac:dyDescent="0.2">
      <c r="A86" s="458" t="s">
        <v>804</v>
      </c>
      <c r="B86" s="1989" t="s">
        <v>556</v>
      </c>
      <c r="C86" s="1922">
        <v>162706.29999999999</v>
      </c>
      <c r="D86" s="1922">
        <v>3.7</v>
      </c>
      <c r="E86" s="1922">
        <v>8570.7000000000007</v>
      </c>
      <c r="F86" s="1922">
        <v>3966.5</v>
      </c>
      <c r="G86" s="1037">
        <f t="shared" si="3"/>
        <v>12537.2</v>
      </c>
      <c r="H86" s="1922">
        <v>13255.2</v>
      </c>
      <c r="I86" s="1922">
        <v>355806.5</v>
      </c>
      <c r="J86" s="1037">
        <f t="shared" si="6"/>
        <v>369061.7</v>
      </c>
      <c r="K86" s="1922">
        <v>95555.199999999997</v>
      </c>
      <c r="L86" s="1037">
        <f t="shared" si="5"/>
        <v>639864.1</v>
      </c>
      <c r="M86" s="163"/>
      <c r="N86" s="163"/>
      <c r="O86" s="163"/>
      <c r="P86" s="163"/>
    </row>
    <row r="87" spans="1:16" ht="11.85" customHeight="1" x14ac:dyDescent="0.2">
      <c r="A87" s="458" t="s">
        <v>804</v>
      </c>
      <c r="B87" s="372" t="s">
        <v>557</v>
      </c>
      <c r="C87" s="1924">
        <v>161930.6</v>
      </c>
      <c r="D87" s="1924">
        <v>3.5</v>
      </c>
      <c r="E87" s="1924">
        <v>10227.4</v>
      </c>
      <c r="F87" s="1924">
        <v>4343.2</v>
      </c>
      <c r="G87" s="2050">
        <f t="shared" si="3"/>
        <v>14570.599999999999</v>
      </c>
      <c r="H87" s="1924">
        <v>13567.2</v>
      </c>
      <c r="I87" s="1924">
        <v>356433.6</v>
      </c>
      <c r="J87" s="2050">
        <f t="shared" si="6"/>
        <v>370000.8</v>
      </c>
      <c r="K87" s="1924">
        <v>97443</v>
      </c>
      <c r="L87" s="2050">
        <f t="shared" si="5"/>
        <v>643948.5</v>
      </c>
      <c r="M87" s="163"/>
      <c r="N87" s="163"/>
      <c r="O87" s="163"/>
      <c r="P87" s="163"/>
    </row>
    <row r="88" spans="1:16" ht="11.85" customHeight="1" x14ac:dyDescent="0.2">
      <c r="A88" s="458" t="s">
        <v>804</v>
      </c>
      <c r="B88" s="1989" t="s">
        <v>549</v>
      </c>
      <c r="C88" s="1922">
        <v>162910.1</v>
      </c>
      <c r="D88" s="1922">
        <v>3.1</v>
      </c>
      <c r="E88" s="1922">
        <v>11633</v>
      </c>
      <c r="F88" s="1922">
        <v>4559.6000000000004</v>
      </c>
      <c r="G88" s="1037">
        <f t="shared" si="3"/>
        <v>16192.6</v>
      </c>
      <c r="H88" s="1922">
        <v>13467.9</v>
      </c>
      <c r="I88" s="1922">
        <v>360326.2</v>
      </c>
      <c r="J88" s="1037">
        <f t="shared" si="6"/>
        <v>373794.10000000003</v>
      </c>
      <c r="K88" s="1922">
        <v>96623.8</v>
      </c>
      <c r="L88" s="1037">
        <f t="shared" si="5"/>
        <v>649523.70000000007</v>
      </c>
      <c r="M88" s="163"/>
      <c r="N88" s="163"/>
      <c r="O88" s="163"/>
      <c r="P88" s="163"/>
    </row>
    <row r="89" spans="1:16" ht="11.85" customHeight="1" x14ac:dyDescent="0.2">
      <c r="A89" s="458" t="s">
        <v>804</v>
      </c>
      <c r="B89" s="372" t="s">
        <v>558</v>
      </c>
      <c r="C89" s="1924">
        <v>165615.1</v>
      </c>
      <c r="D89" s="1924">
        <v>2.8</v>
      </c>
      <c r="E89" s="1924">
        <v>13074.2</v>
      </c>
      <c r="F89" s="1924">
        <v>4593.2</v>
      </c>
      <c r="G89" s="2050">
        <f t="shared" si="3"/>
        <v>17667.400000000001</v>
      </c>
      <c r="H89" s="1924">
        <v>13377.2</v>
      </c>
      <c r="I89" s="1924">
        <v>362861.5</v>
      </c>
      <c r="J89" s="2050">
        <f t="shared" si="6"/>
        <v>376238.7</v>
      </c>
      <c r="K89" s="1924">
        <v>97880.3</v>
      </c>
      <c r="L89" s="2050">
        <f t="shared" si="5"/>
        <v>657404.30000000005</v>
      </c>
      <c r="M89" s="163"/>
      <c r="N89" s="163"/>
      <c r="O89" s="163"/>
      <c r="P89" s="163"/>
    </row>
    <row r="90" spans="1:16" ht="11.85" customHeight="1" x14ac:dyDescent="0.2">
      <c r="A90" s="458" t="s">
        <v>804</v>
      </c>
      <c r="B90" s="1989" t="s">
        <v>559</v>
      </c>
      <c r="C90" s="1922">
        <v>167368.70000000001</v>
      </c>
      <c r="D90" s="1922">
        <v>2.8</v>
      </c>
      <c r="E90" s="1922">
        <v>14148.1</v>
      </c>
      <c r="F90" s="1922">
        <v>4570.7</v>
      </c>
      <c r="G90" s="1037">
        <f t="shared" si="3"/>
        <v>18718.8</v>
      </c>
      <c r="H90" s="1922">
        <v>13238.2</v>
      </c>
      <c r="I90" s="1922">
        <v>367038.8</v>
      </c>
      <c r="J90" s="1037">
        <f t="shared" si="6"/>
        <v>380277</v>
      </c>
      <c r="K90" s="1922">
        <v>97231.1</v>
      </c>
      <c r="L90" s="1037">
        <f t="shared" si="5"/>
        <v>663598.4</v>
      </c>
      <c r="M90" s="163"/>
      <c r="N90" s="163"/>
      <c r="O90" s="163"/>
      <c r="P90" s="163"/>
    </row>
    <row r="91" spans="1:16" ht="11.85" customHeight="1" x14ac:dyDescent="0.2">
      <c r="A91" s="458" t="s">
        <v>804</v>
      </c>
      <c r="B91" s="372" t="s">
        <v>550</v>
      </c>
      <c r="C91" s="2159">
        <v>174978.59999999998</v>
      </c>
      <c r="D91" s="2159">
        <v>2.2999999999999998</v>
      </c>
      <c r="E91" s="2159">
        <f>14172.2-10618.2</f>
        <v>3554</v>
      </c>
      <c r="F91" s="2159">
        <v>5171.6000000000004</v>
      </c>
      <c r="G91" s="2050">
        <f>E91+F91</f>
        <v>8725.6</v>
      </c>
      <c r="H91" s="2159">
        <v>5864</v>
      </c>
      <c r="I91" s="2159">
        <v>371817.6</v>
      </c>
      <c r="J91" s="2050">
        <f t="shared" si="6"/>
        <v>377681.6</v>
      </c>
      <c r="K91" s="2159">
        <v>100452.8</v>
      </c>
      <c r="L91" s="2050">
        <f>C91+D91+G91+J91+K91</f>
        <v>661840.9</v>
      </c>
      <c r="M91" s="163"/>
      <c r="N91" s="163"/>
      <c r="O91" s="163"/>
      <c r="P91" s="163"/>
    </row>
    <row r="92" spans="1:16" ht="11.85" customHeight="1" x14ac:dyDescent="0.2">
      <c r="A92" s="458" t="s">
        <v>978</v>
      </c>
      <c r="B92" s="372" t="s">
        <v>552</v>
      </c>
      <c r="C92" s="2058">
        <v>180201.8</v>
      </c>
      <c r="D92" s="2160">
        <v>2</v>
      </c>
      <c r="E92" s="2058">
        <v>3659.5</v>
      </c>
      <c r="F92" s="2161">
        <v>5124.3999999999996</v>
      </c>
      <c r="G92" s="1037">
        <f t="shared" ref="G92:G98" si="7">E92+F92</f>
        <v>8783.9</v>
      </c>
      <c r="H92" s="2058">
        <v>6669.4</v>
      </c>
      <c r="I92" s="2161">
        <v>375961.4</v>
      </c>
      <c r="J92" s="2043">
        <f t="shared" si="6"/>
        <v>382630.80000000005</v>
      </c>
      <c r="K92" s="2161">
        <v>101025.8</v>
      </c>
      <c r="L92" s="2043">
        <f t="shared" ref="L92:L150" si="8">C92+D92+G92+J92+K92</f>
        <v>672644.3</v>
      </c>
      <c r="M92" s="163"/>
      <c r="N92" s="163"/>
      <c r="O92" s="163"/>
      <c r="P92" s="163"/>
    </row>
    <row r="93" spans="1:16" ht="11.85" customHeight="1" x14ac:dyDescent="0.2">
      <c r="A93" s="458" t="s">
        <v>978</v>
      </c>
      <c r="B93" s="1989" t="s">
        <v>553</v>
      </c>
      <c r="C93" s="2058">
        <v>176466.4</v>
      </c>
      <c r="D93" s="2056">
        <v>1.8</v>
      </c>
      <c r="E93" s="2058">
        <v>3665</v>
      </c>
      <c r="F93" s="2056">
        <v>5147.6000000000004</v>
      </c>
      <c r="G93" s="1037">
        <f t="shared" si="7"/>
        <v>8812.6</v>
      </c>
      <c r="H93" s="2058">
        <v>6580.9</v>
      </c>
      <c r="I93" s="2056">
        <v>379800.9</v>
      </c>
      <c r="J93" s="2043">
        <f t="shared" si="6"/>
        <v>386381.80000000005</v>
      </c>
      <c r="K93" s="2056">
        <v>101317.3</v>
      </c>
      <c r="L93" s="2043">
        <f t="shared" si="8"/>
        <v>672979.90000000014</v>
      </c>
      <c r="M93" s="163"/>
      <c r="N93" s="163"/>
      <c r="O93" s="163"/>
      <c r="P93" s="163"/>
    </row>
    <row r="94" spans="1:16" ht="11.85" customHeight="1" x14ac:dyDescent="0.2">
      <c r="A94" s="458" t="s">
        <v>978</v>
      </c>
      <c r="B94" s="372" t="s">
        <v>547</v>
      </c>
      <c r="C94" s="2058">
        <v>176875.7</v>
      </c>
      <c r="D94" s="2056">
        <v>1.8</v>
      </c>
      <c r="E94" s="2058">
        <v>3872.6</v>
      </c>
      <c r="F94" s="1922">
        <v>5291</v>
      </c>
      <c r="G94" s="2056">
        <f t="shared" si="7"/>
        <v>9163.6</v>
      </c>
      <c r="H94" s="2058">
        <v>6638.2</v>
      </c>
      <c r="I94" s="2056">
        <v>384161.2</v>
      </c>
      <c r="J94" s="2043">
        <f t="shared" si="6"/>
        <v>390799.4</v>
      </c>
      <c r="K94" s="2056">
        <v>102554.6</v>
      </c>
      <c r="L94" s="2043">
        <f t="shared" si="8"/>
        <v>679395.1</v>
      </c>
      <c r="M94" s="163"/>
      <c r="N94" s="163"/>
      <c r="O94" s="163"/>
      <c r="P94" s="163"/>
    </row>
    <row r="95" spans="1:16" ht="11.85" customHeight="1" x14ac:dyDescent="0.2">
      <c r="A95" s="458" t="s">
        <v>978</v>
      </c>
      <c r="B95" s="1989" t="s">
        <v>554</v>
      </c>
      <c r="C95" s="2058">
        <v>182134.5</v>
      </c>
      <c r="D95" s="1922">
        <v>1.2</v>
      </c>
      <c r="E95" s="2058">
        <v>3977.9</v>
      </c>
      <c r="F95" s="1922">
        <v>5607.5</v>
      </c>
      <c r="G95" s="2056">
        <f t="shared" si="7"/>
        <v>9585.4</v>
      </c>
      <c r="H95" s="2058">
        <v>6845.2</v>
      </c>
      <c r="I95" s="1922">
        <v>386424.5</v>
      </c>
      <c r="J95" s="2043">
        <f t="shared" si="6"/>
        <v>393269.7</v>
      </c>
      <c r="K95" s="1922">
        <v>102984.5</v>
      </c>
      <c r="L95" s="2043">
        <f t="shared" si="8"/>
        <v>687975.3</v>
      </c>
      <c r="M95" s="163"/>
      <c r="N95" s="163"/>
      <c r="O95" s="163"/>
      <c r="P95" s="163"/>
    </row>
    <row r="96" spans="1:16" ht="11.85" customHeight="1" x14ac:dyDescent="0.2">
      <c r="A96" s="458" t="s">
        <v>978</v>
      </c>
      <c r="B96" s="372" t="s">
        <v>555</v>
      </c>
      <c r="C96" s="2058">
        <v>182154.7</v>
      </c>
      <c r="D96" s="1922">
        <v>0.9</v>
      </c>
      <c r="E96" s="2058">
        <v>4254.8999999999996</v>
      </c>
      <c r="F96" s="1922">
        <v>5521.8</v>
      </c>
      <c r="G96" s="2056">
        <f t="shared" si="7"/>
        <v>9776.7000000000007</v>
      </c>
      <c r="H96" s="2058">
        <v>6838.9</v>
      </c>
      <c r="I96" s="1922">
        <v>389353.6</v>
      </c>
      <c r="J96" s="2043">
        <f t="shared" si="6"/>
        <v>396192.5</v>
      </c>
      <c r="K96" s="1922">
        <v>103423</v>
      </c>
      <c r="L96" s="2043">
        <f t="shared" si="8"/>
        <v>691547.8</v>
      </c>
      <c r="M96" s="163"/>
      <c r="N96" s="163"/>
      <c r="O96" s="163"/>
      <c r="P96" s="163"/>
    </row>
    <row r="97" spans="1:16" ht="11.85" customHeight="1" x14ac:dyDescent="0.2">
      <c r="A97" s="458" t="s">
        <v>978</v>
      </c>
      <c r="B97" s="1989" t="s">
        <v>548</v>
      </c>
      <c r="C97" s="354">
        <v>183557.8</v>
      </c>
      <c r="D97" s="354">
        <v>0.9</v>
      </c>
      <c r="E97" s="354">
        <v>4455.2</v>
      </c>
      <c r="F97" s="354">
        <v>5625.2</v>
      </c>
      <c r="G97" s="2056">
        <f t="shared" si="7"/>
        <v>10080.4</v>
      </c>
      <c r="H97" s="1037">
        <v>7772</v>
      </c>
      <c r="I97" s="354">
        <v>395593.3</v>
      </c>
      <c r="J97" s="2043">
        <f t="shared" si="6"/>
        <v>403365.3</v>
      </c>
      <c r="K97" s="1037">
        <v>105410</v>
      </c>
      <c r="L97" s="2043">
        <f t="shared" si="8"/>
        <v>702414.39999999991</v>
      </c>
      <c r="M97" s="163"/>
      <c r="N97" s="163"/>
      <c r="O97" s="163"/>
      <c r="P97" s="163"/>
    </row>
    <row r="98" spans="1:16" ht="11.85" customHeight="1" x14ac:dyDescent="0.2">
      <c r="A98" s="458" t="s">
        <v>978</v>
      </c>
      <c r="B98" s="372" t="s">
        <v>556</v>
      </c>
      <c r="C98" s="332">
        <v>184742.1</v>
      </c>
      <c r="D98" s="332">
        <v>0.4</v>
      </c>
      <c r="E98" s="332">
        <v>4714.3999999999996</v>
      </c>
      <c r="F98" s="2050">
        <v>5732.2</v>
      </c>
      <c r="G98" s="2056">
        <f t="shared" si="7"/>
        <v>10446.599999999999</v>
      </c>
      <c r="H98" s="332">
        <v>7639.5</v>
      </c>
      <c r="I98" s="2050">
        <v>394622</v>
      </c>
      <c r="J98" s="2043">
        <f t="shared" si="6"/>
        <v>402261.5</v>
      </c>
      <c r="K98" s="2050">
        <v>105355</v>
      </c>
      <c r="L98" s="2043">
        <f t="shared" si="8"/>
        <v>702805.6</v>
      </c>
      <c r="M98" s="163"/>
      <c r="N98" s="163"/>
      <c r="O98" s="163"/>
      <c r="P98" s="163"/>
    </row>
    <row r="99" spans="1:16" ht="11.85" customHeight="1" x14ac:dyDescent="0.2">
      <c r="A99" s="458" t="s">
        <v>978</v>
      </c>
      <c r="B99" s="1989" t="s">
        <v>557</v>
      </c>
      <c r="C99" s="354">
        <v>187079.8</v>
      </c>
      <c r="D99" s="354">
        <v>0.2</v>
      </c>
      <c r="E99" s="354">
        <v>4730.3</v>
      </c>
      <c r="F99" s="1037">
        <v>5745.5</v>
      </c>
      <c r="G99" s="1922">
        <f>E99+F99</f>
        <v>10475.799999999999</v>
      </c>
      <c r="H99" s="354">
        <v>7841.2</v>
      </c>
      <c r="I99" s="354">
        <v>395547.5</v>
      </c>
      <c r="J99" s="2043">
        <f t="shared" si="6"/>
        <v>403388.7</v>
      </c>
      <c r="K99" s="354">
        <v>106611.7</v>
      </c>
      <c r="L99" s="2043">
        <f t="shared" si="8"/>
        <v>707556.2</v>
      </c>
      <c r="M99" s="163"/>
      <c r="N99" s="163"/>
      <c r="O99" s="163"/>
      <c r="P99" s="163"/>
    </row>
    <row r="100" spans="1:16" ht="11.85" customHeight="1" x14ac:dyDescent="0.2">
      <c r="A100" s="458" t="s">
        <v>978</v>
      </c>
      <c r="B100" s="372" t="s">
        <v>549</v>
      </c>
      <c r="C100" s="332">
        <v>186271.7</v>
      </c>
      <c r="D100" s="2050">
        <v>0</v>
      </c>
      <c r="E100" s="332">
        <v>4810.7</v>
      </c>
      <c r="F100" s="2050">
        <v>5929</v>
      </c>
      <c r="G100" s="1924">
        <f>E100+F100</f>
        <v>10739.7</v>
      </c>
      <c r="H100" s="332">
        <v>8413.9</v>
      </c>
      <c r="I100" s="332">
        <v>399931.9</v>
      </c>
      <c r="J100" s="2038">
        <f t="shared" si="6"/>
        <v>408345.80000000005</v>
      </c>
      <c r="K100" s="332">
        <v>108979.5</v>
      </c>
      <c r="L100" s="2038">
        <f t="shared" si="8"/>
        <v>714336.70000000007</v>
      </c>
      <c r="M100" s="163"/>
      <c r="N100" s="163"/>
      <c r="O100" s="163"/>
      <c r="P100" s="163"/>
    </row>
    <row r="101" spans="1:16" ht="11.85" customHeight="1" x14ac:dyDescent="0.2">
      <c r="A101" s="458" t="s">
        <v>978</v>
      </c>
      <c r="B101" s="1989" t="s">
        <v>558</v>
      </c>
      <c r="C101" s="354">
        <v>186696.3</v>
      </c>
      <c r="D101" s="1037">
        <v>0</v>
      </c>
      <c r="E101" s="1037">
        <v>4934</v>
      </c>
      <c r="F101" s="354">
        <v>6173.2</v>
      </c>
      <c r="G101" s="354">
        <f>E101+F101</f>
        <v>11107.2</v>
      </c>
      <c r="H101" s="354">
        <v>8184.3</v>
      </c>
      <c r="I101" s="354">
        <v>405809.1</v>
      </c>
      <c r="J101" s="354">
        <f t="shared" si="6"/>
        <v>413993.39999999997</v>
      </c>
      <c r="K101" s="354">
        <v>109104.5</v>
      </c>
      <c r="L101" s="1037">
        <f t="shared" si="8"/>
        <v>720901.39999999991</v>
      </c>
      <c r="M101" s="163"/>
      <c r="N101" s="163"/>
      <c r="O101" s="163"/>
      <c r="P101" s="163"/>
    </row>
    <row r="102" spans="1:16" ht="11.85" customHeight="1" x14ac:dyDescent="0.2">
      <c r="A102" s="458" t="s">
        <v>978</v>
      </c>
      <c r="B102" s="372" t="s">
        <v>559</v>
      </c>
      <c r="C102" s="1924">
        <v>186765.6</v>
      </c>
      <c r="D102" s="1924">
        <v>0</v>
      </c>
      <c r="E102" s="1924">
        <v>5082.8999999999996</v>
      </c>
      <c r="F102" s="1924">
        <v>5793.5</v>
      </c>
      <c r="G102" s="332">
        <f>E102+F102</f>
        <v>10876.4</v>
      </c>
      <c r="H102" s="1924">
        <v>8737.6</v>
      </c>
      <c r="I102" s="1924">
        <v>408220.5</v>
      </c>
      <c r="J102" s="332">
        <f t="shared" si="6"/>
        <v>416958.1</v>
      </c>
      <c r="K102" s="1924">
        <v>110174</v>
      </c>
      <c r="L102" s="2050">
        <f t="shared" si="8"/>
        <v>724774.1</v>
      </c>
      <c r="M102" s="163"/>
      <c r="N102" s="163"/>
      <c r="O102" s="163"/>
      <c r="P102" s="163"/>
    </row>
    <row r="103" spans="1:16" ht="11.85" customHeight="1" x14ac:dyDescent="0.2">
      <c r="A103" s="458" t="s">
        <v>978</v>
      </c>
      <c r="B103" s="1989" t="s">
        <v>550</v>
      </c>
      <c r="C103" s="354">
        <v>194106.4</v>
      </c>
      <c r="D103" s="1037">
        <v>0</v>
      </c>
      <c r="E103" s="1037">
        <v>5184.7</v>
      </c>
      <c r="F103" s="354">
        <v>5839.1</v>
      </c>
      <c r="G103" s="354">
        <f>E103+F103</f>
        <v>11023.8</v>
      </c>
      <c r="H103" s="354">
        <v>7468.8</v>
      </c>
      <c r="I103" s="354">
        <v>419702.1</v>
      </c>
      <c r="J103" s="354">
        <f t="shared" si="6"/>
        <v>427170.89999999997</v>
      </c>
      <c r="K103" s="354">
        <v>112230.3</v>
      </c>
      <c r="L103" s="1037">
        <f t="shared" si="8"/>
        <v>744531.4</v>
      </c>
      <c r="M103" s="163"/>
      <c r="N103" s="163"/>
      <c r="O103" s="163"/>
      <c r="P103" s="163"/>
    </row>
    <row r="104" spans="1:16" ht="11.85" customHeight="1" x14ac:dyDescent="0.2">
      <c r="A104" s="458" t="s">
        <v>1029</v>
      </c>
      <c r="B104" s="1989" t="s">
        <v>552</v>
      </c>
      <c r="C104" s="2162">
        <v>203105.4</v>
      </c>
      <c r="D104" s="1037">
        <v>0</v>
      </c>
      <c r="E104" s="1037">
        <v>5196.7</v>
      </c>
      <c r="F104" s="354">
        <v>6054.3</v>
      </c>
      <c r="G104" s="1037">
        <f t="shared" ref="G104:G151" si="9">E104+F104</f>
        <v>11251</v>
      </c>
      <c r="H104" s="354">
        <v>7981.5</v>
      </c>
      <c r="I104" s="354">
        <v>419016.8</v>
      </c>
      <c r="J104" s="354">
        <f t="shared" si="6"/>
        <v>426998.3</v>
      </c>
      <c r="K104" s="354">
        <v>112988.4</v>
      </c>
      <c r="L104" s="1037">
        <f t="shared" si="8"/>
        <v>754343.1</v>
      </c>
      <c r="M104" s="163"/>
      <c r="N104" s="163"/>
      <c r="O104" s="163"/>
      <c r="P104" s="163"/>
    </row>
    <row r="105" spans="1:16" ht="11.85" customHeight="1" x14ac:dyDescent="0.2">
      <c r="A105" s="458" t="s">
        <v>1029</v>
      </c>
      <c r="B105" s="372" t="s">
        <v>553</v>
      </c>
      <c r="C105" s="1924">
        <v>200535.4</v>
      </c>
      <c r="D105" s="1924">
        <v>0</v>
      </c>
      <c r="E105" s="1924">
        <v>5388.7</v>
      </c>
      <c r="F105" s="1924">
        <v>5960.9</v>
      </c>
      <c r="G105" s="332">
        <f t="shared" si="9"/>
        <v>11349.599999999999</v>
      </c>
      <c r="H105" s="1924">
        <v>9076.6</v>
      </c>
      <c r="I105" s="1924">
        <v>422305.2</v>
      </c>
      <c r="J105" s="332">
        <f t="shared" si="6"/>
        <v>431381.8</v>
      </c>
      <c r="K105" s="1924">
        <v>114984.6</v>
      </c>
      <c r="L105" s="2050">
        <f t="shared" si="8"/>
        <v>758251.4</v>
      </c>
      <c r="M105" s="163"/>
      <c r="N105" s="163"/>
      <c r="O105" s="163"/>
      <c r="P105" s="163"/>
    </row>
    <row r="106" spans="1:16" ht="11.85" customHeight="1" x14ac:dyDescent="0.2">
      <c r="A106" s="458" t="s">
        <v>1029</v>
      </c>
      <c r="B106" s="1989" t="s">
        <v>547</v>
      </c>
      <c r="C106" s="2162">
        <v>204770.2</v>
      </c>
      <c r="D106" s="1037">
        <v>0</v>
      </c>
      <c r="E106" s="1037">
        <v>5265.4</v>
      </c>
      <c r="F106" s="354">
        <v>6437.5</v>
      </c>
      <c r="G106" s="1037">
        <f t="shared" si="9"/>
        <v>11702.9</v>
      </c>
      <c r="H106" s="354">
        <v>9159.2000000000007</v>
      </c>
      <c r="I106" s="354">
        <v>430263.2</v>
      </c>
      <c r="J106" s="354">
        <f t="shared" si="6"/>
        <v>439422.4</v>
      </c>
      <c r="K106" s="354">
        <v>115914.7</v>
      </c>
      <c r="L106" s="1037">
        <f t="shared" si="8"/>
        <v>771810.2</v>
      </c>
      <c r="M106" s="163"/>
      <c r="N106" s="163"/>
      <c r="O106" s="163"/>
      <c r="P106" s="163"/>
    </row>
    <row r="107" spans="1:16" ht="11.85" customHeight="1" x14ac:dyDescent="0.2">
      <c r="A107" s="458" t="s">
        <v>1029</v>
      </c>
      <c r="B107" s="372" t="s">
        <v>554</v>
      </c>
      <c r="C107" s="1924">
        <v>203418.1</v>
      </c>
      <c r="D107" s="1924">
        <v>0</v>
      </c>
      <c r="E107" s="1924">
        <v>5080.5</v>
      </c>
      <c r="F107" s="1924">
        <v>6453.2</v>
      </c>
      <c r="G107" s="332">
        <f t="shared" si="9"/>
        <v>11533.7</v>
      </c>
      <c r="H107" s="1924">
        <v>9293.2999999999993</v>
      </c>
      <c r="I107" s="1924">
        <v>431859.5</v>
      </c>
      <c r="J107" s="332">
        <f t="shared" si="6"/>
        <v>441152.8</v>
      </c>
      <c r="K107" s="1924">
        <v>117246.9</v>
      </c>
      <c r="L107" s="2050">
        <f t="shared" si="8"/>
        <v>773351.5</v>
      </c>
      <c r="M107" s="163"/>
      <c r="N107" s="163"/>
      <c r="O107" s="163"/>
      <c r="P107" s="163"/>
    </row>
    <row r="108" spans="1:16" ht="11.85" customHeight="1" x14ac:dyDescent="0.2">
      <c r="A108" s="458" t="s">
        <v>1029</v>
      </c>
      <c r="B108" s="1989" t="s">
        <v>555</v>
      </c>
      <c r="C108" s="2162">
        <v>202539.2</v>
      </c>
      <c r="D108" s="1037">
        <v>0</v>
      </c>
      <c r="E108" s="1037">
        <v>5143.1000000000004</v>
      </c>
      <c r="F108" s="354">
        <v>6524.1</v>
      </c>
      <c r="G108" s="1037">
        <f t="shared" si="9"/>
        <v>11667.2</v>
      </c>
      <c r="H108" s="354">
        <v>11077.9</v>
      </c>
      <c r="I108" s="354">
        <v>437454.1</v>
      </c>
      <c r="J108" s="1037">
        <f t="shared" si="6"/>
        <v>448532</v>
      </c>
      <c r="K108" s="354">
        <v>117938.1</v>
      </c>
      <c r="L108" s="1037">
        <f t="shared" si="8"/>
        <v>780676.5</v>
      </c>
      <c r="M108" s="163"/>
      <c r="N108" s="163"/>
      <c r="O108" s="163"/>
      <c r="P108" s="163"/>
    </row>
    <row r="109" spans="1:16" ht="11.85" customHeight="1" x14ac:dyDescent="0.2">
      <c r="A109" s="458" t="s">
        <v>1029</v>
      </c>
      <c r="B109" s="372" t="s">
        <v>548</v>
      </c>
      <c r="C109" s="1924">
        <v>201786.9</v>
      </c>
      <c r="D109" s="1924">
        <v>0</v>
      </c>
      <c r="E109" s="1924">
        <v>5697.4</v>
      </c>
      <c r="F109" s="1924">
        <v>6540.2</v>
      </c>
      <c r="G109" s="332">
        <f t="shared" si="9"/>
        <v>12237.599999999999</v>
      </c>
      <c r="H109" s="1924">
        <v>12462.7</v>
      </c>
      <c r="I109" s="1924">
        <v>448294.5</v>
      </c>
      <c r="J109" s="332">
        <f t="shared" si="6"/>
        <v>460757.2</v>
      </c>
      <c r="K109" s="1924">
        <v>120684.8</v>
      </c>
      <c r="L109" s="2050">
        <f t="shared" si="8"/>
        <v>795466.5</v>
      </c>
      <c r="M109" s="163"/>
      <c r="N109" s="163"/>
      <c r="O109" s="163"/>
      <c r="P109" s="163"/>
    </row>
    <row r="110" spans="1:16" ht="11.85" customHeight="1" x14ac:dyDescent="0.2">
      <c r="A110" s="458" t="s">
        <v>1029</v>
      </c>
      <c r="B110" s="1989" t="s">
        <v>556</v>
      </c>
      <c r="C110" s="2162">
        <v>203534.8</v>
      </c>
      <c r="D110" s="1037">
        <v>0</v>
      </c>
      <c r="E110" s="1037">
        <v>5709.5</v>
      </c>
      <c r="F110" s="354">
        <v>6586.5</v>
      </c>
      <c r="G110" s="1037">
        <f t="shared" si="9"/>
        <v>12296</v>
      </c>
      <c r="H110" s="354">
        <v>12106.5</v>
      </c>
      <c r="I110" s="354">
        <v>447501.4</v>
      </c>
      <c r="J110" s="1037">
        <f t="shared" si="6"/>
        <v>459607.9</v>
      </c>
      <c r="K110" s="354">
        <v>119945.7</v>
      </c>
      <c r="L110" s="1037">
        <f t="shared" si="8"/>
        <v>795384.39999999991</v>
      </c>
      <c r="M110" s="163"/>
      <c r="N110" s="163"/>
      <c r="O110" s="163"/>
      <c r="P110" s="163"/>
    </row>
    <row r="111" spans="1:16" ht="11.85" customHeight="1" x14ac:dyDescent="0.2">
      <c r="A111" s="458" t="s">
        <v>1029</v>
      </c>
      <c r="B111" s="372" t="s">
        <v>557</v>
      </c>
      <c r="C111" s="1924">
        <v>205637.4</v>
      </c>
      <c r="D111" s="1924">
        <v>0</v>
      </c>
      <c r="E111" s="1924">
        <v>5162.6000000000004</v>
      </c>
      <c r="F111" s="1924">
        <v>6733</v>
      </c>
      <c r="G111" s="332">
        <f t="shared" si="9"/>
        <v>11895.6</v>
      </c>
      <c r="H111" s="1924">
        <v>12093</v>
      </c>
      <c r="I111" s="1924">
        <v>450051.3</v>
      </c>
      <c r="J111" s="332">
        <f t="shared" si="6"/>
        <v>462144.3</v>
      </c>
      <c r="K111" s="1924">
        <v>121143.8</v>
      </c>
      <c r="L111" s="2050">
        <f t="shared" si="8"/>
        <v>800821.10000000009</v>
      </c>
      <c r="M111" s="163"/>
      <c r="N111" s="163"/>
      <c r="O111" s="163"/>
      <c r="P111" s="163"/>
    </row>
    <row r="112" spans="1:16" ht="11.85" customHeight="1" x14ac:dyDescent="0.2">
      <c r="A112" s="458" t="s">
        <v>1029</v>
      </c>
      <c r="B112" s="1989" t="s">
        <v>549</v>
      </c>
      <c r="C112" s="1922">
        <v>203350.5</v>
      </c>
      <c r="D112" s="1922">
        <v>0</v>
      </c>
      <c r="E112" s="1922">
        <v>5090</v>
      </c>
      <c r="F112" s="1922">
        <v>7162.7</v>
      </c>
      <c r="G112" s="354">
        <f t="shared" si="9"/>
        <v>12252.7</v>
      </c>
      <c r="H112" s="1922">
        <v>12763.7</v>
      </c>
      <c r="I112" s="1922">
        <v>456384.7</v>
      </c>
      <c r="J112" s="354">
        <f t="shared" si="6"/>
        <v>469148.4</v>
      </c>
      <c r="K112" s="1922">
        <v>121786.2</v>
      </c>
      <c r="L112" s="1037">
        <f t="shared" si="8"/>
        <v>806537.8</v>
      </c>
      <c r="M112" s="163"/>
      <c r="N112" s="163"/>
      <c r="O112" s="163"/>
      <c r="P112" s="163"/>
    </row>
    <row r="113" spans="1:16" ht="11.85" customHeight="1" x14ac:dyDescent="0.2">
      <c r="A113" s="458" t="s">
        <v>1029</v>
      </c>
      <c r="B113" s="372" t="s">
        <v>558</v>
      </c>
      <c r="C113" s="1924">
        <v>204966.39999999999</v>
      </c>
      <c r="D113" s="1924">
        <v>0</v>
      </c>
      <c r="E113" s="1924">
        <v>5137.1000000000004</v>
      </c>
      <c r="F113" s="1924">
        <v>7300.9</v>
      </c>
      <c r="G113" s="2050">
        <f t="shared" si="9"/>
        <v>12438</v>
      </c>
      <c r="H113" s="1924">
        <v>11908.7</v>
      </c>
      <c r="I113" s="1924">
        <v>461141.8</v>
      </c>
      <c r="J113" s="332">
        <f t="shared" si="6"/>
        <v>473050.5</v>
      </c>
      <c r="K113" s="1924">
        <v>121873.8</v>
      </c>
      <c r="L113" s="2050">
        <f t="shared" si="8"/>
        <v>812328.70000000007</v>
      </c>
      <c r="M113" s="163"/>
      <c r="N113" s="163"/>
      <c r="O113" s="163"/>
      <c r="P113" s="163"/>
    </row>
    <row r="114" spans="1:16" ht="11.85" customHeight="1" x14ac:dyDescent="0.2">
      <c r="A114" s="458" t="s">
        <v>1029</v>
      </c>
      <c r="B114" s="1989" t="s">
        <v>559</v>
      </c>
      <c r="C114" s="1922">
        <v>209054.1</v>
      </c>
      <c r="D114" s="1922">
        <v>0</v>
      </c>
      <c r="E114" s="1922">
        <v>5090.3999999999996</v>
      </c>
      <c r="F114" s="1922">
        <v>7183.4</v>
      </c>
      <c r="G114" s="1037">
        <f t="shared" si="9"/>
        <v>12273.8</v>
      </c>
      <c r="H114" s="1922">
        <v>11337.8</v>
      </c>
      <c r="I114" s="1922">
        <v>464525.8</v>
      </c>
      <c r="J114" s="354">
        <f t="shared" si="6"/>
        <v>475863.6</v>
      </c>
      <c r="K114" s="1922">
        <v>122525.5</v>
      </c>
      <c r="L114" s="1037">
        <f t="shared" si="8"/>
        <v>819717</v>
      </c>
      <c r="M114" s="163"/>
      <c r="N114" s="163"/>
      <c r="O114" s="163"/>
      <c r="P114" s="163"/>
    </row>
    <row r="115" spans="1:16" ht="11.85" customHeight="1" x14ac:dyDescent="0.2">
      <c r="A115" s="458" t="s">
        <v>1029</v>
      </c>
      <c r="B115" s="372" t="s">
        <v>550</v>
      </c>
      <c r="C115" s="1924">
        <v>215482.2</v>
      </c>
      <c r="D115" s="1924">
        <v>0</v>
      </c>
      <c r="E115" s="1924">
        <v>5215.7</v>
      </c>
      <c r="F115" s="1924">
        <v>7348.3</v>
      </c>
      <c r="G115" s="2050">
        <f t="shared" si="9"/>
        <v>12564</v>
      </c>
      <c r="H115" s="1924">
        <v>11313.3</v>
      </c>
      <c r="I115" s="1924">
        <v>475125.2</v>
      </c>
      <c r="J115" s="332">
        <f t="shared" si="6"/>
        <v>486438.5</v>
      </c>
      <c r="K115" s="1924">
        <v>124669.9</v>
      </c>
      <c r="L115" s="2050">
        <f t="shared" si="8"/>
        <v>839154.6</v>
      </c>
      <c r="M115" s="163"/>
      <c r="N115" s="163"/>
      <c r="O115" s="163"/>
      <c r="P115" s="163"/>
    </row>
    <row r="116" spans="1:16" ht="11.85" customHeight="1" x14ac:dyDescent="0.2">
      <c r="A116" s="458" t="s">
        <v>1150</v>
      </c>
      <c r="B116" s="372" t="s">
        <v>552</v>
      </c>
      <c r="C116" s="1922">
        <v>228946.4</v>
      </c>
      <c r="D116" s="1922">
        <v>0</v>
      </c>
      <c r="E116" s="1922">
        <v>5471.9</v>
      </c>
      <c r="F116" s="1922">
        <v>7327.5</v>
      </c>
      <c r="G116" s="1037">
        <f t="shared" si="9"/>
        <v>12799.4</v>
      </c>
      <c r="H116" s="1922">
        <v>9800</v>
      </c>
      <c r="I116" s="1922">
        <v>474690.9</v>
      </c>
      <c r="J116" s="1037">
        <f t="shared" si="6"/>
        <v>484490.9</v>
      </c>
      <c r="K116" s="1922">
        <v>124470.6</v>
      </c>
      <c r="L116" s="1037">
        <f t="shared" si="8"/>
        <v>850707.29999999993</v>
      </c>
      <c r="M116" s="163"/>
      <c r="N116" s="163"/>
      <c r="O116" s="163"/>
      <c r="P116" s="163"/>
    </row>
    <row r="117" spans="1:16" ht="11.85" customHeight="1" x14ac:dyDescent="0.2">
      <c r="A117" s="458" t="s">
        <v>1150</v>
      </c>
      <c r="B117" s="1989" t="s">
        <v>553</v>
      </c>
      <c r="C117" s="1924">
        <v>225525.1</v>
      </c>
      <c r="D117" s="1924">
        <v>0</v>
      </c>
      <c r="E117" s="1924">
        <v>5686.8</v>
      </c>
      <c r="F117" s="1924">
        <v>7388.8</v>
      </c>
      <c r="G117" s="2050">
        <f t="shared" si="9"/>
        <v>13075.6</v>
      </c>
      <c r="H117" s="1924">
        <v>9734.2999999999993</v>
      </c>
      <c r="I117" s="1924">
        <v>478431.6</v>
      </c>
      <c r="J117" s="2050">
        <f t="shared" si="6"/>
        <v>488165.89999999997</v>
      </c>
      <c r="K117" s="1924">
        <v>125139.5</v>
      </c>
      <c r="L117" s="2050">
        <f t="shared" si="8"/>
        <v>851906.1</v>
      </c>
      <c r="M117" s="163"/>
      <c r="N117" s="163"/>
      <c r="O117" s="163"/>
      <c r="P117" s="163"/>
    </row>
    <row r="118" spans="1:16" ht="11.85" customHeight="1" x14ac:dyDescent="0.2">
      <c r="A118" s="458" t="s">
        <v>1150</v>
      </c>
      <c r="B118" s="372" t="s">
        <v>547</v>
      </c>
      <c r="C118" s="1922">
        <v>229910.8</v>
      </c>
      <c r="D118" s="1922">
        <v>0</v>
      </c>
      <c r="E118" s="1922">
        <v>6087.4</v>
      </c>
      <c r="F118" s="1922">
        <v>8027.6</v>
      </c>
      <c r="G118" s="1037">
        <f t="shared" si="9"/>
        <v>14115</v>
      </c>
      <c r="H118" s="1922">
        <v>9447.2999999999993</v>
      </c>
      <c r="I118" s="1922">
        <v>490209.8</v>
      </c>
      <c r="J118" s="1037">
        <f t="shared" si="6"/>
        <v>499657.1</v>
      </c>
      <c r="K118" s="1922">
        <v>125018.3</v>
      </c>
      <c r="L118" s="1037">
        <f t="shared" si="8"/>
        <v>868701.2</v>
      </c>
      <c r="M118" s="163"/>
      <c r="N118" s="163"/>
      <c r="O118" s="163"/>
      <c r="P118" s="163"/>
    </row>
    <row r="119" spans="1:16" ht="11.85" customHeight="1" x14ac:dyDescent="0.2">
      <c r="A119" s="458" t="s">
        <v>1150</v>
      </c>
      <c r="B119" s="1989" t="s">
        <v>554</v>
      </c>
      <c r="C119" s="1924">
        <v>226694.6</v>
      </c>
      <c r="D119" s="1924">
        <v>0</v>
      </c>
      <c r="E119" s="1924">
        <v>6252.8</v>
      </c>
      <c r="F119" s="1924">
        <v>7791.6</v>
      </c>
      <c r="G119" s="2050">
        <f t="shared" si="9"/>
        <v>14044.400000000001</v>
      </c>
      <c r="H119" s="1924">
        <v>9625.5</v>
      </c>
      <c r="I119" s="1924">
        <v>495364</v>
      </c>
      <c r="J119" s="2050">
        <f t="shared" si="6"/>
        <v>504989.5</v>
      </c>
      <c r="K119" s="1924">
        <v>125243.3</v>
      </c>
      <c r="L119" s="2050">
        <f t="shared" si="8"/>
        <v>870971.8</v>
      </c>
      <c r="M119" s="163"/>
      <c r="N119" s="163"/>
      <c r="O119" s="163"/>
      <c r="P119" s="163"/>
    </row>
    <row r="120" spans="1:16" ht="11.85" customHeight="1" x14ac:dyDescent="0.2">
      <c r="A120" s="458" t="s">
        <v>1150</v>
      </c>
      <c r="B120" s="372" t="s">
        <v>555</v>
      </c>
      <c r="C120" s="1922">
        <v>226442.7</v>
      </c>
      <c r="D120" s="1922">
        <v>0</v>
      </c>
      <c r="E120" s="1922">
        <v>6391.2</v>
      </c>
      <c r="F120" s="1922">
        <v>7876.8</v>
      </c>
      <c r="G120" s="1037">
        <f t="shared" si="9"/>
        <v>14268</v>
      </c>
      <c r="H120" s="1922">
        <v>9573.1</v>
      </c>
      <c r="I120" s="1922">
        <v>504265.7</v>
      </c>
      <c r="J120" s="1037">
        <f t="shared" si="6"/>
        <v>513838.8</v>
      </c>
      <c r="K120" s="1922">
        <v>126365.7</v>
      </c>
      <c r="L120" s="1037">
        <f t="shared" si="8"/>
        <v>880915.2</v>
      </c>
      <c r="M120" s="163"/>
      <c r="N120" s="163"/>
      <c r="O120" s="163"/>
      <c r="P120" s="163"/>
    </row>
    <row r="121" spans="1:16" ht="11.85" customHeight="1" x14ac:dyDescent="0.2">
      <c r="A121" s="458" t="s">
        <v>1150</v>
      </c>
      <c r="B121" s="1989" t="s">
        <v>548</v>
      </c>
      <c r="C121" s="1924">
        <v>221811.1</v>
      </c>
      <c r="D121" s="1924">
        <v>0</v>
      </c>
      <c r="E121" s="1924">
        <v>6280.6</v>
      </c>
      <c r="F121" s="1924">
        <v>8265.2999999999993</v>
      </c>
      <c r="G121" s="2050">
        <f t="shared" si="9"/>
        <v>14545.9</v>
      </c>
      <c r="H121" s="1924">
        <v>10075.799999999999</v>
      </c>
      <c r="I121" s="1924">
        <v>518566.1</v>
      </c>
      <c r="J121" s="2050">
        <f t="shared" si="6"/>
        <v>528641.9</v>
      </c>
      <c r="K121" s="1924">
        <v>129702.6</v>
      </c>
      <c r="L121" s="2050">
        <f t="shared" si="8"/>
        <v>894701.5</v>
      </c>
      <c r="M121" s="163"/>
      <c r="N121" s="163"/>
      <c r="O121" s="163"/>
      <c r="P121" s="163"/>
    </row>
    <row r="122" spans="1:16" ht="11.85" customHeight="1" x14ac:dyDescent="0.2">
      <c r="A122" s="458" t="s">
        <v>1150</v>
      </c>
      <c r="B122" s="372" t="s">
        <v>556</v>
      </c>
      <c r="C122" s="1922">
        <v>221725.7</v>
      </c>
      <c r="D122" s="1922">
        <v>0</v>
      </c>
      <c r="E122" s="1922">
        <v>6676.6</v>
      </c>
      <c r="F122" s="1922">
        <v>8306.7999999999993</v>
      </c>
      <c r="G122" s="1037">
        <f t="shared" si="9"/>
        <v>14983.4</v>
      </c>
      <c r="H122" s="1922">
        <v>10834</v>
      </c>
      <c r="I122" s="1922">
        <v>522297.2</v>
      </c>
      <c r="J122" s="1037">
        <f t="shared" si="6"/>
        <v>533131.19999999995</v>
      </c>
      <c r="K122" s="1922">
        <v>128225.1</v>
      </c>
      <c r="L122" s="1037">
        <f t="shared" si="8"/>
        <v>898065.39999999991</v>
      </c>
      <c r="M122" s="163"/>
      <c r="N122" s="163"/>
      <c r="O122" s="163"/>
      <c r="P122" s="163"/>
    </row>
    <row r="123" spans="1:16" ht="11.85" customHeight="1" x14ac:dyDescent="0.2">
      <c r="A123" s="458" t="s">
        <v>1150</v>
      </c>
      <c r="B123" s="1989" t="s">
        <v>557</v>
      </c>
      <c r="C123" s="1924">
        <v>227577.9</v>
      </c>
      <c r="D123" s="1924">
        <v>0</v>
      </c>
      <c r="E123" s="1924">
        <v>6776</v>
      </c>
      <c r="F123" s="1924">
        <v>8806.1</v>
      </c>
      <c r="G123" s="2050">
        <f t="shared" si="9"/>
        <v>15582.1</v>
      </c>
      <c r="H123" s="1924">
        <v>9955.4</v>
      </c>
      <c r="I123" s="1924">
        <v>526674.4</v>
      </c>
      <c r="J123" s="2050">
        <f t="shared" si="6"/>
        <v>536629.80000000005</v>
      </c>
      <c r="K123" s="1924">
        <v>130158.7</v>
      </c>
      <c r="L123" s="2050">
        <f t="shared" si="8"/>
        <v>909948.5</v>
      </c>
      <c r="M123" s="163"/>
      <c r="N123" s="163"/>
      <c r="O123" s="163"/>
      <c r="P123" s="163"/>
    </row>
    <row r="124" spans="1:16" ht="11.85" customHeight="1" x14ac:dyDescent="0.2">
      <c r="A124" s="458" t="s">
        <v>1150</v>
      </c>
      <c r="B124" s="372" t="s">
        <v>549</v>
      </c>
      <c r="C124" s="1922">
        <v>227961.7</v>
      </c>
      <c r="D124" s="1922">
        <v>0</v>
      </c>
      <c r="E124" s="1922">
        <v>6749.2</v>
      </c>
      <c r="F124" s="1922">
        <v>9302.1</v>
      </c>
      <c r="G124" s="1037">
        <f t="shared" si="9"/>
        <v>16051.3</v>
      </c>
      <c r="H124" s="1922">
        <v>10160</v>
      </c>
      <c r="I124" s="1922">
        <v>534217.5</v>
      </c>
      <c r="J124" s="1037">
        <f t="shared" si="6"/>
        <v>544377.5</v>
      </c>
      <c r="K124" s="1922">
        <v>131298.4</v>
      </c>
      <c r="L124" s="1037">
        <f t="shared" si="8"/>
        <v>919688.9</v>
      </c>
      <c r="M124" s="163"/>
      <c r="N124" s="163"/>
      <c r="O124" s="163"/>
      <c r="P124" s="163"/>
    </row>
    <row r="125" spans="1:16" ht="11.85" customHeight="1" x14ac:dyDescent="0.2">
      <c r="A125" s="458" t="s">
        <v>1150</v>
      </c>
      <c r="B125" s="1989" t="s">
        <v>558</v>
      </c>
      <c r="C125" s="1924">
        <v>229035</v>
      </c>
      <c r="D125" s="1924">
        <v>0</v>
      </c>
      <c r="E125" s="1924">
        <v>6893.9</v>
      </c>
      <c r="F125" s="1924">
        <v>9376.2999999999993</v>
      </c>
      <c r="G125" s="2050">
        <f t="shared" si="9"/>
        <v>16270.199999999999</v>
      </c>
      <c r="H125" s="1924">
        <v>9890.5</v>
      </c>
      <c r="I125" s="1924">
        <v>543308.69999999995</v>
      </c>
      <c r="J125" s="2050">
        <f t="shared" si="6"/>
        <v>553199.19999999995</v>
      </c>
      <c r="K125" s="1924">
        <v>131363.6</v>
      </c>
      <c r="L125" s="2050">
        <f t="shared" si="8"/>
        <v>929867.99999999988</v>
      </c>
      <c r="M125" s="163"/>
      <c r="N125" s="163"/>
      <c r="O125" s="163"/>
      <c r="P125" s="163"/>
    </row>
    <row r="126" spans="1:16" ht="11.85" customHeight="1" x14ac:dyDescent="0.2">
      <c r="A126" s="458" t="s">
        <v>1150</v>
      </c>
      <c r="B126" s="372" t="s">
        <v>559</v>
      </c>
      <c r="C126" s="1922">
        <v>237185.3</v>
      </c>
      <c r="D126" s="1922">
        <v>0</v>
      </c>
      <c r="E126" s="1922">
        <v>6695</v>
      </c>
      <c r="F126" s="1922">
        <v>9866.7999999999993</v>
      </c>
      <c r="G126" s="1037">
        <f t="shared" si="9"/>
        <v>16561.8</v>
      </c>
      <c r="H126" s="1922">
        <v>10023.799999999999</v>
      </c>
      <c r="I126" s="1922">
        <v>551306.69999999995</v>
      </c>
      <c r="J126" s="1037">
        <f t="shared" si="6"/>
        <v>561330.5</v>
      </c>
      <c r="K126" s="1922">
        <v>132523.79999999999</v>
      </c>
      <c r="L126" s="1037">
        <f t="shared" si="8"/>
        <v>947601.39999999991</v>
      </c>
      <c r="M126" s="163"/>
      <c r="N126" s="163"/>
      <c r="O126" s="163"/>
      <c r="P126" s="163"/>
    </row>
    <row r="127" spans="1:16" ht="11.85" customHeight="1" x14ac:dyDescent="0.2">
      <c r="A127" s="458" t="s">
        <v>1150</v>
      </c>
      <c r="B127" s="1989" t="s">
        <v>550</v>
      </c>
      <c r="C127" s="1924">
        <v>252862.6</v>
      </c>
      <c r="D127" s="1924">
        <v>0</v>
      </c>
      <c r="E127" s="1924">
        <v>6541.6</v>
      </c>
      <c r="F127" s="1924">
        <v>9916</v>
      </c>
      <c r="G127" s="2050">
        <f t="shared" si="9"/>
        <v>16457.599999999999</v>
      </c>
      <c r="H127" s="1924">
        <v>9139.7000000000007</v>
      </c>
      <c r="I127" s="1924">
        <v>565645.19999999995</v>
      </c>
      <c r="J127" s="2050">
        <f t="shared" si="6"/>
        <v>574784.89999999991</v>
      </c>
      <c r="K127" s="1924">
        <v>135861.70000000001</v>
      </c>
      <c r="L127" s="2050">
        <f t="shared" si="8"/>
        <v>979966.79999999981</v>
      </c>
      <c r="M127" s="163"/>
      <c r="N127" s="163"/>
      <c r="O127" s="163"/>
      <c r="P127" s="163"/>
    </row>
    <row r="128" spans="1:16" ht="11.85" customHeight="1" x14ac:dyDescent="0.2">
      <c r="A128" s="458" t="s">
        <v>1174</v>
      </c>
      <c r="B128" s="1989" t="s">
        <v>552</v>
      </c>
      <c r="C128" s="1924">
        <v>258856.3</v>
      </c>
      <c r="D128" s="1924">
        <v>0</v>
      </c>
      <c r="E128" s="1924">
        <v>6653.7</v>
      </c>
      <c r="F128" s="1924">
        <v>10663.7</v>
      </c>
      <c r="G128" s="2050">
        <f t="shared" si="9"/>
        <v>17317.400000000001</v>
      </c>
      <c r="H128" s="1924">
        <v>8989.2999999999993</v>
      </c>
      <c r="I128" s="1924">
        <v>558983.69999999995</v>
      </c>
      <c r="J128" s="2050">
        <f t="shared" si="6"/>
        <v>567973</v>
      </c>
      <c r="K128" s="1924">
        <v>136409.5</v>
      </c>
      <c r="L128" s="2050">
        <f t="shared" si="8"/>
        <v>980556.2</v>
      </c>
      <c r="M128" s="163"/>
      <c r="N128" s="163"/>
      <c r="O128" s="163"/>
      <c r="P128" s="163"/>
    </row>
    <row r="129" spans="1:16" ht="11.85" customHeight="1" x14ac:dyDescent="0.2">
      <c r="A129" s="458" t="s">
        <v>1174</v>
      </c>
      <c r="B129" s="372" t="s">
        <v>553</v>
      </c>
      <c r="C129" s="1922">
        <v>259794.4</v>
      </c>
      <c r="D129" s="1922">
        <v>0</v>
      </c>
      <c r="E129" s="1922">
        <v>6872.4</v>
      </c>
      <c r="F129" s="1922">
        <v>10396.799999999999</v>
      </c>
      <c r="G129" s="1037">
        <f t="shared" si="9"/>
        <v>17269.199999999997</v>
      </c>
      <c r="H129" s="1922">
        <v>8879.2000000000007</v>
      </c>
      <c r="I129" s="1922">
        <v>565938.69999999995</v>
      </c>
      <c r="J129" s="1037">
        <f t="shared" si="6"/>
        <v>574817.89999999991</v>
      </c>
      <c r="K129" s="1922">
        <v>136672.9</v>
      </c>
      <c r="L129" s="1037">
        <f t="shared" si="8"/>
        <v>988554.39999999991</v>
      </c>
      <c r="M129" s="163"/>
      <c r="N129" s="163"/>
      <c r="O129" s="163"/>
      <c r="P129" s="163"/>
    </row>
    <row r="130" spans="1:16" ht="11.85" customHeight="1" x14ac:dyDescent="0.2">
      <c r="A130" s="458" t="s">
        <v>1174</v>
      </c>
      <c r="B130" s="1989" t="s">
        <v>547</v>
      </c>
      <c r="C130" s="1924">
        <v>263999.40000000002</v>
      </c>
      <c r="D130" s="1924">
        <v>0</v>
      </c>
      <c r="E130" s="1924">
        <v>6687</v>
      </c>
      <c r="F130" s="1924">
        <v>10154.1</v>
      </c>
      <c r="G130" s="2050">
        <f t="shared" si="9"/>
        <v>16841.099999999999</v>
      </c>
      <c r="H130" s="1924">
        <v>8862.1</v>
      </c>
      <c r="I130" s="1924">
        <v>572227.19999999995</v>
      </c>
      <c r="J130" s="2050">
        <f t="shared" si="6"/>
        <v>581089.29999999993</v>
      </c>
      <c r="K130" s="1924">
        <v>139332.6</v>
      </c>
      <c r="L130" s="2050">
        <f t="shared" si="8"/>
        <v>1001262.3999999999</v>
      </c>
      <c r="M130" s="163"/>
      <c r="N130" s="163"/>
      <c r="O130" s="163"/>
      <c r="P130" s="163"/>
    </row>
    <row r="131" spans="1:16" ht="11.85" customHeight="1" x14ac:dyDescent="0.2">
      <c r="A131" s="458" t="s">
        <v>1174</v>
      </c>
      <c r="B131" s="372" t="s">
        <v>554</v>
      </c>
      <c r="C131" s="1922">
        <v>264588.79999999999</v>
      </c>
      <c r="D131" s="1922">
        <v>0</v>
      </c>
      <c r="E131" s="1922">
        <v>6514.7</v>
      </c>
      <c r="F131" s="1922">
        <v>10154.799999999999</v>
      </c>
      <c r="G131" s="1037">
        <f t="shared" si="9"/>
        <v>16669.5</v>
      </c>
      <c r="H131" s="1922">
        <v>8540.6</v>
      </c>
      <c r="I131" s="1922">
        <v>575676.6</v>
      </c>
      <c r="J131" s="1037">
        <f t="shared" si="6"/>
        <v>584217.19999999995</v>
      </c>
      <c r="K131" s="1922">
        <v>140848.5</v>
      </c>
      <c r="L131" s="1037">
        <f t="shared" si="8"/>
        <v>1006324</v>
      </c>
      <c r="M131" s="163"/>
      <c r="N131" s="163"/>
      <c r="O131" s="163"/>
      <c r="P131" s="163"/>
    </row>
    <row r="132" spans="1:16" ht="11.85" customHeight="1" x14ac:dyDescent="0.2">
      <c r="A132" s="458" t="s">
        <v>1174</v>
      </c>
      <c r="B132" s="1989" t="s">
        <v>555</v>
      </c>
      <c r="C132" s="1924">
        <v>267623.5</v>
      </c>
      <c r="D132" s="1924">
        <v>0</v>
      </c>
      <c r="E132" s="1924">
        <v>6875.1</v>
      </c>
      <c r="F132" s="1924">
        <v>10504.5</v>
      </c>
      <c r="G132" s="2050">
        <f t="shared" si="9"/>
        <v>17379.599999999999</v>
      </c>
      <c r="H132" s="1924">
        <v>8482.2000000000007</v>
      </c>
      <c r="I132" s="1924">
        <v>583493.4</v>
      </c>
      <c r="J132" s="2050">
        <f t="shared" si="6"/>
        <v>591975.6</v>
      </c>
      <c r="K132" s="1924">
        <v>142776</v>
      </c>
      <c r="L132" s="2050">
        <f t="shared" si="8"/>
        <v>1019754.7</v>
      </c>
      <c r="M132" s="163"/>
      <c r="N132" s="163"/>
      <c r="O132" s="163"/>
      <c r="P132" s="163"/>
    </row>
    <row r="133" spans="1:16" ht="11.85" customHeight="1" x14ac:dyDescent="0.2">
      <c r="A133" s="458" t="s">
        <v>1174</v>
      </c>
      <c r="B133" s="372" t="s">
        <v>548</v>
      </c>
      <c r="C133" s="1922">
        <v>260775.60000000003</v>
      </c>
      <c r="D133" s="1922">
        <v>0</v>
      </c>
      <c r="E133" s="1922">
        <v>7136.1</v>
      </c>
      <c r="F133" s="1922">
        <v>12435.8</v>
      </c>
      <c r="G133" s="1037">
        <f t="shared" si="9"/>
        <v>19571.900000000001</v>
      </c>
      <c r="H133" s="1922">
        <v>8850.9</v>
      </c>
      <c r="I133" s="1922">
        <v>601417.19999999995</v>
      </c>
      <c r="J133" s="1922">
        <f t="shared" si="6"/>
        <v>610268.1</v>
      </c>
      <c r="K133" s="1922">
        <v>146069.70000000001</v>
      </c>
      <c r="L133" s="1037">
        <f t="shared" si="8"/>
        <v>1036685.3</v>
      </c>
      <c r="M133" s="163"/>
      <c r="N133" s="163"/>
      <c r="O133" s="163"/>
      <c r="P133" s="163"/>
    </row>
    <row r="134" spans="1:16" ht="11.85" customHeight="1" x14ac:dyDescent="0.2">
      <c r="A134" s="458" t="s">
        <v>1174</v>
      </c>
      <c r="B134" s="1989" t="s">
        <v>556</v>
      </c>
      <c r="C134" s="1924">
        <v>263924.5</v>
      </c>
      <c r="D134" s="1924">
        <v>0</v>
      </c>
      <c r="E134" s="1924">
        <v>7019.1</v>
      </c>
      <c r="F134" s="1924">
        <v>12518.5</v>
      </c>
      <c r="G134" s="2050">
        <f t="shared" si="9"/>
        <v>19537.599999999999</v>
      </c>
      <c r="H134" s="1924">
        <v>8827.2999999999993</v>
      </c>
      <c r="I134" s="1924">
        <v>602487.80000000005</v>
      </c>
      <c r="J134" s="1924">
        <f t="shared" si="6"/>
        <v>611315.10000000009</v>
      </c>
      <c r="K134" s="1924">
        <v>147438.20000000001</v>
      </c>
      <c r="L134" s="2050">
        <f t="shared" si="8"/>
        <v>1042215.4000000001</v>
      </c>
      <c r="M134" s="163"/>
      <c r="N134" s="163"/>
      <c r="O134" s="163"/>
      <c r="P134" s="163"/>
    </row>
    <row r="135" spans="1:16" ht="11.85" customHeight="1" x14ac:dyDescent="0.2">
      <c r="A135" s="458" t="s">
        <v>1174</v>
      </c>
      <c r="B135" s="372" t="s">
        <v>557</v>
      </c>
      <c r="C135" s="1922">
        <v>265447.90000000002</v>
      </c>
      <c r="D135" s="1922">
        <v>0</v>
      </c>
      <c r="E135" s="1922">
        <v>7029.4</v>
      </c>
      <c r="F135" s="1922">
        <v>12577.5</v>
      </c>
      <c r="G135" s="1037">
        <f t="shared" si="9"/>
        <v>19606.900000000001</v>
      </c>
      <c r="H135" s="1922">
        <v>8234.6</v>
      </c>
      <c r="I135" s="1922">
        <v>609796.9</v>
      </c>
      <c r="J135" s="1922">
        <f t="shared" si="6"/>
        <v>618031.5</v>
      </c>
      <c r="K135" s="2046">
        <v>149253.79999999999</v>
      </c>
      <c r="L135" s="1037">
        <f t="shared" si="8"/>
        <v>1052340.1000000001</v>
      </c>
      <c r="M135" s="163"/>
      <c r="N135" s="163"/>
      <c r="O135" s="163"/>
      <c r="P135" s="163"/>
    </row>
    <row r="136" spans="1:16" ht="11.85" customHeight="1" x14ac:dyDescent="0.2">
      <c r="A136" s="458" t="s">
        <v>1174</v>
      </c>
      <c r="B136" s="1989" t="s">
        <v>549</v>
      </c>
      <c r="C136" s="1924">
        <v>266620.5</v>
      </c>
      <c r="D136" s="1924">
        <v>0</v>
      </c>
      <c r="E136" s="1924">
        <v>7003.9</v>
      </c>
      <c r="F136" s="1924">
        <v>12729.5</v>
      </c>
      <c r="G136" s="2050">
        <f t="shared" si="9"/>
        <v>19733.400000000001</v>
      </c>
      <c r="H136" s="1924">
        <v>8888.6</v>
      </c>
      <c r="I136" s="1924">
        <v>619239</v>
      </c>
      <c r="J136" s="1924">
        <f t="shared" si="6"/>
        <v>628127.6</v>
      </c>
      <c r="K136" s="2040">
        <v>151373.9</v>
      </c>
      <c r="L136" s="2050">
        <f t="shared" si="8"/>
        <v>1065855.3999999999</v>
      </c>
      <c r="M136" s="163"/>
      <c r="N136" s="163"/>
      <c r="O136" s="163"/>
      <c r="P136" s="163"/>
    </row>
    <row r="137" spans="1:16" ht="11.85" customHeight="1" x14ac:dyDescent="0.2">
      <c r="A137" s="458" t="s">
        <v>1174</v>
      </c>
      <c r="B137" s="372" t="s">
        <v>558</v>
      </c>
      <c r="C137" s="1922">
        <v>264924.90000000002</v>
      </c>
      <c r="D137" s="1922">
        <v>0</v>
      </c>
      <c r="E137" s="1922">
        <v>7402.6</v>
      </c>
      <c r="F137" s="1922">
        <v>13784.7</v>
      </c>
      <c r="G137" s="1037">
        <f t="shared" si="9"/>
        <v>21187.300000000003</v>
      </c>
      <c r="H137" s="1922">
        <v>9067.2999999999993</v>
      </c>
      <c r="I137" s="1922">
        <v>627434.6</v>
      </c>
      <c r="J137" s="1922">
        <f t="shared" si="6"/>
        <v>636501.9</v>
      </c>
      <c r="K137" s="2046">
        <v>153656.20000000001</v>
      </c>
      <c r="L137" s="1037">
        <f t="shared" si="8"/>
        <v>1076270.3</v>
      </c>
      <c r="M137" s="163"/>
      <c r="N137" s="163"/>
      <c r="O137" s="163"/>
      <c r="P137" s="163"/>
    </row>
    <row r="138" spans="1:16" ht="11.85" customHeight="1" x14ac:dyDescent="0.2">
      <c r="A138" s="458" t="s">
        <v>1174</v>
      </c>
      <c r="B138" s="1989" t="s">
        <v>559</v>
      </c>
      <c r="C138" s="1924">
        <v>268213.69999999995</v>
      </c>
      <c r="D138" s="1924">
        <v>0</v>
      </c>
      <c r="E138" s="1924">
        <v>7798.7</v>
      </c>
      <c r="F138" s="1924">
        <v>13368.2</v>
      </c>
      <c r="G138" s="2050">
        <f t="shared" si="9"/>
        <v>21166.9</v>
      </c>
      <c r="H138" s="1924">
        <v>9199</v>
      </c>
      <c r="I138" s="1924">
        <v>637053</v>
      </c>
      <c r="J138" s="1924">
        <f t="shared" si="6"/>
        <v>646252</v>
      </c>
      <c r="K138" s="2040">
        <v>155482.70000000001</v>
      </c>
      <c r="L138" s="2050">
        <f t="shared" si="8"/>
        <v>1091115.3</v>
      </c>
      <c r="M138" s="163"/>
      <c r="N138" s="163"/>
      <c r="O138" s="163"/>
      <c r="P138" s="163"/>
    </row>
    <row r="139" spans="1:16" ht="11.85" customHeight="1" x14ac:dyDescent="0.2">
      <c r="A139" s="458" t="s">
        <v>1174</v>
      </c>
      <c r="B139" s="372" t="s">
        <v>550</v>
      </c>
      <c r="C139" s="1922">
        <v>288377.59999999998</v>
      </c>
      <c r="D139" s="1922">
        <v>0</v>
      </c>
      <c r="E139" s="1922">
        <v>7732.4</v>
      </c>
      <c r="F139" s="1922">
        <v>14235.7</v>
      </c>
      <c r="G139" s="1037">
        <f t="shared" si="9"/>
        <v>21968.1</v>
      </c>
      <c r="H139" s="1922">
        <v>9154.4</v>
      </c>
      <c r="I139" s="1922">
        <v>651090.5</v>
      </c>
      <c r="J139" s="1922">
        <f t="shared" si="6"/>
        <v>660244.9</v>
      </c>
      <c r="K139" s="2046">
        <v>159057.29999999999</v>
      </c>
      <c r="L139" s="1037">
        <f t="shared" si="8"/>
        <v>1129647.8999999999</v>
      </c>
      <c r="M139" s="163"/>
      <c r="N139" s="163"/>
      <c r="O139" s="163"/>
      <c r="P139" s="163"/>
    </row>
    <row r="140" spans="1:16" ht="11.85" customHeight="1" x14ac:dyDescent="0.2">
      <c r="A140" s="458" t="s">
        <v>1296</v>
      </c>
      <c r="B140" s="372" t="s">
        <v>552</v>
      </c>
      <c r="C140" s="1922">
        <v>287398.80000000005</v>
      </c>
      <c r="D140" s="1922">
        <v>0</v>
      </c>
      <c r="E140" s="1922">
        <v>5731</v>
      </c>
      <c r="F140" s="1922">
        <v>22366.5</v>
      </c>
      <c r="G140" s="1037">
        <f t="shared" si="9"/>
        <v>28097.5</v>
      </c>
      <c r="H140" s="1922">
        <v>9740.2000000000007</v>
      </c>
      <c r="I140" s="1922">
        <v>653699.19999999995</v>
      </c>
      <c r="J140" s="1922">
        <f t="shared" si="6"/>
        <v>663439.39999999991</v>
      </c>
      <c r="K140" s="2046">
        <v>159360.29999999999</v>
      </c>
      <c r="L140" s="1037">
        <f t="shared" si="8"/>
        <v>1138296</v>
      </c>
      <c r="M140" s="163"/>
      <c r="N140" s="163"/>
      <c r="O140" s="163"/>
      <c r="P140" s="163"/>
    </row>
    <row r="141" spans="1:16" ht="11.85" customHeight="1" x14ac:dyDescent="0.2">
      <c r="A141" s="458" t="s">
        <v>1296</v>
      </c>
      <c r="B141" s="1989" t="s">
        <v>553</v>
      </c>
      <c r="C141" s="1924">
        <v>297903.89999999997</v>
      </c>
      <c r="D141" s="1924">
        <v>0</v>
      </c>
      <c r="E141" s="1924">
        <v>3372.1</v>
      </c>
      <c r="F141" s="1924">
        <v>23429.3</v>
      </c>
      <c r="G141" s="2050">
        <f t="shared" si="9"/>
        <v>26801.399999999998</v>
      </c>
      <c r="H141" s="1924">
        <v>9628</v>
      </c>
      <c r="I141" s="1924">
        <v>665110.5</v>
      </c>
      <c r="J141" s="1924">
        <f t="shared" si="6"/>
        <v>674738.5</v>
      </c>
      <c r="K141" s="2040">
        <v>161237.9</v>
      </c>
      <c r="L141" s="2050">
        <f t="shared" si="8"/>
        <v>1160681.7</v>
      </c>
      <c r="M141" s="163"/>
      <c r="N141" s="163"/>
      <c r="O141" s="163"/>
      <c r="P141" s="163"/>
    </row>
    <row r="142" spans="1:16" ht="11.85" customHeight="1" x14ac:dyDescent="0.2">
      <c r="A142" s="458" t="s">
        <v>1296</v>
      </c>
      <c r="B142" s="372" t="s">
        <v>547</v>
      </c>
      <c r="C142" s="1922">
        <v>295026.40000000002</v>
      </c>
      <c r="D142" s="1922">
        <v>0</v>
      </c>
      <c r="E142" s="1922">
        <v>1611</v>
      </c>
      <c r="F142" s="1922">
        <v>15995.4</v>
      </c>
      <c r="G142" s="1922">
        <f t="shared" si="9"/>
        <v>17606.400000000001</v>
      </c>
      <c r="H142" s="1922">
        <v>9680.4</v>
      </c>
      <c r="I142" s="1922">
        <v>681442.3</v>
      </c>
      <c r="J142" s="1922">
        <f t="shared" si="6"/>
        <v>691122.70000000007</v>
      </c>
      <c r="K142" s="2046">
        <v>163216.70000000001</v>
      </c>
      <c r="L142" s="2046">
        <f t="shared" si="8"/>
        <v>1166972.2000000002</v>
      </c>
      <c r="M142" s="163"/>
      <c r="N142" s="163"/>
      <c r="O142" s="163"/>
      <c r="P142" s="163"/>
    </row>
    <row r="143" spans="1:16" ht="11.85" customHeight="1" x14ac:dyDescent="0.2">
      <c r="A143" s="458" t="s">
        <v>1296</v>
      </c>
      <c r="B143" s="1989" t="s">
        <v>554</v>
      </c>
      <c r="C143" s="1924">
        <v>297386.7</v>
      </c>
      <c r="D143" s="1924">
        <v>0</v>
      </c>
      <c r="E143" s="1924">
        <v>1272.8</v>
      </c>
      <c r="F143" s="1924">
        <v>16128.7</v>
      </c>
      <c r="G143" s="1924">
        <f t="shared" si="9"/>
        <v>17401.5</v>
      </c>
      <c r="H143" s="1924">
        <v>9890.9</v>
      </c>
      <c r="I143" s="1924">
        <v>690478.3</v>
      </c>
      <c r="J143" s="1924">
        <f t="shared" si="6"/>
        <v>700369.20000000007</v>
      </c>
      <c r="K143" s="2040">
        <v>166151.5</v>
      </c>
      <c r="L143" s="2040">
        <f t="shared" si="8"/>
        <v>1181308.9000000001</v>
      </c>
      <c r="M143" s="163"/>
      <c r="N143" s="163"/>
      <c r="O143" s="163"/>
      <c r="P143" s="163"/>
    </row>
    <row r="144" spans="1:16" ht="11.85" customHeight="1" x14ac:dyDescent="0.2">
      <c r="A144" s="458" t="s">
        <v>1296</v>
      </c>
      <c r="B144" s="372" t="s">
        <v>555</v>
      </c>
      <c r="C144" s="1922">
        <v>309438</v>
      </c>
      <c r="D144" s="1922">
        <v>0</v>
      </c>
      <c r="E144" s="1922">
        <v>1275.5999999999999</v>
      </c>
      <c r="F144" s="1922">
        <v>16453.900000000001</v>
      </c>
      <c r="G144" s="1922">
        <f t="shared" si="9"/>
        <v>17729.5</v>
      </c>
      <c r="H144" s="1922">
        <v>10083.4</v>
      </c>
      <c r="I144" s="1922">
        <v>702363.2</v>
      </c>
      <c r="J144" s="1922">
        <f t="shared" si="6"/>
        <v>712446.6</v>
      </c>
      <c r="K144" s="2046">
        <v>168754</v>
      </c>
      <c r="L144" s="2046">
        <f t="shared" si="8"/>
        <v>1208368.1000000001</v>
      </c>
      <c r="M144" s="163"/>
      <c r="N144" s="163"/>
      <c r="O144" s="163"/>
      <c r="P144" s="163"/>
    </row>
    <row r="145" spans="1:16" ht="11.85" customHeight="1" x14ac:dyDescent="0.2">
      <c r="A145" s="458" t="s">
        <v>1296</v>
      </c>
      <c r="B145" s="1989" t="s">
        <v>548</v>
      </c>
      <c r="C145" s="1924">
        <v>299184.5</v>
      </c>
      <c r="D145" s="1924">
        <v>0</v>
      </c>
      <c r="E145" s="1924">
        <v>1278</v>
      </c>
      <c r="F145" s="1924">
        <v>17100.900000000001</v>
      </c>
      <c r="G145" s="1924">
        <f t="shared" si="9"/>
        <v>18378.900000000001</v>
      </c>
      <c r="H145" s="1924">
        <v>10454.4</v>
      </c>
      <c r="I145" s="1924">
        <v>717200</v>
      </c>
      <c r="J145" s="1924">
        <f t="shared" si="6"/>
        <v>727654.40000000002</v>
      </c>
      <c r="K145" s="2040">
        <v>172922.5</v>
      </c>
      <c r="L145" s="2040">
        <f t="shared" si="8"/>
        <v>1218140.3</v>
      </c>
      <c r="M145" s="163"/>
      <c r="N145" s="163"/>
      <c r="O145" s="163"/>
      <c r="P145" s="163"/>
    </row>
    <row r="146" spans="1:16" ht="11.85" customHeight="1" x14ac:dyDescent="0.2">
      <c r="A146" s="458" t="s">
        <v>1296</v>
      </c>
      <c r="B146" s="372" t="s">
        <v>556</v>
      </c>
      <c r="C146" s="1922">
        <v>298083.09999999998</v>
      </c>
      <c r="D146" s="1922">
        <v>0</v>
      </c>
      <c r="E146" s="1922">
        <v>1270.0999999999999</v>
      </c>
      <c r="F146" s="1922">
        <v>18066.8</v>
      </c>
      <c r="G146" s="1922">
        <f t="shared" si="9"/>
        <v>19336.899999999998</v>
      </c>
      <c r="H146" s="1922">
        <v>10157.700000000001</v>
      </c>
      <c r="I146" s="1922">
        <v>720538.7</v>
      </c>
      <c r="J146" s="1922">
        <f t="shared" si="6"/>
        <v>730696.39999999991</v>
      </c>
      <c r="K146" s="2046">
        <v>175115</v>
      </c>
      <c r="L146" s="2046">
        <f t="shared" si="8"/>
        <v>1223231.3999999999</v>
      </c>
      <c r="M146" s="163"/>
      <c r="N146" s="163"/>
      <c r="O146" s="163"/>
      <c r="P146" s="163"/>
    </row>
    <row r="147" spans="1:16" ht="11.85" customHeight="1" x14ac:dyDescent="0.2">
      <c r="A147" s="458" t="s">
        <v>1296</v>
      </c>
      <c r="B147" s="1989" t="s">
        <v>557</v>
      </c>
      <c r="C147" s="1924">
        <v>296258.5</v>
      </c>
      <c r="D147" s="1924">
        <v>0</v>
      </c>
      <c r="E147" s="1924">
        <v>1420.6</v>
      </c>
      <c r="F147" s="1924">
        <v>19898.3</v>
      </c>
      <c r="G147" s="1924">
        <f t="shared" si="9"/>
        <v>21318.899999999998</v>
      </c>
      <c r="H147" s="1924">
        <v>10328</v>
      </c>
      <c r="I147" s="1924">
        <v>728423.7</v>
      </c>
      <c r="J147" s="1924">
        <f t="shared" si="6"/>
        <v>738751.7</v>
      </c>
      <c r="K147" s="2040">
        <v>177190.5</v>
      </c>
      <c r="L147" s="2040">
        <f t="shared" si="8"/>
        <v>1233519.6000000001</v>
      </c>
      <c r="M147" s="163"/>
      <c r="N147" s="163"/>
      <c r="O147" s="163"/>
      <c r="P147" s="163"/>
    </row>
    <row r="148" spans="1:16" ht="11.85" customHeight="1" x14ac:dyDescent="0.2">
      <c r="A148" s="458" t="s">
        <v>1296</v>
      </c>
      <c r="B148" s="372" t="s">
        <v>549</v>
      </c>
      <c r="C148" s="1922">
        <v>299363.90000000002</v>
      </c>
      <c r="D148" s="1922">
        <v>0</v>
      </c>
      <c r="E148" s="1922">
        <v>1419.5</v>
      </c>
      <c r="F148" s="1922">
        <v>20563.5</v>
      </c>
      <c r="G148" s="1922">
        <f t="shared" si="9"/>
        <v>21983</v>
      </c>
      <c r="H148" s="1922">
        <v>10157.1</v>
      </c>
      <c r="I148" s="1922">
        <v>736241.3</v>
      </c>
      <c r="J148" s="1922">
        <f t="shared" si="6"/>
        <v>746398.4</v>
      </c>
      <c r="K148" s="2046">
        <v>177931.5</v>
      </c>
      <c r="L148" s="2046">
        <f t="shared" si="8"/>
        <v>1245676.8</v>
      </c>
      <c r="M148" s="163"/>
      <c r="N148" s="163"/>
      <c r="O148" s="163"/>
      <c r="P148" s="163"/>
    </row>
    <row r="149" spans="1:16" ht="11.85" customHeight="1" x14ac:dyDescent="0.2">
      <c r="A149" s="458" t="s">
        <v>1296</v>
      </c>
      <c r="B149" s="1989" t="s">
        <v>558</v>
      </c>
      <c r="C149" s="1924">
        <v>299709.90000000002</v>
      </c>
      <c r="D149" s="1924">
        <v>0</v>
      </c>
      <c r="E149" s="1924">
        <v>1391.5</v>
      </c>
      <c r="F149" s="1924">
        <v>20351.400000000001</v>
      </c>
      <c r="G149" s="1924">
        <f t="shared" si="9"/>
        <v>21742.9</v>
      </c>
      <c r="H149" s="1924">
        <v>11170.6</v>
      </c>
      <c r="I149" s="1924">
        <v>744557.4</v>
      </c>
      <c r="J149" s="1924">
        <f t="shared" ref="J149:J151" si="10">H149+I149</f>
        <v>755728</v>
      </c>
      <c r="K149" s="2040">
        <v>179205.5</v>
      </c>
      <c r="L149" s="2040">
        <f t="shared" si="8"/>
        <v>1256386.3</v>
      </c>
      <c r="M149" s="163"/>
      <c r="N149" s="163"/>
      <c r="O149" s="163"/>
      <c r="P149" s="163"/>
    </row>
    <row r="150" spans="1:16" ht="11.85" customHeight="1" x14ac:dyDescent="0.2">
      <c r="A150" s="458" t="s">
        <v>1296</v>
      </c>
      <c r="B150" s="372" t="s">
        <v>559</v>
      </c>
      <c r="C150" s="1922">
        <v>307264.59999999998</v>
      </c>
      <c r="D150" s="1922">
        <v>0</v>
      </c>
      <c r="E150" s="1922">
        <v>1394.7</v>
      </c>
      <c r="F150" s="1922">
        <v>20577.900000000001</v>
      </c>
      <c r="G150" s="1922">
        <f t="shared" si="9"/>
        <v>21972.600000000002</v>
      </c>
      <c r="H150" s="1922">
        <v>11219.9</v>
      </c>
      <c r="I150" s="1922">
        <v>754610.4</v>
      </c>
      <c r="J150" s="1922">
        <f t="shared" si="10"/>
        <v>765830.3</v>
      </c>
      <c r="K150" s="2046">
        <v>180183.69999999978</v>
      </c>
      <c r="L150" s="2046">
        <f t="shared" si="8"/>
        <v>1275251.1999999997</v>
      </c>
      <c r="M150" s="163"/>
      <c r="N150" s="163"/>
      <c r="O150" s="163"/>
      <c r="P150" s="163"/>
    </row>
    <row r="151" spans="1:16" ht="11.85" customHeight="1" x14ac:dyDescent="0.2">
      <c r="A151" s="458" t="s">
        <v>1296</v>
      </c>
      <c r="B151" s="1989" t="s">
        <v>550</v>
      </c>
      <c r="C151" s="1924">
        <v>329523</v>
      </c>
      <c r="D151" s="1924">
        <v>0</v>
      </c>
      <c r="E151" s="1924">
        <v>1415.9</v>
      </c>
      <c r="F151" s="1924">
        <v>20902.7</v>
      </c>
      <c r="G151" s="1924">
        <f t="shared" si="9"/>
        <v>22318.600000000002</v>
      </c>
      <c r="H151" s="1924">
        <v>10709.7</v>
      </c>
      <c r="I151" s="1924">
        <v>766225.4</v>
      </c>
      <c r="J151" s="1924">
        <f t="shared" si="10"/>
        <v>776935.1</v>
      </c>
      <c r="K151" s="2040">
        <v>183088.4</v>
      </c>
      <c r="L151" s="2040">
        <f>C151+D151+G151+J151+K151</f>
        <v>1311865.0999999999</v>
      </c>
      <c r="M151" s="163"/>
      <c r="N151" s="163"/>
      <c r="O151" s="163"/>
      <c r="P151" s="163"/>
    </row>
    <row r="152" spans="1:16" ht="11.85" customHeight="1" x14ac:dyDescent="0.2">
      <c r="A152" s="458" t="s">
        <v>1404</v>
      </c>
      <c r="B152" s="1989" t="s">
        <v>552</v>
      </c>
      <c r="C152" s="1922">
        <v>336817.9</v>
      </c>
      <c r="D152" s="1922">
        <v>0</v>
      </c>
      <c r="E152" s="1922">
        <v>1508.4</v>
      </c>
      <c r="F152" s="1922">
        <v>20318.099999999999</v>
      </c>
      <c r="G152" s="1922">
        <f t="shared" ref="G152:G187" si="11">E152+F152</f>
        <v>21826.5</v>
      </c>
      <c r="H152" s="1922">
        <v>10822.8</v>
      </c>
      <c r="I152" s="1922">
        <v>761097.5</v>
      </c>
      <c r="J152" s="1922">
        <f t="shared" ref="J152:J187" si="12">H152+I152</f>
        <v>771920.3</v>
      </c>
      <c r="K152" s="2046">
        <v>182126</v>
      </c>
      <c r="L152" s="2046">
        <f t="shared" ref="L152:L187" si="13">C152+D152+G152+J152+K152</f>
        <v>1312690.7000000002</v>
      </c>
      <c r="M152" s="163"/>
      <c r="N152" s="163"/>
      <c r="O152" s="163"/>
      <c r="P152" s="163"/>
    </row>
    <row r="153" spans="1:16" ht="11.85" customHeight="1" x14ac:dyDescent="0.2">
      <c r="A153" s="458" t="s">
        <v>1404</v>
      </c>
      <c r="B153" s="372" t="s">
        <v>553</v>
      </c>
      <c r="C153" s="1924">
        <v>345237.7</v>
      </c>
      <c r="D153" s="1924">
        <v>0</v>
      </c>
      <c r="E153" s="1924">
        <v>1393</v>
      </c>
      <c r="F153" s="1924">
        <v>20807.8</v>
      </c>
      <c r="G153" s="1924">
        <f t="shared" si="11"/>
        <v>22200.799999999999</v>
      </c>
      <c r="H153" s="1924">
        <v>10800.9</v>
      </c>
      <c r="I153" s="1924">
        <v>770069</v>
      </c>
      <c r="J153" s="1924">
        <f t="shared" si="12"/>
        <v>780869.9</v>
      </c>
      <c r="K153" s="2040">
        <v>182078.6</v>
      </c>
      <c r="L153" s="2040">
        <f t="shared" si="13"/>
        <v>1330387</v>
      </c>
      <c r="M153" s="163"/>
      <c r="N153" s="163"/>
      <c r="O153" s="163"/>
      <c r="P153" s="163"/>
    </row>
    <row r="154" spans="1:16" ht="11.85" customHeight="1" x14ac:dyDescent="0.2">
      <c r="A154" s="458" t="s">
        <v>1404</v>
      </c>
      <c r="B154" s="1989" t="s">
        <v>547</v>
      </c>
      <c r="C154" s="1922">
        <v>343600.9</v>
      </c>
      <c r="D154" s="1922">
        <v>0</v>
      </c>
      <c r="E154" s="1922">
        <v>1393.8</v>
      </c>
      <c r="F154" s="1922">
        <v>21309.4</v>
      </c>
      <c r="G154" s="1922">
        <f t="shared" si="11"/>
        <v>22703.200000000001</v>
      </c>
      <c r="H154" s="1922">
        <v>11029.2</v>
      </c>
      <c r="I154" s="1922">
        <v>776926.9</v>
      </c>
      <c r="J154" s="1922">
        <f t="shared" si="12"/>
        <v>787956.1</v>
      </c>
      <c r="K154" s="2046">
        <v>183415.1</v>
      </c>
      <c r="L154" s="2046">
        <f t="shared" si="13"/>
        <v>1337675.3</v>
      </c>
      <c r="M154" s="163"/>
      <c r="N154" s="163"/>
      <c r="O154" s="163"/>
      <c r="P154" s="163"/>
    </row>
    <row r="155" spans="1:16" ht="11.85" customHeight="1" x14ac:dyDescent="0.2">
      <c r="A155" s="458" t="s">
        <v>1404</v>
      </c>
      <c r="B155" s="372" t="s">
        <v>554</v>
      </c>
      <c r="C155" s="1924">
        <v>348476.19999999995</v>
      </c>
      <c r="D155" s="1924">
        <v>0</v>
      </c>
      <c r="E155" s="1924">
        <v>1396.3</v>
      </c>
      <c r="F155" s="1924">
        <v>21541.200000000001</v>
      </c>
      <c r="G155" s="1924">
        <f t="shared" si="11"/>
        <v>22937.5</v>
      </c>
      <c r="H155" s="1924">
        <v>11549.4</v>
      </c>
      <c r="I155" s="1924">
        <v>788084.5</v>
      </c>
      <c r="J155" s="1924">
        <f t="shared" si="12"/>
        <v>799633.9</v>
      </c>
      <c r="K155" s="2040">
        <v>185777.7</v>
      </c>
      <c r="L155" s="2040">
        <f t="shared" si="13"/>
        <v>1356825.3</v>
      </c>
      <c r="M155" s="163"/>
      <c r="N155" s="163"/>
      <c r="O155" s="163"/>
      <c r="P155" s="163"/>
    </row>
    <row r="156" spans="1:16" ht="11.85" customHeight="1" x14ac:dyDescent="0.2">
      <c r="A156" s="458" t="s">
        <v>1404</v>
      </c>
      <c r="B156" s="1989" t="s">
        <v>555</v>
      </c>
      <c r="C156" s="1922">
        <v>354452.7</v>
      </c>
      <c r="D156" s="1922">
        <v>0</v>
      </c>
      <c r="E156" s="1922">
        <v>1512.6</v>
      </c>
      <c r="F156" s="1922">
        <v>22381.599999999999</v>
      </c>
      <c r="G156" s="1922">
        <f t="shared" si="11"/>
        <v>23894.199999999997</v>
      </c>
      <c r="H156" s="1922">
        <v>12251.6</v>
      </c>
      <c r="I156" s="1922">
        <v>796895.7</v>
      </c>
      <c r="J156" s="1922">
        <f t="shared" si="12"/>
        <v>809147.29999999993</v>
      </c>
      <c r="K156" s="2046">
        <v>187089</v>
      </c>
      <c r="L156" s="2046">
        <f t="shared" si="13"/>
        <v>1374583.2</v>
      </c>
      <c r="M156" s="163"/>
      <c r="N156" s="163"/>
      <c r="O156" s="163"/>
      <c r="P156" s="163"/>
    </row>
    <row r="157" spans="1:16" ht="11.85" customHeight="1" x14ac:dyDescent="0.2">
      <c r="A157" s="458" t="s">
        <v>1404</v>
      </c>
      <c r="B157" s="372" t="s">
        <v>548</v>
      </c>
      <c r="C157" s="1924">
        <v>358178.69999999995</v>
      </c>
      <c r="D157" s="1924">
        <v>0</v>
      </c>
      <c r="E157" s="1924">
        <v>1948.6</v>
      </c>
      <c r="F157" s="1924">
        <v>24355.200000000001</v>
      </c>
      <c r="G157" s="1924">
        <f t="shared" si="11"/>
        <v>26303.8</v>
      </c>
      <c r="H157" s="1924">
        <v>13104.4</v>
      </c>
      <c r="I157" s="1924">
        <v>808091.3</v>
      </c>
      <c r="J157" s="1924">
        <f t="shared" si="12"/>
        <v>821195.70000000007</v>
      </c>
      <c r="K157" s="2040">
        <v>191683.6</v>
      </c>
      <c r="L157" s="2040">
        <f t="shared" si="13"/>
        <v>1397361.8</v>
      </c>
      <c r="M157" s="163"/>
      <c r="N157" s="163"/>
      <c r="O157" s="163"/>
      <c r="P157" s="163"/>
    </row>
    <row r="158" spans="1:16" ht="11.85" customHeight="1" x14ac:dyDescent="0.2">
      <c r="A158" s="458" t="s">
        <v>1404</v>
      </c>
      <c r="B158" s="1989" t="s">
        <v>556</v>
      </c>
      <c r="C158" s="1922">
        <v>364951.6</v>
      </c>
      <c r="D158" s="1922">
        <v>0</v>
      </c>
      <c r="E158" s="1922">
        <v>1929.4</v>
      </c>
      <c r="F158" s="1922">
        <v>24751.1</v>
      </c>
      <c r="G158" s="1922">
        <f t="shared" si="11"/>
        <v>26680.5</v>
      </c>
      <c r="H158" s="1922">
        <v>13910.6</v>
      </c>
      <c r="I158" s="1922">
        <v>812359.7</v>
      </c>
      <c r="J158" s="1922">
        <f t="shared" si="12"/>
        <v>826270.29999999993</v>
      </c>
      <c r="K158" s="2046">
        <v>192693.1</v>
      </c>
      <c r="L158" s="2046">
        <f t="shared" si="13"/>
        <v>1410595.5</v>
      </c>
      <c r="M158" s="163"/>
      <c r="N158" s="163"/>
      <c r="O158" s="163"/>
      <c r="P158" s="163"/>
    </row>
    <row r="159" spans="1:16" ht="11.85" customHeight="1" x14ac:dyDescent="0.2">
      <c r="A159" s="458" t="s">
        <v>1404</v>
      </c>
      <c r="B159" s="372" t="s">
        <v>557</v>
      </c>
      <c r="C159" s="1924">
        <v>363563.3</v>
      </c>
      <c r="D159" s="1924">
        <v>0</v>
      </c>
      <c r="E159" s="1924">
        <v>1932.8</v>
      </c>
      <c r="F159" s="1924">
        <v>25240.2</v>
      </c>
      <c r="G159" s="1924">
        <f t="shared" si="11"/>
        <v>27173</v>
      </c>
      <c r="H159" s="1924">
        <v>13777.6</v>
      </c>
      <c r="I159" s="1924">
        <v>818468.8</v>
      </c>
      <c r="J159" s="1924">
        <f t="shared" si="12"/>
        <v>832246.4</v>
      </c>
      <c r="K159" s="2040">
        <v>194182.8</v>
      </c>
      <c r="L159" s="2040">
        <f t="shared" si="13"/>
        <v>1417165.5</v>
      </c>
      <c r="M159" s="163"/>
      <c r="N159" s="163"/>
      <c r="O159" s="163"/>
      <c r="P159" s="163"/>
    </row>
    <row r="160" spans="1:16" ht="11.85" customHeight="1" x14ac:dyDescent="0.2">
      <c r="A160" s="458" t="s">
        <v>1404</v>
      </c>
      <c r="B160" s="1989" t="s">
        <v>549</v>
      </c>
      <c r="C160" s="1922">
        <v>367293.9</v>
      </c>
      <c r="D160" s="1922">
        <v>0</v>
      </c>
      <c r="E160" s="1922">
        <v>1824.4</v>
      </c>
      <c r="F160" s="1922">
        <v>25401</v>
      </c>
      <c r="G160" s="1922">
        <f t="shared" si="11"/>
        <v>27225.4</v>
      </c>
      <c r="H160" s="1922">
        <v>13897</v>
      </c>
      <c r="I160" s="1922">
        <v>826658.5</v>
      </c>
      <c r="J160" s="1922">
        <f t="shared" si="12"/>
        <v>840555.5</v>
      </c>
      <c r="K160" s="2046">
        <v>196128.9</v>
      </c>
      <c r="L160" s="2046">
        <f t="shared" si="13"/>
        <v>1431203.7</v>
      </c>
      <c r="M160" s="163"/>
      <c r="N160" s="163"/>
      <c r="O160" s="163"/>
      <c r="P160" s="163"/>
    </row>
    <row r="161" spans="1:16" ht="11.85" customHeight="1" x14ac:dyDescent="0.2">
      <c r="A161" s="458" t="s">
        <v>1404</v>
      </c>
      <c r="B161" s="372" t="s">
        <v>558</v>
      </c>
      <c r="C161" s="1924">
        <v>371868.9</v>
      </c>
      <c r="D161" s="1924">
        <v>0</v>
      </c>
      <c r="E161" s="1924">
        <v>1801.6</v>
      </c>
      <c r="F161" s="1924">
        <v>27764.799999999999</v>
      </c>
      <c r="G161" s="1924">
        <f t="shared" si="11"/>
        <v>29566.399999999998</v>
      </c>
      <c r="H161" s="1924">
        <v>13254.8</v>
      </c>
      <c r="I161" s="1924">
        <v>830169.2</v>
      </c>
      <c r="J161" s="1924">
        <f t="shared" si="12"/>
        <v>843424</v>
      </c>
      <c r="K161" s="2040">
        <v>198586.7</v>
      </c>
      <c r="L161" s="2040">
        <f t="shared" si="13"/>
        <v>1443446</v>
      </c>
      <c r="M161" s="163"/>
      <c r="N161" s="163"/>
      <c r="O161" s="163"/>
      <c r="P161" s="163"/>
    </row>
    <row r="162" spans="1:16" ht="11.85" customHeight="1" x14ac:dyDescent="0.2">
      <c r="A162" s="458" t="s">
        <v>1404</v>
      </c>
      <c r="B162" s="1989" t="s">
        <v>559</v>
      </c>
      <c r="C162" s="1922">
        <v>394789</v>
      </c>
      <c r="D162" s="1922">
        <v>0</v>
      </c>
      <c r="E162" s="1922">
        <v>2256.4</v>
      </c>
      <c r="F162" s="1922">
        <v>27921.1</v>
      </c>
      <c r="G162" s="1922">
        <f t="shared" si="11"/>
        <v>30177.5</v>
      </c>
      <c r="H162" s="1922">
        <v>13626.4</v>
      </c>
      <c r="I162" s="1922">
        <v>840591.5</v>
      </c>
      <c r="J162" s="1922">
        <f t="shared" si="12"/>
        <v>854217.9</v>
      </c>
      <c r="K162" s="2046">
        <v>201487</v>
      </c>
      <c r="L162" s="2046">
        <f t="shared" si="13"/>
        <v>1480671.4</v>
      </c>
      <c r="M162" s="163"/>
      <c r="N162" s="163"/>
      <c r="O162" s="163"/>
      <c r="P162" s="163"/>
    </row>
    <row r="163" spans="1:16" ht="11.85" customHeight="1" x14ac:dyDescent="0.2">
      <c r="A163" s="458" t="s">
        <v>1404</v>
      </c>
      <c r="B163" s="372" t="s">
        <v>550</v>
      </c>
      <c r="C163" s="1924">
        <v>398418.5</v>
      </c>
      <c r="D163" s="1924">
        <v>0</v>
      </c>
      <c r="E163" s="1924">
        <v>2252.4</v>
      </c>
      <c r="F163" s="1924">
        <v>28546.6</v>
      </c>
      <c r="G163" s="1924">
        <f t="shared" si="11"/>
        <v>30799</v>
      </c>
      <c r="H163" s="1924">
        <v>12577.7</v>
      </c>
      <c r="I163" s="1924">
        <v>846542.1</v>
      </c>
      <c r="J163" s="1924">
        <f t="shared" si="12"/>
        <v>859119.79999999993</v>
      </c>
      <c r="K163" s="2040">
        <v>203477.6</v>
      </c>
      <c r="L163" s="2040">
        <f t="shared" si="13"/>
        <v>1491814.9</v>
      </c>
      <c r="M163" s="163"/>
      <c r="N163" s="163"/>
      <c r="O163" s="163"/>
      <c r="P163" s="163"/>
    </row>
    <row r="164" spans="1:16" ht="11.85" customHeight="1" x14ac:dyDescent="0.2">
      <c r="A164" s="458" t="s">
        <v>1484</v>
      </c>
      <c r="B164" s="372" t="s">
        <v>552</v>
      </c>
      <c r="C164" s="1924">
        <v>417296.4</v>
      </c>
      <c r="D164" s="1924">
        <v>0</v>
      </c>
      <c r="E164" s="1924">
        <v>2227.6</v>
      </c>
      <c r="F164" s="1924">
        <v>27878.3</v>
      </c>
      <c r="G164" s="1924">
        <f t="shared" si="11"/>
        <v>30105.899999999998</v>
      </c>
      <c r="H164" s="1924">
        <v>13528.8</v>
      </c>
      <c r="I164" s="1924">
        <v>840310.1</v>
      </c>
      <c r="J164" s="1924">
        <f t="shared" si="12"/>
        <v>853838.9</v>
      </c>
      <c r="K164" s="2040">
        <v>202814.9</v>
      </c>
      <c r="L164" s="2040">
        <f t="shared" si="13"/>
        <v>1504056.1</v>
      </c>
      <c r="M164" s="163"/>
      <c r="N164" s="163"/>
      <c r="O164" s="163"/>
      <c r="P164" s="163"/>
    </row>
    <row r="165" spans="1:16" ht="11.85" customHeight="1" x14ac:dyDescent="0.2">
      <c r="A165" s="458" t="s">
        <v>1484</v>
      </c>
      <c r="B165" s="1989" t="s">
        <v>553</v>
      </c>
      <c r="C165" s="195">
        <v>427217.2</v>
      </c>
      <c r="D165" s="1922">
        <v>0</v>
      </c>
      <c r="E165" s="1922">
        <v>2232.5</v>
      </c>
      <c r="F165" s="1922">
        <v>27459.599999999999</v>
      </c>
      <c r="G165" s="1922">
        <f t="shared" si="11"/>
        <v>29692.1</v>
      </c>
      <c r="H165" s="1922">
        <v>13531</v>
      </c>
      <c r="I165" s="1922">
        <v>846077.6</v>
      </c>
      <c r="J165" s="1922">
        <f t="shared" si="12"/>
        <v>859608.6</v>
      </c>
      <c r="K165" s="2046">
        <v>202510.3</v>
      </c>
      <c r="L165" s="2046">
        <f t="shared" si="13"/>
        <v>1519028.2</v>
      </c>
      <c r="M165" s="163"/>
      <c r="N165" s="163"/>
      <c r="O165" s="163"/>
      <c r="P165" s="163"/>
    </row>
    <row r="166" spans="1:16" ht="11.85" customHeight="1" x14ac:dyDescent="0.2">
      <c r="A166" s="458" t="s">
        <v>1484</v>
      </c>
      <c r="B166" s="372" t="s">
        <v>547</v>
      </c>
      <c r="C166" s="286">
        <v>430673.9</v>
      </c>
      <c r="D166" s="1924">
        <v>0</v>
      </c>
      <c r="E166" s="1924">
        <v>2229.6999999999998</v>
      </c>
      <c r="F166" s="1924">
        <v>28064.9</v>
      </c>
      <c r="G166" s="1924">
        <f t="shared" si="11"/>
        <v>30294.600000000002</v>
      </c>
      <c r="H166" s="1924">
        <v>14896.9</v>
      </c>
      <c r="I166" s="1924">
        <v>853734.2</v>
      </c>
      <c r="J166" s="1924">
        <f t="shared" si="12"/>
        <v>868631.1</v>
      </c>
      <c r="K166" s="2040">
        <v>203273.99999999968</v>
      </c>
      <c r="L166" s="2040">
        <f t="shared" si="13"/>
        <v>1532873.5999999999</v>
      </c>
      <c r="M166" s="163"/>
      <c r="N166" s="163"/>
      <c r="O166" s="163"/>
      <c r="P166" s="163"/>
    </row>
    <row r="167" spans="1:16" ht="11.85" customHeight="1" x14ac:dyDescent="0.2">
      <c r="A167" s="458" t="s">
        <v>1484</v>
      </c>
      <c r="B167" s="1989" t="s">
        <v>554</v>
      </c>
      <c r="C167" s="2043">
        <v>438518</v>
      </c>
      <c r="D167" s="1922">
        <v>0</v>
      </c>
      <c r="E167" s="1922">
        <v>2299.4</v>
      </c>
      <c r="F167" s="1922">
        <v>27956.1</v>
      </c>
      <c r="G167" s="1922">
        <f t="shared" si="11"/>
        <v>30255.5</v>
      </c>
      <c r="H167" s="1922">
        <v>14590</v>
      </c>
      <c r="I167" s="1922">
        <v>861867.7</v>
      </c>
      <c r="J167" s="1922">
        <f t="shared" si="12"/>
        <v>876457.7</v>
      </c>
      <c r="K167" s="2046">
        <v>204934.19999999987</v>
      </c>
      <c r="L167" s="2046">
        <f t="shared" si="13"/>
        <v>1550165.4</v>
      </c>
      <c r="M167" s="163"/>
      <c r="N167" s="163"/>
      <c r="O167" s="163"/>
      <c r="P167" s="163"/>
    </row>
    <row r="168" spans="1:16" ht="11.85" customHeight="1" x14ac:dyDescent="0.2">
      <c r="A168" s="458" t="s">
        <v>1484</v>
      </c>
      <c r="B168" s="372" t="s">
        <v>555</v>
      </c>
      <c r="C168" s="2163">
        <v>446364.9</v>
      </c>
      <c r="D168" s="1924">
        <v>0</v>
      </c>
      <c r="E168" s="1924">
        <v>2326.8000000000002</v>
      </c>
      <c r="F168" s="1924">
        <v>28414.799999999999</v>
      </c>
      <c r="G168" s="1924">
        <f t="shared" si="11"/>
        <v>30741.599999999999</v>
      </c>
      <c r="H168" s="1924">
        <v>15686.5</v>
      </c>
      <c r="I168" s="1924">
        <v>869329.3</v>
      </c>
      <c r="J168" s="1924">
        <f t="shared" si="12"/>
        <v>885015.8</v>
      </c>
      <c r="K168" s="2040">
        <v>207038.4</v>
      </c>
      <c r="L168" s="2040">
        <f t="shared" si="13"/>
        <v>1569160.7</v>
      </c>
      <c r="M168" s="163"/>
      <c r="N168" s="163"/>
      <c r="O168" s="163"/>
      <c r="P168" s="163"/>
    </row>
    <row r="169" spans="1:16" ht="11.85" customHeight="1" x14ac:dyDescent="0.2">
      <c r="A169" s="458" t="s">
        <v>1484</v>
      </c>
      <c r="B169" s="1989" t="s">
        <v>548</v>
      </c>
      <c r="C169" s="2164">
        <v>449427.30000000005</v>
      </c>
      <c r="D169" s="1922">
        <v>0</v>
      </c>
      <c r="E169" s="1922">
        <v>2523.1</v>
      </c>
      <c r="F169" s="1922">
        <v>28342.7</v>
      </c>
      <c r="G169" s="1922">
        <f t="shared" si="11"/>
        <v>30865.8</v>
      </c>
      <c r="H169" s="1922">
        <v>19270.8</v>
      </c>
      <c r="I169" s="1922">
        <v>885068.3</v>
      </c>
      <c r="J169" s="1922">
        <f t="shared" si="12"/>
        <v>904339.10000000009</v>
      </c>
      <c r="K169" s="2046">
        <v>210291.7</v>
      </c>
      <c r="L169" s="2046">
        <f t="shared" si="13"/>
        <v>1594923.9000000001</v>
      </c>
      <c r="M169" s="163"/>
      <c r="N169" s="163"/>
      <c r="O169" s="163"/>
      <c r="P169" s="163"/>
    </row>
    <row r="170" spans="1:16" ht="11.85" customHeight="1" x14ac:dyDescent="0.2">
      <c r="A170" s="458" t="s">
        <v>1484</v>
      </c>
      <c r="B170" s="372" t="s">
        <v>556</v>
      </c>
      <c r="C170" s="2163">
        <v>458117.8</v>
      </c>
      <c r="D170" s="1924">
        <v>0</v>
      </c>
      <c r="E170" s="1924">
        <v>2495.4</v>
      </c>
      <c r="F170" s="1924">
        <v>28406.2</v>
      </c>
      <c r="G170" s="1924">
        <f t="shared" si="11"/>
        <v>30901.600000000002</v>
      </c>
      <c r="H170" s="1924">
        <v>18484.5</v>
      </c>
      <c r="I170" s="1924">
        <v>882419.7</v>
      </c>
      <c r="J170" s="1924">
        <f t="shared" si="12"/>
        <v>900904.2</v>
      </c>
      <c r="K170" s="2040">
        <v>210829.70000000019</v>
      </c>
      <c r="L170" s="1924">
        <f t="shared" si="13"/>
        <v>1600753.3</v>
      </c>
      <c r="M170" s="163"/>
      <c r="N170" s="163"/>
      <c r="O170" s="163"/>
      <c r="P170" s="163"/>
    </row>
    <row r="171" spans="1:16" ht="11.85" customHeight="1" x14ac:dyDescent="0.2">
      <c r="A171" s="458" t="s">
        <v>1484</v>
      </c>
      <c r="B171" s="1989" t="s">
        <v>557</v>
      </c>
      <c r="C171" s="2164">
        <v>459423.6</v>
      </c>
      <c r="D171" s="1922">
        <v>0</v>
      </c>
      <c r="E171" s="1922">
        <v>2501.9</v>
      </c>
      <c r="F171" s="1922">
        <v>28862.6</v>
      </c>
      <c r="G171" s="1922">
        <f t="shared" si="11"/>
        <v>31364.5</v>
      </c>
      <c r="H171" s="1922">
        <v>18794.7</v>
      </c>
      <c r="I171" s="1922">
        <v>887806.7</v>
      </c>
      <c r="J171" s="1922">
        <f t="shared" si="12"/>
        <v>906601.39999999991</v>
      </c>
      <c r="K171" s="2046">
        <v>212477.8</v>
      </c>
      <c r="L171" s="2046">
        <f t="shared" si="13"/>
        <v>1609867.3</v>
      </c>
      <c r="M171" s="163"/>
      <c r="N171" s="163"/>
      <c r="O171" s="163"/>
      <c r="P171" s="163"/>
    </row>
    <row r="172" spans="1:16" ht="11.85" customHeight="1" x14ac:dyDescent="0.2">
      <c r="A172" s="458" t="s">
        <v>1484</v>
      </c>
      <c r="B172" s="372" t="s">
        <v>549</v>
      </c>
      <c r="C172" s="2163">
        <v>432501.6</v>
      </c>
      <c r="D172" s="1924">
        <v>0</v>
      </c>
      <c r="E172" s="1924">
        <v>2507.4</v>
      </c>
      <c r="F172" s="1924">
        <v>28976.9</v>
      </c>
      <c r="G172" s="1924">
        <f t="shared" si="11"/>
        <v>31484.300000000003</v>
      </c>
      <c r="H172" s="1924">
        <v>18930.2</v>
      </c>
      <c r="I172" s="1924">
        <v>895586.4</v>
      </c>
      <c r="J172" s="1924">
        <f t="shared" si="12"/>
        <v>914516.6</v>
      </c>
      <c r="K172" s="2040">
        <v>212010.7</v>
      </c>
      <c r="L172" s="2040">
        <f t="shared" si="13"/>
        <v>1590513.2</v>
      </c>
      <c r="M172" s="163"/>
      <c r="N172" s="163"/>
      <c r="O172" s="163"/>
      <c r="P172" s="163"/>
    </row>
    <row r="173" spans="1:16" ht="11.85" customHeight="1" x14ac:dyDescent="0.2">
      <c r="A173" s="458" t="s">
        <v>1484</v>
      </c>
      <c r="B173" s="1989" t="s">
        <v>558</v>
      </c>
      <c r="C173" s="2164">
        <v>466506.3</v>
      </c>
      <c r="D173" s="1922">
        <v>0</v>
      </c>
      <c r="E173" s="1922">
        <v>2509.5</v>
      </c>
      <c r="F173" s="1922">
        <v>29672.3</v>
      </c>
      <c r="G173" s="1922">
        <f t="shared" si="11"/>
        <v>32181.8</v>
      </c>
      <c r="H173" s="1922">
        <v>18701.900000000001</v>
      </c>
      <c r="I173" s="1922">
        <v>903079.4</v>
      </c>
      <c r="J173" s="1922">
        <f t="shared" si="12"/>
        <v>921781.3</v>
      </c>
      <c r="K173" s="2046">
        <v>212132.6</v>
      </c>
      <c r="L173" s="2046">
        <f t="shared" si="13"/>
        <v>1632602</v>
      </c>
      <c r="M173" s="163"/>
      <c r="N173" s="163"/>
      <c r="O173" s="163"/>
      <c r="P173" s="163"/>
    </row>
    <row r="174" spans="1:16" ht="11.85" customHeight="1" x14ac:dyDescent="0.2">
      <c r="A174" s="458" t="s">
        <v>1484</v>
      </c>
      <c r="B174" s="372" t="s">
        <v>559</v>
      </c>
      <c r="C174" s="2163">
        <v>461247.4</v>
      </c>
      <c r="D174" s="1924">
        <v>0</v>
      </c>
      <c r="E174" s="1924">
        <v>2509.6</v>
      </c>
      <c r="F174" s="1924">
        <v>29866.400000000001</v>
      </c>
      <c r="G174" s="1924">
        <f t="shared" si="11"/>
        <v>32376</v>
      </c>
      <c r="H174" s="1924">
        <v>18617.400000000001</v>
      </c>
      <c r="I174" s="1924">
        <v>916667.7</v>
      </c>
      <c r="J174" s="1924">
        <f t="shared" si="12"/>
        <v>935285.1</v>
      </c>
      <c r="K174" s="2040">
        <v>212819.7</v>
      </c>
      <c r="L174" s="2040">
        <f t="shared" si="13"/>
        <v>1641728.2</v>
      </c>
      <c r="M174" s="163"/>
      <c r="N174" s="163"/>
      <c r="O174" s="163"/>
      <c r="P174" s="163"/>
    </row>
    <row r="175" spans="1:16" ht="11.85" customHeight="1" x14ac:dyDescent="0.2">
      <c r="A175" s="458" t="s">
        <v>1484</v>
      </c>
      <c r="B175" s="1989" t="s">
        <v>550</v>
      </c>
      <c r="C175" s="2164">
        <v>483323.5</v>
      </c>
      <c r="D175" s="1922">
        <v>0</v>
      </c>
      <c r="E175" s="1922">
        <v>2519.4</v>
      </c>
      <c r="F175" s="1922">
        <v>30302.1</v>
      </c>
      <c r="G175" s="1922">
        <f t="shared" si="11"/>
        <v>32821.5</v>
      </c>
      <c r="H175" s="1922">
        <v>17966.599999999999</v>
      </c>
      <c r="I175" s="1922">
        <v>922464.1</v>
      </c>
      <c r="J175" s="1922">
        <f t="shared" si="12"/>
        <v>940430.7</v>
      </c>
      <c r="K175" s="2046">
        <v>214172.7</v>
      </c>
      <c r="L175" s="2046">
        <f t="shared" si="13"/>
        <v>1670748.4</v>
      </c>
      <c r="M175" s="163"/>
      <c r="N175" s="163"/>
      <c r="O175" s="163"/>
      <c r="P175" s="163"/>
    </row>
    <row r="176" spans="1:16" ht="11.85" customHeight="1" x14ac:dyDescent="0.2">
      <c r="A176" s="458" t="s">
        <v>1536</v>
      </c>
      <c r="B176" s="1989" t="s">
        <v>552</v>
      </c>
      <c r="C176" s="2065">
        <v>502557.29999999993</v>
      </c>
      <c r="D176" s="1922">
        <v>0</v>
      </c>
      <c r="E176" s="1922">
        <v>2509.6</v>
      </c>
      <c r="F176" s="1922">
        <v>29400.5</v>
      </c>
      <c r="G176" s="1922">
        <f t="shared" si="11"/>
        <v>31910.1</v>
      </c>
      <c r="H176" s="1922">
        <v>17873</v>
      </c>
      <c r="I176" s="1922">
        <v>920451.4</v>
      </c>
      <c r="J176" s="1922">
        <f t="shared" si="12"/>
        <v>938324.4</v>
      </c>
      <c r="K176" s="2046">
        <v>214428.00000000017</v>
      </c>
      <c r="L176" s="2046">
        <f t="shared" si="13"/>
        <v>1687219.8</v>
      </c>
      <c r="M176" s="163"/>
      <c r="N176" s="163"/>
      <c r="O176" s="163"/>
      <c r="P176" s="163"/>
    </row>
    <row r="177" spans="1:16" ht="11.85" customHeight="1" x14ac:dyDescent="0.2">
      <c r="A177" s="458" t="s">
        <v>1536</v>
      </c>
      <c r="B177" s="372" t="s">
        <v>553</v>
      </c>
      <c r="C177" s="2068">
        <v>504744.4</v>
      </c>
      <c r="D177" s="1924">
        <v>0</v>
      </c>
      <c r="E177" s="1924">
        <v>2518.1999999999998</v>
      </c>
      <c r="F177" s="1924">
        <v>28404.5</v>
      </c>
      <c r="G177" s="1924">
        <f t="shared" si="11"/>
        <v>30922.7</v>
      </c>
      <c r="H177" s="1924">
        <v>18268.8</v>
      </c>
      <c r="I177" s="1924">
        <v>926682.5</v>
      </c>
      <c r="J177" s="1924">
        <f t="shared" si="12"/>
        <v>944951.3</v>
      </c>
      <c r="K177" s="2040">
        <v>214429.2000000001</v>
      </c>
      <c r="L177" s="2040">
        <f t="shared" si="13"/>
        <v>1695047.6</v>
      </c>
      <c r="M177" s="163"/>
      <c r="N177" s="163"/>
      <c r="O177" s="163"/>
      <c r="P177" s="163"/>
    </row>
    <row r="178" spans="1:16" ht="11.85" customHeight="1" x14ac:dyDescent="0.2">
      <c r="A178" s="458" t="s">
        <v>1536</v>
      </c>
      <c r="B178" s="1989" t="s">
        <v>547</v>
      </c>
      <c r="C178" s="2065">
        <v>504494</v>
      </c>
      <c r="D178" s="1922">
        <v>0</v>
      </c>
      <c r="E178" s="1922">
        <v>2519.1999999999998</v>
      </c>
      <c r="F178" s="1922">
        <v>28321.4</v>
      </c>
      <c r="G178" s="1922">
        <f t="shared" si="11"/>
        <v>30840.600000000002</v>
      </c>
      <c r="H178" s="1922">
        <v>18233.2</v>
      </c>
      <c r="I178" s="1922">
        <v>937219.8</v>
      </c>
      <c r="J178" s="1922">
        <f t="shared" si="12"/>
        <v>955453</v>
      </c>
      <c r="K178" s="2046">
        <v>214991.3</v>
      </c>
      <c r="L178" s="2046">
        <f t="shared" si="13"/>
        <v>1705778.9000000001</v>
      </c>
      <c r="M178" s="163"/>
      <c r="N178" s="163"/>
      <c r="O178" s="163"/>
      <c r="P178" s="163"/>
    </row>
    <row r="179" spans="1:16" ht="11.85" customHeight="1" x14ac:dyDescent="0.2">
      <c r="A179" s="458" t="s">
        <v>1536</v>
      </c>
      <c r="B179" s="372" t="s">
        <v>554</v>
      </c>
      <c r="C179" s="2068">
        <v>509795</v>
      </c>
      <c r="D179" s="1924">
        <v>0</v>
      </c>
      <c r="E179" s="1924">
        <v>2587.1</v>
      </c>
      <c r="F179" s="1924">
        <v>27370.400000000001</v>
      </c>
      <c r="G179" s="1924">
        <f t="shared" si="11"/>
        <v>29957.5</v>
      </c>
      <c r="H179" s="1924">
        <v>18579.599999999999</v>
      </c>
      <c r="I179" s="1924">
        <v>940661.7</v>
      </c>
      <c r="J179" s="1924">
        <f t="shared" si="12"/>
        <v>959241.29999999993</v>
      </c>
      <c r="K179" s="2040">
        <v>216335</v>
      </c>
      <c r="L179" s="2040">
        <f t="shared" si="13"/>
        <v>1715328.7999999998</v>
      </c>
      <c r="M179" s="163"/>
      <c r="N179" s="163"/>
      <c r="O179" s="163"/>
      <c r="P179" s="163"/>
    </row>
    <row r="180" spans="1:16" ht="11.85" customHeight="1" x14ac:dyDescent="0.2">
      <c r="A180" s="458" t="s">
        <v>1536</v>
      </c>
      <c r="B180" s="1989" t="s">
        <v>555</v>
      </c>
      <c r="C180" s="2065">
        <v>514478.79999999993</v>
      </c>
      <c r="D180" s="1922">
        <v>0</v>
      </c>
      <c r="E180" s="1922">
        <v>2606.6</v>
      </c>
      <c r="F180" s="1922">
        <v>27520</v>
      </c>
      <c r="G180" s="1922">
        <f t="shared" si="11"/>
        <v>30126.6</v>
      </c>
      <c r="H180" s="1922">
        <v>19304.7</v>
      </c>
      <c r="I180" s="1922">
        <v>945295.9</v>
      </c>
      <c r="J180" s="1922">
        <f t="shared" si="12"/>
        <v>964600.6</v>
      </c>
      <c r="K180" s="2046">
        <v>218214.5</v>
      </c>
      <c r="L180" s="2046">
        <f t="shared" si="13"/>
        <v>1727420.5</v>
      </c>
      <c r="M180" s="163"/>
      <c r="N180" s="163"/>
      <c r="O180" s="163"/>
      <c r="P180" s="163"/>
    </row>
    <row r="181" spans="1:16" ht="11.85" customHeight="1" x14ac:dyDescent="0.2">
      <c r="A181" s="458" t="s">
        <v>1536</v>
      </c>
      <c r="B181" s="372" t="s">
        <v>548</v>
      </c>
      <c r="C181" s="2068">
        <v>514086.5</v>
      </c>
      <c r="D181" s="1924">
        <v>0</v>
      </c>
      <c r="E181" s="1924">
        <v>2594.1999999999998</v>
      </c>
      <c r="F181" s="1924">
        <v>29863.8</v>
      </c>
      <c r="G181" s="1924">
        <f t="shared" si="11"/>
        <v>32458</v>
      </c>
      <c r="H181" s="1924">
        <v>19723.900000000001</v>
      </c>
      <c r="I181" s="1924">
        <v>959926.7</v>
      </c>
      <c r="J181" s="1924">
        <f t="shared" si="12"/>
        <v>979650.6</v>
      </c>
      <c r="K181" s="2040">
        <v>222350.2</v>
      </c>
      <c r="L181" s="2040">
        <f t="shared" si="13"/>
        <v>1748545.3</v>
      </c>
      <c r="M181" s="163"/>
      <c r="N181" s="163"/>
      <c r="O181" s="163"/>
      <c r="P181" s="163"/>
    </row>
    <row r="182" spans="1:16" ht="11.85" customHeight="1" x14ac:dyDescent="0.2">
      <c r="A182" s="458" t="s">
        <v>1536</v>
      </c>
      <c r="B182" s="1989" t="s">
        <v>556</v>
      </c>
      <c r="C182" s="2065">
        <v>519255.1</v>
      </c>
      <c r="D182" s="1922">
        <v>0</v>
      </c>
      <c r="E182" s="1922">
        <v>2554.8000000000002</v>
      </c>
      <c r="F182" s="1922">
        <v>29900.3</v>
      </c>
      <c r="G182" s="1922">
        <f t="shared" si="11"/>
        <v>32455.1</v>
      </c>
      <c r="H182" s="1922">
        <v>19469.599999999999</v>
      </c>
      <c r="I182" s="1922">
        <v>957084.3</v>
      </c>
      <c r="J182" s="1922">
        <f t="shared" si="12"/>
        <v>976553.9</v>
      </c>
      <c r="K182" s="2046">
        <v>223748.1</v>
      </c>
      <c r="L182" s="2046">
        <f t="shared" si="13"/>
        <v>1752012.2000000002</v>
      </c>
      <c r="M182" s="163"/>
      <c r="N182" s="163"/>
      <c r="O182" s="163"/>
      <c r="P182" s="163"/>
    </row>
    <row r="183" spans="1:16" ht="11.85" customHeight="1" x14ac:dyDescent="0.2">
      <c r="A183" s="458" t="s">
        <v>1536</v>
      </c>
      <c r="B183" s="372" t="s">
        <v>557</v>
      </c>
      <c r="C183" s="2068">
        <v>510921.2</v>
      </c>
      <c r="D183" s="1924">
        <v>0</v>
      </c>
      <c r="E183" s="1924">
        <v>2519.1999999999998</v>
      </c>
      <c r="F183" s="1924">
        <v>30004.5</v>
      </c>
      <c r="G183" s="1924">
        <f t="shared" si="11"/>
        <v>32523.7</v>
      </c>
      <c r="H183" s="1924">
        <v>19949.400000000001</v>
      </c>
      <c r="I183" s="1924">
        <v>967716.8</v>
      </c>
      <c r="J183" s="1924">
        <f t="shared" si="12"/>
        <v>987666.20000000007</v>
      </c>
      <c r="K183" s="2040">
        <v>226883.8</v>
      </c>
      <c r="L183" s="2040">
        <f t="shared" si="13"/>
        <v>1757994.9000000001</v>
      </c>
      <c r="M183" s="163"/>
      <c r="N183" s="163"/>
      <c r="O183" s="163"/>
      <c r="P183" s="163"/>
    </row>
    <row r="184" spans="1:16" ht="11.85" customHeight="1" x14ac:dyDescent="0.2">
      <c r="A184" s="458" t="s">
        <v>1536</v>
      </c>
      <c r="B184" s="1989" t="s">
        <v>549</v>
      </c>
      <c r="C184" s="2065">
        <v>513967.5</v>
      </c>
      <c r="D184" s="1922">
        <v>0</v>
      </c>
      <c r="E184" s="1922">
        <v>2518.9</v>
      </c>
      <c r="F184" s="1922">
        <v>30934.400000000001</v>
      </c>
      <c r="G184" s="1922">
        <f t="shared" si="11"/>
        <v>33453.300000000003</v>
      </c>
      <c r="H184" s="1922">
        <v>19843.400000000001</v>
      </c>
      <c r="I184" s="1922">
        <v>971006.9</v>
      </c>
      <c r="J184" s="1922">
        <f t="shared" si="12"/>
        <v>990850.3</v>
      </c>
      <c r="K184" s="2046">
        <v>229958.39999999999</v>
      </c>
      <c r="L184" s="2046">
        <f t="shared" si="13"/>
        <v>1768229.5</v>
      </c>
      <c r="M184" s="163"/>
      <c r="N184" s="163"/>
      <c r="O184" s="163"/>
      <c r="P184" s="163"/>
    </row>
    <row r="185" spans="1:16" ht="11.85" customHeight="1" x14ac:dyDescent="0.2">
      <c r="A185" s="458" t="s">
        <v>1536</v>
      </c>
      <c r="B185" s="372" t="s">
        <v>558</v>
      </c>
      <c r="C185" s="2068">
        <v>523707.30000000005</v>
      </c>
      <c r="D185" s="1924">
        <v>0</v>
      </c>
      <c r="E185" s="1924">
        <v>2518.1</v>
      </c>
      <c r="F185" s="1924">
        <v>29865.8</v>
      </c>
      <c r="G185" s="1924">
        <f t="shared" si="11"/>
        <v>32383.899999999998</v>
      </c>
      <c r="H185" s="1924">
        <v>19180.2</v>
      </c>
      <c r="I185" s="1924">
        <v>974833.9</v>
      </c>
      <c r="J185" s="1924">
        <f t="shared" si="12"/>
        <v>994014.1</v>
      </c>
      <c r="K185" s="2040">
        <v>230759.5</v>
      </c>
      <c r="L185" s="2040">
        <f t="shared" si="13"/>
        <v>1780864.8</v>
      </c>
      <c r="M185" s="163"/>
      <c r="N185" s="163"/>
      <c r="O185" s="163"/>
      <c r="P185" s="163"/>
    </row>
    <row r="186" spans="1:16" ht="11.85" customHeight="1" x14ac:dyDescent="0.2">
      <c r="A186" s="458" t="s">
        <v>1536</v>
      </c>
      <c r="B186" s="1989" t="s">
        <v>559</v>
      </c>
      <c r="C186" s="2065">
        <v>536655.19999999995</v>
      </c>
      <c r="D186" s="1922">
        <v>0</v>
      </c>
      <c r="E186" s="1922">
        <v>2526.6</v>
      </c>
      <c r="F186" s="1922">
        <v>29015.7</v>
      </c>
      <c r="G186" s="1922">
        <f t="shared" si="11"/>
        <v>31542.3</v>
      </c>
      <c r="H186" s="1922">
        <v>19203.5</v>
      </c>
      <c r="I186" s="1922">
        <v>982361.4</v>
      </c>
      <c r="J186" s="1922">
        <f t="shared" si="12"/>
        <v>1001564.9</v>
      </c>
      <c r="K186" s="2046">
        <v>231383.8</v>
      </c>
      <c r="L186" s="2046">
        <f t="shared" si="13"/>
        <v>1801146.2</v>
      </c>
      <c r="M186" s="163"/>
      <c r="N186" s="163"/>
      <c r="O186" s="163"/>
      <c r="P186" s="163"/>
    </row>
    <row r="187" spans="1:16" ht="11.85" customHeight="1" x14ac:dyDescent="0.2">
      <c r="A187" s="458" t="s">
        <v>1536</v>
      </c>
      <c r="B187" s="372" t="s">
        <v>550</v>
      </c>
      <c r="C187" s="2068">
        <v>564520</v>
      </c>
      <c r="D187" s="1924">
        <v>0</v>
      </c>
      <c r="E187" s="1924">
        <v>2522.8000000000002</v>
      </c>
      <c r="F187" s="1924">
        <v>29500</v>
      </c>
      <c r="G187" s="1924">
        <f t="shared" si="11"/>
        <v>32022.799999999999</v>
      </c>
      <c r="H187" s="1924">
        <v>18449.099999999999</v>
      </c>
      <c r="I187" s="1924">
        <v>994526.9</v>
      </c>
      <c r="J187" s="1924">
        <f t="shared" si="12"/>
        <v>1012976</v>
      </c>
      <c r="K187" s="2040">
        <v>235190</v>
      </c>
      <c r="L187" s="2040">
        <f t="shared" si="13"/>
        <v>1844708.8</v>
      </c>
      <c r="M187" s="163"/>
      <c r="N187" s="163"/>
      <c r="O187" s="163"/>
      <c r="P187" s="163"/>
    </row>
    <row r="188" spans="1:16" ht="11.85" customHeight="1" x14ac:dyDescent="0.2">
      <c r="A188" s="458" t="s">
        <v>1817</v>
      </c>
      <c r="B188" s="372" t="s">
        <v>552</v>
      </c>
      <c r="C188" s="1922">
        <v>574805.4</v>
      </c>
      <c r="D188" s="1922">
        <v>0</v>
      </c>
      <c r="E188" s="1922">
        <v>2513.8577641087818</v>
      </c>
      <c r="F188" s="1922">
        <v>28460.633497950552</v>
      </c>
      <c r="G188" s="1922">
        <v>30974.491262059335</v>
      </c>
      <c r="H188" s="1922">
        <v>18662.455745450501</v>
      </c>
      <c r="I188" s="1922">
        <v>994409.93916433328</v>
      </c>
      <c r="J188" s="1922">
        <v>1013072.3949097837</v>
      </c>
      <c r="K188" s="1922">
        <v>235007.21382815702</v>
      </c>
      <c r="L188" s="1922">
        <v>1853859.5</v>
      </c>
      <c r="M188" s="163"/>
      <c r="N188" s="163"/>
      <c r="O188" s="163"/>
      <c r="P188" s="163"/>
    </row>
    <row r="189" spans="1:16" ht="11.85" customHeight="1" x14ac:dyDescent="0.2">
      <c r="A189" s="458" t="s">
        <v>1817</v>
      </c>
      <c r="B189" s="1989" t="s">
        <v>553</v>
      </c>
      <c r="C189" s="1922">
        <v>574044.4</v>
      </c>
      <c r="D189" s="1922">
        <v>0</v>
      </c>
      <c r="E189" s="1922">
        <v>2519.086070930256</v>
      </c>
      <c r="F189" s="1922">
        <v>27895.866015365056</v>
      </c>
      <c r="G189" s="1922">
        <v>30414.952086295314</v>
      </c>
      <c r="H189" s="1922">
        <v>19036.412706213003</v>
      </c>
      <c r="I189" s="1922">
        <v>1002378.1977650006</v>
      </c>
      <c r="J189" s="1922">
        <v>1021414.6104712136</v>
      </c>
      <c r="K189" s="1922">
        <v>235373.6374424909</v>
      </c>
      <c r="L189" s="1922">
        <v>1861247.6</v>
      </c>
      <c r="M189" s="163"/>
      <c r="N189" s="163"/>
      <c r="O189" s="163"/>
      <c r="P189" s="163"/>
    </row>
    <row r="190" spans="1:16" ht="11.85" customHeight="1" x14ac:dyDescent="0.2">
      <c r="A190" s="458" t="s">
        <v>1817</v>
      </c>
      <c r="B190" s="372" t="s">
        <v>547</v>
      </c>
      <c r="C190" s="1922">
        <v>579830.5</v>
      </c>
      <c r="D190" s="1922">
        <v>0</v>
      </c>
      <c r="E190" s="1922">
        <v>2519.8880632881983</v>
      </c>
      <c r="F190" s="1922">
        <v>28419.699387998484</v>
      </c>
      <c r="G190" s="1922">
        <v>30939.587451286683</v>
      </c>
      <c r="H190" s="1922">
        <v>19813.427802338101</v>
      </c>
      <c r="I190" s="1922">
        <v>1015443.7365898986</v>
      </c>
      <c r="J190" s="1922">
        <v>1035257.1643922367</v>
      </c>
      <c r="K190" s="1922">
        <v>237413.54815647646</v>
      </c>
      <c r="L190" s="1922">
        <v>1883440.7999999998</v>
      </c>
      <c r="M190" s="163"/>
      <c r="N190" s="163"/>
      <c r="O190" s="163"/>
      <c r="P190" s="163"/>
    </row>
    <row r="191" spans="1:16" ht="11.85" customHeight="1" x14ac:dyDescent="0.2">
      <c r="A191" s="458" t="s">
        <v>1817</v>
      </c>
      <c r="B191" s="1989" t="s">
        <v>554</v>
      </c>
      <c r="C191" s="1922">
        <v>583870</v>
      </c>
      <c r="D191" s="1922">
        <v>0</v>
      </c>
      <c r="E191" s="1922">
        <v>3163.0463867489202</v>
      </c>
      <c r="F191" s="1922">
        <v>24095.712242465019</v>
      </c>
      <c r="G191" s="1922">
        <v>27258.758629213939</v>
      </c>
      <c r="H191" s="1922">
        <v>20350.419995836302</v>
      </c>
      <c r="I191" s="1922">
        <v>1027427.8920928462</v>
      </c>
      <c r="J191" s="1922">
        <v>1047778.3120886825</v>
      </c>
      <c r="K191" s="1922">
        <v>238535.02928210323</v>
      </c>
      <c r="L191" s="1922">
        <v>1897442.0999999996</v>
      </c>
      <c r="M191" s="163"/>
      <c r="N191" s="163"/>
      <c r="O191" s="163"/>
      <c r="P191" s="163"/>
    </row>
    <row r="192" spans="1:16" ht="11.85" customHeight="1" x14ac:dyDescent="0.2">
      <c r="A192" s="458" t="s">
        <v>1817</v>
      </c>
      <c r="B192" s="372" t="s">
        <v>555</v>
      </c>
      <c r="C192" s="1922">
        <v>593688.9</v>
      </c>
      <c r="D192" s="1922">
        <v>0</v>
      </c>
      <c r="E192" s="1922">
        <v>3188.32598863967</v>
      </c>
      <c r="F192" s="1922">
        <v>25190.762820601394</v>
      </c>
      <c r="G192" s="1922">
        <v>28379.088809241064</v>
      </c>
      <c r="H192" s="1922">
        <v>21880.5397731099</v>
      </c>
      <c r="I192" s="1922">
        <v>1036596.2447698563</v>
      </c>
      <c r="J192" s="1922">
        <v>1058476.7845429662</v>
      </c>
      <c r="K192" s="1922">
        <v>243552.02664779278</v>
      </c>
      <c r="L192" s="1922">
        <v>1924096.7999999998</v>
      </c>
      <c r="M192" s="163"/>
      <c r="N192" s="163"/>
      <c r="O192" s="163"/>
      <c r="P192" s="163"/>
    </row>
    <row r="193" spans="1:16" ht="11.85" customHeight="1" x14ac:dyDescent="0.2">
      <c r="A193" s="458" t="s">
        <v>1817</v>
      </c>
      <c r="B193" s="1989" t="s">
        <v>548</v>
      </c>
      <c r="C193" s="1922">
        <v>587766</v>
      </c>
      <c r="D193" s="1922">
        <v>0</v>
      </c>
      <c r="E193" s="1922">
        <v>3170.47563983901</v>
      </c>
      <c r="F193" s="1922">
        <v>27280.342971444239</v>
      </c>
      <c r="G193" s="1922">
        <v>30450.818611283248</v>
      </c>
      <c r="H193" s="1922">
        <v>23340.881152548798</v>
      </c>
      <c r="I193" s="1922">
        <v>1058920.3345072635</v>
      </c>
      <c r="J193" s="1922">
        <v>1082261.2156598123</v>
      </c>
      <c r="K193" s="1922">
        <v>247327.76572890449</v>
      </c>
      <c r="L193" s="1922">
        <v>1947805.7999999998</v>
      </c>
      <c r="M193" s="163"/>
      <c r="N193" s="163"/>
      <c r="O193" s="163"/>
      <c r="P193" s="163"/>
    </row>
    <row r="194" spans="1:16" ht="11.85" customHeight="1" x14ac:dyDescent="0.2">
      <c r="A194" s="458" t="s">
        <v>1817</v>
      </c>
      <c r="B194" s="372" t="s">
        <v>556</v>
      </c>
      <c r="C194" s="1922">
        <v>587851.19999999995</v>
      </c>
      <c r="D194" s="1922">
        <v>0</v>
      </c>
      <c r="E194" s="1922">
        <v>3043.2423402395702</v>
      </c>
      <c r="F194" s="1922">
        <v>27246.172679182549</v>
      </c>
      <c r="G194" s="1922">
        <v>30289.415019422118</v>
      </c>
      <c r="H194" s="1922">
        <v>24974.559916224502</v>
      </c>
      <c r="I194" s="1922">
        <v>1059626.4978584691</v>
      </c>
      <c r="J194" s="1922">
        <v>1084601.0577746937</v>
      </c>
      <c r="K194" s="1922">
        <v>250849.02720588457</v>
      </c>
      <c r="L194" s="1922">
        <v>1953590.7000000002</v>
      </c>
      <c r="M194" s="163"/>
      <c r="N194" s="163"/>
      <c r="O194" s="163"/>
      <c r="P194" s="163"/>
    </row>
    <row r="195" spans="1:16" ht="11.85" customHeight="1" x14ac:dyDescent="0.2">
      <c r="A195" s="458" t="s">
        <v>1817</v>
      </c>
      <c r="B195" s="1989" t="s">
        <v>557</v>
      </c>
      <c r="C195" s="1922">
        <v>589677.69999999995</v>
      </c>
      <c r="D195" s="1922">
        <v>0</v>
      </c>
      <c r="E195" s="1922">
        <v>3051.4051474155399</v>
      </c>
      <c r="F195" s="1922">
        <v>27820.023037405368</v>
      </c>
      <c r="G195" s="1922">
        <v>30871.428184820907</v>
      </c>
      <c r="H195" s="1922">
        <v>24536.539059167899</v>
      </c>
      <c r="I195" s="1922">
        <v>1069937.2003945711</v>
      </c>
      <c r="J195" s="1922">
        <v>1094473.739453739</v>
      </c>
      <c r="K195" s="1922">
        <v>253655.03236144001</v>
      </c>
      <c r="L195" s="1922">
        <v>1968677.9</v>
      </c>
      <c r="M195" s="163"/>
      <c r="N195" s="163"/>
      <c r="O195" s="163"/>
      <c r="P195" s="163"/>
    </row>
    <row r="196" spans="1:16" ht="11.85" customHeight="1" x14ac:dyDescent="0.2">
      <c r="A196" s="458" t="s">
        <v>1817</v>
      </c>
      <c r="B196" s="372" t="s">
        <v>549</v>
      </c>
      <c r="C196" s="1922">
        <v>595686.29999999993</v>
      </c>
      <c r="D196" s="1922">
        <v>0</v>
      </c>
      <c r="E196" s="1922">
        <v>3053.2820619899603</v>
      </c>
      <c r="F196" s="1922">
        <v>28677.585237845033</v>
      </c>
      <c r="G196" s="1922">
        <v>31730.867299834994</v>
      </c>
      <c r="H196" s="1922">
        <v>24352.1328814605</v>
      </c>
      <c r="I196" s="1922">
        <v>1078538.3307947272</v>
      </c>
      <c r="J196" s="1922">
        <v>1102890.4636761877</v>
      </c>
      <c r="K196" s="1922">
        <v>257386.76902397731</v>
      </c>
      <c r="L196" s="1922">
        <v>1987694.4</v>
      </c>
      <c r="M196" s="163"/>
      <c r="N196" s="163"/>
      <c r="O196" s="163"/>
      <c r="P196" s="163"/>
    </row>
    <row r="197" spans="1:16" ht="11.85" customHeight="1" x14ac:dyDescent="0.2">
      <c r="A197" s="458" t="s">
        <v>1817</v>
      </c>
      <c r="B197" s="1989" t="s">
        <v>558</v>
      </c>
      <c r="C197" s="1922">
        <v>615686.5</v>
      </c>
      <c r="D197" s="1922">
        <v>0</v>
      </c>
      <c r="E197" s="1922">
        <v>3077.0229079117303</v>
      </c>
      <c r="F197" s="1922">
        <v>29180.129083903059</v>
      </c>
      <c r="G197" s="1922">
        <v>32257.15199181479</v>
      </c>
      <c r="H197" s="1922">
        <v>24534.4800545547</v>
      </c>
      <c r="I197" s="1922">
        <v>1095543.3055846377</v>
      </c>
      <c r="J197" s="1922">
        <v>1120077.7856391924</v>
      </c>
      <c r="K197" s="1922">
        <v>260284.76236899279</v>
      </c>
      <c r="L197" s="1922">
        <v>2028306.2000000002</v>
      </c>
      <c r="M197" s="163"/>
      <c r="N197" s="163"/>
      <c r="O197" s="163"/>
      <c r="P197" s="163"/>
    </row>
    <row r="198" spans="1:16" ht="11.85" customHeight="1" x14ac:dyDescent="0.2">
      <c r="A198" s="458" t="s">
        <v>1817</v>
      </c>
      <c r="B198" s="372" t="s">
        <v>559</v>
      </c>
      <c r="C198" s="1922">
        <v>612970.60000000009</v>
      </c>
      <c r="D198" s="1922">
        <v>0</v>
      </c>
      <c r="E198" s="1922">
        <v>3083.9966111093099</v>
      </c>
      <c r="F198" s="1922">
        <v>28931.488408445646</v>
      </c>
      <c r="G198" s="1922">
        <v>32015.485019554955</v>
      </c>
      <c r="H198" s="1922">
        <v>25608.771344650399</v>
      </c>
      <c r="I198" s="1922">
        <v>1112822.1413674683</v>
      </c>
      <c r="J198" s="1922">
        <v>1138430.9127121186</v>
      </c>
      <c r="K198" s="1922">
        <v>257207.70226832642</v>
      </c>
      <c r="L198" s="1922">
        <v>2040624.7</v>
      </c>
      <c r="M198" s="163"/>
      <c r="N198" s="163"/>
      <c r="O198" s="163"/>
      <c r="P198" s="163"/>
    </row>
    <row r="199" spans="1:16" ht="11.85" customHeight="1" x14ac:dyDescent="0.2">
      <c r="A199" s="458" t="s">
        <v>1817</v>
      </c>
      <c r="B199" s="1989" t="s">
        <v>550</v>
      </c>
      <c r="C199" s="1922">
        <v>647012.1</v>
      </c>
      <c r="D199" s="1922">
        <v>0</v>
      </c>
      <c r="E199" s="1922">
        <v>3617.6623075949301</v>
      </c>
      <c r="F199" s="1922">
        <v>28991.292731279518</v>
      </c>
      <c r="G199" s="1922">
        <v>32608.955038874446</v>
      </c>
      <c r="H199" s="1922">
        <v>25434.9005207714</v>
      </c>
      <c r="I199" s="1922">
        <v>1133333.5170284815</v>
      </c>
      <c r="J199" s="1922">
        <v>1158768.417549253</v>
      </c>
      <c r="K199" s="1922">
        <v>263754.42741187243</v>
      </c>
      <c r="L199" s="1922">
        <v>2102143.9</v>
      </c>
      <c r="M199" s="163"/>
      <c r="N199" s="163"/>
      <c r="O199" s="163"/>
      <c r="P199" s="163"/>
    </row>
    <row r="200" spans="1:16" ht="11.85" customHeight="1" x14ac:dyDescent="0.2">
      <c r="A200" s="458" t="s">
        <v>2066</v>
      </c>
      <c r="B200" s="1989" t="s">
        <v>552</v>
      </c>
      <c r="C200" s="1922">
        <v>646059.4</v>
      </c>
      <c r="D200" s="1922">
        <v>0</v>
      </c>
      <c r="E200" s="1922">
        <v>3788.88629554109</v>
      </c>
      <c r="F200" s="1922">
        <v>28876.300235268725</v>
      </c>
      <c r="G200" s="1922">
        <v>32665.186530809817</v>
      </c>
      <c r="H200" s="1922">
        <v>26261.094929592498</v>
      </c>
      <c r="I200" s="1922">
        <v>1135904.7798506904</v>
      </c>
      <c r="J200" s="1922">
        <v>1162165.8747802828</v>
      </c>
      <c r="K200" s="1922">
        <v>263870.33868890727</v>
      </c>
      <c r="L200" s="1922">
        <v>2104760.7999999998</v>
      </c>
      <c r="M200" s="163"/>
      <c r="N200" s="163"/>
      <c r="O200" s="163"/>
      <c r="P200" s="163"/>
    </row>
    <row r="201" spans="1:16" ht="11.85" customHeight="1" x14ac:dyDescent="0.2">
      <c r="A201" s="458" t="s">
        <v>2066</v>
      </c>
      <c r="B201" s="372" t="s">
        <v>553</v>
      </c>
      <c r="C201" s="1922">
        <v>652920.10000000009</v>
      </c>
      <c r="D201" s="1922">
        <v>0</v>
      </c>
      <c r="E201" s="1922">
        <v>3521.8105959913</v>
      </c>
      <c r="F201" s="1922">
        <v>28268.649580539884</v>
      </c>
      <c r="G201" s="1922">
        <v>31790.460176531185</v>
      </c>
      <c r="H201" s="1922">
        <v>27058.385078708099</v>
      </c>
      <c r="I201" s="1922">
        <v>1145366.4886360515</v>
      </c>
      <c r="J201" s="1922">
        <v>1172424.8737147597</v>
      </c>
      <c r="K201" s="1922">
        <v>265752.26610870915</v>
      </c>
      <c r="L201" s="1922">
        <v>2122887.7000000002</v>
      </c>
      <c r="M201" s="163"/>
      <c r="N201" s="163"/>
      <c r="O201" s="163"/>
      <c r="P201" s="163"/>
    </row>
    <row r="202" spans="1:16" ht="11.85" customHeight="1" x14ac:dyDescent="0.2">
      <c r="A202" s="458" t="s">
        <v>2066</v>
      </c>
      <c r="B202" s="1989" t="s">
        <v>547</v>
      </c>
      <c r="C202" s="1922">
        <v>656752.89999999991</v>
      </c>
      <c r="D202" s="1922">
        <v>0</v>
      </c>
      <c r="E202" s="1922">
        <v>3626.6792753902901</v>
      </c>
      <c r="F202" s="1922">
        <v>28062.298521447279</v>
      </c>
      <c r="G202" s="1922">
        <v>31688.977796837571</v>
      </c>
      <c r="H202" s="1922">
        <v>26374.032877540601</v>
      </c>
      <c r="I202" s="1922">
        <v>1160747.9023133027</v>
      </c>
      <c r="J202" s="1922">
        <v>1187121.9351908434</v>
      </c>
      <c r="K202" s="1922">
        <v>267711.18701231893</v>
      </c>
      <c r="L202" s="1922">
        <v>2143275</v>
      </c>
      <c r="M202" s="163"/>
      <c r="N202" s="163"/>
      <c r="O202" s="163"/>
      <c r="P202" s="163"/>
    </row>
    <row r="203" spans="1:16" ht="11.85" customHeight="1" x14ac:dyDescent="0.2">
      <c r="A203" s="458" t="s">
        <v>2066</v>
      </c>
      <c r="B203" s="372" t="s">
        <v>554</v>
      </c>
      <c r="C203" s="1922">
        <v>668692.80000000005</v>
      </c>
      <c r="D203" s="1922">
        <v>0</v>
      </c>
      <c r="E203" s="1922">
        <v>3612.6439494309802</v>
      </c>
      <c r="F203" s="1922">
        <v>29272.261998138703</v>
      </c>
      <c r="G203" s="1922">
        <v>32884.905947569685</v>
      </c>
      <c r="H203" s="1922">
        <v>27033.624915766901</v>
      </c>
      <c r="I203" s="1922">
        <v>1168834.2039479583</v>
      </c>
      <c r="J203" s="1922">
        <v>1195867.8288637253</v>
      </c>
      <c r="K203" s="1922">
        <v>270031.66518870508</v>
      </c>
      <c r="L203" s="1922">
        <v>2167477.2000000002</v>
      </c>
      <c r="M203" s="163"/>
      <c r="N203" s="163"/>
      <c r="O203" s="163"/>
      <c r="P203" s="163"/>
    </row>
    <row r="204" spans="1:16" ht="11.85" customHeight="1" x14ac:dyDescent="0.2">
      <c r="A204" s="458" t="s">
        <v>2066</v>
      </c>
      <c r="B204" s="1989" t="s">
        <v>555</v>
      </c>
      <c r="C204" s="1922">
        <v>661578.1</v>
      </c>
      <c r="D204" s="1922">
        <v>0</v>
      </c>
      <c r="E204" s="1922">
        <v>3587.4784871398201</v>
      </c>
      <c r="F204" s="1922">
        <v>30114.560406851284</v>
      </c>
      <c r="G204" s="1922">
        <v>33702.038893991106</v>
      </c>
      <c r="H204" s="1922">
        <v>27708.6911802797</v>
      </c>
      <c r="I204" s="1922">
        <v>1179777.4370906665</v>
      </c>
      <c r="J204" s="1922">
        <v>1207486.1282709462</v>
      </c>
      <c r="K204" s="1922">
        <v>273352.73283506237</v>
      </c>
      <c r="L204" s="1922">
        <v>2176118.9999999995</v>
      </c>
      <c r="M204" s="163"/>
      <c r="N204" s="163"/>
      <c r="O204" s="163"/>
      <c r="P204" s="163"/>
    </row>
    <row r="205" spans="1:16" ht="11.85" customHeight="1" x14ac:dyDescent="0.2">
      <c r="A205" s="458" t="s">
        <v>2066</v>
      </c>
      <c r="B205" s="372" t="s">
        <v>548</v>
      </c>
      <c r="C205" s="1922">
        <v>654531.60000000009</v>
      </c>
      <c r="D205" s="1922">
        <v>0</v>
      </c>
      <c r="E205" s="1922">
        <v>3566.8507401352199</v>
      </c>
      <c r="F205" s="1922">
        <v>31297.219297946962</v>
      </c>
      <c r="G205" s="1922">
        <v>34864.07003808218</v>
      </c>
      <c r="H205" s="1922">
        <v>30293.376478304799</v>
      </c>
      <c r="I205" s="1922">
        <v>1191571.8362408357</v>
      </c>
      <c r="J205" s="1922">
        <v>1221865.2127191406</v>
      </c>
      <c r="K205" s="1922">
        <v>279399.33857671998</v>
      </c>
      <c r="L205" s="1922">
        <v>2190660.2213339428</v>
      </c>
      <c r="M205" s="163"/>
      <c r="N205" s="163"/>
      <c r="O205" s="163"/>
      <c r="P205" s="163"/>
    </row>
    <row r="206" spans="1:16" ht="11.85" customHeight="1" x14ac:dyDescent="0.2">
      <c r="A206" s="458" t="s">
        <v>2066</v>
      </c>
      <c r="B206" s="1989" t="s">
        <v>556</v>
      </c>
      <c r="C206" s="1922">
        <v>664314.70000000007</v>
      </c>
      <c r="D206" s="1922">
        <v>0</v>
      </c>
      <c r="E206" s="1922">
        <v>3576.6834946514095</v>
      </c>
      <c r="F206" s="1922">
        <v>31310.118040319478</v>
      </c>
      <c r="G206" s="1922">
        <v>34886.801534970888</v>
      </c>
      <c r="H206" s="1922">
        <v>31868.631818318601</v>
      </c>
      <c r="I206" s="1922">
        <v>1192276.189863733</v>
      </c>
      <c r="J206" s="1922">
        <v>1224144.8216820515</v>
      </c>
      <c r="K206" s="1922">
        <v>278700.97678297776</v>
      </c>
      <c r="L206" s="1922">
        <v>2202047.3000000003</v>
      </c>
      <c r="M206" s="163"/>
      <c r="N206" s="163"/>
      <c r="O206" s="163"/>
      <c r="P206" s="163"/>
    </row>
    <row r="207" spans="1:16" ht="11.85" customHeight="1" x14ac:dyDescent="0.2">
      <c r="A207" s="458" t="s">
        <v>2066</v>
      </c>
      <c r="B207" s="372" t="s">
        <v>557</v>
      </c>
      <c r="C207" s="1922">
        <v>670177.10000000009</v>
      </c>
      <c r="D207" s="1922">
        <v>0</v>
      </c>
      <c r="E207" s="1922">
        <v>3582.1215574774401</v>
      </c>
      <c r="F207" s="1922">
        <v>31068.143140868924</v>
      </c>
      <c r="G207" s="1922">
        <v>34650.264698346364</v>
      </c>
      <c r="H207" s="1922">
        <v>31545.681405193598</v>
      </c>
      <c r="I207" s="1922">
        <v>1197123.8717850349</v>
      </c>
      <c r="J207" s="1922">
        <v>1228669.5531902285</v>
      </c>
      <c r="K207" s="1922">
        <v>282431.24592604931</v>
      </c>
      <c r="L207" s="1922">
        <v>2215928.1638146243</v>
      </c>
      <c r="M207" s="163"/>
      <c r="N207" s="163"/>
      <c r="O207" s="163"/>
      <c r="P207" s="163"/>
    </row>
    <row r="208" spans="1:16" ht="11.85" customHeight="1" x14ac:dyDescent="0.2">
      <c r="A208" s="458" t="s">
        <v>2066</v>
      </c>
      <c r="B208" s="1989" t="s">
        <v>549</v>
      </c>
      <c r="C208" s="1922">
        <v>684224.86729904101</v>
      </c>
      <c r="D208" s="1922">
        <v>0</v>
      </c>
      <c r="E208" s="1922">
        <v>3587.1591852437405</v>
      </c>
      <c r="F208" s="1922">
        <v>31206.781447982041</v>
      </c>
      <c r="G208" s="1922">
        <v>34793.940633225779</v>
      </c>
      <c r="H208" s="1922">
        <v>32965.579953194298</v>
      </c>
      <c r="I208" s="1922">
        <v>1205566.8486027468</v>
      </c>
      <c r="J208" s="1922">
        <v>1238532.4285559412</v>
      </c>
      <c r="K208" s="1922">
        <v>286627.84447903215</v>
      </c>
      <c r="L208" s="1922">
        <v>2244179.08096724</v>
      </c>
      <c r="M208" s="163"/>
      <c r="N208" s="163"/>
      <c r="O208" s="163"/>
      <c r="P208" s="163"/>
    </row>
    <row r="209" spans="1:16" ht="11.85" customHeight="1" x14ac:dyDescent="0.2">
      <c r="A209" s="458" t="s">
        <v>2066</v>
      </c>
      <c r="B209" s="372" t="s">
        <v>558</v>
      </c>
      <c r="C209" s="1922">
        <v>715377.31602647202</v>
      </c>
      <c r="D209" s="1922">
        <v>0</v>
      </c>
      <c r="E209" s="1922">
        <v>3592.15919429823</v>
      </c>
      <c r="F209" s="1922">
        <v>30700.262736985009</v>
      </c>
      <c r="G209" s="1922">
        <v>34292.421931283236</v>
      </c>
      <c r="H209" s="1922">
        <v>32402.822771221799</v>
      </c>
      <c r="I209" s="1922">
        <v>1214595.2800412457</v>
      </c>
      <c r="J209" s="1922">
        <v>1246998.1028124676</v>
      </c>
      <c r="K209" s="1922">
        <v>288405.77025610802</v>
      </c>
      <c r="L209" s="1922">
        <v>2285073.6110263309</v>
      </c>
      <c r="M209" s="163"/>
      <c r="N209" s="163"/>
      <c r="O209" s="163"/>
      <c r="P209" s="163"/>
    </row>
    <row r="210" spans="1:16" ht="11.85" customHeight="1" x14ac:dyDescent="0.2">
      <c r="A210" s="458" t="s">
        <v>2066</v>
      </c>
      <c r="B210" s="1989" t="s">
        <v>559</v>
      </c>
      <c r="C210" s="1922">
        <v>721924.90738762799</v>
      </c>
      <c r="D210" s="1922">
        <v>0</v>
      </c>
      <c r="E210" s="1922">
        <v>3600.80607442476</v>
      </c>
      <c r="F210" s="1922">
        <v>29638.777547166224</v>
      </c>
      <c r="G210" s="1922">
        <v>33239.583621590988</v>
      </c>
      <c r="H210" s="1922">
        <v>32961.179668339202</v>
      </c>
      <c r="I210" s="1922">
        <v>1226795.991809065</v>
      </c>
      <c r="J210" s="1922">
        <v>1259757.1714774042</v>
      </c>
      <c r="K210" s="1922">
        <v>288808.40549145191</v>
      </c>
      <c r="L210" s="1922">
        <v>2303730.0679780748</v>
      </c>
      <c r="M210" s="163"/>
      <c r="N210" s="163"/>
      <c r="O210" s="163"/>
      <c r="P210" s="163"/>
    </row>
    <row r="211" spans="1:16" ht="11.85" customHeight="1" x14ac:dyDescent="0.2">
      <c r="A211" s="458" t="s">
        <v>2066</v>
      </c>
      <c r="B211" s="372" t="s">
        <v>550</v>
      </c>
      <c r="C211" s="1922">
        <v>747846.852503762</v>
      </c>
      <c r="D211" s="1922">
        <v>0</v>
      </c>
      <c r="E211" s="1922">
        <v>3588.2760941767501</v>
      </c>
      <c r="F211" s="1922">
        <v>30604.57865103833</v>
      </c>
      <c r="G211" s="1922">
        <v>34192.854745215081</v>
      </c>
      <c r="H211" s="1922">
        <v>33362.150288469296</v>
      </c>
      <c r="I211" s="1922">
        <v>1245158.7816230939</v>
      </c>
      <c r="J211" s="1922">
        <v>1278520.9319115633</v>
      </c>
      <c r="K211" s="1922">
        <v>294103.7256432448</v>
      </c>
      <c r="L211" s="1922">
        <v>2354664.3648037855</v>
      </c>
      <c r="M211" s="163"/>
      <c r="N211" s="163"/>
      <c r="O211" s="163"/>
      <c r="P211" s="163"/>
    </row>
    <row r="212" spans="1:16" ht="11.85" customHeight="1" x14ac:dyDescent="0.2">
      <c r="A212" s="458" t="s">
        <v>2206</v>
      </c>
      <c r="B212" s="372" t="s">
        <v>552</v>
      </c>
      <c r="C212" s="2068">
        <v>749917.32000000007</v>
      </c>
      <c r="D212" s="1924">
        <v>0</v>
      </c>
      <c r="E212" s="1924">
        <v>3713.6875311875497</v>
      </c>
      <c r="F212" s="1924">
        <v>29785.700799992475</v>
      </c>
      <c r="G212" s="1924">
        <f t="shared" ref="G212:G223" si="14">E212+F212</f>
        <v>33499.388331180024</v>
      </c>
      <c r="H212" s="1924">
        <v>33289.928454311404</v>
      </c>
      <c r="I212" s="1924">
        <v>1237108.1722655939</v>
      </c>
      <c r="J212" s="1924">
        <f t="shared" ref="J212:J223" si="15">H212+I212</f>
        <v>1270398.1007199052</v>
      </c>
      <c r="K212" s="1924">
        <v>294126.86327698687</v>
      </c>
      <c r="L212" s="1924">
        <f t="shared" ref="L212:L234" si="16">C212+D212+G212+J212+K212</f>
        <v>2347941.6723280721</v>
      </c>
      <c r="M212" s="163"/>
      <c r="N212" s="163"/>
      <c r="O212" s="163"/>
      <c r="P212" s="163"/>
    </row>
    <row r="213" spans="1:16" ht="11.85" customHeight="1" x14ac:dyDescent="0.2">
      <c r="A213" s="458" t="s">
        <v>2206</v>
      </c>
      <c r="B213" s="1989" t="s">
        <v>553</v>
      </c>
      <c r="C213" s="2065">
        <v>741304.62595023506</v>
      </c>
      <c r="D213" s="1922">
        <v>0</v>
      </c>
      <c r="E213" s="1922">
        <v>3649.8199072733896</v>
      </c>
      <c r="F213" s="1922">
        <v>30088.422279361614</v>
      </c>
      <c r="G213" s="1922">
        <f t="shared" si="14"/>
        <v>33738.242186635005</v>
      </c>
      <c r="H213" s="1922">
        <v>33674.441936745599</v>
      </c>
      <c r="I213" s="1922">
        <v>1246128.1908982855</v>
      </c>
      <c r="J213" s="1922">
        <f t="shared" si="15"/>
        <v>1279802.632835031</v>
      </c>
      <c r="K213" s="1922">
        <f>294946.750215073+0.1</f>
        <v>294946.85021507298</v>
      </c>
      <c r="L213" s="1922">
        <f t="shared" si="16"/>
        <v>2349792.351186974</v>
      </c>
      <c r="M213" s="163"/>
      <c r="N213" s="163"/>
      <c r="O213" s="163"/>
      <c r="P213" s="163"/>
    </row>
    <row r="214" spans="1:16" ht="11.85" customHeight="1" x14ac:dyDescent="0.2">
      <c r="A214" s="458" t="s">
        <v>2206</v>
      </c>
      <c r="B214" s="372" t="s">
        <v>547</v>
      </c>
      <c r="C214" s="2068">
        <v>730228.59799513698</v>
      </c>
      <c r="D214" s="1924">
        <v>0</v>
      </c>
      <c r="E214" s="1924">
        <v>3645.4347070581703</v>
      </c>
      <c r="F214" s="1924">
        <v>30261.246717213839</v>
      </c>
      <c r="G214" s="1924">
        <f t="shared" si="14"/>
        <v>33906.681424272007</v>
      </c>
      <c r="H214" s="1924">
        <v>34611.629079399798</v>
      </c>
      <c r="I214" s="1924">
        <v>1261685.1522274225</v>
      </c>
      <c r="J214" s="1924">
        <f t="shared" si="15"/>
        <v>1296296.7813068223</v>
      </c>
      <c r="K214" s="1924">
        <v>297580.67870496202</v>
      </c>
      <c r="L214" s="1924">
        <f t="shared" si="16"/>
        <v>2358012.7394311936</v>
      </c>
      <c r="M214" s="163"/>
      <c r="N214" s="163"/>
      <c r="O214" s="163"/>
      <c r="P214" s="163"/>
    </row>
    <row r="215" spans="1:16" ht="11.85" customHeight="1" x14ac:dyDescent="0.2">
      <c r="A215" s="458" t="s">
        <v>2206</v>
      </c>
      <c r="B215" s="1989" t="s">
        <v>554</v>
      </c>
      <c r="C215" s="2065">
        <v>726991.41182724002</v>
      </c>
      <c r="D215" s="1922">
        <v>0</v>
      </c>
      <c r="E215" s="1922">
        <v>3587.1713437734002</v>
      </c>
      <c r="F215" s="1922">
        <v>31147.555847445867</v>
      </c>
      <c r="G215" s="1922">
        <f t="shared" si="14"/>
        <v>34734.727191219266</v>
      </c>
      <c r="H215" s="1922">
        <v>34874.046316645603</v>
      </c>
      <c r="I215" s="1922">
        <v>1273085.6240741035</v>
      </c>
      <c r="J215" s="1922">
        <f t="shared" si="15"/>
        <v>1307959.6703907491</v>
      </c>
      <c r="K215" s="1922">
        <v>300807.37931096705</v>
      </c>
      <c r="L215" s="1922">
        <f t="shared" si="16"/>
        <v>2370493.1887201755</v>
      </c>
      <c r="M215" s="163"/>
      <c r="N215" s="163"/>
      <c r="O215" s="163"/>
      <c r="P215" s="163"/>
    </row>
    <row r="216" spans="1:16" ht="11.85" customHeight="1" x14ac:dyDescent="0.2">
      <c r="A216" s="458" t="s">
        <v>2206</v>
      </c>
      <c r="B216" s="372" t="s">
        <v>555</v>
      </c>
      <c r="C216" s="2068">
        <v>721287.10344529501</v>
      </c>
      <c r="D216" s="1924">
        <v>0</v>
      </c>
      <c r="E216" s="1924">
        <v>3589.1334593099295</v>
      </c>
      <c r="F216" s="1924">
        <v>30729.27334071758</v>
      </c>
      <c r="G216" s="1924">
        <f t="shared" si="14"/>
        <v>34318.406800027507</v>
      </c>
      <c r="H216" s="1924">
        <v>35750.1636428446</v>
      </c>
      <c r="I216" s="1924">
        <v>1289347.9860277299</v>
      </c>
      <c r="J216" s="1924">
        <f t="shared" si="15"/>
        <v>1325098.1496705746</v>
      </c>
      <c r="K216" s="1924">
        <f>11.4+303091.467395136</f>
        <v>303102.86739513604</v>
      </c>
      <c r="L216" s="1924">
        <f t="shared" si="16"/>
        <v>2383806.5273110331</v>
      </c>
      <c r="M216" s="163"/>
      <c r="N216" s="163"/>
      <c r="O216" s="163"/>
      <c r="P216" s="163"/>
    </row>
    <row r="217" spans="1:16" ht="11.85" customHeight="1" x14ac:dyDescent="0.2">
      <c r="A217" s="458" t="s">
        <v>2206</v>
      </c>
      <c r="B217" s="1989" t="s">
        <v>548</v>
      </c>
      <c r="C217" s="2065">
        <v>707202.36131322512</v>
      </c>
      <c r="D217" s="1922">
        <v>0</v>
      </c>
      <c r="E217" s="1922">
        <v>3584.6410179423601</v>
      </c>
      <c r="F217" s="1922">
        <v>32105.064475072755</v>
      </c>
      <c r="G217" s="1922">
        <f t="shared" si="14"/>
        <v>35689.705493015113</v>
      </c>
      <c r="H217" s="1922">
        <v>36925.110938513593</v>
      </c>
      <c r="I217" s="1922">
        <v>1309499.1285177036</v>
      </c>
      <c r="J217" s="1922">
        <f t="shared" si="15"/>
        <v>1346424.2394562173</v>
      </c>
      <c r="K217" s="1922">
        <f>306597.270553297-173.7</f>
        <v>306423.570553297</v>
      </c>
      <c r="L217" s="1922">
        <f t="shared" si="16"/>
        <v>2395739.8768157545</v>
      </c>
      <c r="M217" s="163"/>
      <c r="N217" s="163"/>
      <c r="O217" s="163"/>
      <c r="P217" s="163"/>
    </row>
    <row r="218" spans="1:16" ht="11.85" customHeight="1" x14ac:dyDescent="0.2">
      <c r="A218" s="458" t="s">
        <v>2206</v>
      </c>
      <c r="B218" s="372" t="s">
        <v>556</v>
      </c>
      <c r="C218" s="2068">
        <v>721950.02782348613</v>
      </c>
      <c r="D218" s="1924">
        <v>0</v>
      </c>
      <c r="E218" s="1924">
        <v>3491.2470441133996</v>
      </c>
      <c r="F218" s="1924">
        <v>31609.471789124236</v>
      </c>
      <c r="G218" s="1924">
        <f t="shared" si="14"/>
        <v>35100.718833237639</v>
      </c>
      <c r="H218" s="1924">
        <v>35984.229261848799</v>
      </c>
      <c r="I218" s="1924">
        <v>1306562.5554245734</v>
      </c>
      <c r="J218" s="1924">
        <f t="shared" si="15"/>
        <v>1342546.7846864222</v>
      </c>
      <c r="K218" s="2066">
        <f>307835.098297977-94.2</f>
        <v>307740.89829797699</v>
      </c>
      <c r="L218" s="1924">
        <f t="shared" si="16"/>
        <v>2407338.4296411234</v>
      </c>
      <c r="M218" s="163"/>
      <c r="N218" s="163"/>
      <c r="O218" s="163"/>
      <c r="P218" s="163"/>
    </row>
    <row r="219" spans="1:16" ht="11.85" customHeight="1" x14ac:dyDescent="0.2">
      <c r="A219" s="458" t="s">
        <v>2206</v>
      </c>
      <c r="B219" s="1989" t="s">
        <v>557</v>
      </c>
      <c r="C219" s="2065">
        <v>732381.00667171902</v>
      </c>
      <c r="D219" s="1922">
        <v>0</v>
      </c>
      <c r="E219" s="1922">
        <v>3502.0075648972797</v>
      </c>
      <c r="F219" s="1922">
        <v>31026.399980469974</v>
      </c>
      <c r="G219" s="1922">
        <f t="shared" si="14"/>
        <v>34528.407545367256</v>
      </c>
      <c r="H219" s="1922">
        <v>35911.234347405298</v>
      </c>
      <c r="I219" s="1922">
        <v>1315064.7287557377</v>
      </c>
      <c r="J219" s="1922">
        <f t="shared" si="15"/>
        <v>1350975.963103143</v>
      </c>
      <c r="K219" s="1922">
        <f>309049.132024876-59.9</f>
        <v>308989.23202487599</v>
      </c>
      <c r="L219" s="1922">
        <f t="shared" si="16"/>
        <v>2426874.609345105</v>
      </c>
      <c r="M219" s="163"/>
      <c r="N219" s="163"/>
      <c r="O219" s="163"/>
      <c r="P219" s="163"/>
    </row>
    <row r="220" spans="1:16" ht="11.85" customHeight="1" x14ac:dyDescent="0.2">
      <c r="A220" s="458" t="s">
        <v>2206</v>
      </c>
      <c r="B220" s="372" t="s">
        <v>549</v>
      </c>
      <c r="C220" s="2068">
        <v>739836.05829066201</v>
      </c>
      <c r="D220" s="1924">
        <v>0</v>
      </c>
      <c r="E220" s="1924">
        <v>3497.7091009384003</v>
      </c>
      <c r="F220" s="1924">
        <v>31869.050025919005</v>
      </c>
      <c r="G220" s="1924">
        <f t="shared" si="14"/>
        <v>35366.759126857403</v>
      </c>
      <c r="H220" s="1924">
        <v>35750.953809744904</v>
      </c>
      <c r="I220" s="1924">
        <v>1335529.3385589498</v>
      </c>
      <c r="J220" s="1924">
        <f t="shared" si="15"/>
        <v>1371280.2923686947</v>
      </c>
      <c r="K220" s="2066">
        <f>310891.126221912-305</f>
        <v>310586.12622191198</v>
      </c>
      <c r="L220" s="1924">
        <f t="shared" si="16"/>
        <v>2457069.2360081263</v>
      </c>
      <c r="M220" s="163"/>
      <c r="N220" s="163"/>
      <c r="O220" s="163"/>
      <c r="P220" s="163"/>
    </row>
    <row r="221" spans="1:16" ht="11.85" customHeight="1" x14ac:dyDescent="0.2">
      <c r="A221" s="458" t="s">
        <v>2206</v>
      </c>
      <c r="B221" s="1989" t="s">
        <v>558</v>
      </c>
      <c r="C221" s="2065">
        <v>762734.79588745115</v>
      </c>
      <c r="D221" s="1922">
        <v>0</v>
      </c>
      <c r="E221" s="1922">
        <v>3353.8306364865202</v>
      </c>
      <c r="F221" s="1922">
        <v>31603.76280450726</v>
      </c>
      <c r="G221" s="1922">
        <f t="shared" si="14"/>
        <v>34957.593440993776</v>
      </c>
      <c r="H221" s="1922">
        <v>36115.590207848501</v>
      </c>
      <c r="I221" s="1922">
        <v>1338738.8705848656</v>
      </c>
      <c r="J221" s="1922">
        <f t="shared" si="15"/>
        <v>1374854.460792714</v>
      </c>
      <c r="K221" s="1922">
        <v>310276.44841960969</v>
      </c>
      <c r="L221" s="1922">
        <f t="shared" si="16"/>
        <v>2482823.2985407687</v>
      </c>
      <c r="M221" s="163"/>
      <c r="N221" s="163"/>
      <c r="O221" s="163"/>
      <c r="P221" s="163"/>
    </row>
    <row r="222" spans="1:16" ht="11.85" customHeight="1" x14ac:dyDescent="0.2">
      <c r="A222" s="458" t="s">
        <v>2206</v>
      </c>
      <c r="B222" s="372" t="s">
        <v>559</v>
      </c>
      <c r="C222" s="2068">
        <v>768842.89566831302</v>
      </c>
      <c r="D222" s="1924">
        <v>0</v>
      </c>
      <c r="E222" s="1924">
        <v>3335.1119400429097</v>
      </c>
      <c r="F222" s="1924">
        <v>30957.569226900443</v>
      </c>
      <c r="G222" s="1924">
        <f t="shared" si="14"/>
        <v>34292.681166943352</v>
      </c>
      <c r="H222" s="1924">
        <v>36626.783615982895</v>
      </c>
      <c r="I222" s="1924">
        <v>1358420.0537788344</v>
      </c>
      <c r="J222" s="1924">
        <f t="shared" si="15"/>
        <v>1395046.8373948173</v>
      </c>
      <c r="K222" s="1924">
        <f>311606.18872846+18.8</f>
        <v>311624.98872845998</v>
      </c>
      <c r="L222" s="1924">
        <f t="shared" si="16"/>
        <v>2509807.4029585337</v>
      </c>
      <c r="M222" s="163"/>
      <c r="N222" s="163"/>
      <c r="O222" s="163"/>
      <c r="P222" s="163"/>
    </row>
    <row r="223" spans="1:16" ht="11.85" customHeight="1" x14ac:dyDescent="0.2">
      <c r="A223" s="458" t="s">
        <v>2206</v>
      </c>
      <c r="B223" s="1989" t="s">
        <v>550</v>
      </c>
      <c r="C223" s="2065">
        <v>765636.51602964511</v>
      </c>
      <c r="D223" s="1922">
        <v>0</v>
      </c>
      <c r="E223" s="1922">
        <v>3347.7066646281901</v>
      </c>
      <c r="F223" s="1922">
        <v>30452.255932425949</v>
      </c>
      <c r="G223" s="1922">
        <f t="shared" si="14"/>
        <v>33799.962597054138</v>
      </c>
      <c r="H223" s="1922">
        <v>37659.8685549316</v>
      </c>
      <c r="I223" s="1922">
        <v>1375521.9983677785</v>
      </c>
      <c r="J223" s="1922">
        <f t="shared" si="15"/>
        <v>1413181.8669227101</v>
      </c>
      <c r="K223" s="1922">
        <f>314163.13275918-263.5</f>
        <v>313899.63275917998</v>
      </c>
      <c r="L223" s="1922">
        <f t="shared" si="16"/>
        <v>2526517.9783085892</v>
      </c>
      <c r="M223" s="163"/>
      <c r="N223" s="163"/>
      <c r="O223" s="163"/>
      <c r="P223" s="163"/>
    </row>
    <row r="224" spans="1:16" ht="11.85" customHeight="1" x14ac:dyDescent="0.2">
      <c r="A224" s="490" t="s">
        <v>2478</v>
      </c>
      <c r="B224" s="1989" t="s">
        <v>552</v>
      </c>
      <c r="C224" s="2065">
        <v>780521.18719323212</v>
      </c>
      <c r="D224" s="1922">
        <v>0</v>
      </c>
      <c r="E224" s="1922">
        <v>3349.5211236978398</v>
      </c>
      <c r="F224" s="1922">
        <v>29095.88714588113</v>
      </c>
      <c r="G224" s="1922">
        <f>E224+F224</f>
        <v>32445.408269578969</v>
      </c>
      <c r="H224" s="1922">
        <v>38206.559980418497</v>
      </c>
      <c r="I224" s="1922">
        <v>1371757.0071629062</v>
      </c>
      <c r="J224" s="1922">
        <f>H224+I224</f>
        <v>1409963.5671433248</v>
      </c>
      <c r="K224" s="1922">
        <v>313196.2095992</v>
      </c>
      <c r="L224" s="1922">
        <f t="shared" si="16"/>
        <v>2536126.3722053361</v>
      </c>
      <c r="M224" s="163"/>
      <c r="N224" s="163"/>
    </row>
    <row r="225" spans="1:14" ht="11.85" customHeight="1" x14ac:dyDescent="0.2">
      <c r="A225" s="490" t="s">
        <v>2478</v>
      </c>
      <c r="B225" s="372" t="s">
        <v>553</v>
      </c>
      <c r="C225" s="2068">
        <v>771847.366706923</v>
      </c>
      <c r="D225" s="1924">
        <v>0</v>
      </c>
      <c r="E225" s="1924">
        <v>3362.2743543024199</v>
      </c>
      <c r="F225" s="1924">
        <v>28191.901033495134</v>
      </c>
      <c r="G225" s="1924">
        <f>E225+F225</f>
        <v>31554.175387797553</v>
      </c>
      <c r="H225" s="1924">
        <v>37453.427583310098</v>
      </c>
      <c r="I225" s="1924">
        <v>1382513.1799171905</v>
      </c>
      <c r="J225" s="1924">
        <f>H225+I225</f>
        <v>1419966.6075005005</v>
      </c>
      <c r="K225" s="1924">
        <v>310602.3</v>
      </c>
      <c r="L225" s="1924">
        <f t="shared" si="16"/>
        <v>2533970.4495952209</v>
      </c>
      <c r="M225" s="163"/>
      <c r="N225" s="163"/>
    </row>
    <row r="226" spans="1:14" ht="11.85" customHeight="1" x14ac:dyDescent="0.2">
      <c r="A226" s="490" t="s">
        <v>2478</v>
      </c>
      <c r="B226" s="1989" t="s">
        <v>547</v>
      </c>
      <c r="C226" s="2065">
        <v>756973.22217422794</v>
      </c>
      <c r="D226" s="1922">
        <v>0</v>
      </c>
      <c r="E226" s="1922">
        <v>3363.3486986155503</v>
      </c>
      <c r="F226" s="1922">
        <v>28379.458638885437</v>
      </c>
      <c r="G226" s="1922">
        <f>E226+F226</f>
        <v>31742.807337500988</v>
      </c>
      <c r="H226" s="1922">
        <v>35855.137606929602</v>
      </c>
      <c r="I226" s="1922">
        <v>1391902.42333643</v>
      </c>
      <c r="J226" s="1922">
        <f>H226+I226</f>
        <v>1427757.5609433595</v>
      </c>
      <c r="K226" s="1922">
        <f>310875.111206243-358.2</f>
        <v>310516.91120624298</v>
      </c>
      <c r="L226" s="1922">
        <f t="shared" si="16"/>
        <v>2526990.5016613314</v>
      </c>
      <c r="M226" s="163"/>
      <c r="N226" s="163"/>
    </row>
    <row r="227" spans="1:14" ht="11.85" customHeight="1" x14ac:dyDescent="0.2">
      <c r="A227" s="490" t="s">
        <v>2478</v>
      </c>
      <c r="B227" s="372" t="s">
        <v>554</v>
      </c>
      <c r="C227" s="2068">
        <v>774269.72781654098</v>
      </c>
      <c r="D227" s="1924">
        <v>0</v>
      </c>
      <c r="E227" s="1924">
        <v>3358.1168288926597</v>
      </c>
      <c r="F227" s="1924">
        <v>27858.564996198249</v>
      </c>
      <c r="G227" s="1924">
        <f>E227+F227</f>
        <v>31216.681825090909</v>
      </c>
      <c r="H227" s="1924">
        <v>36103.061625065704</v>
      </c>
      <c r="I227" s="1924">
        <v>1396108.6126015091</v>
      </c>
      <c r="J227" s="1924">
        <f>H227+I227</f>
        <v>1432211.6742265748</v>
      </c>
      <c r="K227" s="1924">
        <f>311158.174897001-268.4</f>
        <v>310889.77489700099</v>
      </c>
      <c r="L227" s="1924">
        <f t="shared" si="16"/>
        <v>2548587.8587652072</v>
      </c>
      <c r="M227" s="163"/>
      <c r="N227" s="163"/>
    </row>
    <row r="228" spans="1:14" ht="11.85" customHeight="1" x14ac:dyDescent="0.2">
      <c r="A228" s="490" t="s">
        <v>2478</v>
      </c>
      <c r="B228" s="1989" t="s">
        <v>555</v>
      </c>
      <c r="C228" s="2065">
        <v>782572.64833041595</v>
      </c>
      <c r="D228" s="1922">
        <v>0</v>
      </c>
      <c r="E228" s="1922">
        <v>3369.2399343349102</v>
      </c>
      <c r="F228" s="1922">
        <v>28888.074022416171</v>
      </c>
      <c r="G228" s="1922">
        <f t="shared" ref="G228:G243" si="17">E228+F228</f>
        <v>32257.313956751081</v>
      </c>
      <c r="H228" s="1922">
        <v>36467.936621685098</v>
      </c>
      <c r="I228" s="1922">
        <v>1401363.9988405711</v>
      </c>
      <c r="J228" s="1922">
        <f t="shared" ref="J228:J235" si="18">H228+I228</f>
        <v>1437831.9354622562</v>
      </c>
      <c r="K228" s="1922">
        <v>312476.34215790615</v>
      </c>
      <c r="L228" s="1922">
        <f t="shared" si="16"/>
        <v>2565138.239907329</v>
      </c>
      <c r="M228" s="163"/>
      <c r="N228" s="163"/>
    </row>
    <row r="229" spans="1:14" ht="11.85" customHeight="1" x14ac:dyDescent="0.2">
      <c r="A229" s="490" t="s">
        <v>2478</v>
      </c>
      <c r="B229" s="372" t="s">
        <v>548</v>
      </c>
      <c r="C229" s="2068">
        <v>754936.03911423299</v>
      </c>
      <c r="D229" s="1924">
        <v>0</v>
      </c>
      <c r="E229" s="1924">
        <v>3403.0604523292295</v>
      </c>
      <c r="F229" s="1924">
        <v>31781.956093920198</v>
      </c>
      <c r="G229" s="1924">
        <f t="shared" si="17"/>
        <v>35185.016546249426</v>
      </c>
      <c r="H229" s="1924">
        <v>37229.588436028796</v>
      </c>
      <c r="I229" s="1924">
        <v>1415584.0197307547</v>
      </c>
      <c r="J229" s="1924">
        <f t="shared" si="18"/>
        <v>1452813.6081667833</v>
      </c>
      <c r="K229" s="1924">
        <v>317968.0524178202</v>
      </c>
      <c r="L229" s="1924">
        <f t="shared" si="16"/>
        <v>2560902.7162450859</v>
      </c>
      <c r="M229" s="163"/>
      <c r="N229" s="163"/>
    </row>
    <row r="230" spans="1:14" ht="11.85" customHeight="1" x14ac:dyDescent="0.2">
      <c r="A230" s="490" t="s">
        <v>2478</v>
      </c>
      <c r="B230" s="1989" t="s">
        <v>556</v>
      </c>
      <c r="C230" s="2065">
        <v>768434.93216388696</v>
      </c>
      <c r="D230" s="1922">
        <v>0</v>
      </c>
      <c r="E230" s="1922">
        <v>3492.7162286396497</v>
      </c>
      <c r="F230" s="1922">
        <v>30819.745028139911</v>
      </c>
      <c r="G230" s="1922">
        <f t="shared" si="17"/>
        <v>34312.461256779563</v>
      </c>
      <c r="H230" s="1922">
        <v>36992.657663816797</v>
      </c>
      <c r="I230" s="1922">
        <v>1412588.2557263509</v>
      </c>
      <c r="J230" s="1922">
        <f t="shared" si="18"/>
        <v>1449580.9133901678</v>
      </c>
      <c r="K230" s="1922">
        <f>317618.856849579-303.8</f>
        <v>317315.05684957904</v>
      </c>
      <c r="L230" s="1922">
        <f t="shared" si="16"/>
        <v>2569643.3636604133</v>
      </c>
      <c r="M230" s="163"/>
      <c r="N230" s="163"/>
    </row>
    <row r="231" spans="1:14" ht="11.85" customHeight="1" x14ac:dyDescent="0.2">
      <c r="A231" s="490" t="s">
        <v>2478</v>
      </c>
      <c r="B231" s="372" t="s">
        <v>557</v>
      </c>
      <c r="C231" s="2068">
        <v>766321.9449</v>
      </c>
      <c r="D231" s="1924">
        <v>0</v>
      </c>
      <c r="E231" s="1924">
        <v>3504.4029171529796</v>
      </c>
      <c r="F231" s="1924">
        <v>29802.574082518295</v>
      </c>
      <c r="G231" s="1924">
        <f t="shared" si="17"/>
        <v>33306.976999671271</v>
      </c>
      <c r="H231" s="1924">
        <v>37295.063553688196</v>
      </c>
      <c r="I231" s="1924">
        <v>1415744.831824739</v>
      </c>
      <c r="J231" s="1924">
        <f t="shared" si="18"/>
        <v>1453039.8953784271</v>
      </c>
      <c r="K231" s="1924">
        <f>319413.594327992-57.6</f>
        <v>319355.99432799203</v>
      </c>
      <c r="L231" s="1924">
        <f t="shared" si="16"/>
        <v>2572024.8116060905</v>
      </c>
      <c r="M231" s="163"/>
      <c r="N231" s="163"/>
    </row>
    <row r="232" spans="1:14" ht="11.85" customHeight="1" x14ac:dyDescent="0.2">
      <c r="A232" s="490" t="s">
        <v>2478</v>
      </c>
      <c r="B232" s="1989" t="s">
        <v>549</v>
      </c>
      <c r="C232" s="2065">
        <v>791750.1949</v>
      </c>
      <c r="D232" s="1922">
        <v>0</v>
      </c>
      <c r="E232" s="1922">
        <v>2346.1754934597493</v>
      </c>
      <c r="F232" s="1922">
        <v>30547.731198409427</v>
      </c>
      <c r="G232" s="1922">
        <f t="shared" si="17"/>
        <v>32893.906691869175</v>
      </c>
      <c r="H232" s="1922">
        <v>36835.265007108399</v>
      </c>
      <c r="I232" s="1922">
        <v>1452236.4951334489</v>
      </c>
      <c r="J232" s="1922">
        <f t="shared" si="18"/>
        <v>1489071.7601405573</v>
      </c>
      <c r="K232" s="1922">
        <f>320104.592656134-234.1</f>
        <v>319870.49265613401</v>
      </c>
      <c r="L232" s="1922">
        <f t="shared" si="16"/>
        <v>2633586.3543885606</v>
      </c>
      <c r="M232" s="163"/>
      <c r="N232" s="163"/>
    </row>
    <row r="233" spans="1:14" ht="11.85" customHeight="1" x14ac:dyDescent="0.2">
      <c r="A233" s="490" t="s">
        <v>2478</v>
      </c>
      <c r="B233" s="372" t="s">
        <v>558</v>
      </c>
      <c r="C233" s="2068">
        <v>796948.4449</v>
      </c>
      <c r="D233" s="1924">
        <v>0</v>
      </c>
      <c r="E233" s="1924">
        <v>2366.7200259968699</v>
      </c>
      <c r="F233" s="1924">
        <v>30888.751557107276</v>
      </c>
      <c r="G233" s="1924">
        <f t="shared" si="17"/>
        <v>33255.471583104147</v>
      </c>
      <c r="H233" s="1924">
        <v>37863.014437127102</v>
      </c>
      <c r="I233" s="1924">
        <v>1454746.9079170206</v>
      </c>
      <c r="J233" s="1924">
        <f t="shared" si="18"/>
        <v>1492609.9223541478</v>
      </c>
      <c r="K233" s="1924">
        <v>319385.7</v>
      </c>
      <c r="L233" s="1924">
        <f t="shared" si="16"/>
        <v>2642199.5388372522</v>
      </c>
      <c r="M233" s="163"/>
      <c r="N233" s="163"/>
    </row>
    <row r="234" spans="1:14" ht="11.85" customHeight="1" x14ac:dyDescent="0.2">
      <c r="A234" s="490" t="s">
        <v>2478</v>
      </c>
      <c r="B234" s="1989" t="s">
        <v>559</v>
      </c>
      <c r="C234" s="2065">
        <v>812351.10000000009</v>
      </c>
      <c r="D234" s="1922">
        <v>0</v>
      </c>
      <c r="E234" s="1922">
        <v>2393.9569095119195</v>
      </c>
      <c r="F234" s="1922">
        <v>31679.562948849794</v>
      </c>
      <c r="G234" s="1922">
        <f t="shared" si="17"/>
        <v>34073.519858361717</v>
      </c>
      <c r="H234" s="1922">
        <v>37722.110859254106</v>
      </c>
      <c r="I234" s="1922">
        <v>1469238.6530765411</v>
      </c>
      <c r="J234" s="1922">
        <f t="shared" si="18"/>
        <v>1506960.7639357953</v>
      </c>
      <c r="K234" s="1922">
        <v>322013.92851204216</v>
      </c>
      <c r="L234" s="1922">
        <f t="shared" si="16"/>
        <v>2675399.3123061992</v>
      </c>
      <c r="M234" s="163"/>
      <c r="N234" s="163"/>
    </row>
    <row r="235" spans="1:14" s="153" customFormat="1" ht="11.85" customHeight="1" x14ac:dyDescent="0.2">
      <c r="A235" s="490" t="s">
        <v>2478</v>
      </c>
      <c r="B235" s="372" t="s">
        <v>550</v>
      </c>
      <c r="C235" s="2068">
        <v>830346.8</v>
      </c>
      <c r="D235" s="1924">
        <v>0</v>
      </c>
      <c r="E235" s="1924">
        <v>2363.1434585245097</v>
      </c>
      <c r="F235" s="1924">
        <v>30826.308748839998</v>
      </c>
      <c r="G235" s="1924">
        <f t="shared" si="17"/>
        <v>33189.452207364506</v>
      </c>
      <c r="H235" s="1924">
        <v>35246.962483798205</v>
      </c>
      <c r="I235" s="1924">
        <v>1477817.1887107571</v>
      </c>
      <c r="J235" s="1924">
        <f t="shared" si="18"/>
        <v>1513064.1511945552</v>
      </c>
      <c r="K235" s="1924">
        <f>322592.25-397.6</f>
        <v>322194.65000000002</v>
      </c>
      <c r="L235" s="1924">
        <f>C235+D235+G235+J235+K235</f>
        <v>2698795.0534019195</v>
      </c>
      <c r="M235" s="667"/>
      <c r="N235" s="163"/>
    </row>
    <row r="236" spans="1:14" s="153" customFormat="1" ht="11.85" customHeight="1" x14ac:dyDescent="0.2">
      <c r="A236" s="458" t="s">
        <v>2729</v>
      </c>
      <c r="B236" s="372" t="s">
        <v>552</v>
      </c>
      <c r="C236" s="2068">
        <v>844360.2</v>
      </c>
      <c r="D236" s="1924">
        <v>0</v>
      </c>
      <c r="E236" s="1924">
        <v>2357.9221153169597</v>
      </c>
      <c r="F236" s="1924">
        <v>31094.161157334038</v>
      </c>
      <c r="G236" s="1924">
        <f>E236+F236</f>
        <v>33452.083272650998</v>
      </c>
      <c r="H236" s="1924">
        <v>35294.348074684298</v>
      </c>
      <c r="I236" s="1924">
        <v>1473500.1974859473</v>
      </c>
      <c r="J236" s="1924">
        <f>H236+I236</f>
        <v>1508794.5455606317</v>
      </c>
      <c r="K236" s="1924">
        <v>321374.17</v>
      </c>
      <c r="L236" s="1924">
        <f>C236+D236+G236+J236+K236</f>
        <v>2707980.9988332824</v>
      </c>
      <c r="M236" s="667"/>
      <c r="N236" s="163"/>
    </row>
    <row r="237" spans="1:14" s="153" customFormat="1" ht="11.85" customHeight="1" x14ac:dyDescent="0.2">
      <c r="A237" s="458" t="s">
        <v>2729</v>
      </c>
      <c r="B237" s="1989" t="s">
        <v>553</v>
      </c>
      <c r="C237" s="2065">
        <v>840870.9</v>
      </c>
      <c r="D237" s="1922">
        <v>0</v>
      </c>
      <c r="E237" s="1922">
        <v>2372.9327232946998</v>
      </c>
      <c r="F237" s="1922">
        <v>31185.058726930059</v>
      </c>
      <c r="G237" s="1922">
        <f t="shared" si="17"/>
        <v>33557.991450224756</v>
      </c>
      <c r="H237" s="1922">
        <v>35046.845301626301</v>
      </c>
      <c r="I237" s="1922">
        <v>1483083.8833944988</v>
      </c>
      <c r="J237" s="1922">
        <f t="shared" ref="J237:J243" si="19">H237+I237</f>
        <v>1518130.7286961251</v>
      </c>
      <c r="K237" s="1922">
        <v>316911.86000000004</v>
      </c>
      <c r="L237" s="1922">
        <f t="shared" ref="L237" si="20">C237+D237+G237+J237+K237</f>
        <v>2709471.4801463499</v>
      </c>
      <c r="M237" s="667"/>
      <c r="N237" s="163"/>
    </row>
    <row r="238" spans="1:14" s="153" customFormat="1" ht="11.85" customHeight="1" x14ac:dyDescent="0.2">
      <c r="A238" s="458" t="s">
        <v>2729</v>
      </c>
      <c r="B238" s="372" t="s">
        <v>547</v>
      </c>
      <c r="C238" s="2068">
        <v>861302.9</v>
      </c>
      <c r="D238" s="1924">
        <v>0</v>
      </c>
      <c r="E238" s="1924">
        <v>2361.2279255758804</v>
      </c>
      <c r="F238" s="1924">
        <v>32463.340779104485</v>
      </c>
      <c r="G238" s="1924">
        <f t="shared" si="17"/>
        <v>34824.568704680365</v>
      </c>
      <c r="H238" s="1924">
        <v>34027.523289573706</v>
      </c>
      <c r="I238" s="1924">
        <v>1489040.0366952822</v>
      </c>
      <c r="J238" s="1924">
        <f t="shared" si="19"/>
        <v>1523067.5599848558</v>
      </c>
      <c r="K238" s="1924">
        <v>319196.74800000002</v>
      </c>
      <c r="L238" s="1924">
        <f>C238+D238+G238+J238+K238</f>
        <v>2738391.7766895364</v>
      </c>
      <c r="M238" s="667"/>
      <c r="N238" s="163"/>
    </row>
    <row r="239" spans="1:14" s="549" customFormat="1" ht="11.85" customHeight="1" x14ac:dyDescent="0.2">
      <c r="A239" s="458" t="s">
        <v>2729</v>
      </c>
      <c r="B239" s="1989" t="s">
        <v>554</v>
      </c>
      <c r="C239" s="2065">
        <v>875143.10000000009</v>
      </c>
      <c r="D239" s="1922">
        <v>0</v>
      </c>
      <c r="E239" s="1922">
        <v>1747.54975283467</v>
      </c>
      <c r="F239" s="1922">
        <v>32199.346778212959</v>
      </c>
      <c r="G239" s="1922">
        <f t="shared" si="17"/>
        <v>33946.896531047627</v>
      </c>
      <c r="H239" s="1922">
        <v>33336.024391438899</v>
      </c>
      <c r="I239" s="1922">
        <v>1493847.2200389204</v>
      </c>
      <c r="J239" s="1922">
        <f t="shared" si="19"/>
        <v>1527183.2444303592</v>
      </c>
      <c r="K239" s="1922">
        <v>320552.47840984102</v>
      </c>
      <c r="L239" s="1922">
        <f>C239+D239+G239+J239+K239</f>
        <v>2756825.719371248</v>
      </c>
      <c r="M239" s="163"/>
      <c r="N239" s="163"/>
    </row>
    <row r="240" spans="1:14" s="153" customFormat="1" ht="11.85" customHeight="1" x14ac:dyDescent="0.2">
      <c r="A240" s="458" t="s">
        <v>2729</v>
      </c>
      <c r="B240" s="372" t="s">
        <v>555</v>
      </c>
      <c r="C240" s="2068">
        <v>898860.1</v>
      </c>
      <c r="D240" s="1924">
        <v>0</v>
      </c>
      <c r="E240" s="1924">
        <v>1753.18434033989</v>
      </c>
      <c r="F240" s="1924">
        <v>32923.222509957588</v>
      </c>
      <c r="G240" s="1924">
        <f t="shared" si="17"/>
        <v>34676.406850297477</v>
      </c>
      <c r="H240" s="1924">
        <v>32737.4471652346</v>
      </c>
      <c r="I240" s="1924">
        <v>1504663.686452375</v>
      </c>
      <c r="J240" s="1924">
        <f t="shared" si="19"/>
        <v>1537401.1336176097</v>
      </c>
      <c r="K240" s="1924">
        <v>323605.714460271</v>
      </c>
      <c r="L240" s="1924">
        <f t="shared" ref="L240:L243" si="21">C240+D240+G240+J240+K240</f>
        <v>2794543.3549281782</v>
      </c>
      <c r="M240" s="163"/>
      <c r="N240" s="163"/>
    </row>
    <row r="241" spans="1:14" s="153" customFormat="1" ht="11.85" customHeight="1" x14ac:dyDescent="0.2">
      <c r="A241" s="458" t="s">
        <v>2729</v>
      </c>
      <c r="B241" s="1989" t="s">
        <v>548</v>
      </c>
      <c r="C241" s="2065">
        <v>894728.6</v>
      </c>
      <c r="D241" s="2065">
        <v>0</v>
      </c>
      <c r="E241" s="1922">
        <v>1763.02312879139</v>
      </c>
      <c r="F241" s="1922">
        <v>35275.887175611875</v>
      </c>
      <c r="G241" s="1922">
        <f t="shared" si="17"/>
        <v>37038.910304403267</v>
      </c>
      <c r="H241" s="1922">
        <v>34844.899361571202</v>
      </c>
      <c r="I241" s="1922">
        <v>1501833.0216296341</v>
      </c>
      <c r="J241" s="1922">
        <f t="shared" si="19"/>
        <v>1536677.9209912054</v>
      </c>
      <c r="K241" s="1922">
        <v>328456.21999999997</v>
      </c>
      <c r="L241" s="1922">
        <f t="shared" si="21"/>
        <v>2796901.6512956088</v>
      </c>
      <c r="M241" s="163"/>
      <c r="N241" s="163"/>
    </row>
    <row r="242" spans="1:14" s="153" customFormat="1" ht="11.25" customHeight="1" thickBot="1" x14ac:dyDescent="0.25">
      <c r="A242" s="458" t="s">
        <v>2729</v>
      </c>
      <c r="B242" s="752" t="s">
        <v>556</v>
      </c>
      <c r="C242" s="2165">
        <v>906885.5</v>
      </c>
      <c r="D242" s="2085">
        <v>0</v>
      </c>
      <c r="E242" s="2085">
        <v>1760.8579035028499</v>
      </c>
      <c r="F242" s="2085">
        <v>34873.216525411051</v>
      </c>
      <c r="G242" s="2085">
        <f t="shared" si="17"/>
        <v>36634.074428913904</v>
      </c>
      <c r="H242" s="2085">
        <v>35047.970393342504</v>
      </c>
      <c r="I242" s="2085">
        <v>1496646.3605801992</v>
      </c>
      <c r="J242" s="2085">
        <f t="shared" si="19"/>
        <v>1531694.3309735416</v>
      </c>
      <c r="K242" s="2085">
        <v>327714.29997478519</v>
      </c>
      <c r="L242" s="2085">
        <f t="shared" si="21"/>
        <v>2802928.2053772407</v>
      </c>
      <c r="M242" s="163"/>
      <c r="N242" s="1522"/>
    </row>
    <row r="243" spans="1:14" s="153" customFormat="1" ht="11.25" customHeight="1" thickBot="1" x14ac:dyDescent="0.25">
      <c r="A243" s="458" t="s">
        <v>2729</v>
      </c>
      <c r="B243" s="372" t="s">
        <v>557</v>
      </c>
      <c r="C243" s="2166">
        <v>921965.1</v>
      </c>
      <c r="D243" s="2166">
        <v>0</v>
      </c>
      <c r="E243" s="2081">
        <v>1711.8872993862899</v>
      </c>
      <c r="F243" s="2081">
        <v>34765.550887001787</v>
      </c>
      <c r="G243" s="2081">
        <f t="shared" si="17"/>
        <v>36477.438186388077</v>
      </c>
      <c r="H243" s="2081">
        <v>35258.0131521277</v>
      </c>
      <c r="I243" s="2081">
        <v>1500458.1637577929</v>
      </c>
      <c r="J243" s="2081">
        <f t="shared" si="19"/>
        <v>1535716.1769099205</v>
      </c>
      <c r="K243" s="2081">
        <v>328642.06239284237</v>
      </c>
      <c r="L243" s="2081">
        <f t="shared" si="21"/>
        <v>2822800.7774891513</v>
      </c>
      <c r="M243" s="163"/>
      <c r="N243" s="1522"/>
    </row>
    <row r="244" spans="1:14" s="153" customFormat="1" ht="11.25" customHeight="1" x14ac:dyDescent="0.2">
      <c r="A244" s="458" t="s">
        <v>2729</v>
      </c>
      <c r="B244" s="372" t="s">
        <v>549</v>
      </c>
      <c r="C244" s="432"/>
      <c r="D244" s="428"/>
      <c r="E244" s="428"/>
      <c r="F244" s="428"/>
      <c r="G244" s="428"/>
      <c r="H244" s="428"/>
      <c r="I244" s="428"/>
      <c r="J244" s="428"/>
      <c r="K244" s="428"/>
      <c r="L244" s="428"/>
      <c r="M244" s="163"/>
      <c r="N244" s="1522"/>
    </row>
    <row r="245" spans="1:14" s="153" customFormat="1" ht="11.25" customHeight="1" x14ac:dyDescent="0.2">
      <c r="A245" s="458"/>
      <c r="B245" s="372"/>
      <c r="C245" s="432"/>
      <c r="D245" s="428"/>
      <c r="E245" s="428"/>
      <c r="F245" s="428"/>
      <c r="G245" s="428"/>
      <c r="H245" s="428"/>
      <c r="I245" s="428"/>
      <c r="J245" s="428"/>
      <c r="K245" s="428"/>
      <c r="L245" s="428"/>
      <c r="M245" s="163"/>
      <c r="N245" s="1522"/>
    </row>
    <row r="246" spans="1:14" s="153" customFormat="1" ht="11.25" customHeight="1" x14ac:dyDescent="0.2">
      <c r="A246" s="458"/>
      <c r="B246" s="372"/>
      <c r="C246" s="432"/>
      <c r="D246" s="428"/>
      <c r="E246" s="428"/>
      <c r="F246" s="428"/>
      <c r="G246" s="428"/>
      <c r="H246" s="428"/>
      <c r="I246" s="428"/>
      <c r="J246" s="428"/>
      <c r="K246" s="428"/>
      <c r="L246" s="428"/>
      <c r="M246" s="163"/>
      <c r="N246" s="1522"/>
    </row>
    <row r="247" spans="1:14" s="153" customFormat="1" ht="11.25" customHeight="1" x14ac:dyDescent="0.2">
      <c r="A247" s="2152" t="s">
        <v>211</v>
      </c>
      <c r="B247" s="161"/>
      <c r="C247" s="222" t="s">
        <v>1357</v>
      </c>
      <c r="D247" s="222"/>
      <c r="E247" s="222"/>
      <c r="F247" s="222"/>
      <c r="G247" s="222"/>
      <c r="H247" s="99" t="s">
        <v>3172</v>
      </c>
      <c r="I247" s="531"/>
      <c r="J247" s="531"/>
      <c r="K247" s="531"/>
      <c r="L247" s="531"/>
      <c r="M247" s="163"/>
      <c r="N247" s="1522"/>
    </row>
    <row r="248" spans="1:14" s="153" customFormat="1" ht="11.25" customHeight="1" x14ac:dyDescent="0.2">
      <c r="A248" s="160"/>
      <c r="B248" s="154"/>
      <c r="C248" s="245" t="s">
        <v>1337</v>
      </c>
      <c r="D248" s="245"/>
      <c r="E248" s="245"/>
      <c r="F248" s="2155" t="s">
        <v>1294</v>
      </c>
      <c r="G248" s="1122"/>
      <c r="H248" s="1122"/>
      <c r="I248" s="1122"/>
      <c r="J248" s="1122"/>
      <c r="K248" s="1122"/>
      <c r="L248" s="1122"/>
      <c r="M248" s="163"/>
      <c r="N248" s="1522"/>
    </row>
    <row r="249" spans="1:14" s="153" customFormat="1" ht="11.25" customHeight="1" x14ac:dyDescent="0.2">
      <c r="A249" s="469"/>
      <c r="B249" s="163"/>
      <c r="C249" s="163"/>
      <c r="D249" s="163"/>
      <c r="E249" s="1122"/>
      <c r="F249" s="163"/>
      <c r="G249" s="1122"/>
      <c r="H249" s="1122"/>
      <c r="I249" s="1122"/>
      <c r="J249" s="1122"/>
      <c r="K249" s="1122"/>
      <c r="L249" s="1122"/>
      <c r="M249" s="163"/>
    </row>
    <row r="250" spans="1:14" s="153" customFormat="1" ht="11.25" customHeight="1" x14ac:dyDescent="0.2">
      <c r="A250" s="469"/>
      <c r="B250" s="163"/>
      <c r="C250" s="163"/>
      <c r="D250" s="163"/>
      <c r="E250" s="1122"/>
      <c r="F250" s="163"/>
      <c r="G250" s="1122"/>
      <c r="H250" s="1122"/>
      <c r="I250" s="1122"/>
      <c r="J250" s="1122"/>
      <c r="L250" s="1122"/>
      <c r="M250" s="163"/>
    </row>
    <row r="251" spans="1:14" s="153" customFormat="1" ht="11.25" customHeight="1" x14ac:dyDescent="0.2">
      <c r="A251" s="469"/>
      <c r="B251" s="163"/>
      <c r="C251" s="163"/>
      <c r="D251" s="163"/>
      <c r="E251" s="1122"/>
      <c r="F251" s="163"/>
      <c r="G251" s="1122"/>
      <c r="H251" s="1122"/>
      <c r="I251" s="1122"/>
      <c r="J251" s="1122"/>
      <c r="L251" s="1122"/>
      <c r="M251" s="163"/>
    </row>
    <row r="252" spans="1:14" ht="11.25" customHeight="1" x14ac:dyDescent="0.2">
      <c r="A252" s="469"/>
      <c r="B252" s="163"/>
      <c r="C252" s="163"/>
      <c r="D252" s="163"/>
      <c r="E252" s="1122"/>
      <c r="F252" s="163"/>
      <c r="G252" s="1122"/>
      <c r="H252" s="1122"/>
      <c r="I252" s="1122"/>
      <c r="J252" s="1122"/>
      <c r="K252" s="153"/>
      <c r="L252" s="1122"/>
      <c r="M252" s="163"/>
    </row>
    <row r="253" spans="1:14" ht="11.25" customHeight="1" x14ac:dyDescent="0.2">
      <c r="A253" s="469"/>
      <c r="B253" s="163"/>
      <c r="C253" s="163"/>
      <c r="D253" s="163"/>
      <c r="E253" s="1122"/>
      <c r="F253" s="163"/>
      <c r="G253" s="1122"/>
      <c r="H253" s="153"/>
      <c r="I253" s="1122"/>
      <c r="J253" s="1122"/>
      <c r="K253" s="1122"/>
      <c r="L253" s="1122"/>
      <c r="M253" s="163"/>
    </row>
    <row r="254" spans="1:14" ht="11.25" customHeight="1" x14ac:dyDescent="0.2">
      <c r="A254" s="469"/>
      <c r="B254" s="163"/>
      <c r="C254" s="163"/>
      <c r="D254" s="163"/>
      <c r="E254" s="1122"/>
      <c r="F254" s="163"/>
      <c r="G254" s="1122"/>
      <c r="H254" s="667"/>
      <c r="I254" s="1122"/>
      <c r="J254" s="1122"/>
      <c r="K254" s="1122"/>
      <c r="L254" s="1122"/>
      <c r="M254" s="163"/>
    </row>
    <row r="255" spans="1:14" ht="11.25" customHeight="1" x14ac:dyDescent="0.2">
      <c r="A255" s="469"/>
      <c r="B255" s="163"/>
      <c r="C255" s="163"/>
      <c r="D255" s="163"/>
      <c r="E255" s="1122"/>
      <c r="F255" s="163"/>
      <c r="G255" s="1122"/>
      <c r="H255" s="667"/>
      <c r="I255" s="1122"/>
      <c r="J255" s="1122"/>
      <c r="K255" s="1122"/>
      <c r="L255" s="1122"/>
      <c r="M255" s="667"/>
    </row>
    <row r="256" spans="1:14" ht="11.25" customHeight="1" x14ac:dyDescent="0.2">
      <c r="A256" s="469"/>
      <c r="B256" s="163"/>
      <c r="C256" s="163"/>
      <c r="D256" s="163"/>
      <c r="E256" s="1122"/>
      <c r="F256" s="163"/>
      <c r="G256" s="1122"/>
      <c r="I256" s="1122"/>
      <c r="J256" s="2156"/>
      <c r="L256" s="1122"/>
      <c r="M256" s="667"/>
    </row>
    <row r="257" spans="1:13" ht="11.25" customHeight="1" x14ac:dyDescent="0.2">
      <c r="A257" s="469"/>
      <c r="B257" s="163"/>
      <c r="C257" s="163"/>
      <c r="D257" s="163"/>
      <c r="E257" s="1122"/>
      <c r="F257" s="163"/>
      <c r="G257" s="1122"/>
      <c r="H257" s="667"/>
      <c r="I257" s="1122"/>
      <c r="J257" s="1122"/>
      <c r="K257" s="1122"/>
      <c r="L257" s="1122"/>
      <c r="M257" s="667"/>
    </row>
    <row r="258" spans="1:13" ht="11.25" customHeight="1" x14ac:dyDescent="0.2">
      <c r="A258" s="469"/>
      <c r="B258" s="163"/>
      <c r="C258" s="163"/>
      <c r="D258" s="163"/>
      <c r="E258" s="1122"/>
      <c r="F258" s="163"/>
      <c r="G258" s="1122"/>
      <c r="H258" s="667"/>
      <c r="I258" s="1122"/>
      <c r="J258" s="1122"/>
      <c r="K258" s="1122"/>
      <c r="L258" s="1122"/>
      <c r="M258" s="667"/>
    </row>
    <row r="259" spans="1:13" ht="11.25" customHeight="1" x14ac:dyDescent="0.2">
      <c r="A259" s="469"/>
      <c r="B259" s="163"/>
      <c r="C259" s="163"/>
      <c r="D259" s="163"/>
      <c r="E259" s="667"/>
      <c r="F259" s="163"/>
      <c r="G259" s="1122"/>
      <c r="H259" s="667"/>
      <c r="I259" s="667"/>
      <c r="J259" s="1122"/>
      <c r="K259" s="667"/>
      <c r="L259" s="1122"/>
      <c r="M259" s="667"/>
    </row>
    <row r="260" spans="1:13" ht="11.25" customHeight="1" x14ac:dyDescent="0.2">
      <c r="A260" s="469"/>
      <c r="B260" s="163"/>
      <c r="C260" s="163"/>
      <c r="D260" s="163"/>
      <c r="E260" s="667"/>
      <c r="F260" s="667"/>
      <c r="G260" s="163"/>
      <c r="H260" s="667"/>
      <c r="I260" s="667"/>
      <c r="J260" s="163"/>
      <c r="K260" s="667"/>
      <c r="M260" s="667"/>
    </row>
    <row r="261" spans="1:13" ht="11.25" customHeight="1" x14ac:dyDescent="0.2">
      <c r="C261" s="163"/>
      <c r="D261" s="163"/>
      <c r="E261" s="667"/>
      <c r="F261" s="667"/>
      <c r="G261" s="163"/>
      <c r="H261" s="667"/>
      <c r="I261" s="667"/>
      <c r="J261" s="163"/>
      <c r="K261" s="667"/>
      <c r="M261" s="667"/>
    </row>
    <row r="262" spans="1:13" ht="11.25" customHeight="1" x14ac:dyDescent="0.2">
      <c r="C262" s="163"/>
      <c r="D262" s="163"/>
      <c r="E262" s="667"/>
      <c r="F262" s="667"/>
      <c r="H262" s="667"/>
      <c r="I262" s="667"/>
      <c r="K262" s="667"/>
      <c r="M262" s="667"/>
    </row>
    <row r="263" spans="1:13" ht="11.25" customHeight="1" x14ac:dyDescent="0.2">
      <c r="C263" s="163"/>
      <c r="D263" s="163"/>
      <c r="E263" s="667"/>
      <c r="F263" s="667"/>
      <c r="H263" s="667"/>
      <c r="I263" s="667"/>
      <c r="K263" s="667"/>
    </row>
    <row r="264" spans="1:13" ht="11.25" customHeight="1" x14ac:dyDescent="0.2">
      <c r="C264" s="163"/>
      <c r="D264" s="667"/>
      <c r="E264" s="667"/>
      <c r="F264" s="667"/>
      <c r="H264" s="667"/>
      <c r="I264" s="667"/>
      <c r="K264" s="667"/>
    </row>
    <row r="265" spans="1:13" ht="11.25" customHeight="1" x14ac:dyDescent="0.2">
      <c r="C265" s="163"/>
      <c r="D265" s="667"/>
      <c r="E265" s="667"/>
      <c r="F265" s="667"/>
      <c r="H265" s="667"/>
      <c r="I265" s="667"/>
      <c r="K265" s="667"/>
    </row>
    <row r="266" spans="1:13" ht="11.25" customHeight="1" x14ac:dyDescent="0.2">
      <c r="C266" s="163"/>
      <c r="D266" s="667"/>
      <c r="E266" s="667"/>
      <c r="F266" s="667"/>
      <c r="H266" s="667"/>
      <c r="I266" s="667"/>
      <c r="K266" s="667"/>
    </row>
    <row r="267" spans="1:13" ht="11.25" customHeight="1" x14ac:dyDescent="0.2">
      <c r="C267" s="163"/>
      <c r="D267" s="667"/>
      <c r="E267" s="667"/>
      <c r="F267" s="667"/>
      <c r="H267" s="667"/>
      <c r="I267" s="667"/>
      <c r="K267" s="667"/>
    </row>
    <row r="268" spans="1:13" ht="11.25" customHeight="1" x14ac:dyDescent="0.2">
      <c r="C268" s="163"/>
      <c r="D268" s="667"/>
      <c r="E268" s="667"/>
      <c r="F268" s="667"/>
      <c r="H268" s="667"/>
      <c r="I268" s="667"/>
      <c r="K268" s="667"/>
    </row>
    <row r="269" spans="1:13" ht="11.25" customHeight="1" x14ac:dyDescent="0.2">
      <c r="C269" s="163"/>
      <c r="D269" s="667"/>
      <c r="E269" s="667"/>
      <c r="F269" s="667"/>
      <c r="H269" s="667"/>
      <c r="I269" s="667"/>
    </row>
    <row r="270" spans="1:13" ht="11.25" customHeight="1" x14ac:dyDescent="0.2">
      <c r="C270" s="163"/>
      <c r="D270" s="163"/>
      <c r="E270" s="163"/>
      <c r="F270" s="667"/>
      <c r="G270" s="163"/>
      <c r="H270" s="163"/>
      <c r="I270" s="163"/>
      <c r="J270" s="163"/>
      <c r="K270" s="163"/>
      <c r="L270" s="163"/>
    </row>
    <row r="271" spans="1:13" ht="11.25" customHeight="1" x14ac:dyDescent="0.2">
      <c r="C271" s="163"/>
      <c r="D271" s="163"/>
      <c r="E271" s="163"/>
      <c r="F271" s="163"/>
      <c r="G271" s="163"/>
      <c r="H271" s="163"/>
      <c r="I271" s="163"/>
      <c r="J271" s="163"/>
      <c r="K271" s="163"/>
      <c r="L271" s="163"/>
    </row>
    <row r="272" spans="1:13" ht="11.25" customHeight="1" x14ac:dyDescent="0.2">
      <c r="C272" s="163"/>
      <c r="D272" s="163"/>
      <c r="E272" s="163"/>
      <c r="F272" s="163"/>
      <c r="G272" s="163"/>
      <c r="H272" s="163"/>
      <c r="I272" s="163"/>
      <c r="J272" s="163"/>
      <c r="K272" s="163"/>
      <c r="L272" s="163"/>
    </row>
    <row r="273" spans="3:12" ht="11.25" customHeight="1" x14ac:dyDescent="0.2">
      <c r="C273" s="163"/>
      <c r="D273" s="163"/>
      <c r="E273" s="163"/>
      <c r="F273" s="163"/>
      <c r="G273" s="163"/>
      <c r="H273" s="163"/>
      <c r="I273" s="163"/>
      <c r="J273" s="163"/>
      <c r="K273" s="163"/>
      <c r="L273" s="163"/>
    </row>
    <row r="274" spans="3:12" ht="11.25" customHeight="1" x14ac:dyDescent="0.2">
      <c r="C274" s="163"/>
      <c r="D274" s="163"/>
      <c r="E274" s="163"/>
      <c r="F274" s="163"/>
      <c r="G274" s="163"/>
      <c r="H274" s="163"/>
      <c r="I274" s="163"/>
      <c r="J274" s="163"/>
      <c r="K274" s="163"/>
      <c r="L274" s="163"/>
    </row>
    <row r="275" spans="3:12" ht="11.25" customHeight="1" x14ac:dyDescent="0.2">
      <c r="C275" s="163"/>
      <c r="D275" s="163"/>
      <c r="E275" s="163"/>
      <c r="F275" s="163"/>
      <c r="G275" s="163"/>
      <c r="H275" s="163"/>
      <c r="I275" s="163"/>
      <c r="J275" s="163"/>
      <c r="K275" s="163"/>
      <c r="L275" s="163"/>
    </row>
    <row r="276" spans="3:12" x14ac:dyDescent="0.2">
      <c r="C276" s="163"/>
      <c r="D276" s="163"/>
      <c r="E276" s="163"/>
      <c r="F276" s="163"/>
      <c r="G276" s="163"/>
      <c r="H276" s="163"/>
      <c r="I276" s="163"/>
      <c r="J276" s="163"/>
      <c r="K276" s="163"/>
      <c r="L276" s="163"/>
    </row>
    <row r="277" spans="3:12" x14ac:dyDescent="0.2">
      <c r="C277" s="163"/>
      <c r="D277" s="163"/>
      <c r="E277" s="163"/>
      <c r="F277" s="163"/>
      <c r="G277" s="163"/>
      <c r="H277" s="163"/>
      <c r="I277" s="163"/>
      <c r="J277" s="163"/>
      <c r="K277" s="163"/>
      <c r="L277" s="163"/>
    </row>
    <row r="278" spans="3:12" x14ac:dyDescent="0.2">
      <c r="C278" s="163"/>
      <c r="D278" s="163"/>
      <c r="E278" s="163"/>
      <c r="F278" s="163"/>
      <c r="G278" s="163"/>
      <c r="H278" s="163"/>
      <c r="I278" s="163"/>
      <c r="J278" s="163"/>
      <c r="K278" s="163"/>
      <c r="L278" s="163"/>
    </row>
    <row r="279" spans="3:12" x14ac:dyDescent="0.2"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</row>
    <row r="280" spans="3:12" x14ac:dyDescent="0.2">
      <c r="C280" s="163"/>
      <c r="D280" s="163"/>
      <c r="E280" s="163"/>
      <c r="F280" s="163"/>
      <c r="G280" s="163"/>
      <c r="H280" s="163"/>
      <c r="I280" s="163"/>
      <c r="J280" s="163"/>
      <c r="K280" s="163"/>
      <c r="L280" s="163"/>
    </row>
  </sheetData>
  <customSheetViews>
    <customSheetView guid="{A374FC54-96E3-45F0-9C12-8450400C12DF}" scale="150">
      <pane xSplit="1" ySplit="5" topLeftCell="G42" activePane="bottomRight" state="frozen"/>
      <selection pane="bottomRight" activeCell="M50" sqref="M50"/>
      <pageMargins left="0.62992125984252001" right="0.511811023622047" top="0.511811023622047" bottom="0.31496062992126" header="0" footer="0.31496062992126"/>
      <pageSetup paperSize="132" firstPageNumber="20" orientation="portrait" useFirstPageNumber="1" r:id="rId1"/>
      <headerFooter alignWithMargins="0">
        <oddFooter>&amp;C&amp;"Times New Roman,Regular"&amp;8&amp;P</oddFooter>
      </headerFooter>
    </customSheetView>
  </customSheetViews>
  <mergeCells count="7">
    <mergeCell ref="L3:L4"/>
    <mergeCell ref="H3:J3"/>
    <mergeCell ref="C3:C4"/>
    <mergeCell ref="A3:A5"/>
    <mergeCell ref="K3:K4"/>
    <mergeCell ref="D3:D4"/>
    <mergeCell ref="E3:G3"/>
  </mergeCells>
  <phoneticPr fontId="5" type="noConversion"/>
  <conditionalFormatting sqref="A16:B16">
    <cfRule type="expression" dxfId="2" priority="62" stopIfTrue="1">
      <formula>MOD(ROW(),2)=1</formula>
    </cfRule>
  </conditionalFormatting>
  <conditionalFormatting sqref="C14:L14">
    <cfRule type="expression" dxfId="1" priority="2" stopIfTrue="1">
      <formula>MOD(ROW(),2)=1</formula>
    </cfRule>
  </conditionalFormatting>
  <conditionalFormatting sqref="J97:J100 L97:L100 G97:G100 C92:L96">
    <cfRule type="expression" dxfId="0" priority="1" stopIfTrue="1">
      <formula>MOD(ROW(),2)=1</formula>
    </cfRule>
  </conditionalFormatting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E167"/>
  <sheetViews>
    <sheetView zoomScale="130" zoomScaleNormal="130" zoomScaleSheetLayoutView="110" workbookViewId="0">
      <pane xSplit="2" ySplit="8" topLeftCell="C44" activePane="bottomRight" state="frozen"/>
      <selection activeCell="Q6" sqref="Q6"/>
      <selection pane="topRight" activeCell="Q6" sqref="Q6"/>
      <selection pane="bottomLeft" activeCell="Q6" sqref="Q6"/>
      <selection pane="bottomRight" activeCell="Q52" sqref="Q52"/>
    </sheetView>
  </sheetViews>
  <sheetFormatPr defaultRowHeight="12.75" x14ac:dyDescent="0.2"/>
  <cols>
    <col min="1" max="1" width="9.140625" style="1683"/>
    <col min="2" max="2" width="7.85546875" style="1485" customWidth="1"/>
    <col min="3" max="3" width="7.28515625" style="1485" customWidth="1"/>
    <col min="4" max="4" width="8" style="1485" customWidth="1"/>
    <col min="5" max="5" width="5.85546875" style="1485" customWidth="1"/>
    <col min="6" max="6" width="6" style="1485" customWidth="1"/>
    <col min="7" max="7" width="7.42578125" style="1485" customWidth="1"/>
    <col min="8" max="8" width="7.7109375" style="1485" customWidth="1"/>
    <col min="9" max="9" width="8" style="1485" customWidth="1"/>
    <col min="10" max="10" width="6.85546875" style="1485" customWidth="1"/>
    <col min="11" max="11" width="6.7109375" style="1485" customWidth="1"/>
    <col min="12" max="12" width="6" style="1485" customWidth="1"/>
    <col min="13" max="13" width="5.7109375" style="1485" customWidth="1"/>
    <col min="14" max="14" width="4.28515625" style="1485" customWidth="1"/>
    <col min="15" max="15" width="7.140625" style="1485" customWidth="1"/>
    <col min="16" max="16" width="5.85546875" style="1485" customWidth="1"/>
    <col min="17" max="17" width="7" style="1485" bestFit="1" customWidth="1"/>
    <col min="18" max="18" width="5.7109375" style="1485" customWidth="1"/>
    <col min="19" max="19" width="7.28515625" style="1485" customWidth="1"/>
    <col min="20" max="20" width="5" style="1485" customWidth="1"/>
    <col min="21" max="21" width="6.140625" style="1485" customWidth="1"/>
    <col min="22" max="22" width="5.28515625" style="1485" customWidth="1"/>
    <col min="23" max="23" width="7" style="1485" customWidth="1"/>
    <col min="24" max="24" width="6.5703125" style="1485" bestFit="1" customWidth="1"/>
    <col min="25" max="25" width="6" style="1485" customWidth="1"/>
    <col min="26" max="28" width="6.85546875" style="1485" customWidth="1"/>
    <col min="29" max="29" width="4.7109375" style="1485" customWidth="1"/>
    <col min="30" max="30" width="6.85546875" style="1485" customWidth="1"/>
    <col min="31" max="31" width="6" style="1485" customWidth="1"/>
    <col min="32" max="32" width="5.42578125" style="1485" customWidth="1"/>
    <col min="33" max="33" width="5.140625" style="1485" customWidth="1"/>
    <col min="34" max="34" width="7.28515625" style="1485" customWidth="1"/>
    <col min="35" max="35" width="5.42578125" style="1485" customWidth="1"/>
    <col min="36" max="36" width="6.140625" style="1485" customWidth="1"/>
    <col min="37" max="37" width="5.28515625" style="1485" customWidth="1"/>
    <col min="38" max="38" width="8.28515625" style="1485" customWidth="1"/>
    <col min="39" max="39" width="7.7109375" style="1485" customWidth="1"/>
    <col min="40" max="40" width="6.5703125" style="1485" customWidth="1"/>
    <col min="41" max="41" width="5.7109375" style="1485" bestFit="1" customWidth="1"/>
    <col min="42" max="42" width="6.5703125" style="1485" customWidth="1"/>
    <col min="43" max="43" width="5.140625" style="1485" customWidth="1"/>
    <col min="44" max="45" width="6.7109375" style="1485" customWidth="1"/>
    <col min="46" max="46" width="6.85546875" style="1485" customWidth="1"/>
    <col min="47" max="47" width="6.7109375" style="1485" customWidth="1"/>
    <col min="48" max="48" width="6.42578125" style="1485" customWidth="1"/>
    <col min="49" max="49" width="5" style="1485" customWidth="1"/>
    <col min="50" max="50" width="6.140625" style="1485" customWidth="1"/>
    <col min="51" max="51" width="5" style="1485" customWidth="1"/>
    <col min="52" max="52" width="8" style="1485" customWidth="1"/>
    <col min="53" max="53" width="6.42578125" style="1485" customWidth="1"/>
    <col min="54" max="54" width="6.140625" style="172" customWidth="1"/>
    <col min="55" max="55" width="6.85546875" style="1485" customWidth="1"/>
    <col min="56" max="56" width="6.140625" style="1485" customWidth="1"/>
    <col min="57" max="58" width="6.85546875" style="1485" customWidth="1"/>
    <col min="59" max="59" width="7.85546875" style="1485" customWidth="1"/>
    <col min="60" max="60" width="7.42578125" style="1485" customWidth="1"/>
    <col min="61" max="61" width="7.5703125" style="1485" customWidth="1"/>
    <col min="62" max="62" width="9.5703125" style="1485" customWidth="1"/>
    <col min="63" max="63" width="7.42578125" style="1485" customWidth="1"/>
    <col min="64" max="64" width="8.28515625" style="1485" customWidth="1"/>
    <col min="65" max="65" width="5.28515625" style="1485" customWidth="1"/>
    <col min="66" max="66" width="8.28515625" style="1485" customWidth="1"/>
    <col min="67" max="68" width="7.5703125" style="1485" customWidth="1"/>
    <col min="69" max="70" width="6" style="1485" customWidth="1"/>
    <col min="71" max="71" width="9.140625" style="1485"/>
    <col min="72" max="74" width="11.85546875" style="1485" bestFit="1" customWidth="1"/>
    <col min="75" max="16384" width="9.140625" style="1485"/>
  </cols>
  <sheetData>
    <row r="1" spans="1:72" ht="16.5" customHeight="1" x14ac:dyDescent="0.2">
      <c r="B1" s="517"/>
      <c r="C1" s="517"/>
      <c r="D1" s="517"/>
      <c r="E1" s="517"/>
      <c r="F1" s="517"/>
      <c r="G1" s="518"/>
      <c r="H1" s="518"/>
      <c r="I1" s="518"/>
      <c r="J1" s="2498" t="s">
        <v>2845</v>
      </c>
      <c r="K1" s="2498"/>
      <c r="L1" s="2498"/>
      <c r="M1" s="2499" t="s">
        <v>2844</v>
      </c>
      <c r="N1" s="2499"/>
      <c r="O1" s="2499"/>
      <c r="P1" s="2499"/>
      <c r="Q1" s="2499"/>
      <c r="R1" s="2499"/>
      <c r="S1" s="518"/>
      <c r="T1" s="517"/>
      <c r="U1" s="517"/>
      <c r="V1" s="2569" t="s">
        <v>1517</v>
      </c>
      <c r="W1" s="2569"/>
      <c r="X1" s="2569"/>
      <c r="Y1" s="2569"/>
      <c r="Z1" s="517"/>
      <c r="AA1" s="517"/>
      <c r="AB1" s="517"/>
      <c r="AC1" s="517"/>
      <c r="AD1" s="517"/>
      <c r="AE1" s="517"/>
      <c r="AF1" s="518"/>
      <c r="AG1" s="518"/>
      <c r="AH1" s="2498" t="s">
        <v>2845</v>
      </c>
      <c r="AI1" s="2498"/>
      <c r="AJ1" s="2498"/>
      <c r="AK1" s="2498"/>
      <c r="AL1" s="2499" t="s">
        <v>2844</v>
      </c>
      <c r="AM1" s="2499"/>
      <c r="AN1" s="2499"/>
      <c r="AO1" s="2499"/>
      <c r="AP1" s="2499"/>
      <c r="AQ1" s="2499"/>
      <c r="AR1" s="517"/>
      <c r="AS1" s="2497" t="s">
        <v>1976</v>
      </c>
      <c r="AT1" s="2497"/>
      <c r="AU1" s="2497"/>
      <c r="AV1" s="2497"/>
      <c r="AW1" s="2497"/>
      <c r="AX1" s="517"/>
      <c r="AY1" s="517"/>
      <c r="AZ1" s="517"/>
      <c r="BA1" s="517"/>
      <c r="BB1" s="518"/>
      <c r="BC1" s="518"/>
      <c r="BD1" s="518"/>
      <c r="BE1" s="2498" t="s">
        <v>2845</v>
      </c>
      <c r="BF1" s="2498"/>
      <c r="BG1" s="2498"/>
      <c r="BH1" s="2498"/>
      <c r="BI1" s="2499" t="s">
        <v>2844</v>
      </c>
      <c r="BJ1" s="2499"/>
      <c r="BK1" s="2499"/>
      <c r="BL1" s="2499"/>
      <c r="BM1" s="2499"/>
      <c r="BN1" s="2499"/>
      <c r="BO1" s="2497" t="s">
        <v>1977</v>
      </c>
      <c r="BP1" s="2497"/>
      <c r="BQ1" s="2497"/>
      <c r="BR1" s="2497"/>
      <c r="BS1" s="1487"/>
      <c r="BT1" s="1487"/>
    </row>
    <row r="2" spans="1:72" ht="12.75" customHeight="1" x14ac:dyDescent="0.25">
      <c r="B2" s="519"/>
      <c r="C2" s="519"/>
      <c r="D2" s="519"/>
      <c r="E2" s="519"/>
      <c r="F2" s="519"/>
      <c r="G2" s="519"/>
      <c r="H2" s="519"/>
      <c r="I2" s="519"/>
      <c r="J2" s="1489"/>
      <c r="K2" s="1489"/>
      <c r="L2" s="1489"/>
      <c r="M2" s="1489"/>
      <c r="N2" s="1489"/>
      <c r="O2" s="1489"/>
      <c r="P2" s="1489"/>
      <c r="Q2" s="1489"/>
      <c r="R2" s="1489"/>
      <c r="S2" s="1489"/>
      <c r="T2" s="517"/>
      <c r="U2" s="517"/>
      <c r="V2" s="2568" t="s">
        <v>1524</v>
      </c>
      <c r="W2" s="2568"/>
      <c r="X2" s="2568"/>
      <c r="Y2" s="2568"/>
      <c r="Z2" s="517"/>
      <c r="AA2" s="517"/>
      <c r="AB2" s="517"/>
      <c r="AC2" s="517"/>
      <c r="AD2" s="517"/>
      <c r="AE2" s="517"/>
      <c r="AF2" s="517"/>
      <c r="AG2" s="1489"/>
      <c r="AH2" s="1489"/>
      <c r="AI2" s="1489"/>
      <c r="AJ2" s="1489"/>
      <c r="AK2" s="1489"/>
      <c r="AL2" s="1489"/>
      <c r="AM2" s="1489"/>
      <c r="AN2" s="1489"/>
      <c r="AO2" s="517"/>
      <c r="AP2" s="517"/>
      <c r="AQ2" s="517"/>
      <c r="AR2" s="517"/>
      <c r="AS2" s="2568" t="s">
        <v>1978</v>
      </c>
      <c r="AT2" s="2568"/>
      <c r="AU2" s="2568"/>
      <c r="AV2" s="2568"/>
      <c r="AW2" s="2568"/>
      <c r="AX2" s="517"/>
      <c r="AY2" s="517"/>
      <c r="AZ2" s="517"/>
      <c r="BA2" s="1489"/>
      <c r="BB2" s="1489"/>
      <c r="BC2" s="1489"/>
      <c r="BD2" s="1489"/>
      <c r="BE2" s="1489"/>
      <c r="BF2" s="1489"/>
      <c r="BG2" s="1489"/>
      <c r="BH2" s="517"/>
      <c r="BI2" s="517"/>
      <c r="BJ2" s="517"/>
      <c r="BK2" s="1489"/>
      <c r="BL2" s="1489"/>
      <c r="BM2" s="1489"/>
      <c r="BN2" s="1489"/>
      <c r="BO2" s="1489"/>
      <c r="BP2" s="2495" t="s">
        <v>24</v>
      </c>
      <c r="BQ2" s="2496"/>
      <c r="BR2" s="2496"/>
      <c r="BS2" s="183"/>
      <c r="BT2" s="183"/>
    </row>
    <row r="3" spans="1:72" ht="10.5" customHeight="1" x14ac:dyDescent="0.2">
      <c r="A3" s="2565" t="s">
        <v>3070</v>
      </c>
      <c r="B3" s="2565" t="s">
        <v>3061</v>
      </c>
      <c r="C3" s="2514" t="s">
        <v>1078</v>
      </c>
      <c r="D3" s="2515"/>
      <c r="E3" s="2515"/>
      <c r="F3" s="2515"/>
      <c r="G3" s="2515"/>
      <c r="H3" s="2516"/>
      <c r="I3" s="2539" t="s">
        <v>2121</v>
      </c>
      <c r="J3" s="2540"/>
      <c r="K3" s="2575" t="s">
        <v>2397</v>
      </c>
      <c r="L3" s="2571"/>
      <c r="M3" s="2571"/>
      <c r="N3" s="2571"/>
      <c r="O3" s="2571"/>
      <c r="P3" s="2571"/>
      <c r="Q3" s="2571"/>
      <c r="R3" s="2571"/>
      <c r="S3" s="2571"/>
      <c r="T3" s="2571"/>
      <c r="U3" s="2571"/>
      <c r="V3" s="2571"/>
      <c r="W3" s="2571"/>
      <c r="X3" s="2571"/>
      <c r="Y3" s="2494"/>
      <c r="Z3" s="1488"/>
      <c r="AA3" s="1378"/>
      <c r="AB3" s="1378"/>
      <c r="AC3" s="1378"/>
      <c r="AD3" s="1378"/>
      <c r="AE3" s="1378"/>
      <c r="AF3" s="1378"/>
      <c r="AG3" s="1378"/>
      <c r="AH3" s="1378"/>
      <c r="AI3" s="1378"/>
      <c r="AJ3" s="1378" t="s">
        <v>1979</v>
      </c>
      <c r="AK3" s="1378"/>
      <c r="AL3" s="1378" t="s">
        <v>1980</v>
      </c>
      <c r="AM3" s="1378"/>
      <c r="AN3" s="1378"/>
      <c r="AO3" s="1378"/>
      <c r="AP3" s="1378"/>
      <c r="AQ3" s="1378"/>
      <c r="AR3" s="1378"/>
      <c r="AS3" s="1378"/>
      <c r="AT3" s="1378"/>
      <c r="AU3" s="2544"/>
      <c r="AV3" s="2544"/>
      <c r="AW3" s="2545"/>
      <c r="AX3" s="2547" t="s">
        <v>1981</v>
      </c>
      <c r="AY3" s="2547"/>
      <c r="AZ3" s="2547"/>
      <c r="BA3" s="2547"/>
      <c r="BB3" s="2514" t="s">
        <v>1149</v>
      </c>
      <c r="BC3" s="2515"/>
      <c r="BD3" s="2515"/>
      <c r="BE3" s="2516"/>
      <c r="BF3" s="2514" t="s">
        <v>1105</v>
      </c>
      <c r="BG3" s="2548"/>
      <c r="BH3" s="2549"/>
      <c r="BI3" s="2514" t="s">
        <v>2242</v>
      </c>
      <c r="BJ3" s="2515"/>
      <c r="BK3" s="2515"/>
      <c r="BL3" s="2516"/>
      <c r="BM3" s="2514" t="s">
        <v>1079</v>
      </c>
      <c r="BN3" s="2515"/>
      <c r="BO3" s="2515"/>
      <c r="BP3" s="2516"/>
      <c r="BQ3" s="2512" t="s">
        <v>1982</v>
      </c>
      <c r="BR3" s="2512" t="s">
        <v>1983</v>
      </c>
    </row>
    <row r="4" spans="1:72" ht="9" customHeight="1" x14ac:dyDescent="0.2">
      <c r="A4" s="2566"/>
      <c r="B4" s="2566"/>
      <c r="C4" s="2517"/>
      <c r="D4" s="2518"/>
      <c r="E4" s="2518"/>
      <c r="F4" s="2518"/>
      <c r="G4" s="2518"/>
      <c r="H4" s="2519"/>
      <c r="I4" s="2563"/>
      <c r="J4" s="2564"/>
      <c r="K4" s="2543" t="s">
        <v>1080</v>
      </c>
      <c r="L4" s="2544"/>
      <c r="M4" s="2544"/>
      <c r="N4" s="2544"/>
      <c r="O4" s="2544"/>
      <c r="P4" s="2544"/>
      <c r="Q4" s="2544"/>
      <c r="R4" s="2544"/>
      <c r="S4" s="2544"/>
      <c r="T4" s="2544"/>
      <c r="U4" s="2544"/>
      <c r="V4" s="2544"/>
      <c r="W4" s="2544"/>
      <c r="X4" s="2544"/>
      <c r="Y4" s="2545"/>
      <c r="Z4" s="2543" t="s">
        <v>1081</v>
      </c>
      <c r="AA4" s="2544"/>
      <c r="AB4" s="2544"/>
      <c r="AC4" s="2544"/>
      <c r="AD4" s="2544"/>
      <c r="AE4" s="2544"/>
      <c r="AF4" s="2544"/>
      <c r="AG4" s="2544"/>
      <c r="AH4" s="2544"/>
      <c r="AI4" s="2544"/>
      <c r="AJ4" s="2544"/>
      <c r="AK4" s="2544"/>
      <c r="AL4" s="2544"/>
      <c r="AM4" s="2545"/>
      <c r="AN4" s="2521" t="s">
        <v>1082</v>
      </c>
      <c r="AO4" s="2522"/>
      <c r="AP4" s="2522"/>
      <c r="AQ4" s="2523"/>
      <c r="AR4" s="2527" t="s">
        <v>1083</v>
      </c>
      <c r="AS4" s="2528"/>
      <c r="AT4" s="2528"/>
      <c r="AU4" s="2528"/>
      <c r="AV4" s="2528"/>
      <c r="AW4" s="2529"/>
      <c r="AX4" s="2533" t="s">
        <v>1083</v>
      </c>
      <c r="AY4" s="2534"/>
      <c r="AZ4" s="2514" t="s">
        <v>470</v>
      </c>
      <c r="BA4" s="2516"/>
      <c r="BB4" s="2517"/>
      <c r="BC4" s="2518"/>
      <c r="BD4" s="2518"/>
      <c r="BE4" s="2519"/>
      <c r="BF4" s="2550"/>
      <c r="BG4" s="2551"/>
      <c r="BH4" s="2552"/>
      <c r="BI4" s="2517"/>
      <c r="BJ4" s="2518"/>
      <c r="BK4" s="2518"/>
      <c r="BL4" s="2519"/>
      <c r="BM4" s="2517"/>
      <c r="BN4" s="2518"/>
      <c r="BO4" s="2518"/>
      <c r="BP4" s="2519"/>
      <c r="BQ4" s="2520"/>
      <c r="BR4" s="2520"/>
    </row>
    <row r="5" spans="1:72" ht="21" customHeight="1" x14ac:dyDescent="0.2">
      <c r="A5" s="2566"/>
      <c r="B5" s="2566"/>
      <c r="C5" s="2539" t="s">
        <v>2122</v>
      </c>
      <c r="D5" s="2540"/>
      <c r="E5" s="2539" t="s">
        <v>1084</v>
      </c>
      <c r="F5" s="2540"/>
      <c r="G5" s="2539" t="s">
        <v>2123</v>
      </c>
      <c r="H5" s="2540"/>
      <c r="I5" s="2563"/>
      <c r="J5" s="2564"/>
      <c r="K5" s="2570" t="s">
        <v>2398</v>
      </c>
      <c r="L5" s="2571"/>
      <c r="M5" s="2571"/>
      <c r="N5" s="2494"/>
      <c r="O5" s="2572" t="s">
        <v>1085</v>
      </c>
      <c r="P5" s="2573"/>
      <c r="Q5" s="2573"/>
      <c r="R5" s="2574"/>
      <c r="S5" s="2572" t="s">
        <v>1086</v>
      </c>
      <c r="T5" s="2573"/>
      <c r="U5" s="2573"/>
      <c r="V5" s="2574"/>
      <c r="W5" s="2557" t="s">
        <v>470</v>
      </c>
      <c r="X5" s="2558"/>
      <c r="Y5" s="2576" t="s">
        <v>2644</v>
      </c>
      <c r="Z5" s="2572" t="s">
        <v>1495</v>
      </c>
      <c r="AA5" s="2573"/>
      <c r="AB5" s="2573"/>
      <c r="AC5" s="2574"/>
      <c r="AD5" s="2572" t="s">
        <v>1085</v>
      </c>
      <c r="AE5" s="2573"/>
      <c r="AF5" s="2573"/>
      <c r="AG5" s="2574"/>
      <c r="AH5" s="2572" t="s">
        <v>1087</v>
      </c>
      <c r="AI5" s="2573"/>
      <c r="AJ5" s="2573"/>
      <c r="AK5" s="2574"/>
      <c r="AL5" s="2557" t="s">
        <v>470</v>
      </c>
      <c r="AM5" s="2558"/>
      <c r="AN5" s="2524"/>
      <c r="AO5" s="2525"/>
      <c r="AP5" s="2525"/>
      <c r="AQ5" s="2526"/>
      <c r="AR5" s="2530"/>
      <c r="AS5" s="2531"/>
      <c r="AT5" s="2531"/>
      <c r="AU5" s="2531"/>
      <c r="AV5" s="2531"/>
      <c r="AW5" s="2532"/>
      <c r="AX5" s="2535"/>
      <c r="AY5" s="2536"/>
      <c r="AZ5" s="2561"/>
      <c r="BA5" s="2562"/>
      <c r="BB5" s="2512" t="s">
        <v>1080</v>
      </c>
      <c r="BC5" s="2512" t="s">
        <v>1081</v>
      </c>
      <c r="BD5" s="2512" t="s">
        <v>1088</v>
      </c>
      <c r="BE5" s="2512" t="s">
        <v>470</v>
      </c>
      <c r="BF5" s="2555" t="s">
        <v>1089</v>
      </c>
      <c r="BG5" s="2539" t="s">
        <v>2399</v>
      </c>
      <c r="BH5" s="2540"/>
      <c r="BI5" s="2512" t="s">
        <v>2243</v>
      </c>
      <c r="BJ5" s="2502" t="s">
        <v>2244</v>
      </c>
      <c r="BK5" s="2503"/>
      <c r="BL5" s="2510" t="s">
        <v>2245</v>
      </c>
      <c r="BM5" s="2500" t="s">
        <v>1090</v>
      </c>
      <c r="BN5" s="2502" t="s">
        <v>1091</v>
      </c>
      <c r="BO5" s="2503"/>
      <c r="BP5" s="2537" t="s">
        <v>1092</v>
      </c>
      <c r="BQ5" s="2520"/>
      <c r="BR5" s="2520"/>
    </row>
    <row r="6" spans="1:72" ht="41.25" customHeight="1" x14ac:dyDescent="0.2">
      <c r="A6" s="2566"/>
      <c r="B6" s="2566"/>
      <c r="C6" s="2541"/>
      <c r="D6" s="2542"/>
      <c r="E6" s="2541"/>
      <c r="F6" s="2542"/>
      <c r="G6" s="2541"/>
      <c r="H6" s="2542"/>
      <c r="I6" s="2541"/>
      <c r="J6" s="2542"/>
      <c r="K6" s="2506" t="s">
        <v>1984</v>
      </c>
      <c r="L6" s="2507"/>
      <c r="M6" s="2506" t="s">
        <v>1094</v>
      </c>
      <c r="N6" s="2507"/>
      <c r="O6" s="2506" t="s">
        <v>1093</v>
      </c>
      <c r="P6" s="2507"/>
      <c r="Q6" s="2506" t="s">
        <v>1094</v>
      </c>
      <c r="R6" s="2507"/>
      <c r="S6" s="2506" t="s">
        <v>1093</v>
      </c>
      <c r="T6" s="2507"/>
      <c r="U6" s="2506" t="s">
        <v>1094</v>
      </c>
      <c r="V6" s="2507"/>
      <c r="W6" s="2559"/>
      <c r="X6" s="2560"/>
      <c r="Y6" s="2577"/>
      <c r="Z6" s="2506" t="s">
        <v>1093</v>
      </c>
      <c r="AA6" s="2507"/>
      <c r="AB6" s="2506" t="s">
        <v>1094</v>
      </c>
      <c r="AC6" s="2507"/>
      <c r="AD6" s="2506" t="s">
        <v>1093</v>
      </c>
      <c r="AE6" s="2507"/>
      <c r="AF6" s="2506" t="s">
        <v>1094</v>
      </c>
      <c r="AG6" s="2507"/>
      <c r="AH6" s="2506" t="s">
        <v>1093</v>
      </c>
      <c r="AI6" s="2507"/>
      <c r="AJ6" s="2506" t="s">
        <v>1094</v>
      </c>
      <c r="AK6" s="2507"/>
      <c r="AL6" s="2559"/>
      <c r="AM6" s="2560"/>
      <c r="AN6" s="2506" t="s">
        <v>1093</v>
      </c>
      <c r="AO6" s="2507"/>
      <c r="AP6" s="2506" t="s">
        <v>1094</v>
      </c>
      <c r="AQ6" s="2507"/>
      <c r="AR6" s="2508" t="s">
        <v>1496</v>
      </c>
      <c r="AS6" s="2509"/>
      <c r="AT6" s="2508" t="s">
        <v>1095</v>
      </c>
      <c r="AU6" s="2509"/>
      <c r="AV6" s="2508" t="s">
        <v>1096</v>
      </c>
      <c r="AW6" s="2509"/>
      <c r="AX6" s="2508" t="s">
        <v>470</v>
      </c>
      <c r="AY6" s="2509"/>
      <c r="AZ6" s="2517"/>
      <c r="BA6" s="2519"/>
      <c r="BB6" s="2513"/>
      <c r="BC6" s="2513"/>
      <c r="BD6" s="2513"/>
      <c r="BE6" s="2350"/>
      <c r="BF6" s="2556"/>
      <c r="BG6" s="2541"/>
      <c r="BH6" s="2542"/>
      <c r="BI6" s="2513"/>
      <c r="BJ6" s="2504"/>
      <c r="BK6" s="2505"/>
      <c r="BL6" s="2511"/>
      <c r="BM6" s="2501"/>
      <c r="BN6" s="2504"/>
      <c r="BO6" s="2505"/>
      <c r="BP6" s="2538"/>
      <c r="BQ6" s="2513"/>
      <c r="BR6" s="2513"/>
    </row>
    <row r="7" spans="1:72" ht="29.25" customHeight="1" x14ac:dyDescent="0.2">
      <c r="A7" s="2566"/>
      <c r="B7" s="2566"/>
      <c r="C7" s="520" t="s">
        <v>1985</v>
      </c>
      <c r="D7" s="520" t="s">
        <v>1518</v>
      </c>
      <c r="E7" s="520" t="s">
        <v>1097</v>
      </c>
      <c r="F7" s="520" t="s">
        <v>1518</v>
      </c>
      <c r="G7" s="1379" t="s">
        <v>1097</v>
      </c>
      <c r="H7" s="1379" t="s">
        <v>1518</v>
      </c>
      <c r="I7" s="520" t="s">
        <v>1097</v>
      </c>
      <c r="J7" s="520" t="s">
        <v>1518</v>
      </c>
      <c r="K7" s="520" t="s">
        <v>1097</v>
      </c>
      <c r="L7" s="520" t="s">
        <v>1518</v>
      </c>
      <c r="M7" s="520" t="s">
        <v>1097</v>
      </c>
      <c r="N7" s="955" t="s">
        <v>1518</v>
      </c>
      <c r="O7" s="520" t="s">
        <v>1097</v>
      </c>
      <c r="P7" s="521" t="s">
        <v>1518</v>
      </c>
      <c r="Q7" s="520" t="s">
        <v>1097</v>
      </c>
      <c r="R7" s="521" t="s">
        <v>1518</v>
      </c>
      <c r="S7" s="520" t="s">
        <v>1097</v>
      </c>
      <c r="T7" s="521" t="s">
        <v>1518</v>
      </c>
      <c r="U7" s="520" t="s">
        <v>1097</v>
      </c>
      <c r="V7" s="521" t="s">
        <v>1518</v>
      </c>
      <c r="W7" s="520" t="s">
        <v>1097</v>
      </c>
      <c r="X7" s="521" t="s">
        <v>1518</v>
      </c>
      <c r="Y7" s="520" t="s">
        <v>1518</v>
      </c>
      <c r="Z7" s="520" t="s">
        <v>1097</v>
      </c>
      <c r="AA7" s="520" t="s">
        <v>1518</v>
      </c>
      <c r="AB7" s="520" t="s">
        <v>1097</v>
      </c>
      <c r="AC7" s="520" t="s">
        <v>1518</v>
      </c>
      <c r="AD7" s="520" t="s">
        <v>1097</v>
      </c>
      <c r="AE7" s="520" t="s">
        <v>1519</v>
      </c>
      <c r="AF7" s="520" t="s">
        <v>1097</v>
      </c>
      <c r="AG7" s="520" t="s">
        <v>1518</v>
      </c>
      <c r="AH7" s="520" t="s">
        <v>1097</v>
      </c>
      <c r="AI7" s="520" t="s">
        <v>1518</v>
      </c>
      <c r="AJ7" s="520" t="s">
        <v>1097</v>
      </c>
      <c r="AK7" s="520" t="s">
        <v>1518</v>
      </c>
      <c r="AL7" s="520" t="s">
        <v>1097</v>
      </c>
      <c r="AM7" s="520" t="s">
        <v>1518</v>
      </c>
      <c r="AN7" s="520" t="s">
        <v>1097</v>
      </c>
      <c r="AO7" s="520" t="s">
        <v>1518</v>
      </c>
      <c r="AP7" s="520" t="s">
        <v>1097</v>
      </c>
      <c r="AQ7" s="520" t="s">
        <v>1518</v>
      </c>
      <c r="AR7" s="520" t="s">
        <v>1097</v>
      </c>
      <c r="AS7" s="520" t="s">
        <v>1518</v>
      </c>
      <c r="AT7" s="520" t="s">
        <v>1097</v>
      </c>
      <c r="AU7" s="520" t="s">
        <v>1518</v>
      </c>
      <c r="AV7" s="520" t="s">
        <v>1097</v>
      </c>
      <c r="AW7" s="520" t="s">
        <v>1518</v>
      </c>
      <c r="AX7" s="520" t="s">
        <v>1097</v>
      </c>
      <c r="AY7" s="520" t="s">
        <v>1518</v>
      </c>
      <c r="AZ7" s="520" t="s">
        <v>1097</v>
      </c>
      <c r="BA7" s="520" t="s">
        <v>1518</v>
      </c>
      <c r="BB7" s="520" t="s">
        <v>1148</v>
      </c>
      <c r="BC7" s="520" t="s">
        <v>1148</v>
      </c>
      <c r="BD7" s="520" t="s">
        <v>1098</v>
      </c>
      <c r="BE7" s="520" t="s">
        <v>1098</v>
      </c>
      <c r="BF7" s="520" t="s">
        <v>1098</v>
      </c>
      <c r="BG7" s="520" t="s">
        <v>1097</v>
      </c>
      <c r="BH7" s="520" t="s">
        <v>1518</v>
      </c>
      <c r="BI7" s="520" t="s">
        <v>1098</v>
      </c>
      <c r="BJ7" s="520" t="s">
        <v>1097</v>
      </c>
      <c r="BK7" s="520" t="s">
        <v>1518</v>
      </c>
      <c r="BL7" s="520" t="s">
        <v>1098</v>
      </c>
      <c r="BM7" s="520" t="s">
        <v>1098</v>
      </c>
      <c r="BN7" s="520" t="s">
        <v>1097</v>
      </c>
      <c r="BO7" s="520" t="s">
        <v>1518</v>
      </c>
      <c r="BP7" s="520" t="s">
        <v>1098</v>
      </c>
      <c r="BQ7" s="520" t="s">
        <v>1098</v>
      </c>
      <c r="BR7" s="520" t="s">
        <v>1098</v>
      </c>
    </row>
    <row r="8" spans="1:72" ht="9" customHeight="1" x14ac:dyDescent="0.2">
      <c r="A8" s="2567"/>
      <c r="B8" s="2567"/>
      <c r="C8" s="2491">
        <v>1</v>
      </c>
      <c r="D8" s="2492"/>
      <c r="E8" s="2491">
        <v>2</v>
      </c>
      <c r="F8" s="2493"/>
      <c r="G8" s="2491" t="s">
        <v>1099</v>
      </c>
      <c r="H8" s="2492"/>
      <c r="I8" s="2491">
        <v>4</v>
      </c>
      <c r="J8" s="2492"/>
      <c r="K8" s="2491">
        <v>5</v>
      </c>
      <c r="L8" s="2492"/>
      <c r="M8" s="2491">
        <v>6</v>
      </c>
      <c r="N8" s="2492"/>
      <c r="O8" s="2491">
        <v>7</v>
      </c>
      <c r="P8" s="2492"/>
      <c r="Q8" s="2491">
        <v>8</v>
      </c>
      <c r="R8" s="2492"/>
      <c r="S8" s="2491">
        <v>9</v>
      </c>
      <c r="T8" s="2492"/>
      <c r="U8" s="2491">
        <v>10</v>
      </c>
      <c r="V8" s="2492"/>
      <c r="W8" s="2491" t="s">
        <v>1100</v>
      </c>
      <c r="X8" s="2492"/>
      <c r="Y8" s="812">
        <v>12</v>
      </c>
      <c r="Z8" s="2491">
        <v>13</v>
      </c>
      <c r="AA8" s="2492"/>
      <c r="AB8" s="2491">
        <v>14</v>
      </c>
      <c r="AC8" s="2492"/>
      <c r="AD8" s="2491">
        <v>15</v>
      </c>
      <c r="AE8" s="2494"/>
      <c r="AF8" s="2491">
        <v>16</v>
      </c>
      <c r="AG8" s="2492"/>
      <c r="AH8" s="2491">
        <v>17</v>
      </c>
      <c r="AI8" s="2494"/>
      <c r="AJ8" s="2491">
        <v>18</v>
      </c>
      <c r="AK8" s="2492"/>
      <c r="AL8" s="2491" t="s">
        <v>1101</v>
      </c>
      <c r="AM8" s="2492"/>
      <c r="AN8" s="2491">
        <v>20</v>
      </c>
      <c r="AO8" s="2492"/>
      <c r="AP8" s="2491">
        <v>21</v>
      </c>
      <c r="AQ8" s="2492"/>
      <c r="AR8" s="2491">
        <v>22</v>
      </c>
      <c r="AS8" s="2492"/>
      <c r="AT8" s="2491">
        <v>23</v>
      </c>
      <c r="AU8" s="2492"/>
      <c r="AV8" s="2491">
        <v>24</v>
      </c>
      <c r="AW8" s="2492"/>
      <c r="AX8" s="2553" t="s">
        <v>1102</v>
      </c>
      <c r="AY8" s="2494"/>
      <c r="AZ8" s="2554" t="s">
        <v>1103</v>
      </c>
      <c r="BA8" s="2494"/>
      <c r="BB8" s="812">
        <v>27</v>
      </c>
      <c r="BC8" s="812">
        <v>28</v>
      </c>
      <c r="BD8" s="812">
        <v>29</v>
      </c>
      <c r="BE8" s="949" t="s">
        <v>1147</v>
      </c>
      <c r="BF8" s="812">
        <v>31</v>
      </c>
      <c r="BG8" s="812">
        <v>32</v>
      </c>
      <c r="BH8" s="812">
        <v>33</v>
      </c>
      <c r="BI8" s="812">
        <v>34</v>
      </c>
      <c r="BJ8" s="2491">
        <v>35</v>
      </c>
      <c r="BK8" s="2492"/>
      <c r="BL8" s="812">
        <v>36</v>
      </c>
      <c r="BM8" s="812">
        <v>37</v>
      </c>
      <c r="BN8" s="2491">
        <v>38</v>
      </c>
      <c r="BO8" s="2492"/>
      <c r="BP8" s="812">
        <v>39</v>
      </c>
      <c r="BQ8" s="812">
        <v>40</v>
      </c>
      <c r="BR8" s="812">
        <v>41</v>
      </c>
    </row>
    <row r="9" spans="1:72" s="2090" customFormat="1" ht="9" customHeight="1" x14ac:dyDescent="0.2">
      <c r="A9" s="2168"/>
      <c r="B9" s="2168"/>
      <c r="C9" s="2169"/>
      <c r="D9" s="2169"/>
      <c r="E9" s="2169"/>
      <c r="F9" s="2169"/>
      <c r="G9" s="2169"/>
      <c r="H9" s="2169"/>
      <c r="I9" s="2169"/>
      <c r="J9" s="2169"/>
      <c r="K9" s="2169"/>
      <c r="L9" s="2169"/>
      <c r="M9" s="2169"/>
      <c r="N9" s="2169"/>
      <c r="O9" s="2169"/>
      <c r="P9" s="2169"/>
      <c r="Q9" s="2169"/>
      <c r="R9" s="2169"/>
      <c r="S9" s="2169"/>
      <c r="T9" s="2169"/>
      <c r="U9" s="2169"/>
      <c r="V9" s="2169"/>
      <c r="W9" s="2169"/>
      <c r="X9" s="2169"/>
      <c r="Y9" s="2169"/>
      <c r="Z9" s="2169"/>
      <c r="AA9" s="2169"/>
      <c r="AB9" s="2169"/>
      <c r="AC9" s="2169"/>
      <c r="AD9" s="2169"/>
      <c r="AE9" s="183"/>
      <c r="AF9" s="2169"/>
      <c r="AG9" s="2169"/>
      <c r="AH9" s="2169"/>
      <c r="AI9" s="183"/>
      <c r="AJ9" s="2169"/>
      <c r="AK9" s="2169"/>
      <c r="AL9" s="2169"/>
      <c r="AM9" s="2169"/>
      <c r="AN9" s="2169"/>
      <c r="AO9" s="2169"/>
      <c r="AP9" s="2169"/>
      <c r="AQ9" s="2169"/>
      <c r="AR9" s="2169"/>
      <c r="AS9" s="2169"/>
      <c r="AT9" s="2169"/>
      <c r="AU9" s="2169"/>
      <c r="AV9" s="2169"/>
      <c r="AW9" s="2169"/>
      <c r="AX9" s="2170"/>
      <c r="AY9" s="183"/>
      <c r="AZ9" s="2171"/>
      <c r="BA9" s="183"/>
      <c r="BB9" s="2169"/>
      <c r="BC9" s="2169"/>
      <c r="BD9" s="2169"/>
      <c r="BE9" s="2172"/>
      <c r="BF9" s="2169"/>
      <c r="BG9" s="2169"/>
      <c r="BH9" s="2169"/>
      <c r="BI9" s="2169"/>
      <c r="BJ9" s="2169"/>
      <c r="BK9" s="2169"/>
      <c r="BL9" s="2169"/>
      <c r="BM9" s="2169"/>
      <c r="BN9" s="2169"/>
      <c r="BO9" s="2169"/>
      <c r="BP9" s="2169"/>
      <c r="BQ9" s="2169"/>
      <c r="BR9" s="2169"/>
    </row>
    <row r="10" spans="1:72" s="2090" customFormat="1" ht="9" customHeight="1" x14ac:dyDescent="0.2">
      <c r="A10" s="2168"/>
      <c r="B10" s="2168"/>
      <c r="C10" s="2169"/>
      <c r="D10" s="2169"/>
      <c r="E10" s="2169"/>
      <c r="F10" s="2169"/>
      <c r="G10" s="2169"/>
      <c r="H10" s="2169"/>
      <c r="I10" s="2169"/>
      <c r="J10" s="2169"/>
      <c r="K10" s="2169"/>
      <c r="L10" s="2169"/>
      <c r="M10" s="2169"/>
      <c r="N10" s="2169"/>
      <c r="O10" s="2169"/>
      <c r="P10" s="2169"/>
      <c r="Q10" s="2169"/>
      <c r="R10" s="2169"/>
      <c r="S10" s="2169"/>
      <c r="T10" s="2169"/>
      <c r="U10" s="2169"/>
      <c r="V10" s="2169"/>
      <c r="W10" s="2169"/>
      <c r="X10" s="2169"/>
      <c r="Y10" s="2169"/>
      <c r="Z10" s="2169"/>
      <c r="AA10" s="2169"/>
      <c r="AB10" s="2169"/>
      <c r="AC10" s="2169"/>
      <c r="AD10" s="2169"/>
      <c r="AE10" s="183"/>
      <c r="AF10" s="2169"/>
      <c r="AG10" s="2169"/>
      <c r="AH10" s="2169"/>
      <c r="AI10" s="183"/>
      <c r="AJ10" s="2169"/>
      <c r="AK10" s="2169"/>
      <c r="AL10" s="2169"/>
      <c r="AM10" s="2169"/>
      <c r="AN10" s="2169"/>
      <c r="AO10" s="2169"/>
      <c r="AP10" s="2169"/>
      <c r="AQ10" s="2169"/>
      <c r="AR10" s="2169"/>
      <c r="AS10" s="2169"/>
      <c r="AT10" s="2169"/>
      <c r="AU10" s="2169"/>
      <c r="AV10" s="2169"/>
      <c r="AW10" s="2169"/>
      <c r="AX10" s="2170"/>
      <c r="AY10" s="183"/>
      <c r="AZ10" s="2171"/>
      <c r="BA10" s="183"/>
      <c r="BB10" s="2169"/>
      <c r="BC10" s="2169"/>
      <c r="BD10" s="2169"/>
      <c r="BE10" s="2172"/>
      <c r="BF10" s="2169"/>
      <c r="BG10" s="2169"/>
      <c r="BH10" s="2169"/>
      <c r="BI10" s="2169"/>
      <c r="BJ10" s="2169"/>
      <c r="BK10" s="2169"/>
      <c r="BL10" s="2169"/>
      <c r="BM10" s="2169"/>
      <c r="BN10" s="2169"/>
      <c r="BO10" s="2169"/>
      <c r="BP10" s="2169"/>
      <c r="BQ10" s="2169"/>
      <c r="BR10" s="2169"/>
    </row>
    <row r="11" spans="1:72" s="2090" customFormat="1" ht="9" customHeight="1" x14ac:dyDescent="0.2">
      <c r="A11" s="2168"/>
      <c r="B11" s="2168"/>
      <c r="C11" s="2169"/>
      <c r="D11" s="2169"/>
      <c r="E11" s="2169"/>
      <c r="F11" s="2169"/>
      <c r="G11" s="2169"/>
      <c r="H11" s="2169"/>
      <c r="I11" s="2169"/>
      <c r="J11" s="2169"/>
      <c r="K11" s="2169"/>
      <c r="L11" s="2169"/>
      <c r="M11" s="2169"/>
      <c r="N11" s="2169"/>
      <c r="O11" s="2169"/>
      <c r="P11" s="2169"/>
      <c r="Q11" s="2169"/>
      <c r="R11" s="2169"/>
      <c r="S11" s="2169"/>
      <c r="T11" s="2169"/>
      <c r="U11" s="2169"/>
      <c r="V11" s="2169"/>
      <c r="W11" s="2169"/>
      <c r="X11" s="2169"/>
      <c r="Y11" s="2169"/>
      <c r="Z11" s="2169"/>
      <c r="AA11" s="2169"/>
      <c r="AB11" s="2169"/>
      <c r="AC11" s="2169"/>
      <c r="AD11" s="2169"/>
      <c r="AE11" s="183"/>
      <c r="AF11" s="2169"/>
      <c r="AG11" s="2169"/>
      <c r="AH11" s="2169"/>
      <c r="AI11" s="183"/>
      <c r="AJ11" s="2169"/>
      <c r="AK11" s="2169"/>
      <c r="AL11" s="2169"/>
      <c r="AM11" s="2169"/>
      <c r="AN11" s="2169"/>
      <c r="AO11" s="2169"/>
      <c r="AP11" s="2169"/>
      <c r="AQ11" s="2169"/>
      <c r="AR11" s="2169"/>
      <c r="AS11" s="2169"/>
      <c r="AT11" s="2169"/>
      <c r="AU11" s="2169"/>
      <c r="AV11" s="2169"/>
      <c r="AW11" s="2169"/>
      <c r="AX11" s="2170"/>
      <c r="AY11" s="183"/>
      <c r="AZ11" s="2171"/>
      <c r="BA11" s="183"/>
      <c r="BB11" s="2169"/>
      <c r="BC11" s="2169"/>
      <c r="BD11" s="2169"/>
      <c r="BE11" s="2172"/>
      <c r="BF11" s="2169"/>
      <c r="BG11" s="2169"/>
      <c r="BH11" s="2169"/>
      <c r="BI11" s="2169"/>
      <c r="BJ11" s="2169"/>
      <c r="BK11" s="2169"/>
      <c r="BL11" s="2169"/>
      <c r="BM11" s="2169"/>
      <c r="BN11" s="2169"/>
      <c r="BO11" s="2169"/>
      <c r="BP11" s="2169"/>
      <c r="BQ11" s="2169"/>
      <c r="BR11" s="2169"/>
    </row>
    <row r="12" spans="1:72" s="2090" customFormat="1" ht="9" customHeight="1" x14ac:dyDescent="0.2">
      <c r="A12" s="2168"/>
      <c r="B12" s="2168"/>
      <c r="C12" s="2169"/>
      <c r="D12" s="2169"/>
      <c r="E12" s="2169"/>
      <c r="F12" s="2169"/>
      <c r="G12" s="2169"/>
      <c r="H12" s="2169"/>
      <c r="I12" s="2169"/>
      <c r="J12" s="2169"/>
      <c r="K12" s="2169"/>
      <c r="L12" s="2169"/>
      <c r="M12" s="2169"/>
      <c r="N12" s="2169"/>
      <c r="O12" s="2169"/>
      <c r="P12" s="2169"/>
      <c r="Q12" s="2169"/>
      <c r="R12" s="2169"/>
      <c r="S12" s="2169"/>
      <c r="T12" s="2169"/>
      <c r="U12" s="2169"/>
      <c r="V12" s="2169"/>
      <c r="W12" s="2169"/>
      <c r="X12" s="2169"/>
      <c r="Y12" s="2169"/>
      <c r="Z12" s="2169"/>
      <c r="AA12" s="2169"/>
      <c r="AB12" s="2169"/>
      <c r="AC12" s="2169"/>
      <c r="AD12" s="2169"/>
      <c r="AE12" s="183"/>
      <c r="AF12" s="2169"/>
      <c r="AG12" s="2169"/>
      <c r="AH12" s="2169"/>
      <c r="AI12" s="183"/>
      <c r="AJ12" s="2169"/>
      <c r="AK12" s="2169"/>
      <c r="AL12" s="2169"/>
      <c r="AM12" s="2169"/>
      <c r="AN12" s="2169"/>
      <c r="AO12" s="2169"/>
      <c r="AP12" s="2169"/>
      <c r="AQ12" s="2169"/>
      <c r="AR12" s="2169"/>
      <c r="AS12" s="2169"/>
      <c r="AT12" s="2169"/>
      <c r="AU12" s="2169"/>
      <c r="AV12" s="2169"/>
      <c r="AW12" s="2169"/>
      <c r="AX12" s="2170"/>
      <c r="AY12" s="183"/>
      <c r="AZ12" s="2171"/>
      <c r="BA12" s="183"/>
      <c r="BB12" s="2169"/>
      <c r="BC12" s="2169"/>
      <c r="BD12" s="2169"/>
      <c r="BE12" s="2172"/>
      <c r="BF12" s="2169"/>
      <c r="BG12" s="2169"/>
      <c r="BH12" s="2169"/>
      <c r="BI12" s="2169"/>
      <c r="BJ12" s="2169"/>
      <c r="BK12" s="2169"/>
      <c r="BL12" s="2169"/>
      <c r="BM12" s="2169"/>
      <c r="BN12" s="2169"/>
      <c r="BO12" s="2169"/>
      <c r="BP12" s="2169"/>
      <c r="BQ12" s="2169"/>
      <c r="BR12" s="2169"/>
    </row>
    <row r="13" spans="1:72" s="2090" customFormat="1" ht="9" customHeight="1" x14ac:dyDescent="0.2">
      <c r="A13" s="2168"/>
      <c r="B13" s="2168"/>
      <c r="C13" s="2169"/>
      <c r="D13" s="2169"/>
      <c r="E13" s="2169"/>
      <c r="F13" s="2169"/>
      <c r="G13" s="2169"/>
      <c r="H13" s="2169"/>
      <c r="I13" s="2169"/>
      <c r="J13" s="2169"/>
      <c r="K13" s="2169"/>
      <c r="L13" s="2169"/>
      <c r="M13" s="2169"/>
      <c r="N13" s="2169"/>
      <c r="O13" s="2169"/>
      <c r="P13" s="2169"/>
      <c r="Q13" s="2169"/>
      <c r="R13" s="2169"/>
      <c r="S13" s="2169"/>
      <c r="T13" s="2169"/>
      <c r="U13" s="2169"/>
      <c r="V13" s="2169"/>
      <c r="W13" s="2169"/>
      <c r="X13" s="2169"/>
      <c r="Y13" s="2169"/>
      <c r="Z13" s="2169"/>
      <c r="AA13" s="2169"/>
      <c r="AB13" s="2169"/>
      <c r="AC13" s="2169"/>
      <c r="AD13" s="2169"/>
      <c r="AE13" s="183"/>
      <c r="AF13" s="2169"/>
      <c r="AG13" s="2169"/>
      <c r="AH13" s="2169"/>
      <c r="AI13" s="183"/>
      <c r="AJ13" s="2169"/>
      <c r="AK13" s="2169"/>
      <c r="AL13" s="2169"/>
      <c r="AM13" s="2169"/>
      <c r="AN13" s="2169"/>
      <c r="AO13" s="2169"/>
      <c r="AP13" s="2169"/>
      <c r="AQ13" s="2169"/>
      <c r="AR13" s="2169"/>
      <c r="AS13" s="2169"/>
      <c r="AT13" s="2169"/>
      <c r="AU13" s="2169"/>
      <c r="AV13" s="2169"/>
      <c r="AW13" s="2169"/>
      <c r="AX13" s="2170"/>
      <c r="AY13" s="183"/>
      <c r="AZ13" s="2171"/>
      <c r="BA13" s="183"/>
      <c r="BB13" s="2169"/>
      <c r="BC13" s="2169"/>
      <c r="BD13" s="2169"/>
      <c r="BE13" s="2172"/>
      <c r="BF13" s="2169"/>
      <c r="BG13" s="2169"/>
      <c r="BH13" s="2169"/>
      <c r="BI13" s="2169"/>
      <c r="BJ13" s="2169"/>
      <c r="BK13" s="2169"/>
      <c r="BL13" s="2169"/>
      <c r="BM13" s="2169"/>
      <c r="BN13" s="2169"/>
      <c r="BO13" s="2169"/>
      <c r="BP13" s="2169"/>
      <c r="BQ13" s="2169"/>
      <c r="BR13" s="2169"/>
    </row>
    <row r="14" spans="1:72" s="2090" customFormat="1" ht="9" customHeight="1" x14ac:dyDescent="0.2">
      <c r="A14" s="2168"/>
      <c r="B14" s="2168"/>
      <c r="C14" s="2169"/>
      <c r="D14" s="2169"/>
      <c r="E14" s="2169"/>
      <c r="F14" s="2169"/>
      <c r="G14" s="2169"/>
      <c r="H14" s="2169"/>
      <c r="I14" s="2169"/>
      <c r="J14" s="2169"/>
      <c r="K14" s="2169"/>
      <c r="L14" s="2169"/>
      <c r="M14" s="2169"/>
      <c r="N14" s="2169"/>
      <c r="O14" s="2169"/>
      <c r="P14" s="2169"/>
      <c r="Q14" s="2169"/>
      <c r="R14" s="2169"/>
      <c r="S14" s="2169"/>
      <c r="T14" s="2169"/>
      <c r="U14" s="2169"/>
      <c r="V14" s="2169"/>
      <c r="W14" s="2169"/>
      <c r="X14" s="2169"/>
      <c r="Y14" s="2169"/>
      <c r="Z14" s="2169"/>
      <c r="AA14" s="2169"/>
      <c r="AB14" s="2169"/>
      <c r="AC14" s="2169"/>
      <c r="AD14" s="2169"/>
      <c r="AE14" s="183"/>
      <c r="AF14" s="2169"/>
      <c r="AG14" s="2169"/>
      <c r="AH14" s="2169"/>
      <c r="AI14" s="183"/>
      <c r="AJ14" s="2169"/>
      <c r="AK14" s="2169"/>
      <c r="AL14" s="2169"/>
      <c r="AM14" s="2169"/>
      <c r="AN14" s="2169"/>
      <c r="AO14" s="2169"/>
      <c r="AP14" s="2169"/>
      <c r="AQ14" s="2169"/>
      <c r="AR14" s="2169"/>
      <c r="AS14" s="2169"/>
      <c r="AT14" s="2169"/>
      <c r="AU14" s="2169"/>
      <c r="AV14" s="2169"/>
      <c r="AW14" s="2169"/>
      <c r="AX14" s="2170"/>
      <c r="AY14" s="183"/>
      <c r="AZ14" s="2171"/>
      <c r="BA14" s="183"/>
      <c r="BB14" s="2169"/>
      <c r="BC14" s="2169"/>
      <c r="BD14" s="2169"/>
      <c r="BE14" s="2172"/>
      <c r="BF14" s="2169"/>
      <c r="BG14" s="2169"/>
      <c r="BH14" s="2169"/>
      <c r="BI14" s="2169"/>
      <c r="BJ14" s="2169"/>
      <c r="BK14" s="2169"/>
      <c r="BL14" s="2169"/>
      <c r="BM14" s="2169"/>
      <c r="BN14" s="2169"/>
      <c r="BO14" s="2169"/>
      <c r="BP14" s="2169"/>
      <c r="BQ14" s="2169"/>
      <c r="BR14" s="2169"/>
    </row>
    <row r="15" spans="1:72" s="2090" customFormat="1" ht="9" customHeight="1" x14ac:dyDescent="0.2">
      <c r="A15" s="2168"/>
      <c r="B15" s="2168"/>
      <c r="C15" s="2169"/>
      <c r="D15" s="2169"/>
      <c r="E15" s="2169"/>
      <c r="F15" s="2169"/>
      <c r="G15" s="2169"/>
      <c r="H15" s="2169"/>
      <c r="I15" s="2169"/>
      <c r="J15" s="2169"/>
      <c r="K15" s="2169"/>
      <c r="L15" s="2169"/>
      <c r="M15" s="2169"/>
      <c r="N15" s="2169"/>
      <c r="O15" s="2169"/>
      <c r="P15" s="2169"/>
      <c r="Q15" s="2169"/>
      <c r="R15" s="2169"/>
      <c r="S15" s="2169"/>
      <c r="T15" s="2169"/>
      <c r="U15" s="2169"/>
      <c r="V15" s="2169"/>
      <c r="W15" s="2169"/>
      <c r="X15" s="2169"/>
      <c r="Y15" s="2169"/>
      <c r="Z15" s="2169"/>
      <c r="AA15" s="2169"/>
      <c r="AB15" s="2169"/>
      <c r="AC15" s="2169"/>
      <c r="AD15" s="2169"/>
      <c r="AE15" s="183"/>
      <c r="AF15" s="2169"/>
      <c r="AG15" s="2169"/>
      <c r="AH15" s="2169"/>
      <c r="AI15" s="183"/>
      <c r="AJ15" s="2169"/>
      <c r="AK15" s="2169"/>
      <c r="AL15" s="2169"/>
      <c r="AM15" s="2169"/>
      <c r="AN15" s="2169"/>
      <c r="AO15" s="2169"/>
      <c r="AP15" s="2169"/>
      <c r="AQ15" s="2169"/>
      <c r="AR15" s="2169"/>
      <c r="AS15" s="2169"/>
      <c r="AT15" s="2169"/>
      <c r="AU15" s="2169"/>
      <c r="AV15" s="2169"/>
      <c r="AW15" s="2169"/>
      <c r="AX15" s="2170"/>
      <c r="AY15" s="183"/>
      <c r="AZ15" s="2171"/>
      <c r="BA15" s="183"/>
      <c r="BB15" s="2169"/>
      <c r="BC15" s="2169"/>
      <c r="BD15" s="2169"/>
      <c r="BE15" s="2172"/>
      <c r="BF15" s="2169"/>
      <c r="BG15" s="2169"/>
      <c r="BH15" s="2169"/>
      <c r="BI15" s="2169"/>
      <c r="BJ15" s="2169"/>
      <c r="BK15" s="2169"/>
      <c r="BL15" s="2169"/>
      <c r="BM15" s="2169"/>
      <c r="BN15" s="2169"/>
      <c r="BO15" s="2169"/>
      <c r="BP15" s="2169"/>
      <c r="BQ15" s="2169"/>
      <c r="BR15" s="2169"/>
    </row>
    <row r="16" spans="1:72" s="2090" customFormat="1" ht="9" customHeight="1" x14ac:dyDescent="0.2">
      <c r="A16" s="2168"/>
      <c r="B16" s="2168"/>
      <c r="C16" s="2169"/>
      <c r="D16" s="2169"/>
      <c r="E16" s="2169"/>
      <c r="F16" s="2169"/>
      <c r="G16" s="2169"/>
      <c r="H16" s="2169"/>
      <c r="I16" s="2169"/>
      <c r="J16" s="2169"/>
      <c r="K16" s="2169"/>
      <c r="L16" s="2169"/>
      <c r="M16" s="2169"/>
      <c r="N16" s="2169"/>
      <c r="O16" s="2169"/>
      <c r="P16" s="2169"/>
      <c r="Q16" s="2169"/>
      <c r="R16" s="2169"/>
      <c r="S16" s="2169"/>
      <c r="T16" s="2169"/>
      <c r="U16" s="2169"/>
      <c r="V16" s="2169"/>
      <c r="W16" s="2169"/>
      <c r="X16" s="2169"/>
      <c r="Y16" s="2169"/>
      <c r="Z16" s="2169"/>
      <c r="AA16" s="2169"/>
      <c r="AB16" s="2169"/>
      <c r="AC16" s="2169"/>
      <c r="AD16" s="2169"/>
      <c r="AE16" s="183"/>
      <c r="AF16" s="2169"/>
      <c r="AG16" s="2169"/>
      <c r="AH16" s="2169"/>
      <c r="AI16" s="183"/>
      <c r="AJ16" s="2169"/>
      <c r="AK16" s="2169"/>
      <c r="AL16" s="2169"/>
      <c r="AM16" s="2169"/>
      <c r="AN16" s="2169"/>
      <c r="AO16" s="2169"/>
      <c r="AP16" s="2169"/>
      <c r="AQ16" s="2169"/>
      <c r="AR16" s="2169"/>
      <c r="AS16" s="2169"/>
      <c r="AT16" s="2169"/>
      <c r="AU16" s="2169"/>
      <c r="AV16" s="2169"/>
      <c r="AW16" s="2169"/>
      <c r="AX16" s="2170"/>
      <c r="AY16" s="183"/>
      <c r="AZ16" s="2171"/>
      <c r="BA16" s="183"/>
      <c r="BB16" s="2169"/>
      <c r="BC16" s="2169"/>
      <c r="BD16" s="2169"/>
      <c r="BE16" s="2172"/>
      <c r="BF16" s="2169"/>
      <c r="BG16" s="2169"/>
      <c r="BH16" s="2169"/>
      <c r="BI16" s="2169"/>
      <c r="BJ16" s="2169"/>
      <c r="BK16" s="2169"/>
      <c r="BL16" s="2169"/>
      <c r="BM16" s="2169"/>
      <c r="BN16" s="2169"/>
      <c r="BO16" s="2169"/>
      <c r="BP16" s="2169"/>
      <c r="BQ16" s="2169"/>
      <c r="BR16" s="2169"/>
    </row>
    <row r="17" spans="1:74" s="2090" customFormat="1" ht="9" customHeight="1" x14ac:dyDescent="0.2">
      <c r="A17" s="2168"/>
      <c r="B17" s="2168"/>
      <c r="C17" s="2169"/>
      <c r="D17" s="2169"/>
      <c r="E17" s="2169"/>
      <c r="F17" s="2169"/>
      <c r="G17" s="2169"/>
      <c r="H17" s="2169"/>
      <c r="I17" s="2169"/>
      <c r="J17" s="2169"/>
      <c r="K17" s="2169"/>
      <c r="L17" s="2169"/>
      <c r="M17" s="2169"/>
      <c r="N17" s="2169"/>
      <c r="O17" s="2169"/>
      <c r="P17" s="2169"/>
      <c r="Q17" s="2169"/>
      <c r="R17" s="2169"/>
      <c r="S17" s="2169"/>
      <c r="T17" s="2169"/>
      <c r="U17" s="2169"/>
      <c r="V17" s="2169"/>
      <c r="W17" s="2169"/>
      <c r="X17" s="2169"/>
      <c r="Y17" s="2169"/>
      <c r="Z17" s="2169"/>
      <c r="AA17" s="2169"/>
      <c r="AB17" s="2169"/>
      <c r="AC17" s="2169"/>
      <c r="AD17" s="2169"/>
      <c r="AE17" s="183"/>
      <c r="AF17" s="2169"/>
      <c r="AG17" s="2169"/>
      <c r="AH17" s="2169"/>
      <c r="AI17" s="183"/>
      <c r="AJ17" s="2169"/>
      <c r="AK17" s="2169"/>
      <c r="AL17" s="2169"/>
      <c r="AM17" s="2169"/>
      <c r="AN17" s="2169"/>
      <c r="AO17" s="2169"/>
      <c r="AP17" s="2169"/>
      <c r="AQ17" s="2169"/>
      <c r="AR17" s="2169"/>
      <c r="AS17" s="2169"/>
      <c r="AT17" s="2169"/>
      <c r="AU17" s="2169"/>
      <c r="AV17" s="2169"/>
      <c r="AW17" s="2169"/>
      <c r="AX17" s="2170"/>
      <c r="AY17" s="183"/>
      <c r="AZ17" s="2171"/>
      <c r="BA17" s="183"/>
      <c r="BB17" s="2169"/>
      <c r="BC17" s="2169"/>
      <c r="BD17" s="2169"/>
      <c r="BE17" s="2172"/>
      <c r="BF17" s="2169"/>
      <c r="BG17" s="2169"/>
      <c r="BH17" s="2169"/>
      <c r="BI17" s="2169"/>
      <c r="BJ17" s="2169"/>
      <c r="BK17" s="2169"/>
      <c r="BL17" s="2169"/>
      <c r="BM17" s="2169"/>
      <c r="BN17" s="2169"/>
      <c r="BO17" s="2169"/>
      <c r="BP17" s="2169"/>
      <c r="BQ17" s="2169"/>
      <c r="BR17" s="2169"/>
    </row>
    <row r="18" spans="1:74" s="2090" customFormat="1" ht="9" customHeight="1" x14ac:dyDescent="0.2">
      <c r="A18" s="2168"/>
      <c r="B18" s="2168"/>
      <c r="C18" s="2169"/>
      <c r="D18" s="2169"/>
      <c r="E18" s="2169"/>
      <c r="F18" s="2169"/>
      <c r="G18" s="2169"/>
      <c r="H18" s="2169"/>
      <c r="I18" s="2169"/>
      <c r="J18" s="2169"/>
      <c r="K18" s="2169"/>
      <c r="L18" s="2169"/>
      <c r="M18" s="2169"/>
      <c r="N18" s="2169"/>
      <c r="O18" s="2169"/>
      <c r="P18" s="2169"/>
      <c r="Q18" s="2169"/>
      <c r="R18" s="2169"/>
      <c r="S18" s="2169"/>
      <c r="T18" s="2169"/>
      <c r="U18" s="2169"/>
      <c r="V18" s="2169"/>
      <c r="W18" s="2169"/>
      <c r="X18" s="2169"/>
      <c r="Y18" s="2169"/>
      <c r="Z18" s="2169"/>
      <c r="AA18" s="2169"/>
      <c r="AB18" s="2169"/>
      <c r="AC18" s="2169"/>
      <c r="AD18" s="2169"/>
      <c r="AE18" s="183"/>
      <c r="AF18" s="2169"/>
      <c r="AG18" s="2169"/>
      <c r="AH18" s="2169"/>
      <c r="AI18" s="183"/>
      <c r="AJ18" s="2169"/>
      <c r="AK18" s="2169"/>
      <c r="AL18" s="2169"/>
      <c r="AM18" s="2169"/>
      <c r="AN18" s="2169"/>
      <c r="AO18" s="2169"/>
      <c r="AP18" s="2169"/>
      <c r="AQ18" s="2169"/>
      <c r="AR18" s="2169"/>
      <c r="AS18" s="2169"/>
      <c r="AT18" s="2169"/>
      <c r="AU18" s="2169"/>
      <c r="AV18" s="2169"/>
      <c r="AW18" s="2169"/>
      <c r="AX18" s="2170"/>
      <c r="AY18" s="183"/>
      <c r="AZ18" s="2171"/>
      <c r="BA18" s="183"/>
      <c r="BB18" s="2169"/>
      <c r="BC18" s="2169"/>
      <c r="BD18" s="2169"/>
      <c r="BE18" s="2172"/>
      <c r="BF18" s="2169"/>
      <c r="BG18" s="2169"/>
      <c r="BH18" s="2169"/>
      <c r="BI18" s="2169"/>
      <c r="BJ18" s="2169"/>
      <c r="BK18" s="2169"/>
      <c r="BL18" s="2169"/>
      <c r="BM18" s="2169"/>
      <c r="BN18" s="2169"/>
      <c r="BO18" s="2169"/>
      <c r="BP18" s="2169"/>
      <c r="BQ18" s="2169"/>
      <c r="BR18" s="2169"/>
    </row>
    <row r="19" spans="1:74" s="2090" customFormat="1" ht="9" customHeight="1" x14ac:dyDescent="0.2">
      <c r="A19" s="2168"/>
      <c r="B19" s="2168"/>
      <c r="C19" s="2169"/>
      <c r="D19" s="2169"/>
      <c r="E19" s="2169"/>
      <c r="F19" s="2169"/>
      <c r="G19" s="2169"/>
      <c r="H19" s="2169"/>
      <c r="I19" s="2169"/>
      <c r="J19" s="2169"/>
      <c r="K19" s="2169"/>
      <c r="L19" s="2169"/>
      <c r="M19" s="2169"/>
      <c r="N19" s="2169"/>
      <c r="O19" s="2169"/>
      <c r="P19" s="2169"/>
      <c r="Q19" s="2169"/>
      <c r="R19" s="2169"/>
      <c r="S19" s="2169"/>
      <c r="T19" s="2169"/>
      <c r="U19" s="2169"/>
      <c r="V19" s="2169"/>
      <c r="W19" s="2169"/>
      <c r="X19" s="2169"/>
      <c r="Y19" s="2169"/>
      <c r="Z19" s="2169"/>
      <c r="AA19" s="2169"/>
      <c r="AB19" s="2169"/>
      <c r="AC19" s="2169"/>
      <c r="AD19" s="2169"/>
      <c r="AE19" s="183"/>
      <c r="AF19" s="2169"/>
      <c r="AG19" s="2169"/>
      <c r="AH19" s="2169"/>
      <c r="AI19" s="183"/>
      <c r="AJ19" s="2169"/>
      <c r="AK19" s="2169"/>
      <c r="AL19" s="2169"/>
      <c r="AM19" s="2169"/>
      <c r="AN19" s="2169"/>
      <c r="AO19" s="2169"/>
      <c r="AP19" s="2169"/>
      <c r="AQ19" s="2169"/>
      <c r="AR19" s="2169"/>
      <c r="AS19" s="2169"/>
      <c r="AT19" s="2169"/>
      <c r="AU19" s="2169"/>
      <c r="AV19" s="2169"/>
      <c r="AW19" s="2169"/>
      <c r="AX19" s="2170"/>
      <c r="AY19" s="183"/>
      <c r="AZ19" s="2171"/>
      <c r="BA19" s="183"/>
      <c r="BB19" s="2169"/>
      <c r="BC19" s="2169"/>
      <c r="BD19" s="2169"/>
      <c r="BE19" s="2172"/>
      <c r="BF19" s="2169"/>
      <c r="BG19" s="2169"/>
      <c r="BH19" s="2169"/>
      <c r="BI19" s="2169"/>
      <c r="BJ19" s="2169"/>
      <c r="BK19" s="2169"/>
      <c r="BL19" s="2169"/>
      <c r="BM19" s="2169"/>
      <c r="BN19" s="2169"/>
      <c r="BO19" s="2169"/>
      <c r="BP19" s="2169"/>
      <c r="BQ19" s="2169"/>
      <c r="BR19" s="2169"/>
    </row>
    <row r="20" spans="1:74" s="2090" customFormat="1" ht="9" customHeight="1" x14ac:dyDescent="0.2">
      <c r="A20" s="2168"/>
      <c r="B20" s="2168"/>
      <c r="C20" s="2169"/>
      <c r="D20" s="2169"/>
      <c r="E20" s="2169"/>
      <c r="F20" s="2169"/>
      <c r="G20" s="2169"/>
      <c r="H20" s="2169"/>
      <c r="I20" s="2169"/>
      <c r="J20" s="2169"/>
      <c r="K20" s="2169"/>
      <c r="L20" s="2169"/>
      <c r="M20" s="2169"/>
      <c r="N20" s="2169"/>
      <c r="O20" s="2169"/>
      <c r="P20" s="2169"/>
      <c r="Q20" s="2169"/>
      <c r="R20" s="2169"/>
      <c r="S20" s="2169"/>
      <c r="T20" s="2169"/>
      <c r="U20" s="2169"/>
      <c r="V20" s="2169"/>
      <c r="W20" s="2169"/>
      <c r="X20" s="2169"/>
      <c r="Y20" s="2169"/>
      <c r="Z20" s="2169"/>
      <c r="AA20" s="2169"/>
      <c r="AB20" s="2169"/>
      <c r="AC20" s="2169"/>
      <c r="AD20" s="2169"/>
      <c r="AE20" s="183"/>
      <c r="AF20" s="2169"/>
      <c r="AG20" s="2169"/>
      <c r="AH20" s="2169"/>
      <c r="AI20" s="183"/>
      <c r="AJ20" s="2169"/>
      <c r="AK20" s="2169"/>
      <c r="AL20" s="2169"/>
      <c r="AM20" s="2169"/>
      <c r="AN20" s="2169"/>
      <c r="AO20" s="2169"/>
      <c r="AP20" s="2169"/>
      <c r="AQ20" s="2169"/>
      <c r="AR20" s="2169"/>
      <c r="AS20" s="2169"/>
      <c r="AT20" s="2169"/>
      <c r="AU20" s="2169"/>
      <c r="AV20" s="2169"/>
      <c r="AW20" s="2169"/>
      <c r="AX20" s="2170"/>
      <c r="AY20" s="183"/>
      <c r="AZ20" s="2171"/>
      <c r="BA20" s="183"/>
      <c r="BB20" s="2169"/>
      <c r="BC20" s="2169"/>
      <c r="BD20" s="2169"/>
      <c r="BE20" s="2172"/>
      <c r="BF20" s="2169"/>
      <c r="BG20" s="2169"/>
      <c r="BH20" s="2169"/>
      <c r="BI20" s="2169"/>
      <c r="BJ20" s="2169"/>
      <c r="BK20" s="2169"/>
      <c r="BL20" s="2169"/>
      <c r="BM20" s="2169"/>
      <c r="BN20" s="2169"/>
      <c r="BO20" s="2169"/>
      <c r="BP20" s="2169"/>
      <c r="BQ20" s="2169"/>
      <c r="BR20" s="2169"/>
    </row>
    <row r="21" spans="1:74" s="2090" customFormat="1" ht="9" customHeight="1" x14ac:dyDescent="0.2">
      <c r="A21" s="2168"/>
      <c r="B21" s="2168"/>
      <c r="C21" s="2169"/>
      <c r="D21" s="2169"/>
      <c r="E21" s="2169"/>
      <c r="F21" s="2169"/>
      <c r="G21" s="2169"/>
      <c r="H21" s="2169"/>
      <c r="I21" s="2169"/>
      <c r="J21" s="2169"/>
      <c r="K21" s="2169"/>
      <c r="L21" s="2169"/>
      <c r="M21" s="2169"/>
      <c r="N21" s="2169"/>
      <c r="O21" s="2169"/>
      <c r="P21" s="2169"/>
      <c r="Q21" s="2169"/>
      <c r="R21" s="2169"/>
      <c r="S21" s="2169"/>
      <c r="T21" s="2169"/>
      <c r="U21" s="2169"/>
      <c r="V21" s="2169"/>
      <c r="W21" s="2169"/>
      <c r="X21" s="2169"/>
      <c r="Y21" s="2169"/>
      <c r="Z21" s="2169"/>
      <c r="AA21" s="2169"/>
      <c r="AB21" s="2169"/>
      <c r="AC21" s="2169"/>
      <c r="AD21" s="2169"/>
      <c r="AE21" s="183"/>
      <c r="AF21" s="2169"/>
      <c r="AG21" s="2169"/>
      <c r="AH21" s="2169"/>
      <c r="AI21" s="183"/>
      <c r="AJ21" s="2169"/>
      <c r="AK21" s="2169"/>
      <c r="AL21" s="2169"/>
      <c r="AM21" s="2169"/>
      <c r="AN21" s="2169"/>
      <c r="AO21" s="2169"/>
      <c r="AP21" s="2169"/>
      <c r="AQ21" s="2169"/>
      <c r="AR21" s="2169"/>
      <c r="AS21" s="2169"/>
      <c r="AT21" s="2169"/>
      <c r="AU21" s="2169"/>
      <c r="AV21" s="2169"/>
      <c r="AW21" s="2169"/>
      <c r="AX21" s="2170"/>
      <c r="AY21" s="183"/>
      <c r="AZ21" s="2171"/>
      <c r="BA21" s="183"/>
      <c r="BB21" s="2169"/>
      <c r="BC21" s="2169"/>
      <c r="BD21" s="2169"/>
      <c r="BE21" s="2172"/>
      <c r="BF21" s="2169"/>
      <c r="BG21" s="2169"/>
      <c r="BH21" s="2169"/>
      <c r="BI21" s="2169"/>
      <c r="BJ21" s="2169"/>
      <c r="BK21" s="2169"/>
      <c r="BL21" s="2169"/>
      <c r="BM21" s="2169"/>
      <c r="BN21" s="2169"/>
      <c r="BO21" s="2169"/>
      <c r="BP21" s="2169"/>
      <c r="BQ21" s="2169"/>
      <c r="BR21" s="2169"/>
    </row>
    <row r="22" spans="1:74" s="2090" customFormat="1" ht="9" customHeight="1" x14ac:dyDescent="0.2">
      <c r="A22" s="2168"/>
      <c r="B22" s="2168"/>
      <c r="C22" s="2169"/>
      <c r="D22" s="2169"/>
      <c r="E22" s="2169"/>
      <c r="F22" s="2169"/>
      <c r="G22" s="2169"/>
      <c r="H22" s="2169"/>
      <c r="I22" s="2169"/>
      <c r="J22" s="2169"/>
      <c r="K22" s="2169"/>
      <c r="L22" s="2169"/>
      <c r="M22" s="2169"/>
      <c r="N22" s="2169"/>
      <c r="O22" s="2169"/>
      <c r="P22" s="2169"/>
      <c r="Q22" s="2169"/>
      <c r="R22" s="2169"/>
      <c r="S22" s="2169"/>
      <c r="T22" s="2169"/>
      <c r="U22" s="2169"/>
      <c r="V22" s="2169"/>
      <c r="W22" s="2169"/>
      <c r="X22" s="2169"/>
      <c r="Y22" s="2169"/>
      <c r="Z22" s="2169"/>
      <c r="AA22" s="2169"/>
      <c r="AB22" s="2169"/>
      <c r="AC22" s="2169"/>
      <c r="AD22" s="2169"/>
      <c r="AE22" s="183"/>
      <c r="AF22" s="2169"/>
      <c r="AG22" s="2169"/>
      <c r="AH22" s="2169"/>
      <c r="AI22" s="183"/>
      <c r="AJ22" s="2169"/>
      <c r="AK22" s="2169"/>
      <c r="AL22" s="2169"/>
      <c r="AM22" s="2169"/>
      <c r="AN22" s="2169"/>
      <c r="AO22" s="2169"/>
      <c r="AP22" s="2169"/>
      <c r="AQ22" s="2169"/>
      <c r="AR22" s="2169"/>
      <c r="AS22" s="2169"/>
      <c r="AT22" s="2169"/>
      <c r="AU22" s="2169"/>
      <c r="AV22" s="2169"/>
      <c r="AW22" s="2169"/>
      <c r="AX22" s="2170"/>
      <c r="AY22" s="183"/>
      <c r="AZ22" s="2171"/>
      <c r="BA22" s="183"/>
      <c r="BB22" s="2169"/>
      <c r="BC22" s="2169"/>
      <c r="BD22" s="2169"/>
      <c r="BE22" s="2172"/>
      <c r="BF22" s="2169"/>
      <c r="BG22" s="2169"/>
      <c r="BH22" s="2169"/>
      <c r="BI22" s="2169"/>
      <c r="BJ22" s="2169"/>
      <c r="BK22" s="2169"/>
      <c r="BL22" s="2169"/>
      <c r="BM22" s="2169"/>
      <c r="BN22" s="2169"/>
      <c r="BO22" s="2169"/>
      <c r="BP22" s="2169"/>
      <c r="BQ22" s="2169"/>
      <c r="BR22" s="2169"/>
    </row>
    <row r="23" spans="1:74" s="2090" customFormat="1" ht="9" customHeight="1" x14ac:dyDescent="0.2">
      <c r="A23" s="2168"/>
      <c r="B23" s="2168"/>
      <c r="C23" s="2169"/>
      <c r="D23" s="2169"/>
      <c r="E23" s="2169"/>
      <c r="F23" s="2169"/>
      <c r="G23" s="2169"/>
      <c r="H23" s="2169"/>
      <c r="I23" s="2169"/>
      <c r="J23" s="2169"/>
      <c r="K23" s="2169"/>
      <c r="L23" s="2169"/>
      <c r="M23" s="2169"/>
      <c r="N23" s="2169"/>
      <c r="O23" s="2169"/>
      <c r="P23" s="2169"/>
      <c r="Q23" s="2169"/>
      <c r="R23" s="2169"/>
      <c r="S23" s="2169"/>
      <c r="T23" s="2169"/>
      <c r="U23" s="2169"/>
      <c r="V23" s="2169"/>
      <c r="W23" s="2169"/>
      <c r="X23" s="2169"/>
      <c r="Y23" s="2169"/>
      <c r="Z23" s="2169"/>
      <c r="AA23" s="2169"/>
      <c r="AB23" s="2169"/>
      <c r="AC23" s="2169"/>
      <c r="AD23" s="2169"/>
      <c r="AE23" s="183"/>
      <c r="AF23" s="2169"/>
      <c r="AG23" s="2169"/>
      <c r="AH23" s="2169"/>
      <c r="AI23" s="183"/>
      <c r="AJ23" s="2169"/>
      <c r="AK23" s="2169"/>
      <c r="AL23" s="2169"/>
      <c r="AM23" s="2169"/>
      <c r="AN23" s="2169"/>
      <c r="AO23" s="2169"/>
      <c r="AP23" s="2169"/>
      <c r="AQ23" s="2169"/>
      <c r="AR23" s="2169"/>
      <c r="AS23" s="2169"/>
      <c r="AT23" s="2169"/>
      <c r="AU23" s="2169"/>
      <c r="AV23" s="2169"/>
      <c r="AW23" s="2169"/>
      <c r="AX23" s="2170"/>
      <c r="AY23" s="183"/>
      <c r="AZ23" s="2171"/>
      <c r="BA23" s="183"/>
      <c r="BB23" s="2169"/>
      <c r="BC23" s="2169"/>
      <c r="BD23" s="2169"/>
      <c r="BE23" s="2172"/>
      <c r="BF23" s="2169"/>
      <c r="BG23" s="2169"/>
      <c r="BH23" s="2169"/>
      <c r="BI23" s="2169"/>
      <c r="BJ23" s="2169"/>
      <c r="BK23" s="2169"/>
      <c r="BL23" s="2169"/>
      <c r="BM23" s="2169"/>
      <c r="BN23" s="2169"/>
      <c r="BO23" s="2169"/>
      <c r="BP23" s="2169"/>
      <c r="BQ23" s="2169"/>
      <c r="BR23" s="2169"/>
    </row>
    <row r="24" spans="1:74" s="2090" customFormat="1" ht="9" customHeight="1" x14ac:dyDescent="0.2">
      <c r="A24" s="2168"/>
      <c r="B24" s="2168"/>
      <c r="C24" s="2169"/>
      <c r="D24" s="2169"/>
      <c r="E24" s="2169"/>
      <c r="F24" s="2169"/>
      <c r="G24" s="2169"/>
      <c r="H24" s="2169"/>
      <c r="I24" s="2169"/>
      <c r="J24" s="2169"/>
      <c r="K24" s="2169"/>
      <c r="L24" s="2169"/>
      <c r="M24" s="2169"/>
      <c r="N24" s="2169"/>
      <c r="O24" s="2169"/>
      <c r="P24" s="2169"/>
      <c r="Q24" s="2169"/>
      <c r="R24" s="2169"/>
      <c r="S24" s="2169"/>
      <c r="T24" s="2169"/>
      <c r="U24" s="2169"/>
      <c r="V24" s="2169"/>
      <c r="W24" s="2169"/>
      <c r="X24" s="2169"/>
      <c r="Y24" s="2169"/>
      <c r="Z24" s="2169"/>
      <c r="AA24" s="2169"/>
      <c r="AB24" s="2169"/>
      <c r="AC24" s="2169"/>
      <c r="AD24" s="2169"/>
      <c r="AE24" s="183"/>
      <c r="AF24" s="2169"/>
      <c r="AG24" s="2169"/>
      <c r="AH24" s="2169"/>
      <c r="AI24" s="183"/>
      <c r="AJ24" s="2169"/>
      <c r="AK24" s="2169"/>
      <c r="AL24" s="2169"/>
      <c r="AM24" s="2169"/>
      <c r="AN24" s="2169"/>
      <c r="AO24" s="2169"/>
      <c r="AP24" s="2169"/>
      <c r="AQ24" s="2169"/>
      <c r="AR24" s="2169"/>
      <c r="AS24" s="2169"/>
      <c r="AT24" s="2169"/>
      <c r="AU24" s="2169"/>
      <c r="AV24" s="2169"/>
      <c r="AW24" s="2169"/>
      <c r="AX24" s="2170"/>
      <c r="AY24" s="183"/>
      <c r="AZ24" s="2171"/>
      <c r="BA24" s="183"/>
      <c r="BB24" s="2169"/>
      <c r="BC24" s="2169"/>
      <c r="BD24" s="2169"/>
      <c r="BE24" s="2172"/>
      <c r="BF24" s="2169"/>
      <c r="BG24" s="2169"/>
      <c r="BH24" s="2169"/>
      <c r="BI24" s="2169"/>
      <c r="BJ24" s="2169"/>
      <c r="BK24" s="2169"/>
      <c r="BL24" s="2169"/>
      <c r="BM24" s="2169"/>
      <c r="BN24" s="2169"/>
      <c r="BO24" s="2169"/>
      <c r="BP24" s="2169"/>
      <c r="BQ24" s="2169"/>
      <c r="BR24" s="2169"/>
    </row>
    <row r="25" spans="1:74" s="2090" customFormat="1" ht="9" customHeight="1" x14ac:dyDescent="0.2">
      <c r="A25" s="2168"/>
      <c r="B25" s="2168"/>
      <c r="C25" s="2169"/>
      <c r="D25" s="2169"/>
      <c r="E25" s="2169"/>
      <c r="F25" s="2169"/>
      <c r="G25" s="2169"/>
      <c r="H25" s="2169"/>
      <c r="I25" s="2169"/>
      <c r="J25" s="2169"/>
      <c r="K25" s="2169"/>
      <c r="L25" s="2169"/>
      <c r="M25" s="2169"/>
      <c r="N25" s="2169"/>
      <c r="O25" s="2169"/>
      <c r="P25" s="2169"/>
      <c r="Q25" s="2169"/>
      <c r="R25" s="2169"/>
      <c r="S25" s="2169"/>
      <c r="T25" s="2169"/>
      <c r="U25" s="2169"/>
      <c r="V25" s="2169"/>
      <c r="W25" s="2169"/>
      <c r="X25" s="2169"/>
      <c r="Y25" s="2169"/>
      <c r="Z25" s="2169"/>
      <c r="AA25" s="2169"/>
      <c r="AB25" s="2169"/>
      <c r="AC25" s="2169"/>
      <c r="AD25" s="2169"/>
      <c r="AE25" s="183"/>
      <c r="AF25" s="2169"/>
      <c r="AG25" s="2169"/>
      <c r="AH25" s="2169"/>
      <c r="AI25" s="183"/>
      <c r="AJ25" s="2169"/>
      <c r="AK25" s="2169"/>
      <c r="AL25" s="2169"/>
      <c r="AM25" s="2169"/>
      <c r="AN25" s="2169"/>
      <c r="AO25" s="2169"/>
      <c r="AP25" s="2169"/>
      <c r="AQ25" s="2169"/>
      <c r="AR25" s="2169"/>
      <c r="AS25" s="2169"/>
      <c r="AT25" s="2169"/>
      <c r="AU25" s="2169"/>
      <c r="AV25" s="2169"/>
      <c r="AW25" s="2169"/>
      <c r="AX25" s="2170"/>
      <c r="AY25" s="183"/>
      <c r="AZ25" s="2171"/>
      <c r="BA25" s="183"/>
      <c r="BB25" s="2169"/>
      <c r="BC25" s="2169"/>
      <c r="BD25" s="2169"/>
      <c r="BE25" s="2172"/>
      <c r="BF25" s="2169"/>
      <c r="BG25" s="2169"/>
      <c r="BH25" s="2169"/>
      <c r="BI25" s="2169"/>
      <c r="BJ25" s="2169"/>
      <c r="BK25" s="2169"/>
      <c r="BL25" s="2169"/>
      <c r="BM25" s="2169"/>
      <c r="BN25" s="2169"/>
      <c r="BO25" s="2169"/>
      <c r="BP25" s="2169"/>
      <c r="BQ25" s="2169"/>
      <c r="BR25" s="2169"/>
    </row>
    <row r="26" spans="1:74" s="2090" customFormat="1" ht="9" customHeight="1" x14ac:dyDescent="0.2">
      <c r="A26" s="2168"/>
      <c r="B26" s="2168"/>
      <c r="C26" s="2169"/>
      <c r="D26" s="2169"/>
      <c r="E26" s="2169"/>
      <c r="F26" s="2169"/>
      <c r="G26" s="2169"/>
      <c r="H26" s="2169"/>
      <c r="I26" s="2169"/>
      <c r="J26" s="2169"/>
      <c r="K26" s="2169"/>
      <c r="L26" s="2169"/>
      <c r="M26" s="2169"/>
      <c r="N26" s="2169"/>
      <c r="O26" s="2169"/>
      <c r="P26" s="2169"/>
      <c r="Q26" s="2169"/>
      <c r="R26" s="2169"/>
      <c r="S26" s="2169"/>
      <c r="T26" s="2169"/>
      <c r="U26" s="2169"/>
      <c r="V26" s="2169"/>
      <c r="W26" s="2169"/>
      <c r="X26" s="2169"/>
      <c r="Y26" s="2169"/>
      <c r="Z26" s="2169"/>
      <c r="AA26" s="2169"/>
      <c r="AB26" s="2169"/>
      <c r="AC26" s="2169"/>
      <c r="AD26" s="2169"/>
      <c r="AE26" s="183"/>
      <c r="AF26" s="2169"/>
      <c r="AG26" s="2169"/>
      <c r="AH26" s="2169"/>
      <c r="AI26" s="183"/>
      <c r="AJ26" s="2169"/>
      <c r="AK26" s="2169"/>
      <c r="AL26" s="2169"/>
      <c r="AM26" s="2169"/>
      <c r="AN26" s="2169"/>
      <c r="AO26" s="2169"/>
      <c r="AP26" s="2169"/>
      <c r="AQ26" s="2169"/>
      <c r="AR26" s="2169"/>
      <c r="AS26" s="2169"/>
      <c r="AT26" s="2169"/>
      <c r="AU26" s="2169"/>
      <c r="AV26" s="2169"/>
      <c r="AW26" s="2169"/>
      <c r="AX26" s="2170"/>
      <c r="AY26" s="183"/>
      <c r="AZ26" s="2171"/>
      <c r="BA26" s="183"/>
      <c r="BB26" s="2169"/>
      <c r="BC26" s="2169"/>
      <c r="BD26" s="2169"/>
      <c r="BE26" s="2172"/>
      <c r="BF26" s="2169"/>
      <c r="BG26" s="2169"/>
      <c r="BH26" s="2169"/>
      <c r="BI26" s="2169"/>
      <c r="BJ26" s="2169"/>
      <c r="BK26" s="2169"/>
      <c r="BL26" s="2169"/>
      <c r="BM26" s="2169"/>
      <c r="BN26" s="2169"/>
      <c r="BO26" s="2169"/>
      <c r="BP26" s="2169"/>
      <c r="BQ26" s="2169"/>
      <c r="BR26" s="2169"/>
    </row>
    <row r="27" spans="1:74" s="2090" customFormat="1" ht="9" customHeight="1" x14ac:dyDescent="0.2">
      <c r="A27" s="2168"/>
      <c r="B27" s="2168"/>
      <c r="C27" s="2169"/>
      <c r="D27" s="2169"/>
      <c r="E27" s="2169"/>
      <c r="F27" s="2169"/>
      <c r="G27" s="2169"/>
      <c r="H27" s="2169"/>
      <c r="I27" s="2169"/>
      <c r="J27" s="2169"/>
      <c r="K27" s="2169"/>
      <c r="L27" s="2169"/>
      <c r="M27" s="2169"/>
      <c r="N27" s="2169"/>
      <c r="O27" s="2169"/>
      <c r="P27" s="2169"/>
      <c r="Q27" s="2169"/>
      <c r="R27" s="2169"/>
      <c r="S27" s="2169"/>
      <c r="T27" s="2169"/>
      <c r="U27" s="2169"/>
      <c r="V27" s="2169"/>
      <c r="W27" s="2169"/>
      <c r="X27" s="2169"/>
      <c r="Y27" s="2169"/>
      <c r="Z27" s="2169"/>
      <c r="AA27" s="2169"/>
      <c r="AB27" s="2169"/>
      <c r="AC27" s="2169"/>
      <c r="AD27" s="2169"/>
      <c r="AE27" s="183"/>
      <c r="AF27" s="2169"/>
      <c r="AG27" s="2169"/>
      <c r="AH27" s="2169"/>
      <c r="AI27" s="183"/>
      <c r="AJ27" s="2169"/>
      <c r="AK27" s="2169"/>
      <c r="AL27" s="2169"/>
      <c r="AM27" s="2169"/>
      <c r="AN27" s="2169"/>
      <c r="AO27" s="2169"/>
      <c r="AP27" s="2169"/>
      <c r="AQ27" s="2169"/>
      <c r="AR27" s="2169"/>
      <c r="AS27" s="2169"/>
      <c r="AT27" s="2169"/>
      <c r="AU27" s="2169"/>
      <c r="AV27" s="2169"/>
      <c r="AW27" s="2169"/>
      <c r="AX27" s="2170"/>
      <c r="AY27" s="183"/>
      <c r="AZ27" s="2171"/>
      <c r="BA27" s="183"/>
      <c r="BB27" s="2169"/>
      <c r="BC27" s="2169"/>
      <c r="BD27" s="2169"/>
      <c r="BE27" s="2172"/>
      <c r="BF27" s="2169"/>
      <c r="BG27" s="2169"/>
      <c r="BH27" s="2169"/>
      <c r="BI27" s="2169"/>
      <c r="BJ27" s="2169"/>
      <c r="BK27" s="2169"/>
      <c r="BL27" s="2169"/>
      <c r="BM27" s="2169"/>
      <c r="BN27" s="2169"/>
      <c r="BO27" s="2169"/>
      <c r="BP27" s="2169"/>
      <c r="BQ27" s="2169"/>
      <c r="BR27" s="2169"/>
    </row>
    <row r="28" spans="1:74" s="2090" customFormat="1" ht="9" customHeight="1" x14ac:dyDescent="0.2">
      <c r="A28" s="2168"/>
      <c r="B28" s="2168"/>
      <c r="C28" s="2169"/>
      <c r="D28" s="2169"/>
      <c r="E28" s="2169"/>
      <c r="F28" s="2169"/>
      <c r="G28" s="2169"/>
      <c r="H28" s="2169"/>
      <c r="I28" s="2169"/>
      <c r="J28" s="2169"/>
      <c r="K28" s="2169"/>
      <c r="L28" s="2169"/>
      <c r="M28" s="2169"/>
      <c r="N28" s="2169"/>
      <c r="O28" s="2169"/>
      <c r="P28" s="2169"/>
      <c r="Q28" s="2169"/>
      <c r="R28" s="2169"/>
      <c r="S28" s="2169"/>
      <c r="T28" s="2169"/>
      <c r="U28" s="2169"/>
      <c r="V28" s="2169"/>
      <c r="W28" s="2169"/>
      <c r="X28" s="2169"/>
      <c r="Y28" s="2169"/>
      <c r="Z28" s="2169"/>
      <c r="AA28" s="2169"/>
      <c r="AB28" s="2169"/>
      <c r="AC28" s="2169"/>
      <c r="AD28" s="2169"/>
      <c r="AE28" s="183"/>
      <c r="AF28" s="2169"/>
      <c r="AG28" s="2169"/>
      <c r="AH28" s="2169"/>
      <c r="AI28" s="183"/>
      <c r="AJ28" s="2169"/>
      <c r="AK28" s="2169"/>
      <c r="AL28" s="2169"/>
      <c r="AM28" s="2169"/>
      <c r="AN28" s="2169"/>
      <c r="AO28" s="2169"/>
      <c r="AP28" s="2169"/>
      <c r="AQ28" s="2169"/>
      <c r="AR28" s="2169"/>
      <c r="AS28" s="2169"/>
      <c r="AT28" s="2169"/>
      <c r="AU28" s="2169"/>
      <c r="AV28" s="2169"/>
      <c r="AW28" s="2169"/>
      <c r="AX28" s="2170"/>
      <c r="AY28" s="183"/>
      <c r="AZ28" s="2171"/>
      <c r="BA28" s="183"/>
      <c r="BB28" s="2169"/>
      <c r="BC28" s="2169"/>
      <c r="BD28" s="2169"/>
      <c r="BE28" s="2172"/>
      <c r="BF28" s="2169"/>
      <c r="BG28" s="2169"/>
      <c r="BH28" s="2169"/>
      <c r="BI28" s="2169"/>
      <c r="BJ28" s="2169"/>
      <c r="BK28" s="2169"/>
      <c r="BL28" s="2169"/>
      <c r="BM28" s="2169"/>
      <c r="BN28" s="2169"/>
      <c r="BO28" s="2169"/>
      <c r="BP28" s="2169"/>
      <c r="BQ28" s="2169"/>
      <c r="BR28" s="2169"/>
    </row>
    <row r="29" spans="1:74" s="2090" customFormat="1" ht="9" customHeight="1" x14ac:dyDescent="0.2">
      <c r="A29" s="2168"/>
      <c r="B29" s="2168"/>
      <c r="C29" s="2169"/>
      <c r="D29" s="2169"/>
      <c r="E29" s="2169"/>
      <c r="F29" s="2169"/>
      <c r="G29" s="2169"/>
      <c r="H29" s="2169"/>
      <c r="I29" s="2169"/>
      <c r="J29" s="2169"/>
      <c r="K29" s="2169"/>
      <c r="L29" s="2169"/>
      <c r="M29" s="2169"/>
      <c r="N29" s="2169"/>
      <c r="O29" s="2169"/>
      <c r="P29" s="2169"/>
      <c r="Q29" s="2169"/>
      <c r="R29" s="2169"/>
      <c r="S29" s="2169"/>
      <c r="T29" s="2169"/>
      <c r="U29" s="2169"/>
      <c r="V29" s="2169"/>
      <c r="W29" s="2169"/>
      <c r="X29" s="2169"/>
      <c r="Y29" s="2169"/>
      <c r="Z29" s="2169"/>
      <c r="AA29" s="2169"/>
      <c r="AB29" s="2169"/>
      <c r="AC29" s="2169"/>
      <c r="AD29" s="2169"/>
      <c r="AE29" s="183"/>
      <c r="AF29" s="2169"/>
      <c r="AG29" s="2169"/>
      <c r="AH29" s="2169"/>
      <c r="AI29" s="183"/>
      <c r="AJ29" s="2169"/>
      <c r="AK29" s="2169"/>
      <c r="AL29" s="2169"/>
      <c r="AM29" s="2169"/>
      <c r="AN29" s="2169"/>
      <c r="AO29" s="2169"/>
      <c r="AP29" s="2169"/>
      <c r="AQ29" s="2169"/>
      <c r="AR29" s="2169"/>
      <c r="AS29" s="2169"/>
      <c r="AT29" s="2169"/>
      <c r="AU29" s="2169"/>
      <c r="AV29" s="2169"/>
      <c r="AW29" s="2169"/>
      <c r="AX29" s="2170"/>
      <c r="AY29" s="183"/>
      <c r="AZ29" s="2171"/>
      <c r="BA29" s="183"/>
      <c r="BB29" s="2169"/>
      <c r="BC29" s="2169"/>
      <c r="BD29" s="2169"/>
      <c r="BE29" s="2172"/>
      <c r="BF29" s="2169"/>
      <c r="BG29" s="2169"/>
      <c r="BH29" s="2169"/>
      <c r="BI29" s="2169"/>
      <c r="BJ29" s="2169"/>
      <c r="BK29" s="2169"/>
      <c r="BL29" s="2169"/>
      <c r="BM29" s="2169"/>
      <c r="BN29" s="2169"/>
      <c r="BO29" s="2169"/>
      <c r="BP29" s="2169"/>
      <c r="BQ29" s="2169"/>
      <c r="BR29" s="2169"/>
    </row>
    <row r="30" spans="1:74" s="172" customFormat="1" ht="11.1" customHeight="1" x14ac:dyDescent="0.2">
      <c r="A30" s="522" t="s">
        <v>1029</v>
      </c>
      <c r="C30" s="522">
        <v>23978480</v>
      </c>
      <c r="D30" s="729">
        <v>1464009.7289322768</v>
      </c>
      <c r="E30" s="522">
        <v>44278</v>
      </c>
      <c r="F30" s="729">
        <v>1018.6778832269999</v>
      </c>
      <c r="G30" s="522">
        <v>24022758</v>
      </c>
      <c r="H30" s="729">
        <v>1465028.3768155039</v>
      </c>
      <c r="I30" s="522">
        <v>10239509</v>
      </c>
      <c r="J30" s="729">
        <v>71466.937429648984</v>
      </c>
      <c r="K30" s="522">
        <v>998449</v>
      </c>
      <c r="L30" s="729">
        <v>646.08967006300009</v>
      </c>
      <c r="M30" s="522">
        <v>28021</v>
      </c>
      <c r="N30" s="729">
        <v>58.784323374000003</v>
      </c>
      <c r="O30" s="522">
        <v>6761512</v>
      </c>
      <c r="P30" s="729">
        <v>4060.5280064609997</v>
      </c>
      <c r="Q30" s="522">
        <v>696549</v>
      </c>
      <c r="R30" s="729">
        <v>925.00183520100018</v>
      </c>
      <c r="S30" s="522">
        <v>253116</v>
      </c>
      <c r="T30" s="729">
        <v>33.120208383000005</v>
      </c>
      <c r="U30" s="522">
        <v>100313</v>
      </c>
      <c r="V30" s="729">
        <v>148.52871070899999</v>
      </c>
      <c r="W30" s="522">
        <v>8837960</v>
      </c>
      <c r="X30" s="729">
        <v>5872.1027541909998</v>
      </c>
      <c r="Y30" s="729">
        <v>2848.2799999999997</v>
      </c>
      <c r="Z30" s="522">
        <v>109437869</v>
      </c>
      <c r="AA30" s="729">
        <v>82463.211347299992</v>
      </c>
      <c r="AB30" s="522">
        <v>32304</v>
      </c>
      <c r="AC30" s="729">
        <v>72.503609452000006</v>
      </c>
      <c r="AD30" s="522">
        <v>4471176</v>
      </c>
      <c r="AE30" s="729">
        <v>5484.155814492</v>
      </c>
      <c r="AF30" s="522">
        <v>68426</v>
      </c>
      <c r="AG30" s="729">
        <v>67.242002869999993</v>
      </c>
      <c r="AH30" s="522">
        <v>689996</v>
      </c>
      <c r="AI30" s="729">
        <v>77.175405626</v>
      </c>
      <c r="AJ30" s="522">
        <v>15022</v>
      </c>
      <c r="AK30" s="729">
        <v>17.501102213199999</v>
      </c>
      <c r="AL30" s="522">
        <v>114714793</v>
      </c>
      <c r="AM30" s="729">
        <v>88181.789374014203</v>
      </c>
      <c r="AN30" s="522">
        <v>413236</v>
      </c>
      <c r="AO30" s="729">
        <v>246.07698346200002</v>
      </c>
      <c r="AP30" s="522">
        <v>87958</v>
      </c>
      <c r="AQ30" s="729">
        <v>178.202189041</v>
      </c>
      <c r="AR30" s="522">
        <v>1230385</v>
      </c>
      <c r="AS30" s="729">
        <v>1225.122370545</v>
      </c>
      <c r="AT30" s="522">
        <v>3413293</v>
      </c>
      <c r="AU30" s="729">
        <v>2328.170729938</v>
      </c>
      <c r="AV30" s="522">
        <v>19647</v>
      </c>
      <c r="AW30" s="729">
        <v>49.56867063</v>
      </c>
      <c r="AX30" s="522">
        <v>4663325</v>
      </c>
      <c r="AY30" s="729">
        <v>3602.8217711130005</v>
      </c>
      <c r="AZ30" s="522">
        <v>128717272</v>
      </c>
      <c r="BA30" s="729">
        <v>98075.655860283223</v>
      </c>
      <c r="BB30" s="522">
        <v>583209</v>
      </c>
      <c r="BC30" s="522">
        <v>8547688</v>
      </c>
      <c r="BD30" s="522">
        <v>113248</v>
      </c>
      <c r="BE30" s="522">
        <v>9244145</v>
      </c>
      <c r="BF30" s="522">
        <v>1460092</v>
      </c>
      <c r="BG30" s="522">
        <v>5863004</v>
      </c>
      <c r="BH30" s="729">
        <v>18357.901878275999</v>
      </c>
      <c r="BI30" s="522">
        <v>547407</v>
      </c>
      <c r="BJ30" s="522">
        <v>939607060</v>
      </c>
      <c r="BK30" s="729">
        <v>142292.75133781202</v>
      </c>
      <c r="BL30" s="522">
        <v>28625074</v>
      </c>
      <c r="BM30" s="522">
        <v>100</v>
      </c>
      <c r="BN30" s="522">
        <v>243530</v>
      </c>
      <c r="BO30" s="729">
        <v>301.16054062199998</v>
      </c>
      <c r="BP30" s="522">
        <v>37052</v>
      </c>
      <c r="BQ30" s="522">
        <v>6346</v>
      </c>
      <c r="BR30" s="522">
        <v>28587</v>
      </c>
    </row>
    <row r="31" spans="1:74" s="172" customFormat="1" ht="11.1" customHeight="1" x14ac:dyDescent="0.2">
      <c r="A31" s="732" t="s">
        <v>1150</v>
      </c>
      <c r="C31" s="732">
        <v>22289753</v>
      </c>
      <c r="D31" s="731">
        <v>1669465.3599999999</v>
      </c>
      <c r="E31" s="732">
        <v>37182</v>
      </c>
      <c r="F31" s="731">
        <v>1056.9699999999998</v>
      </c>
      <c r="G31" s="732">
        <v>22326935</v>
      </c>
      <c r="H31" s="731">
        <v>1670522.24</v>
      </c>
      <c r="I31" s="732">
        <v>13548271</v>
      </c>
      <c r="J31" s="731">
        <v>90953.55</v>
      </c>
      <c r="K31" s="732">
        <v>1068730</v>
      </c>
      <c r="L31" s="731">
        <v>704.32</v>
      </c>
      <c r="M31" s="732">
        <v>31335</v>
      </c>
      <c r="N31" s="731">
        <v>55.879999999999995</v>
      </c>
      <c r="O31" s="732">
        <v>8541661</v>
      </c>
      <c r="P31" s="731">
        <v>4957.66</v>
      </c>
      <c r="Q31" s="732">
        <v>907456</v>
      </c>
      <c r="R31" s="731">
        <v>1110.93</v>
      </c>
      <c r="S31" s="732">
        <v>479308</v>
      </c>
      <c r="T31" s="731">
        <v>71.839999999999975</v>
      </c>
      <c r="U31" s="732">
        <v>199561</v>
      </c>
      <c r="V31" s="731">
        <v>209.04000000000002</v>
      </c>
      <c r="W31" s="732">
        <v>11228051</v>
      </c>
      <c r="X31" s="731">
        <v>7109.7800000000007</v>
      </c>
      <c r="Y31" s="731">
        <v>3002.09</v>
      </c>
      <c r="Z31" s="732">
        <v>144624702</v>
      </c>
      <c r="AA31" s="731">
        <v>103942.53</v>
      </c>
      <c r="AB31" s="732">
        <v>18111</v>
      </c>
      <c r="AC31" s="731">
        <v>61.669999999999995</v>
      </c>
      <c r="AD31" s="732">
        <v>6600050</v>
      </c>
      <c r="AE31" s="731">
        <v>6668.11</v>
      </c>
      <c r="AF31" s="732">
        <v>47953</v>
      </c>
      <c r="AG31" s="731">
        <v>71.12</v>
      </c>
      <c r="AH31" s="732">
        <v>586851</v>
      </c>
      <c r="AI31" s="731">
        <v>79.209999999999994</v>
      </c>
      <c r="AJ31" s="732">
        <v>17265</v>
      </c>
      <c r="AK31" s="731">
        <v>22</v>
      </c>
      <c r="AL31" s="732">
        <v>151894932</v>
      </c>
      <c r="AM31" s="731">
        <v>110844.63999999998</v>
      </c>
      <c r="AN31" s="732">
        <v>562137</v>
      </c>
      <c r="AO31" s="731">
        <v>359.77000000000004</v>
      </c>
      <c r="AP31" s="732">
        <v>97635</v>
      </c>
      <c r="AQ31" s="731">
        <v>111.22999999999999</v>
      </c>
      <c r="AR31" s="732">
        <v>790240</v>
      </c>
      <c r="AS31" s="731">
        <v>1179.3</v>
      </c>
      <c r="AT31" s="732">
        <v>2307859</v>
      </c>
      <c r="AU31" s="731">
        <v>2180.1</v>
      </c>
      <c r="AV31" s="732">
        <v>261323</v>
      </c>
      <c r="AW31" s="731">
        <v>71.890000000000015</v>
      </c>
      <c r="AX31" s="732">
        <v>3359422</v>
      </c>
      <c r="AY31" s="731">
        <v>3431.24</v>
      </c>
      <c r="AZ31" s="732">
        <v>167122535</v>
      </c>
      <c r="BA31" s="731">
        <v>121795.34999999998</v>
      </c>
      <c r="BB31" s="732">
        <v>769296</v>
      </c>
      <c r="BC31" s="732">
        <v>9062049</v>
      </c>
      <c r="BD31" s="732">
        <v>160225</v>
      </c>
      <c r="BE31" s="732">
        <v>9991570</v>
      </c>
      <c r="BF31" s="732">
        <v>1436837</v>
      </c>
      <c r="BG31" s="732">
        <v>7457338</v>
      </c>
      <c r="BH31" s="731">
        <v>25524.160000000003</v>
      </c>
      <c r="BI31" s="732">
        <v>617418</v>
      </c>
      <c r="BJ31" s="732">
        <v>1354198797</v>
      </c>
      <c r="BK31" s="731">
        <v>196061.47</v>
      </c>
      <c r="BL31" s="732">
        <v>36333933</v>
      </c>
      <c r="BM31" s="732">
        <v>610</v>
      </c>
      <c r="BN31" s="732">
        <v>2115664</v>
      </c>
      <c r="BO31" s="731">
        <v>3579.19</v>
      </c>
      <c r="BP31" s="732">
        <v>261693</v>
      </c>
      <c r="BQ31" s="732">
        <v>8517</v>
      </c>
      <c r="BR31" s="732">
        <v>32270</v>
      </c>
      <c r="BS31" s="1042"/>
    </row>
    <row r="32" spans="1:74" s="172" customFormat="1" ht="11.1" customHeight="1" x14ac:dyDescent="0.2">
      <c r="A32" s="522" t="s">
        <v>1174</v>
      </c>
      <c r="C32" s="522">
        <v>22322674</v>
      </c>
      <c r="D32" s="729">
        <v>1890492.57</v>
      </c>
      <c r="E32" s="522">
        <v>28084</v>
      </c>
      <c r="F32" s="729">
        <v>1795.25</v>
      </c>
      <c r="G32" s="522">
        <v>22350758</v>
      </c>
      <c r="H32" s="729">
        <v>1892287.75</v>
      </c>
      <c r="I32" s="522">
        <v>13740301</v>
      </c>
      <c r="J32" s="729">
        <v>106392.4</v>
      </c>
      <c r="K32" s="522">
        <v>1232084</v>
      </c>
      <c r="L32" s="729">
        <v>865.73</v>
      </c>
      <c r="M32" s="522">
        <v>39679</v>
      </c>
      <c r="N32" s="729">
        <v>68.77</v>
      </c>
      <c r="O32" s="522">
        <v>10419658</v>
      </c>
      <c r="P32" s="729">
        <v>5608.25</v>
      </c>
      <c r="Q32" s="522">
        <v>1315626</v>
      </c>
      <c r="R32" s="729">
        <v>1353.7</v>
      </c>
      <c r="S32" s="522">
        <v>976634</v>
      </c>
      <c r="T32" s="729">
        <v>188.72999999999996</v>
      </c>
      <c r="U32" s="522">
        <v>363752</v>
      </c>
      <c r="V32" s="729">
        <v>353.77</v>
      </c>
      <c r="W32" s="522">
        <v>14347433</v>
      </c>
      <c r="X32" s="729">
        <v>8439.2599999999984</v>
      </c>
      <c r="Y32" s="729">
        <v>3490.8100000000004</v>
      </c>
      <c r="Z32" s="522">
        <v>146235630</v>
      </c>
      <c r="AA32" s="729">
        <v>110256.77</v>
      </c>
      <c r="AB32" s="522">
        <v>17173</v>
      </c>
      <c r="AC32" s="729">
        <v>41.2</v>
      </c>
      <c r="AD32" s="522">
        <v>7537435</v>
      </c>
      <c r="AE32" s="729">
        <v>5396.44</v>
      </c>
      <c r="AF32" s="522">
        <v>54815</v>
      </c>
      <c r="AG32" s="729">
        <v>91.14</v>
      </c>
      <c r="AH32" s="522">
        <v>861696</v>
      </c>
      <c r="AI32" s="729">
        <v>159.82999999999998</v>
      </c>
      <c r="AJ32" s="522">
        <v>20053</v>
      </c>
      <c r="AK32" s="729">
        <v>22.61</v>
      </c>
      <c r="AL32" s="522">
        <v>154726802</v>
      </c>
      <c r="AM32" s="729">
        <v>115968.20999999999</v>
      </c>
      <c r="AN32" s="522">
        <v>707730</v>
      </c>
      <c r="AO32" s="729">
        <v>484.18999999999994</v>
      </c>
      <c r="AP32" s="522">
        <v>135948</v>
      </c>
      <c r="AQ32" s="729">
        <v>200.08</v>
      </c>
      <c r="AR32" s="522">
        <v>673548</v>
      </c>
      <c r="AS32" s="729">
        <v>1013.99</v>
      </c>
      <c r="AT32" s="522">
        <v>993729</v>
      </c>
      <c r="AU32" s="729">
        <v>920.83999999999992</v>
      </c>
      <c r="AV32" s="522">
        <v>624526</v>
      </c>
      <c r="AW32" s="729">
        <v>116.24000000000001</v>
      </c>
      <c r="AX32" s="522">
        <v>2291803</v>
      </c>
      <c r="AY32" s="729">
        <v>2051.16</v>
      </c>
      <c r="AZ32" s="522">
        <v>172160012</v>
      </c>
      <c r="BA32" s="729">
        <v>127025.1</v>
      </c>
      <c r="BB32" s="522">
        <v>936148</v>
      </c>
      <c r="BC32" s="522">
        <v>10802217</v>
      </c>
      <c r="BD32" s="522">
        <v>205285</v>
      </c>
      <c r="BE32" s="522">
        <v>11943650</v>
      </c>
      <c r="BF32" s="522">
        <v>1621377</v>
      </c>
      <c r="BG32" s="522">
        <v>7110797</v>
      </c>
      <c r="BH32" s="729">
        <v>35753.89</v>
      </c>
      <c r="BI32" s="522">
        <v>758570</v>
      </c>
      <c r="BJ32" s="522">
        <v>1663219636</v>
      </c>
      <c r="BK32" s="729">
        <v>277072.70999999996</v>
      </c>
      <c r="BL32" s="522">
        <v>53702690</v>
      </c>
      <c r="BM32" s="522">
        <v>2891</v>
      </c>
      <c r="BN32" s="522">
        <v>6773093</v>
      </c>
      <c r="BO32" s="729">
        <v>12556.86</v>
      </c>
      <c r="BP32" s="522">
        <v>845699</v>
      </c>
      <c r="BQ32" s="522">
        <v>9246</v>
      </c>
      <c r="BR32" s="522">
        <v>36288</v>
      </c>
      <c r="BS32" s="1042"/>
      <c r="BT32" s="1042"/>
      <c r="BU32" s="1042"/>
      <c r="BV32" s="1042"/>
    </row>
    <row r="33" spans="1:74" s="172" customFormat="1" ht="11.1" customHeight="1" x14ac:dyDescent="0.2">
      <c r="A33" s="732" t="s">
        <v>1296</v>
      </c>
      <c r="C33" s="732">
        <v>22627089</v>
      </c>
      <c r="D33" s="731">
        <v>2161164.56</v>
      </c>
      <c r="E33" s="732">
        <v>23670</v>
      </c>
      <c r="F33" s="731">
        <v>927.43000000000006</v>
      </c>
      <c r="G33" s="732">
        <v>22650759</v>
      </c>
      <c r="H33" s="731">
        <v>2162091.9900000002</v>
      </c>
      <c r="I33" s="732">
        <v>17876492</v>
      </c>
      <c r="J33" s="731">
        <v>146257.59</v>
      </c>
      <c r="K33" s="732">
        <v>1561972</v>
      </c>
      <c r="L33" s="731">
        <v>1109.03</v>
      </c>
      <c r="M33" s="732">
        <v>49077</v>
      </c>
      <c r="N33" s="731">
        <v>142.41999999999999</v>
      </c>
      <c r="O33" s="732">
        <v>12465119</v>
      </c>
      <c r="P33" s="731">
        <v>6980.8300000000017</v>
      </c>
      <c r="Q33" s="732">
        <v>1613052</v>
      </c>
      <c r="R33" s="731">
        <v>1615.1100000000001</v>
      </c>
      <c r="S33" s="732">
        <v>1981491</v>
      </c>
      <c r="T33" s="731">
        <v>337.93999999999994</v>
      </c>
      <c r="U33" s="732">
        <v>595913</v>
      </c>
      <c r="V33" s="731">
        <v>598.15</v>
      </c>
      <c r="W33" s="732">
        <v>18266624</v>
      </c>
      <c r="X33" s="731">
        <v>10783.369999999999</v>
      </c>
      <c r="Y33" s="731">
        <v>4257.9500000000007</v>
      </c>
      <c r="Z33" s="732">
        <v>163642668</v>
      </c>
      <c r="AA33" s="731">
        <v>124401.26999999999</v>
      </c>
      <c r="AB33" s="732">
        <v>17071</v>
      </c>
      <c r="AC33" s="731">
        <v>44.7</v>
      </c>
      <c r="AD33" s="732">
        <v>9043546</v>
      </c>
      <c r="AE33" s="731">
        <v>5563.4999999999991</v>
      </c>
      <c r="AF33" s="732">
        <v>60230</v>
      </c>
      <c r="AG33" s="731">
        <v>113.01</v>
      </c>
      <c r="AH33" s="732">
        <v>3002978</v>
      </c>
      <c r="AI33" s="731">
        <v>307.50000000000006</v>
      </c>
      <c r="AJ33" s="732">
        <v>32101</v>
      </c>
      <c r="AK33" s="731">
        <v>36</v>
      </c>
      <c r="AL33" s="732">
        <v>175798594</v>
      </c>
      <c r="AM33" s="731">
        <v>130466.12</v>
      </c>
      <c r="AN33" s="732">
        <v>902167</v>
      </c>
      <c r="AO33" s="731">
        <v>611.38</v>
      </c>
      <c r="AP33" s="732">
        <v>328135</v>
      </c>
      <c r="AQ33" s="731">
        <v>372.05</v>
      </c>
      <c r="AR33" s="732">
        <v>468092</v>
      </c>
      <c r="AS33" s="731">
        <v>1175.83</v>
      </c>
      <c r="AT33" s="732">
        <v>1397236</v>
      </c>
      <c r="AU33" s="731">
        <v>1330.15</v>
      </c>
      <c r="AV33" s="732">
        <v>821042</v>
      </c>
      <c r="AW33" s="731">
        <v>157.22999999999999</v>
      </c>
      <c r="AX33" s="732">
        <v>2686370</v>
      </c>
      <c r="AY33" s="731">
        <v>2663.25</v>
      </c>
      <c r="AZ33" s="732">
        <v>197921660</v>
      </c>
      <c r="BA33" s="731">
        <v>144743.41999999998</v>
      </c>
      <c r="BB33" s="732">
        <v>1000474</v>
      </c>
      <c r="BC33" s="732">
        <v>12575605</v>
      </c>
      <c r="BD33" s="732">
        <v>158526</v>
      </c>
      <c r="BE33" s="732">
        <v>13734605</v>
      </c>
      <c r="BF33" s="732">
        <v>1856866</v>
      </c>
      <c r="BG33" s="732">
        <v>8420438</v>
      </c>
      <c r="BH33" s="731">
        <v>32842.019999999997</v>
      </c>
      <c r="BI33" s="732">
        <v>829783</v>
      </c>
      <c r="BJ33" s="732">
        <v>2035798140</v>
      </c>
      <c r="BK33" s="731">
        <v>348295.24</v>
      </c>
      <c r="BL33" s="732">
        <v>61862982</v>
      </c>
      <c r="BM33" s="732">
        <v>3598</v>
      </c>
      <c r="BN33" s="732">
        <v>15412359</v>
      </c>
      <c r="BO33" s="731">
        <v>35093.81</v>
      </c>
      <c r="BP33" s="732">
        <v>1783156</v>
      </c>
      <c r="BQ33" s="732">
        <v>9747</v>
      </c>
      <c r="BR33" s="732">
        <v>41130</v>
      </c>
      <c r="BS33" s="1042"/>
      <c r="BT33" s="1042"/>
      <c r="BU33" s="1042"/>
      <c r="BV33" s="1042"/>
    </row>
    <row r="34" spans="1:74" s="172" customFormat="1" ht="11.1" customHeight="1" x14ac:dyDescent="0.2">
      <c r="A34" s="522" t="s">
        <v>1404</v>
      </c>
      <c r="C34" s="522">
        <v>22799904</v>
      </c>
      <c r="D34" s="729">
        <v>2282770.0784365749</v>
      </c>
      <c r="E34" s="522">
        <v>146133</v>
      </c>
      <c r="F34" s="729">
        <v>6719.4699999999993</v>
      </c>
      <c r="G34" s="522">
        <v>22946037</v>
      </c>
      <c r="H34" s="729">
        <v>2289489.5484365751</v>
      </c>
      <c r="I34" s="522">
        <v>26758871</v>
      </c>
      <c r="J34" s="729">
        <v>178032.39367637</v>
      </c>
      <c r="K34" s="522">
        <v>1951880</v>
      </c>
      <c r="L34" s="729">
        <v>1313.06</v>
      </c>
      <c r="M34" s="522">
        <v>50720</v>
      </c>
      <c r="N34" s="729">
        <v>92.95999999999998</v>
      </c>
      <c r="O34" s="522">
        <v>15028508</v>
      </c>
      <c r="P34" s="729">
        <v>8290.52</v>
      </c>
      <c r="Q34" s="522">
        <v>1923225</v>
      </c>
      <c r="R34" s="729">
        <v>1702.96</v>
      </c>
      <c r="S34" s="522">
        <v>3124193</v>
      </c>
      <c r="T34" s="729">
        <v>672.61000000000013</v>
      </c>
      <c r="U34" s="522">
        <v>963802</v>
      </c>
      <c r="V34" s="729">
        <v>771.59000000000015</v>
      </c>
      <c r="W34" s="522">
        <v>23042328</v>
      </c>
      <c r="X34" s="729">
        <v>12843.560000000001</v>
      </c>
      <c r="Y34" s="729">
        <v>5056.17</v>
      </c>
      <c r="Z34" s="522">
        <v>188970118</v>
      </c>
      <c r="AA34" s="729">
        <v>148183.74999999997</v>
      </c>
      <c r="AB34" s="522">
        <v>19830</v>
      </c>
      <c r="AC34" s="729">
        <v>54.44</v>
      </c>
      <c r="AD34" s="522">
        <v>11477894</v>
      </c>
      <c r="AE34" s="729">
        <v>5802.16</v>
      </c>
      <c r="AF34" s="522">
        <v>70659</v>
      </c>
      <c r="AG34" s="729">
        <v>133.76999999999998</v>
      </c>
      <c r="AH34" s="522">
        <v>11499453</v>
      </c>
      <c r="AI34" s="729">
        <v>527.10000000000014</v>
      </c>
      <c r="AJ34" s="522">
        <v>53845</v>
      </c>
      <c r="AK34" s="729">
        <v>48.650000000000006</v>
      </c>
      <c r="AL34" s="522">
        <v>212091799</v>
      </c>
      <c r="AM34" s="729">
        <v>154749.99</v>
      </c>
      <c r="AN34" s="522">
        <v>1423955</v>
      </c>
      <c r="AO34" s="729">
        <v>932.91</v>
      </c>
      <c r="AP34" s="522">
        <v>780021</v>
      </c>
      <c r="AQ34" s="729">
        <v>279</v>
      </c>
      <c r="AR34" s="522">
        <v>712417</v>
      </c>
      <c r="AS34" s="729">
        <v>1272.06</v>
      </c>
      <c r="AT34" s="522">
        <v>1330714</v>
      </c>
      <c r="AU34" s="729">
        <v>1415.1799999999998</v>
      </c>
      <c r="AV34" s="522">
        <v>619956</v>
      </c>
      <c r="AW34" s="729">
        <v>148.99</v>
      </c>
      <c r="AX34" s="522">
        <v>2762794</v>
      </c>
      <c r="AY34" s="729">
        <v>2861.84</v>
      </c>
      <c r="AZ34" s="522">
        <v>240003413</v>
      </c>
      <c r="BA34" s="729">
        <v>171462.15000000002</v>
      </c>
      <c r="BB34" s="522">
        <v>1394675</v>
      </c>
      <c r="BC34" s="1081">
        <v>16915478</v>
      </c>
      <c r="BD34" s="522">
        <v>320235</v>
      </c>
      <c r="BE34" s="522">
        <v>18630388</v>
      </c>
      <c r="BF34" s="522">
        <v>2251764</v>
      </c>
      <c r="BG34" s="522">
        <v>11711906</v>
      </c>
      <c r="BH34" s="729">
        <v>47615.11</v>
      </c>
      <c r="BI34" s="522">
        <v>1024772</v>
      </c>
      <c r="BJ34" s="522">
        <v>2467033312</v>
      </c>
      <c r="BK34" s="729">
        <v>402913.265935726</v>
      </c>
      <c r="BL34" s="522">
        <v>73778610</v>
      </c>
      <c r="BM34" s="522">
        <v>6073</v>
      </c>
      <c r="BN34" s="522">
        <v>32530626</v>
      </c>
      <c r="BO34" s="729">
        <v>312040.26</v>
      </c>
      <c r="BP34" s="522">
        <v>3416020</v>
      </c>
      <c r="BQ34" s="522">
        <v>10722</v>
      </c>
      <c r="BR34" s="522">
        <v>52846</v>
      </c>
      <c r="BS34" s="1"/>
      <c r="BT34" s="1110"/>
      <c r="BU34" s="1043"/>
    </row>
    <row r="35" spans="1:74" s="693" customFormat="1" ht="11.1" customHeight="1" x14ac:dyDescent="0.2">
      <c r="A35" s="732" t="s">
        <v>1484</v>
      </c>
      <c r="C35" s="732">
        <v>19692996</v>
      </c>
      <c r="D35" s="731">
        <v>2134775.6</v>
      </c>
      <c r="E35" s="732">
        <v>202165</v>
      </c>
      <c r="F35" s="731">
        <v>9638.827665630999</v>
      </c>
      <c r="G35" s="732">
        <v>19895161</v>
      </c>
      <c r="H35" s="731">
        <v>2144414.4</v>
      </c>
      <c r="I35" s="732">
        <v>50257666</v>
      </c>
      <c r="J35" s="731">
        <v>257440.06646475603</v>
      </c>
      <c r="K35" s="732">
        <v>2376130</v>
      </c>
      <c r="L35" s="731">
        <v>1571.4124550470001</v>
      </c>
      <c r="M35" s="732">
        <v>39082</v>
      </c>
      <c r="N35" s="731">
        <v>63.543494757600008</v>
      </c>
      <c r="O35" s="732">
        <v>15306481</v>
      </c>
      <c r="P35" s="731">
        <v>7966.2977085550001</v>
      </c>
      <c r="Q35" s="732">
        <v>1535082</v>
      </c>
      <c r="R35" s="731">
        <v>1266.0935939600001</v>
      </c>
      <c r="S35" s="732">
        <v>4046124</v>
      </c>
      <c r="T35" s="731">
        <v>1346.5782712749999</v>
      </c>
      <c r="U35" s="732">
        <v>1202470</v>
      </c>
      <c r="V35" s="731">
        <v>437.25777197175</v>
      </c>
      <c r="W35" s="732">
        <v>24505369</v>
      </c>
      <c r="X35" s="731">
        <v>12651.183295566349</v>
      </c>
      <c r="Y35" s="731">
        <v>5231.1335752910009</v>
      </c>
      <c r="Z35" s="732">
        <v>193762532</v>
      </c>
      <c r="AA35" s="731">
        <v>156878.86528764101</v>
      </c>
      <c r="AB35" s="732">
        <v>21928</v>
      </c>
      <c r="AC35" s="731">
        <v>55.000389470150004</v>
      </c>
      <c r="AD35" s="732">
        <v>10367099</v>
      </c>
      <c r="AE35" s="731">
        <v>5107.0373490185002</v>
      </c>
      <c r="AF35" s="732">
        <v>89133</v>
      </c>
      <c r="AG35" s="731">
        <v>92.192790867699998</v>
      </c>
      <c r="AH35" s="732">
        <v>9820620</v>
      </c>
      <c r="AI35" s="731">
        <v>1112.1988214419998</v>
      </c>
      <c r="AJ35" s="732">
        <v>112794</v>
      </c>
      <c r="AK35" s="731">
        <v>49.724057373549989</v>
      </c>
      <c r="AL35" s="732">
        <v>214174106</v>
      </c>
      <c r="AM35" s="731">
        <v>163295.01869581288</v>
      </c>
      <c r="AN35" s="732">
        <v>1952354</v>
      </c>
      <c r="AO35" s="731">
        <v>1329.0257139841999</v>
      </c>
      <c r="AP35" s="732">
        <v>1275782</v>
      </c>
      <c r="AQ35" s="731">
        <v>295.33457085704998</v>
      </c>
      <c r="AR35" s="732">
        <v>747458</v>
      </c>
      <c r="AS35" s="731">
        <v>904.85434712599999</v>
      </c>
      <c r="AT35" s="732">
        <v>897425</v>
      </c>
      <c r="AU35" s="731">
        <v>890.52063242899999</v>
      </c>
      <c r="AV35" s="732">
        <v>330007</v>
      </c>
      <c r="AW35" s="731">
        <v>104.929424063</v>
      </c>
      <c r="AX35" s="732">
        <v>1974890</v>
      </c>
      <c r="AY35" s="731">
        <v>1900.3044036180002</v>
      </c>
      <c r="AZ35" s="732">
        <v>243882501</v>
      </c>
      <c r="BA35" s="731">
        <v>179470.86667983848</v>
      </c>
      <c r="BB35" s="732">
        <v>1560459</v>
      </c>
      <c r="BC35" s="1187">
        <v>19725783</v>
      </c>
      <c r="BD35" s="732">
        <v>586230</v>
      </c>
      <c r="BE35" s="732">
        <v>21872472</v>
      </c>
      <c r="BF35" s="732">
        <v>2742241</v>
      </c>
      <c r="BG35" s="732">
        <v>19897516</v>
      </c>
      <c r="BH35" s="731">
        <v>71561.035925468008</v>
      </c>
      <c r="BI35" s="730">
        <v>1160121</v>
      </c>
      <c r="BJ35" s="732">
        <v>2859543446</v>
      </c>
      <c r="BK35" s="731">
        <v>489558.87528139201</v>
      </c>
      <c r="BL35" s="732">
        <v>107475632</v>
      </c>
      <c r="BM35" s="732">
        <v>8812</v>
      </c>
      <c r="BN35" s="732">
        <v>66181962</v>
      </c>
      <c r="BO35" s="731">
        <v>191433.25811183645</v>
      </c>
      <c r="BP35" s="732">
        <v>7357466</v>
      </c>
      <c r="BQ35" s="732">
        <v>11047</v>
      </c>
      <c r="BR35" s="732">
        <v>65946</v>
      </c>
      <c r="BS35" s="992"/>
      <c r="BT35" s="1111"/>
      <c r="BU35" s="1042"/>
    </row>
    <row r="36" spans="1:74" s="693" customFormat="1" ht="11.1" customHeight="1" x14ac:dyDescent="0.2">
      <c r="A36" s="522" t="s">
        <v>1536</v>
      </c>
      <c r="C36" s="522">
        <v>20659521</v>
      </c>
      <c r="D36" s="729">
        <v>2423173.8888500961</v>
      </c>
      <c r="E36" s="522">
        <v>439633</v>
      </c>
      <c r="F36" s="729">
        <v>10717.059649764</v>
      </c>
      <c r="G36" s="1299">
        <v>21099154</v>
      </c>
      <c r="H36" s="729">
        <v>2433890.9484998598</v>
      </c>
      <c r="I36" s="1300">
        <v>133383702</v>
      </c>
      <c r="J36" s="729">
        <v>424084.19240942295</v>
      </c>
      <c r="K36" s="522">
        <v>3107852</v>
      </c>
      <c r="L36" s="729">
        <v>2648.7021078270004</v>
      </c>
      <c r="M36" s="522">
        <v>14382</v>
      </c>
      <c r="N36" s="729">
        <v>29.033245158550002</v>
      </c>
      <c r="O36" s="522">
        <v>16955039</v>
      </c>
      <c r="P36" s="729">
        <v>10577.675231101</v>
      </c>
      <c r="Q36" s="522">
        <v>714030</v>
      </c>
      <c r="R36" s="729">
        <v>477.35958799905001</v>
      </c>
      <c r="S36" s="522">
        <v>7411758</v>
      </c>
      <c r="T36" s="729">
        <v>3820.1791295130001</v>
      </c>
      <c r="U36" s="522">
        <v>1114214</v>
      </c>
      <c r="V36" s="729">
        <v>419.69825229380001</v>
      </c>
      <c r="W36" s="522">
        <v>29317275</v>
      </c>
      <c r="X36" s="729">
        <v>17972.647553892399</v>
      </c>
      <c r="Y36" s="729">
        <v>6452.2631663700004</v>
      </c>
      <c r="Z36" s="522">
        <v>241633196</v>
      </c>
      <c r="AA36" s="729">
        <v>212200.39009012704</v>
      </c>
      <c r="AB36" s="522">
        <v>13230</v>
      </c>
      <c r="AC36" s="729">
        <v>51.706051254700007</v>
      </c>
      <c r="AD36" s="522">
        <v>15692084</v>
      </c>
      <c r="AE36" s="729">
        <v>6093.4694801100004</v>
      </c>
      <c r="AF36" s="522">
        <v>84064</v>
      </c>
      <c r="AG36" s="729">
        <v>44.073489145549999</v>
      </c>
      <c r="AH36" s="522">
        <v>15493699</v>
      </c>
      <c r="AI36" s="729">
        <v>4069.9201925638004</v>
      </c>
      <c r="AJ36" s="522">
        <v>234778</v>
      </c>
      <c r="AK36" s="729">
        <v>67.917196810749999</v>
      </c>
      <c r="AL36" s="522">
        <v>273151051</v>
      </c>
      <c r="AM36" s="729">
        <v>222527.47650001181</v>
      </c>
      <c r="AN36" s="522">
        <v>2722079</v>
      </c>
      <c r="AO36" s="729">
        <v>1828.257555976</v>
      </c>
      <c r="AP36" s="522">
        <v>1271573</v>
      </c>
      <c r="AQ36" s="729">
        <v>223.65855985310003</v>
      </c>
      <c r="AR36" s="522">
        <v>817466</v>
      </c>
      <c r="AS36" s="729">
        <v>972.30655500199998</v>
      </c>
      <c r="AT36" s="522">
        <v>823656</v>
      </c>
      <c r="AU36" s="729">
        <v>612.35550458149999</v>
      </c>
      <c r="AV36" s="522">
        <v>472592</v>
      </c>
      <c r="AW36" s="729">
        <v>123.242801439</v>
      </c>
      <c r="AX36" s="522">
        <v>2113714</v>
      </c>
      <c r="AY36" s="729">
        <v>1707.9048610225002</v>
      </c>
      <c r="AZ36" s="522">
        <v>308575692</v>
      </c>
      <c r="BA36" s="729">
        <v>244259.9450307558</v>
      </c>
      <c r="BB36" s="522">
        <v>1734418</v>
      </c>
      <c r="BC36" s="1081">
        <v>23363702</v>
      </c>
      <c r="BD36" s="522">
        <v>934250</v>
      </c>
      <c r="BE36" s="522">
        <v>26032370</v>
      </c>
      <c r="BF36" s="522">
        <v>3638433</v>
      </c>
      <c r="BG36" s="522">
        <v>28762491</v>
      </c>
      <c r="BH36" s="729">
        <v>101060.36294114799</v>
      </c>
      <c r="BI36" s="522">
        <v>1377616</v>
      </c>
      <c r="BJ36" s="522">
        <v>3892218366</v>
      </c>
      <c r="BK36" s="729">
        <v>759556.04742055829</v>
      </c>
      <c r="BL36" s="522">
        <v>152462267</v>
      </c>
      <c r="BM36" s="522">
        <v>12930</v>
      </c>
      <c r="BN36" s="522">
        <v>115849678</v>
      </c>
      <c r="BO36" s="729">
        <v>394068.63955505099</v>
      </c>
      <c r="BP36" s="522">
        <v>12202370</v>
      </c>
      <c r="BQ36" s="522">
        <v>12337</v>
      </c>
      <c r="BR36" s="522">
        <v>82098</v>
      </c>
      <c r="BS36" s="690"/>
      <c r="BT36" s="1301"/>
    </row>
    <row r="37" spans="1:74" s="693" customFormat="1" ht="11.1" customHeight="1" x14ac:dyDescent="0.2">
      <c r="A37" s="732" t="s">
        <v>1817</v>
      </c>
      <c r="C37" s="732">
        <v>22051673</v>
      </c>
      <c r="D37" s="731">
        <v>2560438.2513423832</v>
      </c>
      <c r="E37" s="730">
        <v>298366</v>
      </c>
      <c r="F37" s="731">
        <v>6825.6877742659999</v>
      </c>
      <c r="G37" s="730">
        <v>22350039</v>
      </c>
      <c r="H37" s="731">
        <v>2567263.9391166489</v>
      </c>
      <c r="I37" s="1380">
        <v>185601004</v>
      </c>
      <c r="J37" s="731">
        <v>575743.87912449497</v>
      </c>
      <c r="K37" s="730">
        <v>5535126</v>
      </c>
      <c r="L37" s="731">
        <v>5684.4229899359998</v>
      </c>
      <c r="M37" s="732">
        <v>32269</v>
      </c>
      <c r="N37" s="732">
        <v>58.300769251000006</v>
      </c>
      <c r="O37" s="732">
        <v>22368746</v>
      </c>
      <c r="P37" s="731">
        <v>13326.307397372999</v>
      </c>
      <c r="Q37" s="732">
        <v>1522495</v>
      </c>
      <c r="R37" s="731">
        <v>1377.65658089868</v>
      </c>
      <c r="S37" s="732">
        <v>9143604</v>
      </c>
      <c r="T37" s="731">
        <v>4548.9042892340003</v>
      </c>
      <c r="U37" s="732">
        <v>1540947</v>
      </c>
      <c r="V37" s="731">
        <v>629.00407213825997</v>
      </c>
      <c r="W37" s="732">
        <v>40143187</v>
      </c>
      <c r="X37" s="731">
        <v>25624.596098830942</v>
      </c>
      <c r="Y37" s="731">
        <v>7507.0998574979994</v>
      </c>
      <c r="Z37" s="732">
        <v>288240242</v>
      </c>
      <c r="AA37" s="731">
        <v>295272.32001764502</v>
      </c>
      <c r="AB37" s="732">
        <v>43588</v>
      </c>
      <c r="AC37" s="731">
        <v>91.441976603099988</v>
      </c>
      <c r="AD37" s="732">
        <v>21168832</v>
      </c>
      <c r="AE37" s="732">
        <v>7795.3005784440002</v>
      </c>
      <c r="AF37" s="732">
        <v>287315</v>
      </c>
      <c r="AG37" s="732">
        <v>158.35927568939999</v>
      </c>
      <c r="AH37" s="732">
        <v>22155076</v>
      </c>
      <c r="AI37" s="731">
        <v>4000.2566246310002</v>
      </c>
      <c r="AJ37" s="732">
        <v>680047</v>
      </c>
      <c r="AK37" s="1381">
        <v>184.41482989099998</v>
      </c>
      <c r="AL37" s="732">
        <v>332575100</v>
      </c>
      <c r="AM37" s="731">
        <v>307502.09330290352</v>
      </c>
      <c r="AN37" s="732">
        <v>3546881</v>
      </c>
      <c r="AO37" s="731">
        <v>2232.7237356689998</v>
      </c>
      <c r="AP37" s="732">
        <v>1583371</v>
      </c>
      <c r="AQ37" s="732">
        <v>445.14578276359998</v>
      </c>
      <c r="AR37" s="732">
        <v>1139587</v>
      </c>
      <c r="AS37" s="731">
        <v>1295.7154900000003</v>
      </c>
      <c r="AT37" s="732">
        <v>1260346</v>
      </c>
      <c r="AU37" s="731">
        <v>1031.81594416695</v>
      </c>
      <c r="AV37" s="732">
        <v>741131</v>
      </c>
      <c r="AW37" s="731">
        <v>282.48465722899999</v>
      </c>
      <c r="AX37" s="732">
        <v>3141064</v>
      </c>
      <c r="AY37" s="731">
        <v>2610.0160913959503</v>
      </c>
      <c r="AZ37" s="732">
        <v>380989603</v>
      </c>
      <c r="BA37" s="731">
        <v>338414.57501156308</v>
      </c>
      <c r="BB37" s="732">
        <v>1978196</v>
      </c>
      <c r="BC37" s="1187">
        <v>27623986</v>
      </c>
      <c r="BD37" s="1187">
        <v>1869559</v>
      </c>
      <c r="BE37" s="732">
        <v>31471741</v>
      </c>
      <c r="BF37" s="732">
        <v>5355586</v>
      </c>
      <c r="BG37" s="732">
        <v>54043607</v>
      </c>
      <c r="BH37" s="731">
        <v>224959.66134032118</v>
      </c>
      <c r="BI37" s="732">
        <v>1515665</v>
      </c>
      <c r="BJ37" s="732">
        <v>4769246590</v>
      </c>
      <c r="BK37" s="731">
        <v>990004.04799868248</v>
      </c>
      <c r="BL37" s="732">
        <v>178639642</v>
      </c>
      <c r="BM37" s="732">
        <v>14300</v>
      </c>
      <c r="BN37" s="732">
        <v>162287061</v>
      </c>
      <c r="BO37" s="731">
        <v>564845.24125884299</v>
      </c>
      <c r="BP37" s="732">
        <v>16073962</v>
      </c>
      <c r="BQ37" s="732">
        <v>13036</v>
      </c>
      <c r="BR37" s="732">
        <v>101341</v>
      </c>
      <c r="BT37" s="1301"/>
      <c r="BU37" s="1301"/>
    </row>
    <row r="38" spans="1:74" s="172" customFormat="1" ht="11.1" customHeight="1" x14ac:dyDescent="0.2">
      <c r="A38" s="950" t="s">
        <v>2066</v>
      </c>
      <c r="B38" s="693"/>
      <c r="C38" s="522">
        <v>22105217</v>
      </c>
      <c r="D38" s="729">
        <v>2533194.6094060373</v>
      </c>
      <c r="E38" s="522">
        <v>109534</v>
      </c>
      <c r="F38" s="729">
        <v>3975.4970206029998</v>
      </c>
      <c r="G38" s="1299">
        <v>22214751</v>
      </c>
      <c r="H38" s="729">
        <v>2537170.1064266395</v>
      </c>
      <c r="I38" s="1300">
        <v>219089874</v>
      </c>
      <c r="J38" s="729">
        <v>670019.14837376401</v>
      </c>
      <c r="K38" s="522">
        <v>3682886</v>
      </c>
      <c r="L38" s="729">
        <v>3474.4970948813007</v>
      </c>
      <c r="M38" s="1300">
        <v>128412</v>
      </c>
      <c r="N38" s="729">
        <v>217.39425144783999</v>
      </c>
      <c r="O38" s="522">
        <v>26898127</v>
      </c>
      <c r="P38" s="729">
        <v>16252.378549088999</v>
      </c>
      <c r="Q38" s="522">
        <v>3167660</v>
      </c>
      <c r="R38" s="729">
        <v>2918.4303676456998</v>
      </c>
      <c r="S38" s="1300">
        <v>11444462</v>
      </c>
      <c r="T38" s="729">
        <v>6179.2140340400001</v>
      </c>
      <c r="U38" s="522">
        <v>1712865</v>
      </c>
      <c r="V38" s="729">
        <v>920.10588678559998</v>
      </c>
      <c r="W38" s="522">
        <v>47034412</v>
      </c>
      <c r="X38" s="729">
        <v>29962.551968044143</v>
      </c>
      <c r="Y38" s="729">
        <v>8937.9329594219998</v>
      </c>
      <c r="Z38" s="522">
        <v>409898744</v>
      </c>
      <c r="AA38" s="729">
        <v>439004.38322004798</v>
      </c>
      <c r="AB38" s="1300">
        <v>314651</v>
      </c>
      <c r="AC38" s="729">
        <v>763.68512718900001</v>
      </c>
      <c r="AD38" s="522">
        <v>27422298</v>
      </c>
      <c r="AE38" s="729">
        <v>9807.2154761680013</v>
      </c>
      <c r="AF38" s="522">
        <v>876606</v>
      </c>
      <c r="AG38" s="729">
        <v>662.12720842249996</v>
      </c>
      <c r="AH38" s="522">
        <v>31158912</v>
      </c>
      <c r="AI38" s="729">
        <v>5576.3546097880007</v>
      </c>
      <c r="AJ38" s="1300">
        <v>1271210</v>
      </c>
      <c r="AK38" s="2173">
        <v>387.21434887300001</v>
      </c>
      <c r="AL38" s="522">
        <v>470942421</v>
      </c>
      <c r="AM38" s="729">
        <v>456200.97999048844</v>
      </c>
      <c r="AN38" s="522">
        <v>4465347</v>
      </c>
      <c r="AO38" s="729">
        <v>2897.479066206</v>
      </c>
      <c r="AP38" s="522">
        <v>1766000</v>
      </c>
      <c r="AQ38" s="729">
        <v>1024.591761500802</v>
      </c>
      <c r="AR38" s="522">
        <v>506060</v>
      </c>
      <c r="AS38" s="729">
        <v>705.80543589399997</v>
      </c>
      <c r="AT38" s="522">
        <v>923852</v>
      </c>
      <c r="AU38" s="729">
        <v>889.62142875981976</v>
      </c>
      <c r="AV38" s="522">
        <v>803872</v>
      </c>
      <c r="AW38" s="729">
        <v>309.46437661200002</v>
      </c>
      <c r="AX38" s="522">
        <v>2233784</v>
      </c>
      <c r="AY38" s="729">
        <v>1904.8912412658196</v>
      </c>
      <c r="AZ38" s="522">
        <v>526441964</v>
      </c>
      <c r="BA38" s="729">
        <v>491990.49402750528</v>
      </c>
      <c r="BB38" s="522">
        <v>2238663</v>
      </c>
      <c r="BC38" s="1081">
        <v>32131984</v>
      </c>
      <c r="BD38" s="1300">
        <v>4269805</v>
      </c>
      <c r="BE38" s="522">
        <v>38640452</v>
      </c>
      <c r="BF38" s="522">
        <v>7237380</v>
      </c>
      <c r="BG38" s="522">
        <v>78148370</v>
      </c>
      <c r="BH38" s="729">
        <v>397221.11906997696</v>
      </c>
      <c r="BI38" s="522">
        <v>1585722</v>
      </c>
      <c r="BJ38" s="522">
        <v>5538646530</v>
      </c>
      <c r="BK38" s="2173">
        <v>1217375.6009731088</v>
      </c>
      <c r="BL38" s="522">
        <v>207268646</v>
      </c>
      <c r="BM38" s="522">
        <v>15510</v>
      </c>
      <c r="BN38" s="522">
        <v>181709043</v>
      </c>
      <c r="BO38" s="729">
        <v>774328.8298470421</v>
      </c>
      <c r="BP38" s="522">
        <v>19850911</v>
      </c>
      <c r="BQ38" s="522">
        <v>13704</v>
      </c>
      <c r="BR38" s="522">
        <v>106733</v>
      </c>
      <c r="BT38" s="1110"/>
      <c r="BU38" s="1110"/>
    </row>
    <row r="39" spans="1:74" s="173" customFormat="1" ht="11.1" customHeight="1" x14ac:dyDescent="0.2">
      <c r="A39" s="952" t="s">
        <v>2206</v>
      </c>
      <c r="B39" s="689"/>
      <c r="C39" s="732">
        <f>C116+C117+C118+C119+C120+C121+C122+C123+C124+C125+C126+C127</f>
        <v>21091631</v>
      </c>
      <c r="D39" s="731">
        <f t="shared" ref="D39:X39" si="0">D116+D117+D118+D119+D120+D121+D122+D123+D124+D125+D126+D127</f>
        <v>2412600.3618839737</v>
      </c>
      <c r="E39" s="732">
        <f>E116+E117+E118+E119+E120+E121+E122+E123+E124+E125+E126+E127</f>
        <v>113446</v>
      </c>
      <c r="F39" s="731">
        <f t="shared" si="0"/>
        <v>4053.6459536020002</v>
      </c>
      <c r="G39" s="730">
        <f t="shared" si="0"/>
        <v>21205077</v>
      </c>
      <c r="H39" s="731">
        <f t="shared" si="0"/>
        <v>2416654.0078375759</v>
      </c>
      <c r="I39" s="2174">
        <f t="shared" si="0"/>
        <v>255817095</v>
      </c>
      <c r="J39" s="731">
        <f t="shared" si="0"/>
        <v>883627.69924694602</v>
      </c>
      <c r="K39" s="732">
        <f t="shared" si="0"/>
        <v>4181317</v>
      </c>
      <c r="L39" s="731">
        <f t="shared" si="0"/>
        <v>3678.8517993910004</v>
      </c>
      <c r="M39" s="2174">
        <f t="shared" si="0"/>
        <v>156300</v>
      </c>
      <c r="N39" s="731">
        <f t="shared" si="0"/>
        <v>285.60501492489999</v>
      </c>
      <c r="O39" s="732">
        <f t="shared" si="0"/>
        <v>30927656</v>
      </c>
      <c r="P39" s="731">
        <f t="shared" si="0"/>
        <v>17868.264305528999</v>
      </c>
      <c r="Q39" s="732">
        <f t="shared" si="0"/>
        <v>3881013</v>
      </c>
      <c r="R39" s="731">
        <f t="shared" si="0"/>
        <v>3404.9242624932999</v>
      </c>
      <c r="S39" s="2174">
        <f t="shared" si="0"/>
        <v>14110578</v>
      </c>
      <c r="T39" s="731">
        <f t="shared" si="0"/>
        <v>7798.2766557109999</v>
      </c>
      <c r="U39" s="732">
        <f t="shared" si="0"/>
        <v>2506018</v>
      </c>
      <c r="V39" s="731">
        <f t="shared" si="0"/>
        <v>1366.28361760545</v>
      </c>
      <c r="W39" s="732">
        <f t="shared" si="0"/>
        <v>55762882</v>
      </c>
      <c r="X39" s="731">
        <f t="shared" si="0"/>
        <v>34402.205655654645</v>
      </c>
      <c r="Y39" s="731">
        <f>Y127</f>
        <v>10751.054323832999</v>
      </c>
      <c r="Z39" s="732">
        <f t="shared" ref="Z39:AW39" si="1">Z116+Z117+Z118+Z119+Z120+Z121+Z122+Z123+Z124+Z125+Z126+Z127</f>
        <v>434492001</v>
      </c>
      <c r="AA39" s="731">
        <f t="shared" si="1"/>
        <v>474180.37460322591</v>
      </c>
      <c r="AB39" s="2174">
        <f t="shared" si="1"/>
        <v>454744</v>
      </c>
      <c r="AC39" s="731">
        <f t="shared" si="1"/>
        <v>1091.9693004845501</v>
      </c>
      <c r="AD39" s="732">
        <f t="shared" si="1"/>
        <v>33644266</v>
      </c>
      <c r="AE39" s="731">
        <f t="shared" si="1"/>
        <v>12583.985970700998</v>
      </c>
      <c r="AF39" s="732">
        <f t="shared" si="1"/>
        <v>1488603</v>
      </c>
      <c r="AG39" s="731">
        <f t="shared" si="1"/>
        <v>1073.3576745513001</v>
      </c>
      <c r="AH39" s="732">
        <f t="shared" si="1"/>
        <v>37362081</v>
      </c>
      <c r="AI39" s="731">
        <f t="shared" si="1"/>
        <v>7322.8434994829986</v>
      </c>
      <c r="AJ39" s="2174">
        <f t="shared" si="1"/>
        <v>2347656</v>
      </c>
      <c r="AK39" s="2175">
        <f t="shared" si="1"/>
        <v>758.96039009250001</v>
      </c>
      <c r="AL39" s="732">
        <f t="shared" si="1"/>
        <v>509789351</v>
      </c>
      <c r="AM39" s="731">
        <f t="shared" si="1"/>
        <v>497011.49143853842</v>
      </c>
      <c r="AN39" s="732">
        <f t="shared" si="1"/>
        <v>5793017</v>
      </c>
      <c r="AO39" s="731">
        <f t="shared" si="1"/>
        <v>3802.1311255627998</v>
      </c>
      <c r="AP39" s="732">
        <f t="shared" si="1"/>
        <v>2320695</v>
      </c>
      <c r="AQ39" s="731">
        <f t="shared" si="1"/>
        <v>1165.97937289385</v>
      </c>
      <c r="AR39" s="732">
        <f t="shared" si="1"/>
        <v>468345</v>
      </c>
      <c r="AS39" s="731">
        <f t="shared" si="1"/>
        <v>684.19183862</v>
      </c>
      <c r="AT39" s="732">
        <f t="shared" si="1"/>
        <v>1394674</v>
      </c>
      <c r="AU39" s="731">
        <f t="shared" si="1"/>
        <v>1592.5701099263999</v>
      </c>
      <c r="AV39" s="732">
        <f t="shared" si="1"/>
        <v>1534558</v>
      </c>
      <c r="AW39" s="731">
        <f t="shared" si="1"/>
        <v>1060.2527108180002</v>
      </c>
      <c r="AX39" s="732">
        <f t="shared" ref="AX39:BJ39" si="2">AX116+AX117+AX118+AX119+AX120+AX121+AX122+AX123+AX124+AX125+AX126+AX127</f>
        <v>3397577</v>
      </c>
      <c r="AY39" s="731">
        <f t="shared" si="2"/>
        <v>3337.0146593643999</v>
      </c>
      <c r="AZ39" s="732">
        <f t="shared" si="2"/>
        <v>577063522</v>
      </c>
      <c r="BA39" s="731">
        <f>BA116+BA117+BA118+BA119+BA120+BA121+BA122+BA123+BA124+BA125+BA126+BA127</f>
        <v>539718.82225201407</v>
      </c>
      <c r="BB39" s="732">
        <f>BB127</f>
        <v>2506478</v>
      </c>
      <c r="BC39" s="1187">
        <f t="shared" ref="BC39:BF39" si="3">BC127</f>
        <v>37046957</v>
      </c>
      <c r="BD39" s="2174">
        <f t="shared" si="3"/>
        <v>6075310</v>
      </c>
      <c r="BE39" s="732">
        <f t="shared" si="3"/>
        <v>45628745</v>
      </c>
      <c r="BF39" s="732">
        <f t="shared" si="3"/>
        <v>8951034</v>
      </c>
      <c r="BG39" s="732">
        <f t="shared" si="2"/>
        <v>125632927</v>
      </c>
      <c r="BH39" s="731">
        <f t="shared" si="2"/>
        <v>984606.09178214392</v>
      </c>
      <c r="BI39" s="732">
        <f>BI127</f>
        <v>1807659</v>
      </c>
      <c r="BJ39" s="732">
        <f t="shared" si="2"/>
        <v>6781512755</v>
      </c>
      <c r="BK39" s="2175">
        <f>BK116+BK117+BK118+BK119+BK120+BK121+BK122+BK123+BK124+BK125+BK126+BK127</f>
        <v>1536169.9589394298</v>
      </c>
      <c r="BL39" s="732">
        <f>BL127</f>
        <v>232418206</v>
      </c>
      <c r="BM39" s="732">
        <f>BM127</f>
        <v>15990</v>
      </c>
      <c r="BN39" s="732">
        <f t="shared" ref="BN39:BO39" si="4">BN116+BN117+BN118+BN119+BN120+BN121+BN122+BN123+BN124+BN125+BN126+BN127</f>
        <v>177379063</v>
      </c>
      <c r="BO39" s="731">
        <f t="shared" si="4"/>
        <v>832532.88427655981</v>
      </c>
      <c r="BP39" s="732">
        <f>BP127</f>
        <v>23033242</v>
      </c>
      <c r="BQ39" s="732">
        <f>BQ127</f>
        <v>13438</v>
      </c>
      <c r="BR39" s="732">
        <f>BR127</f>
        <v>118313</v>
      </c>
      <c r="BS39" s="1266"/>
      <c r="BT39" s="1188"/>
    </row>
    <row r="40" spans="1:74" s="173" customFormat="1" ht="11.1" customHeight="1" x14ac:dyDescent="0.2">
      <c r="A40" s="952" t="s">
        <v>2479</v>
      </c>
      <c r="B40" s="689"/>
      <c r="C40" s="732">
        <v>19381768</v>
      </c>
      <c r="D40" s="731">
        <v>1944840.5912117627</v>
      </c>
      <c r="E40" s="732">
        <v>96453</v>
      </c>
      <c r="F40" s="731">
        <v>4742.4942744240007</v>
      </c>
      <c r="G40" s="730">
        <v>19478221</v>
      </c>
      <c r="H40" s="731">
        <v>1949583.0854861867</v>
      </c>
      <c r="I40" s="2174">
        <v>278477752</v>
      </c>
      <c r="J40" s="731">
        <v>905561.53146106983</v>
      </c>
      <c r="K40" s="732">
        <v>4368649</v>
      </c>
      <c r="L40" s="731">
        <v>3698.1371457260002</v>
      </c>
      <c r="M40" s="2174">
        <v>107478</v>
      </c>
      <c r="N40" s="731">
        <v>219.01624261395</v>
      </c>
      <c r="O40" s="732">
        <v>34592218</v>
      </c>
      <c r="P40" s="731">
        <v>19381.575706776002</v>
      </c>
      <c r="Q40" s="732">
        <v>3825492</v>
      </c>
      <c r="R40" s="731">
        <v>2880.2869232616999</v>
      </c>
      <c r="S40" s="2174">
        <v>16145943</v>
      </c>
      <c r="T40" s="731">
        <v>10897.916407659</v>
      </c>
      <c r="U40" s="732">
        <v>3067896</v>
      </c>
      <c r="V40" s="731">
        <v>1510.4622544906001</v>
      </c>
      <c r="W40" s="732">
        <v>62107676</v>
      </c>
      <c r="X40" s="731">
        <v>38587.827778676248</v>
      </c>
      <c r="Y40" s="731">
        <v>12217.306967338</v>
      </c>
      <c r="Z40" s="732">
        <v>432046479</v>
      </c>
      <c r="AA40" s="731">
        <v>457640.54123106803</v>
      </c>
      <c r="AB40" s="2174">
        <v>270494</v>
      </c>
      <c r="AC40" s="731">
        <v>664.69207674760003</v>
      </c>
      <c r="AD40" s="732">
        <v>38996625</v>
      </c>
      <c r="AE40" s="731">
        <v>13419.344234515</v>
      </c>
      <c r="AF40" s="732">
        <v>1416621</v>
      </c>
      <c r="AG40" s="731">
        <v>980.92867197350006</v>
      </c>
      <c r="AH40" s="732">
        <v>43415127</v>
      </c>
      <c r="AI40" s="731">
        <v>8859.812259037999</v>
      </c>
      <c r="AJ40" s="2174">
        <v>3862813</v>
      </c>
      <c r="AK40" s="2175">
        <v>1320.6476802358998</v>
      </c>
      <c r="AL40" s="732">
        <v>520008159</v>
      </c>
      <c r="AM40" s="731">
        <v>482885.96615340794</v>
      </c>
      <c r="AN40" s="732">
        <v>6931986</v>
      </c>
      <c r="AO40" s="731">
        <v>4789.1272834249994</v>
      </c>
      <c r="AP40" s="732">
        <v>2018612</v>
      </c>
      <c r="AQ40" s="731">
        <v>766.91307764240014</v>
      </c>
      <c r="AR40" s="732">
        <v>461572</v>
      </c>
      <c r="AS40" s="731">
        <v>724.62272437000001</v>
      </c>
      <c r="AT40" s="732">
        <v>1468257</v>
      </c>
      <c r="AU40" s="731">
        <v>1457.349683099</v>
      </c>
      <c r="AV40" s="732">
        <v>2431212</v>
      </c>
      <c r="AW40" s="731">
        <v>1593.8075376199997</v>
      </c>
      <c r="AX40" s="732">
        <v>4361041</v>
      </c>
      <c r="AY40" s="731">
        <v>3775.7799450889993</v>
      </c>
      <c r="AZ40" s="732">
        <v>595427474</v>
      </c>
      <c r="BA40" s="731">
        <v>530805.61424681055</v>
      </c>
      <c r="BB40" s="732">
        <v>2946233</v>
      </c>
      <c r="BC40" s="1187">
        <v>43151639</v>
      </c>
      <c r="BD40" s="2174">
        <v>7039117</v>
      </c>
      <c r="BE40" s="732">
        <v>53136989</v>
      </c>
      <c r="BF40" s="732">
        <v>11366563</v>
      </c>
      <c r="BG40" s="732">
        <v>192446635</v>
      </c>
      <c r="BH40" s="731">
        <v>1151889.116012956</v>
      </c>
      <c r="BI40" s="732">
        <v>1436434</v>
      </c>
      <c r="BJ40" s="732">
        <v>7462822230</v>
      </c>
      <c r="BK40" s="2175">
        <v>1817408.056662936</v>
      </c>
      <c r="BL40" s="732">
        <v>145641488</v>
      </c>
      <c r="BM40" s="732">
        <v>15373</v>
      </c>
      <c r="BN40" s="732">
        <v>172718612.94999999</v>
      </c>
      <c r="BO40" s="731">
        <v>785177.11976756598</v>
      </c>
      <c r="BP40" s="732">
        <v>24406197</v>
      </c>
      <c r="BQ40" s="732">
        <v>12918</v>
      </c>
      <c r="BR40" s="732">
        <v>133178</v>
      </c>
      <c r="BS40" s="1266"/>
      <c r="BT40" s="1188"/>
    </row>
    <row r="41" spans="1:74" s="173" customFormat="1" ht="11.1" customHeight="1" x14ac:dyDescent="0.2">
      <c r="B41" s="1189"/>
      <c r="C41" s="947"/>
      <c r="D41" s="948"/>
      <c r="E41" s="947"/>
      <c r="F41" s="948"/>
      <c r="G41" s="1041"/>
      <c r="H41" s="948"/>
      <c r="I41" s="1294"/>
      <c r="J41" s="948"/>
      <c r="K41" s="947"/>
      <c r="L41" s="948"/>
      <c r="M41" s="1294"/>
      <c r="N41" s="948"/>
      <c r="O41" s="947"/>
      <c r="P41" s="948"/>
      <c r="Q41" s="947"/>
      <c r="R41" s="948"/>
      <c r="S41" s="1294"/>
      <c r="T41" s="948"/>
      <c r="U41" s="947"/>
      <c r="V41" s="948"/>
      <c r="W41" s="947"/>
      <c r="X41" s="948"/>
      <c r="Y41" s="948"/>
      <c r="Z41" s="947"/>
      <c r="AA41" s="948"/>
      <c r="AB41" s="1294"/>
      <c r="AC41" s="948"/>
      <c r="AD41" s="947"/>
      <c r="AE41" s="948"/>
      <c r="AF41" s="947"/>
      <c r="AG41" s="948"/>
      <c r="AH41" s="947"/>
      <c r="AI41" s="948"/>
      <c r="AJ41" s="1294"/>
      <c r="AK41" s="1295"/>
      <c r="AL41" s="947"/>
      <c r="AM41" s="948"/>
      <c r="AN41" s="947"/>
      <c r="AO41" s="948"/>
      <c r="AP41" s="947"/>
      <c r="AQ41" s="948"/>
      <c r="AR41" s="947"/>
      <c r="AS41" s="948"/>
      <c r="AT41" s="947"/>
      <c r="AU41" s="948"/>
      <c r="AV41" s="947"/>
      <c r="AW41" s="948"/>
      <c r="AX41" s="947"/>
      <c r="AY41" s="948"/>
      <c r="AZ41" s="947"/>
      <c r="BA41" s="948"/>
      <c r="BB41" s="947"/>
      <c r="BC41" s="1044"/>
      <c r="BD41" s="1294"/>
      <c r="BE41" s="947"/>
      <c r="BF41" s="947"/>
      <c r="BG41" s="947"/>
      <c r="BH41" s="948"/>
      <c r="BI41" s="947"/>
      <c r="BJ41" s="947"/>
      <c r="BK41" s="1295"/>
      <c r="BL41" s="947"/>
      <c r="BM41" s="947"/>
      <c r="BN41" s="947"/>
      <c r="BO41" s="948"/>
      <c r="BP41" s="947"/>
      <c r="BQ41" s="947"/>
      <c r="BR41" s="947"/>
      <c r="BS41" s="1266"/>
      <c r="BT41" s="1188"/>
    </row>
    <row r="42" spans="1:74" s="173" customFormat="1" ht="11.1" customHeight="1" x14ac:dyDescent="0.2">
      <c r="B42" s="1189"/>
      <c r="C42" s="947"/>
      <c r="D42" s="948"/>
      <c r="E42" s="947"/>
      <c r="F42" s="948"/>
      <c r="G42" s="1041"/>
      <c r="H42" s="948"/>
      <c r="I42" s="1294"/>
      <c r="J42" s="948"/>
      <c r="K42" s="947"/>
      <c r="L42" s="948"/>
      <c r="M42" s="1294"/>
      <c r="N42" s="948"/>
      <c r="O42" s="947"/>
      <c r="P42" s="948"/>
      <c r="Q42" s="947"/>
      <c r="R42" s="948"/>
      <c r="S42" s="1294"/>
      <c r="T42" s="948"/>
      <c r="U42" s="947"/>
      <c r="V42" s="948"/>
      <c r="W42" s="947"/>
      <c r="X42" s="948"/>
      <c r="Y42" s="948"/>
      <c r="Z42" s="947"/>
      <c r="AA42" s="948"/>
      <c r="AB42" s="1294"/>
      <c r="AC42" s="948"/>
      <c r="AD42" s="947"/>
      <c r="AE42" s="948"/>
      <c r="AF42" s="947"/>
      <c r="AG42" s="948"/>
      <c r="AH42" s="947"/>
      <c r="AI42" s="948"/>
      <c r="AJ42" s="1294"/>
      <c r="AK42" s="1295"/>
      <c r="AL42" s="947"/>
      <c r="AM42" s="948"/>
      <c r="AN42" s="947"/>
      <c r="AO42" s="948"/>
      <c r="AP42" s="947"/>
      <c r="AQ42" s="948"/>
      <c r="AR42" s="947"/>
      <c r="AS42" s="948"/>
      <c r="AT42" s="947"/>
      <c r="AU42" s="948"/>
      <c r="AV42" s="947"/>
      <c r="AW42" s="948"/>
      <c r="AX42" s="947"/>
      <c r="AY42" s="948"/>
      <c r="AZ42" s="947"/>
      <c r="BA42" s="948"/>
      <c r="BB42" s="947"/>
      <c r="BC42" s="1044"/>
      <c r="BD42" s="1294"/>
      <c r="BE42" s="947"/>
      <c r="BF42" s="947"/>
      <c r="BG42" s="947"/>
      <c r="BH42" s="948"/>
      <c r="BI42" s="947"/>
      <c r="BJ42" s="947"/>
      <c r="BK42" s="1295"/>
      <c r="BL42" s="947"/>
      <c r="BM42" s="947"/>
      <c r="BN42" s="947"/>
      <c r="BO42" s="948"/>
      <c r="BP42" s="947"/>
      <c r="BQ42" s="947"/>
      <c r="BR42" s="947"/>
      <c r="BS42" s="1266"/>
      <c r="BT42" s="1188"/>
    </row>
    <row r="43" spans="1:74" s="173" customFormat="1" ht="11.1" customHeight="1" x14ac:dyDescent="0.2">
      <c r="B43" s="1189"/>
      <c r="C43" s="947"/>
      <c r="D43" s="948"/>
      <c r="E43" s="947"/>
      <c r="F43" s="948"/>
      <c r="G43" s="1041"/>
      <c r="H43" s="948"/>
      <c r="I43" s="1294"/>
      <c r="J43" s="948"/>
      <c r="K43" s="947"/>
      <c r="L43" s="948"/>
      <c r="M43" s="1294"/>
      <c r="N43" s="948"/>
      <c r="O43" s="947"/>
      <c r="P43" s="948"/>
      <c r="Q43" s="947"/>
      <c r="R43" s="948"/>
      <c r="S43" s="1294"/>
      <c r="T43" s="948"/>
      <c r="U43" s="947"/>
      <c r="V43" s="948"/>
      <c r="W43" s="947"/>
      <c r="X43" s="948"/>
      <c r="Y43" s="948"/>
      <c r="Z43" s="947"/>
      <c r="AA43" s="948"/>
      <c r="AB43" s="1294"/>
      <c r="AC43" s="948"/>
      <c r="AD43" s="947"/>
      <c r="AE43" s="948"/>
      <c r="AF43" s="947"/>
      <c r="AG43" s="948"/>
      <c r="AH43" s="947"/>
      <c r="AI43" s="948"/>
      <c r="AJ43" s="1294"/>
      <c r="AK43" s="1295"/>
      <c r="AL43" s="947"/>
      <c r="AM43" s="948"/>
      <c r="AN43" s="947"/>
      <c r="AO43" s="948"/>
      <c r="AP43" s="947"/>
      <c r="AQ43" s="948"/>
      <c r="AR43" s="947"/>
      <c r="AS43" s="948"/>
      <c r="AT43" s="947"/>
      <c r="AU43" s="948"/>
      <c r="AV43" s="947"/>
      <c r="AW43" s="948"/>
      <c r="AX43" s="947"/>
      <c r="AY43" s="948"/>
      <c r="AZ43" s="947"/>
      <c r="BA43" s="948"/>
      <c r="BB43" s="947"/>
      <c r="BC43" s="1044"/>
      <c r="BD43" s="1294"/>
      <c r="BE43" s="947"/>
      <c r="BF43" s="947"/>
      <c r="BG43" s="947"/>
      <c r="BH43" s="948"/>
      <c r="BI43" s="947"/>
      <c r="BJ43" s="947"/>
      <c r="BK43" s="1295"/>
      <c r="BL43" s="947"/>
      <c r="BM43" s="947"/>
      <c r="BN43" s="947"/>
      <c r="BO43" s="948"/>
      <c r="BP43" s="947"/>
      <c r="BQ43" s="947"/>
      <c r="BR43" s="947"/>
      <c r="BS43" s="1266"/>
      <c r="BT43" s="1188"/>
    </row>
    <row r="44" spans="1:74" s="173" customFormat="1" ht="11.1" customHeight="1" x14ac:dyDescent="0.2">
      <c r="A44" s="689" t="s">
        <v>1296</v>
      </c>
      <c r="B44" s="950" t="s">
        <v>552</v>
      </c>
      <c r="C44" s="947"/>
      <c r="D44" s="948"/>
      <c r="E44" s="947"/>
      <c r="F44" s="948"/>
      <c r="G44" s="1041"/>
      <c r="H44" s="948"/>
      <c r="I44" s="1294"/>
      <c r="J44" s="948"/>
      <c r="K44" s="947"/>
      <c r="L44" s="948"/>
      <c r="M44" s="1294"/>
      <c r="N44" s="948"/>
      <c r="O44" s="947"/>
      <c r="P44" s="948"/>
      <c r="Q44" s="947"/>
      <c r="R44" s="948"/>
      <c r="S44" s="1294"/>
      <c r="T44" s="948"/>
      <c r="U44" s="947"/>
      <c r="V44" s="948"/>
      <c r="W44" s="947"/>
      <c r="X44" s="948"/>
      <c r="Y44" s="948"/>
      <c r="Z44" s="947"/>
      <c r="AA44" s="948"/>
      <c r="AB44" s="1294"/>
      <c r="AC44" s="948"/>
      <c r="AD44" s="947"/>
      <c r="AE44" s="948"/>
      <c r="AF44" s="947"/>
      <c r="AG44" s="948"/>
      <c r="AH44" s="947"/>
      <c r="AI44" s="948"/>
      <c r="AJ44" s="1294"/>
      <c r="AK44" s="1295"/>
      <c r="AL44" s="947"/>
      <c r="AM44" s="948"/>
      <c r="AN44" s="947"/>
      <c r="AO44" s="948"/>
      <c r="AP44" s="947"/>
      <c r="AQ44" s="948"/>
      <c r="AR44" s="947"/>
      <c r="AS44" s="948"/>
      <c r="AT44" s="947"/>
      <c r="AU44" s="948"/>
      <c r="AV44" s="947"/>
      <c r="AW44" s="948"/>
      <c r="AX44" s="947"/>
      <c r="AY44" s="948"/>
      <c r="AZ44" s="947"/>
      <c r="BA44" s="948"/>
      <c r="BB44" s="947"/>
      <c r="BC44" s="1044"/>
      <c r="BD44" s="1294"/>
      <c r="BE44" s="947"/>
      <c r="BF44" s="947"/>
      <c r="BG44" s="947"/>
      <c r="BH44" s="948"/>
      <c r="BI44" s="947"/>
      <c r="BJ44" s="947"/>
      <c r="BK44" s="1295"/>
      <c r="BL44" s="947"/>
      <c r="BM44" s="947"/>
      <c r="BN44" s="947"/>
      <c r="BO44" s="948"/>
      <c r="BP44" s="947"/>
      <c r="BQ44" s="947"/>
      <c r="BR44" s="947"/>
      <c r="BS44" s="1266"/>
      <c r="BT44" s="1188"/>
    </row>
    <row r="45" spans="1:74" s="173" customFormat="1" ht="11.1" customHeight="1" x14ac:dyDescent="0.2">
      <c r="A45" s="689" t="s">
        <v>1296</v>
      </c>
      <c r="B45" s="952" t="s">
        <v>553</v>
      </c>
      <c r="C45" s="947"/>
      <c r="D45" s="948"/>
      <c r="E45" s="947"/>
      <c r="F45" s="948"/>
      <c r="G45" s="1041"/>
      <c r="H45" s="948"/>
      <c r="I45" s="1294"/>
      <c r="J45" s="948"/>
      <c r="K45" s="947"/>
      <c r="L45" s="948"/>
      <c r="M45" s="1294"/>
      <c r="N45" s="948"/>
      <c r="O45" s="947"/>
      <c r="P45" s="948"/>
      <c r="Q45" s="947"/>
      <c r="R45" s="948"/>
      <c r="S45" s="1294"/>
      <c r="T45" s="948"/>
      <c r="U45" s="947"/>
      <c r="V45" s="948"/>
      <c r="W45" s="947"/>
      <c r="X45" s="948"/>
      <c r="Y45" s="948"/>
      <c r="Z45" s="947"/>
      <c r="AA45" s="948"/>
      <c r="AB45" s="1294"/>
      <c r="AC45" s="948"/>
      <c r="AD45" s="947"/>
      <c r="AE45" s="948"/>
      <c r="AF45" s="947"/>
      <c r="AG45" s="948"/>
      <c r="AH45" s="947"/>
      <c r="AI45" s="948"/>
      <c r="AJ45" s="1294"/>
      <c r="AK45" s="1295"/>
      <c r="AL45" s="947"/>
      <c r="AM45" s="948"/>
      <c r="AN45" s="947"/>
      <c r="AO45" s="948"/>
      <c r="AP45" s="947"/>
      <c r="AQ45" s="948"/>
      <c r="AR45" s="947"/>
      <c r="AS45" s="948"/>
      <c r="AT45" s="947"/>
      <c r="AU45" s="948"/>
      <c r="AV45" s="947"/>
      <c r="AW45" s="948"/>
      <c r="AX45" s="947"/>
      <c r="AY45" s="948"/>
      <c r="AZ45" s="947"/>
      <c r="BA45" s="948"/>
      <c r="BB45" s="947"/>
      <c r="BC45" s="1044"/>
      <c r="BD45" s="1294"/>
      <c r="BE45" s="947"/>
      <c r="BF45" s="947"/>
      <c r="BG45" s="947"/>
      <c r="BH45" s="948"/>
      <c r="BI45" s="947"/>
      <c r="BJ45" s="947"/>
      <c r="BK45" s="1295"/>
      <c r="BL45" s="947"/>
      <c r="BM45" s="947"/>
      <c r="BN45" s="947"/>
      <c r="BO45" s="948"/>
      <c r="BP45" s="947"/>
      <c r="BQ45" s="947"/>
      <c r="BR45" s="947"/>
      <c r="BS45" s="1266"/>
      <c r="BT45" s="1188"/>
    </row>
    <row r="46" spans="1:74" s="173" customFormat="1" ht="11.1" customHeight="1" x14ac:dyDescent="0.2">
      <c r="A46" s="689" t="s">
        <v>1296</v>
      </c>
      <c r="B46" s="950" t="s">
        <v>547</v>
      </c>
      <c r="C46" s="947"/>
      <c r="D46" s="948"/>
      <c r="E46" s="947"/>
      <c r="F46" s="948"/>
      <c r="G46" s="1041"/>
      <c r="H46" s="948"/>
      <c r="I46" s="1294"/>
      <c r="J46" s="948"/>
      <c r="K46" s="947"/>
      <c r="L46" s="948"/>
      <c r="M46" s="1294"/>
      <c r="N46" s="948"/>
      <c r="O46" s="947"/>
      <c r="P46" s="948"/>
      <c r="Q46" s="947"/>
      <c r="R46" s="948"/>
      <c r="S46" s="1294"/>
      <c r="T46" s="948"/>
      <c r="U46" s="947"/>
      <c r="V46" s="948"/>
      <c r="W46" s="947"/>
      <c r="X46" s="948"/>
      <c r="Y46" s="948"/>
      <c r="Z46" s="947"/>
      <c r="AA46" s="948"/>
      <c r="AB46" s="1294"/>
      <c r="AC46" s="948"/>
      <c r="AD46" s="947"/>
      <c r="AE46" s="948"/>
      <c r="AF46" s="947"/>
      <c r="AG46" s="948"/>
      <c r="AH46" s="947"/>
      <c r="AI46" s="948"/>
      <c r="AJ46" s="1294"/>
      <c r="AK46" s="1295"/>
      <c r="AL46" s="947"/>
      <c r="AM46" s="948"/>
      <c r="AN46" s="947"/>
      <c r="AO46" s="948"/>
      <c r="AP46" s="947"/>
      <c r="AQ46" s="948"/>
      <c r="AR46" s="947"/>
      <c r="AS46" s="948"/>
      <c r="AT46" s="947"/>
      <c r="AU46" s="948"/>
      <c r="AV46" s="947"/>
      <c r="AW46" s="948"/>
      <c r="AX46" s="947"/>
      <c r="AY46" s="948"/>
      <c r="AZ46" s="947"/>
      <c r="BA46" s="948"/>
      <c r="BB46" s="947"/>
      <c r="BC46" s="1044"/>
      <c r="BD46" s="1294"/>
      <c r="BE46" s="947"/>
      <c r="BF46" s="947"/>
      <c r="BG46" s="947"/>
      <c r="BH46" s="948"/>
      <c r="BI46" s="947"/>
      <c r="BJ46" s="947"/>
      <c r="BK46" s="1295"/>
      <c r="BL46" s="947"/>
      <c r="BM46" s="947"/>
      <c r="BN46" s="947"/>
      <c r="BO46" s="948"/>
      <c r="BP46" s="947"/>
      <c r="BQ46" s="947"/>
      <c r="BR46" s="947"/>
      <c r="BS46" s="1266"/>
      <c r="BT46" s="1188"/>
    </row>
    <row r="47" spans="1:74" s="173" customFormat="1" ht="11.1" customHeight="1" x14ac:dyDescent="0.2">
      <c r="A47" s="689" t="s">
        <v>1296</v>
      </c>
      <c r="B47" s="952" t="s">
        <v>554</v>
      </c>
      <c r="C47" s="947"/>
      <c r="D47" s="948"/>
      <c r="E47" s="947"/>
      <c r="F47" s="948"/>
      <c r="G47" s="1041"/>
      <c r="H47" s="948"/>
      <c r="I47" s="1294"/>
      <c r="J47" s="948"/>
      <c r="K47" s="947"/>
      <c r="L47" s="948"/>
      <c r="M47" s="1294"/>
      <c r="N47" s="948"/>
      <c r="O47" s="947"/>
      <c r="P47" s="948"/>
      <c r="Q47" s="947"/>
      <c r="R47" s="948"/>
      <c r="S47" s="1294"/>
      <c r="T47" s="948"/>
      <c r="U47" s="947"/>
      <c r="V47" s="948"/>
      <c r="W47" s="947"/>
      <c r="X47" s="948"/>
      <c r="Y47" s="948"/>
      <c r="Z47" s="947"/>
      <c r="AA47" s="948"/>
      <c r="AB47" s="1294"/>
      <c r="AC47" s="948"/>
      <c r="AD47" s="947"/>
      <c r="AE47" s="948"/>
      <c r="AF47" s="947"/>
      <c r="AG47" s="948"/>
      <c r="AH47" s="947"/>
      <c r="AI47" s="948"/>
      <c r="AJ47" s="1294"/>
      <c r="AK47" s="1295"/>
      <c r="AL47" s="947"/>
      <c r="AM47" s="948"/>
      <c r="AN47" s="947"/>
      <c r="AO47" s="948"/>
      <c r="AP47" s="947"/>
      <c r="AQ47" s="948"/>
      <c r="AR47" s="947"/>
      <c r="AS47" s="948"/>
      <c r="AT47" s="947"/>
      <c r="AU47" s="948"/>
      <c r="AV47" s="947"/>
      <c r="AW47" s="948"/>
      <c r="AX47" s="947"/>
      <c r="AY47" s="948"/>
      <c r="AZ47" s="947"/>
      <c r="BA47" s="948"/>
      <c r="BB47" s="947"/>
      <c r="BC47" s="1044"/>
      <c r="BD47" s="1294"/>
      <c r="BE47" s="947"/>
      <c r="BF47" s="947"/>
      <c r="BG47" s="947"/>
      <c r="BH47" s="948"/>
      <c r="BI47" s="947"/>
      <c r="BJ47" s="947"/>
      <c r="BK47" s="1295"/>
      <c r="BL47" s="947"/>
      <c r="BM47" s="947"/>
      <c r="BN47" s="947"/>
      <c r="BO47" s="948"/>
      <c r="BP47" s="947"/>
      <c r="BQ47" s="947"/>
      <c r="BR47" s="947"/>
      <c r="BS47" s="1266"/>
      <c r="BT47" s="1188"/>
    </row>
    <row r="48" spans="1:74" s="173" customFormat="1" ht="11.1" customHeight="1" x14ac:dyDescent="0.2">
      <c r="A48" s="689" t="s">
        <v>1296</v>
      </c>
      <c r="B48" s="950" t="s">
        <v>555</v>
      </c>
      <c r="C48" s="947"/>
      <c r="D48" s="948"/>
      <c r="E48" s="947"/>
      <c r="F48" s="948"/>
      <c r="G48" s="1041"/>
      <c r="H48" s="948"/>
      <c r="I48" s="1294"/>
      <c r="J48" s="948"/>
      <c r="K48" s="947"/>
      <c r="L48" s="948"/>
      <c r="M48" s="1294"/>
      <c r="N48" s="948"/>
      <c r="O48" s="947"/>
      <c r="P48" s="948"/>
      <c r="Q48" s="947"/>
      <c r="R48" s="948"/>
      <c r="S48" s="1294"/>
      <c r="T48" s="948"/>
      <c r="U48" s="947"/>
      <c r="V48" s="948"/>
      <c r="W48" s="947"/>
      <c r="X48" s="948"/>
      <c r="Y48" s="948"/>
      <c r="Z48" s="947"/>
      <c r="AA48" s="948"/>
      <c r="AB48" s="1294"/>
      <c r="AC48" s="948"/>
      <c r="AD48" s="947"/>
      <c r="AE48" s="948"/>
      <c r="AF48" s="947"/>
      <c r="AG48" s="948"/>
      <c r="AH48" s="947"/>
      <c r="AI48" s="948"/>
      <c r="AJ48" s="1294"/>
      <c r="AK48" s="1295"/>
      <c r="AL48" s="947"/>
      <c r="AM48" s="948"/>
      <c r="AN48" s="947"/>
      <c r="AO48" s="948"/>
      <c r="AP48" s="947"/>
      <c r="AQ48" s="948"/>
      <c r="AR48" s="947"/>
      <c r="AS48" s="948"/>
      <c r="AT48" s="947"/>
      <c r="AU48" s="948"/>
      <c r="AV48" s="947"/>
      <c r="AW48" s="948"/>
      <c r="AX48" s="947"/>
      <c r="AY48" s="948"/>
      <c r="AZ48" s="947"/>
      <c r="BA48" s="948"/>
      <c r="BB48" s="947"/>
      <c r="BC48" s="1044"/>
      <c r="BD48" s="1294"/>
      <c r="BE48" s="947"/>
      <c r="BF48" s="947"/>
      <c r="BG48" s="947"/>
      <c r="BH48" s="948"/>
      <c r="BI48" s="947"/>
      <c r="BJ48" s="947"/>
      <c r="BK48" s="1295"/>
      <c r="BL48" s="947"/>
      <c r="BM48" s="947"/>
      <c r="BN48" s="947"/>
      <c r="BO48" s="948"/>
      <c r="BP48" s="947"/>
      <c r="BQ48" s="947"/>
      <c r="BR48" s="947"/>
      <c r="BS48" s="1266"/>
      <c r="BT48" s="1188"/>
    </row>
    <row r="49" spans="1:72" s="173" customFormat="1" ht="11.1" customHeight="1" x14ac:dyDescent="0.2">
      <c r="A49" s="689" t="s">
        <v>1296</v>
      </c>
      <c r="B49" s="952" t="s">
        <v>548</v>
      </c>
      <c r="C49" s="947"/>
      <c r="D49" s="948"/>
      <c r="E49" s="947"/>
      <c r="F49" s="948"/>
      <c r="G49" s="1041"/>
      <c r="H49" s="948"/>
      <c r="I49" s="1294"/>
      <c r="J49" s="948"/>
      <c r="K49" s="947"/>
      <c r="L49" s="948"/>
      <c r="M49" s="1294"/>
      <c r="N49" s="948"/>
      <c r="O49" s="947"/>
      <c r="P49" s="948"/>
      <c r="Q49" s="947"/>
      <c r="R49" s="948"/>
      <c r="S49" s="1294"/>
      <c r="T49" s="948"/>
      <c r="U49" s="947"/>
      <c r="V49" s="948"/>
      <c r="W49" s="947"/>
      <c r="X49" s="948"/>
      <c r="Y49" s="948"/>
      <c r="Z49" s="947"/>
      <c r="AA49" s="948"/>
      <c r="AB49" s="1294"/>
      <c r="AC49" s="948"/>
      <c r="AD49" s="947"/>
      <c r="AE49" s="948"/>
      <c r="AF49" s="947"/>
      <c r="AG49" s="948"/>
      <c r="AH49" s="947"/>
      <c r="AI49" s="948"/>
      <c r="AJ49" s="1294"/>
      <c r="AK49" s="1295"/>
      <c r="AL49" s="947"/>
      <c r="AM49" s="948"/>
      <c r="AN49" s="947"/>
      <c r="AO49" s="948"/>
      <c r="AP49" s="947"/>
      <c r="AQ49" s="948"/>
      <c r="AR49" s="947"/>
      <c r="AS49" s="948"/>
      <c r="AT49" s="947"/>
      <c r="AU49" s="948"/>
      <c r="AV49" s="947"/>
      <c r="AW49" s="948"/>
      <c r="AX49" s="947"/>
      <c r="AY49" s="948"/>
      <c r="AZ49" s="947"/>
      <c r="BA49" s="948"/>
      <c r="BB49" s="947"/>
      <c r="BC49" s="1044"/>
      <c r="BD49" s="1294"/>
      <c r="BE49" s="947"/>
      <c r="BF49" s="947"/>
      <c r="BG49" s="947"/>
      <c r="BH49" s="948"/>
      <c r="BI49" s="947"/>
      <c r="BJ49" s="947"/>
      <c r="BK49" s="1295"/>
      <c r="BL49" s="947"/>
      <c r="BM49" s="947"/>
      <c r="BN49" s="947"/>
      <c r="BO49" s="948"/>
      <c r="BP49" s="947"/>
      <c r="BQ49" s="947"/>
      <c r="BR49" s="947"/>
      <c r="BS49" s="1266"/>
      <c r="BT49" s="1188"/>
    </row>
    <row r="50" spans="1:72" s="173" customFormat="1" ht="11.1" customHeight="1" x14ac:dyDescent="0.2">
      <c r="A50" s="689" t="s">
        <v>1296</v>
      </c>
      <c r="B50" s="950" t="s">
        <v>556</v>
      </c>
      <c r="C50" s="947"/>
      <c r="D50" s="948"/>
      <c r="E50" s="947"/>
      <c r="F50" s="948"/>
      <c r="G50" s="1041"/>
      <c r="H50" s="948"/>
      <c r="I50" s="1294"/>
      <c r="J50" s="948"/>
      <c r="K50" s="947"/>
      <c r="L50" s="948"/>
      <c r="M50" s="1294"/>
      <c r="N50" s="948"/>
      <c r="O50" s="947"/>
      <c r="P50" s="948"/>
      <c r="Q50" s="947"/>
      <c r="R50" s="948"/>
      <c r="S50" s="1294"/>
      <c r="T50" s="948"/>
      <c r="U50" s="947"/>
      <c r="V50" s="948"/>
      <c r="W50" s="947"/>
      <c r="X50" s="948"/>
      <c r="Y50" s="948"/>
      <c r="Z50" s="947"/>
      <c r="AA50" s="948"/>
      <c r="AB50" s="1294"/>
      <c r="AC50" s="948"/>
      <c r="AD50" s="947"/>
      <c r="AE50" s="948"/>
      <c r="AF50" s="947"/>
      <c r="AG50" s="948"/>
      <c r="AH50" s="947"/>
      <c r="AI50" s="948"/>
      <c r="AJ50" s="1294"/>
      <c r="AK50" s="1295"/>
      <c r="AL50" s="947"/>
      <c r="AM50" s="948"/>
      <c r="AN50" s="947"/>
      <c r="AO50" s="948"/>
      <c r="AP50" s="947"/>
      <c r="AQ50" s="948"/>
      <c r="AR50" s="947"/>
      <c r="AS50" s="948"/>
      <c r="AT50" s="947"/>
      <c r="AU50" s="948"/>
      <c r="AV50" s="947"/>
      <c r="AW50" s="948"/>
      <c r="AX50" s="947"/>
      <c r="AY50" s="948"/>
      <c r="AZ50" s="947"/>
      <c r="BA50" s="948"/>
      <c r="BB50" s="947"/>
      <c r="BC50" s="1044"/>
      <c r="BD50" s="1294"/>
      <c r="BE50" s="947"/>
      <c r="BF50" s="947"/>
      <c r="BG50" s="947"/>
      <c r="BH50" s="948"/>
      <c r="BI50" s="947"/>
      <c r="BJ50" s="947"/>
      <c r="BK50" s="1295"/>
      <c r="BL50" s="947"/>
      <c r="BM50" s="947"/>
      <c r="BN50" s="947"/>
      <c r="BO50" s="948"/>
      <c r="BP50" s="947"/>
      <c r="BQ50" s="947"/>
      <c r="BR50" s="947"/>
      <c r="BS50" s="1266"/>
      <c r="BT50" s="1188"/>
    </row>
    <row r="51" spans="1:72" s="173" customFormat="1" ht="11.1" customHeight="1" x14ac:dyDescent="0.2">
      <c r="A51" s="689" t="s">
        <v>1296</v>
      </c>
      <c r="B51" s="952" t="s">
        <v>557</v>
      </c>
      <c r="C51" s="947"/>
      <c r="D51" s="948"/>
      <c r="E51" s="947"/>
      <c r="F51" s="948"/>
      <c r="G51" s="1041"/>
      <c r="H51" s="948"/>
      <c r="I51" s="1294"/>
      <c r="J51" s="948"/>
      <c r="K51" s="947"/>
      <c r="L51" s="948"/>
      <c r="M51" s="1294"/>
      <c r="N51" s="948"/>
      <c r="O51" s="947"/>
      <c r="P51" s="948"/>
      <c r="Q51" s="947"/>
      <c r="R51" s="948"/>
      <c r="S51" s="1294"/>
      <c r="T51" s="948"/>
      <c r="U51" s="947"/>
      <c r="V51" s="948"/>
      <c r="W51" s="947"/>
      <c r="X51" s="948"/>
      <c r="Y51" s="948"/>
      <c r="Z51" s="947"/>
      <c r="AA51" s="948"/>
      <c r="AB51" s="1294"/>
      <c r="AC51" s="948"/>
      <c r="AD51" s="947"/>
      <c r="AE51" s="948"/>
      <c r="AF51" s="947"/>
      <c r="AG51" s="948"/>
      <c r="AH51" s="947"/>
      <c r="AI51" s="948"/>
      <c r="AJ51" s="1294"/>
      <c r="AK51" s="1295"/>
      <c r="AL51" s="947"/>
      <c r="AM51" s="948"/>
      <c r="AN51" s="947"/>
      <c r="AO51" s="948"/>
      <c r="AP51" s="947"/>
      <c r="AQ51" s="948"/>
      <c r="AR51" s="947"/>
      <c r="AS51" s="948"/>
      <c r="AT51" s="947"/>
      <c r="AU51" s="948"/>
      <c r="AV51" s="947"/>
      <c r="AW51" s="948"/>
      <c r="AX51" s="947"/>
      <c r="AY51" s="948"/>
      <c r="AZ51" s="947"/>
      <c r="BA51" s="948"/>
      <c r="BB51" s="947"/>
      <c r="BC51" s="1044"/>
      <c r="BD51" s="1294"/>
      <c r="BE51" s="947"/>
      <c r="BF51" s="947"/>
      <c r="BG51" s="947"/>
      <c r="BH51" s="948"/>
      <c r="BI51" s="947"/>
      <c r="BJ51" s="947"/>
      <c r="BK51" s="1295"/>
      <c r="BL51" s="947"/>
      <c r="BM51" s="947"/>
      <c r="BN51" s="947"/>
      <c r="BO51" s="948"/>
      <c r="BP51" s="947"/>
      <c r="BQ51" s="947"/>
      <c r="BR51" s="947"/>
      <c r="BS51" s="1266"/>
      <c r="BT51" s="1188"/>
    </row>
    <row r="52" spans="1:72" s="173" customFormat="1" ht="11.1" customHeight="1" x14ac:dyDescent="0.2">
      <c r="A52" s="689" t="s">
        <v>1296</v>
      </c>
      <c r="B52" s="950" t="s">
        <v>549</v>
      </c>
      <c r="C52" s="947"/>
      <c r="D52" s="948"/>
      <c r="E52" s="947"/>
      <c r="F52" s="948"/>
      <c r="G52" s="1041"/>
      <c r="H52" s="948"/>
      <c r="I52" s="1294"/>
      <c r="J52" s="948"/>
      <c r="K52" s="947"/>
      <c r="L52" s="948"/>
      <c r="M52" s="1294"/>
      <c r="N52" s="948"/>
      <c r="O52" s="947"/>
      <c r="P52" s="948"/>
      <c r="Q52" s="947"/>
      <c r="R52" s="948"/>
      <c r="S52" s="1294"/>
      <c r="T52" s="948"/>
      <c r="U52" s="947"/>
      <c r="V52" s="948"/>
      <c r="W52" s="947"/>
      <c r="X52" s="948"/>
      <c r="Y52" s="948"/>
      <c r="Z52" s="947"/>
      <c r="AA52" s="948"/>
      <c r="AB52" s="1294"/>
      <c r="AC52" s="948"/>
      <c r="AD52" s="947"/>
      <c r="AE52" s="948"/>
      <c r="AF52" s="947"/>
      <c r="AG52" s="948"/>
      <c r="AH52" s="947"/>
      <c r="AI52" s="948"/>
      <c r="AJ52" s="1294"/>
      <c r="AK52" s="1295"/>
      <c r="AL52" s="947"/>
      <c r="AM52" s="948"/>
      <c r="AN52" s="947"/>
      <c r="AO52" s="948"/>
      <c r="AP52" s="947"/>
      <c r="AQ52" s="948"/>
      <c r="AR52" s="947"/>
      <c r="AS52" s="948"/>
      <c r="AT52" s="947"/>
      <c r="AU52" s="948"/>
      <c r="AV52" s="947"/>
      <c r="AW52" s="948"/>
      <c r="AX52" s="947"/>
      <c r="AY52" s="948"/>
      <c r="AZ52" s="947"/>
      <c r="BA52" s="948"/>
      <c r="BB52" s="947"/>
      <c r="BC52" s="1044"/>
      <c r="BD52" s="1294"/>
      <c r="BE52" s="947"/>
      <c r="BF52" s="947"/>
      <c r="BG52" s="947"/>
      <c r="BH52" s="948"/>
      <c r="BI52" s="947"/>
      <c r="BJ52" s="947"/>
      <c r="BK52" s="1295"/>
      <c r="BL52" s="947"/>
      <c r="BM52" s="947"/>
      <c r="BN52" s="947"/>
      <c r="BO52" s="948"/>
      <c r="BP52" s="947"/>
      <c r="BQ52" s="947"/>
      <c r="BR52" s="947"/>
      <c r="BS52" s="1266"/>
      <c r="BT52" s="1188"/>
    </row>
    <row r="53" spans="1:72" s="173" customFormat="1" ht="11.1" customHeight="1" x14ac:dyDescent="0.2">
      <c r="A53" s="689" t="s">
        <v>1296</v>
      </c>
      <c r="B53" s="952" t="s">
        <v>558</v>
      </c>
      <c r="C53" s="947"/>
      <c r="D53" s="948"/>
      <c r="E53" s="947"/>
      <c r="F53" s="948"/>
      <c r="G53" s="1041"/>
      <c r="H53" s="948"/>
      <c r="I53" s="1294"/>
      <c r="J53" s="948"/>
      <c r="K53" s="947"/>
      <c r="L53" s="948"/>
      <c r="M53" s="1294"/>
      <c r="N53" s="948"/>
      <c r="O53" s="947"/>
      <c r="P53" s="948"/>
      <c r="Q53" s="947"/>
      <c r="R53" s="948"/>
      <c r="S53" s="1294"/>
      <c r="T53" s="948"/>
      <c r="U53" s="947"/>
      <c r="V53" s="948"/>
      <c r="W53" s="947"/>
      <c r="X53" s="948"/>
      <c r="Y53" s="948"/>
      <c r="Z53" s="947"/>
      <c r="AA53" s="948"/>
      <c r="AB53" s="1294"/>
      <c r="AC53" s="948"/>
      <c r="AD53" s="947"/>
      <c r="AE53" s="948"/>
      <c r="AF53" s="947"/>
      <c r="AG53" s="948"/>
      <c r="AH53" s="947"/>
      <c r="AI53" s="948"/>
      <c r="AJ53" s="1294"/>
      <c r="AK53" s="1295"/>
      <c r="AL53" s="947"/>
      <c r="AM53" s="948"/>
      <c r="AN53" s="947"/>
      <c r="AO53" s="948"/>
      <c r="AP53" s="947"/>
      <c r="AQ53" s="948"/>
      <c r="AR53" s="947"/>
      <c r="AS53" s="948"/>
      <c r="AT53" s="947"/>
      <c r="AU53" s="948"/>
      <c r="AV53" s="947"/>
      <c r="AW53" s="948"/>
      <c r="AX53" s="947"/>
      <c r="AY53" s="948"/>
      <c r="AZ53" s="947"/>
      <c r="BA53" s="948"/>
      <c r="BB53" s="947"/>
      <c r="BC53" s="1044"/>
      <c r="BD53" s="1294"/>
      <c r="BE53" s="947"/>
      <c r="BF53" s="947"/>
      <c r="BG53" s="947"/>
      <c r="BH53" s="948"/>
      <c r="BI53" s="947"/>
      <c r="BJ53" s="947"/>
      <c r="BK53" s="1295"/>
      <c r="BL53" s="947"/>
      <c r="BM53" s="947"/>
      <c r="BN53" s="947"/>
      <c r="BO53" s="948"/>
      <c r="BP53" s="947"/>
      <c r="BQ53" s="947"/>
      <c r="BR53" s="947"/>
      <c r="BS53" s="1266"/>
      <c r="BT53" s="1188"/>
    </row>
    <row r="54" spans="1:72" s="173" customFormat="1" ht="11.1" customHeight="1" x14ac:dyDescent="0.2">
      <c r="A54" s="689" t="s">
        <v>1296</v>
      </c>
      <c r="B54" s="950" t="s">
        <v>559</v>
      </c>
      <c r="C54" s="947"/>
      <c r="D54" s="948"/>
      <c r="E54" s="947"/>
      <c r="F54" s="948"/>
      <c r="G54" s="1041"/>
      <c r="H54" s="948"/>
      <c r="I54" s="1294"/>
      <c r="J54" s="948"/>
      <c r="K54" s="947"/>
      <c r="L54" s="948"/>
      <c r="M54" s="1294"/>
      <c r="N54" s="948"/>
      <c r="O54" s="947"/>
      <c r="P54" s="948"/>
      <c r="Q54" s="947"/>
      <c r="R54" s="948"/>
      <c r="S54" s="1294"/>
      <c r="T54" s="948"/>
      <c r="U54" s="947"/>
      <c r="V54" s="948"/>
      <c r="W54" s="947"/>
      <c r="X54" s="948"/>
      <c r="Y54" s="948"/>
      <c r="Z54" s="947"/>
      <c r="AA54" s="948"/>
      <c r="AB54" s="1294"/>
      <c r="AC54" s="948"/>
      <c r="AD54" s="947"/>
      <c r="AE54" s="948"/>
      <c r="AF54" s="947"/>
      <c r="AG54" s="948"/>
      <c r="AH54" s="947"/>
      <c r="AI54" s="948"/>
      <c r="AJ54" s="1294"/>
      <c r="AK54" s="1295"/>
      <c r="AL54" s="947"/>
      <c r="AM54" s="948"/>
      <c r="AN54" s="947"/>
      <c r="AO54" s="948"/>
      <c r="AP54" s="947"/>
      <c r="AQ54" s="948"/>
      <c r="AR54" s="947"/>
      <c r="AS54" s="948"/>
      <c r="AT54" s="947"/>
      <c r="AU54" s="948"/>
      <c r="AV54" s="947"/>
      <c r="AW54" s="948"/>
      <c r="AX54" s="947"/>
      <c r="AY54" s="948"/>
      <c r="AZ54" s="947"/>
      <c r="BA54" s="948"/>
      <c r="BB54" s="947"/>
      <c r="BC54" s="1044"/>
      <c r="BD54" s="1294"/>
      <c r="BE54" s="947"/>
      <c r="BF54" s="947"/>
      <c r="BG54" s="947"/>
      <c r="BH54" s="948"/>
      <c r="BI54" s="947"/>
      <c r="BJ54" s="947"/>
      <c r="BK54" s="1295"/>
      <c r="BL54" s="947"/>
      <c r="BM54" s="947"/>
      <c r="BN54" s="947"/>
      <c r="BO54" s="948"/>
      <c r="BP54" s="947"/>
      <c r="BQ54" s="947"/>
      <c r="BR54" s="947"/>
      <c r="BS54" s="1266"/>
      <c r="BT54" s="1188"/>
    </row>
    <row r="55" spans="1:72" s="173" customFormat="1" ht="11.1" customHeight="1" x14ac:dyDescent="0.2">
      <c r="A55" s="689" t="s">
        <v>1296</v>
      </c>
      <c r="B55" s="952" t="s">
        <v>550</v>
      </c>
      <c r="C55" s="947"/>
      <c r="D55" s="948"/>
      <c r="E55" s="947"/>
      <c r="F55" s="948"/>
      <c r="G55" s="1041"/>
      <c r="H55" s="948"/>
      <c r="I55" s="1294"/>
      <c r="J55" s="948"/>
      <c r="K55" s="947"/>
      <c r="L55" s="948"/>
      <c r="M55" s="1294"/>
      <c r="N55" s="948"/>
      <c r="O55" s="947"/>
      <c r="P55" s="948"/>
      <c r="Q55" s="947"/>
      <c r="R55" s="948"/>
      <c r="S55" s="1294"/>
      <c r="T55" s="948"/>
      <c r="U55" s="947"/>
      <c r="V55" s="948"/>
      <c r="W55" s="947"/>
      <c r="X55" s="948"/>
      <c r="Y55" s="948"/>
      <c r="Z55" s="947"/>
      <c r="AA55" s="948"/>
      <c r="AB55" s="1294"/>
      <c r="AC55" s="948"/>
      <c r="AD55" s="947"/>
      <c r="AE55" s="948"/>
      <c r="AF55" s="947"/>
      <c r="AG55" s="948"/>
      <c r="AH55" s="947"/>
      <c r="AI55" s="948"/>
      <c r="AJ55" s="1294"/>
      <c r="AK55" s="1295"/>
      <c r="AL55" s="947"/>
      <c r="AM55" s="948"/>
      <c r="AN55" s="947"/>
      <c r="AO55" s="948"/>
      <c r="AP55" s="947"/>
      <c r="AQ55" s="948"/>
      <c r="AR55" s="947"/>
      <c r="AS55" s="948"/>
      <c r="AT55" s="947"/>
      <c r="AU55" s="948"/>
      <c r="AV55" s="947"/>
      <c r="AW55" s="948"/>
      <c r="AX55" s="947"/>
      <c r="AY55" s="948"/>
      <c r="AZ55" s="947"/>
      <c r="BA55" s="948"/>
      <c r="BB55" s="947"/>
      <c r="BC55" s="1044"/>
      <c r="BD55" s="1294"/>
      <c r="BE55" s="947"/>
      <c r="BF55" s="947"/>
      <c r="BG55" s="947"/>
      <c r="BH55" s="948"/>
      <c r="BI55" s="947"/>
      <c r="BJ55" s="947"/>
      <c r="BK55" s="1295"/>
      <c r="BL55" s="947"/>
      <c r="BM55" s="947"/>
      <c r="BN55" s="947"/>
      <c r="BO55" s="948"/>
      <c r="BP55" s="947"/>
      <c r="BQ55" s="947"/>
      <c r="BR55" s="947"/>
      <c r="BS55" s="1266"/>
      <c r="BT55" s="1188"/>
    </row>
    <row r="56" spans="1:72" s="173" customFormat="1" ht="11.1" customHeight="1" x14ac:dyDescent="0.2">
      <c r="A56" s="689" t="s">
        <v>1404</v>
      </c>
      <c r="B56" s="950" t="s">
        <v>552</v>
      </c>
      <c r="C56" s="947"/>
      <c r="D56" s="948"/>
      <c r="E56" s="947"/>
      <c r="F56" s="948"/>
      <c r="G56" s="1041"/>
      <c r="H56" s="948"/>
      <c r="I56" s="1294"/>
      <c r="J56" s="948"/>
      <c r="K56" s="947"/>
      <c r="L56" s="948"/>
      <c r="M56" s="1294"/>
      <c r="N56" s="948"/>
      <c r="O56" s="947"/>
      <c r="P56" s="948"/>
      <c r="Q56" s="947"/>
      <c r="R56" s="948"/>
      <c r="S56" s="1294"/>
      <c r="T56" s="948"/>
      <c r="U56" s="947"/>
      <c r="V56" s="948"/>
      <c r="W56" s="947"/>
      <c r="X56" s="948"/>
      <c r="Y56" s="948"/>
      <c r="Z56" s="947"/>
      <c r="AA56" s="948"/>
      <c r="AB56" s="1294"/>
      <c r="AC56" s="948"/>
      <c r="AD56" s="947"/>
      <c r="AE56" s="948"/>
      <c r="AF56" s="947"/>
      <c r="AG56" s="948"/>
      <c r="AH56" s="947"/>
      <c r="AI56" s="948"/>
      <c r="AJ56" s="1294"/>
      <c r="AK56" s="1295"/>
      <c r="AL56" s="947"/>
      <c r="AM56" s="948"/>
      <c r="AN56" s="947"/>
      <c r="AO56" s="948"/>
      <c r="AP56" s="947"/>
      <c r="AQ56" s="948"/>
      <c r="AR56" s="947"/>
      <c r="AS56" s="948"/>
      <c r="AT56" s="947"/>
      <c r="AU56" s="948"/>
      <c r="AV56" s="947"/>
      <c r="AW56" s="948"/>
      <c r="AX56" s="947"/>
      <c r="AY56" s="948"/>
      <c r="AZ56" s="947"/>
      <c r="BA56" s="948"/>
      <c r="BB56" s="947"/>
      <c r="BC56" s="1044"/>
      <c r="BD56" s="1294"/>
      <c r="BE56" s="947"/>
      <c r="BF56" s="947"/>
      <c r="BG56" s="947"/>
      <c r="BH56" s="948"/>
      <c r="BI56" s="947"/>
      <c r="BJ56" s="947"/>
      <c r="BK56" s="1295"/>
      <c r="BL56" s="947"/>
      <c r="BM56" s="947"/>
      <c r="BN56" s="947"/>
      <c r="BO56" s="948"/>
      <c r="BP56" s="947"/>
      <c r="BQ56" s="947"/>
      <c r="BR56" s="947"/>
      <c r="BS56" s="1266"/>
      <c r="BT56" s="1188"/>
    </row>
    <row r="57" spans="1:72" s="173" customFormat="1" ht="11.1" customHeight="1" x14ac:dyDescent="0.2">
      <c r="A57" s="689" t="s">
        <v>1404</v>
      </c>
      <c r="B57" s="952" t="s">
        <v>553</v>
      </c>
      <c r="C57" s="947"/>
      <c r="D57" s="948"/>
      <c r="E57" s="947"/>
      <c r="F57" s="948"/>
      <c r="G57" s="1041"/>
      <c r="H57" s="948"/>
      <c r="I57" s="1294"/>
      <c r="J57" s="948"/>
      <c r="K57" s="947"/>
      <c r="L57" s="948"/>
      <c r="M57" s="1294"/>
      <c r="N57" s="948"/>
      <c r="O57" s="947"/>
      <c r="P57" s="948"/>
      <c r="Q57" s="947"/>
      <c r="R57" s="948"/>
      <c r="S57" s="1294"/>
      <c r="T57" s="948"/>
      <c r="U57" s="947"/>
      <c r="V57" s="948"/>
      <c r="W57" s="947"/>
      <c r="X57" s="948"/>
      <c r="Y57" s="948"/>
      <c r="Z57" s="947"/>
      <c r="AA57" s="948"/>
      <c r="AB57" s="1294"/>
      <c r="AC57" s="948"/>
      <c r="AD57" s="947"/>
      <c r="AE57" s="948"/>
      <c r="AF57" s="947"/>
      <c r="AG57" s="948"/>
      <c r="AH57" s="947"/>
      <c r="AI57" s="948"/>
      <c r="AJ57" s="1294"/>
      <c r="AK57" s="1295"/>
      <c r="AL57" s="947"/>
      <c r="AM57" s="948"/>
      <c r="AN57" s="947"/>
      <c r="AO57" s="948"/>
      <c r="AP57" s="947"/>
      <c r="AQ57" s="948"/>
      <c r="AR57" s="947"/>
      <c r="AS57" s="948"/>
      <c r="AT57" s="947"/>
      <c r="AU57" s="948"/>
      <c r="AV57" s="947"/>
      <c r="AW57" s="948"/>
      <c r="AX57" s="947"/>
      <c r="AY57" s="948"/>
      <c r="AZ57" s="947"/>
      <c r="BA57" s="948"/>
      <c r="BB57" s="947"/>
      <c r="BC57" s="1044"/>
      <c r="BD57" s="1294"/>
      <c r="BE57" s="947"/>
      <c r="BF57" s="947"/>
      <c r="BG57" s="947"/>
      <c r="BH57" s="948"/>
      <c r="BI57" s="947"/>
      <c r="BJ57" s="947"/>
      <c r="BK57" s="1295"/>
      <c r="BL57" s="947"/>
      <c r="BM57" s="947"/>
      <c r="BN57" s="947"/>
      <c r="BO57" s="948"/>
      <c r="BP57" s="947"/>
      <c r="BQ57" s="947"/>
      <c r="BR57" s="947"/>
      <c r="BS57" s="1266"/>
      <c r="BT57" s="1188"/>
    </row>
    <row r="58" spans="1:72" s="173" customFormat="1" ht="11.1" customHeight="1" x14ac:dyDescent="0.2">
      <c r="A58" s="689" t="s">
        <v>1404</v>
      </c>
      <c r="B58" s="950" t="s">
        <v>547</v>
      </c>
      <c r="C58" s="947"/>
      <c r="D58" s="948"/>
      <c r="E58" s="947"/>
      <c r="F58" s="948"/>
      <c r="G58" s="1041"/>
      <c r="H58" s="948"/>
      <c r="I58" s="1294"/>
      <c r="J58" s="948"/>
      <c r="K58" s="947"/>
      <c r="L58" s="948"/>
      <c r="M58" s="1294"/>
      <c r="N58" s="948"/>
      <c r="O58" s="947"/>
      <c r="P58" s="948"/>
      <c r="Q58" s="947"/>
      <c r="R58" s="948"/>
      <c r="S58" s="1294"/>
      <c r="T58" s="948"/>
      <c r="U58" s="947"/>
      <c r="V58" s="948"/>
      <c r="W58" s="947"/>
      <c r="X58" s="948"/>
      <c r="Y58" s="948"/>
      <c r="Z58" s="947"/>
      <c r="AA58" s="948"/>
      <c r="AB58" s="1294"/>
      <c r="AC58" s="948"/>
      <c r="AD58" s="947"/>
      <c r="AE58" s="948"/>
      <c r="AF58" s="947"/>
      <c r="AG58" s="948"/>
      <c r="AH58" s="947"/>
      <c r="AI58" s="948"/>
      <c r="AJ58" s="1294"/>
      <c r="AK58" s="1295"/>
      <c r="AL58" s="947"/>
      <c r="AM58" s="948"/>
      <c r="AN58" s="947"/>
      <c r="AO58" s="948"/>
      <c r="AP58" s="947"/>
      <c r="AQ58" s="948"/>
      <c r="AR58" s="947"/>
      <c r="AS58" s="948"/>
      <c r="AT58" s="947"/>
      <c r="AU58" s="948"/>
      <c r="AV58" s="947"/>
      <c r="AW58" s="948"/>
      <c r="AX58" s="947"/>
      <c r="AY58" s="948"/>
      <c r="AZ58" s="947"/>
      <c r="BA58" s="948"/>
      <c r="BB58" s="947"/>
      <c r="BC58" s="1044"/>
      <c r="BD58" s="1294"/>
      <c r="BE58" s="947"/>
      <c r="BF58" s="947"/>
      <c r="BG58" s="947"/>
      <c r="BH58" s="948"/>
      <c r="BI58" s="947"/>
      <c r="BJ58" s="947"/>
      <c r="BK58" s="1295"/>
      <c r="BL58" s="947"/>
      <c r="BM58" s="947"/>
      <c r="BN58" s="947"/>
      <c r="BO58" s="948"/>
      <c r="BP58" s="947"/>
      <c r="BQ58" s="947"/>
      <c r="BR58" s="947"/>
      <c r="BS58" s="1266"/>
      <c r="BT58" s="1188"/>
    </row>
    <row r="59" spans="1:72" s="173" customFormat="1" ht="11.1" customHeight="1" x14ac:dyDescent="0.2">
      <c r="A59" s="689" t="s">
        <v>1404</v>
      </c>
      <c r="B59" s="952" t="s">
        <v>554</v>
      </c>
      <c r="C59" s="947"/>
      <c r="D59" s="948"/>
      <c r="E59" s="947"/>
      <c r="F59" s="948"/>
      <c r="G59" s="1041"/>
      <c r="H59" s="948"/>
      <c r="I59" s="1294"/>
      <c r="J59" s="948"/>
      <c r="K59" s="947"/>
      <c r="L59" s="948"/>
      <c r="M59" s="1294"/>
      <c r="N59" s="948"/>
      <c r="O59" s="947"/>
      <c r="P59" s="948"/>
      <c r="Q59" s="947"/>
      <c r="R59" s="948"/>
      <c r="S59" s="1294"/>
      <c r="T59" s="948"/>
      <c r="U59" s="947"/>
      <c r="V59" s="948"/>
      <c r="W59" s="947"/>
      <c r="X59" s="948"/>
      <c r="Y59" s="948"/>
      <c r="Z59" s="947"/>
      <c r="AA59" s="948"/>
      <c r="AB59" s="1294"/>
      <c r="AC59" s="948"/>
      <c r="AD59" s="947"/>
      <c r="AE59" s="948"/>
      <c r="AF59" s="947"/>
      <c r="AG59" s="948"/>
      <c r="AH59" s="947"/>
      <c r="AI59" s="948"/>
      <c r="AJ59" s="1294"/>
      <c r="AK59" s="1295"/>
      <c r="AL59" s="947"/>
      <c r="AM59" s="948"/>
      <c r="AN59" s="947"/>
      <c r="AO59" s="948"/>
      <c r="AP59" s="947"/>
      <c r="AQ59" s="948"/>
      <c r="AR59" s="947"/>
      <c r="AS59" s="948"/>
      <c r="AT59" s="947"/>
      <c r="AU59" s="948"/>
      <c r="AV59" s="947"/>
      <c r="AW59" s="948"/>
      <c r="AX59" s="947"/>
      <c r="AY59" s="948"/>
      <c r="AZ59" s="947"/>
      <c r="BA59" s="948"/>
      <c r="BB59" s="947"/>
      <c r="BC59" s="1044"/>
      <c r="BD59" s="1294"/>
      <c r="BE59" s="947"/>
      <c r="BF59" s="947"/>
      <c r="BG59" s="947"/>
      <c r="BH59" s="948"/>
      <c r="BI59" s="947"/>
      <c r="BJ59" s="947"/>
      <c r="BK59" s="1295"/>
      <c r="BL59" s="947"/>
      <c r="BM59" s="947"/>
      <c r="BN59" s="947"/>
      <c r="BO59" s="948"/>
      <c r="BP59" s="947"/>
      <c r="BQ59" s="947"/>
      <c r="BR59" s="947"/>
      <c r="BS59" s="1266"/>
      <c r="BT59" s="1188"/>
    </row>
    <row r="60" spans="1:72" s="173" customFormat="1" ht="11.1" customHeight="1" x14ac:dyDescent="0.2">
      <c r="A60" s="689" t="s">
        <v>1404</v>
      </c>
      <c r="B60" s="950" t="s">
        <v>555</v>
      </c>
      <c r="C60" s="947"/>
      <c r="D60" s="948"/>
      <c r="E60" s="947"/>
      <c r="F60" s="948"/>
      <c r="G60" s="1041"/>
      <c r="H60" s="948"/>
      <c r="I60" s="1294"/>
      <c r="J60" s="948"/>
      <c r="K60" s="947"/>
      <c r="L60" s="948"/>
      <c r="M60" s="1294"/>
      <c r="N60" s="948"/>
      <c r="O60" s="947"/>
      <c r="P60" s="948"/>
      <c r="Q60" s="947"/>
      <c r="R60" s="948"/>
      <c r="S60" s="1294"/>
      <c r="T60" s="948"/>
      <c r="U60" s="947"/>
      <c r="V60" s="948"/>
      <c r="W60" s="947"/>
      <c r="X60" s="948"/>
      <c r="Y60" s="948"/>
      <c r="Z60" s="947"/>
      <c r="AA60" s="948"/>
      <c r="AB60" s="1294"/>
      <c r="AC60" s="948"/>
      <c r="AD60" s="947"/>
      <c r="AE60" s="948"/>
      <c r="AF60" s="947"/>
      <c r="AG60" s="948"/>
      <c r="AH60" s="947"/>
      <c r="AI60" s="948"/>
      <c r="AJ60" s="1294"/>
      <c r="AK60" s="1295"/>
      <c r="AL60" s="947"/>
      <c r="AM60" s="948"/>
      <c r="AN60" s="947"/>
      <c r="AO60" s="948"/>
      <c r="AP60" s="947"/>
      <c r="AQ60" s="948"/>
      <c r="AR60" s="947"/>
      <c r="AS60" s="948"/>
      <c r="AT60" s="947"/>
      <c r="AU60" s="948"/>
      <c r="AV60" s="947"/>
      <c r="AW60" s="948"/>
      <c r="AX60" s="947"/>
      <c r="AY60" s="948"/>
      <c r="AZ60" s="947"/>
      <c r="BA60" s="948"/>
      <c r="BB60" s="947"/>
      <c r="BC60" s="1044"/>
      <c r="BD60" s="1294"/>
      <c r="BE60" s="947"/>
      <c r="BF60" s="947"/>
      <c r="BG60" s="947"/>
      <c r="BH60" s="948"/>
      <c r="BI60" s="947"/>
      <c r="BJ60" s="947"/>
      <c r="BK60" s="1295"/>
      <c r="BL60" s="947"/>
      <c r="BM60" s="947"/>
      <c r="BN60" s="947"/>
      <c r="BO60" s="948"/>
      <c r="BP60" s="947"/>
      <c r="BQ60" s="947"/>
      <c r="BR60" s="947"/>
      <c r="BS60" s="1266"/>
      <c r="BT60" s="1188"/>
    </row>
    <row r="61" spans="1:72" s="173" customFormat="1" ht="11.1" customHeight="1" x14ac:dyDescent="0.2">
      <c r="A61" s="689" t="s">
        <v>1404</v>
      </c>
      <c r="B61" s="952" t="s">
        <v>548</v>
      </c>
      <c r="C61" s="947"/>
      <c r="D61" s="948"/>
      <c r="E61" s="947"/>
      <c r="F61" s="948"/>
      <c r="G61" s="1041"/>
      <c r="H61" s="948"/>
      <c r="I61" s="1294"/>
      <c r="J61" s="948"/>
      <c r="K61" s="947"/>
      <c r="L61" s="948"/>
      <c r="M61" s="1294"/>
      <c r="N61" s="948"/>
      <c r="O61" s="947"/>
      <c r="P61" s="948"/>
      <c r="Q61" s="947"/>
      <c r="R61" s="948"/>
      <c r="S61" s="1294"/>
      <c r="T61" s="948"/>
      <c r="U61" s="947"/>
      <c r="V61" s="948"/>
      <c r="W61" s="947"/>
      <c r="X61" s="948"/>
      <c r="Y61" s="948"/>
      <c r="Z61" s="947"/>
      <c r="AA61" s="948"/>
      <c r="AB61" s="1294"/>
      <c r="AC61" s="948"/>
      <c r="AD61" s="947"/>
      <c r="AE61" s="948"/>
      <c r="AF61" s="947"/>
      <c r="AG61" s="948"/>
      <c r="AH61" s="947"/>
      <c r="AI61" s="948"/>
      <c r="AJ61" s="1294"/>
      <c r="AK61" s="1295"/>
      <c r="AL61" s="947"/>
      <c r="AM61" s="948"/>
      <c r="AN61" s="947"/>
      <c r="AO61" s="948"/>
      <c r="AP61" s="947"/>
      <c r="AQ61" s="948"/>
      <c r="AR61" s="947"/>
      <c r="AS61" s="948"/>
      <c r="AT61" s="947"/>
      <c r="AU61" s="948"/>
      <c r="AV61" s="947"/>
      <c r="AW61" s="948"/>
      <c r="AX61" s="947"/>
      <c r="AY61" s="948"/>
      <c r="AZ61" s="947"/>
      <c r="BA61" s="948"/>
      <c r="BB61" s="947"/>
      <c r="BC61" s="1044"/>
      <c r="BD61" s="1294"/>
      <c r="BE61" s="947"/>
      <c r="BF61" s="947"/>
      <c r="BG61" s="947"/>
      <c r="BH61" s="948"/>
      <c r="BI61" s="947"/>
      <c r="BJ61" s="947"/>
      <c r="BK61" s="1295"/>
      <c r="BL61" s="947"/>
      <c r="BM61" s="947"/>
      <c r="BN61" s="947"/>
      <c r="BO61" s="948"/>
      <c r="BP61" s="947"/>
      <c r="BQ61" s="947"/>
      <c r="BR61" s="947"/>
      <c r="BS61" s="1266"/>
      <c r="BT61" s="1188"/>
    </row>
    <row r="62" spans="1:72" s="173" customFormat="1" ht="11.1" customHeight="1" x14ac:dyDescent="0.2">
      <c r="A62" s="689" t="s">
        <v>1404</v>
      </c>
      <c r="B62" s="950" t="s">
        <v>556</v>
      </c>
      <c r="C62" s="947"/>
      <c r="D62" s="948"/>
      <c r="E62" s="947"/>
      <c r="F62" s="948"/>
      <c r="G62" s="1041"/>
      <c r="H62" s="948"/>
      <c r="I62" s="1294"/>
      <c r="J62" s="948"/>
      <c r="K62" s="947"/>
      <c r="L62" s="948"/>
      <c r="M62" s="1294"/>
      <c r="N62" s="948"/>
      <c r="O62" s="947"/>
      <c r="P62" s="948"/>
      <c r="Q62" s="947"/>
      <c r="R62" s="948"/>
      <c r="S62" s="1294"/>
      <c r="T62" s="948"/>
      <c r="U62" s="947"/>
      <c r="V62" s="948"/>
      <c r="W62" s="947"/>
      <c r="X62" s="948"/>
      <c r="Y62" s="948"/>
      <c r="Z62" s="947"/>
      <c r="AA62" s="948"/>
      <c r="AB62" s="1294"/>
      <c r="AC62" s="948"/>
      <c r="AD62" s="947"/>
      <c r="AE62" s="948"/>
      <c r="AF62" s="947"/>
      <c r="AG62" s="948"/>
      <c r="AH62" s="947"/>
      <c r="AI62" s="948"/>
      <c r="AJ62" s="1294"/>
      <c r="AK62" s="1295"/>
      <c r="AL62" s="947"/>
      <c r="AM62" s="948"/>
      <c r="AN62" s="947"/>
      <c r="AO62" s="948"/>
      <c r="AP62" s="947"/>
      <c r="AQ62" s="948"/>
      <c r="AR62" s="947"/>
      <c r="AS62" s="948"/>
      <c r="AT62" s="947"/>
      <c r="AU62" s="948"/>
      <c r="AV62" s="947"/>
      <c r="AW62" s="948"/>
      <c r="AX62" s="947"/>
      <c r="AY62" s="948"/>
      <c r="AZ62" s="947"/>
      <c r="BA62" s="948"/>
      <c r="BB62" s="947"/>
      <c r="BC62" s="1044"/>
      <c r="BD62" s="1294"/>
      <c r="BE62" s="947"/>
      <c r="BF62" s="947"/>
      <c r="BG62" s="947"/>
      <c r="BH62" s="948"/>
      <c r="BI62" s="947"/>
      <c r="BJ62" s="947"/>
      <c r="BK62" s="1295"/>
      <c r="BL62" s="947"/>
      <c r="BM62" s="947"/>
      <c r="BN62" s="947"/>
      <c r="BO62" s="948"/>
      <c r="BP62" s="947"/>
      <c r="BQ62" s="947"/>
      <c r="BR62" s="947"/>
      <c r="BS62" s="1266"/>
      <c r="BT62" s="1188"/>
    </row>
    <row r="63" spans="1:72" s="173" customFormat="1" ht="11.1" customHeight="1" x14ac:dyDescent="0.2">
      <c r="A63" s="689" t="s">
        <v>1404</v>
      </c>
      <c r="B63" s="952" t="s">
        <v>557</v>
      </c>
      <c r="C63" s="947"/>
      <c r="D63" s="948"/>
      <c r="E63" s="947"/>
      <c r="F63" s="948"/>
      <c r="G63" s="1041"/>
      <c r="H63" s="948"/>
      <c r="I63" s="1294"/>
      <c r="J63" s="948"/>
      <c r="K63" s="947"/>
      <c r="L63" s="948"/>
      <c r="M63" s="1294"/>
      <c r="N63" s="948"/>
      <c r="O63" s="947"/>
      <c r="P63" s="948"/>
      <c r="Q63" s="947"/>
      <c r="R63" s="948"/>
      <c r="S63" s="1294"/>
      <c r="T63" s="948"/>
      <c r="U63" s="947"/>
      <c r="V63" s="948"/>
      <c r="W63" s="947"/>
      <c r="X63" s="948"/>
      <c r="Y63" s="948"/>
      <c r="Z63" s="947"/>
      <c r="AA63" s="948"/>
      <c r="AB63" s="1294"/>
      <c r="AC63" s="948"/>
      <c r="AD63" s="947"/>
      <c r="AE63" s="948"/>
      <c r="AF63" s="947"/>
      <c r="AG63" s="948"/>
      <c r="AH63" s="947"/>
      <c r="AI63" s="948"/>
      <c r="AJ63" s="1294"/>
      <c r="AK63" s="1295"/>
      <c r="AL63" s="947"/>
      <c r="AM63" s="948"/>
      <c r="AN63" s="947"/>
      <c r="AO63" s="948"/>
      <c r="AP63" s="947"/>
      <c r="AQ63" s="948"/>
      <c r="AR63" s="947"/>
      <c r="AS63" s="948"/>
      <c r="AT63" s="947"/>
      <c r="AU63" s="948"/>
      <c r="AV63" s="947"/>
      <c r="AW63" s="948"/>
      <c r="AX63" s="947"/>
      <c r="AY63" s="948"/>
      <c r="AZ63" s="947"/>
      <c r="BA63" s="948"/>
      <c r="BB63" s="947"/>
      <c r="BC63" s="1044"/>
      <c r="BD63" s="1294"/>
      <c r="BE63" s="947"/>
      <c r="BF63" s="947"/>
      <c r="BG63" s="947"/>
      <c r="BH63" s="948"/>
      <c r="BI63" s="947"/>
      <c r="BJ63" s="947"/>
      <c r="BK63" s="1295"/>
      <c r="BL63" s="947"/>
      <c r="BM63" s="947"/>
      <c r="BN63" s="947"/>
      <c r="BO63" s="948"/>
      <c r="BP63" s="947"/>
      <c r="BQ63" s="947"/>
      <c r="BR63" s="947"/>
      <c r="BS63" s="1266"/>
      <c r="BT63" s="1188"/>
    </row>
    <row r="64" spans="1:72" s="173" customFormat="1" ht="11.1" customHeight="1" x14ac:dyDescent="0.2">
      <c r="A64" s="689" t="s">
        <v>1404</v>
      </c>
      <c r="B64" s="950" t="s">
        <v>549</v>
      </c>
      <c r="C64" s="947"/>
      <c r="D64" s="948"/>
      <c r="E64" s="947"/>
      <c r="F64" s="948"/>
      <c r="G64" s="1041"/>
      <c r="H64" s="948"/>
      <c r="I64" s="1294"/>
      <c r="J64" s="948"/>
      <c r="K64" s="947"/>
      <c r="L64" s="948"/>
      <c r="M64" s="1294"/>
      <c r="N64" s="948"/>
      <c r="O64" s="947"/>
      <c r="P64" s="948"/>
      <c r="Q64" s="947"/>
      <c r="R64" s="948"/>
      <c r="S64" s="1294"/>
      <c r="T64" s="948"/>
      <c r="U64" s="947"/>
      <c r="V64" s="948"/>
      <c r="W64" s="947"/>
      <c r="X64" s="948"/>
      <c r="Y64" s="948"/>
      <c r="Z64" s="947"/>
      <c r="AA64" s="948"/>
      <c r="AB64" s="1294"/>
      <c r="AC64" s="948"/>
      <c r="AD64" s="947"/>
      <c r="AE64" s="948"/>
      <c r="AF64" s="947"/>
      <c r="AG64" s="948"/>
      <c r="AH64" s="947"/>
      <c r="AI64" s="948"/>
      <c r="AJ64" s="1294"/>
      <c r="AK64" s="1295"/>
      <c r="AL64" s="947"/>
      <c r="AM64" s="948"/>
      <c r="AN64" s="947"/>
      <c r="AO64" s="948"/>
      <c r="AP64" s="947"/>
      <c r="AQ64" s="948"/>
      <c r="AR64" s="947"/>
      <c r="AS64" s="948"/>
      <c r="AT64" s="947"/>
      <c r="AU64" s="948"/>
      <c r="AV64" s="947"/>
      <c r="AW64" s="948"/>
      <c r="AX64" s="947"/>
      <c r="AY64" s="948"/>
      <c r="AZ64" s="947"/>
      <c r="BA64" s="948"/>
      <c r="BB64" s="947"/>
      <c r="BC64" s="1044"/>
      <c r="BD64" s="1294"/>
      <c r="BE64" s="947"/>
      <c r="BF64" s="947"/>
      <c r="BG64" s="947"/>
      <c r="BH64" s="948"/>
      <c r="BI64" s="947"/>
      <c r="BJ64" s="947"/>
      <c r="BK64" s="1295"/>
      <c r="BL64" s="947"/>
      <c r="BM64" s="947"/>
      <c r="BN64" s="947"/>
      <c r="BO64" s="948"/>
      <c r="BP64" s="947"/>
      <c r="BQ64" s="947"/>
      <c r="BR64" s="947"/>
      <c r="BS64" s="1266"/>
      <c r="BT64" s="1188"/>
    </row>
    <row r="65" spans="1:72" s="173" customFormat="1" ht="11.1" customHeight="1" x14ac:dyDescent="0.2">
      <c r="A65" s="689" t="s">
        <v>1404</v>
      </c>
      <c r="B65" s="952" t="s">
        <v>558</v>
      </c>
      <c r="C65" s="947"/>
      <c r="D65" s="948"/>
      <c r="E65" s="947"/>
      <c r="F65" s="948"/>
      <c r="G65" s="1041"/>
      <c r="H65" s="948"/>
      <c r="I65" s="1294"/>
      <c r="J65" s="948"/>
      <c r="K65" s="947"/>
      <c r="L65" s="948"/>
      <c r="M65" s="1294"/>
      <c r="N65" s="948"/>
      <c r="O65" s="947"/>
      <c r="P65" s="948"/>
      <c r="Q65" s="947"/>
      <c r="R65" s="948"/>
      <c r="S65" s="1294"/>
      <c r="T65" s="948"/>
      <c r="U65" s="947"/>
      <c r="V65" s="948"/>
      <c r="W65" s="947"/>
      <c r="X65" s="948"/>
      <c r="Y65" s="948"/>
      <c r="Z65" s="947"/>
      <c r="AA65" s="948"/>
      <c r="AB65" s="1294"/>
      <c r="AC65" s="948"/>
      <c r="AD65" s="947"/>
      <c r="AE65" s="948"/>
      <c r="AF65" s="947"/>
      <c r="AG65" s="948"/>
      <c r="AH65" s="947"/>
      <c r="AI65" s="948"/>
      <c r="AJ65" s="1294"/>
      <c r="AK65" s="1295"/>
      <c r="AL65" s="947"/>
      <c r="AM65" s="948"/>
      <c r="AN65" s="947"/>
      <c r="AO65" s="948"/>
      <c r="AP65" s="947"/>
      <c r="AQ65" s="948"/>
      <c r="AR65" s="947"/>
      <c r="AS65" s="948"/>
      <c r="AT65" s="947"/>
      <c r="AU65" s="948"/>
      <c r="AV65" s="947"/>
      <c r="AW65" s="948"/>
      <c r="AX65" s="947"/>
      <c r="AY65" s="948"/>
      <c r="AZ65" s="947"/>
      <c r="BA65" s="948"/>
      <c r="BB65" s="947"/>
      <c r="BC65" s="1044"/>
      <c r="BD65" s="1294"/>
      <c r="BE65" s="947"/>
      <c r="BF65" s="947"/>
      <c r="BG65" s="947"/>
      <c r="BH65" s="948"/>
      <c r="BI65" s="947"/>
      <c r="BJ65" s="947"/>
      <c r="BK65" s="1295"/>
      <c r="BL65" s="947"/>
      <c r="BM65" s="947"/>
      <c r="BN65" s="947"/>
      <c r="BO65" s="948"/>
      <c r="BP65" s="947"/>
      <c r="BQ65" s="947"/>
      <c r="BR65" s="947"/>
      <c r="BS65" s="1266"/>
      <c r="BT65" s="1188"/>
    </row>
    <row r="66" spans="1:72" s="173" customFormat="1" ht="11.1" customHeight="1" x14ac:dyDescent="0.2">
      <c r="A66" s="689" t="s">
        <v>1404</v>
      </c>
      <c r="B66" s="950" t="s">
        <v>559</v>
      </c>
      <c r="C66" s="947"/>
      <c r="D66" s="948"/>
      <c r="E66" s="947"/>
      <c r="F66" s="948"/>
      <c r="G66" s="1041"/>
      <c r="H66" s="948"/>
      <c r="I66" s="1294"/>
      <c r="J66" s="948"/>
      <c r="K66" s="947"/>
      <c r="L66" s="948"/>
      <c r="M66" s="1294"/>
      <c r="N66" s="948"/>
      <c r="O66" s="947"/>
      <c r="P66" s="948"/>
      <c r="Q66" s="947"/>
      <c r="R66" s="948"/>
      <c r="S66" s="1294"/>
      <c r="T66" s="948"/>
      <c r="U66" s="947"/>
      <c r="V66" s="948"/>
      <c r="W66" s="947"/>
      <c r="X66" s="948"/>
      <c r="Y66" s="948"/>
      <c r="Z66" s="947"/>
      <c r="AA66" s="948"/>
      <c r="AB66" s="1294"/>
      <c r="AC66" s="948"/>
      <c r="AD66" s="947"/>
      <c r="AE66" s="948"/>
      <c r="AF66" s="947"/>
      <c r="AG66" s="948"/>
      <c r="AH66" s="947"/>
      <c r="AI66" s="948"/>
      <c r="AJ66" s="1294"/>
      <c r="AK66" s="1295"/>
      <c r="AL66" s="947"/>
      <c r="AM66" s="948"/>
      <c r="AN66" s="947"/>
      <c r="AO66" s="948"/>
      <c r="AP66" s="947"/>
      <c r="AQ66" s="948"/>
      <c r="AR66" s="947"/>
      <c r="AS66" s="948"/>
      <c r="AT66" s="947"/>
      <c r="AU66" s="948"/>
      <c r="AV66" s="947"/>
      <c r="AW66" s="948"/>
      <c r="AX66" s="947"/>
      <c r="AY66" s="948"/>
      <c r="AZ66" s="947"/>
      <c r="BA66" s="948"/>
      <c r="BB66" s="947"/>
      <c r="BC66" s="1044"/>
      <c r="BD66" s="1294"/>
      <c r="BE66" s="947"/>
      <c r="BF66" s="947"/>
      <c r="BG66" s="947"/>
      <c r="BH66" s="948"/>
      <c r="BI66" s="947"/>
      <c r="BJ66" s="947"/>
      <c r="BK66" s="1295"/>
      <c r="BL66" s="947"/>
      <c r="BM66" s="947"/>
      <c r="BN66" s="947"/>
      <c r="BO66" s="948"/>
      <c r="BP66" s="947"/>
      <c r="BQ66" s="947"/>
      <c r="BR66" s="947"/>
      <c r="BS66" s="1266"/>
      <c r="BT66" s="1188"/>
    </row>
    <row r="67" spans="1:72" s="173" customFormat="1" ht="11.1" customHeight="1" x14ac:dyDescent="0.2">
      <c r="A67" s="689" t="s">
        <v>1404</v>
      </c>
      <c r="B67" s="952" t="s">
        <v>550</v>
      </c>
      <c r="C67" s="947"/>
      <c r="D67" s="948"/>
      <c r="E67" s="947"/>
      <c r="F67" s="948"/>
      <c r="G67" s="1041"/>
      <c r="H67" s="948"/>
      <c r="I67" s="1294"/>
      <c r="J67" s="948"/>
      <c r="K67" s="947"/>
      <c r="L67" s="948"/>
      <c r="M67" s="1294"/>
      <c r="N67" s="948"/>
      <c r="O67" s="947"/>
      <c r="P67" s="948"/>
      <c r="Q67" s="947"/>
      <c r="R67" s="948"/>
      <c r="S67" s="1294"/>
      <c r="T67" s="948"/>
      <c r="U67" s="947"/>
      <c r="V67" s="948"/>
      <c r="W67" s="947"/>
      <c r="X67" s="948"/>
      <c r="Y67" s="948"/>
      <c r="Z67" s="947"/>
      <c r="AA67" s="948"/>
      <c r="AB67" s="1294"/>
      <c r="AC67" s="948"/>
      <c r="AD67" s="947"/>
      <c r="AE67" s="948"/>
      <c r="AF67" s="947"/>
      <c r="AG67" s="948"/>
      <c r="AH67" s="947"/>
      <c r="AI67" s="948"/>
      <c r="AJ67" s="1294"/>
      <c r="AK67" s="1295"/>
      <c r="AL67" s="947"/>
      <c r="AM67" s="948"/>
      <c r="AN67" s="947"/>
      <c r="AO67" s="948"/>
      <c r="AP67" s="947"/>
      <c r="AQ67" s="948"/>
      <c r="AR67" s="947"/>
      <c r="AS67" s="948"/>
      <c r="AT67" s="947"/>
      <c r="AU67" s="948"/>
      <c r="AV67" s="947"/>
      <c r="AW67" s="948"/>
      <c r="AX67" s="947"/>
      <c r="AY67" s="948"/>
      <c r="AZ67" s="947"/>
      <c r="BA67" s="948"/>
      <c r="BB67" s="947"/>
      <c r="BC67" s="1044"/>
      <c r="BD67" s="1294"/>
      <c r="BE67" s="947"/>
      <c r="BF67" s="947"/>
      <c r="BG67" s="947"/>
      <c r="BH67" s="948"/>
      <c r="BI67" s="947"/>
      <c r="BJ67" s="947"/>
      <c r="BK67" s="1295"/>
      <c r="BL67" s="947"/>
      <c r="BM67" s="947"/>
      <c r="BN67" s="947"/>
      <c r="BO67" s="948"/>
      <c r="BP67" s="947"/>
      <c r="BQ67" s="947"/>
      <c r="BR67" s="947"/>
      <c r="BS67" s="1266"/>
      <c r="BT67" s="1188"/>
    </row>
    <row r="68" spans="1:72" s="173" customFormat="1" ht="11.1" customHeight="1" x14ac:dyDescent="0.2">
      <c r="A68" s="689" t="s">
        <v>1484</v>
      </c>
      <c r="B68" s="950" t="s">
        <v>552</v>
      </c>
      <c r="C68" s="947"/>
      <c r="D68" s="948"/>
      <c r="E68" s="947"/>
      <c r="F68" s="948"/>
      <c r="G68" s="1041"/>
      <c r="H68" s="948"/>
      <c r="I68" s="1294"/>
      <c r="J68" s="948"/>
      <c r="K68" s="947"/>
      <c r="L68" s="948"/>
      <c r="M68" s="1294"/>
      <c r="N68" s="948"/>
      <c r="O68" s="947"/>
      <c r="P68" s="948"/>
      <c r="Q68" s="947"/>
      <c r="R68" s="948"/>
      <c r="S68" s="1294"/>
      <c r="T68" s="948"/>
      <c r="U68" s="947"/>
      <c r="V68" s="948"/>
      <c r="W68" s="947"/>
      <c r="X68" s="948"/>
      <c r="Y68" s="948"/>
      <c r="Z68" s="947"/>
      <c r="AA68" s="948"/>
      <c r="AB68" s="1294"/>
      <c r="AC68" s="948"/>
      <c r="AD68" s="947"/>
      <c r="AE68" s="948"/>
      <c r="AF68" s="947"/>
      <c r="AG68" s="948"/>
      <c r="AH68" s="947"/>
      <c r="AI68" s="948"/>
      <c r="AJ68" s="1294"/>
      <c r="AK68" s="1295"/>
      <c r="AL68" s="947"/>
      <c r="AM68" s="948"/>
      <c r="AN68" s="947"/>
      <c r="AO68" s="948"/>
      <c r="AP68" s="947"/>
      <c r="AQ68" s="948"/>
      <c r="AR68" s="947"/>
      <c r="AS68" s="948"/>
      <c r="AT68" s="947"/>
      <c r="AU68" s="948"/>
      <c r="AV68" s="947"/>
      <c r="AW68" s="948"/>
      <c r="AX68" s="947"/>
      <c r="AY68" s="948"/>
      <c r="AZ68" s="947"/>
      <c r="BA68" s="948"/>
      <c r="BB68" s="947"/>
      <c r="BC68" s="1044"/>
      <c r="BD68" s="1294"/>
      <c r="BE68" s="947"/>
      <c r="BF68" s="947"/>
      <c r="BG68" s="947"/>
      <c r="BH68" s="948"/>
      <c r="BI68" s="947"/>
      <c r="BJ68" s="947"/>
      <c r="BK68" s="1295"/>
      <c r="BL68" s="947"/>
      <c r="BM68" s="947"/>
      <c r="BN68" s="947"/>
      <c r="BO68" s="948"/>
      <c r="BP68" s="947"/>
      <c r="BQ68" s="947"/>
      <c r="BR68" s="947"/>
      <c r="BS68" s="1266"/>
      <c r="BT68" s="1188"/>
    </row>
    <row r="69" spans="1:72" s="173" customFormat="1" ht="11.1" customHeight="1" x14ac:dyDescent="0.2">
      <c r="A69" s="689" t="s">
        <v>1484</v>
      </c>
      <c r="B69" s="952" t="s">
        <v>553</v>
      </c>
      <c r="C69" s="947"/>
      <c r="D69" s="948"/>
      <c r="E69" s="947"/>
      <c r="F69" s="948"/>
      <c r="G69" s="1041"/>
      <c r="H69" s="948"/>
      <c r="I69" s="1294"/>
      <c r="J69" s="948"/>
      <c r="K69" s="947"/>
      <c r="L69" s="948"/>
      <c r="M69" s="1294"/>
      <c r="N69" s="948"/>
      <c r="O69" s="947"/>
      <c r="P69" s="948"/>
      <c r="Q69" s="947"/>
      <c r="R69" s="948"/>
      <c r="S69" s="1294"/>
      <c r="T69" s="948"/>
      <c r="U69" s="947"/>
      <c r="V69" s="948"/>
      <c r="W69" s="947"/>
      <c r="X69" s="948"/>
      <c r="Y69" s="948"/>
      <c r="Z69" s="947"/>
      <c r="AA69" s="948"/>
      <c r="AB69" s="1294"/>
      <c r="AC69" s="948"/>
      <c r="AD69" s="947"/>
      <c r="AE69" s="948"/>
      <c r="AF69" s="947"/>
      <c r="AG69" s="948"/>
      <c r="AH69" s="947"/>
      <c r="AI69" s="948"/>
      <c r="AJ69" s="1294"/>
      <c r="AK69" s="1295"/>
      <c r="AL69" s="947"/>
      <c r="AM69" s="948"/>
      <c r="AN69" s="947"/>
      <c r="AO69" s="948"/>
      <c r="AP69" s="947"/>
      <c r="AQ69" s="948"/>
      <c r="AR69" s="947"/>
      <c r="AS69" s="948"/>
      <c r="AT69" s="947"/>
      <c r="AU69" s="948"/>
      <c r="AV69" s="947"/>
      <c r="AW69" s="948"/>
      <c r="AX69" s="947"/>
      <c r="AY69" s="948"/>
      <c r="AZ69" s="947"/>
      <c r="BA69" s="948"/>
      <c r="BB69" s="947"/>
      <c r="BC69" s="1044"/>
      <c r="BD69" s="1294"/>
      <c r="BE69" s="947"/>
      <c r="BF69" s="947"/>
      <c r="BG69" s="947"/>
      <c r="BH69" s="948"/>
      <c r="BI69" s="947"/>
      <c r="BJ69" s="947"/>
      <c r="BK69" s="1295"/>
      <c r="BL69" s="947"/>
      <c r="BM69" s="947"/>
      <c r="BN69" s="947"/>
      <c r="BO69" s="948"/>
      <c r="BP69" s="947"/>
      <c r="BQ69" s="947"/>
      <c r="BR69" s="947"/>
      <c r="BS69" s="1266"/>
      <c r="BT69" s="1188"/>
    </row>
    <row r="70" spans="1:72" s="173" customFormat="1" ht="11.1" customHeight="1" x14ac:dyDescent="0.2">
      <c r="A70" s="689" t="s">
        <v>1484</v>
      </c>
      <c r="B70" s="950" t="s">
        <v>547</v>
      </c>
      <c r="C70" s="947"/>
      <c r="D70" s="948"/>
      <c r="E70" s="947"/>
      <c r="F70" s="948"/>
      <c r="G70" s="1041"/>
      <c r="H70" s="948"/>
      <c r="I70" s="1294"/>
      <c r="J70" s="948"/>
      <c r="K70" s="947"/>
      <c r="L70" s="948"/>
      <c r="M70" s="1294"/>
      <c r="N70" s="948"/>
      <c r="O70" s="947"/>
      <c r="P70" s="948"/>
      <c r="Q70" s="947"/>
      <c r="R70" s="948"/>
      <c r="S70" s="1294"/>
      <c r="T70" s="948"/>
      <c r="U70" s="947"/>
      <c r="V70" s="948"/>
      <c r="W70" s="947"/>
      <c r="X70" s="948"/>
      <c r="Y70" s="948"/>
      <c r="Z70" s="947"/>
      <c r="AA70" s="948"/>
      <c r="AB70" s="1294"/>
      <c r="AC70" s="948"/>
      <c r="AD70" s="947"/>
      <c r="AE70" s="948"/>
      <c r="AF70" s="947"/>
      <c r="AG70" s="948"/>
      <c r="AH70" s="947"/>
      <c r="AI70" s="948"/>
      <c r="AJ70" s="1294"/>
      <c r="AK70" s="1295"/>
      <c r="AL70" s="947"/>
      <c r="AM70" s="948"/>
      <c r="AN70" s="947"/>
      <c r="AO70" s="948"/>
      <c r="AP70" s="947"/>
      <c r="AQ70" s="948"/>
      <c r="AR70" s="947"/>
      <c r="AS70" s="948"/>
      <c r="AT70" s="947"/>
      <c r="AU70" s="948"/>
      <c r="AV70" s="947"/>
      <c r="AW70" s="948"/>
      <c r="AX70" s="947"/>
      <c r="AY70" s="948"/>
      <c r="AZ70" s="947"/>
      <c r="BA70" s="948"/>
      <c r="BB70" s="947"/>
      <c r="BC70" s="1044"/>
      <c r="BD70" s="1294"/>
      <c r="BE70" s="947"/>
      <c r="BF70" s="947"/>
      <c r="BG70" s="947"/>
      <c r="BH70" s="948"/>
      <c r="BI70" s="947"/>
      <c r="BJ70" s="947"/>
      <c r="BK70" s="1295"/>
      <c r="BL70" s="947"/>
      <c r="BM70" s="947"/>
      <c r="BN70" s="947"/>
      <c r="BO70" s="948"/>
      <c r="BP70" s="947"/>
      <c r="BQ70" s="947"/>
      <c r="BR70" s="947"/>
      <c r="BS70" s="1266"/>
      <c r="BT70" s="1188"/>
    </row>
    <row r="71" spans="1:72" s="173" customFormat="1" ht="11.1" customHeight="1" x14ac:dyDescent="0.2">
      <c r="A71" s="689" t="s">
        <v>1484</v>
      </c>
      <c r="B71" s="952" t="s">
        <v>554</v>
      </c>
      <c r="C71" s="947"/>
      <c r="D71" s="948"/>
      <c r="E71" s="947"/>
      <c r="F71" s="948"/>
      <c r="G71" s="1041"/>
      <c r="H71" s="948"/>
      <c r="I71" s="1294"/>
      <c r="J71" s="948"/>
      <c r="K71" s="947"/>
      <c r="L71" s="948"/>
      <c r="M71" s="1294"/>
      <c r="N71" s="948"/>
      <c r="O71" s="947"/>
      <c r="P71" s="948"/>
      <c r="Q71" s="947"/>
      <c r="R71" s="948"/>
      <c r="S71" s="1294"/>
      <c r="T71" s="948"/>
      <c r="U71" s="947"/>
      <c r="V71" s="948"/>
      <c r="W71" s="947"/>
      <c r="X71" s="948"/>
      <c r="Y71" s="948"/>
      <c r="Z71" s="947"/>
      <c r="AA71" s="948"/>
      <c r="AB71" s="1294"/>
      <c r="AC71" s="948"/>
      <c r="AD71" s="947"/>
      <c r="AE71" s="948"/>
      <c r="AF71" s="947"/>
      <c r="AG71" s="948"/>
      <c r="AH71" s="947"/>
      <c r="AI71" s="948"/>
      <c r="AJ71" s="1294"/>
      <c r="AK71" s="1295"/>
      <c r="AL71" s="947"/>
      <c r="AM71" s="948"/>
      <c r="AN71" s="947"/>
      <c r="AO71" s="948"/>
      <c r="AP71" s="947"/>
      <c r="AQ71" s="948"/>
      <c r="AR71" s="947"/>
      <c r="AS71" s="948"/>
      <c r="AT71" s="947"/>
      <c r="AU71" s="948"/>
      <c r="AV71" s="947"/>
      <c r="AW71" s="948"/>
      <c r="AX71" s="947"/>
      <c r="AY71" s="948"/>
      <c r="AZ71" s="947"/>
      <c r="BA71" s="948"/>
      <c r="BB71" s="947"/>
      <c r="BC71" s="1044"/>
      <c r="BD71" s="1294"/>
      <c r="BE71" s="947"/>
      <c r="BF71" s="947"/>
      <c r="BG71" s="947"/>
      <c r="BH71" s="948"/>
      <c r="BI71" s="947"/>
      <c r="BJ71" s="947"/>
      <c r="BK71" s="1295"/>
      <c r="BL71" s="947"/>
      <c r="BM71" s="947"/>
      <c r="BN71" s="947"/>
      <c r="BO71" s="948"/>
      <c r="BP71" s="947"/>
      <c r="BQ71" s="947"/>
      <c r="BR71" s="947"/>
      <c r="BS71" s="1266"/>
      <c r="BT71" s="1188"/>
    </row>
    <row r="72" spans="1:72" s="173" customFormat="1" ht="11.1" customHeight="1" x14ac:dyDescent="0.2">
      <c r="A72" s="689" t="s">
        <v>1484</v>
      </c>
      <c r="B72" s="950" t="s">
        <v>555</v>
      </c>
      <c r="C72" s="947"/>
      <c r="D72" s="948"/>
      <c r="E72" s="947"/>
      <c r="F72" s="948"/>
      <c r="G72" s="1041"/>
      <c r="H72" s="948"/>
      <c r="I72" s="1294"/>
      <c r="J72" s="948"/>
      <c r="K72" s="947"/>
      <c r="L72" s="948"/>
      <c r="M72" s="1294"/>
      <c r="N72" s="948"/>
      <c r="O72" s="947"/>
      <c r="P72" s="948"/>
      <c r="Q72" s="947"/>
      <c r="R72" s="948"/>
      <c r="S72" s="1294"/>
      <c r="T72" s="948"/>
      <c r="U72" s="947"/>
      <c r="V72" s="948"/>
      <c r="W72" s="947"/>
      <c r="X72" s="948"/>
      <c r="Y72" s="948"/>
      <c r="Z72" s="947"/>
      <c r="AA72" s="948"/>
      <c r="AB72" s="1294"/>
      <c r="AC72" s="948"/>
      <c r="AD72" s="947"/>
      <c r="AE72" s="948"/>
      <c r="AF72" s="947"/>
      <c r="AG72" s="948"/>
      <c r="AH72" s="947"/>
      <c r="AI72" s="948"/>
      <c r="AJ72" s="1294"/>
      <c r="AK72" s="1295"/>
      <c r="AL72" s="947"/>
      <c r="AM72" s="948"/>
      <c r="AN72" s="947"/>
      <c r="AO72" s="948"/>
      <c r="AP72" s="947"/>
      <c r="AQ72" s="948"/>
      <c r="AR72" s="947"/>
      <c r="AS72" s="948"/>
      <c r="AT72" s="947"/>
      <c r="AU72" s="948"/>
      <c r="AV72" s="947"/>
      <c r="AW72" s="948"/>
      <c r="AX72" s="947"/>
      <c r="AY72" s="948"/>
      <c r="AZ72" s="947"/>
      <c r="BA72" s="948"/>
      <c r="BB72" s="947"/>
      <c r="BC72" s="1044"/>
      <c r="BD72" s="1294"/>
      <c r="BE72" s="947"/>
      <c r="BF72" s="947"/>
      <c r="BG72" s="947"/>
      <c r="BH72" s="948"/>
      <c r="BI72" s="947"/>
      <c r="BJ72" s="947"/>
      <c r="BK72" s="1295"/>
      <c r="BL72" s="947"/>
      <c r="BM72" s="947"/>
      <c r="BN72" s="947"/>
      <c r="BO72" s="948"/>
      <c r="BP72" s="947"/>
      <c r="BQ72" s="947"/>
      <c r="BR72" s="947"/>
      <c r="BS72" s="1266"/>
      <c r="BT72" s="1188"/>
    </row>
    <row r="73" spans="1:72" s="173" customFormat="1" ht="11.1" customHeight="1" x14ac:dyDescent="0.2">
      <c r="A73" s="689" t="s">
        <v>1484</v>
      </c>
      <c r="B73" s="952" t="s">
        <v>548</v>
      </c>
      <c r="C73" s="947"/>
      <c r="D73" s="948"/>
      <c r="E73" s="947"/>
      <c r="F73" s="948"/>
      <c r="G73" s="1041"/>
      <c r="H73" s="948"/>
      <c r="I73" s="1294"/>
      <c r="J73" s="948"/>
      <c r="K73" s="947"/>
      <c r="L73" s="948"/>
      <c r="M73" s="1294"/>
      <c r="N73" s="948"/>
      <c r="O73" s="947"/>
      <c r="P73" s="948"/>
      <c r="Q73" s="947"/>
      <c r="R73" s="948"/>
      <c r="S73" s="1294"/>
      <c r="T73" s="948"/>
      <c r="U73" s="947"/>
      <c r="V73" s="948"/>
      <c r="W73" s="947"/>
      <c r="X73" s="948"/>
      <c r="Y73" s="948"/>
      <c r="Z73" s="947"/>
      <c r="AA73" s="948"/>
      <c r="AB73" s="1294"/>
      <c r="AC73" s="948"/>
      <c r="AD73" s="947"/>
      <c r="AE73" s="948"/>
      <c r="AF73" s="947"/>
      <c r="AG73" s="948"/>
      <c r="AH73" s="947"/>
      <c r="AI73" s="948"/>
      <c r="AJ73" s="1294"/>
      <c r="AK73" s="1295"/>
      <c r="AL73" s="947"/>
      <c r="AM73" s="948"/>
      <c r="AN73" s="947"/>
      <c r="AO73" s="948"/>
      <c r="AP73" s="947"/>
      <c r="AQ73" s="948"/>
      <c r="AR73" s="947"/>
      <c r="AS73" s="948"/>
      <c r="AT73" s="947"/>
      <c r="AU73" s="948"/>
      <c r="AV73" s="947"/>
      <c r="AW73" s="948"/>
      <c r="AX73" s="947"/>
      <c r="AY73" s="948"/>
      <c r="AZ73" s="947"/>
      <c r="BA73" s="948"/>
      <c r="BB73" s="947"/>
      <c r="BC73" s="1044"/>
      <c r="BD73" s="1294"/>
      <c r="BE73" s="947"/>
      <c r="BF73" s="947"/>
      <c r="BG73" s="947"/>
      <c r="BH73" s="948"/>
      <c r="BI73" s="947"/>
      <c r="BJ73" s="947"/>
      <c r="BK73" s="1295"/>
      <c r="BL73" s="947"/>
      <c r="BM73" s="947"/>
      <c r="BN73" s="947"/>
      <c r="BO73" s="948"/>
      <c r="BP73" s="947"/>
      <c r="BQ73" s="947"/>
      <c r="BR73" s="947"/>
      <c r="BS73" s="1266"/>
      <c r="BT73" s="1188"/>
    </row>
    <row r="74" spans="1:72" s="173" customFormat="1" ht="11.1" customHeight="1" x14ac:dyDescent="0.2">
      <c r="A74" s="689" t="s">
        <v>1484</v>
      </c>
      <c r="B74" s="950" t="s">
        <v>556</v>
      </c>
      <c r="C74" s="947"/>
      <c r="D74" s="948"/>
      <c r="E74" s="947"/>
      <c r="F74" s="948"/>
      <c r="G74" s="1041"/>
      <c r="H74" s="948"/>
      <c r="I74" s="1294"/>
      <c r="J74" s="948"/>
      <c r="K74" s="947"/>
      <c r="L74" s="948"/>
      <c r="M74" s="1294"/>
      <c r="N74" s="948"/>
      <c r="O74" s="947"/>
      <c r="P74" s="948"/>
      <c r="Q74" s="947"/>
      <c r="R74" s="948"/>
      <c r="S74" s="1294"/>
      <c r="T74" s="948"/>
      <c r="U74" s="947"/>
      <c r="V74" s="948"/>
      <c r="W74" s="947"/>
      <c r="X74" s="948"/>
      <c r="Y74" s="948"/>
      <c r="Z74" s="947"/>
      <c r="AA74" s="948"/>
      <c r="AB74" s="1294"/>
      <c r="AC74" s="948"/>
      <c r="AD74" s="947"/>
      <c r="AE74" s="948"/>
      <c r="AF74" s="947"/>
      <c r="AG74" s="948"/>
      <c r="AH74" s="947"/>
      <c r="AI74" s="948"/>
      <c r="AJ74" s="1294"/>
      <c r="AK74" s="1295"/>
      <c r="AL74" s="947"/>
      <c r="AM74" s="948"/>
      <c r="AN74" s="947"/>
      <c r="AO74" s="948"/>
      <c r="AP74" s="947"/>
      <c r="AQ74" s="948"/>
      <c r="AR74" s="947"/>
      <c r="AS74" s="948"/>
      <c r="AT74" s="947"/>
      <c r="AU74" s="948"/>
      <c r="AV74" s="947"/>
      <c r="AW74" s="948"/>
      <c r="AX74" s="947"/>
      <c r="AY74" s="948"/>
      <c r="AZ74" s="947"/>
      <c r="BA74" s="948"/>
      <c r="BB74" s="947"/>
      <c r="BC74" s="1044"/>
      <c r="BD74" s="1294"/>
      <c r="BE74" s="947"/>
      <c r="BF74" s="947"/>
      <c r="BG74" s="947"/>
      <c r="BH74" s="948"/>
      <c r="BI74" s="947"/>
      <c r="BJ74" s="947"/>
      <c r="BK74" s="1295"/>
      <c r="BL74" s="947"/>
      <c r="BM74" s="947"/>
      <c r="BN74" s="947"/>
      <c r="BO74" s="948"/>
      <c r="BP74" s="947"/>
      <c r="BQ74" s="947"/>
      <c r="BR74" s="947"/>
      <c r="BS74" s="1266"/>
      <c r="BT74" s="1188"/>
    </row>
    <row r="75" spans="1:72" s="173" customFormat="1" ht="11.1" customHeight="1" x14ac:dyDescent="0.2">
      <c r="A75" s="689" t="s">
        <v>1484</v>
      </c>
      <c r="B75" s="952" t="s">
        <v>557</v>
      </c>
      <c r="C75" s="947"/>
      <c r="D75" s="948"/>
      <c r="E75" s="947"/>
      <c r="F75" s="948"/>
      <c r="G75" s="1041"/>
      <c r="H75" s="948"/>
      <c r="I75" s="1294"/>
      <c r="J75" s="948"/>
      <c r="K75" s="947"/>
      <c r="L75" s="948"/>
      <c r="M75" s="1294"/>
      <c r="N75" s="948"/>
      <c r="O75" s="947"/>
      <c r="P75" s="948"/>
      <c r="Q75" s="947"/>
      <c r="R75" s="948"/>
      <c r="S75" s="1294"/>
      <c r="T75" s="948"/>
      <c r="U75" s="947"/>
      <c r="V75" s="948"/>
      <c r="W75" s="947"/>
      <c r="X75" s="948"/>
      <c r="Y75" s="948"/>
      <c r="Z75" s="947"/>
      <c r="AA75" s="948"/>
      <c r="AB75" s="1294"/>
      <c r="AC75" s="948"/>
      <c r="AD75" s="947"/>
      <c r="AE75" s="948"/>
      <c r="AF75" s="947"/>
      <c r="AG75" s="948"/>
      <c r="AH75" s="947"/>
      <c r="AI75" s="948"/>
      <c r="AJ75" s="1294"/>
      <c r="AK75" s="1295"/>
      <c r="AL75" s="947"/>
      <c r="AM75" s="948"/>
      <c r="AN75" s="947"/>
      <c r="AO75" s="948"/>
      <c r="AP75" s="947"/>
      <c r="AQ75" s="948"/>
      <c r="AR75" s="947"/>
      <c r="AS75" s="948"/>
      <c r="AT75" s="947"/>
      <c r="AU75" s="948"/>
      <c r="AV75" s="947"/>
      <c r="AW75" s="948"/>
      <c r="AX75" s="947"/>
      <c r="AY75" s="948"/>
      <c r="AZ75" s="947"/>
      <c r="BA75" s="948"/>
      <c r="BB75" s="947"/>
      <c r="BC75" s="1044"/>
      <c r="BD75" s="1294"/>
      <c r="BE75" s="947"/>
      <c r="BF75" s="947"/>
      <c r="BG75" s="947"/>
      <c r="BH75" s="948"/>
      <c r="BI75" s="947"/>
      <c r="BJ75" s="947"/>
      <c r="BK75" s="1295"/>
      <c r="BL75" s="947"/>
      <c r="BM75" s="947"/>
      <c r="BN75" s="947"/>
      <c r="BO75" s="948"/>
      <c r="BP75" s="947"/>
      <c r="BQ75" s="947"/>
      <c r="BR75" s="947"/>
      <c r="BS75" s="1266"/>
      <c r="BT75" s="1188"/>
    </row>
    <row r="76" spans="1:72" s="173" customFormat="1" ht="11.1" customHeight="1" x14ac:dyDescent="0.2">
      <c r="A76" s="689" t="s">
        <v>1484</v>
      </c>
      <c r="B76" s="950" t="s">
        <v>549</v>
      </c>
      <c r="C76" s="947"/>
      <c r="D76" s="948"/>
      <c r="E76" s="947"/>
      <c r="F76" s="948"/>
      <c r="G76" s="1041"/>
      <c r="H76" s="948"/>
      <c r="I76" s="1294"/>
      <c r="J76" s="948"/>
      <c r="K76" s="947"/>
      <c r="L76" s="948"/>
      <c r="M76" s="1294"/>
      <c r="N76" s="948"/>
      <c r="O76" s="947"/>
      <c r="P76" s="948"/>
      <c r="Q76" s="947"/>
      <c r="R76" s="948"/>
      <c r="S76" s="1294"/>
      <c r="T76" s="948"/>
      <c r="U76" s="947"/>
      <c r="V76" s="948"/>
      <c r="W76" s="947"/>
      <c r="X76" s="948"/>
      <c r="Y76" s="948"/>
      <c r="Z76" s="947"/>
      <c r="AA76" s="948"/>
      <c r="AB76" s="1294"/>
      <c r="AC76" s="948"/>
      <c r="AD76" s="947"/>
      <c r="AE76" s="948"/>
      <c r="AF76" s="947"/>
      <c r="AG76" s="948"/>
      <c r="AH76" s="947"/>
      <c r="AI76" s="948"/>
      <c r="AJ76" s="1294"/>
      <c r="AK76" s="1295"/>
      <c r="AL76" s="947"/>
      <c r="AM76" s="948"/>
      <c r="AN76" s="947"/>
      <c r="AO76" s="948"/>
      <c r="AP76" s="947"/>
      <c r="AQ76" s="948"/>
      <c r="AR76" s="947"/>
      <c r="AS76" s="948"/>
      <c r="AT76" s="947"/>
      <c r="AU76" s="948"/>
      <c r="AV76" s="947"/>
      <c r="AW76" s="948"/>
      <c r="AX76" s="947"/>
      <c r="AY76" s="948"/>
      <c r="AZ76" s="947"/>
      <c r="BA76" s="948"/>
      <c r="BB76" s="947"/>
      <c r="BC76" s="1044"/>
      <c r="BD76" s="1294"/>
      <c r="BE76" s="947"/>
      <c r="BF76" s="947"/>
      <c r="BG76" s="947"/>
      <c r="BH76" s="948"/>
      <c r="BI76" s="947"/>
      <c r="BJ76" s="947"/>
      <c r="BK76" s="1295"/>
      <c r="BL76" s="947"/>
      <c r="BM76" s="947"/>
      <c r="BN76" s="947"/>
      <c r="BO76" s="948"/>
      <c r="BP76" s="947"/>
      <c r="BQ76" s="947"/>
      <c r="BR76" s="947"/>
      <c r="BS76" s="1266"/>
      <c r="BT76" s="1188"/>
    </row>
    <row r="77" spans="1:72" s="173" customFormat="1" ht="11.1" customHeight="1" x14ac:dyDescent="0.2">
      <c r="A77" s="689" t="s">
        <v>1484</v>
      </c>
      <c r="B77" s="952" t="s">
        <v>558</v>
      </c>
      <c r="C77" s="947"/>
      <c r="D77" s="948"/>
      <c r="E77" s="947"/>
      <c r="F77" s="948"/>
      <c r="G77" s="1041"/>
      <c r="H77" s="948"/>
      <c r="I77" s="1294"/>
      <c r="J77" s="948"/>
      <c r="K77" s="947"/>
      <c r="L77" s="948"/>
      <c r="M77" s="1294"/>
      <c r="N77" s="948"/>
      <c r="O77" s="947"/>
      <c r="P77" s="948"/>
      <c r="Q77" s="947"/>
      <c r="R77" s="948"/>
      <c r="S77" s="1294"/>
      <c r="T77" s="948"/>
      <c r="U77" s="947"/>
      <c r="V77" s="948"/>
      <c r="W77" s="947"/>
      <c r="X77" s="948"/>
      <c r="Y77" s="948"/>
      <c r="Z77" s="947"/>
      <c r="AA77" s="948"/>
      <c r="AB77" s="1294"/>
      <c r="AC77" s="948"/>
      <c r="AD77" s="947"/>
      <c r="AE77" s="948"/>
      <c r="AF77" s="947"/>
      <c r="AG77" s="948"/>
      <c r="AH77" s="947"/>
      <c r="AI77" s="948"/>
      <c r="AJ77" s="1294"/>
      <c r="AK77" s="1295"/>
      <c r="AL77" s="947"/>
      <c r="AM77" s="948"/>
      <c r="AN77" s="947"/>
      <c r="AO77" s="948"/>
      <c r="AP77" s="947"/>
      <c r="AQ77" s="948"/>
      <c r="AR77" s="947"/>
      <c r="AS77" s="948"/>
      <c r="AT77" s="947"/>
      <c r="AU77" s="948"/>
      <c r="AV77" s="947"/>
      <c r="AW77" s="948"/>
      <c r="AX77" s="947"/>
      <c r="AY77" s="948"/>
      <c r="AZ77" s="947"/>
      <c r="BA77" s="948"/>
      <c r="BB77" s="947"/>
      <c r="BC77" s="1044"/>
      <c r="BD77" s="1294"/>
      <c r="BE77" s="947"/>
      <c r="BF77" s="947"/>
      <c r="BG77" s="947"/>
      <c r="BH77" s="948"/>
      <c r="BI77" s="947"/>
      <c r="BJ77" s="947"/>
      <c r="BK77" s="1295"/>
      <c r="BL77" s="947"/>
      <c r="BM77" s="947"/>
      <c r="BN77" s="947"/>
      <c r="BO77" s="948"/>
      <c r="BP77" s="947"/>
      <c r="BQ77" s="947"/>
      <c r="BR77" s="947"/>
      <c r="BS77" s="1266"/>
      <c r="BT77" s="1188"/>
    </row>
    <row r="78" spans="1:72" s="173" customFormat="1" ht="11.1" customHeight="1" x14ac:dyDescent="0.2">
      <c r="A78" s="689" t="s">
        <v>1484</v>
      </c>
      <c r="B78" s="950" t="s">
        <v>559</v>
      </c>
      <c r="C78" s="947"/>
      <c r="D78" s="948"/>
      <c r="E78" s="947"/>
      <c r="F78" s="948"/>
      <c r="G78" s="1041"/>
      <c r="H78" s="948"/>
      <c r="I78" s="1294"/>
      <c r="J78" s="948"/>
      <c r="K78" s="947"/>
      <c r="L78" s="948"/>
      <c r="M78" s="1294"/>
      <c r="N78" s="948"/>
      <c r="O78" s="947"/>
      <c r="P78" s="948"/>
      <c r="Q78" s="947"/>
      <c r="R78" s="948"/>
      <c r="S78" s="1294"/>
      <c r="T78" s="948"/>
      <c r="U78" s="947"/>
      <c r="V78" s="948"/>
      <c r="W78" s="947"/>
      <c r="X78" s="948"/>
      <c r="Y78" s="948"/>
      <c r="Z78" s="947"/>
      <c r="AA78" s="948"/>
      <c r="AB78" s="1294"/>
      <c r="AC78" s="948"/>
      <c r="AD78" s="947"/>
      <c r="AE78" s="948"/>
      <c r="AF78" s="947"/>
      <c r="AG78" s="948"/>
      <c r="AH78" s="947"/>
      <c r="AI78" s="948"/>
      <c r="AJ78" s="1294"/>
      <c r="AK78" s="1295"/>
      <c r="AL78" s="947"/>
      <c r="AM78" s="948"/>
      <c r="AN78" s="947"/>
      <c r="AO78" s="948"/>
      <c r="AP78" s="947"/>
      <c r="AQ78" s="948"/>
      <c r="AR78" s="947"/>
      <c r="AS78" s="948"/>
      <c r="AT78" s="947"/>
      <c r="AU78" s="948"/>
      <c r="AV78" s="947"/>
      <c r="AW78" s="948"/>
      <c r="AX78" s="947"/>
      <c r="AY78" s="948"/>
      <c r="AZ78" s="947"/>
      <c r="BA78" s="948"/>
      <c r="BB78" s="947"/>
      <c r="BC78" s="1044"/>
      <c r="BD78" s="1294"/>
      <c r="BE78" s="947"/>
      <c r="BF78" s="947"/>
      <c r="BG78" s="947"/>
      <c r="BH78" s="948"/>
      <c r="BI78" s="947"/>
      <c r="BJ78" s="947"/>
      <c r="BK78" s="1295"/>
      <c r="BL78" s="947"/>
      <c r="BM78" s="947"/>
      <c r="BN78" s="947"/>
      <c r="BO78" s="948"/>
      <c r="BP78" s="947"/>
      <c r="BQ78" s="947"/>
      <c r="BR78" s="947"/>
      <c r="BS78" s="1266"/>
      <c r="BT78" s="1188"/>
    </row>
    <row r="79" spans="1:72" s="173" customFormat="1" ht="11.1" customHeight="1" x14ac:dyDescent="0.2">
      <c r="A79" s="689" t="s">
        <v>1484</v>
      </c>
      <c r="B79" s="952" t="s">
        <v>550</v>
      </c>
      <c r="C79" s="947"/>
      <c r="D79" s="948"/>
      <c r="E79" s="947"/>
      <c r="F79" s="948"/>
      <c r="G79" s="1041"/>
      <c r="H79" s="948"/>
      <c r="I79" s="1294"/>
      <c r="J79" s="948"/>
      <c r="K79" s="947"/>
      <c r="L79" s="948"/>
      <c r="M79" s="1294"/>
      <c r="N79" s="948"/>
      <c r="O79" s="947"/>
      <c r="P79" s="948"/>
      <c r="Q79" s="947"/>
      <c r="R79" s="948"/>
      <c r="S79" s="1294"/>
      <c r="T79" s="948"/>
      <c r="U79" s="947"/>
      <c r="V79" s="948"/>
      <c r="W79" s="947"/>
      <c r="X79" s="948"/>
      <c r="Y79" s="948"/>
      <c r="Z79" s="947"/>
      <c r="AA79" s="948"/>
      <c r="AB79" s="1294"/>
      <c r="AC79" s="948"/>
      <c r="AD79" s="947"/>
      <c r="AE79" s="948"/>
      <c r="AF79" s="947"/>
      <c r="AG79" s="948"/>
      <c r="AH79" s="947"/>
      <c r="AI79" s="948"/>
      <c r="AJ79" s="1294"/>
      <c r="AK79" s="1295"/>
      <c r="AL79" s="947"/>
      <c r="AM79" s="948"/>
      <c r="AN79" s="947"/>
      <c r="AO79" s="948"/>
      <c r="AP79" s="947"/>
      <c r="AQ79" s="948"/>
      <c r="AR79" s="947"/>
      <c r="AS79" s="948"/>
      <c r="AT79" s="947"/>
      <c r="AU79" s="948"/>
      <c r="AV79" s="947"/>
      <c r="AW79" s="948"/>
      <c r="AX79" s="947"/>
      <c r="AY79" s="948"/>
      <c r="AZ79" s="947"/>
      <c r="BA79" s="948"/>
      <c r="BB79" s="947"/>
      <c r="BC79" s="1044"/>
      <c r="BD79" s="1294"/>
      <c r="BE79" s="947"/>
      <c r="BF79" s="947"/>
      <c r="BG79" s="947"/>
      <c r="BH79" s="948"/>
      <c r="BI79" s="947"/>
      <c r="BJ79" s="947"/>
      <c r="BK79" s="1295"/>
      <c r="BL79" s="947"/>
      <c r="BM79" s="947"/>
      <c r="BN79" s="947"/>
      <c r="BO79" s="948"/>
      <c r="BP79" s="947"/>
      <c r="BQ79" s="947"/>
      <c r="BR79" s="947"/>
      <c r="BS79" s="1266"/>
      <c r="BT79" s="1188"/>
    </row>
    <row r="80" spans="1:72" s="173" customFormat="1" ht="11.1" customHeight="1" x14ac:dyDescent="0.2">
      <c r="A80" s="689" t="s">
        <v>1536</v>
      </c>
      <c r="B80" s="950" t="s">
        <v>552</v>
      </c>
      <c r="C80" s="947"/>
      <c r="D80" s="948"/>
      <c r="E80" s="947"/>
      <c r="F80" s="948"/>
      <c r="G80" s="1041"/>
      <c r="H80" s="948"/>
      <c r="I80" s="1294"/>
      <c r="J80" s="948"/>
      <c r="K80" s="947"/>
      <c r="L80" s="948"/>
      <c r="M80" s="1294"/>
      <c r="N80" s="948"/>
      <c r="O80" s="947"/>
      <c r="P80" s="948"/>
      <c r="Q80" s="947"/>
      <c r="R80" s="948"/>
      <c r="S80" s="1294"/>
      <c r="T80" s="948"/>
      <c r="U80" s="947"/>
      <c r="V80" s="948"/>
      <c r="W80" s="947"/>
      <c r="X80" s="948"/>
      <c r="Y80" s="948"/>
      <c r="Z80" s="947"/>
      <c r="AA80" s="948"/>
      <c r="AB80" s="1294"/>
      <c r="AC80" s="948"/>
      <c r="AD80" s="947"/>
      <c r="AE80" s="948"/>
      <c r="AF80" s="947"/>
      <c r="AG80" s="948"/>
      <c r="AH80" s="947"/>
      <c r="AI80" s="948"/>
      <c r="AJ80" s="1294"/>
      <c r="AK80" s="1295"/>
      <c r="AL80" s="947"/>
      <c r="AM80" s="948"/>
      <c r="AN80" s="947"/>
      <c r="AO80" s="948"/>
      <c r="AP80" s="947"/>
      <c r="AQ80" s="948"/>
      <c r="AR80" s="947"/>
      <c r="AS80" s="948"/>
      <c r="AT80" s="947"/>
      <c r="AU80" s="948"/>
      <c r="AV80" s="947"/>
      <c r="AW80" s="948"/>
      <c r="AX80" s="947"/>
      <c r="AY80" s="948"/>
      <c r="AZ80" s="947"/>
      <c r="BA80" s="948"/>
      <c r="BB80" s="947"/>
      <c r="BC80" s="1044"/>
      <c r="BD80" s="1294"/>
      <c r="BE80" s="947"/>
      <c r="BF80" s="947"/>
      <c r="BG80" s="947"/>
      <c r="BH80" s="948"/>
      <c r="BI80" s="947"/>
      <c r="BJ80" s="947"/>
      <c r="BK80" s="1295"/>
      <c r="BL80" s="947"/>
      <c r="BM80" s="947"/>
      <c r="BN80" s="947"/>
      <c r="BO80" s="948"/>
      <c r="BP80" s="947"/>
      <c r="BQ80" s="947"/>
      <c r="BR80" s="947"/>
      <c r="BS80" s="1266"/>
      <c r="BT80" s="1188"/>
    </row>
    <row r="81" spans="1:72" s="173" customFormat="1" ht="11.1" customHeight="1" x14ac:dyDescent="0.2">
      <c r="A81" s="689" t="s">
        <v>1536</v>
      </c>
      <c r="B81" s="952" t="s">
        <v>553</v>
      </c>
      <c r="C81" s="947"/>
      <c r="D81" s="948"/>
      <c r="E81" s="947"/>
      <c r="F81" s="948"/>
      <c r="G81" s="1041"/>
      <c r="H81" s="948"/>
      <c r="I81" s="1294"/>
      <c r="J81" s="948"/>
      <c r="K81" s="947"/>
      <c r="L81" s="948"/>
      <c r="M81" s="1294"/>
      <c r="N81" s="948"/>
      <c r="O81" s="947"/>
      <c r="P81" s="948"/>
      <c r="Q81" s="947"/>
      <c r="R81" s="948"/>
      <c r="S81" s="1294"/>
      <c r="T81" s="948"/>
      <c r="U81" s="947"/>
      <c r="V81" s="948"/>
      <c r="W81" s="947"/>
      <c r="X81" s="948"/>
      <c r="Y81" s="948"/>
      <c r="Z81" s="947"/>
      <c r="AA81" s="948"/>
      <c r="AB81" s="1294"/>
      <c r="AC81" s="948"/>
      <c r="AD81" s="947"/>
      <c r="AE81" s="948"/>
      <c r="AF81" s="947"/>
      <c r="AG81" s="948"/>
      <c r="AH81" s="947"/>
      <c r="AI81" s="948"/>
      <c r="AJ81" s="1294"/>
      <c r="AK81" s="1295"/>
      <c r="AL81" s="947"/>
      <c r="AM81" s="948"/>
      <c r="AN81" s="947"/>
      <c r="AO81" s="948"/>
      <c r="AP81" s="947"/>
      <c r="AQ81" s="948"/>
      <c r="AR81" s="947"/>
      <c r="AS81" s="948"/>
      <c r="AT81" s="947"/>
      <c r="AU81" s="948"/>
      <c r="AV81" s="947"/>
      <c r="AW81" s="948"/>
      <c r="AX81" s="947"/>
      <c r="AY81" s="948"/>
      <c r="AZ81" s="947"/>
      <c r="BA81" s="948"/>
      <c r="BB81" s="947"/>
      <c r="BC81" s="1044"/>
      <c r="BD81" s="1294"/>
      <c r="BE81" s="947"/>
      <c r="BF81" s="947"/>
      <c r="BG81" s="947"/>
      <c r="BH81" s="948"/>
      <c r="BI81" s="947"/>
      <c r="BJ81" s="947"/>
      <c r="BK81" s="1295"/>
      <c r="BL81" s="947"/>
      <c r="BM81" s="947"/>
      <c r="BN81" s="947"/>
      <c r="BO81" s="948"/>
      <c r="BP81" s="947"/>
      <c r="BQ81" s="947"/>
      <c r="BR81" s="947"/>
      <c r="BS81" s="1266"/>
      <c r="BT81" s="1188"/>
    </row>
    <row r="82" spans="1:72" s="173" customFormat="1" ht="11.1" customHeight="1" x14ac:dyDescent="0.2">
      <c r="A82" s="689" t="s">
        <v>1536</v>
      </c>
      <c r="B82" s="950" t="s">
        <v>547</v>
      </c>
      <c r="C82" s="947"/>
      <c r="D82" s="948"/>
      <c r="E82" s="947"/>
      <c r="F82" s="948"/>
      <c r="G82" s="1041"/>
      <c r="H82" s="948"/>
      <c r="I82" s="1294"/>
      <c r="J82" s="948"/>
      <c r="K82" s="947"/>
      <c r="L82" s="948"/>
      <c r="M82" s="1294"/>
      <c r="N82" s="948"/>
      <c r="O82" s="947"/>
      <c r="P82" s="948"/>
      <c r="Q82" s="947"/>
      <c r="R82" s="948"/>
      <c r="S82" s="1294"/>
      <c r="T82" s="948"/>
      <c r="U82" s="947"/>
      <c r="V82" s="948"/>
      <c r="W82" s="947"/>
      <c r="X82" s="948"/>
      <c r="Y82" s="948"/>
      <c r="Z82" s="947"/>
      <c r="AA82" s="948"/>
      <c r="AB82" s="1294"/>
      <c r="AC82" s="948"/>
      <c r="AD82" s="947"/>
      <c r="AE82" s="948"/>
      <c r="AF82" s="947"/>
      <c r="AG82" s="948"/>
      <c r="AH82" s="947"/>
      <c r="AI82" s="948"/>
      <c r="AJ82" s="1294"/>
      <c r="AK82" s="1295"/>
      <c r="AL82" s="947"/>
      <c r="AM82" s="948"/>
      <c r="AN82" s="947"/>
      <c r="AO82" s="948"/>
      <c r="AP82" s="947"/>
      <c r="AQ82" s="948"/>
      <c r="AR82" s="947"/>
      <c r="AS82" s="948"/>
      <c r="AT82" s="947"/>
      <c r="AU82" s="948"/>
      <c r="AV82" s="947"/>
      <c r="AW82" s="948"/>
      <c r="AX82" s="947"/>
      <c r="AY82" s="948"/>
      <c r="AZ82" s="947"/>
      <c r="BA82" s="948"/>
      <c r="BB82" s="947"/>
      <c r="BC82" s="1044"/>
      <c r="BD82" s="1294"/>
      <c r="BE82" s="947"/>
      <c r="BF82" s="947"/>
      <c r="BG82" s="947"/>
      <c r="BH82" s="948"/>
      <c r="BI82" s="947"/>
      <c r="BJ82" s="947"/>
      <c r="BK82" s="1295"/>
      <c r="BL82" s="947"/>
      <c r="BM82" s="947"/>
      <c r="BN82" s="947"/>
      <c r="BO82" s="948"/>
      <c r="BP82" s="947"/>
      <c r="BQ82" s="947"/>
      <c r="BR82" s="947"/>
      <c r="BS82" s="1266"/>
      <c r="BT82" s="1188"/>
    </row>
    <row r="83" spans="1:72" s="173" customFormat="1" ht="11.1" customHeight="1" x14ac:dyDescent="0.2">
      <c r="A83" s="689" t="s">
        <v>1536</v>
      </c>
      <c r="B83" s="952" t="s">
        <v>554</v>
      </c>
      <c r="C83" s="947"/>
      <c r="D83" s="948"/>
      <c r="E83" s="947"/>
      <c r="F83" s="948"/>
      <c r="G83" s="1041"/>
      <c r="H83" s="948"/>
      <c r="I83" s="1294"/>
      <c r="J83" s="948"/>
      <c r="K83" s="947"/>
      <c r="L83" s="948"/>
      <c r="M83" s="1294"/>
      <c r="N83" s="948"/>
      <c r="O83" s="947"/>
      <c r="P83" s="948"/>
      <c r="Q83" s="947"/>
      <c r="R83" s="948"/>
      <c r="S83" s="1294"/>
      <c r="T83" s="948"/>
      <c r="U83" s="947"/>
      <c r="V83" s="948"/>
      <c r="W83" s="947"/>
      <c r="X83" s="948"/>
      <c r="Y83" s="948"/>
      <c r="Z83" s="947"/>
      <c r="AA83" s="948"/>
      <c r="AB83" s="1294"/>
      <c r="AC83" s="948"/>
      <c r="AD83" s="947"/>
      <c r="AE83" s="948"/>
      <c r="AF83" s="947"/>
      <c r="AG83" s="948"/>
      <c r="AH83" s="947"/>
      <c r="AI83" s="948"/>
      <c r="AJ83" s="1294"/>
      <c r="AK83" s="1295"/>
      <c r="AL83" s="947"/>
      <c r="AM83" s="948"/>
      <c r="AN83" s="947"/>
      <c r="AO83" s="948"/>
      <c r="AP83" s="947"/>
      <c r="AQ83" s="948"/>
      <c r="AR83" s="947"/>
      <c r="AS83" s="948"/>
      <c r="AT83" s="947"/>
      <c r="AU83" s="948"/>
      <c r="AV83" s="947"/>
      <c r="AW83" s="948"/>
      <c r="AX83" s="947"/>
      <c r="AY83" s="948"/>
      <c r="AZ83" s="947"/>
      <c r="BA83" s="948"/>
      <c r="BB83" s="947"/>
      <c r="BC83" s="1044"/>
      <c r="BD83" s="1294"/>
      <c r="BE83" s="947"/>
      <c r="BF83" s="947"/>
      <c r="BG83" s="947"/>
      <c r="BH83" s="948"/>
      <c r="BI83" s="947"/>
      <c r="BJ83" s="947"/>
      <c r="BK83" s="1295"/>
      <c r="BL83" s="947"/>
      <c r="BM83" s="947"/>
      <c r="BN83" s="947"/>
      <c r="BO83" s="948"/>
      <c r="BP83" s="947"/>
      <c r="BQ83" s="947"/>
      <c r="BR83" s="947"/>
      <c r="BS83" s="1266"/>
      <c r="BT83" s="1188"/>
    </row>
    <row r="84" spans="1:72" s="173" customFormat="1" ht="11.1" customHeight="1" x14ac:dyDescent="0.2">
      <c r="A84" s="689" t="s">
        <v>1536</v>
      </c>
      <c r="B84" s="950" t="s">
        <v>555</v>
      </c>
      <c r="C84" s="947"/>
      <c r="D84" s="948"/>
      <c r="E84" s="947"/>
      <c r="F84" s="948"/>
      <c r="G84" s="1041"/>
      <c r="H84" s="948"/>
      <c r="I84" s="1294"/>
      <c r="J84" s="948"/>
      <c r="K84" s="947"/>
      <c r="L84" s="948"/>
      <c r="M84" s="1294"/>
      <c r="N84" s="948"/>
      <c r="O84" s="947"/>
      <c r="P84" s="948"/>
      <c r="Q84" s="947"/>
      <c r="R84" s="948"/>
      <c r="S84" s="1294"/>
      <c r="T84" s="948"/>
      <c r="U84" s="947"/>
      <c r="V84" s="948"/>
      <c r="W84" s="947"/>
      <c r="X84" s="948"/>
      <c r="Y84" s="948"/>
      <c r="Z84" s="947"/>
      <c r="AA84" s="948"/>
      <c r="AB84" s="1294"/>
      <c r="AC84" s="948"/>
      <c r="AD84" s="947"/>
      <c r="AE84" s="948"/>
      <c r="AF84" s="947"/>
      <c r="AG84" s="948"/>
      <c r="AH84" s="947"/>
      <c r="AI84" s="948"/>
      <c r="AJ84" s="1294"/>
      <c r="AK84" s="1295"/>
      <c r="AL84" s="947"/>
      <c r="AM84" s="948"/>
      <c r="AN84" s="947"/>
      <c r="AO84" s="948"/>
      <c r="AP84" s="947"/>
      <c r="AQ84" s="948"/>
      <c r="AR84" s="947"/>
      <c r="AS84" s="948"/>
      <c r="AT84" s="947"/>
      <c r="AU84" s="948"/>
      <c r="AV84" s="947"/>
      <c r="AW84" s="948"/>
      <c r="AX84" s="947"/>
      <c r="AY84" s="948"/>
      <c r="AZ84" s="947"/>
      <c r="BA84" s="948"/>
      <c r="BB84" s="947"/>
      <c r="BC84" s="1044"/>
      <c r="BD84" s="1294"/>
      <c r="BE84" s="947"/>
      <c r="BF84" s="947"/>
      <c r="BG84" s="947"/>
      <c r="BH84" s="948"/>
      <c r="BI84" s="947"/>
      <c r="BJ84" s="947"/>
      <c r="BK84" s="1295"/>
      <c r="BL84" s="947"/>
      <c r="BM84" s="947"/>
      <c r="BN84" s="947"/>
      <c r="BO84" s="948"/>
      <c r="BP84" s="947"/>
      <c r="BQ84" s="947"/>
      <c r="BR84" s="947"/>
      <c r="BS84" s="1266"/>
      <c r="BT84" s="1188"/>
    </row>
    <row r="85" spans="1:72" s="173" customFormat="1" ht="11.1" customHeight="1" x14ac:dyDescent="0.2">
      <c r="A85" s="689" t="s">
        <v>1536</v>
      </c>
      <c r="B85" s="952" t="s">
        <v>548</v>
      </c>
      <c r="C85" s="947"/>
      <c r="D85" s="948"/>
      <c r="E85" s="947"/>
      <c r="F85" s="948"/>
      <c r="G85" s="1041"/>
      <c r="H85" s="948"/>
      <c r="I85" s="1294"/>
      <c r="J85" s="948"/>
      <c r="K85" s="947"/>
      <c r="L85" s="948"/>
      <c r="M85" s="1294"/>
      <c r="N85" s="948"/>
      <c r="O85" s="947"/>
      <c r="P85" s="948"/>
      <c r="Q85" s="947"/>
      <c r="R85" s="948"/>
      <c r="S85" s="1294"/>
      <c r="T85" s="948"/>
      <c r="U85" s="947"/>
      <c r="V85" s="948"/>
      <c r="W85" s="947"/>
      <c r="X85" s="948"/>
      <c r="Y85" s="948"/>
      <c r="Z85" s="947"/>
      <c r="AA85" s="948"/>
      <c r="AB85" s="1294"/>
      <c r="AC85" s="948"/>
      <c r="AD85" s="947"/>
      <c r="AE85" s="948"/>
      <c r="AF85" s="947"/>
      <c r="AG85" s="948"/>
      <c r="AH85" s="947"/>
      <c r="AI85" s="948"/>
      <c r="AJ85" s="1294"/>
      <c r="AK85" s="1295"/>
      <c r="AL85" s="947"/>
      <c r="AM85" s="948"/>
      <c r="AN85" s="947"/>
      <c r="AO85" s="948"/>
      <c r="AP85" s="947"/>
      <c r="AQ85" s="948"/>
      <c r="AR85" s="947"/>
      <c r="AS85" s="948"/>
      <c r="AT85" s="947"/>
      <c r="AU85" s="948"/>
      <c r="AV85" s="947"/>
      <c r="AW85" s="948"/>
      <c r="AX85" s="947"/>
      <c r="AY85" s="948"/>
      <c r="AZ85" s="947"/>
      <c r="BA85" s="948"/>
      <c r="BB85" s="947"/>
      <c r="BC85" s="1044"/>
      <c r="BD85" s="1294"/>
      <c r="BE85" s="947"/>
      <c r="BF85" s="947"/>
      <c r="BG85" s="947"/>
      <c r="BH85" s="948"/>
      <c r="BI85" s="947"/>
      <c r="BJ85" s="947"/>
      <c r="BK85" s="1295"/>
      <c r="BL85" s="947"/>
      <c r="BM85" s="947"/>
      <c r="BN85" s="947"/>
      <c r="BO85" s="948"/>
      <c r="BP85" s="947"/>
      <c r="BQ85" s="947"/>
      <c r="BR85" s="947"/>
      <c r="BS85" s="1266"/>
      <c r="BT85" s="1188"/>
    </row>
    <row r="86" spans="1:72" s="173" customFormat="1" ht="11.1" customHeight="1" x14ac:dyDescent="0.2">
      <c r="A86" s="689" t="s">
        <v>1536</v>
      </c>
      <c r="B86" s="950" t="s">
        <v>556</v>
      </c>
      <c r="C86" s="947"/>
      <c r="D86" s="948"/>
      <c r="E86" s="947"/>
      <c r="F86" s="948"/>
      <c r="G86" s="1041"/>
      <c r="H86" s="948"/>
      <c r="I86" s="1294"/>
      <c r="J86" s="948"/>
      <c r="K86" s="947"/>
      <c r="L86" s="948"/>
      <c r="M86" s="1294"/>
      <c r="N86" s="948"/>
      <c r="O86" s="947"/>
      <c r="P86" s="948"/>
      <c r="Q86" s="947"/>
      <c r="R86" s="948"/>
      <c r="S86" s="1294"/>
      <c r="T86" s="948"/>
      <c r="U86" s="947"/>
      <c r="V86" s="948"/>
      <c r="W86" s="947"/>
      <c r="X86" s="948"/>
      <c r="Y86" s="948"/>
      <c r="Z86" s="947"/>
      <c r="AA86" s="948"/>
      <c r="AB86" s="1294"/>
      <c r="AC86" s="948"/>
      <c r="AD86" s="947"/>
      <c r="AE86" s="948"/>
      <c r="AF86" s="947"/>
      <c r="AG86" s="948"/>
      <c r="AH86" s="947"/>
      <c r="AI86" s="948"/>
      <c r="AJ86" s="1294"/>
      <c r="AK86" s="1295"/>
      <c r="AL86" s="947"/>
      <c r="AM86" s="948"/>
      <c r="AN86" s="947"/>
      <c r="AO86" s="948"/>
      <c r="AP86" s="947"/>
      <c r="AQ86" s="948"/>
      <c r="AR86" s="947"/>
      <c r="AS86" s="948"/>
      <c r="AT86" s="947"/>
      <c r="AU86" s="948"/>
      <c r="AV86" s="947"/>
      <c r="AW86" s="948"/>
      <c r="AX86" s="947"/>
      <c r="AY86" s="948"/>
      <c r="AZ86" s="947"/>
      <c r="BA86" s="948"/>
      <c r="BB86" s="947"/>
      <c r="BC86" s="1044"/>
      <c r="BD86" s="1294"/>
      <c r="BE86" s="947"/>
      <c r="BF86" s="947"/>
      <c r="BG86" s="947"/>
      <c r="BH86" s="948"/>
      <c r="BI86" s="947"/>
      <c r="BJ86" s="947"/>
      <c r="BK86" s="1295"/>
      <c r="BL86" s="947"/>
      <c r="BM86" s="947"/>
      <c r="BN86" s="947"/>
      <c r="BO86" s="948"/>
      <c r="BP86" s="947"/>
      <c r="BQ86" s="947"/>
      <c r="BR86" s="947"/>
      <c r="BS86" s="1266"/>
      <c r="BT86" s="1188"/>
    </row>
    <row r="87" spans="1:72" s="173" customFormat="1" ht="11.1" customHeight="1" x14ac:dyDescent="0.2">
      <c r="A87" s="689" t="s">
        <v>1536</v>
      </c>
      <c r="B87" s="952" t="s">
        <v>557</v>
      </c>
      <c r="C87" s="947"/>
      <c r="D87" s="948"/>
      <c r="E87" s="947"/>
      <c r="F87" s="948"/>
      <c r="G87" s="1041"/>
      <c r="H87" s="948"/>
      <c r="I87" s="1294"/>
      <c r="J87" s="948"/>
      <c r="K87" s="947"/>
      <c r="L87" s="948"/>
      <c r="M87" s="1294"/>
      <c r="N87" s="948"/>
      <c r="O87" s="947"/>
      <c r="P87" s="948"/>
      <c r="Q87" s="947"/>
      <c r="R87" s="948"/>
      <c r="S87" s="1294"/>
      <c r="T87" s="948"/>
      <c r="U87" s="947"/>
      <c r="V87" s="948"/>
      <c r="W87" s="947"/>
      <c r="X87" s="948"/>
      <c r="Y87" s="948"/>
      <c r="Z87" s="947"/>
      <c r="AA87" s="948"/>
      <c r="AB87" s="1294"/>
      <c r="AC87" s="948"/>
      <c r="AD87" s="947"/>
      <c r="AE87" s="948"/>
      <c r="AF87" s="947"/>
      <c r="AG87" s="948"/>
      <c r="AH87" s="947"/>
      <c r="AI87" s="948"/>
      <c r="AJ87" s="1294"/>
      <c r="AK87" s="1295"/>
      <c r="AL87" s="947"/>
      <c r="AM87" s="948"/>
      <c r="AN87" s="947"/>
      <c r="AO87" s="948"/>
      <c r="AP87" s="947"/>
      <c r="AQ87" s="948"/>
      <c r="AR87" s="947"/>
      <c r="AS87" s="948"/>
      <c r="AT87" s="947"/>
      <c r="AU87" s="948"/>
      <c r="AV87" s="947"/>
      <c r="AW87" s="948"/>
      <c r="AX87" s="947"/>
      <c r="AY87" s="948"/>
      <c r="AZ87" s="947"/>
      <c r="BA87" s="948"/>
      <c r="BB87" s="947"/>
      <c r="BC87" s="1044"/>
      <c r="BD87" s="1294"/>
      <c r="BE87" s="947"/>
      <c r="BF87" s="947"/>
      <c r="BG87" s="947"/>
      <c r="BH87" s="948"/>
      <c r="BI87" s="947"/>
      <c r="BJ87" s="947"/>
      <c r="BK87" s="1295"/>
      <c r="BL87" s="947"/>
      <c r="BM87" s="947"/>
      <c r="BN87" s="947"/>
      <c r="BO87" s="948"/>
      <c r="BP87" s="947"/>
      <c r="BQ87" s="947"/>
      <c r="BR87" s="947"/>
      <c r="BS87" s="1266"/>
      <c r="BT87" s="1188"/>
    </row>
    <row r="88" spans="1:72" s="173" customFormat="1" ht="11.1" customHeight="1" x14ac:dyDescent="0.2">
      <c r="A88" s="689" t="s">
        <v>1536</v>
      </c>
      <c r="B88" s="950" t="s">
        <v>549</v>
      </c>
      <c r="C88" s="947"/>
      <c r="D88" s="948"/>
      <c r="E88" s="947"/>
      <c r="F88" s="948"/>
      <c r="G88" s="1041"/>
      <c r="H88" s="948"/>
      <c r="I88" s="1294"/>
      <c r="J88" s="948"/>
      <c r="K88" s="947"/>
      <c r="L88" s="948"/>
      <c r="M88" s="1294"/>
      <c r="N88" s="948"/>
      <c r="O88" s="947"/>
      <c r="P88" s="948"/>
      <c r="Q88" s="947"/>
      <c r="R88" s="948"/>
      <c r="S88" s="1294"/>
      <c r="T88" s="948"/>
      <c r="U88" s="947"/>
      <c r="V88" s="948"/>
      <c r="W88" s="947"/>
      <c r="X88" s="948"/>
      <c r="Y88" s="948"/>
      <c r="Z88" s="947"/>
      <c r="AA88" s="948"/>
      <c r="AB88" s="1294"/>
      <c r="AC88" s="948"/>
      <c r="AD88" s="947"/>
      <c r="AE88" s="948"/>
      <c r="AF88" s="947"/>
      <c r="AG88" s="948"/>
      <c r="AH88" s="947"/>
      <c r="AI88" s="948"/>
      <c r="AJ88" s="1294"/>
      <c r="AK88" s="1295"/>
      <c r="AL88" s="947"/>
      <c r="AM88" s="948"/>
      <c r="AN88" s="947"/>
      <c r="AO88" s="948"/>
      <c r="AP88" s="947"/>
      <c r="AQ88" s="948"/>
      <c r="AR88" s="947"/>
      <c r="AS88" s="948"/>
      <c r="AT88" s="947"/>
      <c r="AU88" s="948"/>
      <c r="AV88" s="947"/>
      <c r="AW88" s="948"/>
      <c r="AX88" s="947"/>
      <c r="AY88" s="948"/>
      <c r="AZ88" s="947"/>
      <c r="BA88" s="948"/>
      <c r="BB88" s="947"/>
      <c r="BC88" s="1044"/>
      <c r="BD88" s="1294"/>
      <c r="BE88" s="947"/>
      <c r="BF88" s="947"/>
      <c r="BG88" s="947"/>
      <c r="BH88" s="948"/>
      <c r="BI88" s="947"/>
      <c r="BJ88" s="947"/>
      <c r="BK88" s="1295"/>
      <c r="BL88" s="947"/>
      <c r="BM88" s="947"/>
      <c r="BN88" s="947"/>
      <c r="BO88" s="948"/>
      <c r="BP88" s="947"/>
      <c r="BQ88" s="947"/>
      <c r="BR88" s="947"/>
      <c r="BS88" s="1266"/>
      <c r="BT88" s="1188"/>
    </row>
    <row r="89" spans="1:72" s="173" customFormat="1" ht="11.1" customHeight="1" x14ac:dyDescent="0.2">
      <c r="A89" s="689" t="s">
        <v>1536</v>
      </c>
      <c r="B89" s="952" t="s">
        <v>558</v>
      </c>
      <c r="C89" s="947"/>
      <c r="D89" s="948"/>
      <c r="E89" s="947"/>
      <c r="F89" s="948"/>
      <c r="G89" s="1041"/>
      <c r="H89" s="948"/>
      <c r="I89" s="1294"/>
      <c r="J89" s="948"/>
      <c r="K89" s="947"/>
      <c r="L89" s="948"/>
      <c r="M89" s="1294"/>
      <c r="N89" s="948"/>
      <c r="O89" s="947"/>
      <c r="P89" s="948"/>
      <c r="Q89" s="947"/>
      <c r="R89" s="948"/>
      <c r="S89" s="1294"/>
      <c r="T89" s="948"/>
      <c r="U89" s="947"/>
      <c r="V89" s="948"/>
      <c r="W89" s="947"/>
      <c r="X89" s="948"/>
      <c r="Y89" s="948"/>
      <c r="Z89" s="947"/>
      <c r="AA89" s="948"/>
      <c r="AB89" s="1294"/>
      <c r="AC89" s="948"/>
      <c r="AD89" s="947"/>
      <c r="AE89" s="948"/>
      <c r="AF89" s="947"/>
      <c r="AG89" s="948"/>
      <c r="AH89" s="947"/>
      <c r="AI89" s="948"/>
      <c r="AJ89" s="1294"/>
      <c r="AK89" s="1295"/>
      <c r="AL89" s="947"/>
      <c r="AM89" s="948"/>
      <c r="AN89" s="947"/>
      <c r="AO89" s="948"/>
      <c r="AP89" s="947"/>
      <c r="AQ89" s="948"/>
      <c r="AR89" s="947"/>
      <c r="AS89" s="948"/>
      <c r="AT89" s="947"/>
      <c r="AU89" s="948"/>
      <c r="AV89" s="947"/>
      <c r="AW89" s="948"/>
      <c r="AX89" s="947"/>
      <c r="AY89" s="948"/>
      <c r="AZ89" s="947"/>
      <c r="BA89" s="948"/>
      <c r="BB89" s="947"/>
      <c r="BC89" s="1044"/>
      <c r="BD89" s="1294"/>
      <c r="BE89" s="947"/>
      <c r="BF89" s="947"/>
      <c r="BG89" s="947"/>
      <c r="BH89" s="948"/>
      <c r="BI89" s="947"/>
      <c r="BJ89" s="947"/>
      <c r="BK89" s="1295"/>
      <c r="BL89" s="947"/>
      <c r="BM89" s="947"/>
      <c r="BN89" s="947"/>
      <c r="BO89" s="948"/>
      <c r="BP89" s="947"/>
      <c r="BQ89" s="947"/>
      <c r="BR89" s="947"/>
      <c r="BS89" s="1266"/>
      <c r="BT89" s="1188"/>
    </row>
    <row r="90" spans="1:72" s="173" customFormat="1" ht="11.1" customHeight="1" x14ac:dyDescent="0.2">
      <c r="A90" s="689" t="s">
        <v>1536</v>
      </c>
      <c r="B90" s="950" t="s">
        <v>559</v>
      </c>
      <c r="C90" s="947"/>
      <c r="D90" s="948"/>
      <c r="E90" s="947"/>
      <c r="F90" s="948"/>
      <c r="G90" s="1041"/>
      <c r="H90" s="948"/>
      <c r="I90" s="1294"/>
      <c r="J90" s="948"/>
      <c r="K90" s="947"/>
      <c r="L90" s="948"/>
      <c r="M90" s="1294"/>
      <c r="N90" s="948"/>
      <c r="O90" s="947"/>
      <c r="P90" s="948"/>
      <c r="Q90" s="947"/>
      <c r="R90" s="948"/>
      <c r="S90" s="1294"/>
      <c r="T90" s="948"/>
      <c r="U90" s="947"/>
      <c r="V90" s="948"/>
      <c r="W90" s="947"/>
      <c r="X90" s="948"/>
      <c r="Y90" s="948"/>
      <c r="Z90" s="947"/>
      <c r="AA90" s="948"/>
      <c r="AB90" s="1294"/>
      <c r="AC90" s="948"/>
      <c r="AD90" s="947"/>
      <c r="AE90" s="948"/>
      <c r="AF90" s="947"/>
      <c r="AG90" s="948"/>
      <c r="AH90" s="947"/>
      <c r="AI90" s="948"/>
      <c r="AJ90" s="1294"/>
      <c r="AK90" s="1295"/>
      <c r="AL90" s="947"/>
      <c r="AM90" s="948"/>
      <c r="AN90" s="947"/>
      <c r="AO90" s="948"/>
      <c r="AP90" s="947"/>
      <c r="AQ90" s="948"/>
      <c r="AR90" s="947"/>
      <c r="AS90" s="948"/>
      <c r="AT90" s="947"/>
      <c r="AU90" s="948"/>
      <c r="AV90" s="947"/>
      <c r="AW90" s="948"/>
      <c r="AX90" s="947"/>
      <c r="AY90" s="948"/>
      <c r="AZ90" s="947"/>
      <c r="BA90" s="948"/>
      <c r="BB90" s="947"/>
      <c r="BC90" s="1044"/>
      <c r="BD90" s="1294"/>
      <c r="BE90" s="947"/>
      <c r="BF90" s="947"/>
      <c r="BG90" s="947"/>
      <c r="BH90" s="948"/>
      <c r="BI90" s="947"/>
      <c r="BJ90" s="947"/>
      <c r="BK90" s="1295"/>
      <c r="BL90" s="947"/>
      <c r="BM90" s="947"/>
      <c r="BN90" s="947"/>
      <c r="BO90" s="948"/>
      <c r="BP90" s="947"/>
      <c r="BQ90" s="947"/>
      <c r="BR90" s="947"/>
      <c r="BS90" s="1266"/>
      <c r="BT90" s="1188"/>
    </row>
    <row r="91" spans="1:72" s="173" customFormat="1" ht="11.1" customHeight="1" x14ac:dyDescent="0.2">
      <c r="A91" s="689" t="s">
        <v>1536</v>
      </c>
      <c r="B91" s="952" t="s">
        <v>550</v>
      </c>
      <c r="C91" s="947"/>
      <c r="D91" s="948"/>
      <c r="E91" s="947"/>
      <c r="F91" s="948"/>
      <c r="G91" s="1041"/>
      <c r="H91" s="948"/>
      <c r="I91" s="1294"/>
      <c r="J91" s="948"/>
      <c r="K91" s="947"/>
      <c r="L91" s="948"/>
      <c r="M91" s="1294"/>
      <c r="N91" s="948"/>
      <c r="O91" s="947"/>
      <c r="P91" s="948"/>
      <c r="Q91" s="947"/>
      <c r="R91" s="948"/>
      <c r="S91" s="1294"/>
      <c r="T91" s="948"/>
      <c r="U91" s="947"/>
      <c r="V91" s="948"/>
      <c r="W91" s="947"/>
      <c r="X91" s="948"/>
      <c r="Y91" s="948"/>
      <c r="Z91" s="947"/>
      <c r="AA91" s="948"/>
      <c r="AB91" s="1294"/>
      <c r="AC91" s="948"/>
      <c r="AD91" s="947"/>
      <c r="AE91" s="948"/>
      <c r="AF91" s="947"/>
      <c r="AG91" s="948"/>
      <c r="AH91" s="947"/>
      <c r="AI91" s="948"/>
      <c r="AJ91" s="1294"/>
      <c r="AK91" s="1295"/>
      <c r="AL91" s="947"/>
      <c r="AM91" s="948"/>
      <c r="AN91" s="947"/>
      <c r="AO91" s="948"/>
      <c r="AP91" s="947"/>
      <c r="AQ91" s="948"/>
      <c r="AR91" s="947"/>
      <c r="AS91" s="948"/>
      <c r="AT91" s="947"/>
      <c r="AU91" s="948"/>
      <c r="AV91" s="947"/>
      <c r="AW91" s="948"/>
      <c r="AX91" s="947"/>
      <c r="AY91" s="948"/>
      <c r="AZ91" s="947"/>
      <c r="BA91" s="948"/>
      <c r="BB91" s="947"/>
      <c r="BC91" s="1044"/>
      <c r="BD91" s="1294"/>
      <c r="BE91" s="947"/>
      <c r="BF91" s="947"/>
      <c r="BG91" s="947"/>
      <c r="BH91" s="948"/>
      <c r="BI91" s="947"/>
      <c r="BJ91" s="947"/>
      <c r="BK91" s="1295"/>
      <c r="BL91" s="947"/>
      <c r="BM91" s="947"/>
      <c r="BN91" s="947"/>
      <c r="BO91" s="948"/>
      <c r="BP91" s="947"/>
      <c r="BQ91" s="947"/>
      <c r="BR91" s="947"/>
      <c r="BS91" s="1266"/>
      <c r="BT91" s="1188"/>
    </row>
    <row r="92" spans="1:72" s="173" customFormat="1" ht="11.1" customHeight="1" x14ac:dyDescent="0.2">
      <c r="A92" s="173" t="s">
        <v>1817</v>
      </c>
      <c r="B92" s="950" t="s">
        <v>552</v>
      </c>
      <c r="C92" s="732">
        <v>1235753</v>
      </c>
      <c r="D92" s="731">
        <v>164576.45775991795</v>
      </c>
      <c r="E92" s="732">
        <v>36053</v>
      </c>
      <c r="F92" s="731">
        <v>579.05490550700006</v>
      </c>
      <c r="G92" s="730">
        <v>1271806</v>
      </c>
      <c r="H92" s="731">
        <v>165155.51266542493</v>
      </c>
      <c r="I92" s="2174">
        <v>18032049</v>
      </c>
      <c r="J92" s="731">
        <v>43678.712935484989</v>
      </c>
      <c r="K92" s="732">
        <v>294229</v>
      </c>
      <c r="L92" s="731">
        <v>300.588309487</v>
      </c>
      <c r="M92" s="2174">
        <v>847</v>
      </c>
      <c r="N92" s="731">
        <v>1.9677314247499997</v>
      </c>
      <c r="O92" s="732">
        <v>1132758</v>
      </c>
      <c r="P92" s="731">
        <v>764.40335136499993</v>
      </c>
      <c r="Q92" s="732">
        <v>64148</v>
      </c>
      <c r="R92" s="731">
        <v>40.001898201599992</v>
      </c>
      <c r="S92" s="2174">
        <v>667093</v>
      </c>
      <c r="T92" s="731">
        <v>338.28088036700001</v>
      </c>
      <c r="U92" s="732">
        <v>86982</v>
      </c>
      <c r="V92" s="731">
        <v>41.314262066199987</v>
      </c>
      <c r="W92" s="732">
        <v>2246057</v>
      </c>
      <c r="X92" s="731">
        <v>1486.5564329115498</v>
      </c>
      <c r="Y92" s="731">
        <v>6333.6870533660003</v>
      </c>
      <c r="Z92" s="732">
        <v>20138764</v>
      </c>
      <c r="AA92" s="731">
        <v>20998.805196596993</v>
      </c>
      <c r="AB92" s="2174">
        <v>1014</v>
      </c>
      <c r="AC92" s="731">
        <v>2.7403223640000007</v>
      </c>
      <c r="AD92" s="732">
        <v>1133274</v>
      </c>
      <c r="AE92" s="731">
        <v>462.15950501500009</v>
      </c>
      <c r="AF92" s="732">
        <v>13333</v>
      </c>
      <c r="AG92" s="731">
        <v>3.6725846579999999</v>
      </c>
      <c r="AH92" s="732">
        <v>1472570</v>
      </c>
      <c r="AI92" s="731">
        <v>308.47598892999997</v>
      </c>
      <c r="AJ92" s="2174">
        <v>32645</v>
      </c>
      <c r="AK92" s="2175">
        <v>8.0919102790000004</v>
      </c>
      <c r="AL92" s="732">
        <v>22791600</v>
      </c>
      <c r="AM92" s="731">
        <v>21783.945507842993</v>
      </c>
      <c r="AN92" s="732">
        <v>297771</v>
      </c>
      <c r="AO92" s="731">
        <v>206.25381715699999</v>
      </c>
      <c r="AP92" s="732">
        <v>78911</v>
      </c>
      <c r="AQ92" s="731">
        <v>20.347541959699999</v>
      </c>
      <c r="AR92" s="732">
        <v>71808</v>
      </c>
      <c r="AS92" s="731">
        <v>86.600750000000005</v>
      </c>
      <c r="AT92" s="732">
        <v>61708</v>
      </c>
      <c r="AU92" s="731">
        <v>56.490720589700011</v>
      </c>
      <c r="AV92" s="732">
        <v>54390</v>
      </c>
      <c r="AW92" s="731">
        <v>20.574379321999999</v>
      </c>
      <c r="AX92" s="732">
        <v>187906</v>
      </c>
      <c r="AY92" s="731">
        <v>163.66584991170001</v>
      </c>
      <c r="AZ92" s="732">
        <v>25602245</v>
      </c>
      <c r="BA92" s="731">
        <v>23660.769149782947</v>
      </c>
      <c r="BB92" s="732">
        <v>1737932</v>
      </c>
      <c r="BC92" s="1187">
        <v>23620886</v>
      </c>
      <c r="BD92" s="2174">
        <v>954673</v>
      </c>
      <c r="BE92" s="732">
        <v>26313491</v>
      </c>
      <c r="BF92" s="732">
        <v>3822834</v>
      </c>
      <c r="BG92" s="732">
        <v>3700893</v>
      </c>
      <c r="BH92" s="731">
        <v>12768.772168597019</v>
      </c>
      <c r="BI92" s="732">
        <v>1395455</v>
      </c>
      <c r="BJ92" s="732">
        <v>381554769</v>
      </c>
      <c r="BK92" s="2175">
        <v>77645.904801523386</v>
      </c>
      <c r="BL92" s="732">
        <v>156026369</v>
      </c>
      <c r="BM92" s="732">
        <v>13086</v>
      </c>
      <c r="BN92" s="732">
        <v>11150939</v>
      </c>
      <c r="BO92" s="731">
        <v>32523.180197034995</v>
      </c>
      <c r="BP92" s="732">
        <v>12360576</v>
      </c>
      <c r="BQ92" s="732">
        <v>12367</v>
      </c>
      <c r="BR92" s="732">
        <v>82449</v>
      </c>
      <c r="BS92" s="1266"/>
      <c r="BT92" s="1188"/>
    </row>
    <row r="93" spans="1:72" s="173" customFormat="1" ht="11.1" customHeight="1" x14ac:dyDescent="0.2">
      <c r="A93" s="173" t="s">
        <v>1817</v>
      </c>
      <c r="B93" s="952" t="s">
        <v>553</v>
      </c>
      <c r="C93" s="732">
        <v>1579424</v>
      </c>
      <c r="D93" s="731">
        <v>186297.57348331407</v>
      </c>
      <c r="E93" s="732">
        <v>34371</v>
      </c>
      <c r="F93" s="731">
        <v>501.17102826299998</v>
      </c>
      <c r="G93" s="730">
        <v>1613795</v>
      </c>
      <c r="H93" s="731">
        <v>186798.74451157707</v>
      </c>
      <c r="I93" s="2174">
        <v>7390816</v>
      </c>
      <c r="J93" s="731">
        <v>43265.959765079009</v>
      </c>
      <c r="K93" s="732">
        <v>325301</v>
      </c>
      <c r="L93" s="731">
        <v>310.13119354400004</v>
      </c>
      <c r="M93" s="2174">
        <v>1231</v>
      </c>
      <c r="N93" s="731">
        <v>2.9093899204500002</v>
      </c>
      <c r="O93" s="732">
        <v>1514289</v>
      </c>
      <c r="P93" s="731">
        <v>910.93181396099988</v>
      </c>
      <c r="Q93" s="732">
        <v>83055</v>
      </c>
      <c r="R93" s="731">
        <v>58.238596877979994</v>
      </c>
      <c r="S93" s="2174">
        <v>713283</v>
      </c>
      <c r="T93" s="731">
        <v>342.35376229100007</v>
      </c>
      <c r="U93" s="732">
        <v>132832</v>
      </c>
      <c r="V93" s="731">
        <v>49.865668044929997</v>
      </c>
      <c r="W93" s="732">
        <v>2769991</v>
      </c>
      <c r="X93" s="731">
        <v>1674.4304246393599</v>
      </c>
      <c r="Y93" s="731">
        <v>6399.2341710999999</v>
      </c>
      <c r="Z93" s="732">
        <v>20150016</v>
      </c>
      <c r="AA93" s="731">
        <v>20057.503033057001</v>
      </c>
      <c r="AB93" s="2174">
        <v>1487</v>
      </c>
      <c r="AC93" s="731">
        <v>3.8668276523999996</v>
      </c>
      <c r="AD93" s="732">
        <v>1403366</v>
      </c>
      <c r="AE93" s="731">
        <v>536.75395848499988</v>
      </c>
      <c r="AF93" s="732">
        <v>14451</v>
      </c>
      <c r="AG93" s="731">
        <v>6.1575962190000002</v>
      </c>
      <c r="AH93" s="732">
        <v>1662218</v>
      </c>
      <c r="AI93" s="731">
        <v>317.43341209199997</v>
      </c>
      <c r="AJ93" s="2174">
        <v>43558</v>
      </c>
      <c r="AK93" s="2175">
        <v>13.076872040000001</v>
      </c>
      <c r="AL93" s="732">
        <v>23275096</v>
      </c>
      <c r="AM93" s="731">
        <v>20934.7916995454</v>
      </c>
      <c r="AN93" s="732">
        <v>254584</v>
      </c>
      <c r="AO93" s="731">
        <v>151.379186557</v>
      </c>
      <c r="AP93" s="732">
        <v>127676</v>
      </c>
      <c r="AQ93" s="731">
        <v>28.13007499255</v>
      </c>
      <c r="AR93" s="732">
        <v>73231</v>
      </c>
      <c r="AS93" s="731">
        <v>81.590330000000009</v>
      </c>
      <c r="AT93" s="732">
        <v>86062</v>
      </c>
      <c r="AU93" s="731">
        <v>68.906508597999988</v>
      </c>
      <c r="AV93" s="732">
        <v>60255</v>
      </c>
      <c r="AW93" s="731">
        <v>18.905738992999996</v>
      </c>
      <c r="AX93" s="732">
        <v>219548</v>
      </c>
      <c r="AY93" s="731">
        <v>169.40257759100001</v>
      </c>
      <c r="AZ93" s="732">
        <v>26646895</v>
      </c>
      <c r="BA93" s="731">
        <v>22958.133963325308</v>
      </c>
      <c r="BB93" s="732">
        <v>1746763</v>
      </c>
      <c r="BC93" s="1187">
        <v>23865558</v>
      </c>
      <c r="BD93" s="2174">
        <v>981158</v>
      </c>
      <c r="BE93" s="732">
        <v>26593479</v>
      </c>
      <c r="BF93" s="732">
        <v>3912195</v>
      </c>
      <c r="BG93" s="732">
        <v>3611919</v>
      </c>
      <c r="BH93" s="731">
        <v>15281.318395811677</v>
      </c>
      <c r="BI93" s="732">
        <v>1421933</v>
      </c>
      <c r="BJ93" s="732">
        <v>369127935</v>
      </c>
      <c r="BK93" s="2175">
        <v>71229.455459309</v>
      </c>
      <c r="BL93" s="732">
        <v>159013728</v>
      </c>
      <c r="BM93" s="732">
        <v>13160</v>
      </c>
      <c r="BN93" s="732">
        <v>10557594</v>
      </c>
      <c r="BO93" s="731">
        <v>37512.935063650984</v>
      </c>
      <c r="BP93" s="732">
        <v>12605017</v>
      </c>
      <c r="BQ93" s="732">
        <v>12425</v>
      </c>
      <c r="BR93" s="732">
        <v>83541</v>
      </c>
      <c r="BS93" s="1266"/>
      <c r="BT93" s="1188"/>
    </row>
    <row r="94" spans="1:72" s="173" customFormat="1" ht="11.1" customHeight="1" x14ac:dyDescent="0.2">
      <c r="A94" s="173" t="s">
        <v>1817</v>
      </c>
      <c r="B94" s="950" t="s">
        <v>547</v>
      </c>
      <c r="C94" s="732">
        <v>1903419</v>
      </c>
      <c r="D94" s="731">
        <v>221194.79354262009</v>
      </c>
      <c r="E94" s="732">
        <v>33888</v>
      </c>
      <c r="F94" s="731">
        <v>450.01962168700004</v>
      </c>
      <c r="G94" s="730">
        <v>1937307</v>
      </c>
      <c r="H94" s="731">
        <v>221644.8131643071</v>
      </c>
      <c r="I94" s="2174">
        <v>7742407</v>
      </c>
      <c r="J94" s="731">
        <v>44162.872666120005</v>
      </c>
      <c r="K94" s="732">
        <v>367674</v>
      </c>
      <c r="L94" s="731">
        <v>348.42900098199999</v>
      </c>
      <c r="M94" s="2174">
        <v>1629</v>
      </c>
      <c r="N94" s="731">
        <v>3.3075337561499993</v>
      </c>
      <c r="O94" s="732">
        <v>1711870</v>
      </c>
      <c r="P94" s="731">
        <v>1028.9352436929998</v>
      </c>
      <c r="Q94" s="732">
        <v>99209</v>
      </c>
      <c r="R94" s="731">
        <v>69.841649383600014</v>
      </c>
      <c r="S94" s="2174">
        <v>716343</v>
      </c>
      <c r="T94" s="731">
        <v>338.34500423399999</v>
      </c>
      <c r="U94" s="732">
        <v>134671</v>
      </c>
      <c r="V94" s="731">
        <v>50.838815874200009</v>
      </c>
      <c r="W94" s="732">
        <v>3031396</v>
      </c>
      <c r="X94" s="731">
        <v>1839.6972479229501</v>
      </c>
      <c r="Y94" s="731">
        <v>6510.771159455001</v>
      </c>
      <c r="Z94" s="732">
        <v>21480577</v>
      </c>
      <c r="AA94" s="731">
        <v>21567.728490091009</v>
      </c>
      <c r="AB94" s="2174">
        <v>1705</v>
      </c>
      <c r="AC94" s="731">
        <v>4.382979132</v>
      </c>
      <c r="AD94" s="732">
        <v>1635362</v>
      </c>
      <c r="AE94" s="731">
        <v>606.62209117299994</v>
      </c>
      <c r="AF94" s="732">
        <v>18459</v>
      </c>
      <c r="AG94" s="731">
        <v>7.9610742480000001</v>
      </c>
      <c r="AH94" s="732">
        <v>1627735</v>
      </c>
      <c r="AI94" s="731">
        <v>320.43006781899999</v>
      </c>
      <c r="AJ94" s="2174">
        <v>50840</v>
      </c>
      <c r="AK94" s="2175">
        <v>15.041898937000001</v>
      </c>
      <c r="AL94" s="732">
        <v>24814678</v>
      </c>
      <c r="AM94" s="731">
        <v>22522.166601400011</v>
      </c>
      <c r="AN94" s="732">
        <v>269985</v>
      </c>
      <c r="AO94" s="731">
        <v>165.85792895100002</v>
      </c>
      <c r="AP94" s="732">
        <v>147487</v>
      </c>
      <c r="AQ94" s="731">
        <v>33.176860486999999</v>
      </c>
      <c r="AR94" s="732">
        <v>82886</v>
      </c>
      <c r="AS94" s="731">
        <v>94.058159999999987</v>
      </c>
      <c r="AT94" s="732">
        <v>97056</v>
      </c>
      <c r="AU94" s="731">
        <v>73.45076796699999</v>
      </c>
      <c r="AV94" s="732">
        <v>54706</v>
      </c>
      <c r="AW94" s="731">
        <v>17.147082269999999</v>
      </c>
      <c r="AX94" s="732">
        <v>234648</v>
      </c>
      <c r="AY94" s="731">
        <v>184.65601023699998</v>
      </c>
      <c r="AZ94" s="732">
        <v>28498194</v>
      </c>
      <c r="BA94" s="731">
        <v>24745.554648997964</v>
      </c>
      <c r="BB94" s="732">
        <v>1762978</v>
      </c>
      <c r="BC94" s="1187">
        <v>24225164</v>
      </c>
      <c r="BD94" s="2174">
        <v>1026580</v>
      </c>
      <c r="BE94" s="732">
        <v>27014722</v>
      </c>
      <c r="BF94" s="732">
        <v>4025434</v>
      </c>
      <c r="BG94" s="732">
        <v>3803453</v>
      </c>
      <c r="BH94" s="731">
        <v>16864.3</v>
      </c>
      <c r="BI94" s="732">
        <v>1411192</v>
      </c>
      <c r="BJ94" s="732">
        <v>365210917</v>
      </c>
      <c r="BK94" s="2175">
        <v>74248.534020512001</v>
      </c>
      <c r="BL94" s="732">
        <v>162095327</v>
      </c>
      <c r="BM94" s="732">
        <v>13467</v>
      </c>
      <c r="BN94" s="732">
        <v>11171328</v>
      </c>
      <c r="BO94" s="731">
        <v>42370.153202788009</v>
      </c>
      <c r="BP94" s="732">
        <v>12911018</v>
      </c>
      <c r="BQ94" s="732">
        <v>12495</v>
      </c>
      <c r="BR94" s="732">
        <v>85817</v>
      </c>
      <c r="BS94" s="1266"/>
      <c r="BT94" s="1188"/>
    </row>
    <row r="95" spans="1:72" s="173" customFormat="1" ht="11.1" customHeight="1" x14ac:dyDescent="0.2">
      <c r="A95" s="173" t="s">
        <v>1817</v>
      </c>
      <c r="B95" s="952" t="s">
        <v>554</v>
      </c>
      <c r="C95" s="732">
        <v>1770888</v>
      </c>
      <c r="D95" s="731">
        <v>202462.296492208</v>
      </c>
      <c r="E95" s="732">
        <v>31558</v>
      </c>
      <c r="F95" s="731">
        <v>3064.2088966939996</v>
      </c>
      <c r="G95" s="730">
        <v>1802446</v>
      </c>
      <c r="H95" s="731">
        <v>205526.50538890201</v>
      </c>
      <c r="I95" s="2174">
        <v>9220208</v>
      </c>
      <c r="J95" s="731">
        <v>44494.459862921009</v>
      </c>
      <c r="K95" s="732">
        <v>410394</v>
      </c>
      <c r="L95" s="731">
        <v>398.26932622399994</v>
      </c>
      <c r="M95" s="2174">
        <v>3212</v>
      </c>
      <c r="N95" s="731">
        <v>4.4196079291499997</v>
      </c>
      <c r="O95" s="732">
        <v>1818705</v>
      </c>
      <c r="P95" s="731">
        <v>1070.4054986859999</v>
      </c>
      <c r="Q95" s="732">
        <v>118797</v>
      </c>
      <c r="R95" s="731">
        <v>103.64007422159999</v>
      </c>
      <c r="S95" s="2174">
        <v>715865</v>
      </c>
      <c r="T95" s="731">
        <v>329.02056945200002</v>
      </c>
      <c r="U95" s="732">
        <v>136851</v>
      </c>
      <c r="V95" s="731">
        <v>58.528025137499995</v>
      </c>
      <c r="W95" s="732">
        <v>3203824</v>
      </c>
      <c r="X95" s="731">
        <v>1964.2831016502496</v>
      </c>
      <c r="Y95" s="731">
        <v>6681.1284291169995</v>
      </c>
      <c r="Z95" s="732">
        <v>22281925</v>
      </c>
      <c r="AA95" s="731">
        <v>22173.372455720004</v>
      </c>
      <c r="AB95" s="2174">
        <v>2245</v>
      </c>
      <c r="AC95" s="731">
        <v>4.6866773630000003</v>
      </c>
      <c r="AD95" s="732">
        <v>1721050</v>
      </c>
      <c r="AE95" s="731">
        <v>632.31953849300021</v>
      </c>
      <c r="AF95" s="732">
        <v>20411</v>
      </c>
      <c r="AG95" s="731">
        <v>10.782154884000001</v>
      </c>
      <c r="AH95" s="732">
        <v>1575736</v>
      </c>
      <c r="AI95" s="731">
        <v>289.67312253599999</v>
      </c>
      <c r="AJ95" s="2174">
        <v>53655</v>
      </c>
      <c r="AK95" s="2175">
        <v>15.451374351999998</v>
      </c>
      <c r="AL95" s="732">
        <v>25655022</v>
      </c>
      <c r="AM95" s="731">
        <v>23126.285323348005</v>
      </c>
      <c r="AN95" s="732">
        <v>274249</v>
      </c>
      <c r="AO95" s="731">
        <v>167.31234587399993</v>
      </c>
      <c r="AP95" s="732">
        <v>179532</v>
      </c>
      <c r="AQ95" s="731">
        <v>33.897674557000002</v>
      </c>
      <c r="AR95" s="732">
        <v>91683</v>
      </c>
      <c r="AS95" s="731">
        <v>102.28888999999998</v>
      </c>
      <c r="AT95" s="732">
        <v>113017</v>
      </c>
      <c r="AU95" s="731">
        <v>88.977779075000015</v>
      </c>
      <c r="AV95" s="732">
        <v>58722</v>
      </c>
      <c r="AW95" s="731">
        <v>18.180474414999999</v>
      </c>
      <c r="AX95" s="732">
        <v>263422</v>
      </c>
      <c r="AY95" s="731">
        <v>209.44714348999997</v>
      </c>
      <c r="AZ95" s="732">
        <v>29576049</v>
      </c>
      <c r="BA95" s="731">
        <v>25501.225588919257</v>
      </c>
      <c r="BB95" s="732">
        <v>1779794</v>
      </c>
      <c r="BC95" s="1187">
        <v>24675363</v>
      </c>
      <c r="BD95" s="2174">
        <v>1075009</v>
      </c>
      <c r="BE95" s="732">
        <v>27530166</v>
      </c>
      <c r="BF95" s="732">
        <v>4158419</v>
      </c>
      <c r="BG95" s="732">
        <v>4070877</v>
      </c>
      <c r="BH95" s="731">
        <v>15558.281767685687</v>
      </c>
      <c r="BI95" s="732">
        <v>1431364</v>
      </c>
      <c r="BJ95" s="732">
        <v>376249253</v>
      </c>
      <c r="BK95" s="2175">
        <v>76725.320824984985</v>
      </c>
      <c r="BL95" s="732">
        <v>164619367</v>
      </c>
      <c r="BM95" s="732">
        <v>13591</v>
      </c>
      <c r="BN95" s="732">
        <v>11513278</v>
      </c>
      <c r="BO95" s="731">
        <v>42072.363378067996</v>
      </c>
      <c r="BP95" s="732">
        <v>13189535</v>
      </c>
      <c r="BQ95" s="732">
        <v>12567</v>
      </c>
      <c r="BR95" s="732">
        <v>87417</v>
      </c>
      <c r="BS95" s="1266"/>
      <c r="BT95" s="1188"/>
    </row>
    <row r="96" spans="1:72" s="173" customFormat="1" ht="11.1" customHeight="1" x14ac:dyDescent="0.2">
      <c r="A96" s="173" t="s">
        <v>1817</v>
      </c>
      <c r="B96" s="950" t="s">
        <v>555</v>
      </c>
      <c r="C96" s="732">
        <v>1900797</v>
      </c>
      <c r="D96" s="731">
        <v>209510.19422118407</v>
      </c>
      <c r="E96" s="732">
        <v>30722</v>
      </c>
      <c r="F96" s="731">
        <v>377.05998358300002</v>
      </c>
      <c r="G96" s="730">
        <v>1931519</v>
      </c>
      <c r="H96" s="731">
        <v>209887.25420476706</v>
      </c>
      <c r="I96" s="2174">
        <v>15729267</v>
      </c>
      <c r="J96" s="731">
        <v>46772.188545958001</v>
      </c>
      <c r="K96" s="732">
        <v>460525</v>
      </c>
      <c r="L96" s="731">
        <v>450.16549999200009</v>
      </c>
      <c r="M96" s="2174">
        <v>2678</v>
      </c>
      <c r="N96" s="731">
        <v>5.3135209535500012</v>
      </c>
      <c r="O96" s="732">
        <v>1840658</v>
      </c>
      <c r="P96" s="731">
        <v>1075.8782230890001</v>
      </c>
      <c r="Q96" s="732">
        <v>128543</v>
      </c>
      <c r="R96" s="731">
        <v>118.01439479799998</v>
      </c>
      <c r="S96" s="2174">
        <v>800455</v>
      </c>
      <c r="T96" s="731">
        <v>388.77463622399995</v>
      </c>
      <c r="U96" s="732">
        <v>137349</v>
      </c>
      <c r="V96" s="731">
        <v>54.248931625400012</v>
      </c>
      <c r="W96" s="732">
        <v>3370208</v>
      </c>
      <c r="X96" s="731">
        <v>2092.3952066819502</v>
      </c>
      <c r="Y96" s="731">
        <v>6813.1702359789997</v>
      </c>
      <c r="Z96" s="732">
        <v>22693553</v>
      </c>
      <c r="AA96" s="731">
        <v>22213.762971710006</v>
      </c>
      <c r="AB96" s="2174">
        <v>2884</v>
      </c>
      <c r="AC96" s="731">
        <v>5.1887718899500008</v>
      </c>
      <c r="AD96" s="732">
        <v>1778182</v>
      </c>
      <c r="AE96" s="731">
        <v>641.12824451600011</v>
      </c>
      <c r="AF96" s="732">
        <v>20491</v>
      </c>
      <c r="AG96" s="731">
        <v>12.0646708816</v>
      </c>
      <c r="AH96" s="732">
        <v>1611678</v>
      </c>
      <c r="AI96" s="731">
        <v>291.37964958999999</v>
      </c>
      <c r="AJ96" s="2174">
        <v>49607</v>
      </c>
      <c r="AK96" s="2175">
        <v>14.993300797000002</v>
      </c>
      <c r="AL96" s="732">
        <v>26156395</v>
      </c>
      <c r="AM96" s="731">
        <v>23178.517609384551</v>
      </c>
      <c r="AN96" s="732">
        <v>261658</v>
      </c>
      <c r="AO96" s="731">
        <v>168.16993821999998</v>
      </c>
      <c r="AP96" s="732">
        <v>138261</v>
      </c>
      <c r="AQ96" s="731">
        <v>32.410279254849996</v>
      </c>
      <c r="AR96" s="732">
        <v>95942</v>
      </c>
      <c r="AS96" s="731">
        <v>106.47660999999997</v>
      </c>
      <c r="AT96" s="732">
        <v>119123</v>
      </c>
      <c r="AU96" s="731">
        <v>98.848366163999998</v>
      </c>
      <c r="AV96" s="732">
        <v>57798</v>
      </c>
      <c r="AW96" s="731">
        <v>20.043510759</v>
      </c>
      <c r="AX96" s="732">
        <v>272863</v>
      </c>
      <c r="AY96" s="731">
        <v>225.36848692299998</v>
      </c>
      <c r="AZ96" s="732">
        <v>30199385</v>
      </c>
      <c r="BA96" s="731">
        <v>25696.86152046435</v>
      </c>
      <c r="BB96" s="732">
        <v>1802876</v>
      </c>
      <c r="BC96" s="1187">
        <v>24999319</v>
      </c>
      <c r="BD96" s="2174">
        <v>1130272</v>
      </c>
      <c r="BE96" s="732">
        <v>27932467</v>
      </c>
      <c r="BF96" s="732">
        <v>4306170</v>
      </c>
      <c r="BG96" s="732">
        <v>3983288</v>
      </c>
      <c r="BH96" s="731">
        <v>17009.394527376</v>
      </c>
      <c r="BI96" s="732">
        <v>1388741</v>
      </c>
      <c r="BJ96" s="732">
        <v>376260335</v>
      </c>
      <c r="BK96" s="2175">
        <v>78584.118753516988</v>
      </c>
      <c r="BL96" s="732">
        <v>167005492</v>
      </c>
      <c r="BM96" s="732">
        <v>13753</v>
      </c>
      <c r="BN96" s="732">
        <v>13846787</v>
      </c>
      <c r="BO96" s="731">
        <v>45381.954389071994</v>
      </c>
      <c r="BP96" s="732">
        <v>13507106</v>
      </c>
      <c r="BQ96" s="732">
        <v>12652</v>
      </c>
      <c r="BR96" s="732">
        <v>88776</v>
      </c>
      <c r="BS96" s="1266"/>
      <c r="BT96" s="1188"/>
    </row>
    <row r="97" spans="1:72" s="173" customFormat="1" ht="11.1" customHeight="1" x14ac:dyDescent="0.2">
      <c r="A97" s="173" t="s">
        <v>1817</v>
      </c>
      <c r="B97" s="952" t="s">
        <v>548</v>
      </c>
      <c r="C97" s="732">
        <v>1922957</v>
      </c>
      <c r="D97" s="731">
        <v>233537.99269770601</v>
      </c>
      <c r="E97" s="732">
        <v>24812</v>
      </c>
      <c r="F97" s="731">
        <v>253.40989335</v>
      </c>
      <c r="G97" s="730">
        <v>1947769</v>
      </c>
      <c r="H97" s="731">
        <v>233791.40259105602</v>
      </c>
      <c r="I97" s="2174">
        <v>9608390</v>
      </c>
      <c r="J97" s="731">
        <v>47253.709872514999</v>
      </c>
      <c r="K97" s="732">
        <v>487891</v>
      </c>
      <c r="L97" s="731">
        <v>492.24236113000001</v>
      </c>
      <c r="M97" s="2174">
        <v>2750</v>
      </c>
      <c r="N97" s="731">
        <v>4.9982394561999985</v>
      </c>
      <c r="O97" s="732">
        <v>1948816</v>
      </c>
      <c r="P97" s="731">
        <v>1175.7723725399999</v>
      </c>
      <c r="Q97" s="732">
        <v>125114</v>
      </c>
      <c r="R97" s="731">
        <v>114.93624128869999</v>
      </c>
      <c r="S97" s="2174">
        <v>778310</v>
      </c>
      <c r="T97" s="731">
        <v>385.99476495900012</v>
      </c>
      <c r="U97" s="732">
        <v>128991</v>
      </c>
      <c r="V97" s="731">
        <v>55.036242900650002</v>
      </c>
      <c r="W97" s="732">
        <v>3471872</v>
      </c>
      <c r="X97" s="731">
        <v>2228.9802222745502</v>
      </c>
      <c r="Y97" s="731">
        <v>6944.243368677</v>
      </c>
      <c r="Z97" s="732">
        <v>23517987</v>
      </c>
      <c r="AA97" s="731">
        <v>23320.486913219996</v>
      </c>
      <c r="AB97" s="2174">
        <v>4305</v>
      </c>
      <c r="AC97" s="731">
        <v>8.4184159550000004</v>
      </c>
      <c r="AD97" s="732">
        <v>1843500</v>
      </c>
      <c r="AE97" s="731">
        <v>682.11068501399973</v>
      </c>
      <c r="AF97" s="732">
        <v>24630</v>
      </c>
      <c r="AG97" s="731">
        <v>12.770804625999999</v>
      </c>
      <c r="AH97" s="732">
        <v>1659356</v>
      </c>
      <c r="AI97" s="731">
        <v>314.22435338699995</v>
      </c>
      <c r="AJ97" s="2174">
        <v>67243</v>
      </c>
      <c r="AK97" s="2175">
        <v>18.960791286999999</v>
      </c>
      <c r="AL97" s="732">
        <v>27117021</v>
      </c>
      <c r="AM97" s="731">
        <v>24356.971963488995</v>
      </c>
      <c r="AN97" s="732">
        <v>272921</v>
      </c>
      <c r="AO97" s="731">
        <v>179.93944547699999</v>
      </c>
      <c r="AP97" s="732">
        <v>138215</v>
      </c>
      <c r="AQ97" s="731">
        <v>35.037691775550002</v>
      </c>
      <c r="AR97" s="732">
        <v>125251</v>
      </c>
      <c r="AS97" s="731">
        <v>136.04496</v>
      </c>
      <c r="AT97" s="732">
        <v>147881</v>
      </c>
      <c r="AU97" s="731">
        <v>118.28893613720001</v>
      </c>
      <c r="AV97" s="732">
        <v>48693</v>
      </c>
      <c r="AW97" s="731">
        <v>19.323091163999997</v>
      </c>
      <c r="AX97" s="732">
        <v>321825</v>
      </c>
      <c r="AY97" s="731">
        <v>273.65698730119999</v>
      </c>
      <c r="AZ97" s="732">
        <v>31321854</v>
      </c>
      <c r="BA97" s="731">
        <v>27074.586310317296</v>
      </c>
      <c r="BB97" s="732">
        <v>1833242</v>
      </c>
      <c r="BC97" s="1187">
        <v>25285859</v>
      </c>
      <c r="BD97" s="2174">
        <v>1154901</v>
      </c>
      <c r="BE97" s="732">
        <v>28274002</v>
      </c>
      <c r="BF97" s="732">
        <v>4439938</v>
      </c>
      <c r="BG97" s="732">
        <v>4299401</v>
      </c>
      <c r="BH97" s="731">
        <v>20558.932781705</v>
      </c>
      <c r="BI97" s="732">
        <v>1412767</v>
      </c>
      <c r="BJ97" s="732">
        <v>391636834</v>
      </c>
      <c r="BK97" s="2175">
        <v>81099.127387726723</v>
      </c>
      <c r="BL97" s="732">
        <v>169722031</v>
      </c>
      <c r="BM97" s="732">
        <v>13951</v>
      </c>
      <c r="BN97" s="732">
        <v>13984633</v>
      </c>
      <c r="BO97" s="731">
        <v>49139.286617982994</v>
      </c>
      <c r="BP97" s="732">
        <v>14047396</v>
      </c>
      <c r="BQ97" s="732">
        <v>12831</v>
      </c>
      <c r="BR97" s="732">
        <v>92086</v>
      </c>
      <c r="BS97" s="1266"/>
      <c r="BT97" s="1188"/>
    </row>
    <row r="98" spans="1:72" s="173" customFormat="1" ht="11.1" customHeight="1" x14ac:dyDescent="0.2">
      <c r="A98" s="173" t="s">
        <v>1817</v>
      </c>
      <c r="B98" s="950" t="s">
        <v>556</v>
      </c>
      <c r="C98" s="732">
        <v>1990096</v>
      </c>
      <c r="D98" s="731">
        <v>219165.90039558904</v>
      </c>
      <c r="E98" s="732">
        <v>21317</v>
      </c>
      <c r="F98" s="731">
        <v>258.63001461700003</v>
      </c>
      <c r="G98" s="730">
        <v>2011413</v>
      </c>
      <c r="H98" s="731">
        <v>219424.53041020603</v>
      </c>
      <c r="I98" s="2174">
        <v>21069894</v>
      </c>
      <c r="J98" s="731">
        <v>51636.257107776</v>
      </c>
      <c r="K98" s="732">
        <v>491194</v>
      </c>
      <c r="L98" s="731">
        <v>510.35974188900002</v>
      </c>
      <c r="M98" s="2174">
        <v>2114</v>
      </c>
      <c r="N98" s="731">
        <v>4.0691324765500001</v>
      </c>
      <c r="O98" s="732">
        <v>1939894</v>
      </c>
      <c r="P98" s="731">
        <v>1115.9255265250001</v>
      </c>
      <c r="Q98" s="732">
        <v>106587</v>
      </c>
      <c r="R98" s="731">
        <v>91.704788560600008</v>
      </c>
      <c r="S98" s="2174">
        <v>765468</v>
      </c>
      <c r="T98" s="731">
        <v>363.28983351299996</v>
      </c>
      <c r="U98" s="732">
        <v>124135</v>
      </c>
      <c r="V98" s="731">
        <v>53.029834403150005</v>
      </c>
      <c r="W98" s="732">
        <v>3429392</v>
      </c>
      <c r="X98" s="731">
        <v>2138.3788573673</v>
      </c>
      <c r="Y98" s="731">
        <v>6973.3305707179989</v>
      </c>
      <c r="Z98" s="732">
        <v>23522301</v>
      </c>
      <c r="AA98" s="731">
        <v>23678.081140039998</v>
      </c>
      <c r="AB98" s="2174">
        <v>2951</v>
      </c>
      <c r="AC98" s="731">
        <v>6.033788841999999</v>
      </c>
      <c r="AD98" s="732">
        <v>1774600</v>
      </c>
      <c r="AE98" s="731">
        <v>657.07922867399975</v>
      </c>
      <c r="AF98" s="732">
        <v>24821</v>
      </c>
      <c r="AG98" s="731">
        <v>11.921848470000002</v>
      </c>
      <c r="AH98" s="732">
        <v>1723783</v>
      </c>
      <c r="AI98" s="731">
        <v>331.02529038199998</v>
      </c>
      <c r="AJ98" s="2174">
        <v>60566</v>
      </c>
      <c r="AK98" s="2175">
        <v>16.844941899999998</v>
      </c>
      <c r="AL98" s="732">
        <v>27109022</v>
      </c>
      <c r="AM98" s="731">
        <v>24700.986238307996</v>
      </c>
      <c r="AN98" s="732">
        <v>310991</v>
      </c>
      <c r="AO98" s="731">
        <v>197.151202369</v>
      </c>
      <c r="AP98" s="732">
        <v>130755</v>
      </c>
      <c r="AQ98" s="731">
        <v>35.913391338500006</v>
      </c>
      <c r="AR98" s="732">
        <v>110162</v>
      </c>
      <c r="AS98" s="731">
        <v>125.07638</v>
      </c>
      <c r="AT98" s="732">
        <v>151303</v>
      </c>
      <c r="AU98" s="731">
        <v>120.026409368</v>
      </c>
      <c r="AV98" s="732">
        <v>68009</v>
      </c>
      <c r="AW98" s="731">
        <v>24.168185911999998</v>
      </c>
      <c r="AX98" s="732">
        <v>329474</v>
      </c>
      <c r="AY98" s="731">
        <v>269.27097528000002</v>
      </c>
      <c r="AZ98" s="732">
        <v>31309634</v>
      </c>
      <c r="BA98" s="731">
        <v>27341.7006646628</v>
      </c>
      <c r="BB98" s="732">
        <v>1847534</v>
      </c>
      <c r="BC98" s="1187">
        <v>25574668</v>
      </c>
      <c r="BD98" s="2174">
        <v>1198452</v>
      </c>
      <c r="BE98" s="732">
        <v>28620654</v>
      </c>
      <c r="BF98" s="732">
        <v>4554785</v>
      </c>
      <c r="BG98" s="732">
        <v>4552127</v>
      </c>
      <c r="BH98" s="731">
        <v>18623.21254036</v>
      </c>
      <c r="BI98" s="732">
        <v>1429850</v>
      </c>
      <c r="BJ98" s="732">
        <v>408094514</v>
      </c>
      <c r="BK98" s="2175">
        <v>84783.405832185017</v>
      </c>
      <c r="BL98" s="732">
        <v>173267972</v>
      </c>
      <c r="BM98" s="732">
        <v>14081</v>
      </c>
      <c r="BN98" s="732">
        <v>14755323</v>
      </c>
      <c r="BO98" s="731">
        <v>52121.882127140998</v>
      </c>
      <c r="BP98" s="732">
        <v>14416227</v>
      </c>
      <c r="BQ98" s="732">
        <v>12864</v>
      </c>
      <c r="BR98" s="732">
        <v>93662</v>
      </c>
      <c r="BS98" s="1266"/>
      <c r="BT98" s="1188"/>
    </row>
    <row r="99" spans="1:72" s="173" customFormat="1" ht="11.1" customHeight="1" x14ac:dyDescent="0.2">
      <c r="A99" s="173" t="s">
        <v>1817</v>
      </c>
      <c r="B99" s="952" t="s">
        <v>557</v>
      </c>
      <c r="C99" s="732">
        <v>1806600</v>
      </c>
      <c r="D99" s="731">
        <v>199140.02320160103</v>
      </c>
      <c r="E99" s="732">
        <v>19114</v>
      </c>
      <c r="F99" s="731">
        <v>205.67148592800001</v>
      </c>
      <c r="G99" s="730">
        <v>1825714</v>
      </c>
      <c r="H99" s="731">
        <v>199345.69468752903</v>
      </c>
      <c r="I99" s="2174">
        <v>10139310</v>
      </c>
      <c r="J99" s="731">
        <v>41696.002652573006</v>
      </c>
      <c r="K99" s="732">
        <v>477083</v>
      </c>
      <c r="L99" s="731">
        <v>500.26342062999998</v>
      </c>
      <c r="M99" s="2174">
        <v>2008</v>
      </c>
      <c r="N99" s="731">
        <v>3.5663784979000002</v>
      </c>
      <c r="O99" s="732">
        <v>1816328</v>
      </c>
      <c r="P99" s="731">
        <v>1046.7114541789999</v>
      </c>
      <c r="Q99" s="732">
        <v>99307</v>
      </c>
      <c r="R99" s="731">
        <v>149.47875566600001</v>
      </c>
      <c r="S99" s="2174">
        <v>734540</v>
      </c>
      <c r="T99" s="731">
        <v>362.73004696500004</v>
      </c>
      <c r="U99" s="732">
        <v>120498</v>
      </c>
      <c r="V99" s="731">
        <v>46.018207770199993</v>
      </c>
      <c r="W99" s="732">
        <v>3249764</v>
      </c>
      <c r="X99" s="731">
        <v>2108.7682637081002</v>
      </c>
      <c r="Y99" s="731">
        <v>6424.9402682709997</v>
      </c>
      <c r="Z99" s="732">
        <v>22247507</v>
      </c>
      <c r="AA99" s="731">
        <v>23466.763830510008</v>
      </c>
      <c r="AB99" s="2174">
        <v>2820</v>
      </c>
      <c r="AC99" s="731">
        <v>6.1233303190000008</v>
      </c>
      <c r="AD99" s="732">
        <v>1686544</v>
      </c>
      <c r="AE99" s="731">
        <v>614.12309256200012</v>
      </c>
      <c r="AF99" s="732">
        <v>20590</v>
      </c>
      <c r="AG99" s="731">
        <v>10.262331951000002</v>
      </c>
      <c r="AH99" s="732">
        <v>1751832</v>
      </c>
      <c r="AI99" s="731">
        <v>300.91682441199998</v>
      </c>
      <c r="AJ99" s="2174">
        <v>50104</v>
      </c>
      <c r="AK99" s="2175">
        <v>12.549144401000001</v>
      </c>
      <c r="AL99" s="732">
        <v>25759397</v>
      </c>
      <c r="AM99" s="731">
        <v>24410.738554155007</v>
      </c>
      <c r="AN99" s="732">
        <v>282637</v>
      </c>
      <c r="AO99" s="731">
        <v>179.78879113399998</v>
      </c>
      <c r="AP99" s="732">
        <v>130996</v>
      </c>
      <c r="AQ99" s="731">
        <v>28.220984095399999</v>
      </c>
      <c r="AR99" s="732">
        <v>108615</v>
      </c>
      <c r="AS99" s="731">
        <v>124.86241000000003</v>
      </c>
      <c r="AT99" s="732">
        <v>111261</v>
      </c>
      <c r="AU99" s="731">
        <v>92.746632691000002</v>
      </c>
      <c r="AV99" s="732">
        <v>59855</v>
      </c>
      <c r="AW99" s="731">
        <v>20.445061199999998</v>
      </c>
      <c r="AX99" s="732">
        <v>279731</v>
      </c>
      <c r="AY99" s="731">
        <v>238.05410389100001</v>
      </c>
      <c r="AZ99" s="732">
        <v>29702525</v>
      </c>
      <c r="BA99" s="731">
        <v>26965.570696983508</v>
      </c>
      <c r="BB99" s="732">
        <v>1869149</v>
      </c>
      <c r="BC99" s="1187">
        <v>25980681</v>
      </c>
      <c r="BD99" s="2174">
        <v>1346291</v>
      </c>
      <c r="BE99" s="732">
        <v>29196121</v>
      </c>
      <c r="BF99" s="732">
        <v>4699459</v>
      </c>
      <c r="BG99" s="732">
        <v>4496931</v>
      </c>
      <c r="BH99" s="731">
        <v>17763.2963156888</v>
      </c>
      <c r="BI99" s="732">
        <v>1445537</v>
      </c>
      <c r="BJ99" s="732">
        <v>368643121</v>
      </c>
      <c r="BK99" s="2175">
        <v>78545.215144922986</v>
      </c>
      <c r="BL99" s="732">
        <v>176274230</v>
      </c>
      <c r="BM99" s="732">
        <v>14168</v>
      </c>
      <c r="BN99" s="732">
        <v>13291184</v>
      </c>
      <c r="BO99" s="731">
        <v>47055.907916987999</v>
      </c>
      <c r="BP99" s="732">
        <v>14777744</v>
      </c>
      <c r="BQ99" s="732">
        <v>12890</v>
      </c>
      <c r="BR99" s="732">
        <v>95037</v>
      </c>
      <c r="BS99" s="1266"/>
      <c r="BT99" s="1188"/>
    </row>
    <row r="100" spans="1:72" s="173" customFormat="1" ht="11.1" customHeight="1" x14ac:dyDescent="0.2">
      <c r="A100" s="173" t="s">
        <v>1817</v>
      </c>
      <c r="B100" s="950" t="s">
        <v>549</v>
      </c>
      <c r="C100" s="732">
        <v>2062183</v>
      </c>
      <c r="D100" s="731">
        <v>235693.90227961095</v>
      </c>
      <c r="E100" s="732">
        <v>19723</v>
      </c>
      <c r="F100" s="731">
        <v>245.09898253000003</v>
      </c>
      <c r="G100" s="730">
        <v>2081906</v>
      </c>
      <c r="H100" s="731">
        <v>235939.00126214096</v>
      </c>
      <c r="I100" s="2174">
        <v>9793064</v>
      </c>
      <c r="J100" s="731">
        <v>48129.23460851</v>
      </c>
      <c r="K100" s="732">
        <v>568319</v>
      </c>
      <c r="L100" s="731">
        <v>602.64428060199998</v>
      </c>
      <c r="M100" s="2174">
        <v>3198</v>
      </c>
      <c r="N100" s="731">
        <v>5.5097845210500003</v>
      </c>
      <c r="O100" s="732">
        <v>2110834</v>
      </c>
      <c r="P100" s="731">
        <v>1283.128545454</v>
      </c>
      <c r="Q100" s="732">
        <v>151038</v>
      </c>
      <c r="R100" s="731">
        <v>144.39232870904999</v>
      </c>
      <c r="S100" s="2174">
        <v>825736</v>
      </c>
      <c r="T100" s="731">
        <v>424.276372503</v>
      </c>
      <c r="U100" s="732">
        <v>139082</v>
      </c>
      <c r="V100" s="731">
        <v>53.492265069279995</v>
      </c>
      <c r="W100" s="732">
        <v>3798207</v>
      </c>
      <c r="X100" s="731">
        <v>2513.4435768583803</v>
      </c>
      <c r="Y100" s="731">
        <v>7220.9246867484981</v>
      </c>
      <c r="Z100" s="732">
        <v>26191120</v>
      </c>
      <c r="AA100" s="731">
        <v>27276.259342900001</v>
      </c>
      <c r="AB100" s="2174">
        <v>4567</v>
      </c>
      <c r="AC100" s="731">
        <v>9.2153516907499995</v>
      </c>
      <c r="AD100" s="732">
        <v>1930735</v>
      </c>
      <c r="AE100" s="731">
        <v>706.92674061100001</v>
      </c>
      <c r="AF100" s="732">
        <v>31593</v>
      </c>
      <c r="AG100" s="731">
        <v>17.186154825799999</v>
      </c>
      <c r="AH100" s="732">
        <v>2171499</v>
      </c>
      <c r="AI100" s="731">
        <v>349.37163641999996</v>
      </c>
      <c r="AJ100" s="2174">
        <v>64594</v>
      </c>
      <c r="AK100" s="2175">
        <v>16.055369583000001</v>
      </c>
      <c r="AL100" s="732">
        <v>30394108</v>
      </c>
      <c r="AM100" s="731">
        <v>28375.014596030549</v>
      </c>
      <c r="AN100" s="732">
        <v>325406</v>
      </c>
      <c r="AO100" s="731">
        <v>195.532636027</v>
      </c>
      <c r="AP100" s="732">
        <v>136017</v>
      </c>
      <c r="AQ100" s="731">
        <v>34.987395446250012</v>
      </c>
      <c r="AR100" s="732">
        <v>121963</v>
      </c>
      <c r="AS100" s="731">
        <v>139.86771000000002</v>
      </c>
      <c r="AT100" s="732">
        <v>115842</v>
      </c>
      <c r="AU100" s="731">
        <v>100.68839821200001</v>
      </c>
      <c r="AV100" s="732">
        <v>66158</v>
      </c>
      <c r="AW100" s="731">
        <v>29.032024819</v>
      </c>
      <c r="AX100" s="732">
        <v>303963</v>
      </c>
      <c r="AY100" s="731">
        <v>269.58813303100004</v>
      </c>
      <c r="AZ100" s="732">
        <v>34957701</v>
      </c>
      <c r="BA100" s="731">
        <v>31388.566337393178</v>
      </c>
      <c r="BB100" s="732">
        <v>1892324</v>
      </c>
      <c r="BC100" s="1187">
        <v>26447201</v>
      </c>
      <c r="BD100" s="2174">
        <v>1433849</v>
      </c>
      <c r="BE100" s="732">
        <v>29773374</v>
      </c>
      <c r="BF100" s="732">
        <v>4826551</v>
      </c>
      <c r="BG100" s="732">
        <v>5177824</v>
      </c>
      <c r="BH100" s="731">
        <v>23140.752912447002</v>
      </c>
      <c r="BI100" s="732">
        <v>1465032</v>
      </c>
      <c r="BJ100" s="732">
        <v>413268681</v>
      </c>
      <c r="BK100" s="2175">
        <v>89076.988267832246</v>
      </c>
      <c r="BL100" s="732">
        <v>170251728</v>
      </c>
      <c r="BM100" s="732">
        <v>14170</v>
      </c>
      <c r="BN100" s="732">
        <v>13934578</v>
      </c>
      <c r="BO100" s="731">
        <v>56640.253514036012</v>
      </c>
      <c r="BP100" s="732">
        <v>15192980</v>
      </c>
      <c r="BQ100" s="732">
        <v>12932</v>
      </c>
      <c r="BR100" s="732">
        <v>97750</v>
      </c>
      <c r="BS100" s="1266"/>
      <c r="BT100" s="1188"/>
    </row>
    <row r="101" spans="1:72" s="173" customFormat="1" ht="11.1" customHeight="1" x14ac:dyDescent="0.2">
      <c r="A101" s="173" t="s">
        <v>1817</v>
      </c>
      <c r="B101" s="952" t="s">
        <v>558</v>
      </c>
      <c r="C101" s="732">
        <v>2013636</v>
      </c>
      <c r="D101" s="731">
        <v>215315.97997527695</v>
      </c>
      <c r="E101" s="732">
        <v>16735</v>
      </c>
      <c r="F101" s="731">
        <v>224.90402825999999</v>
      </c>
      <c r="G101" s="730">
        <v>2030371</v>
      </c>
      <c r="H101" s="731">
        <v>215540.88400353695</v>
      </c>
      <c r="I101" s="2174">
        <v>25290758</v>
      </c>
      <c r="J101" s="731">
        <v>57900.417136665987</v>
      </c>
      <c r="K101" s="732">
        <v>581350</v>
      </c>
      <c r="L101" s="731">
        <v>641.08152580799992</v>
      </c>
      <c r="M101" s="2174">
        <v>3107</v>
      </c>
      <c r="N101" s="731">
        <v>5.5065769065000003</v>
      </c>
      <c r="O101" s="732">
        <v>2438062</v>
      </c>
      <c r="P101" s="731">
        <v>1467.2745668690002</v>
      </c>
      <c r="Q101" s="732">
        <v>131537</v>
      </c>
      <c r="R101" s="731">
        <v>108.41622018700001</v>
      </c>
      <c r="S101" s="2174">
        <v>812058</v>
      </c>
      <c r="T101" s="731">
        <v>441.73219965600015</v>
      </c>
      <c r="U101" s="732">
        <v>127881</v>
      </c>
      <c r="V101" s="731">
        <v>51.270539345499991</v>
      </c>
      <c r="W101" s="732">
        <v>4093995</v>
      </c>
      <c r="X101" s="731">
        <v>2715.2816287719997</v>
      </c>
      <c r="Y101" s="731">
        <v>7771.0612769239997</v>
      </c>
      <c r="Z101" s="732">
        <v>29966687</v>
      </c>
      <c r="AA101" s="731">
        <v>31921.739893860013</v>
      </c>
      <c r="AB101" s="2174">
        <v>5063</v>
      </c>
      <c r="AC101" s="731">
        <v>10.834176455999998</v>
      </c>
      <c r="AD101" s="732">
        <v>2418462</v>
      </c>
      <c r="AE101" s="731">
        <v>929.53866834799999</v>
      </c>
      <c r="AF101" s="732">
        <v>27978</v>
      </c>
      <c r="AG101" s="731">
        <v>15.893282254000001</v>
      </c>
      <c r="AH101" s="732">
        <v>2395616</v>
      </c>
      <c r="AI101" s="731">
        <v>423.65200735300004</v>
      </c>
      <c r="AJ101" s="2174">
        <v>64979</v>
      </c>
      <c r="AK101" s="2175">
        <v>15.520207299000001</v>
      </c>
      <c r="AL101" s="732">
        <v>34878785</v>
      </c>
      <c r="AM101" s="731">
        <v>33317.178235570012</v>
      </c>
      <c r="AN101" s="732">
        <v>416598</v>
      </c>
      <c r="AO101" s="731">
        <v>276.28601649000007</v>
      </c>
      <c r="AP101" s="732">
        <v>127761</v>
      </c>
      <c r="AQ101" s="731">
        <v>33.521259824500007</v>
      </c>
      <c r="AR101" s="732">
        <v>128818</v>
      </c>
      <c r="AS101" s="731">
        <v>146.80036000000001</v>
      </c>
      <c r="AT101" s="732">
        <v>110497</v>
      </c>
      <c r="AU101" s="731">
        <v>90.99957950915001</v>
      </c>
      <c r="AV101" s="732">
        <v>72122</v>
      </c>
      <c r="AW101" s="731">
        <v>33.259707679999998</v>
      </c>
      <c r="AX101" s="732">
        <v>311437</v>
      </c>
      <c r="AY101" s="731">
        <v>271.05964718915004</v>
      </c>
      <c r="AZ101" s="732">
        <v>39828576</v>
      </c>
      <c r="BA101" s="731">
        <v>36613.326787845654</v>
      </c>
      <c r="BB101" s="732">
        <v>1922273</v>
      </c>
      <c r="BC101" s="1187">
        <v>26790235</v>
      </c>
      <c r="BD101" s="2174">
        <v>1547578</v>
      </c>
      <c r="BE101" s="732">
        <v>30260086</v>
      </c>
      <c r="BF101" s="732">
        <v>4924682</v>
      </c>
      <c r="BG101" s="732">
        <v>5860722</v>
      </c>
      <c r="BH101" s="731">
        <v>22957.597779653999</v>
      </c>
      <c r="BI101" s="732">
        <v>1482016</v>
      </c>
      <c r="BJ101" s="732">
        <v>444373921</v>
      </c>
      <c r="BK101" s="2175">
        <v>107460.3057010492</v>
      </c>
      <c r="BL101" s="732">
        <v>172937294</v>
      </c>
      <c r="BM101" s="732">
        <v>14188</v>
      </c>
      <c r="BN101" s="732">
        <v>14189702</v>
      </c>
      <c r="BO101" s="731">
        <v>53463.582995229997</v>
      </c>
      <c r="BP101" s="732">
        <v>15485570</v>
      </c>
      <c r="BQ101" s="732">
        <v>12948</v>
      </c>
      <c r="BR101" s="732">
        <v>100170</v>
      </c>
      <c r="BS101" s="1266"/>
      <c r="BT101" s="1188"/>
    </row>
    <row r="102" spans="1:72" s="173" customFormat="1" ht="11.1" customHeight="1" x14ac:dyDescent="0.2">
      <c r="A102" s="173" t="s">
        <v>1817</v>
      </c>
      <c r="B102" s="950" t="s">
        <v>559</v>
      </c>
      <c r="C102" s="732">
        <v>1569475</v>
      </c>
      <c r="D102" s="731">
        <v>193495.74204772903</v>
      </c>
      <c r="E102" s="732">
        <v>11898</v>
      </c>
      <c r="F102" s="731">
        <v>169.58378911700001</v>
      </c>
      <c r="G102" s="730">
        <v>1581373</v>
      </c>
      <c r="H102" s="731">
        <v>193665.32583684602</v>
      </c>
      <c r="I102" s="2174">
        <v>14915428</v>
      </c>
      <c r="J102" s="731">
        <v>44385.421638091</v>
      </c>
      <c r="K102" s="732">
        <v>510585</v>
      </c>
      <c r="L102" s="731">
        <v>540.93065202999992</v>
      </c>
      <c r="M102" s="2174">
        <v>5283</v>
      </c>
      <c r="N102" s="731">
        <v>9.2570732881000009</v>
      </c>
      <c r="O102" s="732">
        <v>2071700</v>
      </c>
      <c r="P102" s="731">
        <v>1169.7114613849999</v>
      </c>
      <c r="Q102" s="732">
        <v>219953</v>
      </c>
      <c r="R102" s="731">
        <v>203.62548229349994</v>
      </c>
      <c r="S102" s="2174">
        <v>779690</v>
      </c>
      <c r="T102" s="731">
        <v>392.54424229100005</v>
      </c>
      <c r="U102" s="732">
        <v>138379</v>
      </c>
      <c r="V102" s="731">
        <v>54.995213325400002</v>
      </c>
      <c r="W102" s="732">
        <v>3725590</v>
      </c>
      <c r="X102" s="731">
        <v>2371.0641246129999</v>
      </c>
      <c r="Y102" s="731">
        <v>7426.2714154025007</v>
      </c>
      <c r="Z102" s="732">
        <v>24998344</v>
      </c>
      <c r="AA102" s="731">
        <v>24999.236244260002</v>
      </c>
      <c r="AB102" s="2174">
        <v>6919</v>
      </c>
      <c r="AC102" s="731">
        <v>13.402153949999999</v>
      </c>
      <c r="AD102" s="732">
        <v>1934867</v>
      </c>
      <c r="AE102" s="731">
        <v>653.87248725299992</v>
      </c>
      <c r="AF102" s="732">
        <v>34338</v>
      </c>
      <c r="AG102" s="731">
        <v>24.650906749000001</v>
      </c>
      <c r="AH102" s="732">
        <v>2145171</v>
      </c>
      <c r="AI102" s="731">
        <v>343.96258948900009</v>
      </c>
      <c r="AJ102" s="2174">
        <v>66779</v>
      </c>
      <c r="AK102" s="2175">
        <v>15.710702869</v>
      </c>
      <c r="AL102" s="732">
        <v>29186418</v>
      </c>
      <c r="AM102" s="731">
        <v>26050.835084570004</v>
      </c>
      <c r="AN102" s="732">
        <v>271703</v>
      </c>
      <c r="AO102" s="731">
        <v>142.14219367699999</v>
      </c>
      <c r="AP102" s="732">
        <v>114495</v>
      </c>
      <c r="AQ102" s="731">
        <v>36.971001137800002</v>
      </c>
      <c r="AR102" s="732">
        <v>68489</v>
      </c>
      <c r="AS102" s="731">
        <v>78.811750000000004</v>
      </c>
      <c r="AT102" s="732">
        <v>75535</v>
      </c>
      <c r="AU102" s="731">
        <v>58.411440108499995</v>
      </c>
      <c r="AV102" s="732">
        <v>66148</v>
      </c>
      <c r="AW102" s="731">
        <v>28.062813043000002</v>
      </c>
      <c r="AX102" s="732">
        <v>210172</v>
      </c>
      <c r="AY102" s="731">
        <v>165.28600315150001</v>
      </c>
      <c r="AZ102" s="732">
        <v>33508378</v>
      </c>
      <c r="BA102" s="731">
        <v>28766.298407149305</v>
      </c>
      <c r="BB102" s="732">
        <v>1941162</v>
      </c>
      <c r="BC102" s="1187">
        <v>27169150</v>
      </c>
      <c r="BD102" s="2174">
        <v>1639290</v>
      </c>
      <c r="BE102" s="732">
        <v>30749602</v>
      </c>
      <c r="BF102" s="732">
        <v>5138554</v>
      </c>
      <c r="BG102" s="732">
        <v>4819088</v>
      </c>
      <c r="BH102" s="731">
        <v>20662.966513484997</v>
      </c>
      <c r="BI102" s="732">
        <v>1495856</v>
      </c>
      <c r="BJ102" s="732">
        <v>413216473</v>
      </c>
      <c r="BK102" s="2175">
        <v>76311.970791577754</v>
      </c>
      <c r="BL102" s="732">
        <v>175769859</v>
      </c>
      <c r="BM102" s="732">
        <v>14240</v>
      </c>
      <c r="BN102" s="732">
        <v>14020406</v>
      </c>
      <c r="BO102" s="731">
        <v>48028.707565219993</v>
      </c>
      <c r="BP102" s="732">
        <v>15720988</v>
      </c>
      <c r="BQ102" s="732">
        <v>12972</v>
      </c>
      <c r="BR102" s="732">
        <v>101099</v>
      </c>
      <c r="BS102" s="1266"/>
      <c r="BT102" s="1188"/>
    </row>
    <row r="103" spans="1:72" s="173" customFormat="1" ht="11.1" customHeight="1" x14ac:dyDescent="0.2">
      <c r="A103" s="173" t="s">
        <v>1817</v>
      </c>
      <c r="B103" s="952" t="s">
        <v>550</v>
      </c>
      <c r="C103" s="732">
        <v>2296445</v>
      </c>
      <c r="D103" s="731">
        <v>280047.39524562599</v>
      </c>
      <c r="E103" s="732">
        <v>18175</v>
      </c>
      <c r="F103" s="731">
        <v>496.87514473000005</v>
      </c>
      <c r="G103" s="730">
        <v>2314620</v>
      </c>
      <c r="H103" s="731">
        <v>280544.27039035596</v>
      </c>
      <c r="I103" s="2174">
        <v>36669413</v>
      </c>
      <c r="J103" s="731">
        <v>62368.642332801006</v>
      </c>
      <c r="K103" s="732">
        <v>560581</v>
      </c>
      <c r="L103" s="731">
        <v>589.31767761799995</v>
      </c>
      <c r="M103" s="2174">
        <v>4212</v>
      </c>
      <c r="N103" s="731">
        <v>7.475800120649998</v>
      </c>
      <c r="O103" s="732">
        <v>2024832</v>
      </c>
      <c r="P103" s="731">
        <v>1217.2293396269997</v>
      </c>
      <c r="Q103" s="732">
        <v>195207</v>
      </c>
      <c r="R103" s="731">
        <v>175.36615071104998</v>
      </c>
      <c r="S103" s="2174">
        <v>834763</v>
      </c>
      <c r="T103" s="731">
        <v>441.56197677900002</v>
      </c>
      <c r="U103" s="732">
        <v>133296</v>
      </c>
      <c r="V103" s="731">
        <v>60.366066575849999</v>
      </c>
      <c r="W103" s="732">
        <v>3752891</v>
      </c>
      <c r="X103" s="731">
        <v>2491.3170114315494</v>
      </c>
      <c r="Y103" s="731">
        <v>7507.0998574979994</v>
      </c>
      <c r="Z103" s="732">
        <v>31051461</v>
      </c>
      <c r="AA103" s="731">
        <v>33598.580505679995</v>
      </c>
      <c r="AB103" s="2174">
        <v>7628</v>
      </c>
      <c r="AC103" s="731">
        <v>16.549180989</v>
      </c>
      <c r="AD103" s="732">
        <v>1908890</v>
      </c>
      <c r="AE103" s="731">
        <v>672.66633829999989</v>
      </c>
      <c r="AF103" s="732">
        <v>36220</v>
      </c>
      <c r="AG103" s="731">
        <v>25.035865922999999</v>
      </c>
      <c r="AH103" s="732">
        <v>2357882</v>
      </c>
      <c r="AI103" s="731">
        <v>409.71168222099999</v>
      </c>
      <c r="AJ103" s="2174">
        <v>75477</v>
      </c>
      <c r="AK103" s="2175">
        <v>22.118316146999998</v>
      </c>
      <c r="AL103" s="732">
        <v>35437558</v>
      </c>
      <c r="AM103" s="731">
        <v>34744.661889259994</v>
      </c>
      <c r="AN103" s="732">
        <v>308378</v>
      </c>
      <c r="AO103" s="731">
        <v>202.91023373600004</v>
      </c>
      <c r="AP103" s="732">
        <v>133265</v>
      </c>
      <c r="AQ103" s="731">
        <v>92.531627894500005</v>
      </c>
      <c r="AR103" s="732">
        <v>60739</v>
      </c>
      <c r="AS103" s="731">
        <v>73.237179999999995</v>
      </c>
      <c r="AT103" s="732">
        <v>71061</v>
      </c>
      <c r="AU103" s="731">
        <v>63.980405747400006</v>
      </c>
      <c r="AV103" s="732">
        <v>74275</v>
      </c>
      <c r="AW103" s="731">
        <v>33.342587652000006</v>
      </c>
      <c r="AX103" s="732">
        <v>206075</v>
      </c>
      <c r="AY103" s="731">
        <v>170.56017339940001</v>
      </c>
      <c r="AZ103" s="732">
        <v>39838167</v>
      </c>
      <c r="BA103" s="731">
        <v>37701.980935721447</v>
      </c>
      <c r="BB103" s="732">
        <v>1978196</v>
      </c>
      <c r="BC103" s="1187">
        <v>27623986</v>
      </c>
      <c r="BD103" s="2174">
        <v>1869559</v>
      </c>
      <c r="BE103" s="732">
        <v>31471741</v>
      </c>
      <c r="BF103" s="732">
        <v>5355586</v>
      </c>
      <c r="BG103" s="732">
        <v>5667084</v>
      </c>
      <c r="BH103" s="731">
        <v>23770.835637511002</v>
      </c>
      <c r="BI103" s="732">
        <v>1515665</v>
      </c>
      <c r="BJ103" s="732">
        <v>461609837</v>
      </c>
      <c r="BK103" s="2175">
        <v>94293.701013542333</v>
      </c>
      <c r="BL103" s="732">
        <v>178639642</v>
      </c>
      <c r="BM103" s="732">
        <v>14300</v>
      </c>
      <c r="BN103" s="732">
        <v>19871309</v>
      </c>
      <c r="BO103" s="731">
        <v>58535.034291631011</v>
      </c>
      <c r="BP103" s="732">
        <v>16073962</v>
      </c>
      <c r="BQ103" s="732">
        <v>13036</v>
      </c>
      <c r="BR103" s="732">
        <v>101341</v>
      </c>
      <c r="BS103" s="1266"/>
      <c r="BT103" s="1188"/>
    </row>
    <row r="104" spans="1:72" s="173" customFormat="1" ht="11.1" customHeight="1" x14ac:dyDescent="0.2">
      <c r="A104" s="172" t="s">
        <v>2066</v>
      </c>
      <c r="B104" s="950" t="s">
        <v>552</v>
      </c>
      <c r="C104" s="732">
        <v>1649517</v>
      </c>
      <c r="D104" s="731">
        <v>202636.00549710292</v>
      </c>
      <c r="E104" s="732">
        <v>9516</v>
      </c>
      <c r="F104" s="731">
        <v>206.73015956</v>
      </c>
      <c r="G104" s="730">
        <v>1659033</v>
      </c>
      <c r="H104" s="731">
        <v>202842.7356566629</v>
      </c>
      <c r="I104" s="2174">
        <v>13398738</v>
      </c>
      <c r="J104" s="731">
        <v>49119.83277993201</v>
      </c>
      <c r="K104" s="732">
        <v>537464</v>
      </c>
      <c r="L104" s="731">
        <v>581.66958493099992</v>
      </c>
      <c r="M104" s="2174">
        <v>6644</v>
      </c>
      <c r="N104" s="731">
        <v>12.606325479300002</v>
      </c>
      <c r="O104" s="732">
        <v>2106121</v>
      </c>
      <c r="P104" s="731">
        <v>1248.9034585080001</v>
      </c>
      <c r="Q104" s="732">
        <v>243793</v>
      </c>
      <c r="R104" s="731">
        <v>233.21360683564993</v>
      </c>
      <c r="S104" s="2174">
        <v>807115</v>
      </c>
      <c r="T104" s="731">
        <v>440.85201795699993</v>
      </c>
      <c r="U104" s="732">
        <v>125636</v>
      </c>
      <c r="V104" s="731">
        <v>60.749221170300018</v>
      </c>
      <c r="W104" s="732">
        <v>3826773</v>
      </c>
      <c r="X104" s="731">
        <v>2577.9942148812502</v>
      </c>
      <c r="Y104" s="731">
        <v>7281.2290249230009</v>
      </c>
      <c r="Z104" s="732">
        <v>31707919</v>
      </c>
      <c r="AA104" s="731">
        <v>34151.280482898997</v>
      </c>
      <c r="AB104" s="2174">
        <v>9520</v>
      </c>
      <c r="AC104" s="731">
        <v>19.932478428000003</v>
      </c>
      <c r="AD104" s="732">
        <v>2101874</v>
      </c>
      <c r="AE104" s="731">
        <v>772.13439491600002</v>
      </c>
      <c r="AF104" s="732">
        <v>39955</v>
      </c>
      <c r="AG104" s="731">
        <v>33.366148688999999</v>
      </c>
      <c r="AH104" s="732">
        <v>2305148</v>
      </c>
      <c r="AI104" s="731">
        <v>410.012584522</v>
      </c>
      <c r="AJ104" s="2174">
        <v>77442</v>
      </c>
      <c r="AK104" s="2175">
        <v>20.459789328999999</v>
      </c>
      <c r="AL104" s="732">
        <v>36241858</v>
      </c>
      <c r="AM104" s="731">
        <v>35407.185878782999</v>
      </c>
      <c r="AN104" s="732">
        <v>336308</v>
      </c>
      <c r="AO104" s="731">
        <v>229.95972937400009</v>
      </c>
      <c r="AP104" s="732">
        <v>111710</v>
      </c>
      <c r="AQ104" s="731">
        <v>60.597311433149997</v>
      </c>
      <c r="AR104" s="732">
        <v>69168</v>
      </c>
      <c r="AS104" s="731">
        <v>88.734829999999988</v>
      </c>
      <c r="AT104" s="732">
        <v>78786</v>
      </c>
      <c r="AU104" s="731">
        <v>67.675018949499986</v>
      </c>
      <c r="AV104" s="732">
        <v>68995</v>
      </c>
      <c r="AW104" s="731">
        <v>27.836900808999999</v>
      </c>
      <c r="AX104" s="732">
        <v>216949</v>
      </c>
      <c r="AY104" s="731">
        <v>184.24674975849996</v>
      </c>
      <c r="AZ104" s="732">
        <v>40733598</v>
      </c>
      <c r="BA104" s="731">
        <v>38459.9838842299</v>
      </c>
      <c r="BB104" s="732">
        <v>2007724</v>
      </c>
      <c r="BC104" s="1187">
        <v>27950359</v>
      </c>
      <c r="BD104" s="2174">
        <v>2528173</v>
      </c>
      <c r="BE104" s="732">
        <v>32486256</v>
      </c>
      <c r="BF104" s="732">
        <v>5472264</v>
      </c>
      <c r="BG104" s="732">
        <v>5703793</v>
      </c>
      <c r="BH104" s="731">
        <v>23548.536446219998</v>
      </c>
      <c r="BI104" s="732">
        <v>1526239</v>
      </c>
      <c r="BJ104" s="732">
        <v>431892765</v>
      </c>
      <c r="BK104" s="2175">
        <v>89169.25535799301</v>
      </c>
      <c r="BL104" s="732">
        <v>181137763</v>
      </c>
      <c r="BM104" s="732">
        <v>14412</v>
      </c>
      <c r="BN104" s="732">
        <v>12448213</v>
      </c>
      <c r="BO104" s="731">
        <v>52784.435324975995</v>
      </c>
      <c r="BP104" s="732">
        <v>16293910</v>
      </c>
      <c r="BQ104" s="732">
        <v>13065</v>
      </c>
      <c r="BR104" s="732">
        <v>101993</v>
      </c>
      <c r="BS104" s="1266"/>
      <c r="BT104" s="1188"/>
    </row>
    <row r="105" spans="1:72" s="173" customFormat="1" ht="11.1" customHeight="1" x14ac:dyDescent="0.2">
      <c r="A105" s="172" t="s">
        <v>2066</v>
      </c>
      <c r="B105" s="952" t="s">
        <v>553</v>
      </c>
      <c r="C105" s="732">
        <v>1813828</v>
      </c>
      <c r="D105" s="731">
        <v>231027.26298447303</v>
      </c>
      <c r="E105" s="732">
        <v>9566</v>
      </c>
      <c r="F105" s="731">
        <v>275.69495008000001</v>
      </c>
      <c r="G105" s="730">
        <v>1823394</v>
      </c>
      <c r="H105" s="731">
        <v>231302.95793455304</v>
      </c>
      <c r="I105" s="2174">
        <v>10270841</v>
      </c>
      <c r="J105" s="731">
        <v>51699.025985130997</v>
      </c>
      <c r="K105" s="732">
        <v>305734</v>
      </c>
      <c r="L105" s="731">
        <v>297.46379853299993</v>
      </c>
      <c r="M105" s="2174">
        <v>11207</v>
      </c>
      <c r="N105" s="731">
        <v>21.551331748349998</v>
      </c>
      <c r="O105" s="732">
        <v>2167546</v>
      </c>
      <c r="P105" s="731">
        <v>1237.755219726</v>
      </c>
      <c r="Q105" s="732">
        <v>248170</v>
      </c>
      <c r="R105" s="731">
        <v>222.70378755519994</v>
      </c>
      <c r="S105" s="2174">
        <v>864402</v>
      </c>
      <c r="T105" s="731">
        <v>450.83845392900002</v>
      </c>
      <c r="U105" s="732">
        <v>144881</v>
      </c>
      <c r="V105" s="731">
        <v>72.090876788599999</v>
      </c>
      <c r="W105" s="732">
        <v>3741940</v>
      </c>
      <c r="X105" s="731">
        <v>2302.4034682801498</v>
      </c>
      <c r="Y105" s="731">
        <v>7704.961692246</v>
      </c>
      <c r="Z105" s="732">
        <v>30727592</v>
      </c>
      <c r="AA105" s="731">
        <v>32772.288250981997</v>
      </c>
      <c r="AB105" s="2174">
        <v>23847</v>
      </c>
      <c r="AC105" s="731">
        <v>45.6440391816</v>
      </c>
      <c r="AD105" s="732">
        <v>2051844</v>
      </c>
      <c r="AE105" s="731">
        <v>712.74522970499993</v>
      </c>
      <c r="AF105" s="732">
        <v>57902</v>
      </c>
      <c r="AG105" s="731">
        <v>40.9528005815</v>
      </c>
      <c r="AH105" s="732">
        <v>2422183</v>
      </c>
      <c r="AI105" s="731">
        <v>414.59060374500018</v>
      </c>
      <c r="AJ105" s="2174">
        <v>171033</v>
      </c>
      <c r="AK105" s="2175">
        <v>32.590970567999996</v>
      </c>
      <c r="AL105" s="732">
        <v>35454401</v>
      </c>
      <c r="AM105" s="731">
        <v>34018.811894763094</v>
      </c>
      <c r="AN105" s="732">
        <v>321726</v>
      </c>
      <c r="AO105" s="731">
        <v>212.87233370899997</v>
      </c>
      <c r="AP105" s="732">
        <v>160962</v>
      </c>
      <c r="AQ105" s="731">
        <v>84.795698124750004</v>
      </c>
      <c r="AR105" s="732">
        <v>63646</v>
      </c>
      <c r="AS105" s="731">
        <v>75.588319999999996</v>
      </c>
      <c r="AT105" s="732">
        <v>74124</v>
      </c>
      <c r="AU105" s="731">
        <v>64.650515808999998</v>
      </c>
      <c r="AV105" s="732">
        <v>72909</v>
      </c>
      <c r="AW105" s="731">
        <v>28.635353281</v>
      </c>
      <c r="AX105" s="732">
        <v>210679</v>
      </c>
      <c r="AY105" s="731">
        <v>168.87418908999999</v>
      </c>
      <c r="AZ105" s="732">
        <v>39889708</v>
      </c>
      <c r="BA105" s="731">
        <v>36787.757583967003</v>
      </c>
      <c r="BB105" s="732">
        <v>2022259</v>
      </c>
      <c r="BC105" s="1187">
        <v>28372594</v>
      </c>
      <c r="BD105" s="2174">
        <v>2985576</v>
      </c>
      <c r="BE105" s="732">
        <v>33380429</v>
      </c>
      <c r="BF105" s="732">
        <v>5716529</v>
      </c>
      <c r="BG105" s="732">
        <v>5970748</v>
      </c>
      <c r="BH105" s="731">
        <v>25543.982178814</v>
      </c>
      <c r="BI105" s="732">
        <v>1493398</v>
      </c>
      <c r="BJ105" s="732">
        <v>408059052</v>
      </c>
      <c r="BK105" s="2175">
        <v>87446.365902944221</v>
      </c>
      <c r="BL105" s="732">
        <v>183224610</v>
      </c>
      <c r="BM105" s="732">
        <v>14509</v>
      </c>
      <c r="BN105" s="732">
        <v>12988273</v>
      </c>
      <c r="BO105" s="731">
        <v>57542.348755307008</v>
      </c>
      <c r="BP105" s="732">
        <v>16537969</v>
      </c>
      <c r="BQ105" s="732">
        <v>13099</v>
      </c>
      <c r="BR105" s="732">
        <v>103094</v>
      </c>
      <c r="BS105" s="1266"/>
      <c r="BT105" s="1188"/>
    </row>
    <row r="106" spans="1:72" s="173" customFormat="1" ht="11.1" customHeight="1" x14ac:dyDescent="0.2">
      <c r="A106" s="172" t="s">
        <v>2066</v>
      </c>
      <c r="B106" s="950" t="s">
        <v>547</v>
      </c>
      <c r="C106" s="732">
        <v>1793147</v>
      </c>
      <c r="D106" s="731">
        <v>216515.895644509</v>
      </c>
      <c r="E106" s="732">
        <v>9074</v>
      </c>
      <c r="F106" s="731">
        <v>248.47614779200001</v>
      </c>
      <c r="G106" s="730">
        <v>1802221</v>
      </c>
      <c r="H106" s="731">
        <v>216764.37179230101</v>
      </c>
      <c r="I106" s="2174">
        <v>9730251</v>
      </c>
      <c r="J106" s="731">
        <v>48008.86222586799</v>
      </c>
      <c r="K106" s="732">
        <v>275702</v>
      </c>
      <c r="L106" s="731">
        <v>249.10009712200005</v>
      </c>
      <c r="M106" s="2174">
        <v>12868</v>
      </c>
      <c r="N106" s="731">
        <v>22.1391225974</v>
      </c>
      <c r="O106" s="732">
        <v>2151129</v>
      </c>
      <c r="P106" s="731">
        <v>1213.5365075119998</v>
      </c>
      <c r="Q106" s="732">
        <v>269478</v>
      </c>
      <c r="R106" s="731">
        <v>239.71581757025004</v>
      </c>
      <c r="S106" s="2174">
        <v>875899</v>
      </c>
      <c r="T106" s="731">
        <v>484.59167348900019</v>
      </c>
      <c r="U106" s="732">
        <v>140097</v>
      </c>
      <c r="V106" s="731">
        <v>72.686008021199981</v>
      </c>
      <c r="W106" s="732">
        <v>3725173</v>
      </c>
      <c r="X106" s="731">
        <v>2281.7692263118502</v>
      </c>
      <c r="Y106" s="731">
        <v>7790.9249361109987</v>
      </c>
      <c r="Z106" s="732">
        <v>30738357</v>
      </c>
      <c r="AA106" s="731">
        <v>33048.737961022009</v>
      </c>
      <c r="AB106" s="2174">
        <v>32870</v>
      </c>
      <c r="AC106" s="731">
        <v>69.361218919000009</v>
      </c>
      <c r="AD106" s="732">
        <v>2074680</v>
      </c>
      <c r="AE106" s="731">
        <v>720.01220303299999</v>
      </c>
      <c r="AF106" s="732">
        <v>68822</v>
      </c>
      <c r="AG106" s="731">
        <v>51.578971019000001</v>
      </c>
      <c r="AH106" s="732">
        <v>2482218</v>
      </c>
      <c r="AI106" s="731">
        <v>434.80153298300007</v>
      </c>
      <c r="AJ106" s="2174">
        <v>122407</v>
      </c>
      <c r="AK106" s="2175">
        <v>30.712125464000003</v>
      </c>
      <c r="AL106" s="732">
        <v>35519354</v>
      </c>
      <c r="AM106" s="731">
        <v>34355.204012440008</v>
      </c>
      <c r="AN106" s="732">
        <v>339262</v>
      </c>
      <c r="AO106" s="731">
        <v>229.54801825700002</v>
      </c>
      <c r="AP106" s="732">
        <v>185120</v>
      </c>
      <c r="AQ106" s="731">
        <v>99.559959695200007</v>
      </c>
      <c r="AR106" s="732">
        <v>33513</v>
      </c>
      <c r="AS106" s="731">
        <v>45.304720299999993</v>
      </c>
      <c r="AT106" s="732">
        <v>58938</v>
      </c>
      <c r="AU106" s="731">
        <v>55.353041109999999</v>
      </c>
      <c r="AV106" s="732">
        <v>55438</v>
      </c>
      <c r="AW106" s="731">
        <v>16.086852977000003</v>
      </c>
      <c r="AX106" s="732">
        <v>147889</v>
      </c>
      <c r="AY106" s="731">
        <v>116.744614387</v>
      </c>
      <c r="AZ106" s="732">
        <v>39916798</v>
      </c>
      <c r="BA106" s="731">
        <v>37082.825831091046</v>
      </c>
      <c r="BB106" s="732">
        <v>2037598</v>
      </c>
      <c r="BC106" s="1187">
        <v>28784052</v>
      </c>
      <c r="BD106" s="2174">
        <v>3099201</v>
      </c>
      <c r="BE106" s="732">
        <v>33920851</v>
      </c>
      <c r="BF106" s="732">
        <v>5889226</v>
      </c>
      <c r="BG106" s="732">
        <v>6024976</v>
      </c>
      <c r="BH106" s="731">
        <v>26605.388500904995</v>
      </c>
      <c r="BI106" s="732">
        <v>1505321</v>
      </c>
      <c r="BJ106" s="732">
        <v>408379707</v>
      </c>
      <c r="BK106" s="2175">
        <v>87635.165541996568</v>
      </c>
      <c r="BL106" s="732">
        <v>185257932</v>
      </c>
      <c r="BM106" s="732">
        <v>14716</v>
      </c>
      <c r="BN106" s="732">
        <v>12732190</v>
      </c>
      <c r="BO106" s="731">
        <v>59295.219292353991</v>
      </c>
      <c r="BP106" s="732">
        <v>16781251</v>
      </c>
      <c r="BQ106" s="732">
        <v>13210</v>
      </c>
      <c r="BR106" s="732">
        <v>101712</v>
      </c>
      <c r="BS106" s="1266"/>
      <c r="BT106" s="1188"/>
    </row>
    <row r="107" spans="1:72" s="173" customFormat="1" ht="11.1" customHeight="1" x14ac:dyDescent="0.2">
      <c r="A107" s="172" t="s">
        <v>2066</v>
      </c>
      <c r="B107" s="952" t="s">
        <v>554</v>
      </c>
      <c r="C107" s="732">
        <v>1804087</v>
      </c>
      <c r="D107" s="731">
        <v>202714.520875396</v>
      </c>
      <c r="E107" s="732">
        <v>9588</v>
      </c>
      <c r="F107" s="731">
        <v>228.81203046100001</v>
      </c>
      <c r="G107" s="730">
        <v>1813675</v>
      </c>
      <c r="H107" s="731">
        <v>202943.33290585701</v>
      </c>
      <c r="I107" s="2174">
        <v>19944569</v>
      </c>
      <c r="J107" s="731">
        <v>49241.193540115004</v>
      </c>
      <c r="K107" s="732">
        <v>300746</v>
      </c>
      <c r="L107" s="731">
        <v>278.27265123000001</v>
      </c>
      <c r="M107" s="2174">
        <v>12833</v>
      </c>
      <c r="N107" s="731">
        <v>20.582455651699998</v>
      </c>
      <c r="O107" s="732">
        <v>2262276</v>
      </c>
      <c r="P107" s="731">
        <v>1293.423238072</v>
      </c>
      <c r="Q107" s="732">
        <v>294136</v>
      </c>
      <c r="R107" s="731">
        <v>265.80038767050002</v>
      </c>
      <c r="S107" s="2174">
        <v>934287</v>
      </c>
      <c r="T107" s="731">
        <v>530.60861513299994</v>
      </c>
      <c r="U107" s="732">
        <v>137364</v>
      </c>
      <c r="V107" s="731">
        <v>69.551401433999999</v>
      </c>
      <c r="W107" s="732">
        <v>3941642</v>
      </c>
      <c r="X107" s="731">
        <v>2458.2387491912</v>
      </c>
      <c r="Y107" s="731">
        <v>7963.2711617329996</v>
      </c>
      <c r="Z107" s="732">
        <v>31912334</v>
      </c>
      <c r="AA107" s="731">
        <v>33917.624082527997</v>
      </c>
      <c r="AB107" s="2174">
        <v>32398</v>
      </c>
      <c r="AC107" s="731">
        <v>71.876545355000005</v>
      </c>
      <c r="AD107" s="732">
        <v>2154044</v>
      </c>
      <c r="AE107" s="731">
        <v>749.00966447899998</v>
      </c>
      <c r="AF107" s="732">
        <v>79211</v>
      </c>
      <c r="AG107" s="731">
        <v>58.312762106999998</v>
      </c>
      <c r="AH107" s="732">
        <v>2546429</v>
      </c>
      <c r="AI107" s="731">
        <v>445.590501985</v>
      </c>
      <c r="AJ107" s="2174">
        <v>130974</v>
      </c>
      <c r="AK107" s="2175">
        <v>29.804467472999999</v>
      </c>
      <c r="AL107" s="732">
        <v>36855390</v>
      </c>
      <c r="AM107" s="731">
        <v>35272.218023927002</v>
      </c>
      <c r="AN107" s="732">
        <v>325905</v>
      </c>
      <c r="AO107" s="731">
        <v>215.30157891600001</v>
      </c>
      <c r="AP107" s="732">
        <v>180177</v>
      </c>
      <c r="AQ107" s="731">
        <v>89.067913960799999</v>
      </c>
      <c r="AR107" s="732">
        <v>34584</v>
      </c>
      <c r="AS107" s="731">
        <v>48.116419999999998</v>
      </c>
      <c r="AT107" s="732">
        <v>61196</v>
      </c>
      <c r="AU107" s="731">
        <v>56.234574686999999</v>
      </c>
      <c r="AV107" s="732">
        <v>48897</v>
      </c>
      <c r="AW107" s="731">
        <v>14.606709499000001</v>
      </c>
      <c r="AX107" s="732">
        <v>144677</v>
      </c>
      <c r="AY107" s="731">
        <v>118.957704186</v>
      </c>
      <c r="AZ107" s="732">
        <v>41447791</v>
      </c>
      <c r="BA107" s="731">
        <v>38153.783970181001</v>
      </c>
      <c r="BB107" s="732">
        <v>2068597</v>
      </c>
      <c r="BC107" s="1187">
        <v>29155758</v>
      </c>
      <c r="BD107" s="2174">
        <v>3198443</v>
      </c>
      <c r="BE107" s="732">
        <v>34422798</v>
      </c>
      <c r="BF107" s="732">
        <v>6019687</v>
      </c>
      <c r="BG107" s="732">
        <v>6117675</v>
      </c>
      <c r="BH107" s="731">
        <v>25965.271321205</v>
      </c>
      <c r="BI107" s="732">
        <v>1521803</v>
      </c>
      <c r="BJ107" s="732">
        <v>444062360</v>
      </c>
      <c r="BK107" s="2175">
        <v>93013.440808555781</v>
      </c>
      <c r="BL107" s="732">
        <v>187523593</v>
      </c>
      <c r="BM107" s="732">
        <v>14833</v>
      </c>
      <c r="BN107" s="732">
        <v>15506520</v>
      </c>
      <c r="BO107" s="731">
        <v>59765.873358441997</v>
      </c>
      <c r="BP107" s="732">
        <v>17042562</v>
      </c>
      <c r="BQ107" s="732">
        <v>13269</v>
      </c>
      <c r="BR107" s="732">
        <v>102488</v>
      </c>
      <c r="BS107" s="1266"/>
      <c r="BT107" s="1188"/>
    </row>
    <row r="108" spans="1:72" s="173" customFormat="1" ht="11.1" customHeight="1" x14ac:dyDescent="0.2">
      <c r="A108" s="172" t="s">
        <v>2066</v>
      </c>
      <c r="B108" s="950" t="s">
        <v>555</v>
      </c>
      <c r="C108" s="732">
        <v>1934064</v>
      </c>
      <c r="D108" s="731">
        <v>227335.62459041193</v>
      </c>
      <c r="E108" s="732">
        <v>9825</v>
      </c>
      <c r="F108" s="731">
        <v>238.93786359299997</v>
      </c>
      <c r="G108" s="730">
        <v>1943889</v>
      </c>
      <c r="H108" s="731">
        <v>227574.56245400492</v>
      </c>
      <c r="I108" s="2174">
        <v>11106837</v>
      </c>
      <c r="J108" s="731">
        <v>50322.474459369005</v>
      </c>
      <c r="K108" s="732">
        <v>294745</v>
      </c>
      <c r="L108" s="731">
        <v>275.56447863700009</v>
      </c>
      <c r="M108" s="2174">
        <v>10346</v>
      </c>
      <c r="N108" s="731">
        <v>16.644283342000001</v>
      </c>
      <c r="O108" s="732">
        <v>2175109</v>
      </c>
      <c r="P108" s="731">
        <v>1310.2241300619999</v>
      </c>
      <c r="Q108" s="732">
        <v>255155</v>
      </c>
      <c r="R108" s="731">
        <v>230.4580237079999</v>
      </c>
      <c r="S108" s="2174">
        <v>1002128</v>
      </c>
      <c r="T108" s="731">
        <v>548.61049771400019</v>
      </c>
      <c r="U108" s="732">
        <v>137806</v>
      </c>
      <c r="V108" s="731">
        <v>77.699769103500003</v>
      </c>
      <c r="W108" s="732">
        <v>3875289</v>
      </c>
      <c r="X108" s="731">
        <v>2459.2011825664995</v>
      </c>
      <c r="Y108" s="731">
        <v>8081.4645698180029</v>
      </c>
      <c r="Z108" s="732">
        <v>32672687</v>
      </c>
      <c r="AA108" s="731">
        <v>35024.369650155</v>
      </c>
      <c r="AB108" s="2174">
        <v>29846</v>
      </c>
      <c r="AC108" s="731">
        <v>71.346056673999996</v>
      </c>
      <c r="AD108" s="732">
        <v>2118175</v>
      </c>
      <c r="AE108" s="731">
        <v>727.10963299800005</v>
      </c>
      <c r="AF108" s="732">
        <v>75297</v>
      </c>
      <c r="AG108" s="731">
        <v>61.159001789000008</v>
      </c>
      <c r="AH108" s="732">
        <v>2539175</v>
      </c>
      <c r="AI108" s="731">
        <v>440.56617210900015</v>
      </c>
      <c r="AJ108" s="2174">
        <v>93709</v>
      </c>
      <c r="AK108" s="2175">
        <v>31.762348953</v>
      </c>
      <c r="AL108" s="732">
        <v>37528889</v>
      </c>
      <c r="AM108" s="731">
        <v>36356.312862677994</v>
      </c>
      <c r="AN108" s="732">
        <v>333057</v>
      </c>
      <c r="AO108" s="731">
        <v>218.30361029100001</v>
      </c>
      <c r="AP108" s="732">
        <v>160957</v>
      </c>
      <c r="AQ108" s="731">
        <v>83.595061401500004</v>
      </c>
      <c r="AR108" s="732">
        <v>36006</v>
      </c>
      <c r="AS108" s="731">
        <v>51.334510000000002</v>
      </c>
      <c r="AT108" s="732">
        <v>67685</v>
      </c>
      <c r="AU108" s="731">
        <v>62.887701202999992</v>
      </c>
      <c r="AV108" s="732">
        <v>53000</v>
      </c>
      <c r="AW108" s="731">
        <v>16.220736223999999</v>
      </c>
      <c r="AX108" s="732">
        <v>156691</v>
      </c>
      <c r="AY108" s="731">
        <v>130.44294742699998</v>
      </c>
      <c r="AZ108" s="732">
        <v>42054883</v>
      </c>
      <c r="BA108" s="731">
        <v>39247.855664363997</v>
      </c>
      <c r="BB108" s="732">
        <v>2087136</v>
      </c>
      <c r="BC108" s="1187">
        <v>29542887</v>
      </c>
      <c r="BD108" s="2174">
        <v>3279020</v>
      </c>
      <c r="BE108" s="732">
        <v>34909043</v>
      </c>
      <c r="BF108" s="732">
        <v>6127001</v>
      </c>
      <c r="BG108" s="732">
        <v>6201828</v>
      </c>
      <c r="BH108" s="731">
        <v>27426.641374221999</v>
      </c>
      <c r="BI108" s="732">
        <v>1531405</v>
      </c>
      <c r="BJ108" s="732">
        <v>415974768</v>
      </c>
      <c r="BK108" s="2175">
        <v>92125.748510986014</v>
      </c>
      <c r="BL108" s="732">
        <v>188559736</v>
      </c>
      <c r="BM108" s="732">
        <v>15056</v>
      </c>
      <c r="BN108" s="732">
        <v>14627647</v>
      </c>
      <c r="BO108" s="731">
        <v>65062.233981172001</v>
      </c>
      <c r="BP108" s="732">
        <v>17251563</v>
      </c>
      <c r="BQ108" s="732">
        <v>13367</v>
      </c>
      <c r="BR108" s="732">
        <v>103035</v>
      </c>
      <c r="BS108" s="1266"/>
      <c r="BT108" s="1188"/>
    </row>
    <row r="109" spans="1:72" s="173" customFormat="1" ht="11.1" customHeight="1" x14ac:dyDescent="0.2">
      <c r="A109" s="172" t="s">
        <v>2066</v>
      </c>
      <c r="B109" s="952" t="s">
        <v>548</v>
      </c>
      <c r="C109" s="732">
        <v>1791749</v>
      </c>
      <c r="D109" s="731">
        <v>197130.23509777905</v>
      </c>
      <c r="E109" s="732">
        <v>9635</v>
      </c>
      <c r="F109" s="731">
        <v>268.38040873</v>
      </c>
      <c r="G109" s="730">
        <v>1801384</v>
      </c>
      <c r="H109" s="731">
        <v>197398.61550650906</v>
      </c>
      <c r="I109" s="2174">
        <v>9767821</v>
      </c>
      <c r="J109" s="731">
        <v>49478.623392813999</v>
      </c>
      <c r="K109" s="732">
        <v>272094</v>
      </c>
      <c r="L109" s="731">
        <v>249.69703199200001</v>
      </c>
      <c r="M109" s="2174">
        <v>12491</v>
      </c>
      <c r="N109" s="731">
        <v>20.136423478680005</v>
      </c>
      <c r="O109" s="732">
        <v>2340788</v>
      </c>
      <c r="P109" s="731">
        <v>1381.5050390799997</v>
      </c>
      <c r="Q109" s="732">
        <v>273549</v>
      </c>
      <c r="R109" s="731">
        <v>259.04707803600007</v>
      </c>
      <c r="S109" s="2174">
        <v>953414</v>
      </c>
      <c r="T109" s="731">
        <v>502.43321497199992</v>
      </c>
      <c r="U109" s="732">
        <v>133129</v>
      </c>
      <c r="V109" s="731">
        <v>76.563376310399988</v>
      </c>
      <c r="W109" s="732">
        <v>3985465</v>
      </c>
      <c r="X109" s="731">
        <v>2489.3821638690797</v>
      </c>
      <c r="Y109" s="731">
        <v>8302.7366383320004</v>
      </c>
      <c r="Z109" s="732">
        <v>32463206</v>
      </c>
      <c r="AA109" s="731">
        <v>35254.499612189989</v>
      </c>
      <c r="AB109" s="2174">
        <v>35734</v>
      </c>
      <c r="AC109" s="731">
        <v>101.912280219</v>
      </c>
      <c r="AD109" s="732">
        <v>2281442</v>
      </c>
      <c r="AE109" s="731">
        <v>804.72717918000001</v>
      </c>
      <c r="AF109" s="732">
        <v>77509</v>
      </c>
      <c r="AG109" s="731">
        <v>63.388873661999995</v>
      </c>
      <c r="AH109" s="732">
        <v>2516615</v>
      </c>
      <c r="AI109" s="731">
        <v>453.31003675800002</v>
      </c>
      <c r="AJ109" s="2174">
        <v>98404</v>
      </c>
      <c r="AK109" s="2175">
        <v>32.807043438000008</v>
      </c>
      <c r="AL109" s="732">
        <v>37472910</v>
      </c>
      <c r="AM109" s="731">
        <v>36710.645025446989</v>
      </c>
      <c r="AN109" s="732">
        <v>351918</v>
      </c>
      <c r="AO109" s="731">
        <v>226.48278852199999</v>
      </c>
      <c r="AP109" s="732">
        <v>150488</v>
      </c>
      <c r="AQ109" s="731">
        <v>85.777385608779994</v>
      </c>
      <c r="AR109" s="732">
        <v>40941</v>
      </c>
      <c r="AS109" s="731">
        <v>59.340130000000009</v>
      </c>
      <c r="AT109" s="732">
        <v>84296</v>
      </c>
      <c r="AU109" s="731">
        <v>74.474574380999996</v>
      </c>
      <c r="AV109" s="732">
        <v>56109</v>
      </c>
      <c r="AW109" s="731">
        <v>19.075008827000001</v>
      </c>
      <c r="AX109" s="732">
        <v>181346</v>
      </c>
      <c r="AY109" s="731">
        <v>152.88971320800002</v>
      </c>
      <c r="AZ109" s="732">
        <v>42142127</v>
      </c>
      <c r="BA109" s="731">
        <v>39665.177076654858</v>
      </c>
      <c r="BB109" s="732">
        <v>2115861</v>
      </c>
      <c r="BC109" s="1187">
        <v>29849136</v>
      </c>
      <c r="BD109" s="2174">
        <v>3383951</v>
      </c>
      <c r="BE109" s="732">
        <v>35348948</v>
      </c>
      <c r="BF109" s="732">
        <v>6252634</v>
      </c>
      <c r="BG109" s="732">
        <v>5624146</v>
      </c>
      <c r="BH109" s="731">
        <v>27558.790016972998</v>
      </c>
      <c r="BI109" s="732">
        <v>1554637</v>
      </c>
      <c r="BJ109" s="732">
        <v>428324785</v>
      </c>
      <c r="BK109" s="2175">
        <v>96132.863114536696</v>
      </c>
      <c r="BL109" s="732">
        <v>191063573</v>
      </c>
      <c r="BM109" s="732">
        <v>15226</v>
      </c>
      <c r="BN109" s="732">
        <v>15621424</v>
      </c>
      <c r="BO109" s="731">
        <v>62761.351277084017</v>
      </c>
      <c r="BP109" s="732">
        <v>17478884</v>
      </c>
      <c r="BQ109" s="732">
        <v>13434</v>
      </c>
      <c r="BR109" s="732">
        <v>103055</v>
      </c>
      <c r="BS109" s="1266"/>
      <c r="BT109" s="1188"/>
    </row>
    <row r="110" spans="1:72" s="173" customFormat="1" ht="11.1" customHeight="1" x14ac:dyDescent="0.2">
      <c r="A110" s="172" t="s">
        <v>2066</v>
      </c>
      <c r="B110" s="950" t="s">
        <v>556</v>
      </c>
      <c r="C110" s="732">
        <v>1999514</v>
      </c>
      <c r="D110" s="731">
        <v>211488.01673531198</v>
      </c>
      <c r="E110" s="732">
        <v>8946</v>
      </c>
      <c r="F110" s="731">
        <v>252.55733189099999</v>
      </c>
      <c r="G110" s="730">
        <v>2008460</v>
      </c>
      <c r="H110" s="731">
        <v>211740.57406720298</v>
      </c>
      <c r="I110" s="2174">
        <v>22203302</v>
      </c>
      <c r="J110" s="731">
        <v>62004.328083974993</v>
      </c>
      <c r="K110" s="732">
        <v>280131</v>
      </c>
      <c r="L110" s="731">
        <v>255.91857677299998</v>
      </c>
      <c r="M110" s="2174">
        <v>10740</v>
      </c>
      <c r="N110" s="731">
        <v>17.389299542559993</v>
      </c>
      <c r="O110" s="732">
        <v>2308787</v>
      </c>
      <c r="P110" s="731">
        <v>1377.7503870610003</v>
      </c>
      <c r="Q110" s="732">
        <v>272575</v>
      </c>
      <c r="R110" s="731">
        <v>269.55458247300015</v>
      </c>
      <c r="S110" s="2174">
        <v>975434</v>
      </c>
      <c r="T110" s="731">
        <v>506.06047521499983</v>
      </c>
      <c r="U110" s="732">
        <v>140437</v>
      </c>
      <c r="V110" s="731">
        <v>79.838194278800017</v>
      </c>
      <c r="W110" s="732">
        <v>3988104</v>
      </c>
      <c r="X110" s="731">
        <v>2506.5115153433608</v>
      </c>
      <c r="Y110" s="731">
        <v>8332.1782330310016</v>
      </c>
      <c r="Z110" s="732">
        <v>33380373</v>
      </c>
      <c r="AA110" s="731">
        <v>35304.61289415299</v>
      </c>
      <c r="AB110" s="2174">
        <v>25762</v>
      </c>
      <c r="AC110" s="731">
        <v>72.844545650000001</v>
      </c>
      <c r="AD110" s="732">
        <v>2401494</v>
      </c>
      <c r="AE110" s="731">
        <v>799.10875257500015</v>
      </c>
      <c r="AF110" s="732">
        <v>76612</v>
      </c>
      <c r="AG110" s="731">
        <v>61.860976347999994</v>
      </c>
      <c r="AH110" s="732">
        <v>2664740</v>
      </c>
      <c r="AI110" s="731">
        <v>492.34365736299992</v>
      </c>
      <c r="AJ110" s="2174">
        <v>88534</v>
      </c>
      <c r="AK110" s="2175">
        <v>34.53358841899999</v>
      </c>
      <c r="AL110" s="732">
        <v>38637515</v>
      </c>
      <c r="AM110" s="731">
        <v>36765.304414507991</v>
      </c>
      <c r="AN110" s="732">
        <v>373707</v>
      </c>
      <c r="AO110" s="731">
        <v>245.77525462099996</v>
      </c>
      <c r="AP110" s="732">
        <v>147797</v>
      </c>
      <c r="AQ110" s="731">
        <v>84.293147823351987</v>
      </c>
      <c r="AR110" s="732">
        <v>40609</v>
      </c>
      <c r="AS110" s="731">
        <v>58.059567094000002</v>
      </c>
      <c r="AT110" s="732">
        <v>92671</v>
      </c>
      <c r="AU110" s="731">
        <v>79.542084027000016</v>
      </c>
      <c r="AV110" s="732">
        <v>66752</v>
      </c>
      <c r="AW110" s="731">
        <v>18.188469929</v>
      </c>
      <c r="AX110" s="732">
        <v>200032</v>
      </c>
      <c r="AY110" s="731">
        <v>155.79012105000001</v>
      </c>
      <c r="AZ110" s="732">
        <v>43347155</v>
      </c>
      <c r="BA110" s="731">
        <v>39757.674453345709</v>
      </c>
      <c r="BB110" s="732">
        <v>2136173</v>
      </c>
      <c r="BC110" s="1187">
        <v>30244096</v>
      </c>
      <c r="BD110" s="2174">
        <v>3487706</v>
      </c>
      <c r="BE110" s="732">
        <v>35867975</v>
      </c>
      <c r="BF110" s="732">
        <v>6432921</v>
      </c>
      <c r="BG110" s="732">
        <v>6901854</v>
      </c>
      <c r="BH110" s="731">
        <v>33925.579326465006</v>
      </c>
      <c r="BI110" s="732">
        <v>1569112</v>
      </c>
      <c r="BJ110" s="732">
        <v>462957809</v>
      </c>
      <c r="BK110" s="2175">
        <v>100593.41971264863</v>
      </c>
      <c r="BL110" s="732">
        <v>194125137</v>
      </c>
      <c r="BM110" s="732">
        <v>15270</v>
      </c>
      <c r="BN110" s="732">
        <v>15829033</v>
      </c>
      <c r="BO110" s="731">
        <v>70970.068731453008</v>
      </c>
      <c r="BP110" s="732">
        <v>17760150</v>
      </c>
      <c r="BQ110" s="732">
        <v>13501</v>
      </c>
      <c r="BR110" s="732">
        <v>102865</v>
      </c>
      <c r="BS110" s="1266"/>
      <c r="BT110" s="1188"/>
    </row>
    <row r="111" spans="1:72" s="173" customFormat="1" ht="11.1" customHeight="1" x14ac:dyDescent="0.2">
      <c r="A111" s="172" t="s">
        <v>2066</v>
      </c>
      <c r="B111" s="952" t="s">
        <v>557</v>
      </c>
      <c r="C111" s="732">
        <v>1732955</v>
      </c>
      <c r="D111" s="731">
        <v>192470.50241532901</v>
      </c>
      <c r="E111" s="732">
        <v>7736</v>
      </c>
      <c r="F111" s="731">
        <v>1262.2011276440001</v>
      </c>
      <c r="G111" s="730">
        <v>1740691</v>
      </c>
      <c r="H111" s="731">
        <v>193732.703542973</v>
      </c>
      <c r="I111" s="2174">
        <v>23703801</v>
      </c>
      <c r="J111" s="731">
        <v>54405.727886517998</v>
      </c>
      <c r="K111" s="732">
        <v>265435</v>
      </c>
      <c r="L111" s="731">
        <v>239.69049316600004</v>
      </c>
      <c r="M111" s="2174">
        <v>9988</v>
      </c>
      <c r="N111" s="731">
        <v>16.571563401399999</v>
      </c>
      <c r="O111" s="732">
        <v>2092907</v>
      </c>
      <c r="P111" s="731">
        <v>1269.263364118</v>
      </c>
      <c r="Q111" s="732">
        <v>245334</v>
      </c>
      <c r="R111" s="731">
        <v>239.21723389749999</v>
      </c>
      <c r="S111" s="2174">
        <v>916622</v>
      </c>
      <c r="T111" s="731">
        <v>477.34085432900002</v>
      </c>
      <c r="U111" s="732">
        <v>131818</v>
      </c>
      <c r="V111" s="731">
        <v>70.782231648999982</v>
      </c>
      <c r="W111" s="732">
        <v>3662104</v>
      </c>
      <c r="X111" s="731">
        <v>2312.8657405609001</v>
      </c>
      <c r="Y111" s="731">
        <v>8114.580758275999</v>
      </c>
      <c r="Z111" s="732">
        <v>32847627</v>
      </c>
      <c r="AA111" s="731">
        <v>35384.468397060002</v>
      </c>
      <c r="AB111" s="2174">
        <v>23770</v>
      </c>
      <c r="AC111" s="731">
        <v>72.480253502000011</v>
      </c>
      <c r="AD111" s="732">
        <v>2072201</v>
      </c>
      <c r="AE111" s="731">
        <v>721.60168254200005</v>
      </c>
      <c r="AF111" s="732">
        <v>71204</v>
      </c>
      <c r="AG111" s="731">
        <v>55.600777983</v>
      </c>
      <c r="AH111" s="732">
        <v>2441934</v>
      </c>
      <c r="AI111" s="731">
        <v>426.287958807</v>
      </c>
      <c r="AJ111" s="2174">
        <v>78011</v>
      </c>
      <c r="AK111" s="2175">
        <v>29.819034137000003</v>
      </c>
      <c r="AL111" s="732">
        <v>37534747</v>
      </c>
      <c r="AM111" s="731">
        <v>36690.258104031003</v>
      </c>
      <c r="AN111" s="732">
        <v>363365</v>
      </c>
      <c r="AO111" s="731">
        <v>229.81788644299999</v>
      </c>
      <c r="AP111" s="732">
        <v>135062</v>
      </c>
      <c r="AQ111" s="731">
        <v>73.056679541920005</v>
      </c>
      <c r="AR111" s="732">
        <v>36215</v>
      </c>
      <c r="AS111" s="731">
        <v>56.451499999999996</v>
      </c>
      <c r="AT111" s="732">
        <v>82202</v>
      </c>
      <c r="AU111" s="731">
        <v>82.847564025469993</v>
      </c>
      <c r="AV111" s="732">
        <v>61624</v>
      </c>
      <c r="AW111" s="731">
        <v>18.961686252000003</v>
      </c>
      <c r="AX111" s="732">
        <v>180041</v>
      </c>
      <c r="AY111" s="731">
        <v>158.26075027747001</v>
      </c>
      <c r="AZ111" s="732">
        <v>41875319</v>
      </c>
      <c r="BA111" s="731">
        <v>39464.259160854286</v>
      </c>
      <c r="BB111" s="732">
        <v>2158816</v>
      </c>
      <c r="BC111" s="1187">
        <v>30652242</v>
      </c>
      <c r="BD111" s="2174">
        <v>3609114</v>
      </c>
      <c r="BE111" s="732">
        <v>36420172</v>
      </c>
      <c r="BF111" s="732">
        <v>6569164</v>
      </c>
      <c r="BG111" s="732">
        <v>5709234</v>
      </c>
      <c r="BH111" s="731">
        <v>29385.875278543001</v>
      </c>
      <c r="BI111" s="732">
        <v>1581284</v>
      </c>
      <c r="BJ111" s="732">
        <v>450945081</v>
      </c>
      <c r="BK111" s="2175">
        <v>97307.587125448146</v>
      </c>
      <c r="BL111" s="732">
        <v>196759171</v>
      </c>
      <c r="BM111" s="732">
        <v>15376</v>
      </c>
      <c r="BN111" s="732">
        <v>16889984</v>
      </c>
      <c r="BO111" s="731">
        <v>63510.777514418005</v>
      </c>
      <c r="BP111" s="732">
        <v>18365881</v>
      </c>
      <c r="BQ111" s="732">
        <v>13524</v>
      </c>
      <c r="BR111" s="732">
        <v>103199</v>
      </c>
      <c r="BS111" s="1266"/>
      <c r="BT111" s="1188"/>
    </row>
    <row r="112" spans="1:72" s="173" customFormat="1" ht="11.1" customHeight="1" x14ac:dyDescent="0.2">
      <c r="A112" s="172" t="s">
        <v>2066</v>
      </c>
      <c r="B112" s="950" t="s">
        <v>549</v>
      </c>
      <c r="C112" s="732">
        <v>1883580</v>
      </c>
      <c r="D112" s="731">
        <v>209093.74515308102</v>
      </c>
      <c r="E112" s="732">
        <v>8206</v>
      </c>
      <c r="F112" s="731">
        <v>235.41120403000002</v>
      </c>
      <c r="G112" s="730">
        <v>1891786</v>
      </c>
      <c r="H112" s="731">
        <v>209329.15635711103</v>
      </c>
      <c r="I112" s="2174">
        <v>12996763</v>
      </c>
      <c r="J112" s="731">
        <v>58432.219160667999</v>
      </c>
      <c r="K112" s="732">
        <v>295658</v>
      </c>
      <c r="L112" s="731">
        <v>267.85354900700003</v>
      </c>
      <c r="M112" s="2174">
        <v>11404</v>
      </c>
      <c r="N112" s="731">
        <v>18.800908600899998</v>
      </c>
      <c r="O112" s="732">
        <v>2270054</v>
      </c>
      <c r="P112" s="731">
        <v>1469.0348755470004</v>
      </c>
      <c r="Q112" s="732">
        <v>277495</v>
      </c>
      <c r="R112" s="731">
        <v>256.67316405399998</v>
      </c>
      <c r="S112" s="2174">
        <v>1043445</v>
      </c>
      <c r="T112" s="731">
        <v>552.891557702</v>
      </c>
      <c r="U112" s="732">
        <v>151054</v>
      </c>
      <c r="V112" s="731">
        <v>87.062162251500027</v>
      </c>
      <c r="W112" s="732">
        <v>4049110</v>
      </c>
      <c r="X112" s="731">
        <v>2652.3162171623999</v>
      </c>
      <c r="Y112" s="731">
        <v>8621.9290595080001</v>
      </c>
      <c r="Z112" s="732">
        <v>37357707</v>
      </c>
      <c r="AA112" s="731">
        <v>40731.375458905008</v>
      </c>
      <c r="AB112" s="2174">
        <v>26673</v>
      </c>
      <c r="AC112" s="731">
        <v>73.601717248400007</v>
      </c>
      <c r="AD112" s="732">
        <v>2353260</v>
      </c>
      <c r="AE112" s="731">
        <v>885.05563324700006</v>
      </c>
      <c r="AF112" s="732">
        <v>82700</v>
      </c>
      <c r="AG112" s="731">
        <v>61.129308363000007</v>
      </c>
      <c r="AH112" s="732">
        <v>2675176</v>
      </c>
      <c r="AI112" s="731">
        <v>473.58371882200009</v>
      </c>
      <c r="AJ112" s="2174">
        <v>93329</v>
      </c>
      <c r="AK112" s="2175">
        <v>34.896888752000002</v>
      </c>
      <c r="AL112" s="732">
        <v>42588845</v>
      </c>
      <c r="AM112" s="731">
        <v>42259.642725337413</v>
      </c>
      <c r="AN112" s="732">
        <v>396901</v>
      </c>
      <c r="AO112" s="731">
        <v>247.84704405800002</v>
      </c>
      <c r="AP112" s="732">
        <v>148072</v>
      </c>
      <c r="AQ112" s="731">
        <v>78.410345142000011</v>
      </c>
      <c r="AR112" s="732">
        <v>38153</v>
      </c>
      <c r="AS112" s="731">
        <v>56.443478499999998</v>
      </c>
      <c r="AT112" s="732">
        <v>82557</v>
      </c>
      <c r="AU112" s="731">
        <v>90.606870523250009</v>
      </c>
      <c r="AV112" s="732">
        <v>68721</v>
      </c>
      <c r="AW112" s="731">
        <v>27.117265508999999</v>
      </c>
      <c r="AX112" s="732">
        <v>189431</v>
      </c>
      <c r="AY112" s="731">
        <v>174.16761453224998</v>
      </c>
      <c r="AZ112" s="732">
        <v>47372359</v>
      </c>
      <c r="BA112" s="731">
        <v>45412.383946232068</v>
      </c>
      <c r="BB112" s="732">
        <v>2178046</v>
      </c>
      <c r="BC112" s="1187">
        <v>30997335</v>
      </c>
      <c r="BD112" s="2174">
        <v>3745357</v>
      </c>
      <c r="BE112" s="732">
        <v>36920738</v>
      </c>
      <c r="BF112" s="732">
        <v>6710423</v>
      </c>
      <c r="BG112" s="732">
        <v>6532095</v>
      </c>
      <c r="BH112" s="731">
        <v>33557.426629867994</v>
      </c>
      <c r="BI112" s="732">
        <v>1598000</v>
      </c>
      <c r="BJ112" s="732">
        <v>482456025</v>
      </c>
      <c r="BK112" s="2175">
        <v>108467.26551336258</v>
      </c>
      <c r="BL112" s="732">
        <v>198091783</v>
      </c>
      <c r="BM112" s="732">
        <v>15409</v>
      </c>
      <c r="BN112" s="732">
        <v>15428976</v>
      </c>
      <c r="BO112" s="731">
        <v>77530.200648072001</v>
      </c>
      <c r="BP112" s="732">
        <v>18935184</v>
      </c>
      <c r="BQ112" s="732">
        <v>13568</v>
      </c>
      <c r="BR112" s="732">
        <v>105413</v>
      </c>
      <c r="BS112" s="1266"/>
      <c r="BT112" s="1188"/>
    </row>
    <row r="113" spans="1:72" s="173" customFormat="1" ht="11.1" customHeight="1" x14ac:dyDescent="0.2">
      <c r="A113" s="172" t="s">
        <v>2066</v>
      </c>
      <c r="B113" s="952" t="s">
        <v>558</v>
      </c>
      <c r="C113" s="732">
        <v>1713849</v>
      </c>
      <c r="D113" s="731">
        <v>188173.34884155999</v>
      </c>
      <c r="E113" s="732">
        <v>8122</v>
      </c>
      <c r="F113" s="731">
        <v>211.85</v>
      </c>
      <c r="G113" s="730">
        <v>1721971</v>
      </c>
      <c r="H113" s="731">
        <v>188385.19884155999</v>
      </c>
      <c r="I113" s="2174">
        <v>27049634</v>
      </c>
      <c r="J113" s="731">
        <v>61014.54</v>
      </c>
      <c r="K113" s="732">
        <v>268043</v>
      </c>
      <c r="L113" s="731">
        <v>247.67451288800004</v>
      </c>
      <c r="M113" s="2174">
        <v>10959</v>
      </c>
      <c r="N113" s="731">
        <v>19.047993203880001</v>
      </c>
      <c r="O113" s="732">
        <v>2600018</v>
      </c>
      <c r="P113" s="731">
        <v>1630.4058550739999</v>
      </c>
      <c r="Q113" s="732">
        <v>250153</v>
      </c>
      <c r="R113" s="731">
        <v>228.54226865959998</v>
      </c>
      <c r="S113" s="2174">
        <v>1002520</v>
      </c>
      <c r="T113" s="731">
        <v>539.97721904799982</v>
      </c>
      <c r="U113" s="732">
        <v>145696</v>
      </c>
      <c r="V113" s="731">
        <v>80.723185448099983</v>
      </c>
      <c r="W113" s="732">
        <v>4277389</v>
      </c>
      <c r="X113" s="731">
        <v>2746.3710343215794</v>
      </c>
      <c r="Y113" s="731">
        <v>8794.1732905360004</v>
      </c>
      <c r="Z113" s="732">
        <v>40382417</v>
      </c>
      <c r="AA113" s="731">
        <v>42392.196683619994</v>
      </c>
      <c r="AB113" s="2174">
        <v>22198</v>
      </c>
      <c r="AC113" s="731">
        <v>52.716719892</v>
      </c>
      <c r="AD113" s="732">
        <v>2937695</v>
      </c>
      <c r="AE113" s="731">
        <v>1080.573079886</v>
      </c>
      <c r="AF113" s="732">
        <v>73764</v>
      </c>
      <c r="AG113" s="731">
        <v>54.938741522999997</v>
      </c>
      <c r="AH113" s="732">
        <v>2926674</v>
      </c>
      <c r="AI113" s="731">
        <v>531.01610049800001</v>
      </c>
      <c r="AJ113" s="2174">
        <v>87541</v>
      </c>
      <c r="AK113" s="2175">
        <v>32.811717669000004</v>
      </c>
      <c r="AL113" s="732">
        <v>46430289</v>
      </c>
      <c r="AM113" s="731">
        <v>44144.253043088007</v>
      </c>
      <c r="AN113" s="732">
        <v>454017</v>
      </c>
      <c r="AO113" s="731">
        <v>288.50365139400003</v>
      </c>
      <c r="AP113" s="732">
        <v>121747</v>
      </c>
      <c r="AQ113" s="731">
        <v>67.944226305300006</v>
      </c>
      <c r="AR113" s="732">
        <v>34957</v>
      </c>
      <c r="AS113" s="731">
        <v>52.611800000000002</v>
      </c>
      <c r="AT113" s="732">
        <v>63761</v>
      </c>
      <c r="AU113" s="731">
        <v>56.531326843999992</v>
      </c>
      <c r="AV113" s="732">
        <v>73967</v>
      </c>
      <c r="AW113" s="731">
        <v>29.481672321999998</v>
      </c>
      <c r="AX113" s="732">
        <v>172685</v>
      </c>
      <c r="AY113" s="731">
        <v>138.624799166</v>
      </c>
      <c r="AZ113" s="732">
        <v>51456127</v>
      </c>
      <c r="BA113" s="731">
        <v>47385.69675427489</v>
      </c>
      <c r="BB113" s="732">
        <v>2198834</v>
      </c>
      <c r="BC113" s="1187">
        <v>31305571</v>
      </c>
      <c r="BD113" s="2174">
        <v>3870178</v>
      </c>
      <c r="BE113" s="732">
        <v>37374583</v>
      </c>
      <c r="BF113" s="732">
        <v>6930832</v>
      </c>
      <c r="BG113" s="732">
        <v>7695750</v>
      </c>
      <c r="BH113" s="731">
        <v>44638.406156489</v>
      </c>
      <c r="BI113" s="732">
        <v>1555791</v>
      </c>
      <c r="BJ113" s="732">
        <v>531055866</v>
      </c>
      <c r="BK113" s="2175">
        <v>124954.00198143101</v>
      </c>
      <c r="BL113" s="732">
        <v>200689210</v>
      </c>
      <c r="BM113" s="732">
        <v>15411</v>
      </c>
      <c r="BN113" s="732">
        <v>16270577</v>
      </c>
      <c r="BO113" s="731">
        <v>64255.874040659997</v>
      </c>
      <c r="BP113" s="732">
        <v>19248377</v>
      </c>
      <c r="BQ113" s="732">
        <v>13614</v>
      </c>
      <c r="BR113" s="732">
        <v>106514</v>
      </c>
      <c r="BS113" s="1266"/>
      <c r="BT113" s="1188"/>
    </row>
    <row r="114" spans="1:72" s="173" customFormat="1" ht="11.1" customHeight="1" x14ac:dyDescent="0.2">
      <c r="A114" s="172" t="s">
        <v>2206</v>
      </c>
      <c r="B114" s="950" t="s">
        <v>559</v>
      </c>
      <c r="C114" s="732">
        <v>1902985</v>
      </c>
      <c r="D114" s="731">
        <v>205125.25301546598</v>
      </c>
      <c r="E114" s="732">
        <v>8684</v>
      </c>
      <c r="F114" s="731">
        <v>248.07147578199996</v>
      </c>
      <c r="G114" s="730">
        <v>1911669</v>
      </c>
      <c r="H114" s="731">
        <v>205373.32449124797</v>
      </c>
      <c r="I114" s="2174">
        <v>18755955</v>
      </c>
      <c r="J114" s="731">
        <v>57970.647019796997</v>
      </c>
      <c r="K114" s="732">
        <v>303120</v>
      </c>
      <c r="L114" s="731">
        <v>267.53323347399999</v>
      </c>
      <c r="M114" s="2174">
        <v>10345</v>
      </c>
      <c r="N114" s="731">
        <v>16.987278392049994</v>
      </c>
      <c r="O114" s="732">
        <v>2208679</v>
      </c>
      <c r="P114" s="731">
        <v>1380.7753769019996</v>
      </c>
      <c r="Q114" s="732">
        <v>293477</v>
      </c>
      <c r="R114" s="731">
        <v>262.06469525700004</v>
      </c>
      <c r="S114" s="2174">
        <v>1070534</v>
      </c>
      <c r="T114" s="731">
        <v>575.0279003149999</v>
      </c>
      <c r="U114" s="732">
        <v>169809</v>
      </c>
      <c r="V114" s="731">
        <v>90.088899666200007</v>
      </c>
      <c r="W114" s="732">
        <v>4055964</v>
      </c>
      <c r="X114" s="731">
        <v>2592.4773840062498</v>
      </c>
      <c r="Y114" s="731">
        <v>8862.9412184840021</v>
      </c>
      <c r="Z114" s="732">
        <v>35970414</v>
      </c>
      <c r="AA114" s="731">
        <v>37469.690769784</v>
      </c>
      <c r="AB114" s="2174">
        <v>25639</v>
      </c>
      <c r="AC114" s="731">
        <v>56.799252552000006</v>
      </c>
      <c r="AD114" s="732">
        <v>2292050</v>
      </c>
      <c r="AE114" s="731">
        <v>760.20741863199987</v>
      </c>
      <c r="AF114" s="732">
        <v>88615</v>
      </c>
      <c r="AG114" s="731">
        <v>61.959068863999981</v>
      </c>
      <c r="AH114" s="732">
        <v>2720257</v>
      </c>
      <c r="AI114" s="731">
        <v>487.37486504700007</v>
      </c>
      <c r="AJ114" s="2174">
        <v>111631</v>
      </c>
      <c r="AK114" s="2175">
        <v>36.678984501000002</v>
      </c>
      <c r="AL114" s="732">
        <v>41208606</v>
      </c>
      <c r="AM114" s="731">
        <v>38872.710359379998</v>
      </c>
      <c r="AN114" s="732">
        <v>362774</v>
      </c>
      <c r="AO114" s="731">
        <v>217.05043922199997</v>
      </c>
      <c r="AP114" s="732">
        <v>139752</v>
      </c>
      <c r="AQ114" s="731">
        <v>136.27326204654997</v>
      </c>
      <c r="AR114" s="732">
        <v>33992</v>
      </c>
      <c r="AS114" s="731">
        <v>50.49208999999999</v>
      </c>
      <c r="AT114" s="732">
        <v>79449</v>
      </c>
      <c r="AU114" s="731">
        <v>84.748918650000007</v>
      </c>
      <c r="AV114" s="732">
        <v>76111</v>
      </c>
      <c r="AW114" s="731">
        <v>25.281637277999998</v>
      </c>
      <c r="AX114" s="732">
        <v>189552</v>
      </c>
      <c r="AY114" s="731">
        <v>160.522645928</v>
      </c>
      <c r="AZ114" s="732">
        <v>45956648</v>
      </c>
      <c r="BA114" s="731">
        <v>41979.034090582798</v>
      </c>
      <c r="BB114" s="732">
        <v>2216484</v>
      </c>
      <c r="BC114" s="1187">
        <v>31718430</v>
      </c>
      <c r="BD114" s="2174">
        <v>4037398</v>
      </c>
      <c r="BE114" s="732">
        <v>37972312</v>
      </c>
      <c r="BF114" s="732">
        <v>7027516</v>
      </c>
      <c r="BG114" s="732">
        <v>7393749</v>
      </c>
      <c r="BH114" s="731">
        <v>49965.953894003003</v>
      </c>
      <c r="BI114" s="732">
        <v>1570340</v>
      </c>
      <c r="BJ114" s="732">
        <v>501923307</v>
      </c>
      <c r="BK114" s="2175">
        <v>108355.18746702909</v>
      </c>
      <c r="BL114" s="732">
        <v>203970186</v>
      </c>
      <c r="BM114" s="732">
        <v>15473</v>
      </c>
      <c r="BN114" s="732">
        <v>15276196</v>
      </c>
      <c r="BO114" s="731">
        <v>72678.846923103993</v>
      </c>
      <c r="BP114" s="732">
        <v>19643273</v>
      </c>
      <c r="BQ114" s="732">
        <v>13658</v>
      </c>
      <c r="BR114" s="732">
        <v>106816</v>
      </c>
      <c r="BS114" s="1266"/>
      <c r="BT114" s="1188"/>
    </row>
    <row r="115" spans="1:72" s="173" customFormat="1" ht="11.1" customHeight="1" x14ac:dyDescent="0.2">
      <c r="A115" s="172" t="s">
        <v>2206</v>
      </c>
      <c r="B115" s="952" t="s">
        <v>550</v>
      </c>
      <c r="C115" s="732">
        <v>2085942</v>
      </c>
      <c r="D115" s="731">
        <v>249484.19855561701</v>
      </c>
      <c r="E115" s="732">
        <v>10636</v>
      </c>
      <c r="F115" s="731">
        <v>298.37432103999998</v>
      </c>
      <c r="G115" s="730">
        <v>2096578</v>
      </c>
      <c r="H115" s="731">
        <v>249782.57287665701</v>
      </c>
      <c r="I115" s="2174">
        <v>40161362</v>
      </c>
      <c r="J115" s="731">
        <v>78321.673839576993</v>
      </c>
      <c r="K115" s="732">
        <v>284014</v>
      </c>
      <c r="L115" s="731">
        <v>264.05908712830001</v>
      </c>
      <c r="M115" s="2174">
        <v>8587</v>
      </c>
      <c r="N115" s="731">
        <v>14.93726600962</v>
      </c>
      <c r="O115" s="732">
        <v>2214713</v>
      </c>
      <c r="P115" s="731">
        <v>1439.8010974270001</v>
      </c>
      <c r="Q115" s="732">
        <v>244345</v>
      </c>
      <c r="R115" s="731">
        <v>211.439721929</v>
      </c>
      <c r="S115" s="2174">
        <v>998662</v>
      </c>
      <c r="T115" s="731">
        <v>569.98155423699995</v>
      </c>
      <c r="U115" s="732">
        <v>155138</v>
      </c>
      <c r="V115" s="731">
        <v>82.270560664000001</v>
      </c>
      <c r="W115" s="732">
        <v>3905459</v>
      </c>
      <c r="X115" s="731">
        <v>2583.02107154962</v>
      </c>
      <c r="Y115" s="731">
        <v>8937.9329594219998</v>
      </c>
      <c r="Z115" s="732">
        <v>39738111</v>
      </c>
      <c r="AA115" s="731">
        <v>43553.238976749999</v>
      </c>
      <c r="AB115" s="2174">
        <v>26394</v>
      </c>
      <c r="AC115" s="731">
        <v>55.170019568000001</v>
      </c>
      <c r="AD115" s="732">
        <v>2583539</v>
      </c>
      <c r="AE115" s="731">
        <v>1074.9306049750001</v>
      </c>
      <c r="AF115" s="732">
        <v>85015</v>
      </c>
      <c r="AG115" s="731">
        <v>57.879777494000002</v>
      </c>
      <c r="AH115" s="732">
        <v>2918363</v>
      </c>
      <c r="AI115" s="731">
        <v>566.87687714900005</v>
      </c>
      <c r="AJ115" s="2174">
        <v>118195</v>
      </c>
      <c r="AK115" s="2175">
        <v>40.337390169999999</v>
      </c>
      <c r="AL115" s="732">
        <v>45469617</v>
      </c>
      <c r="AM115" s="731">
        <v>45348.433646106001</v>
      </c>
      <c r="AN115" s="732">
        <v>506407</v>
      </c>
      <c r="AO115" s="731">
        <v>336.01673139899998</v>
      </c>
      <c r="AP115" s="732">
        <v>124156</v>
      </c>
      <c r="AQ115" s="731">
        <v>81.220770417500006</v>
      </c>
      <c r="AR115" s="732">
        <v>44276</v>
      </c>
      <c r="AS115" s="731">
        <v>63.328069999999997</v>
      </c>
      <c r="AT115" s="732">
        <v>98187</v>
      </c>
      <c r="AU115" s="731">
        <v>114.06923855060001</v>
      </c>
      <c r="AV115" s="732">
        <v>101349</v>
      </c>
      <c r="AW115" s="731">
        <v>67.972083705000003</v>
      </c>
      <c r="AX115" s="732">
        <v>243812</v>
      </c>
      <c r="AY115" s="731">
        <v>245.36939225559999</v>
      </c>
      <c r="AZ115" s="732">
        <v>50249451</v>
      </c>
      <c r="BA115" s="731">
        <v>48594.061611727702</v>
      </c>
      <c r="BB115" s="732">
        <v>2238663</v>
      </c>
      <c r="BC115" s="1187">
        <v>32131984</v>
      </c>
      <c r="BD115" s="2174">
        <v>4269805</v>
      </c>
      <c r="BE115" s="732">
        <v>38640452</v>
      </c>
      <c r="BF115" s="732">
        <v>7237380</v>
      </c>
      <c r="BG115" s="732">
        <v>8272522</v>
      </c>
      <c r="BH115" s="731">
        <v>49099.267946270003</v>
      </c>
      <c r="BI115" s="732">
        <v>1585722</v>
      </c>
      <c r="BJ115" s="732">
        <v>572615005</v>
      </c>
      <c r="BK115" s="2175">
        <v>132175.29993617701</v>
      </c>
      <c r="BL115" s="732">
        <v>207268646</v>
      </c>
      <c r="BM115" s="732">
        <v>15510</v>
      </c>
      <c r="BN115" s="732">
        <v>18090010</v>
      </c>
      <c r="BO115" s="731">
        <v>68171.600000000006</v>
      </c>
      <c r="BP115" s="732">
        <v>19850911</v>
      </c>
      <c r="BQ115" s="732">
        <v>13704</v>
      </c>
      <c r="BR115" s="732">
        <v>106733</v>
      </c>
      <c r="BS115" s="1266"/>
      <c r="BT115" s="1188"/>
    </row>
    <row r="116" spans="1:72" s="172" customFormat="1" ht="11.1" customHeight="1" x14ac:dyDescent="0.2">
      <c r="A116" s="172" t="s">
        <v>2206</v>
      </c>
      <c r="B116" s="950" t="s">
        <v>552</v>
      </c>
      <c r="C116" s="950">
        <v>1698503</v>
      </c>
      <c r="D116" s="951">
        <v>210366.77721241894</v>
      </c>
      <c r="E116" s="950">
        <v>9186</v>
      </c>
      <c r="F116" s="951">
        <v>236.48079004600001</v>
      </c>
      <c r="G116" s="950">
        <f t="shared" ref="G116:H127" si="5">C116+E116</f>
        <v>1707689</v>
      </c>
      <c r="H116" s="951">
        <f t="shared" si="5"/>
        <v>210603.25800246492</v>
      </c>
      <c r="I116" s="950">
        <v>11436309</v>
      </c>
      <c r="J116" s="951">
        <v>60564.028841293984</v>
      </c>
      <c r="K116" s="950">
        <v>307281</v>
      </c>
      <c r="L116" s="951">
        <v>261.544496751</v>
      </c>
      <c r="M116" s="950">
        <v>12831</v>
      </c>
      <c r="N116" s="951">
        <v>23.109241840400003</v>
      </c>
      <c r="O116" s="950">
        <v>2338888</v>
      </c>
      <c r="P116" s="951">
        <v>1346.3737255719998</v>
      </c>
      <c r="Q116" s="950">
        <v>362023</v>
      </c>
      <c r="R116" s="951">
        <v>338.50285320689994</v>
      </c>
      <c r="S116" s="950">
        <v>1096296</v>
      </c>
      <c r="T116" s="951">
        <v>596.634285793</v>
      </c>
      <c r="U116" s="950">
        <v>177080</v>
      </c>
      <c r="V116" s="951">
        <v>108.21664897110004</v>
      </c>
      <c r="W116" s="950">
        <v>4294399</v>
      </c>
      <c r="X116" s="951">
        <v>2674.3812521344003</v>
      </c>
      <c r="Y116" s="951">
        <v>9094.9524403349988</v>
      </c>
      <c r="Z116" s="950">
        <v>32469129</v>
      </c>
      <c r="AA116" s="951">
        <v>32740.432400392001</v>
      </c>
      <c r="AB116" s="950">
        <v>33218</v>
      </c>
      <c r="AC116" s="951">
        <v>73.733184510000001</v>
      </c>
      <c r="AD116" s="950">
        <v>2547176</v>
      </c>
      <c r="AE116" s="951">
        <v>953.47974511799987</v>
      </c>
      <c r="AF116" s="950">
        <v>117185</v>
      </c>
      <c r="AG116" s="951">
        <v>89.431046025000015</v>
      </c>
      <c r="AH116" s="950">
        <v>2870391</v>
      </c>
      <c r="AI116" s="951">
        <v>553.68705178399978</v>
      </c>
      <c r="AJ116" s="950">
        <v>131311</v>
      </c>
      <c r="AK116" s="951">
        <v>45.960117920000002</v>
      </c>
      <c r="AL116" s="950">
        <v>38168410</v>
      </c>
      <c r="AM116" s="951">
        <v>34456.723545749002</v>
      </c>
      <c r="AN116" s="950">
        <v>381496</v>
      </c>
      <c r="AO116" s="951">
        <v>209.766902367</v>
      </c>
      <c r="AP116" s="950">
        <v>131595</v>
      </c>
      <c r="AQ116" s="951">
        <v>90.085327975100014</v>
      </c>
      <c r="AR116" s="950">
        <v>41136</v>
      </c>
      <c r="AS116" s="951">
        <v>58.186640000000011</v>
      </c>
      <c r="AT116" s="950">
        <v>106844</v>
      </c>
      <c r="AU116" s="951">
        <v>113.9594153944</v>
      </c>
      <c r="AV116" s="950">
        <v>105471</v>
      </c>
      <c r="AW116" s="951">
        <v>66.602287795999999</v>
      </c>
      <c r="AX116" s="950">
        <v>253451</v>
      </c>
      <c r="AY116" s="951">
        <v>238.74834319039996</v>
      </c>
      <c r="AZ116" s="976">
        <v>43229351</v>
      </c>
      <c r="BA116" s="951">
        <v>37669.70537141589</v>
      </c>
      <c r="BB116" s="950">
        <v>2268371</v>
      </c>
      <c r="BC116" s="950">
        <v>32666507</v>
      </c>
      <c r="BD116" s="950">
        <v>4409712</v>
      </c>
      <c r="BE116" s="950">
        <f t="shared" ref="BE116:BE139" si="6">BB116+BC116+BD116</f>
        <v>39344590</v>
      </c>
      <c r="BF116" s="950">
        <v>7442964</v>
      </c>
      <c r="BG116" s="950">
        <v>7807126</v>
      </c>
      <c r="BH116" s="951">
        <v>46243.446591025997</v>
      </c>
      <c r="BI116" s="950">
        <v>1601445</v>
      </c>
      <c r="BJ116" s="950">
        <v>483531836</v>
      </c>
      <c r="BK116" s="951">
        <v>98306.850671469001</v>
      </c>
      <c r="BL116" s="950">
        <v>209569834</v>
      </c>
      <c r="BM116" s="950">
        <v>15574</v>
      </c>
      <c r="BN116" s="950">
        <v>14858617</v>
      </c>
      <c r="BO116" s="951">
        <v>68004.100000000006</v>
      </c>
      <c r="BP116" s="950">
        <v>20154126</v>
      </c>
      <c r="BQ116" s="950">
        <v>13725</v>
      </c>
      <c r="BR116" s="950">
        <v>106832</v>
      </c>
      <c r="BS116" s="1043"/>
      <c r="BT116" s="1110"/>
    </row>
    <row r="117" spans="1:72" s="172" customFormat="1" ht="11.1" customHeight="1" x14ac:dyDescent="0.2">
      <c r="A117" s="172" t="s">
        <v>2206</v>
      </c>
      <c r="B117" s="952" t="s">
        <v>553</v>
      </c>
      <c r="C117" s="952">
        <v>1698614</v>
      </c>
      <c r="D117" s="953">
        <v>212753.76986995997</v>
      </c>
      <c r="E117" s="952">
        <v>8849</v>
      </c>
      <c r="F117" s="953">
        <v>227.395696692</v>
      </c>
      <c r="G117" s="969">
        <f t="shared" si="5"/>
        <v>1707463</v>
      </c>
      <c r="H117" s="953">
        <f t="shared" si="5"/>
        <v>212981.16556665197</v>
      </c>
      <c r="I117" s="952">
        <v>12035293</v>
      </c>
      <c r="J117" s="953">
        <v>62303.407874569995</v>
      </c>
      <c r="K117" s="952">
        <v>325854</v>
      </c>
      <c r="L117" s="953">
        <v>278.17162491900001</v>
      </c>
      <c r="M117" s="952">
        <v>9812</v>
      </c>
      <c r="N117" s="953">
        <v>16.321894176000004</v>
      </c>
      <c r="O117" s="952">
        <v>2415852</v>
      </c>
      <c r="P117" s="953">
        <v>1362.3112226349995</v>
      </c>
      <c r="Q117" s="952">
        <v>270179</v>
      </c>
      <c r="R117" s="953">
        <v>231.69098848199999</v>
      </c>
      <c r="S117" s="952">
        <v>1134101</v>
      </c>
      <c r="T117" s="953">
        <v>599.03707768999993</v>
      </c>
      <c r="U117" s="952">
        <v>200399</v>
      </c>
      <c r="V117" s="953">
        <v>104.09684516050002</v>
      </c>
      <c r="W117" s="952">
        <v>4356197</v>
      </c>
      <c r="X117" s="953">
        <v>2591.6296530624995</v>
      </c>
      <c r="Y117" s="953">
        <v>9150.417508165001</v>
      </c>
      <c r="Z117" s="952">
        <v>33588910</v>
      </c>
      <c r="AA117" s="953">
        <v>36028.081620524004</v>
      </c>
      <c r="AB117" s="952">
        <v>32986</v>
      </c>
      <c r="AC117" s="953">
        <v>91.740850253000019</v>
      </c>
      <c r="AD117" s="952">
        <v>2623129</v>
      </c>
      <c r="AE117" s="953">
        <v>994.10892778799973</v>
      </c>
      <c r="AF117" s="952">
        <v>105419</v>
      </c>
      <c r="AG117" s="953">
        <v>71.275097895000002</v>
      </c>
      <c r="AH117" s="952">
        <v>2834825</v>
      </c>
      <c r="AI117" s="953">
        <v>564.63960246700003</v>
      </c>
      <c r="AJ117" s="952">
        <v>160747</v>
      </c>
      <c r="AK117" s="953">
        <v>53.809612289499995</v>
      </c>
      <c r="AL117" s="952">
        <v>39346016</v>
      </c>
      <c r="AM117" s="953">
        <v>37803.655711216496</v>
      </c>
      <c r="AN117" s="952">
        <v>426533</v>
      </c>
      <c r="AO117" s="953">
        <v>266.42395943799994</v>
      </c>
      <c r="AP117" s="952">
        <v>163885</v>
      </c>
      <c r="AQ117" s="953">
        <v>89.349575676000015</v>
      </c>
      <c r="AR117" s="952">
        <v>41901</v>
      </c>
      <c r="AS117" s="953">
        <v>57.824030000000008</v>
      </c>
      <c r="AT117" s="952">
        <v>98881</v>
      </c>
      <c r="AU117" s="953">
        <v>117.88135295199999</v>
      </c>
      <c r="AV117" s="952">
        <v>125115</v>
      </c>
      <c r="AW117" s="953">
        <v>94.468138274000012</v>
      </c>
      <c r="AX117" s="952">
        <v>265897</v>
      </c>
      <c r="AY117" s="953">
        <v>270.17352122599999</v>
      </c>
      <c r="AZ117" s="969">
        <v>44558528</v>
      </c>
      <c r="BA117" s="953">
        <v>41021.232420619002</v>
      </c>
      <c r="BB117" s="952">
        <v>2294491</v>
      </c>
      <c r="BC117" s="952">
        <v>33156910</v>
      </c>
      <c r="BD117" s="952">
        <v>4590842</v>
      </c>
      <c r="BE117" s="952">
        <f t="shared" si="6"/>
        <v>40042243</v>
      </c>
      <c r="BF117" s="952">
        <v>7632300</v>
      </c>
      <c r="BG117" s="952">
        <v>8414924</v>
      </c>
      <c r="BH117" s="953">
        <v>52099.672853853001</v>
      </c>
      <c r="BI117" s="952">
        <v>1618988</v>
      </c>
      <c r="BJ117" s="952">
        <v>512290724</v>
      </c>
      <c r="BK117" s="953">
        <v>109555.147981909</v>
      </c>
      <c r="BL117" s="952">
        <v>212420476</v>
      </c>
      <c r="BM117" s="952">
        <v>15671</v>
      </c>
      <c r="BN117" s="952">
        <v>13226342</v>
      </c>
      <c r="BO117" s="953">
        <v>68125.248690278997</v>
      </c>
      <c r="BP117" s="952">
        <v>20449522</v>
      </c>
      <c r="BQ117" s="952">
        <v>13732</v>
      </c>
      <c r="BR117" s="952">
        <v>106225</v>
      </c>
      <c r="BS117" s="1043"/>
      <c r="BT117" s="1110"/>
    </row>
    <row r="118" spans="1:72" s="172" customFormat="1" ht="11.1" customHeight="1" x14ac:dyDescent="0.2">
      <c r="A118" s="172" t="s">
        <v>2206</v>
      </c>
      <c r="B118" s="950" t="s">
        <v>547</v>
      </c>
      <c r="C118" s="950">
        <v>1581755</v>
      </c>
      <c r="D118" s="951">
        <v>180115.63721498</v>
      </c>
      <c r="E118" s="950">
        <v>9596</v>
      </c>
      <c r="F118" s="951">
        <v>281.27739935699998</v>
      </c>
      <c r="G118" s="976">
        <f t="shared" si="5"/>
        <v>1591351</v>
      </c>
      <c r="H118" s="951">
        <f t="shared" si="5"/>
        <v>180396.914614337</v>
      </c>
      <c r="I118" s="950">
        <v>10869818</v>
      </c>
      <c r="J118" s="951">
        <v>55598.038399805999</v>
      </c>
      <c r="K118" s="950">
        <v>326079</v>
      </c>
      <c r="L118" s="951">
        <v>283.348895992</v>
      </c>
      <c r="M118" s="950">
        <v>10883</v>
      </c>
      <c r="N118" s="951">
        <v>18.702842159999999</v>
      </c>
      <c r="O118" s="950">
        <v>2407950</v>
      </c>
      <c r="P118" s="951">
        <v>1328.8220753640001</v>
      </c>
      <c r="Q118" s="950">
        <v>287593</v>
      </c>
      <c r="R118" s="951">
        <v>244.25554785900005</v>
      </c>
      <c r="S118" s="950">
        <v>1125802</v>
      </c>
      <c r="T118" s="951">
        <v>579.66387659600002</v>
      </c>
      <c r="U118" s="950">
        <v>198388</v>
      </c>
      <c r="V118" s="951">
        <v>108.49269728999998</v>
      </c>
      <c r="W118" s="950">
        <v>4356695</v>
      </c>
      <c r="X118" s="951">
        <v>2563.2859352610003</v>
      </c>
      <c r="Y118" s="951">
        <v>9211.3310051279968</v>
      </c>
      <c r="Z118" s="950">
        <v>32888976</v>
      </c>
      <c r="AA118" s="951">
        <v>34983.290902247005</v>
      </c>
      <c r="AB118" s="950">
        <v>39413</v>
      </c>
      <c r="AC118" s="951">
        <v>90.005993062999977</v>
      </c>
      <c r="AD118" s="950">
        <v>2660788</v>
      </c>
      <c r="AE118" s="951">
        <v>998.68039978499996</v>
      </c>
      <c r="AF118" s="950">
        <v>122915</v>
      </c>
      <c r="AG118" s="951">
        <v>75.896604322999991</v>
      </c>
      <c r="AH118" s="950">
        <v>2838836</v>
      </c>
      <c r="AI118" s="951">
        <v>549.59056211899997</v>
      </c>
      <c r="AJ118" s="950">
        <v>179319</v>
      </c>
      <c r="AK118" s="951">
        <v>62.044389264499998</v>
      </c>
      <c r="AL118" s="950">
        <v>38730247</v>
      </c>
      <c r="AM118" s="951">
        <v>36759.508850801503</v>
      </c>
      <c r="AN118" s="950">
        <v>436819</v>
      </c>
      <c r="AO118" s="951">
        <v>269.36636807000002</v>
      </c>
      <c r="AP118" s="950">
        <v>168387</v>
      </c>
      <c r="AQ118" s="951">
        <v>88.584469685499997</v>
      </c>
      <c r="AR118" s="950">
        <v>40749</v>
      </c>
      <c r="AS118" s="951">
        <v>54.01079</v>
      </c>
      <c r="AT118" s="950">
        <v>103024</v>
      </c>
      <c r="AU118" s="951">
        <v>128.39668516099999</v>
      </c>
      <c r="AV118" s="950">
        <v>120845</v>
      </c>
      <c r="AW118" s="951">
        <v>80.167801056000002</v>
      </c>
      <c r="AX118" s="950">
        <v>264618</v>
      </c>
      <c r="AY118" s="951">
        <v>262.57527621700001</v>
      </c>
      <c r="AZ118" s="976">
        <v>43956766</v>
      </c>
      <c r="BA118" s="951">
        <v>39943.320900035011</v>
      </c>
      <c r="BB118" s="950">
        <v>2316132</v>
      </c>
      <c r="BC118" s="950">
        <v>33598824</v>
      </c>
      <c r="BD118" s="950">
        <v>4736851</v>
      </c>
      <c r="BE118" s="950">
        <f t="shared" si="6"/>
        <v>40651807</v>
      </c>
      <c r="BF118" s="950">
        <v>7788896</v>
      </c>
      <c r="BG118" s="950">
        <v>8234472</v>
      </c>
      <c r="BH118" s="951">
        <v>48716.377547828</v>
      </c>
      <c r="BI118" s="950">
        <v>1629716</v>
      </c>
      <c r="BJ118" s="950">
        <v>497412883</v>
      </c>
      <c r="BK118" s="951">
        <v>108378.227160043</v>
      </c>
      <c r="BL118" s="950">
        <v>215041746</v>
      </c>
      <c r="BM118" s="950">
        <v>15539</v>
      </c>
      <c r="BN118" s="950">
        <v>12032552</v>
      </c>
      <c r="BO118" s="951">
        <v>59312.866945061003</v>
      </c>
      <c r="BP118" s="950">
        <v>20683628</v>
      </c>
      <c r="BQ118" s="950">
        <v>13623</v>
      </c>
      <c r="BR118" s="950">
        <v>106451</v>
      </c>
      <c r="BS118" s="1043"/>
      <c r="BT118" s="1110"/>
    </row>
    <row r="119" spans="1:72" s="172" customFormat="1" ht="11.1" customHeight="1" x14ac:dyDescent="0.2">
      <c r="A119" s="172" t="s">
        <v>2206</v>
      </c>
      <c r="B119" s="952" t="s">
        <v>554</v>
      </c>
      <c r="C119" s="952">
        <v>1847520</v>
      </c>
      <c r="D119" s="953">
        <v>214885.96555261899</v>
      </c>
      <c r="E119" s="952">
        <v>9402</v>
      </c>
      <c r="F119" s="953">
        <v>282.74721766800002</v>
      </c>
      <c r="G119" s="969">
        <v>1856922</v>
      </c>
      <c r="H119" s="953">
        <f t="shared" si="5"/>
        <v>215168.71277028698</v>
      </c>
      <c r="I119" s="952">
        <v>27380116</v>
      </c>
      <c r="J119" s="953">
        <v>71929.487599486005</v>
      </c>
      <c r="K119" s="952">
        <v>358561</v>
      </c>
      <c r="L119" s="953">
        <v>306.770765407</v>
      </c>
      <c r="M119" s="952">
        <v>16059</v>
      </c>
      <c r="N119" s="953">
        <v>28.974927018799999</v>
      </c>
      <c r="O119" s="952">
        <v>2574948</v>
      </c>
      <c r="P119" s="953">
        <v>1463.528894065</v>
      </c>
      <c r="Q119" s="952">
        <v>348068</v>
      </c>
      <c r="R119" s="953">
        <v>301.24410659699998</v>
      </c>
      <c r="S119" s="952">
        <v>1260773</v>
      </c>
      <c r="T119" s="953">
        <v>654.03405320399997</v>
      </c>
      <c r="U119" s="952">
        <v>224945</v>
      </c>
      <c r="V119" s="953">
        <v>111.1088772956</v>
      </c>
      <c r="W119" s="952">
        <v>4783354</v>
      </c>
      <c r="X119" s="953">
        <v>2865.6616235873998</v>
      </c>
      <c r="Y119" s="953">
        <v>9497.3123796359996</v>
      </c>
      <c r="Z119" s="952">
        <v>35482731</v>
      </c>
      <c r="AA119" s="953">
        <v>37616.300498520002</v>
      </c>
      <c r="AB119" s="952">
        <v>52217</v>
      </c>
      <c r="AC119" s="953">
        <v>128.21989595599999</v>
      </c>
      <c r="AD119" s="952">
        <v>2810261</v>
      </c>
      <c r="AE119" s="953">
        <v>1075.0802064239999</v>
      </c>
      <c r="AF119" s="952">
        <v>144565</v>
      </c>
      <c r="AG119" s="953">
        <v>88.777513888000001</v>
      </c>
      <c r="AH119" s="952">
        <v>3120589</v>
      </c>
      <c r="AI119" s="953">
        <v>608.34554821899997</v>
      </c>
      <c r="AJ119" s="952">
        <v>199976</v>
      </c>
      <c r="AK119" s="953">
        <v>58.964967934000001</v>
      </c>
      <c r="AL119" s="952">
        <v>41810339</v>
      </c>
      <c r="AM119" s="953">
        <v>39575.688630940997</v>
      </c>
      <c r="AN119" s="952">
        <v>469293</v>
      </c>
      <c r="AO119" s="953">
        <v>285.63369172699998</v>
      </c>
      <c r="AP119" s="952">
        <v>198418</v>
      </c>
      <c r="AQ119" s="953">
        <v>94.760536032000005</v>
      </c>
      <c r="AR119" s="952">
        <v>42986</v>
      </c>
      <c r="AS119" s="953">
        <v>58.276240000000001</v>
      </c>
      <c r="AT119" s="952">
        <v>102905</v>
      </c>
      <c r="AU119" s="953">
        <v>134.49906232199999</v>
      </c>
      <c r="AV119" s="952">
        <v>126044</v>
      </c>
      <c r="AW119" s="953">
        <v>84.087330874000003</v>
      </c>
      <c r="AX119" s="952">
        <v>271935</v>
      </c>
      <c r="AY119" s="953">
        <v>276.86263319599999</v>
      </c>
      <c r="AZ119" s="969">
        <v>47533339</v>
      </c>
      <c r="BA119" s="953">
        <v>43098.607115483399</v>
      </c>
      <c r="BB119" s="952">
        <v>2337580</v>
      </c>
      <c r="BC119" s="952">
        <v>34001815</v>
      </c>
      <c r="BD119" s="952">
        <v>4904421</v>
      </c>
      <c r="BE119" s="952">
        <f t="shared" si="6"/>
        <v>41243816</v>
      </c>
      <c r="BF119" s="952">
        <v>7980859</v>
      </c>
      <c r="BG119" s="952">
        <v>10337750</v>
      </c>
      <c r="BH119" s="953">
        <v>78863.083189718003</v>
      </c>
      <c r="BI119" s="952">
        <v>1678207</v>
      </c>
      <c r="BJ119" s="952">
        <v>573271299</v>
      </c>
      <c r="BK119" s="953">
        <v>120596.465772636</v>
      </c>
      <c r="BL119" s="952">
        <v>217710830</v>
      </c>
      <c r="BM119" s="952">
        <v>15542</v>
      </c>
      <c r="BN119" s="952">
        <v>16089259</v>
      </c>
      <c r="BO119" s="953">
        <v>70459.860334437995</v>
      </c>
      <c r="BP119" s="952">
        <v>20931465</v>
      </c>
      <c r="BQ119" s="952">
        <v>13655</v>
      </c>
      <c r="BR119" s="952">
        <v>107035</v>
      </c>
      <c r="BS119" s="1043"/>
      <c r="BT119" s="1110"/>
    </row>
    <row r="120" spans="1:72" s="172" customFormat="1" ht="11.1" customHeight="1" x14ac:dyDescent="0.2">
      <c r="A120" s="172" t="s">
        <v>2206</v>
      </c>
      <c r="B120" s="950" t="s">
        <v>555</v>
      </c>
      <c r="C120" s="950">
        <v>1850445</v>
      </c>
      <c r="D120" s="951">
        <v>205727.014980882</v>
      </c>
      <c r="E120" s="950">
        <v>8494</v>
      </c>
      <c r="F120" s="951">
        <v>225.05943243499999</v>
      </c>
      <c r="G120" s="950">
        <f t="shared" ref="G120:G127" si="7">C120+E120</f>
        <v>1858939</v>
      </c>
      <c r="H120" s="951">
        <f t="shared" si="5"/>
        <v>205952.07441331699</v>
      </c>
      <c r="I120" s="950">
        <v>16245938</v>
      </c>
      <c r="J120" s="951">
        <v>72689.365954292007</v>
      </c>
      <c r="K120" s="950">
        <v>349173</v>
      </c>
      <c r="L120" s="951">
        <v>302.96941623200001</v>
      </c>
      <c r="M120" s="950">
        <v>14453</v>
      </c>
      <c r="N120" s="951">
        <v>26.999779919000002</v>
      </c>
      <c r="O120" s="950">
        <v>2412776</v>
      </c>
      <c r="P120" s="951">
        <v>1372.9109652919999</v>
      </c>
      <c r="Q120" s="950">
        <v>296342</v>
      </c>
      <c r="R120" s="951">
        <v>265.35799295800001</v>
      </c>
      <c r="S120" s="950">
        <v>1238701</v>
      </c>
      <c r="T120" s="951">
        <v>653.36042484899997</v>
      </c>
      <c r="U120" s="950">
        <v>222825</v>
      </c>
      <c r="V120" s="951">
        <v>127.2146839823</v>
      </c>
      <c r="W120" s="950">
        <v>4534270</v>
      </c>
      <c r="X120" s="951">
        <v>2748.8132632323</v>
      </c>
      <c r="Y120" s="951">
        <v>9586.1225684849996</v>
      </c>
      <c r="Z120" s="950">
        <v>34459563</v>
      </c>
      <c r="AA120" s="951">
        <v>37386.725317053999</v>
      </c>
      <c r="AB120" s="950">
        <v>47422</v>
      </c>
      <c r="AC120" s="951">
        <v>121.79554095100001</v>
      </c>
      <c r="AD120" s="950">
        <v>2616668</v>
      </c>
      <c r="AE120" s="951">
        <v>962.43418754499999</v>
      </c>
      <c r="AF120" s="950">
        <v>136586</v>
      </c>
      <c r="AG120" s="951">
        <v>91.284506813500002</v>
      </c>
      <c r="AH120" s="950">
        <v>3232987</v>
      </c>
      <c r="AI120" s="951">
        <v>623.22273326300001</v>
      </c>
      <c r="AJ120" s="950">
        <v>213293</v>
      </c>
      <c r="AK120" s="951">
        <v>68.339254069000006</v>
      </c>
      <c r="AL120" s="950">
        <v>40706519</v>
      </c>
      <c r="AM120" s="951">
        <v>39253.801539695502</v>
      </c>
      <c r="AN120" s="950">
        <v>480023</v>
      </c>
      <c r="AO120" s="951">
        <v>289.01881718300001</v>
      </c>
      <c r="AP120" s="950">
        <v>209288</v>
      </c>
      <c r="AQ120" s="951">
        <v>97.039955438999996</v>
      </c>
      <c r="AR120" s="950">
        <v>41063</v>
      </c>
      <c r="AS120" s="951">
        <v>55.590339999999998</v>
      </c>
      <c r="AT120" s="950">
        <v>107430</v>
      </c>
      <c r="AU120" s="951">
        <v>113.925147262</v>
      </c>
      <c r="AV120" s="950">
        <v>115832</v>
      </c>
      <c r="AW120" s="951">
        <v>79.812545610000001</v>
      </c>
      <c r="AX120" s="950">
        <v>264325</v>
      </c>
      <c r="AY120" s="951">
        <v>249.32803287199999</v>
      </c>
      <c r="AZ120" s="976">
        <v>46194425</v>
      </c>
      <c r="BA120" s="951">
        <v>42638.0016084218</v>
      </c>
      <c r="BB120" s="950">
        <v>2367620</v>
      </c>
      <c r="BC120" s="950">
        <v>34331261</v>
      </c>
      <c r="BD120" s="950">
        <v>4997524</v>
      </c>
      <c r="BE120" s="950">
        <f t="shared" si="6"/>
        <v>41696405</v>
      </c>
      <c r="BF120" s="950">
        <v>8172648</v>
      </c>
      <c r="BG120" s="950">
        <v>9747240</v>
      </c>
      <c r="BH120" s="951">
        <v>82866.226303652002</v>
      </c>
      <c r="BI120" s="950">
        <v>1701943</v>
      </c>
      <c r="BJ120" s="950">
        <v>542074508</v>
      </c>
      <c r="BK120" s="951">
        <v>119669.18965844699</v>
      </c>
      <c r="BL120" s="950">
        <v>220086186</v>
      </c>
      <c r="BM120" s="950">
        <v>15581</v>
      </c>
      <c r="BN120" s="950">
        <v>14580631</v>
      </c>
      <c r="BO120" s="951">
        <v>70444.378387324003</v>
      </c>
      <c r="BP120" s="950">
        <v>21195205</v>
      </c>
      <c r="BQ120" s="950">
        <v>13437</v>
      </c>
      <c r="BR120" s="950">
        <v>107144</v>
      </c>
      <c r="BS120" s="1043"/>
      <c r="BT120" s="1110"/>
    </row>
    <row r="121" spans="1:72" s="172" customFormat="1" ht="11.1" customHeight="1" x14ac:dyDescent="0.2">
      <c r="A121" s="172" t="s">
        <v>2206</v>
      </c>
      <c r="B121" s="952" t="s">
        <v>548</v>
      </c>
      <c r="C121" s="952">
        <v>1655043</v>
      </c>
      <c r="D121" s="953">
        <v>182738.56533114699</v>
      </c>
      <c r="E121" s="952">
        <v>9754</v>
      </c>
      <c r="F121" s="953">
        <v>313.77793898099998</v>
      </c>
      <c r="G121" s="969">
        <f t="shared" si="7"/>
        <v>1664797</v>
      </c>
      <c r="H121" s="953">
        <f t="shared" si="5"/>
        <v>183052.34327012798</v>
      </c>
      <c r="I121" s="952">
        <v>16780017</v>
      </c>
      <c r="J121" s="953">
        <v>68182.869789613993</v>
      </c>
      <c r="K121" s="952">
        <v>358058</v>
      </c>
      <c r="L121" s="953">
        <v>314.48887471900002</v>
      </c>
      <c r="M121" s="952">
        <v>17271</v>
      </c>
      <c r="N121" s="953">
        <v>33.746116625299997</v>
      </c>
      <c r="O121" s="952">
        <v>2582874</v>
      </c>
      <c r="P121" s="953">
        <v>1467.3255885809999</v>
      </c>
      <c r="Q121" s="952">
        <v>349172</v>
      </c>
      <c r="R121" s="953">
        <v>319.63655331349997</v>
      </c>
      <c r="S121" s="952">
        <v>1205621</v>
      </c>
      <c r="T121" s="953">
        <v>661.00001046700004</v>
      </c>
      <c r="U121" s="952">
        <v>202619</v>
      </c>
      <c r="V121" s="953">
        <v>120.7122621515</v>
      </c>
      <c r="W121" s="952">
        <v>4715615</v>
      </c>
      <c r="X121" s="953">
        <v>2916.9094058573</v>
      </c>
      <c r="Y121" s="953">
        <v>9884.867291519</v>
      </c>
      <c r="Z121" s="952">
        <v>36270911</v>
      </c>
      <c r="AA121" s="953">
        <v>39801.38472029</v>
      </c>
      <c r="AB121" s="952">
        <v>55311</v>
      </c>
      <c r="AC121" s="953">
        <v>152.74570868800001</v>
      </c>
      <c r="AD121" s="952">
        <v>2766966</v>
      </c>
      <c r="AE121" s="953">
        <v>1056.9825483469999</v>
      </c>
      <c r="AF121" s="952">
        <v>137640</v>
      </c>
      <c r="AG121" s="953">
        <v>105.593556206</v>
      </c>
      <c r="AH121" s="952">
        <v>2945278</v>
      </c>
      <c r="AI121" s="953">
        <v>560.52229142900001</v>
      </c>
      <c r="AJ121" s="952">
        <v>214155</v>
      </c>
      <c r="AK121" s="953">
        <v>74.789194832500002</v>
      </c>
      <c r="AL121" s="952">
        <v>42390261</v>
      </c>
      <c r="AM121" s="953">
        <v>41752.0180197925</v>
      </c>
      <c r="AN121" s="952">
        <v>447143</v>
      </c>
      <c r="AO121" s="953">
        <v>289.17183307599998</v>
      </c>
      <c r="AP121" s="952">
        <v>222079</v>
      </c>
      <c r="AQ121" s="953">
        <v>122.10576920600001</v>
      </c>
      <c r="AR121" s="952">
        <v>37424</v>
      </c>
      <c r="AS121" s="953">
        <v>68.211197920000004</v>
      </c>
      <c r="AT121" s="952">
        <v>120421</v>
      </c>
      <c r="AU121" s="953">
        <v>116.025734196</v>
      </c>
      <c r="AV121" s="952">
        <v>132328</v>
      </c>
      <c r="AW121" s="953">
        <v>87.591291662000003</v>
      </c>
      <c r="AX121" s="952">
        <v>290173</v>
      </c>
      <c r="AY121" s="953">
        <v>271.82822377799999</v>
      </c>
      <c r="AZ121" s="969">
        <v>48065271</v>
      </c>
      <c r="BA121" s="953">
        <v>45352.0332517098</v>
      </c>
      <c r="BB121" s="952">
        <v>2398577</v>
      </c>
      <c r="BC121" s="952">
        <v>34569683</v>
      </c>
      <c r="BD121" s="952">
        <v>5120934</v>
      </c>
      <c r="BE121" s="952">
        <f t="shared" si="6"/>
        <v>42089194</v>
      </c>
      <c r="BF121" s="952">
        <v>8331730</v>
      </c>
      <c r="BG121" s="952">
        <v>9850726</v>
      </c>
      <c r="BH121" s="953">
        <v>81640.235815248001</v>
      </c>
      <c r="BI121" s="952">
        <v>1724515</v>
      </c>
      <c r="BJ121" s="952">
        <v>550908856</v>
      </c>
      <c r="BK121" s="953">
        <v>124548.463896698</v>
      </c>
      <c r="BL121" s="952">
        <v>220457448</v>
      </c>
      <c r="BM121" s="952">
        <v>15757</v>
      </c>
      <c r="BN121" s="952">
        <v>13976607</v>
      </c>
      <c r="BO121" s="953">
        <v>67225.719058249</v>
      </c>
      <c r="BP121" s="952">
        <v>21418816</v>
      </c>
      <c r="BQ121" s="952">
        <v>13436</v>
      </c>
      <c r="BR121" s="952">
        <v>108469</v>
      </c>
      <c r="BS121" s="1043"/>
      <c r="BT121" s="1110"/>
    </row>
    <row r="122" spans="1:72" s="172" customFormat="1" ht="11.1" customHeight="1" x14ac:dyDescent="0.2">
      <c r="A122" s="172" t="s">
        <v>2206</v>
      </c>
      <c r="B122" s="950" t="s">
        <v>556</v>
      </c>
      <c r="C122" s="950">
        <v>1925594</v>
      </c>
      <c r="D122" s="951">
        <v>207300.56354946899</v>
      </c>
      <c r="E122" s="950">
        <v>9176</v>
      </c>
      <c r="F122" s="951">
        <v>262.65764582999998</v>
      </c>
      <c r="G122" s="976">
        <f t="shared" si="7"/>
        <v>1934770</v>
      </c>
      <c r="H122" s="951">
        <f t="shared" si="5"/>
        <v>207563.221195299</v>
      </c>
      <c r="I122" s="950">
        <v>19537853</v>
      </c>
      <c r="J122" s="951">
        <v>82285.260951356991</v>
      </c>
      <c r="K122" s="950">
        <v>359636</v>
      </c>
      <c r="L122" s="951">
        <v>317.93553623700001</v>
      </c>
      <c r="M122" s="950">
        <v>14360</v>
      </c>
      <c r="N122" s="951">
        <v>27.642036128499999</v>
      </c>
      <c r="O122" s="950">
        <v>2601846</v>
      </c>
      <c r="P122" s="951">
        <v>1482.1982028140001</v>
      </c>
      <c r="Q122" s="950">
        <v>321685</v>
      </c>
      <c r="R122" s="951">
        <v>298.80001105050002</v>
      </c>
      <c r="S122" s="950">
        <v>1183707</v>
      </c>
      <c r="T122" s="951">
        <v>654.80441124900005</v>
      </c>
      <c r="U122" s="950">
        <v>203428</v>
      </c>
      <c r="V122" s="951">
        <v>118.5519972665</v>
      </c>
      <c r="W122" s="950">
        <v>4684662</v>
      </c>
      <c r="X122" s="951">
        <v>2899.9321947455001</v>
      </c>
      <c r="Y122" s="951">
        <v>10013.49101623</v>
      </c>
      <c r="Z122" s="950">
        <v>36923118</v>
      </c>
      <c r="AA122" s="951">
        <v>40714.95095754401</v>
      </c>
      <c r="AB122" s="950">
        <v>40349</v>
      </c>
      <c r="AC122" s="951">
        <v>99.098533338999999</v>
      </c>
      <c r="AD122" s="950">
        <v>2608485</v>
      </c>
      <c r="AE122" s="951">
        <v>1080.3442430950001</v>
      </c>
      <c r="AF122" s="950">
        <v>120175</v>
      </c>
      <c r="AG122" s="951">
        <v>96.289219374499993</v>
      </c>
      <c r="AH122" s="950">
        <v>3307426</v>
      </c>
      <c r="AI122" s="951">
        <v>664.86279608399991</v>
      </c>
      <c r="AJ122" s="950">
        <v>194605</v>
      </c>
      <c r="AK122" s="951">
        <v>70.239047538999998</v>
      </c>
      <c r="AL122" s="950">
        <v>43194158</v>
      </c>
      <c r="AM122" s="951">
        <v>42725.784796975517</v>
      </c>
      <c r="AN122" s="950">
        <v>515232</v>
      </c>
      <c r="AO122" s="951">
        <v>362.22698171199994</v>
      </c>
      <c r="AP122" s="950">
        <v>210733</v>
      </c>
      <c r="AQ122" s="951">
        <v>123.52517027999997</v>
      </c>
      <c r="AR122" s="950">
        <v>36607</v>
      </c>
      <c r="AS122" s="951">
        <v>53.360590000000002</v>
      </c>
      <c r="AT122" s="950">
        <v>122716</v>
      </c>
      <c r="AU122" s="951">
        <v>116.89875784500001</v>
      </c>
      <c r="AV122" s="950">
        <v>123315</v>
      </c>
      <c r="AW122" s="951">
        <v>89.787821763000011</v>
      </c>
      <c r="AX122" s="950">
        <v>282638</v>
      </c>
      <c r="AY122" s="951">
        <v>260.04716960799999</v>
      </c>
      <c r="AZ122" s="976">
        <v>48887423</v>
      </c>
      <c r="BA122" s="951">
        <v>46371.516313321015</v>
      </c>
      <c r="BB122" s="950">
        <v>2418708</v>
      </c>
      <c r="BC122" s="950">
        <v>35062332</v>
      </c>
      <c r="BD122" s="950">
        <v>5255904</v>
      </c>
      <c r="BE122" s="950">
        <f t="shared" si="6"/>
        <v>42736944</v>
      </c>
      <c r="BF122" s="950">
        <v>8486538</v>
      </c>
      <c r="BG122" s="950">
        <v>10622601</v>
      </c>
      <c r="BH122" s="951">
        <v>96205.903293743002</v>
      </c>
      <c r="BI122" s="950">
        <v>1739321</v>
      </c>
      <c r="BJ122" s="950">
        <v>562750812</v>
      </c>
      <c r="BK122" s="951">
        <v>129500.639051329</v>
      </c>
      <c r="BL122" s="950">
        <v>219119012</v>
      </c>
      <c r="BM122" s="950">
        <v>15761</v>
      </c>
      <c r="BN122" s="950">
        <v>14948766</v>
      </c>
      <c r="BO122" s="951">
        <v>73983.927014909001</v>
      </c>
      <c r="BP122" s="950">
        <v>21696736</v>
      </c>
      <c r="BQ122" s="950">
        <v>13461</v>
      </c>
      <c r="BR122" s="950">
        <v>109128</v>
      </c>
      <c r="BS122" s="1110"/>
    </row>
    <row r="123" spans="1:72" s="172" customFormat="1" ht="11.1" customHeight="1" x14ac:dyDescent="0.2">
      <c r="A123" s="172" t="s">
        <v>2206</v>
      </c>
      <c r="B123" s="952" t="s">
        <v>557</v>
      </c>
      <c r="C123" s="952">
        <v>1701852</v>
      </c>
      <c r="D123" s="953">
        <v>180819.42971081295</v>
      </c>
      <c r="E123" s="952">
        <v>9146</v>
      </c>
      <c r="F123" s="953">
        <v>279.029687223</v>
      </c>
      <c r="G123" s="969">
        <f t="shared" si="7"/>
        <v>1710998</v>
      </c>
      <c r="H123" s="953">
        <f t="shared" si="5"/>
        <v>181098.45939803595</v>
      </c>
      <c r="I123" s="952">
        <v>29615269</v>
      </c>
      <c r="J123" s="953">
        <v>76897.669573603998</v>
      </c>
      <c r="K123" s="952">
        <v>358684</v>
      </c>
      <c r="L123" s="953">
        <v>314.04897285200002</v>
      </c>
      <c r="M123" s="952">
        <v>13300</v>
      </c>
      <c r="N123" s="953">
        <v>24.603281482749999</v>
      </c>
      <c r="O123" s="952">
        <v>2544606</v>
      </c>
      <c r="P123" s="953">
        <v>1470.451585622</v>
      </c>
      <c r="Q123" s="952">
        <v>318719</v>
      </c>
      <c r="R123" s="953">
        <v>284.24638302329998</v>
      </c>
      <c r="S123" s="952">
        <v>1134961</v>
      </c>
      <c r="T123" s="953">
        <v>633.98972962899995</v>
      </c>
      <c r="U123" s="952">
        <v>198377</v>
      </c>
      <c r="V123" s="953">
        <v>104.1681234058</v>
      </c>
      <c r="W123" s="952">
        <v>4568647</v>
      </c>
      <c r="X123" s="953">
        <v>2831.5080760148498</v>
      </c>
      <c r="Y123" s="953">
        <v>10199.682911305001</v>
      </c>
      <c r="Z123" s="952">
        <v>36507771</v>
      </c>
      <c r="AA123" s="953">
        <v>40320.196292909997</v>
      </c>
      <c r="AB123" s="952">
        <v>39762</v>
      </c>
      <c r="AC123" s="953">
        <v>94.576199015499995</v>
      </c>
      <c r="AD123" s="952">
        <v>2489809</v>
      </c>
      <c r="AE123" s="953">
        <v>886.68832314500014</v>
      </c>
      <c r="AF123" s="952">
        <v>123724</v>
      </c>
      <c r="AG123" s="953">
        <v>94.685774413000019</v>
      </c>
      <c r="AH123" s="952">
        <v>3114735</v>
      </c>
      <c r="AI123" s="953">
        <v>616.21748430899993</v>
      </c>
      <c r="AJ123" s="952">
        <v>199293</v>
      </c>
      <c r="AK123" s="953">
        <v>66.482518967500013</v>
      </c>
      <c r="AL123" s="952">
        <v>42475094</v>
      </c>
      <c r="AM123" s="953">
        <v>42078.846592759997</v>
      </c>
      <c r="AN123" s="952">
        <v>478731</v>
      </c>
      <c r="AO123" s="953">
        <v>335.54312523400006</v>
      </c>
      <c r="AP123" s="952">
        <v>211208</v>
      </c>
      <c r="AQ123" s="953">
        <v>103.6031509455</v>
      </c>
      <c r="AR123" s="952">
        <v>39053</v>
      </c>
      <c r="AS123" s="953">
        <v>57.74888</v>
      </c>
      <c r="AT123" s="952">
        <v>141444</v>
      </c>
      <c r="AU123" s="953">
        <v>170.11643794400001</v>
      </c>
      <c r="AV123" s="952">
        <v>122755</v>
      </c>
      <c r="AW123" s="953">
        <v>87.901032565000008</v>
      </c>
      <c r="AX123" s="952">
        <v>303252</v>
      </c>
      <c r="AY123" s="953">
        <v>315.76635050900001</v>
      </c>
      <c r="AZ123" s="969">
        <v>48036932</v>
      </c>
      <c r="BA123" s="953">
        <v>45665.267295463345</v>
      </c>
      <c r="BB123" s="952">
        <v>2424363</v>
      </c>
      <c r="BC123" s="952">
        <v>35418498</v>
      </c>
      <c r="BD123" s="952">
        <v>5379541</v>
      </c>
      <c r="BE123" s="952">
        <f t="shared" si="6"/>
        <v>43222402</v>
      </c>
      <c r="BF123" s="952">
        <v>8915009</v>
      </c>
      <c r="BG123" s="952">
        <v>10775757</v>
      </c>
      <c r="BH123" s="953">
        <v>93822.747532517998</v>
      </c>
      <c r="BI123" s="952">
        <v>1754723</v>
      </c>
      <c r="BJ123" s="952">
        <v>584272437</v>
      </c>
      <c r="BK123" s="953">
        <v>130140.073243219</v>
      </c>
      <c r="BL123" s="952">
        <v>221478625</v>
      </c>
      <c r="BM123" s="952">
        <v>15773</v>
      </c>
      <c r="BN123" s="952">
        <v>15446110</v>
      </c>
      <c r="BO123" s="953">
        <v>69295.889898476002</v>
      </c>
      <c r="BP123" s="952">
        <v>21929947</v>
      </c>
      <c r="BQ123" s="952">
        <v>13465</v>
      </c>
      <c r="BR123" s="952">
        <v>110089</v>
      </c>
      <c r="BS123" s="1110"/>
    </row>
    <row r="124" spans="1:72" s="172" customFormat="1" ht="11.1" customHeight="1" x14ac:dyDescent="0.2">
      <c r="A124" s="172" t="s">
        <v>2206</v>
      </c>
      <c r="B124" s="950" t="s">
        <v>549</v>
      </c>
      <c r="C124" s="950">
        <v>1828497</v>
      </c>
      <c r="D124" s="951">
        <v>197388.340214019</v>
      </c>
      <c r="E124" s="950">
        <v>9392</v>
      </c>
      <c r="F124" s="951">
        <v>278.63456310999999</v>
      </c>
      <c r="G124" s="976">
        <f t="shared" si="7"/>
        <v>1837889</v>
      </c>
      <c r="H124" s="951">
        <f t="shared" si="5"/>
        <v>197666.97477712901</v>
      </c>
      <c r="I124" s="950">
        <v>26367162</v>
      </c>
      <c r="J124" s="951">
        <v>81733.814314044008</v>
      </c>
      <c r="K124" s="950">
        <v>375172</v>
      </c>
      <c r="L124" s="951">
        <v>336.24321357100001</v>
      </c>
      <c r="M124" s="950">
        <v>12337</v>
      </c>
      <c r="N124" s="951">
        <v>22.708506095000001</v>
      </c>
      <c r="O124" s="950">
        <v>2954874</v>
      </c>
      <c r="P124" s="951">
        <v>1755.334266759</v>
      </c>
      <c r="Q124" s="950">
        <v>299686</v>
      </c>
      <c r="R124" s="951">
        <v>256.72693283180001</v>
      </c>
      <c r="S124" s="950">
        <v>1209404</v>
      </c>
      <c r="T124" s="951">
        <v>709.19442884</v>
      </c>
      <c r="U124" s="950">
        <v>220787</v>
      </c>
      <c r="V124" s="951">
        <v>110.22392533750001</v>
      </c>
      <c r="W124" s="950">
        <v>5072260</v>
      </c>
      <c r="X124" s="951">
        <v>3190.4312734342998</v>
      </c>
      <c r="Y124" s="951">
        <v>10371.922275622999</v>
      </c>
      <c r="Z124" s="950">
        <v>40843289</v>
      </c>
      <c r="AA124" s="951">
        <v>46032.241273933985</v>
      </c>
      <c r="AB124" s="950">
        <v>34256</v>
      </c>
      <c r="AC124" s="951">
        <v>72.37285517174999</v>
      </c>
      <c r="AD124" s="950">
        <v>3071612</v>
      </c>
      <c r="AE124" s="951">
        <v>1166.9949586680007</v>
      </c>
      <c r="AF124" s="950">
        <v>118608</v>
      </c>
      <c r="AG124" s="951">
        <v>90.868834010300006</v>
      </c>
      <c r="AH124" s="950">
        <v>3364473</v>
      </c>
      <c r="AI124" s="951">
        <v>671.5610946879998</v>
      </c>
      <c r="AJ124" s="950">
        <v>238608</v>
      </c>
      <c r="AK124" s="951">
        <v>67.059582528500002</v>
      </c>
      <c r="AL124" s="950">
        <v>47670846</v>
      </c>
      <c r="AM124" s="951">
        <v>48101.098599000536</v>
      </c>
      <c r="AN124" s="950">
        <v>538793</v>
      </c>
      <c r="AO124" s="951">
        <v>364.02709580799996</v>
      </c>
      <c r="AP124" s="950">
        <v>236837</v>
      </c>
      <c r="AQ124" s="951">
        <v>103.03820531074999</v>
      </c>
      <c r="AR124" s="950">
        <v>39894</v>
      </c>
      <c r="AS124" s="951">
        <v>58.29610000000001</v>
      </c>
      <c r="AT124" s="950">
        <v>129144</v>
      </c>
      <c r="AU124" s="951">
        <v>160.47194431400001</v>
      </c>
      <c r="AV124" s="950">
        <v>137771</v>
      </c>
      <c r="AW124" s="951">
        <v>105.80498474000001</v>
      </c>
      <c r="AX124" s="950">
        <v>306809</v>
      </c>
      <c r="AY124" s="951">
        <v>324.57302905400002</v>
      </c>
      <c r="AZ124" s="976">
        <v>53825545</v>
      </c>
      <c r="BA124" s="951">
        <v>52083.16820260758</v>
      </c>
      <c r="BB124" s="950">
        <v>2450700</v>
      </c>
      <c r="BC124" s="950">
        <v>35869678</v>
      </c>
      <c r="BD124" s="950">
        <v>5697192</v>
      </c>
      <c r="BE124" s="950">
        <f t="shared" si="6"/>
        <v>44017570</v>
      </c>
      <c r="BF124" s="950">
        <v>8338860</v>
      </c>
      <c r="BG124" s="950">
        <v>12441038</v>
      </c>
      <c r="BH124" s="951">
        <v>99510.62042152397</v>
      </c>
      <c r="BI124" s="950">
        <v>1769911</v>
      </c>
      <c r="BJ124" s="950">
        <v>609373836</v>
      </c>
      <c r="BK124" s="951">
        <v>153757.980103237</v>
      </c>
      <c r="BL124" s="950">
        <v>224001412</v>
      </c>
      <c r="BM124" s="950">
        <v>15835</v>
      </c>
      <c r="BN124" s="950">
        <v>15325171</v>
      </c>
      <c r="BO124" s="951">
        <v>72956.441154614993</v>
      </c>
      <c r="BP124" s="950">
        <v>22249033</v>
      </c>
      <c r="BQ124" s="950">
        <v>13485</v>
      </c>
      <c r="BR124" s="950">
        <v>113734</v>
      </c>
      <c r="BS124" s="1110"/>
    </row>
    <row r="125" spans="1:72" s="172" customFormat="1" ht="11.1" customHeight="1" x14ac:dyDescent="0.2">
      <c r="A125" s="172" t="s">
        <v>2206</v>
      </c>
      <c r="B125" s="952" t="s">
        <v>558</v>
      </c>
      <c r="C125" s="952">
        <v>1593054</v>
      </c>
      <c r="D125" s="953">
        <v>189553.88032722601</v>
      </c>
      <c r="E125" s="952">
        <v>9047</v>
      </c>
      <c r="F125" s="953">
        <v>442.164963</v>
      </c>
      <c r="G125" s="969">
        <f t="shared" si="7"/>
        <v>1602101</v>
      </c>
      <c r="H125" s="953">
        <f t="shared" si="5"/>
        <v>189996.045290226</v>
      </c>
      <c r="I125" s="952">
        <v>18966499</v>
      </c>
      <c r="J125" s="953">
        <v>71729.674012887001</v>
      </c>
      <c r="K125" s="952">
        <v>342734</v>
      </c>
      <c r="L125" s="953">
        <v>313.46534198000001</v>
      </c>
      <c r="M125" s="952">
        <v>13121</v>
      </c>
      <c r="N125" s="953">
        <v>22.990658049</v>
      </c>
      <c r="O125" s="952">
        <v>2806155</v>
      </c>
      <c r="P125" s="953">
        <v>1656.773446289</v>
      </c>
      <c r="Q125" s="952">
        <v>357248</v>
      </c>
      <c r="R125" s="953">
        <v>298.58198302099999</v>
      </c>
      <c r="S125" s="952">
        <v>1125674</v>
      </c>
      <c r="T125" s="953">
        <v>659.01151781099998</v>
      </c>
      <c r="U125" s="952">
        <v>207047</v>
      </c>
      <c r="V125" s="953">
        <v>112.783494506</v>
      </c>
      <c r="W125" s="952">
        <v>4851979</v>
      </c>
      <c r="X125" s="953">
        <v>3063.6064416559998</v>
      </c>
      <c r="Y125" s="953">
        <v>10475.379101396</v>
      </c>
      <c r="Z125" s="952">
        <v>37818963</v>
      </c>
      <c r="AA125" s="953">
        <v>42109.471936180998</v>
      </c>
      <c r="AB125" s="952">
        <v>29654</v>
      </c>
      <c r="AC125" s="953">
        <v>55.882477377000001</v>
      </c>
      <c r="AD125" s="952">
        <v>3346113</v>
      </c>
      <c r="AE125" s="953">
        <v>1230.151298497</v>
      </c>
      <c r="AF125" s="952">
        <v>125558</v>
      </c>
      <c r="AG125" s="953">
        <v>90.572049804000002</v>
      </c>
      <c r="AH125" s="952">
        <v>3155906</v>
      </c>
      <c r="AI125" s="953">
        <v>623.73166646300001</v>
      </c>
      <c r="AJ125" s="952">
        <v>189654</v>
      </c>
      <c r="AK125" s="953">
        <v>57.720952593500002</v>
      </c>
      <c r="AL125" s="952">
        <v>44665848</v>
      </c>
      <c r="AM125" s="953">
        <v>44167.530380915501</v>
      </c>
      <c r="AN125" s="952">
        <v>533098</v>
      </c>
      <c r="AO125" s="953">
        <v>372.302344952</v>
      </c>
      <c r="AP125" s="952">
        <v>181332</v>
      </c>
      <c r="AQ125" s="953">
        <v>86.358193664500007</v>
      </c>
      <c r="AR125" s="952">
        <v>36083</v>
      </c>
      <c r="AS125" s="953">
        <v>53.473080000000003</v>
      </c>
      <c r="AT125" s="952">
        <v>121867</v>
      </c>
      <c r="AU125" s="953">
        <v>127.640097723</v>
      </c>
      <c r="AV125" s="952">
        <v>141902</v>
      </c>
      <c r="AW125" s="953">
        <v>93.864875165000001</v>
      </c>
      <c r="AX125" s="952">
        <v>299852</v>
      </c>
      <c r="AY125" s="953">
        <v>274.97805288799998</v>
      </c>
      <c r="AZ125" s="969">
        <v>50532109</v>
      </c>
      <c r="BA125" s="953">
        <v>47964.775414076001</v>
      </c>
      <c r="BB125" s="952">
        <v>2469541</v>
      </c>
      <c r="BC125" s="952">
        <v>36215413</v>
      </c>
      <c r="BD125" s="952">
        <v>5850790</v>
      </c>
      <c r="BE125" s="952">
        <f t="shared" si="6"/>
        <v>44535744</v>
      </c>
      <c r="BF125" s="952">
        <v>8524325</v>
      </c>
      <c r="BG125" s="952">
        <v>11883072</v>
      </c>
      <c r="BH125" s="953">
        <v>97094.517377337004</v>
      </c>
      <c r="BI125" s="952">
        <v>1779741</v>
      </c>
      <c r="BJ125" s="952">
        <v>614152914</v>
      </c>
      <c r="BK125" s="953">
        <v>144929.50417074701</v>
      </c>
      <c r="BL125" s="952">
        <v>226505553</v>
      </c>
      <c r="BM125" s="952">
        <v>15840</v>
      </c>
      <c r="BN125" s="952">
        <v>14146303</v>
      </c>
      <c r="BO125" s="953">
        <v>67458.362707481996</v>
      </c>
      <c r="BP125" s="952">
        <v>22532147</v>
      </c>
      <c r="BQ125" s="952">
        <v>13507</v>
      </c>
      <c r="BR125" s="952">
        <v>114828</v>
      </c>
      <c r="BS125" s="1110"/>
    </row>
    <row r="126" spans="1:72" s="172" customFormat="1" ht="11.1" customHeight="1" x14ac:dyDescent="0.2">
      <c r="A126" s="172" t="s">
        <v>2206</v>
      </c>
      <c r="B126" s="950" t="s">
        <v>559</v>
      </c>
      <c r="C126" s="950">
        <v>1757021</v>
      </c>
      <c r="D126" s="951">
        <v>196509.725859105</v>
      </c>
      <c r="E126" s="950">
        <v>9936</v>
      </c>
      <c r="F126" s="951">
        <v>686.57522725000001</v>
      </c>
      <c r="G126" s="950">
        <f t="shared" si="7"/>
        <v>1766957</v>
      </c>
      <c r="H126" s="951">
        <f t="shared" si="5"/>
        <v>197196.301086355</v>
      </c>
      <c r="I126" s="950">
        <v>26181961</v>
      </c>
      <c r="J126" s="951">
        <v>85061.135004269003</v>
      </c>
      <c r="K126" s="950">
        <v>370480</v>
      </c>
      <c r="L126" s="951">
        <v>325.18176183299994</v>
      </c>
      <c r="M126" s="950">
        <v>10314</v>
      </c>
      <c r="N126" s="951">
        <v>19.204528681999999</v>
      </c>
      <c r="O126" s="950">
        <v>2645092</v>
      </c>
      <c r="P126" s="951">
        <v>1579.9099879540001</v>
      </c>
      <c r="Q126" s="950">
        <v>310984</v>
      </c>
      <c r="R126" s="951">
        <v>256.56075278800006</v>
      </c>
      <c r="S126" s="950">
        <v>1231194</v>
      </c>
      <c r="T126" s="951">
        <v>702.51179184599994</v>
      </c>
      <c r="U126" s="950">
        <v>228440</v>
      </c>
      <c r="V126" s="951">
        <v>120.67240919704997</v>
      </c>
      <c r="W126" s="950">
        <v>4796504</v>
      </c>
      <c r="X126" s="951">
        <v>3004.0412323000501</v>
      </c>
      <c r="Y126" s="951">
        <v>10481.503434674001</v>
      </c>
      <c r="Z126" s="950">
        <v>36917581</v>
      </c>
      <c r="AA126" s="951">
        <v>40541.680353374999</v>
      </c>
      <c r="AB126" s="950">
        <v>25454</v>
      </c>
      <c r="AC126" s="951">
        <v>54.032786463299999</v>
      </c>
      <c r="AD126" s="950">
        <v>3010727</v>
      </c>
      <c r="AE126" s="951">
        <v>1125.9765289749998</v>
      </c>
      <c r="AF126" s="950">
        <v>114984</v>
      </c>
      <c r="AG126" s="951">
        <v>84.894431041999979</v>
      </c>
      <c r="AH126" s="950">
        <v>3181334</v>
      </c>
      <c r="AI126" s="951">
        <v>621.16342906200009</v>
      </c>
      <c r="AJ126" s="950">
        <v>224257</v>
      </c>
      <c r="AK126" s="951">
        <v>70.063503678499998</v>
      </c>
      <c r="AL126" s="950">
        <v>43474337</v>
      </c>
      <c r="AM126" s="951">
        <v>42497.811032595797</v>
      </c>
      <c r="AN126" s="950">
        <v>496055</v>
      </c>
      <c r="AO126" s="951">
        <v>344.70344251080002</v>
      </c>
      <c r="AP126" s="950">
        <v>213354</v>
      </c>
      <c r="AQ126" s="951">
        <v>91.889914925400006</v>
      </c>
      <c r="AR126" s="950">
        <v>37305</v>
      </c>
      <c r="AS126" s="951">
        <v>54.515180699999995</v>
      </c>
      <c r="AT126" s="950">
        <v>134612</v>
      </c>
      <c r="AU126" s="951">
        <v>172.14157565800002</v>
      </c>
      <c r="AV126" s="950">
        <v>138438</v>
      </c>
      <c r="AW126" s="951">
        <v>94.064048244000006</v>
      </c>
      <c r="AX126" s="950">
        <v>310355</v>
      </c>
      <c r="AY126" s="951">
        <v>320.72080460199999</v>
      </c>
      <c r="AZ126" s="976">
        <v>49290605</v>
      </c>
      <c r="BA126" s="951">
        <v>46259.166426934054</v>
      </c>
      <c r="BB126" s="950">
        <v>2491202</v>
      </c>
      <c r="BC126" s="950">
        <v>36658363</v>
      </c>
      <c r="BD126" s="950">
        <v>5995954</v>
      </c>
      <c r="BE126" s="950">
        <f t="shared" si="6"/>
        <v>45145519</v>
      </c>
      <c r="BF126" s="950">
        <v>8752117</v>
      </c>
      <c r="BG126" s="950">
        <v>12795772</v>
      </c>
      <c r="BH126" s="951">
        <v>103038.635496189</v>
      </c>
      <c r="BI126" s="950">
        <v>1794350</v>
      </c>
      <c r="BJ126" s="950">
        <v>607652282</v>
      </c>
      <c r="BK126" s="951">
        <v>140952.08738656601</v>
      </c>
      <c r="BL126" s="950">
        <v>229918913</v>
      </c>
      <c r="BM126" s="950">
        <v>15885</v>
      </c>
      <c r="BN126" s="950">
        <v>15281122</v>
      </c>
      <c r="BO126" s="951">
        <v>72137.642818809996</v>
      </c>
      <c r="BP126" s="950">
        <v>22827855</v>
      </c>
      <c r="BQ126" s="950">
        <v>13428</v>
      </c>
      <c r="BR126" s="950">
        <v>116232</v>
      </c>
      <c r="BS126" s="1110"/>
    </row>
    <row r="127" spans="1:72" s="172" customFormat="1" ht="11.1" customHeight="1" x14ac:dyDescent="0.2">
      <c r="A127" s="172" t="s">
        <v>2206</v>
      </c>
      <c r="B127" s="952" t="s">
        <v>550</v>
      </c>
      <c r="C127" s="952">
        <v>1953733</v>
      </c>
      <c r="D127" s="953">
        <v>234440.69206133499</v>
      </c>
      <c r="E127" s="952">
        <v>11468</v>
      </c>
      <c r="F127" s="953">
        <v>537.84539200999996</v>
      </c>
      <c r="G127" s="952">
        <f t="shared" si="7"/>
        <v>1965201</v>
      </c>
      <c r="H127" s="953">
        <f t="shared" si="5"/>
        <v>234978.53745334499</v>
      </c>
      <c r="I127" s="952">
        <v>40400860</v>
      </c>
      <c r="J127" s="953">
        <v>94652.946931722996</v>
      </c>
      <c r="K127" s="952">
        <v>349605</v>
      </c>
      <c r="L127" s="953">
        <v>324.68289889800002</v>
      </c>
      <c r="M127" s="952">
        <v>11559</v>
      </c>
      <c r="N127" s="953">
        <v>20.601202748150001</v>
      </c>
      <c r="O127" s="952">
        <v>2641795</v>
      </c>
      <c r="P127" s="953">
        <v>1582.3243445820001</v>
      </c>
      <c r="Q127" s="952">
        <v>359314</v>
      </c>
      <c r="R127" s="953">
        <v>309.32015736229999</v>
      </c>
      <c r="S127" s="952">
        <v>1164344</v>
      </c>
      <c r="T127" s="953">
        <v>695.03504773700001</v>
      </c>
      <c r="U127" s="952">
        <v>221683</v>
      </c>
      <c r="V127" s="953">
        <v>120.0416530416</v>
      </c>
      <c r="W127" s="952">
        <v>4748300</v>
      </c>
      <c r="X127" s="953">
        <v>3052.00530436905</v>
      </c>
      <c r="Y127" s="953">
        <v>10751.054323832999</v>
      </c>
      <c r="Z127" s="952">
        <v>40321059</v>
      </c>
      <c r="AA127" s="953">
        <v>45905.618330254998</v>
      </c>
      <c r="AB127" s="952">
        <v>24702</v>
      </c>
      <c r="AC127" s="953">
        <v>57.765275697</v>
      </c>
      <c r="AD127" s="952">
        <v>3092532</v>
      </c>
      <c r="AE127" s="953">
        <v>1053.0646033139999</v>
      </c>
      <c r="AF127" s="952">
        <v>121244</v>
      </c>
      <c r="AG127" s="953">
        <v>93.789040756999995</v>
      </c>
      <c r="AH127" s="952">
        <v>3395301</v>
      </c>
      <c r="AI127" s="953">
        <v>665.29923959600001</v>
      </c>
      <c r="AJ127" s="952">
        <v>202438</v>
      </c>
      <c r="AK127" s="953">
        <v>63.487248475999998</v>
      </c>
      <c r="AL127" s="952">
        <v>47157276</v>
      </c>
      <c r="AM127" s="953">
        <v>47839.023738094998</v>
      </c>
      <c r="AN127" s="952">
        <v>589801</v>
      </c>
      <c r="AO127" s="953">
        <v>413.94656348500001</v>
      </c>
      <c r="AP127" s="952">
        <v>173579</v>
      </c>
      <c r="AQ127" s="953">
        <v>75.639103754100006</v>
      </c>
      <c r="AR127" s="952">
        <v>34144</v>
      </c>
      <c r="AS127" s="953">
        <v>54.698770000000003</v>
      </c>
      <c r="AT127" s="952">
        <v>105386</v>
      </c>
      <c r="AU127" s="953">
        <v>120.613899155</v>
      </c>
      <c r="AV127" s="952">
        <v>144742</v>
      </c>
      <c r="AW127" s="953">
        <v>96.100553069</v>
      </c>
      <c r="AX127" s="952">
        <v>284272</v>
      </c>
      <c r="AY127" s="953">
        <v>271.41322222399998</v>
      </c>
      <c r="AZ127" s="969">
        <v>52953228</v>
      </c>
      <c r="BA127" s="953">
        <v>51652.027931927099</v>
      </c>
      <c r="BB127" s="952">
        <v>2506478</v>
      </c>
      <c r="BC127" s="952">
        <v>37046957</v>
      </c>
      <c r="BD127" s="952">
        <v>6075310</v>
      </c>
      <c r="BE127" s="952">
        <f t="shared" si="6"/>
        <v>45628745</v>
      </c>
      <c r="BF127" s="952">
        <v>8951034</v>
      </c>
      <c r="BG127" s="952">
        <v>12722449</v>
      </c>
      <c r="BH127" s="953">
        <v>104504.62535950801</v>
      </c>
      <c r="BI127" s="952">
        <v>1807659</v>
      </c>
      <c r="BJ127" s="952">
        <v>643820368</v>
      </c>
      <c r="BK127" s="953">
        <v>155835.32984312999</v>
      </c>
      <c r="BL127" s="952">
        <v>232418206</v>
      </c>
      <c r="BM127" s="952">
        <v>15990</v>
      </c>
      <c r="BN127" s="952">
        <v>17467583</v>
      </c>
      <c r="BO127" s="953">
        <v>73128.447266917006</v>
      </c>
      <c r="BP127" s="952">
        <v>23033242</v>
      </c>
      <c r="BQ127" s="952">
        <v>13438</v>
      </c>
      <c r="BR127" s="952">
        <v>118313</v>
      </c>
      <c r="BS127" s="1110"/>
    </row>
    <row r="128" spans="1:72" s="172" customFormat="1" ht="11.1" customHeight="1" x14ac:dyDescent="0.2">
      <c r="A128" s="1079" t="s">
        <v>2479</v>
      </c>
      <c r="B128" s="952" t="s">
        <v>552</v>
      </c>
      <c r="C128" s="952">
        <v>1496591</v>
      </c>
      <c r="D128" s="953">
        <v>181640.83394591801</v>
      </c>
      <c r="E128" s="952">
        <v>8645</v>
      </c>
      <c r="F128" s="953">
        <v>360.76737254300002</v>
      </c>
      <c r="G128" s="952">
        <f t="shared" ref="G128:H143" si="8">C128+E128</f>
        <v>1505236</v>
      </c>
      <c r="H128" s="953">
        <f t="shared" si="8"/>
        <v>182001.60131846101</v>
      </c>
      <c r="I128" s="952">
        <v>12477488</v>
      </c>
      <c r="J128" s="953">
        <v>74237.543900104007</v>
      </c>
      <c r="K128" s="952">
        <v>343828</v>
      </c>
      <c r="L128" s="953">
        <v>296.718040777</v>
      </c>
      <c r="M128" s="952">
        <v>10254</v>
      </c>
      <c r="N128" s="953">
        <v>18.270666421849999</v>
      </c>
      <c r="O128" s="952">
        <v>2239289</v>
      </c>
      <c r="P128" s="953">
        <v>1317.093646266</v>
      </c>
      <c r="Q128" s="952">
        <v>340137</v>
      </c>
      <c r="R128" s="953">
        <v>285.896885908</v>
      </c>
      <c r="S128" s="952">
        <v>994676</v>
      </c>
      <c r="T128" s="953">
        <v>630.87447012799998</v>
      </c>
      <c r="U128" s="952">
        <v>200996</v>
      </c>
      <c r="V128" s="953">
        <v>104.6705136082</v>
      </c>
      <c r="W128" s="952">
        <v>4129180</v>
      </c>
      <c r="X128" s="953">
        <v>2653.5242231090501</v>
      </c>
      <c r="Y128" s="953">
        <v>9966.9084084290007</v>
      </c>
      <c r="Z128" s="952">
        <v>32639342</v>
      </c>
      <c r="AA128" s="953">
        <v>35911.465715610997</v>
      </c>
      <c r="AB128" s="952">
        <v>26642</v>
      </c>
      <c r="AC128" s="953">
        <v>62.007923130999998</v>
      </c>
      <c r="AD128" s="952">
        <v>2462879</v>
      </c>
      <c r="AE128" s="953">
        <v>814.02869825300002</v>
      </c>
      <c r="AF128" s="952">
        <v>120342</v>
      </c>
      <c r="AG128" s="953">
        <v>96.149936234999998</v>
      </c>
      <c r="AH128" s="952">
        <v>2684045</v>
      </c>
      <c r="AI128" s="953">
        <v>531.77660360799996</v>
      </c>
      <c r="AJ128" s="952">
        <v>178320</v>
      </c>
      <c r="AK128" s="953">
        <v>61.670302204400002</v>
      </c>
      <c r="AL128" s="952">
        <v>38111570</v>
      </c>
      <c r="AM128" s="953">
        <v>37477.099179042401</v>
      </c>
      <c r="AN128" s="952">
        <v>495438</v>
      </c>
      <c r="AO128" s="953">
        <v>356.98111661199999</v>
      </c>
      <c r="AP128" s="952">
        <v>155966</v>
      </c>
      <c r="AQ128" s="953">
        <v>67.345449140599996</v>
      </c>
      <c r="AR128" s="952">
        <v>25775</v>
      </c>
      <c r="AS128" s="953">
        <v>43.210230449999997</v>
      </c>
      <c r="AT128" s="952">
        <v>177205</v>
      </c>
      <c r="AU128" s="953">
        <v>158.93305223999999</v>
      </c>
      <c r="AV128" s="952">
        <v>118193</v>
      </c>
      <c r="AW128" s="953">
        <v>81.962294189999994</v>
      </c>
      <c r="AX128" s="952">
        <v>321173</v>
      </c>
      <c r="AY128" s="953">
        <v>284.10557688</v>
      </c>
      <c r="AZ128" s="969">
        <v>43213327</v>
      </c>
      <c r="BA128" s="953">
        <v>40839.055544784002</v>
      </c>
      <c r="BB128" s="952">
        <v>2520446</v>
      </c>
      <c r="BC128" s="952">
        <v>37432352</v>
      </c>
      <c r="BD128" s="952">
        <v>6542072</v>
      </c>
      <c r="BE128" s="952">
        <f t="shared" si="6"/>
        <v>46494870</v>
      </c>
      <c r="BF128" s="952">
        <v>8823053</v>
      </c>
      <c r="BG128" s="952">
        <v>10550454</v>
      </c>
      <c r="BH128" s="953">
        <v>82725.303415966002</v>
      </c>
      <c r="BI128" s="952">
        <v>1819374</v>
      </c>
      <c r="BJ128" s="952">
        <v>533139621</v>
      </c>
      <c r="BK128" s="953">
        <v>122922.63718828501</v>
      </c>
      <c r="BL128" s="952">
        <v>233127856</v>
      </c>
      <c r="BM128" s="952">
        <v>16009</v>
      </c>
      <c r="BN128" s="952">
        <v>13002972</v>
      </c>
      <c r="BO128" s="953">
        <v>64775.231385403</v>
      </c>
      <c r="BP128" s="952">
        <v>23191503</v>
      </c>
      <c r="BQ128" s="952">
        <v>13212</v>
      </c>
      <c r="BR128" s="952">
        <v>119617</v>
      </c>
      <c r="BS128" s="1110"/>
    </row>
    <row r="129" spans="1:71" s="172" customFormat="1" ht="11.1" customHeight="1" x14ac:dyDescent="0.2">
      <c r="A129" s="1079" t="s">
        <v>2479</v>
      </c>
      <c r="B129" s="950" t="s">
        <v>553</v>
      </c>
      <c r="C129" s="950">
        <v>1486429</v>
      </c>
      <c r="D129" s="951">
        <v>148522.340252013</v>
      </c>
      <c r="E129" s="950">
        <v>8427</v>
      </c>
      <c r="F129" s="951">
        <v>437.52882163599998</v>
      </c>
      <c r="G129" s="976">
        <f t="shared" si="8"/>
        <v>1494856</v>
      </c>
      <c r="H129" s="951">
        <f t="shared" si="8"/>
        <v>148959.869073649</v>
      </c>
      <c r="I129" s="976">
        <v>12512982</v>
      </c>
      <c r="J129" s="951">
        <v>67523.365363285004</v>
      </c>
      <c r="K129" s="950">
        <v>288939</v>
      </c>
      <c r="L129" s="951">
        <v>252.61503808500001</v>
      </c>
      <c r="M129" s="950">
        <v>8989</v>
      </c>
      <c r="N129" s="951">
        <v>18.875976779999998</v>
      </c>
      <c r="O129" s="950">
        <v>2368317</v>
      </c>
      <c r="P129" s="951">
        <v>1306.5125626849999</v>
      </c>
      <c r="Q129" s="950">
        <v>265623</v>
      </c>
      <c r="R129" s="951">
        <v>194.89702886699999</v>
      </c>
      <c r="S129" s="950">
        <v>1134845</v>
      </c>
      <c r="T129" s="951">
        <v>685.20949177399996</v>
      </c>
      <c r="U129" s="950">
        <v>194933</v>
      </c>
      <c r="V129" s="951">
        <v>98.039011521000006</v>
      </c>
      <c r="W129" s="950">
        <v>4261646</v>
      </c>
      <c r="X129" s="951">
        <v>2556.1491097120002</v>
      </c>
      <c r="Y129" s="951">
        <v>9956.8133674849996</v>
      </c>
      <c r="Z129" s="950">
        <v>27364490</v>
      </c>
      <c r="AA129" s="951">
        <v>29197.782540921002</v>
      </c>
      <c r="AB129" s="950">
        <v>21044</v>
      </c>
      <c r="AC129" s="951">
        <v>63.311351412999997</v>
      </c>
      <c r="AD129" s="950">
        <v>2733083</v>
      </c>
      <c r="AE129" s="951">
        <v>914.81596145799995</v>
      </c>
      <c r="AF129" s="950">
        <v>104949</v>
      </c>
      <c r="AG129" s="951">
        <v>70.554194229000004</v>
      </c>
      <c r="AH129" s="950">
        <v>3484856</v>
      </c>
      <c r="AI129" s="951">
        <v>706.95421517099999</v>
      </c>
      <c r="AJ129" s="950">
        <v>190729</v>
      </c>
      <c r="AK129" s="951">
        <v>73.817159567000004</v>
      </c>
      <c r="AL129" s="950">
        <v>33899151</v>
      </c>
      <c r="AM129" s="951">
        <v>31027.235422759</v>
      </c>
      <c r="AN129" s="950">
        <v>476213</v>
      </c>
      <c r="AO129" s="951">
        <v>335.76115415700002</v>
      </c>
      <c r="AP129" s="950">
        <v>137252</v>
      </c>
      <c r="AQ129" s="951">
        <v>61.741690036000001</v>
      </c>
      <c r="AR129" s="950">
        <v>22080</v>
      </c>
      <c r="AS129" s="951">
        <v>35.637000919999998</v>
      </c>
      <c r="AT129" s="950">
        <v>64376</v>
      </c>
      <c r="AU129" s="951">
        <v>54.877846388000002</v>
      </c>
      <c r="AV129" s="950">
        <v>154847</v>
      </c>
      <c r="AW129" s="951">
        <v>93.956496884000003</v>
      </c>
      <c r="AX129" s="950">
        <v>241303</v>
      </c>
      <c r="AY129" s="951">
        <v>184.471344192</v>
      </c>
      <c r="AZ129" s="976">
        <v>39015565</v>
      </c>
      <c r="BA129" s="951">
        <v>34165.358720855998</v>
      </c>
      <c r="BB129" s="950">
        <v>2525821</v>
      </c>
      <c r="BC129" s="950">
        <v>37776211</v>
      </c>
      <c r="BD129" s="950">
        <v>6942797</v>
      </c>
      <c r="BE129" s="950">
        <f t="shared" si="6"/>
        <v>47244829</v>
      </c>
      <c r="BF129" s="950">
        <v>9047248</v>
      </c>
      <c r="BG129" s="950">
        <v>12002747</v>
      </c>
      <c r="BH129" s="951">
        <v>75938.974080022002</v>
      </c>
      <c r="BI129" s="950">
        <v>1833656</v>
      </c>
      <c r="BJ129" s="950">
        <v>577229136</v>
      </c>
      <c r="BK129" s="951">
        <v>137920.37199149199</v>
      </c>
      <c r="BL129" s="950">
        <v>231570347</v>
      </c>
      <c r="BM129" s="950">
        <v>15994</v>
      </c>
      <c r="BN129" s="950">
        <v>10758151</v>
      </c>
      <c r="BO129" s="951">
        <v>52679.093178386</v>
      </c>
      <c r="BP129" s="950">
        <v>23311566</v>
      </c>
      <c r="BQ129" s="950">
        <v>13015</v>
      </c>
      <c r="BR129" s="950">
        <v>120167</v>
      </c>
      <c r="BS129" s="1110"/>
    </row>
    <row r="130" spans="1:71" s="172" customFormat="1" ht="11.1" customHeight="1" x14ac:dyDescent="0.2">
      <c r="A130" s="1079" t="s">
        <v>2479</v>
      </c>
      <c r="B130" s="952" t="s">
        <v>547</v>
      </c>
      <c r="C130" s="952">
        <v>1551621</v>
      </c>
      <c r="D130" s="953">
        <v>147526.38426000101</v>
      </c>
      <c r="E130" s="952">
        <v>8961</v>
      </c>
      <c r="F130" s="953">
        <v>469.589531798</v>
      </c>
      <c r="G130" s="952">
        <f t="shared" si="8"/>
        <v>1560582</v>
      </c>
      <c r="H130" s="953">
        <f t="shared" si="8"/>
        <v>147995.97379179901</v>
      </c>
      <c r="I130" s="969">
        <v>14336064</v>
      </c>
      <c r="J130" s="953">
        <v>73493.261028526002</v>
      </c>
      <c r="K130" s="952">
        <v>353519</v>
      </c>
      <c r="L130" s="953">
        <v>297.36977080899999</v>
      </c>
      <c r="M130" s="952">
        <v>9470</v>
      </c>
      <c r="N130" s="953">
        <v>18.321098142499999</v>
      </c>
      <c r="O130" s="952">
        <v>2804621</v>
      </c>
      <c r="P130" s="953">
        <v>1505.597446856</v>
      </c>
      <c r="Q130" s="952">
        <v>312557</v>
      </c>
      <c r="R130" s="953">
        <v>189.40766879</v>
      </c>
      <c r="S130" s="952">
        <v>1299439</v>
      </c>
      <c r="T130" s="953">
        <v>784.53123326299999</v>
      </c>
      <c r="U130" s="952">
        <v>248392</v>
      </c>
      <c r="V130" s="953">
        <v>122.808155525</v>
      </c>
      <c r="W130" s="952">
        <v>5027998</v>
      </c>
      <c r="X130" s="953">
        <v>2918.4684714744999</v>
      </c>
      <c r="Y130" s="953">
        <v>10709.386867097001</v>
      </c>
      <c r="Z130" s="952">
        <v>32595426</v>
      </c>
      <c r="AA130" s="953">
        <v>32690.005881181001</v>
      </c>
      <c r="AB130" s="952">
        <v>29344</v>
      </c>
      <c r="AC130" s="953">
        <v>61.076697926000001</v>
      </c>
      <c r="AD130" s="952">
        <v>3173853</v>
      </c>
      <c r="AE130" s="953">
        <v>1070.6483947249999</v>
      </c>
      <c r="AF130" s="952">
        <v>128149</v>
      </c>
      <c r="AG130" s="953">
        <v>81.486303666500007</v>
      </c>
      <c r="AH130" s="952">
        <v>3478150</v>
      </c>
      <c r="AI130" s="953">
        <v>718.36662600700004</v>
      </c>
      <c r="AJ130" s="952">
        <v>281738</v>
      </c>
      <c r="AK130" s="953">
        <v>85.276200035000002</v>
      </c>
      <c r="AL130" s="952">
        <v>39686660</v>
      </c>
      <c r="AM130" s="953">
        <v>34706.860103540501</v>
      </c>
      <c r="AN130" s="952">
        <v>518722</v>
      </c>
      <c r="AO130" s="953">
        <v>342.65999271999999</v>
      </c>
      <c r="AP130" s="952">
        <v>185123</v>
      </c>
      <c r="AQ130" s="953">
        <v>66.323501071500004</v>
      </c>
      <c r="AR130" s="952">
        <v>31058</v>
      </c>
      <c r="AS130" s="953">
        <v>46.863590000000002</v>
      </c>
      <c r="AT130" s="952">
        <v>87157</v>
      </c>
      <c r="AU130" s="953">
        <v>81.209945954999995</v>
      </c>
      <c r="AV130" s="952">
        <v>172952</v>
      </c>
      <c r="AW130" s="953">
        <v>107.779630896</v>
      </c>
      <c r="AX130" s="952">
        <v>291167</v>
      </c>
      <c r="AY130" s="953">
        <v>235.853166851</v>
      </c>
      <c r="AZ130" s="969">
        <v>45709670</v>
      </c>
      <c r="BA130" s="953">
        <v>38270.1652356575</v>
      </c>
      <c r="BB130" s="952">
        <v>2544774</v>
      </c>
      <c r="BC130" s="952">
        <v>38166451</v>
      </c>
      <c r="BD130" s="952">
        <v>7111370</v>
      </c>
      <c r="BE130" s="952">
        <f t="shared" si="6"/>
        <v>47822595</v>
      </c>
      <c r="BF130" s="952">
        <v>9266069</v>
      </c>
      <c r="BG130" s="952">
        <v>12974939</v>
      </c>
      <c r="BH130" s="953">
        <v>80977.240571748</v>
      </c>
      <c r="BI130" s="952">
        <v>1856233</v>
      </c>
      <c r="BJ130" s="952">
        <v>591646271</v>
      </c>
      <c r="BK130" s="953">
        <v>145067.646495953</v>
      </c>
      <c r="BL130" s="952">
        <v>233773523</v>
      </c>
      <c r="BM130" s="952">
        <v>15992</v>
      </c>
      <c r="BN130" s="952">
        <v>14441273</v>
      </c>
      <c r="BO130" s="953">
        <v>66964.149780891006</v>
      </c>
      <c r="BP130" s="952">
        <v>23487740</v>
      </c>
      <c r="BQ130" s="952">
        <v>13016</v>
      </c>
      <c r="BR130" s="952">
        <v>120375</v>
      </c>
      <c r="BS130" s="1110"/>
    </row>
    <row r="131" spans="1:71" s="172" customFormat="1" ht="11.1" customHeight="1" x14ac:dyDescent="0.2">
      <c r="A131" s="1079" t="s">
        <v>2479</v>
      </c>
      <c r="B131" s="950" t="s">
        <v>554</v>
      </c>
      <c r="C131" s="950">
        <v>1784216</v>
      </c>
      <c r="D131" s="951">
        <v>167222.623535305</v>
      </c>
      <c r="E131" s="950">
        <v>9499</v>
      </c>
      <c r="F131" s="951">
        <v>513.09347571700005</v>
      </c>
      <c r="G131" s="950">
        <f t="shared" si="8"/>
        <v>1793715</v>
      </c>
      <c r="H131" s="951">
        <f t="shared" si="8"/>
        <v>167735.717011022</v>
      </c>
      <c r="I131" s="976">
        <v>22108236</v>
      </c>
      <c r="J131" s="951">
        <v>74015.069871240994</v>
      </c>
      <c r="K131" s="950">
        <v>365388</v>
      </c>
      <c r="L131" s="951">
        <v>311.89071071299998</v>
      </c>
      <c r="M131" s="950">
        <v>10663</v>
      </c>
      <c r="N131" s="951">
        <v>20.8323246478</v>
      </c>
      <c r="O131" s="950">
        <v>2933500</v>
      </c>
      <c r="P131" s="951">
        <v>1615.42211681</v>
      </c>
      <c r="Q131" s="950">
        <v>344573</v>
      </c>
      <c r="R131" s="951">
        <v>269.97448478450002</v>
      </c>
      <c r="S131" s="950">
        <v>1362803</v>
      </c>
      <c r="T131" s="951">
        <v>844.706614016</v>
      </c>
      <c r="U131" s="950">
        <v>265232</v>
      </c>
      <c r="V131" s="951">
        <v>129.39512157690001</v>
      </c>
      <c r="W131" s="950">
        <v>5282159</v>
      </c>
      <c r="X131" s="951">
        <v>3192.2213725482002</v>
      </c>
      <c r="Y131" s="951">
        <v>10901.879098275</v>
      </c>
      <c r="Z131" s="950">
        <v>35281518</v>
      </c>
      <c r="AA131" s="951">
        <v>35169.744486331001</v>
      </c>
      <c r="AB131" s="950">
        <v>27335</v>
      </c>
      <c r="AC131" s="951">
        <v>65.282027241600005</v>
      </c>
      <c r="AD131" s="950">
        <v>3231858</v>
      </c>
      <c r="AE131" s="951">
        <v>1082.549725696</v>
      </c>
      <c r="AF131" s="950">
        <v>138384</v>
      </c>
      <c r="AG131" s="951">
        <v>88.703496205999997</v>
      </c>
      <c r="AH131" s="950">
        <v>3568882</v>
      </c>
      <c r="AI131" s="951">
        <v>741.05904766000003</v>
      </c>
      <c r="AJ131" s="950">
        <v>299906</v>
      </c>
      <c r="AK131" s="951">
        <v>85.304881245999994</v>
      </c>
      <c r="AL131" s="950">
        <v>42547883</v>
      </c>
      <c r="AM131" s="951">
        <v>37232.643664380601</v>
      </c>
      <c r="AN131" s="950">
        <v>543488</v>
      </c>
      <c r="AO131" s="951">
        <v>369.67059490299999</v>
      </c>
      <c r="AP131" s="950">
        <v>184600</v>
      </c>
      <c r="AQ131" s="951">
        <v>67.568553334599997</v>
      </c>
      <c r="AR131" s="950">
        <v>36189</v>
      </c>
      <c r="AS131" s="951">
        <v>55.57441</v>
      </c>
      <c r="AT131" s="950">
        <v>94211</v>
      </c>
      <c r="AU131" s="951">
        <v>93.177525509999995</v>
      </c>
      <c r="AV131" s="950">
        <v>191805</v>
      </c>
      <c r="AW131" s="951">
        <v>123.993465181</v>
      </c>
      <c r="AX131" s="950">
        <v>322205</v>
      </c>
      <c r="AY131" s="951">
        <v>272.74540069099999</v>
      </c>
      <c r="AZ131" s="976">
        <v>48880335</v>
      </c>
      <c r="BA131" s="951">
        <v>41134.849585857402</v>
      </c>
      <c r="BB131" s="950">
        <v>2571521</v>
      </c>
      <c r="BC131" s="950">
        <v>38496738</v>
      </c>
      <c r="BD131" s="950">
        <v>7164627</v>
      </c>
      <c r="BE131" s="950">
        <f t="shared" si="6"/>
        <v>48232886</v>
      </c>
      <c r="BF131" s="950">
        <v>9516602</v>
      </c>
      <c r="BG131" s="950">
        <v>14315964</v>
      </c>
      <c r="BH131" s="951">
        <v>87971.820423255005</v>
      </c>
      <c r="BI131" s="950">
        <v>1876837</v>
      </c>
      <c r="BJ131" s="950">
        <v>643725445</v>
      </c>
      <c r="BK131" s="951">
        <v>154857.31946673701</v>
      </c>
      <c r="BL131" s="950">
        <v>235704713</v>
      </c>
      <c r="BM131" s="950">
        <v>15963</v>
      </c>
      <c r="BN131" s="950">
        <v>13676303</v>
      </c>
      <c r="BO131" s="951">
        <v>65646.808581375997</v>
      </c>
      <c r="BP131" s="950">
        <v>23697723</v>
      </c>
      <c r="BQ131" s="950">
        <v>13021</v>
      </c>
      <c r="BR131" s="950">
        <v>121134</v>
      </c>
      <c r="BS131" s="1110"/>
    </row>
    <row r="132" spans="1:71" s="172" customFormat="1" ht="11.1" customHeight="1" x14ac:dyDescent="0.2">
      <c r="A132" s="1079" t="s">
        <v>2479</v>
      </c>
      <c r="B132" s="952" t="s">
        <v>555</v>
      </c>
      <c r="C132" s="952">
        <v>1551916</v>
      </c>
      <c r="D132" s="953">
        <v>146584.75882705199</v>
      </c>
      <c r="E132" s="952">
        <v>7981</v>
      </c>
      <c r="F132" s="953">
        <v>407.42057054999998</v>
      </c>
      <c r="G132" s="952">
        <f t="shared" si="8"/>
        <v>1559897</v>
      </c>
      <c r="H132" s="953">
        <f t="shared" si="8"/>
        <v>146992.17939760198</v>
      </c>
      <c r="I132" s="969">
        <v>20804427</v>
      </c>
      <c r="J132" s="953">
        <v>66482.159511631005</v>
      </c>
      <c r="K132" s="952">
        <v>379828</v>
      </c>
      <c r="L132" s="953">
        <v>315.295314469</v>
      </c>
      <c r="M132" s="952">
        <v>9344</v>
      </c>
      <c r="N132" s="953">
        <v>17.515681415</v>
      </c>
      <c r="O132" s="952">
        <v>2892894</v>
      </c>
      <c r="P132" s="953">
        <v>1544.9606310700001</v>
      </c>
      <c r="Q132" s="952">
        <v>298384</v>
      </c>
      <c r="R132" s="953">
        <v>221.96398890200001</v>
      </c>
      <c r="S132" s="952">
        <v>1380825</v>
      </c>
      <c r="T132" s="953">
        <v>872.46414211000001</v>
      </c>
      <c r="U132" s="952">
        <v>258542</v>
      </c>
      <c r="V132" s="953">
        <v>127.416812642</v>
      </c>
      <c r="W132" s="952">
        <v>5219817</v>
      </c>
      <c r="X132" s="953">
        <v>3099.6165706080001</v>
      </c>
      <c r="Y132" s="953">
        <v>11042.344115533</v>
      </c>
      <c r="Z132" s="952">
        <v>34930174</v>
      </c>
      <c r="AA132" s="953">
        <v>34604.735000015004</v>
      </c>
      <c r="AB132" s="952">
        <v>25248</v>
      </c>
      <c r="AC132" s="953">
        <v>64.046994241999997</v>
      </c>
      <c r="AD132" s="952">
        <v>3116923</v>
      </c>
      <c r="AE132" s="953">
        <v>1039.926718381</v>
      </c>
      <c r="AF132" s="952">
        <v>124943</v>
      </c>
      <c r="AG132" s="953">
        <v>79.676479121</v>
      </c>
      <c r="AH132" s="952">
        <v>3465419</v>
      </c>
      <c r="AI132" s="953">
        <v>677.84959575699997</v>
      </c>
      <c r="AJ132" s="952">
        <v>312149</v>
      </c>
      <c r="AK132" s="953">
        <v>99.970536215999999</v>
      </c>
      <c r="AL132" s="952">
        <v>41974856</v>
      </c>
      <c r="AM132" s="953">
        <v>36566.205323732</v>
      </c>
      <c r="AN132" s="952">
        <v>534219</v>
      </c>
      <c r="AO132" s="953">
        <v>366.412324055</v>
      </c>
      <c r="AP132" s="952">
        <v>170201</v>
      </c>
      <c r="AQ132" s="953">
        <v>61.746814849000003</v>
      </c>
      <c r="AR132" s="952">
        <v>39619</v>
      </c>
      <c r="AS132" s="953">
        <v>60.472973000000003</v>
      </c>
      <c r="AT132" s="952">
        <v>113307</v>
      </c>
      <c r="AU132" s="953">
        <v>131.125285424</v>
      </c>
      <c r="AV132" s="952">
        <v>189197</v>
      </c>
      <c r="AW132" s="953">
        <v>121.69662990099999</v>
      </c>
      <c r="AX132" s="952">
        <v>342123</v>
      </c>
      <c r="AY132" s="953">
        <v>313.29488832499999</v>
      </c>
      <c r="AZ132" s="969">
        <v>48241216</v>
      </c>
      <c r="BA132" s="953">
        <v>40407.275921569002</v>
      </c>
      <c r="BB132" s="952">
        <v>2612063</v>
      </c>
      <c r="BC132" s="952">
        <v>39193282</v>
      </c>
      <c r="BD132" s="952">
        <v>7365236</v>
      </c>
      <c r="BE132" s="952">
        <f t="shared" si="6"/>
        <v>49170581</v>
      </c>
      <c r="BF132" s="952">
        <v>9568932</v>
      </c>
      <c r="BG132" s="952">
        <v>13939858</v>
      </c>
      <c r="BH132" s="953">
        <v>88569.994198739005</v>
      </c>
      <c r="BI132" s="952">
        <v>1896636</v>
      </c>
      <c r="BJ132" s="952">
        <v>652101737</v>
      </c>
      <c r="BK132" s="953">
        <v>156787.74285406599</v>
      </c>
      <c r="BL132" s="952">
        <v>237312515</v>
      </c>
      <c r="BM132" s="952">
        <v>15957</v>
      </c>
      <c r="BN132" s="952">
        <v>16028632</v>
      </c>
      <c r="BO132" s="953">
        <v>67031.555693931004</v>
      </c>
      <c r="BP132" s="952">
        <v>23885686</v>
      </c>
      <c r="BQ132" s="952">
        <v>13003</v>
      </c>
      <c r="BR132" s="952">
        <v>123251</v>
      </c>
      <c r="BS132" s="1110"/>
    </row>
    <row r="133" spans="1:71" s="172" customFormat="1" ht="11.1" customHeight="1" x14ac:dyDescent="0.2">
      <c r="A133" s="1079" t="s">
        <v>2479</v>
      </c>
      <c r="B133" s="950" t="s">
        <v>548</v>
      </c>
      <c r="C133" s="950">
        <v>1700018</v>
      </c>
      <c r="D133" s="951">
        <v>169361.615527683</v>
      </c>
      <c r="E133" s="950">
        <v>7909</v>
      </c>
      <c r="F133" s="951">
        <v>400.06020109999997</v>
      </c>
      <c r="G133" s="976">
        <f t="shared" si="8"/>
        <v>1707927</v>
      </c>
      <c r="H133" s="951">
        <f t="shared" si="8"/>
        <v>169761.67572878298</v>
      </c>
      <c r="I133" s="976">
        <v>17450117</v>
      </c>
      <c r="J133" s="951">
        <v>75175.774627047998</v>
      </c>
      <c r="K133" s="950">
        <v>411774</v>
      </c>
      <c r="L133" s="951">
        <v>352.25078053599998</v>
      </c>
      <c r="M133" s="950">
        <v>9881</v>
      </c>
      <c r="N133" s="951">
        <v>19.664529341000001</v>
      </c>
      <c r="O133" s="950">
        <v>3123897</v>
      </c>
      <c r="P133" s="951">
        <v>1726.461457609</v>
      </c>
      <c r="Q133" s="950">
        <v>309769</v>
      </c>
      <c r="R133" s="951">
        <v>247.21729769199999</v>
      </c>
      <c r="S133" s="950">
        <v>1509374</v>
      </c>
      <c r="T133" s="951">
        <v>1040.3283317119999</v>
      </c>
      <c r="U133" s="950">
        <v>273311</v>
      </c>
      <c r="V133" s="951">
        <v>146.17928572</v>
      </c>
      <c r="W133" s="950">
        <v>5638006</v>
      </c>
      <c r="X133" s="951">
        <v>3532.1016826099999</v>
      </c>
      <c r="Y133" s="951">
        <v>11388.681704131001</v>
      </c>
      <c r="Z133" s="950">
        <v>37291400</v>
      </c>
      <c r="AA133" s="951">
        <v>38422.895182146</v>
      </c>
      <c r="AB133" s="950">
        <v>30720</v>
      </c>
      <c r="AC133" s="951">
        <v>85.467642897000005</v>
      </c>
      <c r="AD133" s="950">
        <v>3377097</v>
      </c>
      <c r="AE133" s="951">
        <v>1173.559112182</v>
      </c>
      <c r="AF133" s="950">
        <v>131380</v>
      </c>
      <c r="AG133" s="951">
        <v>88.950890060999996</v>
      </c>
      <c r="AH133" s="950">
        <v>3598063</v>
      </c>
      <c r="AI133" s="951">
        <v>760.50684917399997</v>
      </c>
      <c r="AJ133" s="950">
        <v>413883</v>
      </c>
      <c r="AK133" s="951">
        <v>171.42786662899999</v>
      </c>
      <c r="AL133" s="950">
        <v>44842543</v>
      </c>
      <c r="AM133" s="951">
        <v>40702.807543089002</v>
      </c>
      <c r="AN133" s="950">
        <v>562651</v>
      </c>
      <c r="AO133" s="951">
        <v>380.560338785</v>
      </c>
      <c r="AP133" s="950">
        <v>183321</v>
      </c>
      <c r="AQ133" s="951">
        <v>75.803964808000003</v>
      </c>
      <c r="AR133" s="950">
        <v>42390</v>
      </c>
      <c r="AS133" s="951">
        <v>66.645790000000005</v>
      </c>
      <c r="AT133" s="950">
        <v>149108</v>
      </c>
      <c r="AU133" s="951">
        <v>149.91616861700001</v>
      </c>
      <c r="AV133" s="950">
        <v>214433</v>
      </c>
      <c r="AW133" s="951">
        <v>147.86639612100001</v>
      </c>
      <c r="AX133" s="950">
        <v>405931</v>
      </c>
      <c r="AY133" s="951">
        <v>364.428354738</v>
      </c>
      <c r="AZ133" s="976">
        <v>51632452</v>
      </c>
      <c r="BA133" s="951">
        <v>45055.701884030001</v>
      </c>
      <c r="BB133" s="950">
        <v>2674512</v>
      </c>
      <c r="BC133" s="950">
        <v>39574049</v>
      </c>
      <c r="BD133" s="950">
        <v>7544985</v>
      </c>
      <c r="BE133" s="950">
        <f t="shared" si="6"/>
        <v>49793546</v>
      </c>
      <c r="BF133" s="950">
        <v>10032957</v>
      </c>
      <c r="BG133" s="950">
        <v>15570815</v>
      </c>
      <c r="BH133" s="951">
        <v>98917.722013167004</v>
      </c>
      <c r="BI133" s="950">
        <v>1828870</v>
      </c>
      <c r="BJ133" s="950">
        <v>670050218</v>
      </c>
      <c r="BK133" s="951">
        <v>164739.359350796</v>
      </c>
      <c r="BL133" s="950">
        <v>238676153</v>
      </c>
      <c r="BM133" s="950">
        <v>16019</v>
      </c>
      <c r="BN133" s="950">
        <v>14406492</v>
      </c>
      <c r="BO133" s="951">
        <v>75876.757687566002</v>
      </c>
      <c r="BP133" s="950">
        <v>24077039</v>
      </c>
      <c r="BQ133" s="950">
        <v>12859</v>
      </c>
      <c r="BR133" s="950">
        <v>125641</v>
      </c>
      <c r="BS133" s="1110"/>
    </row>
    <row r="134" spans="1:71" s="172" customFormat="1" ht="11.1" customHeight="1" x14ac:dyDescent="0.2">
      <c r="A134" s="1079" t="s">
        <v>2479</v>
      </c>
      <c r="B134" s="952" t="s">
        <v>556</v>
      </c>
      <c r="C134" s="952">
        <v>1782308</v>
      </c>
      <c r="D134" s="953">
        <v>175781.73256490199</v>
      </c>
      <c r="E134" s="952">
        <v>8010</v>
      </c>
      <c r="F134" s="953">
        <v>540.86600092599997</v>
      </c>
      <c r="G134" s="952">
        <f t="shared" si="8"/>
        <v>1790318</v>
      </c>
      <c r="H134" s="953">
        <f t="shared" si="8"/>
        <v>176322.598565828</v>
      </c>
      <c r="I134" s="969">
        <v>29839489</v>
      </c>
      <c r="J134" s="953">
        <v>77394.584595598004</v>
      </c>
      <c r="K134" s="952">
        <v>414212</v>
      </c>
      <c r="L134" s="953">
        <v>339.66773769999998</v>
      </c>
      <c r="M134" s="952">
        <v>8623</v>
      </c>
      <c r="N134" s="953">
        <v>18.341230639999999</v>
      </c>
      <c r="O134" s="952">
        <v>2972314</v>
      </c>
      <c r="P134" s="953">
        <v>1684.496177</v>
      </c>
      <c r="Q134" s="952">
        <v>276218</v>
      </c>
      <c r="R134" s="953">
        <v>208.3357785</v>
      </c>
      <c r="S134" s="952">
        <v>1482469</v>
      </c>
      <c r="T134" s="953">
        <v>1021.723892</v>
      </c>
      <c r="U134" s="952">
        <v>257348</v>
      </c>
      <c r="V134" s="953">
        <v>124.2730601</v>
      </c>
      <c r="W134" s="952">
        <v>5411184</v>
      </c>
      <c r="X134" s="953">
        <v>3396.8378760000001</v>
      </c>
      <c r="Y134" s="953">
        <v>11488.19743</v>
      </c>
      <c r="Z134" s="952">
        <v>34981152</v>
      </c>
      <c r="AA134" s="953">
        <v>37119.134639999997</v>
      </c>
      <c r="AB134" s="952">
        <v>20287</v>
      </c>
      <c r="AC134" s="953">
        <v>52.868198030000002</v>
      </c>
      <c r="AD134" s="952">
        <v>3163300</v>
      </c>
      <c r="AE134" s="953">
        <v>1108.9625860000001</v>
      </c>
      <c r="AF134" s="952">
        <v>116131</v>
      </c>
      <c r="AG134" s="953">
        <v>82.873753440000002</v>
      </c>
      <c r="AH134" s="952">
        <v>3814078</v>
      </c>
      <c r="AI134" s="953">
        <v>818.41131110000003</v>
      </c>
      <c r="AJ134" s="952">
        <v>363091</v>
      </c>
      <c r="AK134" s="953">
        <v>135.37291160000001</v>
      </c>
      <c r="AL134" s="952">
        <v>42458039</v>
      </c>
      <c r="AM134" s="953">
        <v>39317.623399999997</v>
      </c>
      <c r="AN134" s="952">
        <v>585157</v>
      </c>
      <c r="AO134" s="953">
        <v>423.47096929999998</v>
      </c>
      <c r="AP134" s="952">
        <v>176184</v>
      </c>
      <c r="AQ134" s="953">
        <v>59.055934530000002</v>
      </c>
      <c r="AR134" s="952">
        <v>46897</v>
      </c>
      <c r="AS134" s="953">
        <v>75.572730000000007</v>
      </c>
      <c r="AT134" s="952">
        <v>166339</v>
      </c>
      <c r="AU134" s="953">
        <v>164.5601408</v>
      </c>
      <c r="AV134" s="952">
        <v>218790</v>
      </c>
      <c r="AW134" s="953">
        <v>157.06514079999999</v>
      </c>
      <c r="AX134" s="952">
        <v>432026</v>
      </c>
      <c r="AY134" s="953">
        <v>397.19801159999997</v>
      </c>
      <c r="AZ134" s="969">
        <v>49062590</v>
      </c>
      <c r="BA134" s="953">
        <v>43594.186199999996</v>
      </c>
      <c r="BB134" s="952">
        <v>2706098</v>
      </c>
      <c r="BC134" s="952">
        <v>40093882</v>
      </c>
      <c r="BD134" s="952">
        <v>7547244</v>
      </c>
      <c r="BE134" s="952">
        <f t="shared" si="6"/>
        <v>50347224</v>
      </c>
      <c r="BF134" s="952">
        <v>10297103</v>
      </c>
      <c r="BG134" s="952">
        <v>17168234</v>
      </c>
      <c r="BH134" s="953">
        <v>104749.557414544</v>
      </c>
      <c r="BI134" s="952">
        <v>1841979</v>
      </c>
      <c r="BJ134" s="952">
        <v>721866474</v>
      </c>
      <c r="BK134" s="953">
        <v>171664.11689614801</v>
      </c>
      <c r="BL134" s="952">
        <v>239302991</v>
      </c>
      <c r="BM134" s="952">
        <v>15912</v>
      </c>
      <c r="BN134" s="952">
        <v>16257689</v>
      </c>
      <c r="BO134" s="953">
        <v>66265.454218568004</v>
      </c>
      <c r="BP134" s="952">
        <v>24277971</v>
      </c>
      <c r="BQ134" s="952">
        <v>12946</v>
      </c>
      <c r="BR134" s="952">
        <v>125569</v>
      </c>
      <c r="BS134" s="1110"/>
    </row>
    <row r="135" spans="1:71" s="172" customFormat="1" ht="11.1" customHeight="1" x14ac:dyDescent="0.2">
      <c r="A135" s="1079" t="s">
        <v>2479</v>
      </c>
      <c r="B135" s="950" t="s">
        <v>557</v>
      </c>
      <c r="C135" s="950">
        <v>1607362</v>
      </c>
      <c r="D135" s="951">
        <v>152970.590845233</v>
      </c>
      <c r="E135" s="950">
        <v>7956</v>
      </c>
      <c r="F135" s="951">
        <v>488.61617434999999</v>
      </c>
      <c r="G135" s="950">
        <f t="shared" si="8"/>
        <v>1615318</v>
      </c>
      <c r="H135" s="951">
        <f t="shared" si="8"/>
        <v>153459.207019583</v>
      </c>
      <c r="I135" s="976">
        <v>24269787</v>
      </c>
      <c r="J135" s="951">
        <v>72238.931316867995</v>
      </c>
      <c r="K135" s="950">
        <v>358660</v>
      </c>
      <c r="L135" s="951">
        <v>306.75011166399997</v>
      </c>
      <c r="M135" s="950">
        <v>7699</v>
      </c>
      <c r="N135" s="951">
        <v>15.575237184000001</v>
      </c>
      <c r="O135" s="950">
        <v>2794769</v>
      </c>
      <c r="P135" s="951">
        <v>1568.715638051</v>
      </c>
      <c r="Q135" s="950">
        <v>260381</v>
      </c>
      <c r="R135" s="951">
        <v>206.138310628</v>
      </c>
      <c r="S135" s="950">
        <v>1346407</v>
      </c>
      <c r="T135" s="951">
        <v>905.72765960599997</v>
      </c>
      <c r="U135" s="950">
        <v>241623</v>
      </c>
      <c r="V135" s="951">
        <v>114.2011336275</v>
      </c>
      <c r="W135" s="950">
        <v>5009539</v>
      </c>
      <c r="X135" s="951">
        <v>3117.1080907605001</v>
      </c>
      <c r="Y135" s="951">
        <v>11022.309787718999</v>
      </c>
      <c r="Z135" s="950">
        <v>36130110</v>
      </c>
      <c r="AA135" s="951">
        <v>38794.239598756998</v>
      </c>
      <c r="AB135" s="950">
        <v>16350</v>
      </c>
      <c r="AC135" s="951">
        <v>38.064032615999999</v>
      </c>
      <c r="AD135" s="950">
        <v>3116695</v>
      </c>
      <c r="AE135" s="951">
        <v>1097.6653042089999</v>
      </c>
      <c r="AF135" s="950">
        <v>102669</v>
      </c>
      <c r="AG135" s="951">
        <v>71.050870553500005</v>
      </c>
      <c r="AH135" s="950">
        <v>3553563</v>
      </c>
      <c r="AI135" s="951">
        <v>709.04006068900003</v>
      </c>
      <c r="AJ135" s="950">
        <v>319197</v>
      </c>
      <c r="AK135" s="951">
        <v>102.64008423849999</v>
      </c>
      <c r="AL135" s="950">
        <v>43238584</v>
      </c>
      <c r="AM135" s="951">
        <v>40812.699951062998</v>
      </c>
      <c r="AN135" s="950">
        <v>541629</v>
      </c>
      <c r="AO135" s="951">
        <v>385.60754300899998</v>
      </c>
      <c r="AP135" s="950">
        <v>159180</v>
      </c>
      <c r="AQ135" s="951">
        <v>56.721950145500003</v>
      </c>
      <c r="AR135" s="950">
        <v>44482</v>
      </c>
      <c r="AS135" s="951">
        <v>71.537580000000005</v>
      </c>
      <c r="AT135" s="950">
        <v>139513</v>
      </c>
      <c r="AU135" s="951">
        <v>142.87158448599999</v>
      </c>
      <c r="AV135" s="950">
        <v>219959</v>
      </c>
      <c r="AW135" s="951">
        <v>158.91692510799999</v>
      </c>
      <c r="AX135" s="950">
        <v>403954</v>
      </c>
      <c r="AY135" s="951">
        <v>373.326089594</v>
      </c>
      <c r="AZ135" s="976">
        <v>49352886</v>
      </c>
      <c r="BA135" s="951">
        <v>44745.463624572003</v>
      </c>
      <c r="BB135" s="950">
        <v>2653977</v>
      </c>
      <c r="BC135" s="950">
        <v>40346611</v>
      </c>
      <c r="BD135" s="950">
        <v>7562366</v>
      </c>
      <c r="BE135" s="950">
        <f t="shared" si="6"/>
        <v>50562954</v>
      </c>
      <c r="BF135" s="950">
        <v>10550673</v>
      </c>
      <c r="BG135" s="950">
        <v>16404594</v>
      </c>
      <c r="BH135" s="951">
        <v>96693.111662405994</v>
      </c>
      <c r="BI135" s="950">
        <v>1856192</v>
      </c>
      <c r="BJ135" s="950">
        <v>674798192</v>
      </c>
      <c r="BK135" s="951">
        <v>159080.67996414599</v>
      </c>
      <c r="BL135" s="950">
        <v>240466334</v>
      </c>
      <c r="BM135" s="950">
        <v>15860</v>
      </c>
      <c r="BN135" s="950">
        <v>12941874</v>
      </c>
      <c r="BO135" s="951">
        <v>62274.926111312998</v>
      </c>
      <c r="BP135" s="950">
        <v>24476356</v>
      </c>
      <c r="BQ135" s="950">
        <v>12930</v>
      </c>
      <c r="BR135" s="950">
        <v>127027</v>
      </c>
      <c r="BS135" s="1110"/>
    </row>
    <row r="136" spans="1:71" s="173" customFormat="1" ht="11.1" customHeight="1" x14ac:dyDescent="0.2">
      <c r="A136" s="1079" t="s">
        <v>2479</v>
      </c>
      <c r="B136" s="952" t="s">
        <v>549</v>
      </c>
      <c r="C136" s="952">
        <v>1779648</v>
      </c>
      <c r="D136" s="953">
        <v>173415.81950630996</v>
      </c>
      <c r="E136" s="952">
        <v>6606</v>
      </c>
      <c r="F136" s="953">
        <v>299.87862177400001</v>
      </c>
      <c r="G136" s="952">
        <f t="shared" si="8"/>
        <v>1786254</v>
      </c>
      <c r="H136" s="953">
        <f t="shared" si="8"/>
        <v>173715.69812808395</v>
      </c>
      <c r="I136" s="969">
        <v>26704190</v>
      </c>
      <c r="J136" s="953">
        <v>81803.014150110001</v>
      </c>
      <c r="K136" s="952">
        <v>369791</v>
      </c>
      <c r="L136" s="953">
        <v>320.69928483699999</v>
      </c>
      <c r="M136" s="952">
        <v>7234</v>
      </c>
      <c r="N136" s="953">
        <v>14.020713096</v>
      </c>
      <c r="O136" s="952">
        <v>3637142</v>
      </c>
      <c r="P136" s="953">
        <v>2151.4661617289999</v>
      </c>
      <c r="Q136" s="952">
        <v>259068</v>
      </c>
      <c r="R136" s="953">
        <v>183.24927581899999</v>
      </c>
      <c r="S136" s="952">
        <v>1404467</v>
      </c>
      <c r="T136" s="953">
        <v>1003.062096597</v>
      </c>
      <c r="U136" s="952">
        <v>268645</v>
      </c>
      <c r="V136" s="953">
        <v>130.33293929499999</v>
      </c>
      <c r="W136" s="952">
        <v>5946347</v>
      </c>
      <c r="X136" s="953">
        <v>3802.8304713729999</v>
      </c>
      <c r="Y136" s="953">
        <v>11638.087528440001</v>
      </c>
      <c r="Z136" s="952">
        <v>48026496</v>
      </c>
      <c r="AA136" s="953">
        <v>53934.444755320001</v>
      </c>
      <c r="AB136" s="952">
        <v>17222</v>
      </c>
      <c r="AC136" s="953">
        <v>42.136883277000003</v>
      </c>
      <c r="AD136" s="952">
        <v>4150511</v>
      </c>
      <c r="AE136" s="953">
        <v>1527.5973951650001</v>
      </c>
      <c r="AF136" s="952">
        <v>96090</v>
      </c>
      <c r="AG136" s="953">
        <v>66.050845855999995</v>
      </c>
      <c r="AH136" s="952">
        <v>4068088</v>
      </c>
      <c r="AI136" s="953">
        <v>870.47701000999996</v>
      </c>
      <c r="AJ136" s="952">
        <v>368016</v>
      </c>
      <c r="AK136" s="953">
        <v>116.07115252449999</v>
      </c>
      <c r="AL136" s="952">
        <v>56726423</v>
      </c>
      <c r="AM136" s="953">
        <v>56556.778042152502</v>
      </c>
      <c r="AN136" s="952">
        <v>780134</v>
      </c>
      <c r="AO136" s="953">
        <v>561.37965057199995</v>
      </c>
      <c r="AP136" s="952">
        <v>161614</v>
      </c>
      <c r="AQ136" s="953">
        <v>62.250953715500003</v>
      </c>
      <c r="AR136" s="952">
        <v>47671</v>
      </c>
      <c r="AS136" s="953">
        <v>77.050550000000001</v>
      </c>
      <c r="AT136" s="952">
        <v>114332</v>
      </c>
      <c r="AU136" s="953">
        <v>113.698889459</v>
      </c>
      <c r="AV136" s="952">
        <v>274181</v>
      </c>
      <c r="AW136" s="953">
        <v>195.33497023800001</v>
      </c>
      <c r="AX136" s="952">
        <v>436184</v>
      </c>
      <c r="AY136" s="953">
        <v>386.08440969700001</v>
      </c>
      <c r="AZ136" s="969">
        <v>64050702</v>
      </c>
      <c r="BA136" s="953">
        <v>61369.323527510001</v>
      </c>
      <c r="BB136" s="952">
        <v>2571551</v>
      </c>
      <c r="BC136" s="952">
        <v>40632468</v>
      </c>
      <c r="BD136" s="952">
        <v>7934167</v>
      </c>
      <c r="BE136" s="952">
        <f t="shared" si="6"/>
        <v>51138186</v>
      </c>
      <c r="BF136" s="952">
        <v>10781863</v>
      </c>
      <c r="BG136" s="952">
        <v>25308927</v>
      </c>
      <c r="BH136" s="953">
        <v>131326.97720948901</v>
      </c>
      <c r="BI136" s="952">
        <v>1420593</v>
      </c>
      <c r="BJ136" s="952">
        <v>638367114</v>
      </c>
      <c r="BK136" s="953">
        <v>178127.919919576</v>
      </c>
      <c r="BL136" s="952">
        <v>143627028</v>
      </c>
      <c r="BM136" s="952">
        <v>15838</v>
      </c>
      <c r="BN136" s="952">
        <v>17188649</v>
      </c>
      <c r="BO136" s="953">
        <v>70536.573365638993</v>
      </c>
      <c r="BP136" s="952">
        <v>24662272</v>
      </c>
      <c r="BQ136" s="952">
        <v>12937</v>
      </c>
      <c r="BR136" s="952">
        <v>129133</v>
      </c>
      <c r="BS136" s="1188"/>
    </row>
    <row r="137" spans="1:71" s="173" customFormat="1" ht="11.1" customHeight="1" x14ac:dyDescent="0.2">
      <c r="A137" s="1079" t="s">
        <v>2479</v>
      </c>
      <c r="B137" s="950" t="s">
        <v>558</v>
      </c>
      <c r="C137" s="950">
        <v>1395025</v>
      </c>
      <c r="D137" s="951">
        <v>146690.47269416798</v>
      </c>
      <c r="E137" s="950">
        <v>6590</v>
      </c>
      <c r="F137" s="951">
        <v>284.35962164</v>
      </c>
      <c r="G137" s="976">
        <f t="shared" si="8"/>
        <v>1401615</v>
      </c>
      <c r="H137" s="951">
        <f t="shared" si="8"/>
        <v>146974.83231580799</v>
      </c>
      <c r="I137" s="976">
        <v>24448298</v>
      </c>
      <c r="J137" s="951">
        <v>71250.688548911989</v>
      </c>
      <c r="K137" s="950">
        <v>359461</v>
      </c>
      <c r="L137" s="951">
        <v>292.98460663499998</v>
      </c>
      <c r="M137" s="950">
        <v>6912</v>
      </c>
      <c r="N137" s="951">
        <v>15.559994749999998</v>
      </c>
      <c r="O137" s="950">
        <v>2857545</v>
      </c>
      <c r="P137" s="951">
        <v>1567.3205367289997</v>
      </c>
      <c r="Q137" s="950">
        <v>382943</v>
      </c>
      <c r="R137" s="951">
        <v>290.19074767100011</v>
      </c>
      <c r="S137" s="950">
        <v>1427239</v>
      </c>
      <c r="T137" s="951">
        <v>991.46985080400009</v>
      </c>
      <c r="U137" s="950">
        <v>277385</v>
      </c>
      <c r="V137" s="951">
        <v>131.15565502499999</v>
      </c>
      <c r="W137" s="950">
        <v>5311485</v>
      </c>
      <c r="X137" s="951">
        <v>3288.6813916140004</v>
      </c>
      <c r="Y137" s="951">
        <v>11809.231575021</v>
      </c>
      <c r="Z137" s="950">
        <v>34518548</v>
      </c>
      <c r="AA137" s="951">
        <v>35651.432406504988</v>
      </c>
      <c r="AB137" s="950">
        <v>18409</v>
      </c>
      <c r="AC137" s="951">
        <v>42.114095600999995</v>
      </c>
      <c r="AD137" s="950">
        <v>3378034</v>
      </c>
      <c r="AE137" s="951">
        <v>1106.678259069</v>
      </c>
      <c r="AF137" s="950">
        <v>113762</v>
      </c>
      <c r="AG137" s="951">
        <v>80.056443896999994</v>
      </c>
      <c r="AH137" s="950">
        <v>3751940</v>
      </c>
      <c r="AI137" s="951">
        <v>744.6834263799999</v>
      </c>
      <c r="AJ137" s="950">
        <v>345874</v>
      </c>
      <c r="AK137" s="951">
        <v>110.214314855</v>
      </c>
      <c r="AL137" s="950">
        <v>42126567</v>
      </c>
      <c r="AM137" s="951">
        <v>37735.178946306994</v>
      </c>
      <c r="AN137" s="950">
        <v>549881</v>
      </c>
      <c r="AO137" s="951">
        <v>325.14652321600005</v>
      </c>
      <c r="AP137" s="950">
        <v>159190</v>
      </c>
      <c r="AQ137" s="951">
        <v>58.888954548499996</v>
      </c>
      <c r="AR137" s="950">
        <v>39640</v>
      </c>
      <c r="AS137" s="951">
        <v>62.886839999999992</v>
      </c>
      <c r="AT137" s="950">
        <v>119151</v>
      </c>
      <c r="AU137" s="951">
        <v>108.74114676000002</v>
      </c>
      <c r="AV137" s="950">
        <v>210515</v>
      </c>
      <c r="AW137" s="951">
        <v>135.86485813399997</v>
      </c>
      <c r="AX137" s="950">
        <v>369306</v>
      </c>
      <c r="AY137" s="951">
        <v>307.49284489399997</v>
      </c>
      <c r="AZ137" s="976">
        <v>48516429</v>
      </c>
      <c r="BA137" s="951">
        <v>41715.388660579491</v>
      </c>
      <c r="BB137" s="950">
        <v>2575501</v>
      </c>
      <c r="BC137" s="950">
        <v>41507024</v>
      </c>
      <c r="BD137" s="950">
        <v>7635853</v>
      </c>
      <c r="BE137" s="950">
        <f t="shared" si="6"/>
        <v>51718378</v>
      </c>
      <c r="BF137" s="950">
        <v>10725063</v>
      </c>
      <c r="BG137" s="950">
        <v>16617033</v>
      </c>
      <c r="BH137" s="951">
        <v>99465.191843246997</v>
      </c>
      <c r="BI137" s="950">
        <v>1424521</v>
      </c>
      <c r="BJ137" s="950">
        <v>554303573</v>
      </c>
      <c r="BK137" s="951">
        <v>125035.70072412099</v>
      </c>
      <c r="BL137" s="950">
        <v>144174115</v>
      </c>
      <c r="BM137" s="950">
        <v>15843</v>
      </c>
      <c r="BN137" s="950">
        <v>12173706</v>
      </c>
      <c r="BO137" s="951">
        <v>61698.184743721991</v>
      </c>
      <c r="BP137" s="950">
        <v>24499751</v>
      </c>
      <c r="BQ137" s="950">
        <v>12929</v>
      </c>
      <c r="BR137" s="950">
        <v>130332</v>
      </c>
      <c r="BS137" s="1188"/>
    </row>
    <row r="138" spans="1:71" s="173" customFormat="1" ht="11.1" customHeight="1" x14ac:dyDescent="0.2">
      <c r="A138" s="1079" t="s">
        <v>2479</v>
      </c>
      <c r="B138" s="952" t="s">
        <v>559</v>
      </c>
      <c r="C138" s="952">
        <v>1674266</v>
      </c>
      <c r="D138" s="953">
        <v>164489.14560123201</v>
      </c>
      <c r="E138" s="952">
        <v>7847</v>
      </c>
      <c r="F138" s="952">
        <v>346.6</v>
      </c>
      <c r="G138" s="952">
        <f t="shared" si="8"/>
        <v>1682113</v>
      </c>
      <c r="H138" s="953">
        <f>F138+D138</f>
        <v>164835.74560123202</v>
      </c>
      <c r="I138" s="969">
        <v>32466685</v>
      </c>
      <c r="J138" s="953">
        <v>85285.142973528986</v>
      </c>
      <c r="K138" s="952">
        <v>365078</v>
      </c>
      <c r="L138" s="953">
        <v>306.97234649399996</v>
      </c>
      <c r="M138" s="952">
        <v>8172</v>
      </c>
      <c r="N138" s="953">
        <v>16.667651973799998</v>
      </c>
      <c r="O138" s="952">
        <v>2999092</v>
      </c>
      <c r="P138" s="953">
        <v>1758.4923490220001</v>
      </c>
      <c r="Q138" s="952">
        <v>325120</v>
      </c>
      <c r="R138" s="953">
        <v>233.3550593672</v>
      </c>
      <c r="S138" s="952">
        <v>1467766</v>
      </c>
      <c r="T138" s="953">
        <v>1050.5322467789999</v>
      </c>
      <c r="U138" s="952">
        <v>289632</v>
      </c>
      <c r="V138" s="953">
        <v>139.30042522300002</v>
      </c>
      <c r="W138" s="952">
        <v>5454860</v>
      </c>
      <c r="X138" s="953">
        <v>3505.3200788589993</v>
      </c>
      <c r="Y138" s="953">
        <v>11879.007553578998</v>
      </c>
      <c r="Z138" s="952">
        <v>40963221</v>
      </c>
      <c r="AA138" s="953">
        <v>44294.133263299991</v>
      </c>
      <c r="AB138" s="952">
        <v>17785</v>
      </c>
      <c r="AC138" s="953">
        <v>41.673626498000004</v>
      </c>
      <c r="AD138" s="952">
        <v>3593550</v>
      </c>
      <c r="AE138" s="953">
        <v>1213.0837708890001</v>
      </c>
      <c r="AF138" s="952">
        <v>110610</v>
      </c>
      <c r="AG138" s="953">
        <v>75.876061661500003</v>
      </c>
      <c r="AH138" s="952">
        <v>4036819</v>
      </c>
      <c r="AI138" s="953">
        <v>833.64210660499998</v>
      </c>
      <c r="AJ138" s="952">
        <v>424079</v>
      </c>
      <c r="AK138" s="953">
        <v>140.77105442049998</v>
      </c>
      <c r="AL138" s="952">
        <v>49146064</v>
      </c>
      <c r="AM138" s="953">
        <v>46599.179883373989</v>
      </c>
      <c r="AN138" s="952">
        <v>716258</v>
      </c>
      <c r="AO138" s="953">
        <v>481.906322832</v>
      </c>
      <c r="AP138" s="952">
        <v>192007</v>
      </c>
      <c r="AQ138" s="953">
        <v>65.228614977199996</v>
      </c>
      <c r="AR138" s="952">
        <v>44858</v>
      </c>
      <c r="AS138" s="953">
        <v>67.378879999999995</v>
      </c>
      <c r="AT138" s="952">
        <v>123972</v>
      </c>
      <c r="AU138" s="953">
        <v>146.24615476599999</v>
      </c>
      <c r="AV138" s="952">
        <v>243539</v>
      </c>
      <c r="AW138" s="953">
        <v>140.45735474200001</v>
      </c>
      <c r="AX138" s="952">
        <v>412369</v>
      </c>
      <c r="AY138" s="953">
        <v>354.08238950800001</v>
      </c>
      <c r="AZ138" s="969">
        <v>55921558</v>
      </c>
      <c r="BA138" s="953">
        <v>51005.717289550186</v>
      </c>
      <c r="BB138" s="952">
        <v>2577763</v>
      </c>
      <c r="BC138" s="952">
        <v>41830524</v>
      </c>
      <c r="BD138" s="952">
        <v>7986257</v>
      </c>
      <c r="BE138" s="952">
        <f t="shared" si="6"/>
        <v>52394544</v>
      </c>
      <c r="BF138" s="952">
        <v>11161910</v>
      </c>
      <c r="BG138" s="952">
        <v>19288046</v>
      </c>
      <c r="BH138" s="953">
        <v>99618.194652445003</v>
      </c>
      <c r="BI138" s="952">
        <v>1428589</v>
      </c>
      <c r="BJ138" s="952">
        <v>613271750</v>
      </c>
      <c r="BK138" s="953">
        <v>154852.73878239898</v>
      </c>
      <c r="BL138" s="952">
        <v>144998590</v>
      </c>
      <c r="BM138" s="952">
        <v>15898</v>
      </c>
      <c r="BN138" s="952">
        <v>15120882.949999999</v>
      </c>
      <c r="BO138" s="953">
        <v>68642.962358190998</v>
      </c>
      <c r="BP138" s="952">
        <v>25187059</v>
      </c>
      <c r="BQ138" s="952">
        <v>12925</v>
      </c>
      <c r="BR138" s="952">
        <v>133150</v>
      </c>
      <c r="BS138" s="1188"/>
    </row>
    <row r="139" spans="1:71" s="173" customFormat="1" ht="11.1" customHeight="1" x14ac:dyDescent="0.2">
      <c r="A139" s="1079" t="s">
        <v>2479</v>
      </c>
      <c r="B139" s="950" t="s">
        <v>550</v>
      </c>
      <c r="C139" s="950">
        <v>1572368</v>
      </c>
      <c r="D139" s="951">
        <v>170634.27365194593</v>
      </c>
      <c r="E139" s="950">
        <v>8022</v>
      </c>
      <c r="F139" s="951">
        <v>193.71388239000001</v>
      </c>
      <c r="G139" s="950">
        <f t="shared" si="8"/>
        <v>1580390</v>
      </c>
      <c r="H139" s="951">
        <f>F139+D139</f>
        <v>170827.98753433593</v>
      </c>
      <c r="I139" s="976">
        <v>41059989</v>
      </c>
      <c r="J139" s="951">
        <v>86661.995574218003</v>
      </c>
      <c r="K139" s="950">
        <v>358171</v>
      </c>
      <c r="L139" s="951">
        <v>304.92340300699999</v>
      </c>
      <c r="M139" s="950">
        <v>10237</v>
      </c>
      <c r="N139" s="951">
        <v>25.371138221999999</v>
      </c>
      <c r="O139" s="950">
        <v>2968838</v>
      </c>
      <c r="P139" s="951">
        <v>1635.036982949</v>
      </c>
      <c r="Q139" s="950">
        <v>450719</v>
      </c>
      <c r="R139" s="951">
        <v>349.66039633299999</v>
      </c>
      <c r="S139" s="950">
        <v>1335633</v>
      </c>
      <c r="T139" s="951">
        <v>1067.2863788699999</v>
      </c>
      <c r="U139" s="950">
        <v>291857</v>
      </c>
      <c r="V139" s="951">
        <v>142.69014062700001</v>
      </c>
      <c r="W139" s="950">
        <v>5415455</v>
      </c>
      <c r="X139" s="951">
        <v>3524.968440008</v>
      </c>
      <c r="Y139" s="951">
        <v>12217.306967338</v>
      </c>
      <c r="Z139" s="950">
        <v>37324602</v>
      </c>
      <c r="AA139" s="951">
        <v>41850.527760981</v>
      </c>
      <c r="AB139" s="950">
        <v>20108</v>
      </c>
      <c r="AC139" s="951">
        <v>46.642603874999999</v>
      </c>
      <c r="AD139" s="950">
        <v>3498842</v>
      </c>
      <c r="AE139" s="951">
        <v>1269.8283084879999</v>
      </c>
      <c r="AF139" s="950">
        <v>129212</v>
      </c>
      <c r="AG139" s="951">
        <v>99.499397047000002</v>
      </c>
      <c r="AH139" s="950">
        <v>3911224</v>
      </c>
      <c r="AI139" s="951">
        <v>747.045406877</v>
      </c>
      <c r="AJ139" s="950">
        <v>365831</v>
      </c>
      <c r="AK139" s="951">
        <v>138.1112167</v>
      </c>
      <c r="AL139" s="950">
        <v>45249819</v>
      </c>
      <c r="AM139" s="951">
        <v>44151.654693967997</v>
      </c>
      <c r="AN139" s="950">
        <v>628196</v>
      </c>
      <c r="AO139" s="951">
        <v>459.57075326400002</v>
      </c>
      <c r="AP139" s="950">
        <v>153974</v>
      </c>
      <c r="AQ139" s="951">
        <v>64.236696486</v>
      </c>
      <c r="AR139" s="950">
        <v>40913</v>
      </c>
      <c r="AS139" s="951">
        <v>61.792149999999999</v>
      </c>
      <c r="AT139" s="950">
        <v>119586</v>
      </c>
      <c r="AU139" s="951">
        <v>111.991942694</v>
      </c>
      <c r="AV139" s="950">
        <v>222801</v>
      </c>
      <c r="AW139" s="951">
        <v>128.913375425</v>
      </c>
      <c r="AX139" s="950">
        <v>383300</v>
      </c>
      <c r="AY139" s="951">
        <v>302.69746811900001</v>
      </c>
      <c r="AZ139" s="976">
        <v>51830744</v>
      </c>
      <c r="BA139" s="951">
        <v>48503.128051845</v>
      </c>
      <c r="BB139" s="950">
        <v>2946233</v>
      </c>
      <c r="BC139" s="950">
        <v>43151639</v>
      </c>
      <c r="BD139" s="950">
        <v>7039117</v>
      </c>
      <c r="BE139" s="950">
        <f t="shared" si="6"/>
        <v>53136989</v>
      </c>
      <c r="BF139" s="950">
        <v>11366563</v>
      </c>
      <c r="BG139" s="950">
        <v>18305024</v>
      </c>
      <c r="BH139" s="951">
        <v>104935.02852792801</v>
      </c>
      <c r="BI139" s="950">
        <v>1436434</v>
      </c>
      <c r="BJ139" s="950">
        <v>592322699</v>
      </c>
      <c r="BK139" s="951">
        <v>146351.82302921699</v>
      </c>
      <c r="BL139" s="950">
        <v>145641488</v>
      </c>
      <c r="BM139" s="950">
        <v>15373</v>
      </c>
      <c r="BN139" s="950">
        <v>16721989</v>
      </c>
      <c r="BO139" s="951">
        <v>62785.42266258</v>
      </c>
      <c r="BP139" s="950">
        <v>24406197</v>
      </c>
      <c r="BQ139" s="950">
        <v>12918</v>
      </c>
      <c r="BR139" s="950">
        <v>133178</v>
      </c>
      <c r="BS139" s="1188"/>
    </row>
    <row r="140" spans="1:71" s="173" customFormat="1" ht="11.1" customHeight="1" x14ac:dyDescent="0.2">
      <c r="B140" s="1189" t="s">
        <v>2765</v>
      </c>
      <c r="C140" s="952"/>
      <c r="D140" s="953"/>
      <c r="E140" s="952"/>
      <c r="F140" s="952"/>
      <c r="G140" s="952"/>
      <c r="H140" s="953"/>
      <c r="I140" s="969"/>
      <c r="J140" s="953"/>
      <c r="K140" s="952"/>
      <c r="L140" s="953"/>
      <c r="M140" s="952"/>
      <c r="N140" s="953"/>
      <c r="O140" s="952"/>
      <c r="P140" s="953"/>
      <c r="Q140" s="952"/>
      <c r="R140" s="953"/>
      <c r="S140" s="952"/>
      <c r="T140" s="953"/>
      <c r="U140" s="952"/>
      <c r="V140" s="953"/>
      <c r="W140" s="952"/>
      <c r="X140" s="953"/>
      <c r="Y140" s="953"/>
      <c r="Z140" s="952"/>
      <c r="AA140" s="953"/>
      <c r="AB140" s="952"/>
      <c r="AC140" s="953"/>
      <c r="AD140" s="952"/>
      <c r="AE140" s="953"/>
      <c r="AF140" s="952"/>
      <c r="AG140" s="953"/>
      <c r="AH140" s="952"/>
      <c r="AI140" s="953"/>
      <c r="AJ140" s="952"/>
      <c r="AK140" s="953"/>
      <c r="AL140" s="952"/>
      <c r="AM140" s="953"/>
      <c r="AN140" s="952"/>
      <c r="AO140" s="953"/>
      <c r="AP140" s="952"/>
      <c r="AQ140" s="953"/>
      <c r="AR140" s="952"/>
      <c r="AS140" s="953"/>
      <c r="AT140" s="952"/>
      <c r="AU140" s="953"/>
      <c r="AV140" s="952"/>
      <c r="AW140" s="953"/>
      <c r="AX140" s="952"/>
      <c r="AY140" s="953"/>
      <c r="AZ140" s="969"/>
      <c r="BA140" s="953"/>
      <c r="BB140" s="952"/>
      <c r="BC140" s="952"/>
      <c r="BD140" s="952"/>
      <c r="BE140" s="952"/>
      <c r="BF140" s="952"/>
      <c r="BG140" s="952"/>
      <c r="BH140" s="953"/>
      <c r="BI140" s="952"/>
      <c r="BJ140" s="952"/>
      <c r="BK140" s="953"/>
      <c r="BL140" s="952"/>
      <c r="BM140" s="952"/>
      <c r="BN140" s="952"/>
      <c r="BO140" s="953"/>
      <c r="BP140" s="952"/>
      <c r="BQ140" s="952"/>
      <c r="BR140" s="952"/>
      <c r="BS140" s="1188"/>
    </row>
    <row r="141" spans="1:71" s="173" customFormat="1" ht="11.1" customHeight="1" x14ac:dyDescent="0.2">
      <c r="B141" s="950" t="s">
        <v>552</v>
      </c>
      <c r="C141" s="950">
        <v>1599932</v>
      </c>
      <c r="D141" s="951">
        <v>157862.556959512</v>
      </c>
      <c r="E141" s="950">
        <v>8441</v>
      </c>
      <c r="F141" s="951">
        <v>186.29435487000001</v>
      </c>
      <c r="G141" s="950">
        <f t="shared" si="8"/>
        <v>1608373</v>
      </c>
      <c r="H141" s="951">
        <f>F141+D141</f>
        <v>158048.85131438202</v>
      </c>
      <c r="I141" s="976">
        <v>41067971</v>
      </c>
      <c r="J141" s="951">
        <v>87811.527011782004</v>
      </c>
      <c r="K141" s="950">
        <v>375273</v>
      </c>
      <c r="L141" s="951">
        <v>311.44610531199999</v>
      </c>
      <c r="M141" s="950">
        <v>8304</v>
      </c>
      <c r="N141" s="951">
        <v>16.535123172399999</v>
      </c>
      <c r="O141" s="950">
        <v>3179129</v>
      </c>
      <c r="P141" s="951">
        <v>1852.654123908</v>
      </c>
      <c r="Q141" s="950">
        <v>386697</v>
      </c>
      <c r="R141" s="951">
        <v>289.23879058770001</v>
      </c>
      <c r="S141" s="950">
        <v>1207466</v>
      </c>
      <c r="T141" s="951">
        <v>885.24754472400002</v>
      </c>
      <c r="U141" s="950">
        <v>323455</v>
      </c>
      <c r="V141" s="951">
        <v>153.75808022769999</v>
      </c>
      <c r="W141" s="950">
        <v>5480324</v>
      </c>
      <c r="X141" s="951">
        <v>3508.8797679318</v>
      </c>
      <c r="Y141" s="951">
        <v>12217.831576410999</v>
      </c>
      <c r="Z141" s="950">
        <v>37765661</v>
      </c>
      <c r="AA141" s="951">
        <v>41696.47755001</v>
      </c>
      <c r="AB141" s="950">
        <v>18432</v>
      </c>
      <c r="AC141" s="951">
        <v>42.794006952499998</v>
      </c>
      <c r="AD141" s="950">
        <v>3647147</v>
      </c>
      <c r="AE141" s="951">
        <v>1196.9288318829999</v>
      </c>
      <c r="AF141" s="950">
        <v>135177</v>
      </c>
      <c r="AG141" s="951">
        <v>93.041138607199997</v>
      </c>
      <c r="AH141" s="950">
        <v>3177445</v>
      </c>
      <c r="AI141" s="951">
        <v>581.65981115</v>
      </c>
      <c r="AJ141" s="950">
        <v>452609</v>
      </c>
      <c r="AK141" s="951">
        <v>192.6825256635</v>
      </c>
      <c r="AL141" s="950">
        <v>45196471</v>
      </c>
      <c r="AM141" s="951">
        <v>43803.583864266198</v>
      </c>
      <c r="AN141" s="950">
        <v>412465</v>
      </c>
      <c r="AO141" s="951">
        <v>390.82259022400001</v>
      </c>
      <c r="AP141" s="950">
        <v>11665</v>
      </c>
      <c r="AQ141" s="951">
        <v>11.650109473700001</v>
      </c>
      <c r="AR141" s="950">
        <v>41047</v>
      </c>
      <c r="AS141" s="951">
        <v>61.327469999999998</v>
      </c>
      <c r="AT141" s="950">
        <v>127118</v>
      </c>
      <c r="AU141" s="951">
        <v>132.83519913000001</v>
      </c>
      <c r="AV141" s="950">
        <v>251945</v>
      </c>
      <c r="AW141" s="951">
        <v>141.11370831400001</v>
      </c>
      <c r="AX141" s="950">
        <v>420110</v>
      </c>
      <c r="AY141" s="951">
        <v>335.27637744399999</v>
      </c>
      <c r="AZ141" s="976">
        <v>51521035</v>
      </c>
      <c r="BA141" s="951">
        <v>48050.212709339699</v>
      </c>
      <c r="BB141" s="950">
        <v>2979489</v>
      </c>
      <c r="BC141" s="950">
        <v>44082562</v>
      </c>
      <c r="BD141" s="950">
        <v>9825359</v>
      </c>
      <c r="BE141" s="950">
        <f>BB141+BC141+BD141</f>
        <v>56887410</v>
      </c>
      <c r="BF141" s="950">
        <v>11642594</v>
      </c>
      <c r="BG141" s="950">
        <v>20361782</v>
      </c>
      <c r="BH141" s="951">
        <v>113470.25018894501</v>
      </c>
      <c r="BI141" s="950">
        <v>1442007</v>
      </c>
      <c r="BJ141" s="950">
        <v>625295220</v>
      </c>
      <c r="BK141" s="951">
        <v>148566.62480855899</v>
      </c>
      <c r="BL141" s="950">
        <v>145825056</v>
      </c>
      <c r="BM141" s="950">
        <v>15342</v>
      </c>
      <c r="BN141" s="950">
        <v>13946868</v>
      </c>
      <c r="BO141" s="951">
        <v>65402.491000000002</v>
      </c>
      <c r="BP141" s="950">
        <v>24616822</v>
      </c>
      <c r="BQ141" s="950">
        <v>12814</v>
      </c>
      <c r="BR141" s="950">
        <v>134327</v>
      </c>
      <c r="BS141" s="1188"/>
    </row>
    <row r="142" spans="1:71" s="173" customFormat="1" ht="11.1" customHeight="1" x14ac:dyDescent="0.2">
      <c r="B142" s="952" t="s">
        <v>553</v>
      </c>
      <c r="C142" s="952">
        <v>1511562</v>
      </c>
      <c r="D142" s="953">
        <v>144540.22213074501</v>
      </c>
      <c r="E142" s="952">
        <v>6632</v>
      </c>
      <c r="F142" s="953">
        <v>252.13247107000001</v>
      </c>
      <c r="G142" s="952">
        <f t="shared" si="8"/>
        <v>1518194</v>
      </c>
      <c r="H142" s="953">
        <f>F142+D142</f>
        <v>144792.35460181502</v>
      </c>
      <c r="I142" s="969">
        <v>16240007</v>
      </c>
      <c r="J142" s="953">
        <v>69470.731684391998</v>
      </c>
      <c r="K142" s="952">
        <v>437240</v>
      </c>
      <c r="L142" s="953">
        <v>372.07729776999997</v>
      </c>
      <c r="M142" s="952">
        <v>6835</v>
      </c>
      <c r="N142" s="953">
        <v>15.90362199786</v>
      </c>
      <c r="O142" s="952">
        <v>3406437</v>
      </c>
      <c r="P142" s="953">
        <v>1909.858418925</v>
      </c>
      <c r="Q142" s="952">
        <v>375155</v>
      </c>
      <c r="R142" s="953">
        <v>273.79869985049999</v>
      </c>
      <c r="S142" s="952">
        <v>1325620</v>
      </c>
      <c r="T142" s="953">
        <v>1044.152157446</v>
      </c>
      <c r="U142" s="952">
        <v>310353</v>
      </c>
      <c r="V142" s="953">
        <v>145.00379950530001</v>
      </c>
      <c r="W142" s="952">
        <v>5861640</v>
      </c>
      <c r="X142" s="953">
        <v>3760.7939954946601</v>
      </c>
      <c r="Y142" s="953">
        <v>12392.700568492</v>
      </c>
      <c r="Z142" s="952">
        <v>38733387</v>
      </c>
      <c r="AA142" s="953">
        <v>38617.307035263002</v>
      </c>
      <c r="AB142" s="952">
        <v>19846</v>
      </c>
      <c r="AC142" s="953">
        <v>45.990203174999998</v>
      </c>
      <c r="AD142" s="952">
        <v>3899214</v>
      </c>
      <c r="AE142" s="953">
        <v>1279.6237408909999</v>
      </c>
      <c r="AF142" s="952">
        <v>141795</v>
      </c>
      <c r="AG142" s="953">
        <v>92.462346917000005</v>
      </c>
      <c r="AH142" s="952">
        <v>3688316</v>
      </c>
      <c r="AI142" s="953">
        <v>609.03027412699998</v>
      </c>
      <c r="AJ142" s="952">
        <v>464635</v>
      </c>
      <c r="AK142" s="953">
        <v>203.15478869699999</v>
      </c>
      <c r="AL142" s="952">
        <v>46947193</v>
      </c>
      <c r="AM142" s="953">
        <v>40847.568389070002</v>
      </c>
      <c r="AN142" s="952">
        <v>577908</v>
      </c>
      <c r="AO142" s="953">
        <v>416.92239135599999</v>
      </c>
      <c r="AP142" s="952">
        <v>187065</v>
      </c>
      <c r="AQ142" s="953">
        <v>64.688959681979995</v>
      </c>
      <c r="AR142" s="952">
        <v>41513</v>
      </c>
      <c r="AS142" s="953">
        <v>62.38796</v>
      </c>
      <c r="AT142" s="952">
        <v>119121</v>
      </c>
      <c r="AU142" s="953">
        <v>108.97973099399999</v>
      </c>
      <c r="AV142" s="952">
        <v>264436</v>
      </c>
      <c r="AW142" s="953">
        <v>136.899334767</v>
      </c>
      <c r="AX142" s="952">
        <v>425070</v>
      </c>
      <c r="AY142" s="953">
        <v>308.26702576100001</v>
      </c>
      <c r="AZ142" s="969">
        <v>53998876</v>
      </c>
      <c r="BA142" s="953">
        <v>45398.240761363602</v>
      </c>
      <c r="BB142" s="952">
        <v>3008436</v>
      </c>
      <c r="BC142" s="952">
        <v>44993654</v>
      </c>
      <c r="BD142" s="952">
        <v>9994907</v>
      </c>
      <c r="BE142" s="952">
        <f t="shared" ref="BE142:BE148" si="9">BB142+BC142+BD142</f>
        <v>57996997</v>
      </c>
      <c r="BF142" s="952">
        <v>11963735</v>
      </c>
      <c r="BG142" s="952">
        <v>21234251</v>
      </c>
      <c r="BH142" s="953">
        <v>111667.097575793</v>
      </c>
      <c r="BI142" s="952">
        <v>1441156</v>
      </c>
      <c r="BJ142" s="952">
        <v>653592222</v>
      </c>
      <c r="BK142" s="953">
        <v>151123.645042497</v>
      </c>
      <c r="BL142" s="952">
        <v>146464063</v>
      </c>
      <c r="BM142" s="952">
        <v>15346</v>
      </c>
      <c r="BN142" s="952">
        <v>13314605</v>
      </c>
      <c r="BO142" s="953">
        <v>63571.173717846003</v>
      </c>
      <c r="BP142" s="952">
        <v>24863366</v>
      </c>
      <c r="BQ142" s="952">
        <v>12801</v>
      </c>
      <c r="BR142" s="952">
        <v>134615</v>
      </c>
      <c r="BS142" s="1188"/>
    </row>
    <row r="143" spans="1:71" s="173" customFormat="1" ht="11.1" customHeight="1" x14ac:dyDescent="0.2">
      <c r="B143" s="950" t="s">
        <v>547</v>
      </c>
      <c r="C143" s="950">
        <v>1511562</v>
      </c>
      <c r="D143" s="951">
        <v>144540.22213074501</v>
      </c>
      <c r="E143" s="950">
        <v>6897</v>
      </c>
      <c r="F143" s="951">
        <v>177.13499999999999</v>
      </c>
      <c r="G143" s="950">
        <f t="shared" si="8"/>
        <v>1518459</v>
      </c>
      <c r="H143" s="951">
        <f>F143+D143</f>
        <v>144717.35713074502</v>
      </c>
      <c r="I143" s="976">
        <v>15746700</v>
      </c>
      <c r="J143" s="951">
        <v>74816.953000000009</v>
      </c>
      <c r="K143" s="950">
        <v>461687</v>
      </c>
      <c r="L143" s="951">
        <v>406.27558069899999</v>
      </c>
      <c r="M143" s="950">
        <v>6903</v>
      </c>
      <c r="N143" s="951">
        <v>15.396472680700001</v>
      </c>
      <c r="O143" s="950">
        <v>3523773</v>
      </c>
      <c r="P143" s="951">
        <v>1975.6577413570001</v>
      </c>
      <c r="Q143" s="950">
        <v>406646</v>
      </c>
      <c r="R143" s="951">
        <v>294.14496199360002</v>
      </c>
      <c r="S143" s="950">
        <v>1296548</v>
      </c>
      <c r="T143" s="951">
        <v>958.67237527700001</v>
      </c>
      <c r="U143" s="950">
        <v>321682</v>
      </c>
      <c r="V143" s="951">
        <v>167.14675900290001</v>
      </c>
      <c r="W143" s="950">
        <v>6017239</v>
      </c>
      <c r="X143" s="951">
        <v>3817.2938910101998</v>
      </c>
      <c r="Y143" s="951">
        <v>11630.972811063</v>
      </c>
      <c r="Z143" s="950">
        <v>37616037</v>
      </c>
      <c r="AA143" s="951">
        <v>39695.364927249997</v>
      </c>
      <c r="AB143" s="950">
        <v>23191</v>
      </c>
      <c r="AC143" s="951">
        <v>53.113377392319997</v>
      </c>
      <c r="AD143" s="950">
        <v>3902652</v>
      </c>
      <c r="AE143" s="951">
        <v>1400.1206824010001</v>
      </c>
      <c r="AF143" s="950">
        <v>177325</v>
      </c>
      <c r="AG143" s="951">
        <v>103.270490657</v>
      </c>
      <c r="AH143" s="950">
        <v>3389105</v>
      </c>
      <c r="AI143" s="951">
        <v>605.042610674</v>
      </c>
      <c r="AJ143" s="950">
        <v>513907</v>
      </c>
      <c r="AK143" s="951">
        <v>186.88896187509999</v>
      </c>
      <c r="AL143" s="950">
        <v>45622217</v>
      </c>
      <c r="AM143" s="951">
        <v>42043.8010502494</v>
      </c>
      <c r="AN143" s="950">
        <v>578869</v>
      </c>
      <c r="AO143" s="951">
        <v>424.27212027899998</v>
      </c>
      <c r="AP143" s="950">
        <v>179370</v>
      </c>
      <c r="AQ143" s="951">
        <v>67.129303256529994</v>
      </c>
      <c r="AR143" s="950">
        <v>39852</v>
      </c>
      <c r="AS143" s="951">
        <v>58.026769999999999</v>
      </c>
      <c r="AT143" s="950">
        <v>106440</v>
      </c>
      <c r="AU143" s="951">
        <v>101.047514831</v>
      </c>
      <c r="AV143" s="950">
        <v>293757</v>
      </c>
      <c r="AW143" s="951">
        <v>151.42616693900001</v>
      </c>
      <c r="AX143" s="950">
        <v>440049</v>
      </c>
      <c r="AY143" s="951">
        <v>310.50045176999998</v>
      </c>
      <c r="AZ143" s="976">
        <v>52837744</v>
      </c>
      <c r="BA143" s="951">
        <v>46662.996816565203</v>
      </c>
      <c r="BB143" s="950">
        <v>2650935</v>
      </c>
      <c r="BC143" s="950">
        <v>42800891</v>
      </c>
      <c r="BD143" s="950">
        <v>9720330</v>
      </c>
      <c r="BE143" s="950">
        <f t="shared" si="9"/>
        <v>55172156</v>
      </c>
      <c r="BF143" s="950">
        <v>12261943</v>
      </c>
      <c r="BG143" s="950">
        <v>21778951</v>
      </c>
      <c r="BH143" s="951">
        <v>108628.06299999999</v>
      </c>
      <c r="BI143" s="950">
        <v>1445169</v>
      </c>
      <c r="BJ143" s="950">
        <v>644448320</v>
      </c>
      <c r="BK143" s="951">
        <v>153951.70199999999</v>
      </c>
      <c r="BL143" s="950">
        <v>141775261</v>
      </c>
      <c r="BM143" s="950">
        <v>15321</v>
      </c>
      <c r="BN143" s="950">
        <v>13610375</v>
      </c>
      <c r="BO143" s="951">
        <v>66965.959566225007</v>
      </c>
      <c r="BP143" s="950">
        <v>25107164</v>
      </c>
      <c r="BQ143" s="950">
        <v>12849</v>
      </c>
      <c r="BR143" s="950">
        <v>136309</v>
      </c>
      <c r="BS143" s="1188"/>
    </row>
    <row r="144" spans="1:71" s="173" customFormat="1" ht="11.1" customHeight="1" x14ac:dyDescent="0.2">
      <c r="B144" s="952" t="s">
        <v>554</v>
      </c>
      <c r="C144" s="952">
        <v>1523144</v>
      </c>
      <c r="D144" s="953">
        <v>139165.72778526001</v>
      </c>
      <c r="E144" s="952">
        <v>6691</v>
      </c>
      <c r="F144" s="953">
        <v>242.25942832000001</v>
      </c>
      <c r="G144" s="952">
        <f t="shared" ref="G144:G146" si="10">C144+E144</f>
        <v>1529835</v>
      </c>
      <c r="H144" s="953">
        <f t="shared" ref="H144:H146" si="11">F144+D144</f>
        <v>139407.98721358</v>
      </c>
      <c r="I144" s="969">
        <v>27306554</v>
      </c>
      <c r="J144" s="953">
        <v>70629.457559830989</v>
      </c>
      <c r="K144" s="952">
        <v>460579</v>
      </c>
      <c r="L144" s="953">
        <v>400.05180861400004</v>
      </c>
      <c r="M144" s="952">
        <v>7911</v>
      </c>
      <c r="N144" s="953">
        <v>18.1575957919</v>
      </c>
      <c r="O144" s="952">
        <v>3541846</v>
      </c>
      <c r="P144" s="953">
        <v>2187.1645293470001</v>
      </c>
      <c r="Q144" s="952">
        <v>443765</v>
      </c>
      <c r="R144" s="953">
        <v>335.77329013500008</v>
      </c>
      <c r="S144" s="952">
        <v>1317584</v>
      </c>
      <c r="T144" s="953">
        <v>967.62526595099985</v>
      </c>
      <c r="U144" s="952">
        <v>333468</v>
      </c>
      <c r="V144" s="953">
        <v>151.16118712619999</v>
      </c>
      <c r="W144" s="952">
        <v>6105153</v>
      </c>
      <c r="X144" s="953">
        <v>4059.9336769651004</v>
      </c>
      <c r="Y144" s="953">
        <v>11530.164889638001</v>
      </c>
      <c r="Z144" s="952">
        <v>38315812</v>
      </c>
      <c r="AA144" s="953">
        <v>40700.895657729998</v>
      </c>
      <c r="AB144" s="952">
        <v>24324</v>
      </c>
      <c r="AC144" s="953">
        <v>53.948991626189994</v>
      </c>
      <c r="AD144" s="952">
        <v>4173883</v>
      </c>
      <c r="AE144" s="953">
        <v>1515.0634444269999</v>
      </c>
      <c r="AF144" s="952">
        <v>209359</v>
      </c>
      <c r="AG144" s="953">
        <v>288.8481601955001</v>
      </c>
      <c r="AH144" s="952">
        <v>3334233</v>
      </c>
      <c r="AI144" s="953">
        <v>586.76958069799991</v>
      </c>
      <c r="AJ144" s="952">
        <v>517369</v>
      </c>
      <c r="AK144" s="953">
        <v>167.90267424279997</v>
      </c>
      <c r="AL144" s="952">
        <v>46574980</v>
      </c>
      <c r="AM144" s="953">
        <v>43313.428508919496</v>
      </c>
      <c r="AN144" s="952">
        <v>574668</v>
      </c>
      <c r="AO144" s="953">
        <v>417.86603096400006</v>
      </c>
      <c r="AP144" s="952">
        <v>201314</v>
      </c>
      <c r="AQ144" s="953">
        <v>66.482342714400005</v>
      </c>
      <c r="AR144" s="952">
        <v>42073</v>
      </c>
      <c r="AS144" s="953">
        <v>62.544809999999998</v>
      </c>
      <c r="AT144" s="952">
        <v>114161</v>
      </c>
      <c r="AU144" s="953">
        <v>104.016897965</v>
      </c>
      <c r="AV144" s="952">
        <v>51122</v>
      </c>
      <c r="AW144" s="953">
        <v>21.938618174999998</v>
      </c>
      <c r="AX144" s="952">
        <v>207356</v>
      </c>
      <c r="AY144" s="953">
        <v>188.50032613999997</v>
      </c>
      <c r="AZ144" s="969">
        <v>53663471</v>
      </c>
      <c r="BA144" s="953">
        <v>48046.210885702996</v>
      </c>
      <c r="BB144" s="952">
        <v>2741767</v>
      </c>
      <c r="BC144" s="952">
        <v>40645345</v>
      </c>
      <c r="BD144" s="952">
        <v>9337857</v>
      </c>
      <c r="BE144" s="952">
        <f t="shared" si="9"/>
        <v>52724969</v>
      </c>
      <c r="BF144" s="952">
        <v>12547851</v>
      </c>
      <c r="BG144" s="952">
        <v>22948517</v>
      </c>
      <c r="BH144" s="953">
        <v>123083.48556929504</v>
      </c>
      <c r="BI144" s="952">
        <v>1465506</v>
      </c>
      <c r="BJ144" s="952">
        <v>678633515</v>
      </c>
      <c r="BK144" s="953">
        <v>158295.75149409295</v>
      </c>
      <c r="BL144" s="952">
        <v>142284228</v>
      </c>
      <c r="BM144" s="952">
        <v>15349</v>
      </c>
      <c r="BN144" s="952">
        <v>16530294</v>
      </c>
      <c r="BO144" s="953">
        <v>66099.091784966993</v>
      </c>
      <c r="BP144" s="952">
        <v>25382771</v>
      </c>
      <c r="BQ144" s="952">
        <v>12792</v>
      </c>
      <c r="BR144" s="952">
        <v>136717</v>
      </c>
      <c r="BS144" s="1188"/>
    </row>
    <row r="145" spans="2:109" s="1094" customFormat="1" ht="11.1" customHeight="1" x14ac:dyDescent="0.2">
      <c r="B145" s="950" t="s">
        <v>555</v>
      </c>
      <c r="C145" s="950">
        <v>1584064</v>
      </c>
      <c r="D145" s="951">
        <v>147318.75415785395</v>
      </c>
      <c r="E145" s="950">
        <v>6591</v>
      </c>
      <c r="F145" s="951">
        <v>290.60603071000003</v>
      </c>
      <c r="G145" s="950">
        <f t="shared" si="10"/>
        <v>1590655</v>
      </c>
      <c r="H145" s="951">
        <f t="shared" si="11"/>
        <v>147609.36018856397</v>
      </c>
      <c r="I145" s="976">
        <v>17031013</v>
      </c>
      <c r="J145" s="951">
        <v>73803.990267700996</v>
      </c>
      <c r="K145" s="950">
        <v>468971</v>
      </c>
      <c r="L145" s="951">
        <v>382.48137285900003</v>
      </c>
      <c r="M145" s="950">
        <v>7655</v>
      </c>
      <c r="N145" s="951">
        <v>21.942084946630004</v>
      </c>
      <c r="O145" s="950">
        <v>3443940</v>
      </c>
      <c r="P145" s="951">
        <v>2048.0819157750002</v>
      </c>
      <c r="Q145" s="950">
        <v>363366</v>
      </c>
      <c r="R145" s="951">
        <v>329.70456795179996</v>
      </c>
      <c r="S145" s="950">
        <v>1427149</v>
      </c>
      <c r="T145" s="951">
        <v>1078.2497508819997</v>
      </c>
      <c r="U145" s="950">
        <v>336300</v>
      </c>
      <c r="V145" s="951">
        <v>204.46648583780001</v>
      </c>
      <c r="W145" s="950">
        <v>6047381</v>
      </c>
      <c r="X145" s="951">
        <v>4064.926178252229</v>
      </c>
      <c r="Y145" s="951">
        <v>12023.173934245997</v>
      </c>
      <c r="Z145" s="950">
        <v>37738507</v>
      </c>
      <c r="AA145" s="951">
        <v>40326.258886982992</v>
      </c>
      <c r="AB145" s="950">
        <v>23070</v>
      </c>
      <c r="AC145" s="951">
        <v>48.210516362799993</v>
      </c>
      <c r="AD145" s="950">
        <v>3885765</v>
      </c>
      <c r="AE145" s="951">
        <v>1241.4888597300001</v>
      </c>
      <c r="AF145" s="950">
        <v>190897</v>
      </c>
      <c r="AG145" s="951">
        <v>111.83377934809998</v>
      </c>
      <c r="AH145" s="950">
        <v>3402093</v>
      </c>
      <c r="AI145" s="951">
        <v>626.37109246199998</v>
      </c>
      <c r="AJ145" s="950">
        <v>525324</v>
      </c>
      <c r="AK145" s="951">
        <v>182.97801063510002</v>
      </c>
      <c r="AL145" s="950">
        <v>45765656</v>
      </c>
      <c r="AM145" s="951">
        <v>42537.141145520996</v>
      </c>
      <c r="AN145" s="950">
        <v>554580</v>
      </c>
      <c r="AO145" s="951">
        <v>413.24462087900002</v>
      </c>
      <c r="AP145" s="950">
        <v>195347</v>
      </c>
      <c r="AQ145" s="951">
        <v>60.852722171539995</v>
      </c>
      <c r="AR145" s="950">
        <v>40293</v>
      </c>
      <c r="AS145" s="951">
        <v>58.994289999999999</v>
      </c>
      <c r="AT145" s="950">
        <v>129505</v>
      </c>
      <c r="AU145" s="951">
        <v>123.60847838499998</v>
      </c>
      <c r="AV145" s="950">
        <v>328678</v>
      </c>
      <c r="AW145" s="951">
        <v>278.06085191599999</v>
      </c>
      <c r="AX145" s="950">
        <v>498476</v>
      </c>
      <c r="AY145" s="951">
        <v>460.66362030100004</v>
      </c>
      <c r="AZ145" s="976">
        <v>53061440</v>
      </c>
      <c r="BA145" s="951">
        <v>47536.828287124765</v>
      </c>
      <c r="BB145" s="950">
        <v>2793187</v>
      </c>
      <c r="BC145" s="950">
        <v>40719233</v>
      </c>
      <c r="BD145" s="950">
        <v>8977847</v>
      </c>
      <c r="BE145" s="950">
        <f t="shared" si="9"/>
        <v>52490267</v>
      </c>
      <c r="BF145" s="950">
        <v>12590364</v>
      </c>
      <c r="BG145" s="950">
        <v>22433034</v>
      </c>
      <c r="BH145" s="951">
        <v>107993.16727004902</v>
      </c>
      <c r="BI145" s="950">
        <v>1491161</v>
      </c>
      <c r="BJ145" s="950">
        <v>666334177</v>
      </c>
      <c r="BK145" s="951">
        <v>158409.155376173</v>
      </c>
      <c r="BL145" s="950">
        <v>143074976</v>
      </c>
      <c r="BM145" s="950">
        <v>15340</v>
      </c>
      <c r="BN145" s="950">
        <v>14276252</v>
      </c>
      <c r="BO145" s="951">
        <v>67696.326846656011</v>
      </c>
      <c r="BP145" s="950">
        <v>25616672</v>
      </c>
      <c r="BQ145" s="950">
        <v>12768</v>
      </c>
      <c r="BR145" s="950">
        <v>140167</v>
      </c>
      <c r="BS145" s="1494"/>
    </row>
    <row r="146" spans="2:109" ht="11.1" customHeight="1" x14ac:dyDescent="0.2">
      <c r="B146" s="952" t="s">
        <v>548</v>
      </c>
      <c r="C146" s="952">
        <v>1600784</v>
      </c>
      <c r="D146" s="953">
        <v>148469.95409586601</v>
      </c>
      <c r="E146" s="952">
        <v>6687</v>
      </c>
      <c r="F146" s="953">
        <v>2842.8917611699999</v>
      </c>
      <c r="G146" s="952">
        <f t="shared" si="10"/>
        <v>1607471</v>
      </c>
      <c r="H146" s="953">
        <f t="shared" si="11"/>
        <v>151312.84585703601</v>
      </c>
      <c r="I146" s="969">
        <v>20256732</v>
      </c>
      <c r="J146" s="953">
        <v>72386.612329633004</v>
      </c>
      <c r="K146" s="952">
        <v>501132</v>
      </c>
      <c r="L146" s="953">
        <v>462.7028613</v>
      </c>
      <c r="M146" s="952">
        <v>7260</v>
      </c>
      <c r="N146" s="953">
        <v>14.083496370000001</v>
      </c>
      <c r="O146" s="952">
        <v>3513695</v>
      </c>
      <c r="P146" s="953">
        <v>2189.9375180000002</v>
      </c>
      <c r="Q146" s="952">
        <v>355324</v>
      </c>
      <c r="R146" s="953">
        <v>246.53688059999999</v>
      </c>
      <c r="S146" s="952">
        <v>1467281</v>
      </c>
      <c r="T146" s="953">
        <v>1206.231096</v>
      </c>
      <c r="U146" s="952">
        <v>317915</v>
      </c>
      <c r="V146" s="953">
        <v>156.63308910000001</v>
      </c>
      <c r="W146" s="952">
        <v>6162607</v>
      </c>
      <c r="X146" s="953">
        <v>4276.124941</v>
      </c>
      <c r="Y146" s="953">
        <v>12168.02491</v>
      </c>
      <c r="Z146" s="952">
        <v>38339919</v>
      </c>
      <c r="AA146" s="953">
        <v>42131.249049999999</v>
      </c>
      <c r="AB146" s="952">
        <v>21006</v>
      </c>
      <c r="AC146" s="953">
        <v>48.258557000000003</v>
      </c>
      <c r="AD146" s="952">
        <v>3873688</v>
      </c>
      <c r="AE146" s="953">
        <v>1296.8154750000001</v>
      </c>
      <c r="AF146" s="952">
        <v>169138</v>
      </c>
      <c r="AG146" s="953">
        <v>104.5451659</v>
      </c>
      <c r="AH146" s="952">
        <v>4312755</v>
      </c>
      <c r="AI146" s="953">
        <v>618.91923710000003</v>
      </c>
      <c r="AJ146" s="952">
        <v>422224</v>
      </c>
      <c r="AK146" s="953">
        <v>183.55454230000001</v>
      </c>
      <c r="AL146" s="952">
        <v>47138730</v>
      </c>
      <c r="AM146" s="953">
        <v>44383.34203</v>
      </c>
      <c r="AN146" s="952">
        <v>573827</v>
      </c>
      <c r="AO146" s="953">
        <v>439.3809038</v>
      </c>
      <c r="AP146" s="952">
        <v>172693</v>
      </c>
      <c r="AQ146" s="953">
        <v>56.03201584</v>
      </c>
      <c r="AR146" s="952">
        <v>46817</v>
      </c>
      <c r="AS146" s="953">
        <v>71.089261239999999</v>
      </c>
      <c r="AT146" s="952">
        <v>170067</v>
      </c>
      <c r="AU146" s="953">
        <v>143.5281803</v>
      </c>
      <c r="AV146" s="952">
        <v>33535</v>
      </c>
      <c r="AW146" s="953">
        <v>22.500195770000001</v>
      </c>
      <c r="AX146" s="952">
        <v>250419</v>
      </c>
      <c r="AY146" s="953">
        <v>237.11763730000001</v>
      </c>
      <c r="AZ146" s="969">
        <v>54298276</v>
      </c>
      <c r="BA146" s="953">
        <v>49391.997530000001</v>
      </c>
      <c r="BB146" s="952">
        <v>2807820</v>
      </c>
      <c r="BC146" s="952">
        <v>40289810</v>
      </c>
      <c r="BD146" s="952">
        <v>8679473</v>
      </c>
      <c r="BE146" s="952">
        <f t="shared" si="9"/>
        <v>51777103</v>
      </c>
      <c r="BF146" s="952">
        <v>12899891</v>
      </c>
      <c r="BG146" s="952">
        <v>25440081</v>
      </c>
      <c r="BH146" s="953">
        <v>118205.92660207101</v>
      </c>
      <c r="BI146" s="952">
        <v>1515704</v>
      </c>
      <c r="BJ146" s="952">
        <v>708314372</v>
      </c>
      <c r="BK146" s="953">
        <v>167674.39788760801</v>
      </c>
      <c r="BL146" s="952">
        <v>144092030</v>
      </c>
      <c r="BM146" s="952">
        <v>15328</v>
      </c>
      <c r="BN146" s="952">
        <v>15045342</v>
      </c>
      <c r="BO146" s="953">
        <v>68593.958033186995</v>
      </c>
      <c r="BP146" s="952">
        <v>25832979</v>
      </c>
      <c r="BQ146" s="952">
        <v>12713</v>
      </c>
      <c r="BR146" s="952">
        <v>142773</v>
      </c>
      <c r="BS146" s="970"/>
      <c r="BT146" s="1110"/>
      <c r="BU146" s="172"/>
    </row>
    <row r="147" spans="2:109" ht="11.1" customHeight="1" x14ac:dyDescent="0.2">
      <c r="B147" s="1611" t="s">
        <v>556</v>
      </c>
      <c r="C147" s="1611">
        <v>1625972</v>
      </c>
      <c r="D147" s="1612">
        <v>152871.655908463</v>
      </c>
      <c r="E147" s="1611">
        <v>6288</v>
      </c>
      <c r="F147" s="1612">
        <v>263.39438776999998</v>
      </c>
      <c r="G147" s="1611">
        <f t="shared" ref="G147:G148" si="12">C147+E147</f>
        <v>1632260</v>
      </c>
      <c r="H147" s="1612">
        <f t="shared" ref="H147:H148" si="13">F147+D147</f>
        <v>153135.05029623301</v>
      </c>
      <c r="I147" s="1613">
        <v>25715795</v>
      </c>
      <c r="J147" s="1612">
        <v>76064.978508002023</v>
      </c>
      <c r="K147" s="1611">
        <v>636237</v>
      </c>
      <c r="L147" s="1612">
        <v>599.56036608099998</v>
      </c>
      <c r="M147" s="1611">
        <v>6989</v>
      </c>
      <c r="N147" s="1612">
        <v>14.815913629849998</v>
      </c>
      <c r="O147" s="1611">
        <v>3597309</v>
      </c>
      <c r="P147" s="1612">
        <v>2167.0796098750006</v>
      </c>
      <c r="Q147" s="1611">
        <v>331168</v>
      </c>
      <c r="R147" s="1612">
        <v>256.08718872039998</v>
      </c>
      <c r="S147" s="1611">
        <v>1436732</v>
      </c>
      <c r="T147" s="1612">
        <v>1211.6741886080001</v>
      </c>
      <c r="U147" s="1611">
        <v>299767</v>
      </c>
      <c r="V147" s="1612">
        <v>145.86323327165002</v>
      </c>
      <c r="W147" s="1611">
        <v>6308202</v>
      </c>
      <c r="X147" s="1612">
        <v>4395.0805001859007</v>
      </c>
      <c r="Y147" s="1612">
        <v>13013.387112577002</v>
      </c>
      <c r="Z147" s="1611">
        <v>39549787</v>
      </c>
      <c r="AA147" s="1612">
        <v>43688.366865495002</v>
      </c>
      <c r="AB147" s="1611">
        <v>20362</v>
      </c>
      <c r="AC147" s="1612">
        <v>44.7969911056</v>
      </c>
      <c r="AD147" s="1611">
        <v>3994020</v>
      </c>
      <c r="AE147" s="1612">
        <v>1373.9096492240001</v>
      </c>
      <c r="AF147" s="1611">
        <v>164618</v>
      </c>
      <c r="AG147" s="1612">
        <v>106.27764426390002</v>
      </c>
      <c r="AH147" s="1611">
        <v>3396970</v>
      </c>
      <c r="AI147" s="1612">
        <v>695.32583162000014</v>
      </c>
      <c r="AJ147" s="1611">
        <v>496200</v>
      </c>
      <c r="AK147" s="1612">
        <v>182.19967283009998</v>
      </c>
      <c r="AL147" s="1611">
        <v>47621957</v>
      </c>
      <c r="AM147" s="1612">
        <v>46090.876654538595</v>
      </c>
      <c r="AN147" s="1611">
        <v>600351</v>
      </c>
      <c r="AO147" s="1612">
        <v>470.00548876099992</v>
      </c>
      <c r="AP147" s="1611">
        <v>160486</v>
      </c>
      <c r="AQ147" s="1612">
        <v>58.34478016264999</v>
      </c>
      <c r="AR147" s="1611">
        <v>61907</v>
      </c>
      <c r="AS147" s="1612">
        <v>88.486205193999993</v>
      </c>
      <c r="AT147" s="1611">
        <v>194650</v>
      </c>
      <c r="AU147" s="1612">
        <v>157.08748847300001</v>
      </c>
      <c r="AV147" s="1611">
        <v>45338</v>
      </c>
      <c r="AW147" s="1611">
        <v>35.614113123999999</v>
      </c>
      <c r="AX147" s="1611">
        <v>301895</v>
      </c>
      <c r="AY147" s="1612">
        <v>281.18780679099996</v>
      </c>
      <c r="AZ147" s="1613">
        <v>54992891</v>
      </c>
      <c r="BA147" s="1612">
        <v>51295.495230439155</v>
      </c>
      <c r="BB147" s="1611">
        <v>2585639</v>
      </c>
      <c r="BC147" s="1611">
        <v>40655731</v>
      </c>
      <c r="BD147" s="1611">
        <v>8342330</v>
      </c>
      <c r="BE147" s="1611">
        <f t="shared" si="9"/>
        <v>51583700</v>
      </c>
      <c r="BF147" s="1611">
        <v>13337818</v>
      </c>
      <c r="BG147" s="1611">
        <v>24797148</v>
      </c>
      <c r="BH147" s="1612">
        <v>136347.72356230402</v>
      </c>
      <c r="BI147" s="1611">
        <v>1510465</v>
      </c>
      <c r="BJ147" s="1611">
        <v>744055515</v>
      </c>
      <c r="BK147" s="1612">
        <v>172918.69199999998</v>
      </c>
      <c r="BL147" s="1611">
        <v>144943391</v>
      </c>
      <c r="BM147" s="1611">
        <v>15217</v>
      </c>
      <c r="BN147" s="1611">
        <v>17621693</v>
      </c>
      <c r="BO147" s="1612">
        <v>73410.096999999994</v>
      </c>
      <c r="BP147" s="1611">
        <v>26033997</v>
      </c>
      <c r="BQ147" s="1611">
        <v>12674</v>
      </c>
      <c r="BR147" s="1611">
        <v>143209</v>
      </c>
      <c r="BS147" s="970"/>
      <c r="BT147" s="1110"/>
      <c r="BU147" s="172"/>
    </row>
    <row r="148" spans="2:109" ht="11.1" customHeight="1" thickBot="1" x14ac:dyDescent="0.25">
      <c r="B148" s="1614" t="s">
        <v>557</v>
      </c>
      <c r="C148" s="1614">
        <v>1395662</v>
      </c>
      <c r="D148" s="1615">
        <v>131375.93443164902</v>
      </c>
      <c r="E148" s="1614">
        <v>7553</v>
      </c>
      <c r="F148" s="1615">
        <v>316.15115804999999</v>
      </c>
      <c r="G148" s="1616">
        <f t="shared" si="12"/>
        <v>1403215</v>
      </c>
      <c r="H148" s="1615">
        <f t="shared" si="13"/>
        <v>131692.08558969901</v>
      </c>
      <c r="I148" s="1616">
        <v>14706235</v>
      </c>
      <c r="J148" s="1615">
        <v>69146.103797775024</v>
      </c>
      <c r="K148" s="1614">
        <v>426680</v>
      </c>
      <c r="L148" s="1615">
        <v>475.87097764300006</v>
      </c>
      <c r="M148" s="1614">
        <v>5686</v>
      </c>
      <c r="N148" s="1615">
        <v>12.525116145100004</v>
      </c>
      <c r="O148" s="1614">
        <v>3217263</v>
      </c>
      <c r="P148" s="1615">
        <v>1971.127415234</v>
      </c>
      <c r="Q148" s="1614">
        <v>270459</v>
      </c>
      <c r="R148" s="1615">
        <v>199.46011991510002</v>
      </c>
      <c r="S148" s="1614">
        <v>1228327</v>
      </c>
      <c r="T148" s="1615">
        <v>916.94629778700005</v>
      </c>
      <c r="U148" s="1614">
        <v>260156</v>
      </c>
      <c r="V148" s="1615">
        <v>120.80637227769998</v>
      </c>
      <c r="W148" s="1614">
        <v>5408571</v>
      </c>
      <c r="X148" s="1615">
        <v>3696.7362990019001</v>
      </c>
      <c r="Y148" s="1615">
        <v>13012.090198563001</v>
      </c>
      <c r="Z148" s="1614">
        <v>36830157</v>
      </c>
      <c r="AA148" s="1615">
        <v>41604.220315311999</v>
      </c>
      <c r="AB148" s="1614">
        <v>16706</v>
      </c>
      <c r="AC148" s="1615">
        <v>36.247313677400001</v>
      </c>
      <c r="AD148" s="1614">
        <v>3550238</v>
      </c>
      <c r="AE148" s="1615">
        <v>1198.6182733649998</v>
      </c>
      <c r="AF148" s="1614">
        <v>143802</v>
      </c>
      <c r="AG148" s="1615">
        <v>86.622379403899998</v>
      </c>
      <c r="AH148" s="1614">
        <v>3050989</v>
      </c>
      <c r="AI148" s="1615">
        <v>564.4430406969999</v>
      </c>
      <c r="AJ148" s="1614">
        <v>398119</v>
      </c>
      <c r="AK148" s="1615">
        <v>134.06191576809999</v>
      </c>
      <c r="AL148" s="1614">
        <v>43990011</v>
      </c>
      <c r="AM148" s="1615">
        <v>43624.213238223398</v>
      </c>
      <c r="AN148" s="1614">
        <v>557254</v>
      </c>
      <c r="AO148" s="1615">
        <v>447.6742121829999</v>
      </c>
      <c r="AP148" s="1614">
        <v>121761</v>
      </c>
      <c r="AQ148" s="1615">
        <v>41.020386024159997</v>
      </c>
      <c r="AR148" s="1614">
        <v>50073</v>
      </c>
      <c r="AS148" s="1615">
        <v>72.610658924000006</v>
      </c>
      <c r="AT148" s="1614">
        <v>116933</v>
      </c>
      <c r="AU148" s="1615">
        <v>95.33033058700002</v>
      </c>
      <c r="AV148" s="1614">
        <v>32355</v>
      </c>
      <c r="AW148" s="1614">
        <v>20.901416459</v>
      </c>
      <c r="AX148" s="1614">
        <v>199361</v>
      </c>
      <c r="AY148" s="1615">
        <v>188.84240597000002</v>
      </c>
      <c r="AZ148" s="1616">
        <v>50276958</v>
      </c>
      <c r="BA148" s="1615">
        <v>47998.486541402461</v>
      </c>
      <c r="BB148" s="1614">
        <v>2607835</v>
      </c>
      <c r="BC148" s="1614">
        <v>40454466</v>
      </c>
      <c r="BD148" s="1614">
        <v>8120519</v>
      </c>
      <c r="BE148" s="1614">
        <f t="shared" si="9"/>
        <v>51182820</v>
      </c>
      <c r="BF148" s="1614">
        <v>23038900</v>
      </c>
      <c r="BG148" s="1614">
        <v>28768089</v>
      </c>
      <c r="BH148" s="1615">
        <v>140515.53225151298</v>
      </c>
      <c r="BI148" s="1614">
        <v>1523235</v>
      </c>
      <c r="BJ148" s="1614">
        <v>615580925</v>
      </c>
      <c r="BK148" s="1615">
        <v>148045.45775036301</v>
      </c>
      <c r="BL148" s="1614">
        <v>145103411</v>
      </c>
      <c r="BM148" s="1614">
        <v>15217</v>
      </c>
      <c r="BN148" s="1614">
        <v>12275084</v>
      </c>
      <c r="BO148" s="1615">
        <v>61340.529521901</v>
      </c>
      <c r="BP148" s="1614">
        <v>26033997</v>
      </c>
      <c r="BQ148" s="1614">
        <v>13046</v>
      </c>
      <c r="BR148" s="1614">
        <v>146530</v>
      </c>
      <c r="BS148" s="970"/>
      <c r="BT148" s="1110"/>
      <c r="BU148" s="172"/>
    </row>
    <row r="149" spans="2:109" x14ac:dyDescent="0.2">
      <c r="B149" s="954" t="s">
        <v>2770</v>
      </c>
      <c r="C149" s="954"/>
      <c r="D149" s="1028"/>
      <c r="E149" s="954"/>
      <c r="F149" s="1028"/>
      <c r="G149" s="954"/>
      <c r="H149" s="1028"/>
      <c r="I149" s="1464"/>
      <c r="J149" s="1028"/>
      <c r="K149" s="954"/>
      <c r="L149" s="1028"/>
      <c r="M149" s="954" t="s">
        <v>2771</v>
      </c>
      <c r="N149" s="1028"/>
      <c r="O149" s="954"/>
      <c r="P149" s="1028"/>
      <c r="Q149" s="954"/>
      <c r="R149" s="1028"/>
      <c r="S149" s="954"/>
      <c r="T149" s="1028"/>
      <c r="U149" s="954"/>
      <c r="V149" s="1028"/>
      <c r="W149" s="954"/>
      <c r="X149" s="1028"/>
      <c r="Y149" s="1028"/>
      <c r="Z149" s="954"/>
      <c r="AA149" s="1028"/>
      <c r="AB149" s="954"/>
      <c r="AC149" s="1028"/>
      <c r="AD149" s="954"/>
      <c r="AE149" s="1028"/>
      <c r="AF149" s="954"/>
      <c r="AG149" s="1028"/>
      <c r="AH149" s="954"/>
      <c r="AI149" s="1028"/>
      <c r="AJ149" s="954"/>
      <c r="AK149" s="1028"/>
      <c r="AL149" s="954"/>
      <c r="AM149" s="1028"/>
      <c r="AN149" s="954"/>
      <c r="AO149" s="1028"/>
      <c r="AP149" s="954"/>
      <c r="AQ149" s="1028"/>
      <c r="AR149" s="954"/>
      <c r="AS149" s="1028"/>
      <c r="AT149" s="954"/>
      <c r="AU149" s="1028"/>
      <c r="AV149" s="954"/>
      <c r="AW149" s="1028"/>
      <c r="AX149" s="954"/>
      <c r="AY149" s="1028"/>
      <c r="AZ149" s="1464"/>
      <c r="BA149" s="1028"/>
      <c r="BB149" s="954"/>
      <c r="BC149" s="954"/>
      <c r="BD149" s="954"/>
      <c r="BE149" s="954"/>
      <c r="BF149" s="954"/>
      <c r="BG149" s="954"/>
      <c r="BH149" s="1028"/>
      <c r="BI149" s="954" t="s">
        <v>2772</v>
      </c>
      <c r="BJ149" s="954"/>
      <c r="BK149" s="1028"/>
      <c r="BL149" s="954"/>
      <c r="BM149" s="954"/>
      <c r="BN149" s="954"/>
      <c r="BO149" s="1028"/>
      <c r="BP149" s="954"/>
      <c r="BQ149" s="954"/>
      <c r="BR149" s="954"/>
      <c r="BS149" s="991"/>
      <c r="BT149" s="991"/>
      <c r="BU149" s="991"/>
      <c r="BV149" s="991"/>
      <c r="BW149" s="991"/>
      <c r="BX149" s="991"/>
      <c r="BY149" s="991"/>
    </row>
    <row r="150" spans="2:109" x14ac:dyDescent="0.2">
      <c r="B150" s="1096" t="s">
        <v>2125</v>
      </c>
      <c r="C150" s="1096"/>
      <c r="D150" s="1096"/>
      <c r="E150" s="1096"/>
      <c r="F150" s="1096"/>
      <c r="G150" s="1098"/>
      <c r="H150" s="1098"/>
      <c r="I150" s="1098"/>
      <c r="J150" s="1098"/>
      <c r="K150" s="690"/>
      <c r="M150" s="12" t="s">
        <v>2124</v>
      </c>
      <c r="N150" s="28"/>
      <c r="O150" s="28"/>
      <c r="P150" s="28"/>
      <c r="Q150" s="28"/>
      <c r="R150" s="28"/>
      <c r="AA150" s="970"/>
      <c r="AE150" s="970"/>
      <c r="AI150" s="970"/>
      <c r="AX150" s="1135"/>
      <c r="AZ150" s="1"/>
      <c r="BB150" s="1"/>
      <c r="BC150" s="992"/>
      <c r="BD150" s="992"/>
      <c r="BE150" s="1"/>
      <c r="BF150" s="992"/>
      <c r="BG150" s="992"/>
      <c r="BH150" s="991"/>
      <c r="BI150" s="1101"/>
      <c r="BJ150" s="980"/>
      <c r="BK150" s="991"/>
      <c r="BL150" s="1101"/>
      <c r="BM150" s="1102"/>
      <c r="BN150" s="1101"/>
      <c r="BO150" s="991"/>
      <c r="BP150" s="991"/>
      <c r="BR150" s="1101"/>
      <c r="BS150" s="970"/>
      <c r="BT150" s="1110"/>
      <c r="BU150" s="172"/>
    </row>
    <row r="151" spans="2:109" x14ac:dyDescent="0.2">
      <c r="B151" s="1097" t="s">
        <v>2120</v>
      </c>
      <c r="C151" s="1097"/>
      <c r="D151" s="1097"/>
      <c r="E151" s="1095"/>
      <c r="F151" s="1095"/>
      <c r="G151" s="1095"/>
      <c r="H151" s="1100"/>
      <c r="I151" s="980"/>
      <c r="J151" s="2546" t="s">
        <v>1294</v>
      </c>
      <c r="K151" s="2546"/>
      <c r="L151" s="1028"/>
      <c r="T151" s="970"/>
      <c r="AA151" s="970"/>
      <c r="AC151" s="970"/>
      <c r="AE151" s="970"/>
      <c r="AI151" s="970"/>
      <c r="AJ151" s="970"/>
      <c r="BA151" s="992"/>
      <c r="BB151" s="1485"/>
      <c r="BE151" s="1"/>
      <c r="BF151" s="1101"/>
      <c r="BG151" s="980"/>
      <c r="BH151" s="991"/>
      <c r="BI151" s="1101"/>
      <c r="BJ151" s="980"/>
      <c r="BK151" s="991"/>
      <c r="BL151" s="1101"/>
      <c r="BM151" s="1102"/>
      <c r="BN151" s="991"/>
      <c r="BO151" s="992"/>
      <c r="BP151" s="991"/>
      <c r="BS151" s="1369"/>
      <c r="BT151" s="1369"/>
      <c r="BU151" s="1369"/>
      <c r="BV151" s="1369"/>
      <c r="BW151" s="1369"/>
      <c r="BX151" s="1369"/>
      <c r="BY151" s="1369"/>
      <c r="BZ151" s="1369"/>
      <c r="CA151" s="1369"/>
    </row>
    <row r="152" spans="2:109" x14ac:dyDescent="0.2">
      <c r="B152" s="1094"/>
      <c r="C152" s="1032"/>
      <c r="D152" s="1028"/>
      <c r="E152" s="1028"/>
      <c r="F152" s="954"/>
      <c r="G152" s="1028"/>
      <c r="H152" s="1028"/>
      <c r="L152" s="1028"/>
      <c r="M152" s="954"/>
      <c r="N152" s="954"/>
      <c r="O152" s="954"/>
      <c r="P152" s="1028"/>
      <c r="Q152" s="954"/>
      <c r="R152" s="219"/>
      <c r="S152" s="219"/>
      <c r="T152" s="970"/>
      <c r="U152" s="219"/>
      <c r="V152" s="219"/>
      <c r="W152" s="219"/>
      <c r="X152" s="219"/>
      <c r="Y152" s="219"/>
      <c r="Z152" s="219"/>
      <c r="AA152" s="970"/>
      <c r="AB152" s="219"/>
      <c r="AC152" s="970"/>
      <c r="AD152" s="219"/>
      <c r="AE152" s="970"/>
      <c r="AF152" s="219"/>
      <c r="AG152" s="219"/>
      <c r="AH152" s="219"/>
      <c r="AI152" s="970"/>
      <c r="AJ152" s="970"/>
      <c r="AK152" s="219"/>
      <c r="AL152" s="219"/>
      <c r="AM152" s="219"/>
      <c r="AN152" s="219"/>
      <c r="AO152" s="219"/>
      <c r="AP152" s="219"/>
      <c r="AQ152" s="219"/>
      <c r="AR152" s="219"/>
      <c r="AS152" s="219"/>
      <c r="AT152" s="219"/>
      <c r="AU152" s="219"/>
      <c r="AV152" s="219"/>
      <c r="AW152" s="219"/>
      <c r="AX152" s="219"/>
      <c r="AY152" s="219"/>
      <c r="BA152" s="992"/>
      <c r="BB152" s="1485"/>
      <c r="BE152" s="1"/>
      <c r="BH152" s="991"/>
      <c r="BI152" s="1101"/>
      <c r="BJ152" s="980"/>
      <c r="BK152" s="991"/>
      <c r="BL152" s="1102"/>
      <c r="BP152" s="991"/>
      <c r="BT152" s="1110"/>
      <c r="BU152" s="172"/>
    </row>
    <row r="153" spans="2:109" x14ac:dyDescent="0.2">
      <c r="C153" s="991"/>
      <c r="D153" s="991"/>
      <c r="E153" s="991"/>
      <c r="F153" s="991"/>
      <c r="G153" s="991"/>
      <c r="H153" s="991"/>
      <c r="I153" s="991"/>
      <c r="J153" s="991"/>
      <c r="K153" s="991"/>
      <c r="L153" s="991"/>
      <c r="M153" s="991"/>
      <c r="N153" s="991"/>
      <c r="O153" s="991"/>
      <c r="P153" s="991"/>
      <c r="Q153" s="991"/>
      <c r="R153" s="991"/>
      <c r="S153" s="991"/>
      <c r="T153" s="991"/>
      <c r="U153" s="991"/>
      <c r="V153" s="991"/>
      <c r="W153" s="991"/>
      <c r="X153" s="991"/>
      <c r="Y153" s="991"/>
      <c r="Z153" s="991"/>
      <c r="AA153" s="991"/>
      <c r="AB153" s="991"/>
      <c r="AC153" s="991"/>
      <c r="AD153" s="991"/>
      <c r="AE153" s="991"/>
      <c r="AF153" s="991"/>
      <c r="AG153" s="991"/>
      <c r="AH153" s="991"/>
      <c r="AI153" s="991"/>
      <c r="AJ153" s="991"/>
      <c r="AK153" s="991"/>
      <c r="AL153" s="991"/>
      <c r="AM153" s="991"/>
      <c r="AN153" s="991"/>
      <c r="AO153" s="991"/>
      <c r="AP153" s="991"/>
      <c r="AQ153" s="991"/>
      <c r="AR153" s="991"/>
      <c r="AS153" s="991"/>
      <c r="AT153" s="991"/>
      <c r="AU153" s="991"/>
      <c r="AV153" s="991"/>
      <c r="AW153" s="991"/>
      <c r="AX153" s="991"/>
      <c r="AY153" s="991"/>
      <c r="AZ153" s="991"/>
      <c r="BA153" s="991"/>
      <c r="BB153" s="991"/>
      <c r="BC153" s="991"/>
      <c r="BD153" s="991"/>
      <c r="BE153" s="991"/>
      <c r="BF153" s="991"/>
      <c r="BG153" s="991"/>
      <c r="BH153" s="991"/>
      <c r="BI153" s="991"/>
      <c r="BJ153" s="991"/>
      <c r="BK153" s="991"/>
      <c r="BL153" s="991"/>
      <c r="BM153" s="991"/>
      <c r="BN153" s="991"/>
      <c r="BO153" s="991"/>
      <c r="BP153" s="991"/>
      <c r="BQ153" s="991"/>
      <c r="BR153" s="991"/>
      <c r="BT153" s="1110"/>
      <c r="BU153" s="172"/>
    </row>
    <row r="154" spans="2:109" x14ac:dyDescent="0.2">
      <c r="C154" s="991"/>
      <c r="D154" s="991"/>
      <c r="E154" s="970"/>
      <c r="F154" s="970"/>
      <c r="G154" s="970"/>
      <c r="H154" s="970"/>
      <c r="J154" s="1558"/>
      <c r="K154" s="1102"/>
      <c r="L154" s="1102"/>
      <c r="M154" s="1102"/>
      <c r="N154" s="1102"/>
      <c r="O154" s="1102"/>
      <c r="P154" s="1102"/>
      <c r="Q154" s="1102"/>
      <c r="R154" s="1102"/>
      <c r="S154" s="1102"/>
      <c r="T154" s="1102"/>
      <c r="U154" s="1102"/>
      <c r="V154" s="1102"/>
      <c r="W154" s="1102"/>
      <c r="X154" s="1102"/>
      <c r="Y154" s="1102"/>
      <c r="Z154" s="1102"/>
      <c r="AA154" s="1102"/>
      <c r="AB154" s="1102"/>
      <c r="AC154" s="1102"/>
      <c r="AD154" s="1102"/>
      <c r="AE154" s="1102"/>
      <c r="AF154" s="1102"/>
      <c r="AG154" s="1102"/>
      <c r="AH154" s="1102"/>
      <c r="AI154" s="1102"/>
      <c r="AJ154" s="1102"/>
      <c r="AK154" s="1102"/>
      <c r="AL154" s="1102"/>
      <c r="AM154" s="1102"/>
      <c r="AN154" s="1102"/>
      <c r="AO154" s="1102"/>
      <c r="AP154" s="1102"/>
      <c r="AQ154" s="1102"/>
      <c r="AR154" s="1102"/>
      <c r="AS154" s="1102"/>
      <c r="AT154" s="1102"/>
      <c r="AU154" s="1102"/>
      <c r="AV154" s="1102"/>
      <c r="AW154" s="1102"/>
      <c r="AX154" s="1102"/>
      <c r="AY154" s="1102"/>
      <c r="BB154" s="1485"/>
      <c r="BE154" s="1"/>
      <c r="BH154" s="991"/>
      <c r="BI154" s="1103"/>
      <c r="BJ154" s="1103"/>
      <c r="BK154" s="1103"/>
      <c r="BL154" s="1103"/>
      <c r="BN154" s="1103"/>
      <c r="BO154" s="1103"/>
      <c r="BP154" s="991"/>
      <c r="BQ154" s="970"/>
      <c r="BR154" s="1103"/>
      <c r="BT154" s="1110"/>
      <c r="BU154" s="172"/>
    </row>
    <row r="155" spans="2:109" x14ac:dyDescent="0.2">
      <c r="C155" s="991"/>
      <c r="D155" s="991"/>
      <c r="E155" s="991"/>
      <c r="F155" s="991"/>
      <c r="G155" s="991"/>
      <c r="H155" s="991"/>
      <c r="I155" s="1653"/>
      <c r="J155" s="1653"/>
      <c r="K155" s="1101"/>
      <c r="L155" s="991"/>
      <c r="M155" s="991"/>
      <c r="N155" s="991"/>
      <c r="O155" s="991"/>
      <c r="P155" s="991"/>
      <c r="Q155" s="991"/>
      <c r="R155" s="991"/>
      <c r="S155" s="991"/>
      <c r="T155" s="991"/>
      <c r="U155" s="991"/>
      <c r="V155" s="991"/>
      <c r="W155" s="991"/>
      <c r="X155" s="991"/>
      <c r="Y155" s="991"/>
      <c r="Z155" s="991"/>
      <c r="AA155" s="991"/>
      <c r="AB155" s="991"/>
      <c r="AC155" s="991"/>
      <c r="AD155" s="991"/>
      <c r="AE155" s="991"/>
      <c r="AF155" s="991"/>
      <c r="AG155" s="991"/>
      <c r="AH155" s="991"/>
      <c r="AI155" s="991"/>
      <c r="AJ155" s="991"/>
      <c r="AK155" s="991"/>
      <c r="AL155" s="991"/>
      <c r="AM155" s="991"/>
      <c r="AN155" s="991"/>
      <c r="AO155" s="991"/>
      <c r="AP155" s="991"/>
      <c r="AQ155" s="991"/>
      <c r="AR155" s="991"/>
      <c r="AS155" s="991"/>
      <c r="AT155" s="991"/>
      <c r="AU155" s="991"/>
      <c r="AV155" s="991"/>
      <c r="AW155" s="991"/>
      <c r="AX155" s="991"/>
      <c r="AY155" s="991"/>
      <c r="AZ155" s="991"/>
      <c r="BA155" s="991"/>
      <c r="BB155" s="991"/>
      <c r="BC155" s="991"/>
      <c r="BD155" s="991"/>
      <c r="BE155" s="991"/>
      <c r="BF155" s="991"/>
      <c r="BG155" s="991"/>
      <c r="BH155" s="991"/>
      <c r="BI155" s="991"/>
      <c r="BJ155" s="991"/>
      <c r="BK155" s="991"/>
      <c r="BL155" s="991"/>
      <c r="BM155" s="991"/>
      <c r="BN155" s="991"/>
      <c r="BO155" s="991"/>
      <c r="BP155" s="991"/>
      <c r="BQ155" s="991"/>
      <c r="BR155" s="991"/>
      <c r="BT155" s="1110"/>
      <c r="BU155" s="172"/>
    </row>
    <row r="156" spans="2:109" x14ac:dyDescent="0.2">
      <c r="D156" s="1103"/>
      <c r="E156" s="1103"/>
      <c r="F156" s="1104"/>
      <c r="G156" s="1103"/>
      <c r="H156" s="1103"/>
      <c r="K156" s="1101"/>
      <c r="L156" s="1080"/>
      <c r="M156" s="1080"/>
      <c r="N156" s="1080"/>
      <c r="O156" s="1080"/>
      <c r="P156" s="1080"/>
      <c r="Q156" s="980"/>
      <c r="R156" s="1080"/>
      <c r="S156" s="1080"/>
      <c r="T156" s="1080"/>
      <c r="U156" s="1080"/>
      <c r="V156" s="1080"/>
      <c r="W156" s="1080"/>
      <c r="X156" s="1080"/>
      <c r="Y156" s="1080"/>
      <c r="Z156" s="1080"/>
      <c r="AA156" s="1080"/>
      <c r="AB156" s="1080"/>
      <c r="AC156" s="1080"/>
      <c r="AD156" s="1080"/>
      <c r="AE156" s="1080"/>
      <c r="AF156" s="1080"/>
      <c r="AG156" s="1080"/>
      <c r="AH156" s="1080"/>
      <c r="AI156" s="1080"/>
      <c r="AJ156" s="1080"/>
      <c r="AK156" s="1080"/>
      <c r="AL156" s="1080"/>
      <c r="AM156" s="1080"/>
      <c r="AN156" s="1080"/>
      <c r="AO156" s="1080"/>
      <c r="AP156" s="1080"/>
      <c r="AQ156" s="1080"/>
      <c r="AR156" s="1080"/>
      <c r="AS156" s="1080"/>
      <c r="BB156" s="1042"/>
      <c r="BE156" s="1"/>
      <c r="BF156" s="992"/>
      <c r="BH156" s="991"/>
      <c r="BN156" s="970"/>
      <c r="BO156" s="970"/>
      <c r="BQ156" s="970"/>
      <c r="BT156" s="1110"/>
      <c r="BU156" s="172"/>
    </row>
    <row r="157" spans="2:109" x14ac:dyDescent="0.2">
      <c r="D157" s="1103"/>
      <c r="E157" s="1104"/>
      <c r="F157" s="1104"/>
      <c r="G157" s="1104"/>
      <c r="H157" s="1105"/>
      <c r="I157" s="1080"/>
      <c r="J157" s="1104"/>
      <c r="K157" s="1104"/>
      <c r="L157" s="1080"/>
      <c r="M157" s="1080"/>
      <c r="N157" s="1080"/>
      <c r="O157" s="1080"/>
      <c r="P157" s="1080"/>
      <c r="Q157" s="1080"/>
      <c r="R157" s="1080"/>
      <c r="S157" s="1080"/>
      <c r="T157" s="1080"/>
      <c r="U157" s="1080"/>
      <c r="V157" s="1080"/>
      <c r="W157" s="1080"/>
      <c r="X157" s="1080"/>
      <c r="Y157" s="1080"/>
      <c r="Z157" s="1080"/>
      <c r="AA157" s="1080"/>
      <c r="AB157" s="1080"/>
      <c r="AC157" s="1080"/>
      <c r="AD157" s="1080"/>
      <c r="AE157" s="1080"/>
      <c r="AF157" s="1080"/>
      <c r="AG157" s="1080"/>
      <c r="AH157" s="1080"/>
      <c r="AI157" s="1080"/>
      <c r="AJ157" s="1080"/>
      <c r="AK157" s="1080"/>
      <c r="AL157" s="1080"/>
      <c r="AM157" s="1080"/>
      <c r="AN157" s="1080"/>
      <c r="AO157" s="1080"/>
      <c r="AP157" s="1080"/>
      <c r="AQ157" s="1080"/>
      <c r="AR157" s="1080"/>
      <c r="AS157" s="1080"/>
      <c r="AU157" s="1102"/>
      <c r="BB157" s="1042"/>
      <c r="BE157" s="1"/>
      <c r="BF157" s="992"/>
      <c r="BH157" s="991"/>
      <c r="BN157" s="970"/>
      <c r="BQ157" s="970"/>
      <c r="BT157" s="1110"/>
      <c r="BU157" s="172"/>
    </row>
    <row r="158" spans="2:109" x14ac:dyDescent="0.2">
      <c r="C158" s="970"/>
      <c r="D158" s="991"/>
      <c r="E158" s="992"/>
      <c r="F158" s="970"/>
      <c r="G158" s="991"/>
      <c r="H158" s="992"/>
      <c r="I158" s="1"/>
      <c r="J158" s="971"/>
      <c r="K158" s="970"/>
      <c r="BB158" s="1042"/>
      <c r="BE158" s="1"/>
      <c r="BF158" s="992"/>
      <c r="BH158" s="991"/>
      <c r="BQ158" s="970"/>
      <c r="BT158" s="1110"/>
      <c r="BU158" s="172"/>
    </row>
    <row r="159" spans="2:109" x14ac:dyDescent="0.2">
      <c r="C159" s="970"/>
      <c r="D159" s="970"/>
      <c r="E159" s="970"/>
      <c r="F159" s="970"/>
      <c r="G159" s="970"/>
      <c r="H159" s="970"/>
      <c r="I159" s="970"/>
      <c r="J159" s="970"/>
      <c r="K159" s="970"/>
      <c r="L159" s="970"/>
      <c r="M159" s="970"/>
      <c r="N159" s="970"/>
      <c r="O159" s="970"/>
      <c r="P159" s="970"/>
      <c r="Q159" s="970"/>
      <c r="R159" s="970"/>
      <c r="S159" s="970"/>
      <c r="T159" s="970"/>
      <c r="U159" s="970"/>
      <c r="V159" s="970"/>
      <c r="W159" s="970"/>
      <c r="X159" s="970"/>
      <c r="Y159" s="970"/>
      <c r="Z159" s="970"/>
      <c r="AA159" s="970"/>
      <c r="AB159" s="970"/>
      <c r="AC159" s="970"/>
      <c r="AD159" s="970"/>
      <c r="AE159" s="970"/>
      <c r="AF159" s="970"/>
      <c r="AG159" s="970"/>
      <c r="AH159" s="970"/>
      <c r="AI159" s="970"/>
      <c r="AJ159" s="970"/>
      <c r="AK159" s="970"/>
      <c r="AL159" s="970"/>
      <c r="AM159" s="970"/>
      <c r="AN159" s="970"/>
      <c r="AO159" s="970"/>
      <c r="AP159" s="970"/>
      <c r="AQ159" s="970"/>
      <c r="AR159" s="970"/>
      <c r="AS159" s="970"/>
      <c r="AT159" s="970"/>
      <c r="AU159" s="970"/>
      <c r="AV159" s="970"/>
      <c r="AW159" s="970"/>
      <c r="AX159" s="970"/>
      <c r="AY159" s="970"/>
      <c r="AZ159" s="970"/>
      <c r="BA159" s="970"/>
      <c r="BB159" s="970"/>
      <c r="BC159" s="970"/>
      <c r="BD159" s="970"/>
      <c r="BE159" s="970"/>
      <c r="BF159" s="970"/>
      <c r="BG159" s="970"/>
      <c r="BH159" s="970"/>
      <c r="BI159" s="970"/>
      <c r="BJ159" s="970"/>
      <c r="BK159" s="970"/>
      <c r="BL159" s="970"/>
      <c r="BM159" s="970"/>
      <c r="BN159" s="970"/>
      <c r="BO159" s="970"/>
      <c r="BP159" s="970"/>
      <c r="BQ159" s="970"/>
      <c r="BR159" s="970"/>
    </row>
    <row r="160" spans="2:109" x14ac:dyDescent="0.2">
      <c r="C160" s="970"/>
      <c r="D160" s="991"/>
      <c r="E160" s="991"/>
      <c r="F160" s="991"/>
      <c r="G160" s="991"/>
      <c r="H160" s="991"/>
      <c r="I160" s="991"/>
      <c r="J160" s="991"/>
      <c r="K160" s="991"/>
      <c r="L160" s="991"/>
      <c r="M160" s="991"/>
      <c r="N160" s="991"/>
      <c r="O160" s="991"/>
      <c r="P160" s="991"/>
      <c r="Q160" s="991"/>
      <c r="R160" s="991"/>
      <c r="S160" s="991"/>
      <c r="T160" s="991"/>
      <c r="U160" s="991"/>
      <c r="V160" s="991"/>
      <c r="W160" s="991"/>
      <c r="X160" s="991"/>
      <c r="Y160" s="991"/>
      <c r="Z160" s="991"/>
      <c r="AA160" s="991"/>
      <c r="AB160" s="991"/>
      <c r="AC160" s="991"/>
      <c r="AD160" s="991"/>
      <c r="AE160" s="991"/>
      <c r="AF160" s="991"/>
      <c r="AG160" s="991"/>
      <c r="AH160" s="991"/>
      <c r="AI160" s="991"/>
      <c r="AJ160" s="991"/>
      <c r="AK160" s="991"/>
      <c r="AL160" s="991"/>
      <c r="AM160" s="991"/>
      <c r="AN160" s="991"/>
      <c r="AO160" s="991"/>
      <c r="AP160" s="991"/>
      <c r="AQ160" s="991"/>
      <c r="AR160" s="991"/>
      <c r="AS160" s="991"/>
      <c r="BB160" s="1042"/>
      <c r="BE160" s="1"/>
      <c r="BF160" s="992"/>
      <c r="BH160" s="991"/>
      <c r="BS160" s="992"/>
      <c r="BT160" s="992"/>
      <c r="BU160" s="992"/>
      <c r="BV160" s="992"/>
      <c r="BW160" s="992"/>
      <c r="BX160" s="992"/>
      <c r="BY160" s="992"/>
      <c r="BZ160" s="992"/>
      <c r="CA160" s="992"/>
      <c r="CB160" s="992"/>
      <c r="CC160" s="992"/>
      <c r="CD160" s="992"/>
      <c r="CE160" s="992"/>
      <c r="CF160" s="992"/>
      <c r="CG160" s="992"/>
      <c r="CH160" s="992"/>
      <c r="CI160" s="992"/>
      <c r="CJ160" s="992"/>
      <c r="CK160" s="992"/>
      <c r="CL160" s="992"/>
      <c r="CM160" s="992"/>
      <c r="CN160" s="992"/>
      <c r="CO160" s="992"/>
      <c r="CP160" s="992"/>
      <c r="CQ160" s="992"/>
      <c r="CR160" s="992"/>
      <c r="CS160" s="992"/>
      <c r="CT160" s="992"/>
      <c r="CU160" s="992"/>
      <c r="CV160" s="992"/>
      <c r="CW160" s="992"/>
      <c r="CX160" s="992"/>
      <c r="CY160" s="992"/>
      <c r="CZ160" s="992"/>
      <c r="DA160" s="992"/>
      <c r="DB160" s="992"/>
      <c r="DC160" s="992"/>
      <c r="DD160" s="992"/>
      <c r="DE160" s="992"/>
    </row>
    <row r="161" spans="4:70" x14ac:dyDescent="0.2">
      <c r="D161" s="992"/>
      <c r="E161" s="992"/>
      <c r="G161" s="992"/>
      <c r="H161" s="992"/>
      <c r="I161" s="1"/>
      <c r="J161" s="1"/>
      <c r="BB161" s="1042"/>
      <c r="BE161" s="1"/>
      <c r="BF161" s="992"/>
      <c r="BH161" s="991"/>
    </row>
    <row r="162" spans="4:70" x14ac:dyDescent="0.2">
      <c r="D162" s="992"/>
      <c r="E162" s="992"/>
      <c r="G162" s="992"/>
      <c r="H162" s="992"/>
      <c r="I162" s="1"/>
      <c r="J162" s="1"/>
      <c r="BE162" s="1"/>
      <c r="BF162" s="219"/>
      <c r="BH162" s="991"/>
    </row>
    <row r="164" spans="4:70" x14ac:dyDescent="0.2">
      <c r="BI164" s="992"/>
      <c r="BJ164" s="992"/>
      <c r="BK164" s="992"/>
      <c r="BL164" s="992"/>
      <c r="BM164" s="992"/>
      <c r="BN164" s="992"/>
      <c r="BO164" s="992"/>
      <c r="BP164" s="992"/>
      <c r="BQ164" s="992"/>
      <c r="BR164" s="992"/>
    </row>
    <row r="167" spans="4:70" x14ac:dyDescent="0.2">
      <c r="BI167" s="992"/>
      <c r="BJ167" s="992"/>
      <c r="BK167" s="992"/>
      <c r="BL167" s="992"/>
      <c r="BM167" s="992"/>
      <c r="BN167" s="992"/>
    </row>
  </sheetData>
  <customSheetViews>
    <customSheetView guid="{A374FC54-96E3-45F0-9C12-8450400C12DF}" scale="120">
      <pane xSplit="2" ySplit="1" topLeftCell="BH34" activePane="bottomRight" state="frozen"/>
      <selection pane="bottomRight" activeCell="AC49" sqref="AC49"/>
      <pageMargins left="0.511811023622047" right="0.511811023622047" top="0.511811023622047" bottom="0.511811023622047" header="0.31496062992126" footer="0.31496062992126"/>
      <pageSetup paperSize="132" firstPageNumber="22" orientation="portrait" useFirstPageNumber="1" r:id="rId1"/>
      <headerFooter alignWithMargins="0">
        <oddFooter>&amp;C&amp;"Times New Roman,Regular"&amp;8&amp;P</oddFooter>
      </headerFooter>
    </customSheetView>
  </customSheetViews>
  <mergeCells count="101">
    <mergeCell ref="A3:A8"/>
    <mergeCell ref="AP6:AQ6"/>
    <mergeCell ref="AU3:AW3"/>
    <mergeCell ref="AL1:AQ1"/>
    <mergeCell ref="AS2:AW2"/>
    <mergeCell ref="V1:Y1"/>
    <mergeCell ref="K5:N5"/>
    <mergeCell ref="O5:R5"/>
    <mergeCell ref="Z5:AC5"/>
    <mergeCell ref="AD5:AG5"/>
    <mergeCell ref="AH5:AK5"/>
    <mergeCell ref="J1:L1"/>
    <mergeCell ref="M1:R1"/>
    <mergeCell ref="AH1:AK1"/>
    <mergeCell ref="V2:Y2"/>
    <mergeCell ref="Z4:AM4"/>
    <mergeCell ref="B3:B8"/>
    <mergeCell ref="C3:H4"/>
    <mergeCell ref="K3:Y3"/>
    <mergeCell ref="S5:V5"/>
    <mergeCell ref="W5:X6"/>
    <mergeCell ref="Y5:Y6"/>
    <mergeCell ref="C5:D6"/>
    <mergeCell ref="E5:F6"/>
    <mergeCell ref="J151:K151"/>
    <mergeCell ref="BI3:BL4"/>
    <mergeCell ref="AX3:BA3"/>
    <mergeCell ref="BB3:BE4"/>
    <mergeCell ref="BF3:BH4"/>
    <mergeCell ref="BD5:BD6"/>
    <mergeCell ref="BG5:BH6"/>
    <mergeCell ref="BJ8:BK8"/>
    <mergeCell ref="AX8:AY8"/>
    <mergeCell ref="AZ8:BA8"/>
    <mergeCell ref="BJ5:BK6"/>
    <mergeCell ref="BF5:BF6"/>
    <mergeCell ref="AT8:AU8"/>
    <mergeCell ref="AV8:AW8"/>
    <mergeCell ref="Q6:R6"/>
    <mergeCell ref="AL5:AM6"/>
    <mergeCell ref="AF6:AG6"/>
    <mergeCell ref="AD6:AE6"/>
    <mergeCell ref="AJ6:AK6"/>
    <mergeCell ref="AB6:AC6"/>
    <mergeCell ref="Z6:AA6"/>
    <mergeCell ref="AH6:AI6"/>
    <mergeCell ref="AZ4:BA6"/>
    <mergeCell ref="I3:J6"/>
    <mergeCell ref="G5:H6"/>
    <mergeCell ref="U8:V8"/>
    <mergeCell ref="W8:X8"/>
    <mergeCell ref="K6:L6"/>
    <mergeCell ref="M6:N6"/>
    <mergeCell ref="O6:P6"/>
    <mergeCell ref="K4:Y4"/>
    <mergeCell ref="S6:T6"/>
    <mergeCell ref="U6:V6"/>
    <mergeCell ref="BP2:BR2"/>
    <mergeCell ref="AS1:AW1"/>
    <mergeCell ref="BE1:BH1"/>
    <mergeCell ref="BI1:BN1"/>
    <mergeCell ref="BM5:BM6"/>
    <mergeCell ref="BN5:BO6"/>
    <mergeCell ref="AN6:AO6"/>
    <mergeCell ref="AX6:AY6"/>
    <mergeCell ref="BL5:BL6"/>
    <mergeCell ref="BI5:BI6"/>
    <mergeCell ref="AR6:AS6"/>
    <mergeCell ref="BB5:BB6"/>
    <mergeCell ref="BC5:BC6"/>
    <mergeCell ref="BM3:BP4"/>
    <mergeCell ref="BQ3:BQ6"/>
    <mergeCell ref="BR3:BR6"/>
    <mergeCell ref="AN4:AQ5"/>
    <mergeCell ref="AR4:AW5"/>
    <mergeCell ref="AX4:AY5"/>
    <mergeCell ref="AT6:AU6"/>
    <mergeCell ref="AV6:AW6"/>
    <mergeCell ref="BP5:BP6"/>
    <mergeCell ref="BE5:BE6"/>
    <mergeCell ref="BO1:BR1"/>
    <mergeCell ref="BN8:BO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AF8:AG8"/>
    <mergeCell ref="AD8:AE8"/>
    <mergeCell ref="AB8:AC8"/>
    <mergeCell ref="AJ8:AK8"/>
    <mergeCell ref="AL8:AM8"/>
    <mergeCell ref="Z8:AA8"/>
    <mergeCell ref="AN8:AO8"/>
    <mergeCell ref="AP8:AQ8"/>
    <mergeCell ref="AR8:AS8"/>
    <mergeCell ref="AH8:AI8"/>
  </mergeCells>
  <pageMargins left="0.62992125984252001" right="0.511811023622047" top="0.31496062992126" bottom="2.5590551E-2" header="0" footer="6.4960630000000005E-2"/>
  <pageSetup paperSize="448" scale="98" orientation="portrait" r:id="rId2"/>
  <headerFooter differentFirst="1" alignWithMargins="0">
    <oddFooter>&amp;C&amp;"Times New Roman,Regular"&amp;8&amp;P</oddFooter>
  </headerFooter>
  <colBreaks count="1" manualBreakCount="1">
    <brk id="6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306"/>
  <sheetViews>
    <sheetView zoomScale="140" zoomScaleNormal="140" workbookViewId="0">
      <pane xSplit="1" ySplit="5" topLeftCell="L35" activePane="bottomRight" state="frozen"/>
      <selection activeCell="Q6" sqref="Q6"/>
      <selection pane="topRight" activeCell="Q6" sqref="Q6"/>
      <selection pane="bottomLeft" activeCell="Q6" sqref="Q6"/>
      <selection pane="bottomRight" activeCell="V46" sqref="V46"/>
    </sheetView>
  </sheetViews>
  <sheetFormatPr defaultColWidth="9.140625" defaultRowHeight="11.25" x14ac:dyDescent="0.2"/>
  <cols>
    <col min="1" max="1" width="10.28515625" style="2176" customWidth="1"/>
    <col min="2" max="2" width="10.28515625" style="819" customWidth="1"/>
    <col min="3" max="3" width="10.85546875" style="819" customWidth="1"/>
    <col min="4" max="4" width="11.140625" style="819" customWidth="1"/>
    <col min="5" max="5" width="11" style="819" customWidth="1"/>
    <col min="6" max="6" width="11.28515625" style="819" customWidth="1"/>
    <col min="7" max="7" width="11" style="819" customWidth="1"/>
    <col min="8" max="8" width="12.42578125" style="819" customWidth="1"/>
    <col min="9" max="9" width="8.5703125" style="819" customWidth="1"/>
    <col min="10" max="10" width="9.5703125" style="819" customWidth="1"/>
    <col min="11" max="11" width="10.140625" style="819" customWidth="1"/>
    <col min="12" max="12" width="10.7109375" style="819" customWidth="1"/>
    <col min="13" max="14" width="9.85546875" style="819" customWidth="1"/>
    <col min="15" max="15" width="15.85546875" style="819" customWidth="1"/>
    <col min="16" max="16" width="7.7109375" style="819" customWidth="1"/>
    <col min="17" max="17" width="8.5703125" style="819" customWidth="1"/>
    <col min="18" max="18" width="8.7109375" style="819" customWidth="1"/>
    <col min="19" max="19" width="9.140625" style="819"/>
    <col min="20" max="20" width="9.28515625" style="819" customWidth="1"/>
    <col min="21" max="21" width="13.7109375" style="819" customWidth="1"/>
    <col min="22" max="22" width="12.28515625" style="819" customWidth="1"/>
    <col min="23" max="16384" width="9.140625" style="819"/>
  </cols>
  <sheetData>
    <row r="1" spans="1:22" s="154" customFormat="1" ht="15" customHeight="1" x14ac:dyDescent="0.2">
      <c r="A1" s="2177"/>
      <c r="B1" s="2178"/>
      <c r="C1" s="2178"/>
      <c r="D1" s="2178"/>
      <c r="E1" s="2178"/>
      <c r="F1" s="2178"/>
      <c r="G1" s="2593" t="s">
        <v>123</v>
      </c>
      <c r="H1" s="2593"/>
      <c r="I1" s="2587" t="s">
        <v>122</v>
      </c>
      <c r="J1" s="2587"/>
      <c r="K1" s="2179"/>
      <c r="L1" s="2179"/>
      <c r="M1" s="2593" t="s">
        <v>421</v>
      </c>
      <c r="N1" s="2593"/>
      <c r="O1" s="2593"/>
      <c r="P1" s="2587"/>
      <c r="Q1" s="2587"/>
      <c r="R1" s="2587"/>
      <c r="S1" s="2587"/>
      <c r="T1" s="2593" t="s">
        <v>422</v>
      </c>
      <c r="U1" s="2593"/>
      <c r="V1" s="2593"/>
    </row>
    <row r="2" spans="1:22" s="154" customFormat="1" ht="11.25" customHeight="1" x14ac:dyDescent="0.2">
      <c r="A2" s="2177"/>
      <c r="B2" s="2177"/>
      <c r="C2" s="2177"/>
      <c r="D2" s="2177"/>
      <c r="E2" s="2179"/>
      <c r="G2" s="2180"/>
      <c r="I2" s="2179"/>
      <c r="J2" s="2179"/>
      <c r="K2" s="2179"/>
      <c r="L2" s="2179"/>
      <c r="M2" s="2592" t="s">
        <v>24</v>
      </c>
      <c r="N2" s="2592"/>
      <c r="O2" s="2592"/>
      <c r="P2" s="2179"/>
      <c r="Q2" s="153"/>
      <c r="R2" s="153"/>
      <c r="S2" s="153"/>
      <c r="T2" s="153"/>
      <c r="U2" s="2592" t="s">
        <v>24</v>
      </c>
      <c r="V2" s="2592"/>
    </row>
    <row r="3" spans="1:22" s="154" customFormat="1" ht="12.75" customHeight="1" x14ac:dyDescent="0.25">
      <c r="A3" s="2578" t="s">
        <v>3070</v>
      </c>
      <c r="B3" s="2578" t="s">
        <v>3067</v>
      </c>
      <c r="C3" s="2589" t="s">
        <v>479</v>
      </c>
      <c r="D3" s="2590"/>
      <c r="E3" s="2591"/>
      <c r="F3" s="2588" t="s">
        <v>324</v>
      </c>
      <c r="G3" s="2588"/>
      <c r="H3" s="2588"/>
      <c r="I3" s="2588" t="s">
        <v>874</v>
      </c>
      <c r="J3" s="2588"/>
      <c r="K3" s="2588"/>
      <c r="L3" s="2594" t="s">
        <v>875</v>
      </c>
      <c r="M3" s="2594"/>
      <c r="N3" s="2594"/>
      <c r="O3" s="2584" t="s">
        <v>897</v>
      </c>
      <c r="P3" s="2595" t="s">
        <v>878</v>
      </c>
      <c r="Q3" s="2589" t="s">
        <v>877</v>
      </c>
      <c r="R3" s="2590"/>
      <c r="S3" s="2590"/>
      <c r="T3" s="2590"/>
      <c r="U3" s="2591"/>
      <c r="V3" s="2597" t="s">
        <v>1232</v>
      </c>
    </row>
    <row r="4" spans="1:22" s="211" customFormat="1" ht="29.25" customHeight="1" x14ac:dyDescent="0.2">
      <c r="A4" s="2579"/>
      <c r="B4" s="2579"/>
      <c r="C4" s="2091" t="s">
        <v>894</v>
      </c>
      <c r="D4" s="2091" t="s">
        <v>895</v>
      </c>
      <c r="E4" s="2091" t="s">
        <v>896</v>
      </c>
      <c r="F4" s="2091" t="s">
        <v>480</v>
      </c>
      <c r="G4" s="2091" t="s">
        <v>481</v>
      </c>
      <c r="H4" s="2091" t="s">
        <v>625</v>
      </c>
      <c r="I4" s="2091" t="s">
        <v>480</v>
      </c>
      <c r="J4" s="2091" t="s">
        <v>481</v>
      </c>
      <c r="K4" s="2091" t="s">
        <v>626</v>
      </c>
      <c r="L4" s="2091" t="s">
        <v>482</v>
      </c>
      <c r="M4" s="2091" t="s">
        <v>471</v>
      </c>
      <c r="N4" s="2091" t="s">
        <v>630</v>
      </c>
      <c r="O4" s="2585"/>
      <c r="P4" s="2596"/>
      <c r="Q4" s="2181" t="s">
        <v>879</v>
      </c>
      <c r="R4" s="2181" t="s">
        <v>733</v>
      </c>
      <c r="S4" s="2181" t="s">
        <v>734</v>
      </c>
      <c r="T4" s="2181" t="s">
        <v>735</v>
      </c>
      <c r="U4" s="2181" t="s">
        <v>632</v>
      </c>
      <c r="V4" s="2598"/>
    </row>
    <row r="5" spans="1:22" s="207" customFormat="1" ht="17.25" customHeight="1" x14ac:dyDescent="0.2">
      <c r="A5" s="2580"/>
      <c r="B5" s="2580"/>
      <c r="C5" s="316">
        <v>1</v>
      </c>
      <c r="D5" s="316">
        <v>2</v>
      </c>
      <c r="E5" s="316" t="s">
        <v>629</v>
      </c>
      <c r="F5" s="316">
        <v>4</v>
      </c>
      <c r="G5" s="316">
        <v>5</v>
      </c>
      <c r="H5" s="316" t="s">
        <v>628</v>
      </c>
      <c r="I5" s="316">
        <v>7</v>
      </c>
      <c r="J5" s="316">
        <v>8</v>
      </c>
      <c r="K5" s="316" t="s">
        <v>627</v>
      </c>
      <c r="L5" s="316">
        <v>10</v>
      </c>
      <c r="M5" s="316">
        <v>11</v>
      </c>
      <c r="N5" s="316" t="s">
        <v>631</v>
      </c>
      <c r="O5" s="316" t="s">
        <v>223</v>
      </c>
      <c r="P5" s="2154">
        <v>14</v>
      </c>
      <c r="Q5" s="2154">
        <v>15</v>
      </c>
      <c r="R5" s="2154">
        <v>16</v>
      </c>
      <c r="S5" s="2154">
        <v>17</v>
      </c>
      <c r="T5" s="2154">
        <v>18</v>
      </c>
      <c r="U5" s="2182" t="s">
        <v>876</v>
      </c>
      <c r="V5" s="2599"/>
    </row>
    <row r="6" spans="1:22" s="207" customFormat="1" ht="17.25" customHeight="1" x14ac:dyDescent="0.2">
      <c r="A6" s="1945" t="s">
        <v>539</v>
      </c>
      <c r="B6" s="2185"/>
      <c r="C6" s="218">
        <v>23466.9</v>
      </c>
      <c r="D6" s="218">
        <v>30783.599999999999</v>
      </c>
      <c r="E6" s="218">
        <f t="shared" ref="E6" si="0">C6-D6</f>
        <v>-7316.6999999999971</v>
      </c>
      <c r="F6" s="218">
        <v>3214</v>
      </c>
      <c r="G6" s="218">
        <v>5803.7</v>
      </c>
      <c r="H6" s="218">
        <f t="shared" ref="H6" si="1">F6-G6</f>
        <v>-2589.6999999999998</v>
      </c>
      <c r="I6" s="218">
        <v>413.3</v>
      </c>
      <c r="J6" s="218">
        <v>867</v>
      </c>
      <c r="K6" s="218">
        <f t="shared" ref="K6" si="2">I6-J6</f>
        <v>-453.7</v>
      </c>
      <c r="L6" s="218">
        <v>1213.8</v>
      </c>
      <c r="M6" s="218">
        <v>7973.4</v>
      </c>
      <c r="N6" s="218">
        <f>L6+M6</f>
        <v>9187.1999999999989</v>
      </c>
      <c r="O6" s="218">
        <f t="shared" ref="O6" si="3">E6++H6+K6+N6</f>
        <v>-1172.8999999999996</v>
      </c>
      <c r="P6" s="218">
        <v>1379.8</v>
      </c>
      <c r="Q6" s="218">
        <v>1133.3</v>
      </c>
      <c r="R6" s="218">
        <v>13.8</v>
      </c>
      <c r="S6" s="218">
        <v>-865.5</v>
      </c>
      <c r="T6" s="218">
        <v>-109.5</v>
      </c>
      <c r="U6" s="218">
        <f t="shared" ref="U6" si="4">P6+Q6+R6+S6+T6</f>
        <v>1551.9</v>
      </c>
      <c r="V6" s="51">
        <f>-(O6+U6)</f>
        <v>-379.00000000000045</v>
      </c>
    </row>
    <row r="7" spans="1:22" s="207" customFormat="1" ht="17.25" customHeight="1" x14ac:dyDescent="0.2">
      <c r="A7" s="1895" t="s">
        <v>3176</v>
      </c>
      <c r="B7" s="1895"/>
      <c r="C7" s="1895">
        <v>25546.400000000001</v>
      </c>
      <c r="D7" s="1895">
        <v>34708.1</v>
      </c>
      <c r="E7" s="1895">
        <v>-9161.6999999999971</v>
      </c>
      <c r="F7" s="1895">
        <v>3439.7</v>
      </c>
      <c r="G7" s="1895">
        <v>6283.2</v>
      </c>
      <c r="H7" s="1895">
        <v>-2843.5</v>
      </c>
      <c r="I7" s="1895">
        <v>437.8</v>
      </c>
      <c r="J7" s="1895">
        <v>1090.8</v>
      </c>
      <c r="K7" s="1895">
        <v>-653</v>
      </c>
      <c r="L7" s="1895">
        <v>2560</v>
      </c>
      <c r="M7" s="1895">
        <v>8205.6</v>
      </c>
      <c r="N7" s="1895">
        <v>10765.6</v>
      </c>
      <c r="O7" s="1895">
        <v>-1892.5999999999967</v>
      </c>
      <c r="P7" s="1895">
        <v>1671.6</v>
      </c>
      <c r="Q7" s="1895">
        <v>952.3</v>
      </c>
      <c r="R7" s="1895">
        <v>-27</v>
      </c>
      <c r="S7" s="1895">
        <v>-3473.7</v>
      </c>
      <c r="T7" s="1895">
        <v>972.9</v>
      </c>
      <c r="U7" s="2183">
        <v>96.099999999999795</v>
      </c>
      <c r="V7" s="1895">
        <v>1796.4999999999968</v>
      </c>
    </row>
    <row r="8" spans="1:22" s="207" customFormat="1" ht="17.25" customHeight="1" x14ac:dyDescent="0.2">
      <c r="A8" s="1895" t="s">
        <v>3177</v>
      </c>
      <c r="B8" s="1895"/>
      <c r="C8" s="1895">
        <v>28869.599999999999</v>
      </c>
      <c r="D8" s="1895">
        <v>38091</v>
      </c>
      <c r="E8" s="1895">
        <v>-9221.4000000000015</v>
      </c>
      <c r="F8" s="1895">
        <v>4275</v>
      </c>
      <c r="G8" s="1895">
        <v>7494.2</v>
      </c>
      <c r="H8" s="1895">
        <v>-3219.2</v>
      </c>
      <c r="I8" s="1895">
        <v>485.4</v>
      </c>
      <c r="J8" s="1895">
        <v>2003.1</v>
      </c>
      <c r="K8" s="1895">
        <v>-1517.6999999999998</v>
      </c>
      <c r="L8" s="1895">
        <v>3653.1999999999989</v>
      </c>
      <c r="M8" s="1895">
        <v>9813.6</v>
      </c>
      <c r="N8" s="1895">
        <v>13466.8</v>
      </c>
      <c r="O8" s="1895">
        <v>-491.50000000000364</v>
      </c>
      <c r="P8" s="1895">
        <v>1422.2</v>
      </c>
      <c r="Q8" s="1895">
        <v>1927.4</v>
      </c>
      <c r="R8" s="1895">
        <v>0.2</v>
      </c>
      <c r="S8" s="1895">
        <v>-2970.6</v>
      </c>
      <c r="T8" s="1895">
        <v>-363.6</v>
      </c>
      <c r="U8" s="2183">
        <v>15.60000000000025</v>
      </c>
      <c r="V8" s="1895">
        <v>475.90000000000339</v>
      </c>
    </row>
    <row r="9" spans="1:22" s="207" customFormat="1" ht="17.25" customHeight="1" x14ac:dyDescent="0.2">
      <c r="A9" s="1895" t="s">
        <v>3178</v>
      </c>
      <c r="B9" s="1895"/>
      <c r="C9" s="1895">
        <v>34599.599999999999</v>
      </c>
      <c r="D9" s="1895">
        <v>45484.9</v>
      </c>
      <c r="E9" s="1895">
        <v>-10885.300000000003</v>
      </c>
      <c r="F9" s="1895">
        <v>4095.5</v>
      </c>
      <c r="G9" s="1895">
        <v>9027.4</v>
      </c>
      <c r="H9" s="1895">
        <v>-4931.8999999999996</v>
      </c>
      <c r="I9" s="1895">
        <v>523.4</v>
      </c>
      <c r="J9" s="1895">
        <v>2378</v>
      </c>
      <c r="K9" s="1895">
        <v>-1854.6</v>
      </c>
      <c r="L9" s="1895">
        <v>1448.3999999999996</v>
      </c>
      <c r="M9" s="1895">
        <v>10266.1</v>
      </c>
      <c r="N9" s="1895">
        <v>11714.5</v>
      </c>
      <c r="O9" s="1895">
        <v>-5957.3000000000029</v>
      </c>
      <c r="P9" s="1895">
        <v>2331</v>
      </c>
      <c r="Q9" s="1895">
        <v>2967.2</v>
      </c>
      <c r="R9" s="1895">
        <v>-2</v>
      </c>
      <c r="S9" s="1895">
        <v>598.1</v>
      </c>
      <c r="T9" s="1895">
        <v>1588.6</v>
      </c>
      <c r="U9" s="2183">
        <v>7482.9</v>
      </c>
      <c r="V9" s="1895">
        <v>-1525.5999999999967</v>
      </c>
    </row>
    <row r="10" spans="1:22" s="207" customFormat="1" ht="17.25" customHeight="1" x14ac:dyDescent="0.2">
      <c r="A10" s="1895" t="s">
        <v>543</v>
      </c>
      <c r="B10" s="1895"/>
      <c r="C10" s="1895">
        <v>34037.699999999997</v>
      </c>
      <c r="D10" s="1895">
        <v>44206.2</v>
      </c>
      <c r="E10" s="1895">
        <v>-10168.5</v>
      </c>
      <c r="F10" s="1895">
        <v>4964.3999999999996</v>
      </c>
      <c r="G10" s="1895">
        <v>7830.5</v>
      </c>
      <c r="H10" s="1895">
        <v>-2866.1000000000004</v>
      </c>
      <c r="I10" s="1895">
        <v>287.39999999999998</v>
      </c>
      <c r="J10" s="1895">
        <v>2598.1</v>
      </c>
      <c r="K10" s="1895">
        <v>-2310.6999999999998</v>
      </c>
      <c r="L10" s="1895">
        <v>1890.1999999999989</v>
      </c>
      <c r="M10" s="1895">
        <v>14377.1</v>
      </c>
      <c r="N10" s="1895">
        <v>16267.3</v>
      </c>
      <c r="O10" s="1895">
        <v>922</v>
      </c>
      <c r="P10" s="1895">
        <v>2353.5</v>
      </c>
      <c r="Q10" s="1895">
        <v>2243.4</v>
      </c>
      <c r="R10" s="1895">
        <v>-31.8</v>
      </c>
      <c r="S10" s="1895">
        <v>-687.8</v>
      </c>
      <c r="T10" s="1895">
        <v>-1552.5</v>
      </c>
      <c r="U10" s="2183">
        <v>2324.7999999999993</v>
      </c>
      <c r="V10" s="1895">
        <v>-3246.7999999999993</v>
      </c>
    </row>
    <row r="11" spans="1:22" s="207" customFormat="1" ht="17.25" customHeight="1" x14ac:dyDescent="0.2">
      <c r="A11" s="1895" t="s">
        <v>544</v>
      </c>
      <c r="B11" s="1895"/>
      <c r="C11" s="1895">
        <v>37587.199999999997</v>
      </c>
      <c r="D11" s="1895">
        <v>51172.7</v>
      </c>
      <c r="E11" s="1895">
        <v>-13585.5</v>
      </c>
      <c r="F11" s="1895">
        <v>5136.7</v>
      </c>
      <c r="G11" s="1895">
        <v>9149.4</v>
      </c>
      <c r="H11" s="1895">
        <v>-4012.7</v>
      </c>
      <c r="I11" s="1895">
        <v>367.7</v>
      </c>
      <c r="J11" s="1895">
        <v>2458.3000000000002</v>
      </c>
      <c r="K11" s="1895">
        <v>-2090.6000000000004</v>
      </c>
      <c r="L11" s="1895">
        <v>2158.2999999999993</v>
      </c>
      <c r="M11" s="1895">
        <v>17728.8</v>
      </c>
      <c r="N11" s="1895">
        <v>19887.099999999999</v>
      </c>
      <c r="O11" s="1895">
        <v>198.29999999999563</v>
      </c>
      <c r="P11" s="1895">
        <v>2480.5</v>
      </c>
      <c r="Q11" s="1895">
        <v>2177.6</v>
      </c>
      <c r="R11" s="1895">
        <v>5.6</v>
      </c>
      <c r="S11" s="1895">
        <v>318.10000000000002</v>
      </c>
      <c r="T11" s="1895">
        <v>-5117.8</v>
      </c>
      <c r="U11" s="2183">
        <v>-135.99999999999909</v>
      </c>
      <c r="V11" s="1895">
        <v>-62.299999999996544</v>
      </c>
    </row>
    <row r="12" spans="1:22" s="207" customFormat="1" ht="17.25" customHeight="1" x14ac:dyDescent="0.2">
      <c r="A12" s="1895" t="s">
        <v>545</v>
      </c>
      <c r="B12" s="1895"/>
      <c r="C12" s="1895">
        <v>45534.7</v>
      </c>
      <c r="D12" s="1895">
        <v>58847.7</v>
      </c>
      <c r="E12" s="1895">
        <v>-13313</v>
      </c>
      <c r="F12" s="1895">
        <v>5959.1</v>
      </c>
      <c r="G12" s="1895">
        <v>10455.4</v>
      </c>
      <c r="H12" s="1895">
        <v>-4496.2999999999993</v>
      </c>
      <c r="I12" s="1895">
        <v>406.5</v>
      </c>
      <c r="J12" s="1895">
        <v>2723.5</v>
      </c>
      <c r="K12" s="1895">
        <v>-2317</v>
      </c>
      <c r="L12" s="1895">
        <v>2143.5999999999985</v>
      </c>
      <c r="M12" s="1895">
        <v>19847</v>
      </c>
      <c r="N12" s="1895">
        <v>21990.6</v>
      </c>
      <c r="O12" s="1895">
        <v>1864.2999999999993</v>
      </c>
      <c r="P12" s="1895">
        <v>1374.3</v>
      </c>
      <c r="Q12" s="1895">
        <v>2269</v>
      </c>
      <c r="R12" s="1895">
        <v>31.6</v>
      </c>
      <c r="S12" s="1895">
        <v>-3430.6</v>
      </c>
      <c r="T12" s="1895">
        <v>-1339.9</v>
      </c>
      <c r="U12" s="2183">
        <v>-1095.5999999999999</v>
      </c>
      <c r="V12" s="1895">
        <v>-768.69999999999936</v>
      </c>
    </row>
    <row r="13" spans="1:22" s="207" customFormat="1" ht="17.25" customHeight="1" x14ac:dyDescent="0.2">
      <c r="A13" s="1895" t="s">
        <v>546</v>
      </c>
      <c r="B13" s="1895"/>
      <c r="C13" s="1895">
        <v>53961.4</v>
      </c>
      <c r="D13" s="1895">
        <v>72945.2</v>
      </c>
      <c r="E13" s="1895">
        <v>-18983.799999999996</v>
      </c>
      <c r="F13" s="1895">
        <v>7506.7</v>
      </c>
      <c r="G13" s="1895">
        <v>12487.1</v>
      </c>
      <c r="H13" s="1895">
        <v>-4980.4000000000005</v>
      </c>
      <c r="I13" s="1895">
        <v>729.4</v>
      </c>
      <c r="J13" s="1895">
        <v>5671.3</v>
      </c>
      <c r="K13" s="1895">
        <v>-4941.9000000000005</v>
      </c>
      <c r="L13" s="1895">
        <v>2706.7999999999993</v>
      </c>
      <c r="M13" s="1895">
        <v>23843.9</v>
      </c>
      <c r="N13" s="1895">
        <v>26550.7</v>
      </c>
      <c r="O13" s="1895">
        <v>-2355.3999999999978</v>
      </c>
      <c r="P13" s="1895">
        <v>1001.1</v>
      </c>
      <c r="Q13" s="1895">
        <v>4758</v>
      </c>
      <c r="R13" s="1895">
        <v>0.3</v>
      </c>
      <c r="S13" s="1895">
        <v>1488.6</v>
      </c>
      <c r="T13" s="1895">
        <v>-1900.8</v>
      </c>
      <c r="U13" s="2183">
        <v>5347.2</v>
      </c>
      <c r="V13" s="1895">
        <v>-2991.800000000002</v>
      </c>
    </row>
    <row r="14" spans="1:22" s="207" customFormat="1" ht="17.25" customHeight="1" x14ac:dyDescent="0.2">
      <c r="A14" s="1895" t="s">
        <v>551</v>
      </c>
      <c r="B14" s="1895"/>
      <c r="C14" s="1895">
        <v>69900.800000000003</v>
      </c>
      <c r="D14" s="1895">
        <v>89321.2</v>
      </c>
      <c r="E14" s="1895">
        <v>-19420.400000000001</v>
      </c>
      <c r="F14" s="1895">
        <v>8978</v>
      </c>
      <c r="G14" s="1895">
        <v>15627.9</v>
      </c>
      <c r="H14" s="1895">
        <v>-6649.9</v>
      </c>
      <c r="I14" s="1895">
        <v>950.4</v>
      </c>
      <c r="J14" s="1895">
        <v>5953.8</v>
      </c>
      <c r="K14" s="1895">
        <v>-5003.4000000000005</v>
      </c>
      <c r="L14" s="1895">
        <v>3668.2000000000044</v>
      </c>
      <c r="M14" s="1895">
        <v>32195.599999999999</v>
      </c>
      <c r="N14" s="1895">
        <v>35863.800000000003</v>
      </c>
      <c r="O14" s="1895">
        <v>4790.0999999999985</v>
      </c>
      <c r="P14" s="1895">
        <v>1622.7</v>
      </c>
      <c r="Q14" s="1895">
        <v>4527.8999999999996</v>
      </c>
      <c r="R14" s="1895">
        <v>240.7</v>
      </c>
      <c r="S14" s="1895">
        <v>-3708.3</v>
      </c>
      <c r="T14" s="1895">
        <v>-3579.6</v>
      </c>
      <c r="U14" s="2183">
        <v>-896.60000000000082</v>
      </c>
      <c r="V14" s="1895">
        <v>-3893.4999999999977</v>
      </c>
    </row>
    <row r="15" spans="1:22" s="207" customFormat="1" ht="17.25" customHeight="1" x14ac:dyDescent="0.2">
      <c r="A15" s="1895" t="s">
        <v>560</v>
      </c>
      <c r="B15" s="1895"/>
      <c r="C15" s="1895">
        <v>83205.100000000006</v>
      </c>
      <c r="D15" s="1895">
        <v>107234.3</v>
      </c>
      <c r="E15" s="1895">
        <v>-24029.199999999997</v>
      </c>
      <c r="F15" s="1895">
        <v>10235.200000000001</v>
      </c>
      <c r="G15" s="1895">
        <v>18964.900000000001</v>
      </c>
      <c r="H15" s="1895">
        <v>-8729.7000000000007</v>
      </c>
      <c r="I15" s="1895">
        <v>1687.6</v>
      </c>
      <c r="J15" s="1895">
        <v>7788.9</v>
      </c>
      <c r="K15" s="1895">
        <v>-6101.2999999999993</v>
      </c>
      <c r="L15" s="1895">
        <v>4004.1999999999971</v>
      </c>
      <c r="M15" s="1895">
        <v>41269.800000000003</v>
      </c>
      <c r="N15" s="1895">
        <v>45274</v>
      </c>
      <c r="O15" s="1895">
        <v>6413.8000000000029</v>
      </c>
      <c r="P15" s="1895">
        <v>3381.4</v>
      </c>
      <c r="Q15" s="1895">
        <v>5246.6</v>
      </c>
      <c r="R15" s="1895">
        <v>727.7</v>
      </c>
      <c r="S15" s="1895">
        <v>-369.3</v>
      </c>
      <c r="T15" s="1895">
        <v>-10893.1</v>
      </c>
      <c r="U15" s="2183">
        <v>-1906.6999999999989</v>
      </c>
      <c r="V15" s="1895">
        <v>-4507.100000000004</v>
      </c>
    </row>
    <row r="16" spans="1:22" s="207" customFormat="1" ht="17.25" customHeight="1" x14ac:dyDescent="0.2">
      <c r="A16" s="1895" t="s">
        <v>325</v>
      </c>
      <c r="B16" s="1895"/>
      <c r="C16" s="1895">
        <v>97110.1</v>
      </c>
      <c r="D16" s="1895">
        <v>133765.29999999999</v>
      </c>
      <c r="E16" s="1895">
        <v>-36655.199999999983</v>
      </c>
      <c r="F16" s="1895">
        <v>12910.3</v>
      </c>
      <c r="G16" s="1895">
        <v>23166.7</v>
      </c>
      <c r="H16" s="1895">
        <v>-10256.400000000001</v>
      </c>
      <c r="I16" s="1895">
        <v>1515.1</v>
      </c>
      <c r="J16" s="1895">
        <v>7422.5</v>
      </c>
      <c r="K16" s="1895">
        <v>-5907.4</v>
      </c>
      <c r="L16" s="1895">
        <v>4017.9000000000015</v>
      </c>
      <c r="M16" s="1895">
        <v>54296.9</v>
      </c>
      <c r="N16" s="1895">
        <v>58314.8</v>
      </c>
      <c r="O16" s="1895">
        <v>5495.8000000000175</v>
      </c>
      <c r="P16" s="1895">
        <v>3952.5</v>
      </c>
      <c r="Q16" s="1895">
        <v>4459</v>
      </c>
      <c r="R16" s="1895">
        <v>325.10000000000002</v>
      </c>
      <c r="S16" s="1895">
        <v>-6802.5</v>
      </c>
      <c r="T16" s="1895">
        <v>-7137.1</v>
      </c>
      <c r="U16" s="2183">
        <v>-5203</v>
      </c>
      <c r="V16" s="1895">
        <v>-292.80000000001746</v>
      </c>
    </row>
    <row r="17" spans="1:22" s="207" customFormat="1" ht="17.25" customHeight="1" x14ac:dyDescent="0.2">
      <c r="A17" s="1895" t="s">
        <v>85</v>
      </c>
      <c r="B17" s="1895"/>
      <c r="C17" s="1895">
        <v>107195</v>
      </c>
      <c r="D17" s="1895">
        <v>139579.5</v>
      </c>
      <c r="E17" s="1895">
        <v>-32384.500000000004</v>
      </c>
      <c r="F17" s="1895">
        <v>12245.099999999999</v>
      </c>
      <c r="G17" s="1895">
        <v>23663.4</v>
      </c>
      <c r="H17" s="1895">
        <v>-11418.300000000001</v>
      </c>
      <c r="I17" s="1895">
        <v>653.1</v>
      </c>
      <c r="J17" s="1895">
        <v>10312.6</v>
      </c>
      <c r="K17" s="1895">
        <v>-9659.5</v>
      </c>
      <c r="L17" s="1895">
        <v>251.79999999999998</v>
      </c>
      <c r="M17" s="1895">
        <v>67715.799999999988</v>
      </c>
      <c r="N17" s="1895">
        <v>67967.600000000006</v>
      </c>
      <c r="O17" s="1895">
        <v>14505.299999999997</v>
      </c>
      <c r="P17" s="1895">
        <v>3345.4000000000005</v>
      </c>
      <c r="Q17" s="1895">
        <v>6980.3</v>
      </c>
      <c r="R17" s="1895">
        <v>-702.1</v>
      </c>
      <c r="S17" s="1895">
        <v>-11420.2</v>
      </c>
      <c r="T17" s="1895">
        <v>-12959.999999999998</v>
      </c>
      <c r="U17" s="2183">
        <v>-14756.599999999999</v>
      </c>
      <c r="V17" s="1895">
        <v>251.30000000000098</v>
      </c>
    </row>
    <row r="18" spans="1:22" s="177" customFormat="1" ht="12" customHeight="1" x14ac:dyDescent="0.15">
      <c r="A18" s="1895" t="s">
        <v>81</v>
      </c>
      <c r="B18" s="1314"/>
      <c r="C18" s="236">
        <v>112345.1</v>
      </c>
      <c r="D18" s="214">
        <v>147983</v>
      </c>
      <c r="E18" s="214">
        <v>-35637.9</v>
      </c>
      <c r="F18" s="236">
        <v>15453.4</v>
      </c>
      <c r="G18" s="236">
        <v>25710.799999999999</v>
      </c>
      <c r="H18" s="236">
        <v>-10257.400000000001</v>
      </c>
      <c r="I18" s="236">
        <v>551.70000000000005</v>
      </c>
      <c r="J18" s="214">
        <v>10566.400000000001</v>
      </c>
      <c r="K18" s="236">
        <v>-10014.700000000001</v>
      </c>
      <c r="L18" s="236">
        <v>864.8</v>
      </c>
      <c r="M18" s="236">
        <v>78001.299999999988</v>
      </c>
      <c r="N18" s="236">
        <v>78866.100000000006</v>
      </c>
      <c r="O18" s="213">
        <v>22956.1</v>
      </c>
      <c r="P18" s="236">
        <v>3373.5999999999995</v>
      </c>
      <c r="Q18" s="236">
        <v>6316.4000000000005</v>
      </c>
      <c r="R18" s="236">
        <v>-2029.5</v>
      </c>
      <c r="S18" s="236">
        <v>-820.69999999999936</v>
      </c>
      <c r="T18" s="236">
        <v>-24814.3</v>
      </c>
      <c r="U18" s="213">
        <v>-17974.5</v>
      </c>
      <c r="V18" s="214">
        <v>-4981.5999999999949</v>
      </c>
    </row>
    <row r="19" spans="1:22" s="178" customFormat="1" ht="12" customHeight="1" x14ac:dyDescent="0.15">
      <c r="A19" s="754" t="s">
        <v>189</v>
      </c>
      <c r="B19" s="301"/>
      <c r="C19" s="270">
        <v>164159.20000000001</v>
      </c>
      <c r="D19" s="270">
        <v>216341.09999999998</v>
      </c>
      <c r="E19" s="270">
        <v>-52181.899999999994</v>
      </c>
      <c r="F19" s="270">
        <v>18292.900000000001</v>
      </c>
      <c r="G19" s="270">
        <v>35500.6</v>
      </c>
      <c r="H19" s="270">
        <v>-17207.7</v>
      </c>
      <c r="I19" s="270">
        <v>871.7</v>
      </c>
      <c r="J19" s="270">
        <v>11267.1</v>
      </c>
      <c r="K19" s="270">
        <v>-10395.4</v>
      </c>
      <c r="L19" s="270">
        <v>1047.0999999999999</v>
      </c>
      <c r="M19" s="270">
        <v>84013.2</v>
      </c>
      <c r="N19" s="270">
        <v>85060.299999999988</v>
      </c>
      <c r="O19" s="270">
        <v>5275.3000000000011</v>
      </c>
      <c r="P19" s="270">
        <v>4138.1000000000004</v>
      </c>
      <c r="Q19" s="270">
        <v>5585.6</v>
      </c>
      <c r="R19" s="270">
        <v>-6109.2000000000007</v>
      </c>
      <c r="S19" s="270">
        <v>-9589.7999999999993</v>
      </c>
      <c r="T19" s="270">
        <v>5351</v>
      </c>
      <c r="U19" s="270">
        <v>-4762.3999999999996</v>
      </c>
      <c r="V19" s="270">
        <v>-4651.0000000000018</v>
      </c>
    </row>
    <row r="20" spans="1:22" s="153" customFormat="1" ht="12" customHeight="1" x14ac:dyDescent="0.2">
      <c r="A20" s="1895" t="s">
        <v>696</v>
      </c>
      <c r="B20" s="1314"/>
      <c r="C20" s="214">
        <v>193375.5</v>
      </c>
      <c r="D20" s="214">
        <v>253042.2</v>
      </c>
      <c r="E20" s="214">
        <v>-59666.7</v>
      </c>
      <c r="F20" s="214">
        <v>19370.400000000001</v>
      </c>
      <c r="G20" s="214">
        <v>41880.299999999996</v>
      </c>
      <c r="H20" s="214">
        <v>-22509.899999999998</v>
      </c>
      <c r="I20" s="214">
        <v>1523.3000000000002</v>
      </c>
      <c r="J20" s="214">
        <v>13242.2</v>
      </c>
      <c r="K20" s="214">
        <v>-11718.9</v>
      </c>
      <c r="L20" s="214">
        <v>829.19999999999993</v>
      </c>
      <c r="M20" s="214">
        <v>101982.6</v>
      </c>
      <c r="N20" s="214">
        <v>102811.8</v>
      </c>
      <c r="O20" s="214">
        <v>8916.2999999999993</v>
      </c>
      <c r="P20" s="214">
        <v>3678.5</v>
      </c>
      <c r="Q20" s="214">
        <v>9088.2000000000007</v>
      </c>
      <c r="R20" s="214">
        <v>4142.6000000000004</v>
      </c>
      <c r="S20" s="214">
        <v>-17391</v>
      </c>
      <c r="T20" s="214">
        <v>-2324.4999999999991</v>
      </c>
      <c r="U20" s="214">
        <v>-6484.699999999998</v>
      </c>
      <c r="V20" s="214">
        <v>-6110.1000000000022</v>
      </c>
    </row>
    <row r="21" spans="1:22" s="153" customFormat="1" ht="12" customHeight="1" x14ac:dyDescent="0.2">
      <c r="A21" s="754" t="s">
        <v>994</v>
      </c>
      <c r="B21" s="301"/>
      <c r="C21" s="270">
        <v>211643</v>
      </c>
      <c r="D21" s="270">
        <v>272427.10000000003</v>
      </c>
      <c r="E21" s="270">
        <v>-60784.099999999991</v>
      </c>
      <c r="F21" s="270">
        <v>22601.1</v>
      </c>
      <c r="G21" s="270">
        <v>48387.100000000006</v>
      </c>
      <c r="H21" s="270">
        <v>-25786.000000000004</v>
      </c>
      <c r="I21" s="270">
        <v>965.00000000000011</v>
      </c>
      <c r="J21" s="270">
        <v>19441.600000000002</v>
      </c>
      <c r="K21" s="270">
        <v>-18476.600000000002</v>
      </c>
      <c r="L21" s="270">
        <v>516.6</v>
      </c>
      <c r="M21" s="270">
        <v>119520.40000000001</v>
      </c>
      <c r="N21" s="270">
        <v>120037</v>
      </c>
      <c r="O21" s="270">
        <v>14990.300000000003</v>
      </c>
      <c r="P21" s="270">
        <v>4690.7999999999993</v>
      </c>
      <c r="Q21" s="270">
        <v>-13776.300000000001</v>
      </c>
      <c r="R21" s="270">
        <v>742.90000000000009</v>
      </c>
      <c r="S21" s="270">
        <v>-15951.5</v>
      </c>
      <c r="T21" s="270">
        <v>41316</v>
      </c>
      <c r="U21" s="270">
        <v>12331.100000000002</v>
      </c>
      <c r="V21" s="270">
        <v>-7350.0000000000018</v>
      </c>
    </row>
    <row r="22" spans="1:22" s="153" customFormat="1" ht="12" customHeight="1" x14ac:dyDescent="0.2">
      <c r="A22" s="1895" t="s">
        <v>978</v>
      </c>
      <c r="B22" s="1314"/>
      <c r="C22" s="214">
        <v>230946.3</v>
      </c>
      <c r="D22" s="214">
        <v>286835.69999999995</v>
      </c>
      <c r="E22" s="214">
        <v>-55889.4</v>
      </c>
      <c r="F22" s="214">
        <v>24212.899999999998</v>
      </c>
      <c r="G22" s="214">
        <v>56129.399999999994</v>
      </c>
      <c r="H22" s="214">
        <v>-31916.5</v>
      </c>
      <c r="I22" s="214">
        <v>1011.5000000000001</v>
      </c>
      <c r="J22" s="214">
        <v>21168.1</v>
      </c>
      <c r="K22" s="214">
        <v>-20156.599999999999</v>
      </c>
      <c r="L22" s="214">
        <v>615.20000000000005</v>
      </c>
      <c r="M22" s="214">
        <v>115425</v>
      </c>
      <c r="N22" s="214">
        <v>116040.2</v>
      </c>
      <c r="O22" s="214">
        <v>8077.7000000000044</v>
      </c>
      <c r="P22" s="214">
        <v>5009.5</v>
      </c>
      <c r="Q22" s="214">
        <v>-11562.9</v>
      </c>
      <c r="R22" s="214">
        <v>-3019.8999999999996</v>
      </c>
      <c r="S22" s="214">
        <v>-17019.400000000001</v>
      </c>
      <c r="T22" s="214">
        <v>45942.100000000006</v>
      </c>
      <c r="U22" s="214">
        <v>14339.899999999998</v>
      </c>
      <c r="V22" s="214">
        <v>1252.6999999999916</v>
      </c>
    </row>
    <row r="23" spans="1:22" s="153" customFormat="1" ht="12" customHeight="1" x14ac:dyDescent="0.2">
      <c r="A23" s="754" t="s">
        <v>1029</v>
      </c>
      <c r="B23" s="301"/>
      <c r="C23" s="270">
        <v>238483.7</v>
      </c>
      <c r="D23" s="270">
        <v>284654.7</v>
      </c>
      <c r="E23" s="270">
        <v>-46170.999999999993</v>
      </c>
      <c r="F23" s="270">
        <v>23956.9</v>
      </c>
      <c r="G23" s="270">
        <v>64556.600000000006</v>
      </c>
      <c r="H23" s="270">
        <v>-40599.699999999997</v>
      </c>
      <c r="I23" s="270">
        <v>582.6</v>
      </c>
      <c r="J23" s="270">
        <v>22769.799999999996</v>
      </c>
      <c r="K23" s="270">
        <v>-22187.200000000001</v>
      </c>
      <c r="L23" s="270">
        <v>594.6</v>
      </c>
      <c r="M23" s="270">
        <v>122888.8</v>
      </c>
      <c r="N23" s="270">
        <v>123483.4</v>
      </c>
      <c r="O23" s="270">
        <v>14525.500000000015</v>
      </c>
      <c r="P23" s="270">
        <v>4024.8999999999996</v>
      </c>
      <c r="Q23" s="270">
        <v>-14216.999999999998</v>
      </c>
      <c r="R23" s="270">
        <v>-4157.5</v>
      </c>
      <c r="S23" s="270">
        <v>-3579.9999999999991</v>
      </c>
      <c r="T23" s="270">
        <v>33041</v>
      </c>
      <c r="U23" s="270">
        <v>11086.5</v>
      </c>
      <c r="V23" s="270">
        <v>-7463.9000000000133</v>
      </c>
    </row>
    <row r="24" spans="1:22" s="153" customFormat="1" ht="12" customHeight="1" x14ac:dyDescent="0.2">
      <c r="A24" s="1895" t="s">
        <v>1150</v>
      </c>
      <c r="B24" s="1314"/>
      <c r="C24" s="214">
        <v>261822.6</v>
      </c>
      <c r="D24" s="214">
        <v>303951.89999999997</v>
      </c>
      <c r="E24" s="214">
        <v>-42129.299999999996</v>
      </c>
      <c r="F24" s="214">
        <v>27156.699999999997</v>
      </c>
      <c r="G24" s="214">
        <v>57509.7</v>
      </c>
      <c r="H24" s="214">
        <v>-30353</v>
      </c>
      <c r="I24" s="214">
        <v>1200.1000000000001</v>
      </c>
      <c r="J24" s="214">
        <v>20802</v>
      </c>
      <c r="K24" s="214">
        <v>-19601.899999999998</v>
      </c>
      <c r="L24" s="214">
        <v>532.1</v>
      </c>
      <c r="M24" s="214">
        <v>119572.5</v>
      </c>
      <c r="N24" s="214">
        <v>120104.59999999999</v>
      </c>
      <c r="O24" s="214">
        <v>28020.399999999994</v>
      </c>
      <c r="P24" s="214">
        <v>3748.4</v>
      </c>
      <c r="Q24" s="214">
        <v>-15496</v>
      </c>
      <c r="R24" s="214">
        <v>3977.3</v>
      </c>
      <c r="S24" s="214">
        <v>-13250.5</v>
      </c>
      <c r="T24" s="214">
        <v>42962.3</v>
      </c>
      <c r="U24" s="214">
        <v>18193.099999999999</v>
      </c>
      <c r="V24" s="214">
        <v>-13575.699999999997</v>
      </c>
    </row>
    <row r="25" spans="1:22" s="154" customFormat="1" ht="12" customHeight="1" x14ac:dyDescent="0.2">
      <c r="A25" s="754" t="s">
        <v>1174</v>
      </c>
      <c r="B25" s="301"/>
      <c r="C25" s="270">
        <v>269251.7</v>
      </c>
      <c r="D25" s="270">
        <v>334930</v>
      </c>
      <c r="E25" s="270">
        <v>-65678.300000000017</v>
      </c>
      <c r="F25" s="270">
        <v>28718.6</v>
      </c>
      <c r="G25" s="270">
        <v>64385.600000000006</v>
      </c>
      <c r="H25" s="270">
        <v>-35667.000000000007</v>
      </c>
      <c r="I25" s="270">
        <v>812.4</v>
      </c>
      <c r="J25" s="270">
        <v>21662.2</v>
      </c>
      <c r="K25" s="270">
        <v>-20849.8</v>
      </c>
      <c r="L25" s="270">
        <v>343.8</v>
      </c>
      <c r="M25" s="270">
        <v>105172.20000000001</v>
      </c>
      <c r="N25" s="270">
        <v>105516</v>
      </c>
      <c r="O25" s="270">
        <v>-16679.10000000002</v>
      </c>
      <c r="P25" s="270">
        <v>2486.3999999999996</v>
      </c>
      <c r="Q25" s="270">
        <v>-18863.099999999999</v>
      </c>
      <c r="R25" s="270">
        <v>-1288.7</v>
      </c>
      <c r="S25" s="270">
        <v>-27292</v>
      </c>
      <c r="T25" s="270">
        <v>26394.400000000001</v>
      </c>
      <c r="U25" s="270">
        <v>-21049.4</v>
      </c>
      <c r="V25" s="270">
        <v>-6856.6999999999807</v>
      </c>
    </row>
    <row r="26" spans="1:22" s="154" customFormat="1" ht="12" customHeight="1" x14ac:dyDescent="0.2">
      <c r="A26" s="1895" t="s">
        <v>1296</v>
      </c>
      <c r="B26" s="1314"/>
      <c r="C26" s="214">
        <v>297456.2</v>
      </c>
      <c r="D26" s="214">
        <v>447422.4</v>
      </c>
      <c r="E26" s="214">
        <v>-149966.20000000001</v>
      </c>
      <c r="F26" s="214">
        <v>37062.899999999994</v>
      </c>
      <c r="G26" s="214">
        <v>76200.299999999988</v>
      </c>
      <c r="H26" s="214">
        <v>-39137.399999999994</v>
      </c>
      <c r="I26" s="214">
        <v>1035.0999999999999</v>
      </c>
      <c r="J26" s="214">
        <v>18647.8</v>
      </c>
      <c r="K26" s="214">
        <v>-17612.7</v>
      </c>
      <c r="L26" s="214">
        <v>397.6</v>
      </c>
      <c r="M26" s="214">
        <v>126970.9</v>
      </c>
      <c r="N26" s="214">
        <v>127368.5</v>
      </c>
      <c r="O26" s="214">
        <v>-79347.799999999988</v>
      </c>
      <c r="P26" s="214">
        <v>2398.6999999999998</v>
      </c>
      <c r="Q26" s="214">
        <v>-14874.099999999999</v>
      </c>
      <c r="R26" s="214">
        <v>664.4</v>
      </c>
      <c r="S26" s="214">
        <v>-59732.399999999994</v>
      </c>
      <c r="T26" s="214">
        <v>-6402.3</v>
      </c>
      <c r="U26" s="214">
        <v>-80344.399999999994</v>
      </c>
      <c r="V26" s="214">
        <v>-3395.299999999992</v>
      </c>
    </row>
    <row r="27" spans="1:22" s="154" customFormat="1" ht="12" customHeight="1" x14ac:dyDescent="0.2">
      <c r="A27" s="754" t="s">
        <v>1404</v>
      </c>
      <c r="B27" s="301"/>
      <c r="C27" s="754">
        <v>335633.30000000005</v>
      </c>
      <c r="D27" s="754">
        <v>465793.29999999993</v>
      </c>
      <c r="E27" s="269">
        <v>-130160</v>
      </c>
      <c r="F27" s="269">
        <v>50849.100000000006</v>
      </c>
      <c r="G27" s="269">
        <v>79728</v>
      </c>
      <c r="H27" s="269">
        <v>-28878.899999999994</v>
      </c>
      <c r="I27" s="269">
        <v>3522.7999999999997</v>
      </c>
      <c r="J27" s="269">
        <v>20633.8</v>
      </c>
      <c r="K27" s="269">
        <v>-17111</v>
      </c>
      <c r="L27" s="269">
        <v>195</v>
      </c>
      <c r="M27" s="269">
        <v>142465.79999999999</v>
      </c>
      <c r="N27" s="269">
        <v>142660.79999999999</v>
      </c>
      <c r="O27" s="269">
        <v>-33489.099999999984</v>
      </c>
      <c r="P27" s="754">
        <v>1955.5</v>
      </c>
      <c r="Q27" s="754">
        <v>-22072.3</v>
      </c>
      <c r="R27" s="754">
        <v>1609.1999999999998</v>
      </c>
      <c r="S27" s="754">
        <v>-20294.7</v>
      </c>
      <c r="T27" s="754">
        <v>-831.5</v>
      </c>
      <c r="U27" s="754">
        <v>-41589.300000000003</v>
      </c>
      <c r="V27" s="754">
        <v>-10055.700000000017</v>
      </c>
    </row>
    <row r="28" spans="1:22" s="154" customFormat="1" ht="12" customHeight="1" x14ac:dyDescent="0.2">
      <c r="A28" s="1895" t="s">
        <v>1484</v>
      </c>
      <c r="B28" s="1314"/>
      <c r="C28" s="1895">
        <v>280337.59999999998</v>
      </c>
      <c r="D28" s="213">
        <v>429749</v>
      </c>
      <c r="E28" s="1895">
        <v>-149411.4</v>
      </c>
      <c r="F28" s="1895">
        <v>50747.8</v>
      </c>
      <c r="G28" s="1895">
        <v>72093.8</v>
      </c>
      <c r="H28" s="213">
        <v>-21346</v>
      </c>
      <c r="I28" s="1895">
        <v>1853.9</v>
      </c>
      <c r="J28" s="213">
        <v>23355</v>
      </c>
      <c r="K28" s="1895">
        <v>-21501.1</v>
      </c>
      <c r="L28" s="1895">
        <v>163.69999999999999</v>
      </c>
      <c r="M28" s="1895">
        <v>158938.59999999998</v>
      </c>
      <c r="N28" s="1895">
        <v>159102.29999999999</v>
      </c>
      <c r="O28" s="1895">
        <v>-33156.19999999999</v>
      </c>
      <c r="P28" s="1895">
        <v>2174.1999999999998</v>
      </c>
      <c r="Q28" s="1895">
        <v>-10783.7</v>
      </c>
      <c r="R28" s="1895">
        <v>-124.90000000000002</v>
      </c>
      <c r="S28" s="1895">
        <v>-55974.5</v>
      </c>
      <c r="T28" s="1895">
        <v>27451.9</v>
      </c>
      <c r="U28" s="1895">
        <v>-39431.200000000004</v>
      </c>
      <c r="V28" s="1895">
        <v>-8449.2000000000135</v>
      </c>
    </row>
    <row r="29" spans="1:22" s="154" customFormat="1" ht="12" customHeight="1" x14ac:dyDescent="0.2">
      <c r="A29" s="754" t="s">
        <v>1536</v>
      </c>
      <c r="B29" s="301"/>
      <c r="C29" s="269">
        <f>SUM(C157:C160)</f>
        <v>312956.5</v>
      </c>
      <c r="D29" s="269">
        <f>SUM(D157:D160)</f>
        <v>514608.8</v>
      </c>
      <c r="E29" s="269">
        <f t="shared" ref="E29:O29" si="5">SUM(E157:E160)</f>
        <v>-201652.3</v>
      </c>
      <c r="F29" s="269">
        <f t="shared" si="5"/>
        <v>63459.3</v>
      </c>
      <c r="G29" s="269">
        <f t="shared" si="5"/>
        <v>87684</v>
      </c>
      <c r="H29" s="269">
        <f t="shared" si="5"/>
        <v>-24224.699999999997</v>
      </c>
      <c r="I29" s="269">
        <f t="shared" si="5"/>
        <v>2059.5</v>
      </c>
      <c r="J29" s="269">
        <f t="shared" si="5"/>
        <v>24609.199999999997</v>
      </c>
      <c r="K29" s="269">
        <f t="shared" si="5"/>
        <v>-22549.7</v>
      </c>
      <c r="L29" s="269">
        <f t="shared" si="5"/>
        <v>278.10000000000002</v>
      </c>
      <c r="M29" s="269">
        <f t="shared" si="5"/>
        <v>214737</v>
      </c>
      <c r="N29" s="269">
        <f t="shared" si="5"/>
        <v>215015.1</v>
      </c>
      <c r="O29" s="269">
        <f t="shared" si="5"/>
        <v>-33411.599999999977</v>
      </c>
      <c r="P29" s="754">
        <f t="shared" ref="P29:V29" si="6">SUM(P157:P160)</f>
        <v>1872.6999999999998</v>
      </c>
      <c r="Q29" s="754">
        <f t="shared" si="6"/>
        <v>-11488.099999999999</v>
      </c>
      <c r="R29" s="754">
        <f t="shared" si="6"/>
        <v>2917.3</v>
      </c>
      <c r="S29" s="754">
        <f t="shared" si="6"/>
        <v>-107518.20000000001</v>
      </c>
      <c r="T29" s="754">
        <f t="shared" si="6"/>
        <v>84686.399999999994</v>
      </c>
      <c r="U29" s="754">
        <f t="shared" si="6"/>
        <v>-31402.6</v>
      </c>
      <c r="V29" s="754">
        <f t="shared" si="6"/>
        <v>136.29999999997744</v>
      </c>
    </row>
    <row r="30" spans="1:22" s="154" customFormat="1" ht="12" customHeight="1" x14ac:dyDescent="0.2">
      <c r="A30" s="1895" t="s">
        <v>1817</v>
      </c>
      <c r="B30" s="1314"/>
      <c r="C30" s="213">
        <f t="shared" ref="C30:O30" si="7">SUM(C161:C164)</f>
        <v>425479.5</v>
      </c>
      <c r="D30" s="1895">
        <f t="shared" si="7"/>
        <v>712444.7</v>
      </c>
      <c r="E30" s="213">
        <f t="shared" si="7"/>
        <v>-286965.19999999995</v>
      </c>
      <c r="F30" s="213">
        <f t="shared" si="7"/>
        <v>86166</v>
      </c>
      <c r="G30" s="213">
        <f t="shared" si="7"/>
        <v>117554.3</v>
      </c>
      <c r="H30" s="213">
        <f t="shared" si="7"/>
        <v>-31388.300000000007</v>
      </c>
      <c r="I30" s="213">
        <f t="shared" si="7"/>
        <v>3226.7999999999997</v>
      </c>
      <c r="J30" s="213">
        <f t="shared" si="7"/>
        <v>26478.7</v>
      </c>
      <c r="K30" s="213">
        <f t="shared" si="7"/>
        <v>-23251.9</v>
      </c>
      <c r="L30" s="213">
        <f t="shared" si="7"/>
        <v>148.9</v>
      </c>
      <c r="M30" s="213">
        <f t="shared" si="7"/>
        <v>186953.8</v>
      </c>
      <c r="N30" s="213">
        <f t="shared" si="7"/>
        <v>187102.7</v>
      </c>
      <c r="O30" s="213">
        <f t="shared" si="7"/>
        <v>-154502.70000000001</v>
      </c>
      <c r="P30" s="1895">
        <f t="shared" ref="P30:V30" si="8">SUM(P161:P164)</f>
        <v>1669.8</v>
      </c>
      <c r="Q30" s="1895">
        <f t="shared" si="8"/>
        <v>-15705.4</v>
      </c>
      <c r="R30" s="1895">
        <f t="shared" si="8"/>
        <v>3088.3</v>
      </c>
      <c r="S30" s="1895">
        <f t="shared" si="8"/>
        <v>-128038.5</v>
      </c>
      <c r="T30" s="1895">
        <f t="shared" si="8"/>
        <v>-31690.5</v>
      </c>
      <c r="U30" s="1895">
        <f t="shared" si="8"/>
        <v>-172346.1</v>
      </c>
      <c r="V30" s="1895">
        <f t="shared" si="8"/>
        <v>-19513.200000000008</v>
      </c>
    </row>
    <row r="31" spans="1:22" s="154" customFormat="1" ht="12" customHeight="1" x14ac:dyDescent="0.2">
      <c r="A31" s="754" t="s">
        <v>2066</v>
      </c>
      <c r="B31" s="301"/>
      <c r="C31" s="269">
        <f t="shared" ref="C31:O31" si="9">SUM(C161:C164)</f>
        <v>425479.5</v>
      </c>
      <c r="D31" s="754">
        <f t="shared" si="9"/>
        <v>712444.7</v>
      </c>
      <c r="E31" s="269">
        <f t="shared" si="9"/>
        <v>-286965.19999999995</v>
      </c>
      <c r="F31" s="269">
        <f t="shared" si="9"/>
        <v>86166</v>
      </c>
      <c r="G31" s="269">
        <f t="shared" si="9"/>
        <v>117554.3</v>
      </c>
      <c r="H31" s="269">
        <f t="shared" si="9"/>
        <v>-31388.300000000007</v>
      </c>
      <c r="I31" s="269">
        <f t="shared" si="9"/>
        <v>3226.7999999999997</v>
      </c>
      <c r="J31" s="269">
        <f t="shared" si="9"/>
        <v>26478.7</v>
      </c>
      <c r="K31" s="269">
        <f t="shared" si="9"/>
        <v>-23251.9</v>
      </c>
      <c r="L31" s="269">
        <f t="shared" si="9"/>
        <v>148.9</v>
      </c>
      <c r="M31" s="269">
        <f t="shared" si="9"/>
        <v>186953.8</v>
      </c>
      <c r="N31" s="269">
        <f t="shared" si="9"/>
        <v>187102.7</v>
      </c>
      <c r="O31" s="269">
        <f t="shared" si="9"/>
        <v>-154502.70000000001</v>
      </c>
      <c r="P31" s="754">
        <f t="shared" ref="P31:V31" si="10">SUM(P161:P164)</f>
        <v>1669.8</v>
      </c>
      <c r="Q31" s="754">
        <f t="shared" si="10"/>
        <v>-15705.4</v>
      </c>
      <c r="R31" s="754">
        <f t="shared" si="10"/>
        <v>3088.3</v>
      </c>
      <c r="S31" s="754">
        <f t="shared" si="10"/>
        <v>-128038.5</v>
      </c>
      <c r="T31" s="754">
        <f t="shared" si="10"/>
        <v>-31690.5</v>
      </c>
      <c r="U31" s="754">
        <f t="shared" si="10"/>
        <v>-172346.1</v>
      </c>
      <c r="V31" s="754">
        <f t="shared" si="10"/>
        <v>-19513.200000000008</v>
      </c>
    </row>
    <row r="32" spans="1:22" s="154" customFormat="1" ht="12" customHeight="1" x14ac:dyDescent="0.2">
      <c r="A32" s="1895" t="s">
        <v>3066</v>
      </c>
      <c r="B32" s="1314"/>
      <c r="C32" s="213">
        <f t="shared" ref="C32:O32" si="11">SUM(C169:C172)</f>
        <v>453354.80000000005</v>
      </c>
      <c r="D32" s="1895">
        <f t="shared" si="11"/>
        <v>702677.4</v>
      </c>
      <c r="E32" s="213">
        <f t="shared" si="11"/>
        <v>-249322.60000000003</v>
      </c>
      <c r="F32" s="213">
        <f t="shared" si="11"/>
        <v>69982.200000000012</v>
      </c>
      <c r="G32" s="213">
        <f t="shared" si="11"/>
        <v>113747.00000000001</v>
      </c>
      <c r="H32" s="213">
        <f t="shared" si="11"/>
        <v>-43764.800000000003</v>
      </c>
      <c r="I32" s="213">
        <f t="shared" si="11"/>
        <v>24237.100000000002</v>
      </c>
      <c r="J32" s="213">
        <f t="shared" si="11"/>
        <v>72238.5</v>
      </c>
      <c r="K32" s="213">
        <f t="shared" si="11"/>
        <v>-48001.399999999994</v>
      </c>
      <c r="L32" s="213">
        <f t="shared" si="11"/>
        <v>958.2</v>
      </c>
      <c r="M32" s="213">
        <f t="shared" si="11"/>
        <v>270249.2</v>
      </c>
      <c r="N32" s="213">
        <f t="shared" si="11"/>
        <v>271207.40000000002</v>
      </c>
      <c r="O32" s="213">
        <f t="shared" si="11"/>
        <v>-69881.400000000052</v>
      </c>
      <c r="P32" s="1895">
        <f t="shared" ref="P32:V32" si="12">SUM(P169:P172)</f>
        <v>8229.7999999999993</v>
      </c>
      <c r="Q32" s="1895">
        <f t="shared" si="12"/>
        <v>-15714.5</v>
      </c>
      <c r="R32" s="1895">
        <f t="shared" si="12"/>
        <v>4085.2000000000003</v>
      </c>
      <c r="S32" s="1895">
        <f t="shared" si="12"/>
        <v>-58671.199999999997</v>
      </c>
      <c r="T32" s="1895">
        <f t="shared" si="12"/>
        <v>-29937.9</v>
      </c>
      <c r="U32" s="1895">
        <f t="shared" si="12"/>
        <v>-100238.39999999999</v>
      </c>
      <c r="V32" s="1895">
        <f t="shared" si="12"/>
        <v>-38586.799999999945</v>
      </c>
    </row>
    <row r="33" spans="1:22" s="154" customFormat="1" ht="12" customHeight="1" x14ac:dyDescent="0.2">
      <c r="A33" s="269" t="s">
        <v>3175</v>
      </c>
      <c r="B33" s="268"/>
      <c r="C33" s="269">
        <f t="shared" ref="C33:O33" si="13">SUM(C173:C176)</f>
        <v>531018.28666503984</v>
      </c>
      <c r="D33" s="269">
        <f t="shared" si="13"/>
        <v>777573.24072397314</v>
      </c>
      <c r="E33" s="269">
        <f t="shared" si="13"/>
        <v>-246554.95405893319</v>
      </c>
      <c r="F33" s="269">
        <f t="shared" si="13"/>
        <v>82038.008489550586</v>
      </c>
      <c r="G33" s="269">
        <f t="shared" si="13"/>
        <v>150852.49312879884</v>
      </c>
      <c r="H33" s="269">
        <f t="shared" si="13"/>
        <v>-68814.484639248258</v>
      </c>
      <c r="I33" s="269">
        <f t="shared" si="13"/>
        <v>30114.14741512918</v>
      </c>
      <c r="J33" s="269">
        <f t="shared" si="13"/>
        <v>91092.282164619683</v>
      </c>
      <c r="K33" s="269">
        <f t="shared" si="13"/>
        <v>-60978.134749490491</v>
      </c>
      <c r="L33" s="269">
        <f t="shared" si="13"/>
        <v>925.68276280804105</v>
      </c>
      <c r="M33" s="269">
        <f t="shared" si="13"/>
        <v>373910.62973566056</v>
      </c>
      <c r="N33" s="269">
        <f t="shared" si="13"/>
        <v>374836.31249846867</v>
      </c>
      <c r="O33" s="269">
        <f t="shared" si="13"/>
        <v>-1511.260949203308</v>
      </c>
      <c r="P33" s="269">
        <f t="shared" ref="P33:V33" si="14">SUM(P173:P176)</f>
        <v>4538.5635608938246</v>
      </c>
      <c r="Q33" s="269">
        <f t="shared" si="14"/>
        <v>-20237.822216709996</v>
      </c>
      <c r="R33" s="269">
        <f t="shared" si="14"/>
        <v>1676.500297796297</v>
      </c>
      <c r="S33" s="269">
        <f t="shared" si="14"/>
        <v>-34343.327101948336</v>
      </c>
      <c r="T33" s="269">
        <f t="shared" si="14"/>
        <v>51524.445254032384</v>
      </c>
      <c r="U33" s="269">
        <f t="shared" si="14"/>
        <v>-1380.2037668296471</v>
      </c>
      <c r="V33" s="269">
        <f t="shared" si="14"/>
        <v>-4407.5063785201637</v>
      </c>
    </row>
    <row r="34" spans="1:22" s="154" customFormat="1" ht="12" customHeight="1" x14ac:dyDescent="0.2">
      <c r="A34" s="795"/>
      <c r="B34" s="1315"/>
      <c r="C34" s="795"/>
      <c r="D34" s="795"/>
      <c r="E34" s="795"/>
      <c r="F34" s="795"/>
      <c r="G34" s="795"/>
      <c r="H34" s="795"/>
      <c r="I34" s="795"/>
      <c r="J34" s="795"/>
      <c r="K34" s="795"/>
      <c r="L34" s="795"/>
      <c r="M34" s="795"/>
      <c r="N34" s="795"/>
      <c r="O34" s="795"/>
      <c r="P34" s="795"/>
      <c r="Q34" s="795"/>
      <c r="R34" s="795"/>
      <c r="S34" s="795"/>
      <c r="T34" s="795"/>
      <c r="U34" s="795"/>
      <c r="V34" s="795"/>
    </row>
    <row r="35" spans="1:22" s="154" customFormat="1" ht="12" customHeight="1" x14ac:dyDescent="0.2">
      <c r="A35" s="795"/>
      <c r="B35" s="1315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5"/>
      <c r="U35" s="795"/>
      <c r="V35" s="795"/>
    </row>
    <row r="36" spans="1:22" s="154" customFormat="1" ht="12" customHeight="1" x14ac:dyDescent="0.2">
      <c r="A36" s="795" t="s">
        <v>81</v>
      </c>
      <c r="B36" s="293" t="s">
        <v>552</v>
      </c>
      <c r="C36" s="24">
        <v>1954.5</v>
      </c>
      <c r="D36" s="24">
        <v>-1097.5999999999999</v>
      </c>
      <c r="E36" s="51">
        <v>24</v>
      </c>
      <c r="F36" s="51">
        <v>880.7</v>
      </c>
      <c r="G36" s="24">
        <v>-856.7</v>
      </c>
      <c r="H36" s="24">
        <v>1.2</v>
      </c>
      <c r="I36" s="24">
        <v>6237.4</v>
      </c>
      <c r="J36" s="24">
        <v>6238.5999999999995</v>
      </c>
      <c r="K36" s="218">
        <v>3487.9999999999982</v>
      </c>
      <c r="L36" s="24">
        <v>16.100000000000001</v>
      </c>
      <c r="M36" s="24">
        <v>530.1</v>
      </c>
      <c r="N36" s="24">
        <v>-37.799999999999997</v>
      </c>
      <c r="O36" s="51">
        <v>-2082</v>
      </c>
      <c r="P36" s="24">
        <v>-1834.1</v>
      </c>
      <c r="Q36" s="51">
        <v>-3407.7</v>
      </c>
      <c r="R36" s="51">
        <v>-80.299999999998363</v>
      </c>
      <c r="S36" s="795"/>
      <c r="T36" s="795"/>
      <c r="U36" s="795"/>
      <c r="V36" s="795"/>
    </row>
    <row r="37" spans="1:22" s="154" customFormat="1" ht="12" customHeight="1" x14ac:dyDescent="0.2">
      <c r="A37" s="795" t="s">
        <v>81</v>
      </c>
      <c r="B37" s="2185" t="s">
        <v>553</v>
      </c>
      <c r="C37" s="24">
        <v>1721.3</v>
      </c>
      <c r="D37" s="51">
        <v>-500</v>
      </c>
      <c r="E37" s="51">
        <v>23.9</v>
      </c>
      <c r="F37" s="51">
        <v>732.2</v>
      </c>
      <c r="G37" s="24">
        <v>-708.30000000000007</v>
      </c>
      <c r="H37" s="24">
        <v>2.2999999999999998</v>
      </c>
      <c r="I37" s="24">
        <v>6642.4</v>
      </c>
      <c r="J37" s="24">
        <v>6644.7</v>
      </c>
      <c r="K37" s="218">
        <v>5048.6999999999989</v>
      </c>
      <c r="L37" s="24">
        <v>30.8</v>
      </c>
      <c r="M37" s="24">
        <v>343.4</v>
      </c>
      <c r="N37" s="51">
        <v>46</v>
      </c>
      <c r="O37" s="51">
        <v>5019</v>
      </c>
      <c r="P37" s="24">
        <v>-9559.1</v>
      </c>
      <c r="Q37" s="51">
        <v>-4119.9000000000005</v>
      </c>
      <c r="R37" s="51">
        <v>-928.79999999999836</v>
      </c>
      <c r="S37" s="795"/>
      <c r="T37" s="795"/>
      <c r="U37" s="795"/>
      <c r="V37" s="795"/>
    </row>
    <row r="38" spans="1:22" s="154" customFormat="1" ht="12" customHeight="1" x14ac:dyDescent="0.2">
      <c r="A38" s="795" t="s">
        <v>81</v>
      </c>
      <c r="B38" s="293" t="s">
        <v>547</v>
      </c>
      <c r="C38" s="24">
        <v>1849.3</v>
      </c>
      <c r="D38" s="51">
        <v>-571.89999999999986</v>
      </c>
      <c r="E38" s="51">
        <v>22.8</v>
      </c>
      <c r="F38" s="51">
        <v>827.9</v>
      </c>
      <c r="G38" s="24">
        <v>-805.1</v>
      </c>
      <c r="H38" s="24">
        <v>309.8</v>
      </c>
      <c r="I38" s="24">
        <v>6441.5</v>
      </c>
      <c r="J38" s="24">
        <v>6751.3</v>
      </c>
      <c r="K38" s="218">
        <v>1463.4000000000015</v>
      </c>
      <c r="L38" s="24">
        <v>824.9</v>
      </c>
      <c r="M38" s="24">
        <v>310.3</v>
      </c>
      <c r="N38" s="51">
        <v>569.9</v>
      </c>
      <c r="O38" s="51">
        <v>-131</v>
      </c>
      <c r="P38" s="24">
        <v>-1270.9000000000001</v>
      </c>
      <c r="Q38" s="51">
        <v>303.19999999999982</v>
      </c>
      <c r="R38" s="51">
        <v>-1766.6000000000013</v>
      </c>
      <c r="S38" s="795"/>
      <c r="T38" s="795"/>
      <c r="U38" s="795"/>
      <c r="V38" s="795"/>
    </row>
    <row r="39" spans="1:22" s="154" customFormat="1" ht="12" customHeight="1" x14ac:dyDescent="0.2">
      <c r="A39" s="795" t="s">
        <v>81</v>
      </c>
      <c r="B39" s="2185" t="s">
        <v>554</v>
      </c>
      <c r="C39" s="51">
        <v>5525.1</v>
      </c>
      <c r="D39" s="51">
        <v>-2169.5</v>
      </c>
      <c r="E39" s="51">
        <v>70.7</v>
      </c>
      <c r="F39" s="51">
        <v>2440.8000000000002</v>
      </c>
      <c r="G39" s="51">
        <v>-2370.1</v>
      </c>
      <c r="H39" s="51">
        <v>313.3</v>
      </c>
      <c r="I39" s="51">
        <v>19321.3</v>
      </c>
      <c r="J39" s="51">
        <v>19634.599999999999</v>
      </c>
      <c r="K39" s="51">
        <v>10000.099999999999</v>
      </c>
      <c r="L39" s="24">
        <v>871.8</v>
      </c>
      <c r="M39" s="24">
        <v>1183.8</v>
      </c>
      <c r="N39" s="24">
        <v>578.1</v>
      </c>
      <c r="O39" s="24">
        <v>2806</v>
      </c>
      <c r="P39" s="24">
        <v>-12664.1</v>
      </c>
      <c r="Q39" s="24">
        <v>-7224.4000000000005</v>
      </c>
      <c r="R39" s="24">
        <v>-2775.699999999998</v>
      </c>
      <c r="S39" s="795"/>
      <c r="T39" s="795"/>
      <c r="U39" s="795"/>
      <c r="V39" s="795"/>
    </row>
    <row r="40" spans="1:22" s="154" customFormat="1" ht="12" customHeight="1" x14ac:dyDescent="0.2">
      <c r="A40" s="795" t="s">
        <v>81</v>
      </c>
      <c r="B40" s="293" t="s">
        <v>555</v>
      </c>
      <c r="C40" s="24">
        <v>2378.9</v>
      </c>
      <c r="D40" s="51">
        <v>-886.7</v>
      </c>
      <c r="E40" s="51">
        <v>28.4</v>
      </c>
      <c r="F40" s="51">
        <v>960</v>
      </c>
      <c r="G40" s="24">
        <v>-931.6</v>
      </c>
      <c r="H40" s="24">
        <v>0.2</v>
      </c>
      <c r="I40" s="24">
        <v>6442.4</v>
      </c>
      <c r="J40" s="24">
        <v>6442.5999999999995</v>
      </c>
      <c r="K40" s="218">
        <v>-905.00000000000091</v>
      </c>
      <c r="L40" s="24">
        <v>3.4</v>
      </c>
      <c r="M40" s="51">
        <v>252</v>
      </c>
      <c r="N40" s="51">
        <v>536.4</v>
      </c>
      <c r="O40" s="51">
        <v>1255.5999999999999</v>
      </c>
      <c r="P40" s="24">
        <v>-893.4</v>
      </c>
      <c r="Q40" s="51">
        <v>1154</v>
      </c>
      <c r="R40" s="51">
        <v>-248.99999999999909</v>
      </c>
      <c r="S40" s="795"/>
      <c r="T40" s="795"/>
      <c r="U40" s="795"/>
      <c r="V40" s="795"/>
    </row>
    <row r="41" spans="1:22" s="154" customFormat="1" ht="12" customHeight="1" x14ac:dyDescent="0.2">
      <c r="A41" s="795" t="s">
        <v>81</v>
      </c>
      <c r="B41" s="2185" t="s">
        <v>548</v>
      </c>
      <c r="C41" s="24">
        <v>2051.9</v>
      </c>
      <c r="D41" s="51">
        <v>-853.2</v>
      </c>
      <c r="E41" s="51">
        <v>19.2</v>
      </c>
      <c r="F41" s="51">
        <v>693.4</v>
      </c>
      <c r="G41" s="24">
        <v>-674.19999999999993</v>
      </c>
      <c r="H41" s="24">
        <v>3.2</v>
      </c>
      <c r="I41" s="51">
        <v>7600</v>
      </c>
      <c r="J41" s="24">
        <v>7603.2</v>
      </c>
      <c r="K41" s="218">
        <v>2469.9000000000005</v>
      </c>
      <c r="L41" s="51">
        <v>42</v>
      </c>
      <c r="M41" s="51">
        <v>360.2</v>
      </c>
      <c r="N41" s="51">
        <v>-658.3</v>
      </c>
      <c r="O41" s="51">
        <v>2444</v>
      </c>
      <c r="P41" s="24">
        <v>-5119.6000000000004</v>
      </c>
      <c r="Q41" s="51">
        <v>-2931.7000000000003</v>
      </c>
      <c r="R41" s="51">
        <v>461.79999999999973</v>
      </c>
      <c r="S41" s="795"/>
      <c r="T41" s="795"/>
      <c r="U41" s="795"/>
      <c r="V41" s="795"/>
    </row>
    <row r="42" spans="1:22" s="154" customFormat="1" ht="12" customHeight="1" x14ac:dyDescent="0.2">
      <c r="A42" s="795" t="s">
        <v>81</v>
      </c>
      <c r="B42" s="293" t="s">
        <v>556</v>
      </c>
      <c r="C42" s="24">
        <v>2452.1</v>
      </c>
      <c r="D42" s="51">
        <v>-873.69999999999982</v>
      </c>
      <c r="E42" s="51">
        <v>34</v>
      </c>
      <c r="F42" s="51">
        <v>894.6</v>
      </c>
      <c r="G42" s="24">
        <v>-860.6</v>
      </c>
      <c r="H42" s="24">
        <v>298.60000000000002</v>
      </c>
      <c r="I42" s="51">
        <v>6200.7</v>
      </c>
      <c r="J42" s="24">
        <v>6499.3</v>
      </c>
      <c r="K42" s="218">
        <v>-88.800000000001091</v>
      </c>
      <c r="L42" s="51">
        <v>750.7</v>
      </c>
      <c r="M42" s="51">
        <v>571.59999999999991</v>
      </c>
      <c r="N42" s="51">
        <v>205.6</v>
      </c>
      <c r="O42" s="51">
        <v>2226.8999999999996</v>
      </c>
      <c r="P42" s="24">
        <v>-703.5</v>
      </c>
      <c r="Q42" s="51">
        <v>3051.2999999999993</v>
      </c>
      <c r="R42" s="51">
        <v>-2962.4999999999982</v>
      </c>
      <c r="S42" s="795"/>
      <c r="T42" s="795"/>
      <c r="U42" s="795"/>
      <c r="V42" s="795"/>
    </row>
    <row r="43" spans="1:22" s="154" customFormat="1" ht="12" customHeight="1" x14ac:dyDescent="0.2">
      <c r="A43" s="795" t="s">
        <v>81</v>
      </c>
      <c r="B43" s="2185" t="s">
        <v>557</v>
      </c>
      <c r="C43" s="51">
        <v>6882.9</v>
      </c>
      <c r="D43" s="51">
        <v>-2613.6</v>
      </c>
      <c r="E43" s="51">
        <v>81.599999999999994</v>
      </c>
      <c r="F43" s="51">
        <v>2548</v>
      </c>
      <c r="G43" s="51">
        <v>-2466.4</v>
      </c>
      <c r="H43" s="51">
        <v>302</v>
      </c>
      <c r="I43" s="51">
        <v>20243.099999999999</v>
      </c>
      <c r="J43" s="51">
        <v>20545.099999999999</v>
      </c>
      <c r="K43" s="51">
        <v>1476.0999999999985</v>
      </c>
      <c r="L43" s="24">
        <v>796.1</v>
      </c>
      <c r="M43" s="24">
        <v>1183.8</v>
      </c>
      <c r="N43" s="24">
        <v>83.700000000000017</v>
      </c>
      <c r="O43" s="24">
        <v>5926.5</v>
      </c>
      <c r="P43" s="24">
        <v>-6716.5</v>
      </c>
      <c r="Q43" s="24">
        <v>1273.599999999999</v>
      </c>
      <c r="R43" s="24">
        <v>-2749.6999999999975</v>
      </c>
      <c r="S43" s="795"/>
      <c r="T43" s="795"/>
      <c r="U43" s="795"/>
      <c r="V43" s="795"/>
    </row>
    <row r="44" spans="1:22" s="154" customFormat="1" ht="12" customHeight="1" x14ac:dyDescent="0.2">
      <c r="A44" s="795" t="s">
        <v>81</v>
      </c>
      <c r="B44" s="293" t="s">
        <v>549</v>
      </c>
      <c r="C44" s="24">
        <v>2056.8000000000002</v>
      </c>
      <c r="D44" s="51">
        <v>-1137.0000000000002</v>
      </c>
      <c r="E44" s="51">
        <v>59.1</v>
      </c>
      <c r="F44" s="51">
        <v>819.9</v>
      </c>
      <c r="G44" s="24">
        <v>-760.8</v>
      </c>
      <c r="H44" s="51">
        <v>1.7</v>
      </c>
      <c r="I44" s="51">
        <v>6710.4</v>
      </c>
      <c r="J44" s="51">
        <v>6712.0999999999995</v>
      </c>
      <c r="K44" s="218">
        <v>3117.3999999999996</v>
      </c>
      <c r="L44" s="51">
        <v>22.6</v>
      </c>
      <c r="M44" s="51">
        <v>341</v>
      </c>
      <c r="N44" s="51">
        <v>-385.8</v>
      </c>
      <c r="O44" s="51">
        <v>-3627.9</v>
      </c>
      <c r="P44" s="24">
        <v>1218.5</v>
      </c>
      <c r="Q44" s="51">
        <v>-2431.6</v>
      </c>
      <c r="R44" s="51">
        <v>-685.79999999999973</v>
      </c>
      <c r="S44" s="795"/>
      <c r="T44" s="795"/>
      <c r="U44" s="795"/>
      <c r="V44" s="795"/>
    </row>
    <row r="45" spans="1:22" s="154" customFormat="1" ht="12" customHeight="1" x14ac:dyDescent="0.2">
      <c r="A45" s="795" t="s">
        <v>81</v>
      </c>
      <c r="B45" s="2185" t="s">
        <v>558</v>
      </c>
      <c r="C45" s="51">
        <v>1799</v>
      </c>
      <c r="D45" s="51">
        <v>-941.5</v>
      </c>
      <c r="E45" s="51">
        <v>37.799999999999997</v>
      </c>
      <c r="F45" s="51">
        <v>416.2</v>
      </c>
      <c r="G45" s="24">
        <v>-378.4</v>
      </c>
      <c r="H45" s="51">
        <v>1.4</v>
      </c>
      <c r="I45" s="51">
        <v>5449.5</v>
      </c>
      <c r="J45" s="51">
        <v>5450.9</v>
      </c>
      <c r="K45" s="218">
        <v>1906.7000000000003</v>
      </c>
      <c r="L45" s="51">
        <v>17.899999999999999</v>
      </c>
      <c r="M45" s="51">
        <v>166.2</v>
      </c>
      <c r="N45" s="51">
        <v>-339.7</v>
      </c>
      <c r="O45" s="51">
        <v>965.5</v>
      </c>
      <c r="P45" s="24">
        <v>-3676.4</v>
      </c>
      <c r="Q45" s="51">
        <v>-2866.5</v>
      </c>
      <c r="R45" s="51">
        <v>959.79999999999973</v>
      </c>
      <c r="S45" s="795"/>
      <c r="T45" s="795"/>
      <c r="U45" s="795"/>
      <c r="V45" s="795"/>
    </row>
    <row r="46" spans="1:22" s="154" customFormat="1" ht="12" customHeight="1" x14ac:dyDescent="0.2">
      <c r="A46" s="795" t="s">
        <v>81</v>
      </c>
      <c r="B46" s="293" t="s">
        <v>559</v>
      </c>
      <c r="C46" s="51">
        <v>2438.4</v>
      </c>
      <c r="D46" s="51">
        <v>-988.80000000000018</v>
      </c>
      <c r="E46" s="51">
        <v>43.800000000000004</v>
      </c>
      <c r="F46" s="51">
        <v>1112.7</v>
      </c>
      <c r="G46" s="24">
        <v>-1068.9000000000001</v>
      </c>
      <c r="H46" s="51">
        <v>158.6</v>
      </c>
      <c r="I46" s="51">
        <v>7120.3</v>
      </c>
      <c r="J46" s="51">
        <v>7278.9000000000005</v>
      </c>
      <c r="K46" s="218">
        <v>1086.8000000000002</v>
      </c>
      <c r="L46" s="51">
        <v>499.3</v>
      </c>
      <c r="M46" s="51">
        <v>1467.3</v>
      </c>
      <c r="N46" s="51">
        <v>-38.799999999999997</v>
      </c>
      <c r="O46" s="51">
        <v>-5469.4</v>
      </c>
      <c r="P46" s="24">
        <v>2655.9</v>
      </c>
      <c r="Q46" s="51">
        <v>-885.69999999999936</v>
      </c>
      <c r="R46" s="51">
        <v>-201.10000000000082</v>
      </c>
      <c r="S46" s="795"/>
      <c r="T46" s="795"/>
      <c r="U46" s="795"/>
      <c r="V46" s="795"/>
    </row>
    <row r="47" spans="1:22" s="154" customFormat="1" ht="12" customHeight="1" x14ac:dyDescent="0.2">
      <c r="A47" s="795" t="s">
        <v>81</v>
      </c>
      <c r="B47" s="2185" t="s">
        <v>550</v>
      </c>
      <c r="C47" s="51">
        <v>6294.2000000000007</v>
      </c>
      <c r="D47" s="51">
        <v>-3067.3</v>
      </c>
      <c r="E47" s="51">
        <v>140.70000000000002</v>
      </c>
      <c r="F47" s="51">
        <v>2348.8000000000002</v>
      </c>
      <c r="G47" s="51">
        <v>-2208.1</v>
      </c>
      <c r="H47" s="51">
        <v>161.69999999999999</v>
      </c>
      <c r="I47" s="51">
        <v>19280.2</v>
      </c>
      <c r="J47" s="51">
        <v>19441.900000000001</v>
      </c>
      <c r="K47" s="51">
        <v>6110.9000000000005</v>
      </c>
      <c r="L47" s="24">
        <v>539.79999999999995</v>
      </c>
      <c r="M47" s="24">
        <v>1974.5</v>
      </c>
      <c r="N47" s="24">
        <v>-764.3</v>
      </c>
      <c r="O47" s="24">
        <v>-8131.7999999999993</v>
      </c>
      <c r="P47" s="24">
        <v>198</v>
      </c>
      <c r="Q47" s="24">
        <v>-6183.7999999999993</v>
      </c>
      <c r="R47" s="24">
        <v>72.899999999999181</v>
      </c>
      <c r="S47" s="795"/>
      <c r="T47" s="795"/>
      <c r="U47" s="795"/>
      <c r="V47" s="795"/>
    </row>
    <row r="48" spans="1:22" s="154" customFormat="1" ht="12" customHeight="1" x14ac:dyDescent="0.2">
      <c r="A48" s="795" t="s">
        <v>189</v>
      </c>
      <c r="B48" s="293" t="s">
        <v>552</v>
      </c>
      <c r="C48" s="2038">
        <v>12669.7</v>
      </c>
      <c r="D48" s="2038">
        <v>13545.6</v>
      </c>
      <c r="E48" s="2038">
        <f t="shared" ref="E48:E83" si="15">C48-D48</f>
        <v>-875.89999999999964</v>
      </c>
      <c r="F48" s="286">
        <v>1085.0999999999999</v>
      </c>
      <c r="G48" s="286">
        <v>2337.5</v>
      </c>
      <c r="H48" s="2038">
        <f t="shared" ref="H48:H83" si="16">F48-G48</f>
        <v>-1252.4000000000001</v>
      </c>
      <c r="I48" s="2038">
        <v>55.7</v>
      </c>
      <c r="J48" s="2038">
        <v>756.8</v>
      </c>
      <c r="K48" s="2038">
        <f t="shared" ref="K48:K83" si="17">I48-J48</f>
        <v>-701.09999999999991</v>
      </c>
      <c r="L48" s="2038">
        <v>1.5</v>
      </c>
      <c r="M48" s="2038">
        <v>6188.6</v>
      </c>
      <c r="N48" s="2038">
        <f t="shared" ref="N48:N71" si="18">L48+M48</f>
        <v>6190.1</v>
      </c>
      <c r="O48" s="2039">
        <f t="shared" ref="O48:O71" si="19">E48++H48+K48+N48</f>
        <v>3360.7000000000007</v>
      </c>
      <c r="P48" s="2038">
        <v>5.5</v>
      </c>
      <c r="Q48" s="2038">
        <v>384.3</v>
      </c>
      <c r="R48" s="2038">
        <v>-320.10000000000002</v>
      </c>
      <c r="S48" s="2038">
        <v>-4905.6000000000004</v>
      </c>
      <c r="T48" s="286">
        <v>1211.9000000000001</v>
      </c>
      <c r="U48" s="2038">
        <f t="shared" ref="U48:U71" si="20">P48+Q48+R48+S48+T48</f>
        <v>-3624.0000000000005</v>
      </c>
      <c r="V48" s="2038">
        <f t="shared" ref="V48:V71" si="21">-(O48+U48)</f>
        <v>263.29999999999973</v>
      </c>
    </row>
    <row r="49" spans="1:22" s="154" customFormat="1" ht="12" customHeight="1" x14ac:dyDescent="0.2">
      <c r="A49" s="795" t="s">
        <v>189</v>
      </c>
      <c r="B49" s="2185" t="s">
        <v>553</v>
      </c>
      <c r="C49" s="2043">
        <v>12516.2</v>
      </c>
      <c r="D49" s="2043">
        <v>15230.2</v>
      </c>
      <c r="E49" s="2043">
        <f t="shared" si="15"/>
        <v>-2714</v>
      </c>
      <c r="F49" s="195">
        <v>1319.9</v>
      </c>
      <c r="G49" s="195">
        <v>2619.6999999999998</v>
      </c>
      <c r="H49" s="2043">
        <f t="shared" si="16"/>
        <v>-1299.7999999999997</v>
      </c>
      <c r="I49" s="2043">
        <v>64.7</v>
      </c>
      <c r="J49" s="2043">
        <v>848.3</v>
      </c>
      <c r="K49" s="2043">
        <f t="shared" si="17"/>
        <v>-783.59999999999991</v>
      </c>
      <c r="L49" s="2043">
        <v>1.2</v>
      </c>
      <c r="M49" s="2043">
        <v>6875.9</v>
      </c>
      <c r="N49" s="2043">
        <f t="shared" si="18"/>
        <v>6877.0999999999995</v>
      </c>
      <c r="O49" s="2045">
        <f t="shared" si="19"/>
        <v>2079.6999999999998</v>
      </c>
      <c r="P49" s="2043">
        <v>15.9</v>
      </c>
      <c r="Q49" s="2043">
        <v>387.4</v>
      </c>
      <c r="R49" s="2043">
        <v>-743.8</v>
      </c>
      <c r="S49" s="2043">
        <v>-96.7</v>
      </c>
      <c r="T49" s="195">
        <v>-2070.4</v>
      </c>
      <c r="U49" s="2043">
        <f t="shared" si="20"/>
        <v>-2507.6</v>
      </c>
      <c r="V49" s="2043">
        <f t="shared" si="21"/>
        <v>427.90000000000009</v>
      </c>
    </row>
    <row r="50" spans="1:22" s="154" customFormat="1" ht="12" customHeight="1" x14ac:dyDescent="0.2">
      <c r="A50" s="795" t="s">
        <v>189</v>
      </c>
      <c r="B50" s="293" t="s">
        <v>547</v>
      </c>
      <c r="C50" s="2038">
        <v>9865.2999999999993</v>
      </c>
      <c r="D50" s="2038">
        <v>15302.3</v>
      </c>
      <c r="E50" s="2038">
        <f t="shared" si="15"/>
        <v>-5437</v>
      </c>
      <c r="F50" s="286">
        <v>1239.8</v>
      </c>
      <c r="G50" s="286">
        <v>2694.6</v>
      </c>
      <c r="H50" s="2038">
        <f t="shared" si="16"/>
        <v>-1454.8</v>
      </c>
      <c r="I50" s="2038">
        <v>70.400000000000006</v>
      </c>
      <c r="J50" s="2038">
        <v>703</v>
      </c>
      <c r="K50" s="2038">
        <f t="shared" si="17"/>
        <v>-632.6</v>
      </c>
      <c r="L50" s="2038">
        <v>53.3</v>
      </c>
      <c r="M50" s="2038">
        <v>5984.1</v>
      </c>
      <c r="N50" s="2038">
        <f t="shared" si="18"/>
        <v>6037.4000000000005</v>
      </c>
      <c r="O50" s="2039">
        <f t="shared" si="19"/>
        <v>-1487</v>
      </c>
      <c r="P50" s="2038">
        <v>708.4</v>
      </c>
      <c r="Q50" s="2038">
        <v>496.7</v>
      </c>
      <c r="R50" s="2038">
        <v>-327.9</v>
      </c>
      <c r="S50" s="2038">
        <v>-1024.2</v>
      </c>
      <c r="T50" s="286">
        <v>2461.6</v>
      </c>
      <c r="U50" s="2038">
        <f t="shared" si="20"/>
        <v>2314.6</v>
      </c>
      <c r="V50" s="2038">
        <f t="shared" si="21"/>
        <v>-827.59999999999991</v>
      </c>
    </row>
    <row r="51" spans="1:22" s="154" customFormat="1" ht="12" customHeight="1" x14ac:dyDescent="0.2">
      <c r="A51" s="795" t="s">
        <v>189</v>
      </c>
      <c r="B51" s="2185" t="s">
        <v>554</v>
      </c>
      <c r="C51" s="2043">
        <v>11949.6</v>
      </c>
      <c r="D51" s="2043">
        <v>13557.1</v>
      </c>
      <c r="E51" s="2043">
        <f t="shared" si="15"/>
        <v>-1607.5</v>
      </c>
      <c r="F51" s="195">
        <v>1809.2</v>
      </c>
      <c r="G51" s="195">
        <v>2376.4</v>
      </c>
      <c r="H51" s="2043">
        <f t="shared" si="16"/>
        <v>-567.20000000000005</v>
      </c>
      <c r="I51" s="2043">
        <v>31.7</v>
      </c>
      <c r="J51" s="2043">
        <v>648.70000000000005</v>
      </c>
      <c r="K51" s="2043">
        <f t="shared" si="17"/>
        <v>-617</v>
      </c>
      <c r="L51" s="2043">
        <v>20.2</v>
      </c>
      <c r="M51" s="2043">
        <v>6668.1</v>
      </c>
      <c r="N51" s="2043">
        <f t="shared" si="18"/>
        <v>6688.3</v>
      </c>
      <c r="O51" s="2045">
        <f t="shared" si="19"/>
        <v>3896.6000000000004</v>
      </c>
      <c r="P51" s="2043">
        <v>268.60000000000002</v>
      </c>
      <c r="Q51" s="2043">
        <v>461.8</v>
      </c>
      <c r="R51" s="2043">
        <v>239.5</v>
      </c>
      <c r="S51" s="2043">
        <v>-943.5</v>
      </c>
      <c r="T51" s="195">
        <v>-1771.6</v>
      </c>
      <c r="U51" s="2043">
        <f t="shared" si="20"/>
        <v>-1745.1999999999998</v>
      </c>
      <c r="V51" s="2043">
        <f t="shared" si="21"/>
        <v>-2151.4000000000005</v>
      </c>
    </row>
    <row r="52" spans="1:22" s="154" customFormat="1" ht="12" customHeight="1" x14ac:dyDescent="0.2">
      <c r="A52" s="795" t="s">
        <v>189</v>
      </c>
      <c r="B52" s="293" t="s">
        <v>555</v>
      </c>
      <c r="C52" s="2038">
        <v>10971.6</v>
      </c>
      <c r="D52" s="2038">
        <v>17135.400000000001</v>
      </c>
      <c r="E52" s="2038">
        <f t="shared" si="15"/>
        <v>-6163.8000000000011</v>
      </c>
      <c r="F52" s="286">
        <v>1677.4</v>
      </c>
      <c r="G52" s="286">
        <v>3728.2</v>
      </c>
      <c r="H52" s="2038">
        <f t="shared" si="16"/>
        <v>-2050.7999999999997</v>
      </c>
      <c r="I52" s="2038">
        <v>84.9</v>
      </c>
      <c r="J52" s="2038">
        <v>1058.3</v>
      </c>
      <c r="K52" s="2038">
        <f t="shared" si="17"/>
        <v>-973.4</v>
      </c>
      <c r="L52" s="2038">
        <v>1.4</v>
      </c>
      <c r="M52" s="2038">
        <v>7221.8</v>
      </c>
      <c r="N52" s="2038">
        <f t="shared" si="18"/>
        <v>7223.2</v>
      </c>
      <c r="O52" s="2039">
        <f t="shared" si="19"/>
        <v>-1964.8000000000002</v>
      </c>
      <c r="P52" s="2038">
        <v>19.100000000000001</v>
      </c>
      <c r="Q52" s="2038">
        <v>411.8</v>
      </c>
      <c r="R52" s="2038">
        <v>-511.8</v>
      </c>
      <c r="S52" s="2038">
        <v>-871</v>
      </c>
      <c r="T52" s="286">
        <v>2296.4</v>
      </c>
      <c r="U52" s="2038">
        <f t="shared" si="20"/>
        <v>1344.5</v>
      </c>
      <c r="V52" s="2038">
        <f t="shared" si="21"/>
        <v>620.30000000000018</v>
      </c>
    </row>
    <row r="53" spans="1:22" s="154" customFormat="1" ht="12" customHeight="1" x14ac:dyDescent="0.2">
      <c r="A53" s="795" t="s">
        <v>189</v>
      </c>
      <c r="B53" s="2185" t="s">
        <v>548</v>
      </c>
      <c r="C53" s="2043">
        <v>14077</v>
      </c>
      <c r="D53" s="2043">
        <v>18975.599999999999</v>
      </c>
      <c r="E53" s="2043">
        <f t="shared" si="15"/>
        <v>-4898.5999999999985</v>
      </c>
      <c r="F53" s="195">
        <v>1872.7</v>
      </c>
      <c r="G53" s="195">
        <v>3286.4</v>
      </c>
      <c r="H53" s="2043">
        <f t="shared" si="16"/>
        <v>-1413.7</v>
      </c>
      <c r="I53" s="2043">
        <v>76.7</v>
      </c>
      <c r="J53" s="2043">
        <v>990.3</v>
      </c>
      <c r="K53" s="2043">
        <f t="shared" si="17"/>
        <v>-913.59999999999991</v>
      </c>
      <c r="L53" s="2043">
        <v>183.1</v>
      </c>
      <c r="M53" s="2043">
        <v>7057.3</v>
      </c>
      <c r="N53" s="2043">
        <f t="shared" si="18"/>
        <v>7240.4000000000005</v>
      </c>
      <c r="O53" s="2045">
        <f t="shared" si="19"/>
        <v>14.500000000002728</v>
      </c>
      <c r="P53" s="2043">
        <v>557.1</v>
      </c>
      <c r="Q53" s="2043">
        <v>642.20000000000005</v>
      </c>
      <c r="R53" s="2043">
        <v>102.1</v>
      </c>
      <c r="S53" s="2043">
        <v>2636.3</v>
      </c>
      <c r="T53" s="195">
        <v>-2909.1</v>
      </c>
      <c r="U53" s="2043">
        <f t="shared" si="20"/>
        <v>1028.6000000000004</v>
      </c>
      <c r="V53" s="2043">
        <f t="shared" si="21"/>
        <v>-1043.1000000000031</v>
      </c>
    </row>
    <row r="54" spans="1:22" s="154" customFormat="1" ht="12" customHeight="1" x14ac:dyDescent="0.2">
      <c r="A54" s="795" t="s">
        <v>189</v>
      </c>
      <c r="B54" s="293" t="s">
        <v>556</v>
      </c>
      <c r="C54" s="2038">
        <v>13464.2</v>
      </c>
      <c r="D54" s="2038">
        <v>19503.900000000001</v>
      </c>
      <c r="E54" s="2038">
        <f t="shared" si="15"/>
        <v>-6039.7000000000007</v>
      </c>
      <c r="F54" s="286">
        <v>1243.5</v>
      </c>
      <c r="G54" s="286">
        <v>2982</v>
      </c>
      <c r="H54" s="2038">
        <f t="shared" si="16"/>
        <v>-1738.5</v>
      </c>
      <c r="I54" s="2038">
        <v>59.3</v>
      </c>
      <c r="J54" s="2038">
        <v>764.2</v>
      </c>
      <c r="K54" s="2038">
        <f t="shared" si="17"/>
        <v>-704.90000000000009</v>
      </c>
      <c r="L54" s="2038">
        <v>2.2999999999999998</v>
      </c>
      <c r="M54" s="2038">
        <v>6879.3</v>
      </c>
      <c r="N54" s="2038">
        <f t="shared" si="18"/>
        <v>6881.6</v>
      </c>
      <c r="O54" s="2039">
        <f t="shared" si="19"/>
        <v>-1601.5</v>
      </c>
      <c r="P54" s="2038">
        <v>30.9</v>
      </c>
      <c r="Q54" s="2038">
        <v>417.2</v>
      </c>
      <c r="R54" s="2038">
        <v>-902.5</v>
      </c>
      <c r="S54" s="2038">
        <v>-2917.5</v>
      </c>
      <c r="T54" s="286">
        <v>5789.1</v>
      </c>
      <c r="U54" s="2038">
        <f t="shared" si="20"/>
        <v>2417.2000000000003</v>
      </c>
      <c r="V54" s="2038">
        <f t="shared" si="21"/>
        <v>-815.70000000000027</v>
      </c>
    </row>
    <row r="55" spans="1:22" s="154" customFormat="1" ht="12" customHeight="1" x14ac:dyDescent="0.2">
      <c r="A55" s="795" t="s">
        <v>189</v>
      </c>
      <c r="B55" s="2185" t="s">
        <v>557</v>
      </c>
      <c r="C55" s="2043">
        <v>13458.5</v>
      </c>
      <c r="D55" s="2043">
        <v>17641.3</v>
      </c>
      <c r="E55" s="2043">
        <f t="shared" si="15"/>
        <v>-4182.7999999999993</v>
      </c>
      <c r="F55" s="195">
        <v>1008.5</v>
      </c>
      <c r="G55" s="195">
        <v>2605.6999999999998</v>
      </c>
      <c r="H55" s="2043">
        <f t="shared" si="16"/>
        <v>-1597.1999999999998</v>
      </c>
      <c r="I55" s="2043">
        <v>67.7</v>
      </c>
      <c r="J55" s="2043">
        <v>671.6</v>
      </c>
      <c r="K55" s="2043">
        <f t="shared" si="17"/>
        <v>-603.9</v>
      </c>
      <c r="L55" s="2043">
        <v>0.8</v>
      </c>
      <c r="M55" s="2043">
        <v>6943.6</v>
      </c>
      <c r="N55" s="2043">
        <f t="shared" si="18"/>
        <v>6944.4000000000005</v>
      </c>
      <c r="O55" s="2045">
        <f t="shared" si="19"/>
        <v>560.50000000000182</v>
      </c>
      <c r="P55" s="2043">
        <v>10.3</v>
      </c>
      <c r="Q55" s="2043">
        <v>351.2</v>
      </c>
      <c r="R55" s="2043">
        <v>-1196.9000000000001</v>
      </c>
      <c r="S55" s="2043">
        <v>3641.6</v>
      </c>
      <c r="T55" s="195">
        <v>-2753.8</v>
      </c>
      <c r="U55" s="2043">
        <f t="shared" si="20"/>
        <v>52.399999999999636</v>
      </c>
      <c r="V55" s="2043">
        <f t="shared" si="21"/>
        <v>-612.90000000000146</v>
      </c>
    </row>
    <row r="56" spans="1:22" s="154" customFormat="1" ht="12" customHeight="1" x14ac:dyDescent="0.2">
      <c r="A56" s="795" t="s">
        <v>189</v>
      </c>
      <c r="B56" s="293" t="s">
        <v>549</v>
      </c>
      <c r="C56" s="2038">
        <v>15498.1</v>
      </c>
      <c r="D56" s="2038">
        <v>20650.099999999999</v>
      </c>
      <c r="E56" s="2038">
        <f t="shared" si="15"/>
        <v>-5151.9999999999982</v>
      </c>
      <c r="F56" s="286">
        <v>1373.5</v>
      </c>
      <c r="G56" s="2038">
        <v>3061</v>
      </c>
      <c r="H56" s="2038">
        <f t="shared" si="16"/>
        <v>-1687.5</v>
      </c>
      <c r="I56" s="2038">
        <v>497.4</v>
      </c>
      <c r="J56" s="2038">
        <v>991.9</v>
      </c>
      <c r="K56" s="2038">
        <f t="shared" si="17"/>
        <v>-494.5</v>
      </c>
      <c r="L56" s="2038">
        <v>35.299999999999997</v>
      </c>
      <c r="M56" s="2038">
        <v>7978.5</v>
      </c>
      <c r="N56" s="2038">
        <f t="shared" si="18"/>
        <v>8013.8</v>
      </c>
      <c r="O56" s="2039">
        <f t="shared" si="19"/>
        <v>679.800000000002</v>
      </c>
      <c r="P56" s="2038">
        <v>469.1</v>
      </c>
      <c r="Q56" s="2038">
        <v>463.7</v>
      </c>
      <c r="R56" s="2038">
        <v>-690.2</v>
      </c>
      <c r="S56" s="2038">
        <v>-4014.6</v>
      </c>
      <c r="T56" s="286">
        <v>4533.2</v>
      </c>
      <c r="U56" s="2038">
        <f t="shared" si="20"/>
        <v>761.19999999999982</v>
      </c>
      <c r="V56" s="2038">
        <f t="shared" si="21"/>
        <v>-1441.0000000000018</v>
      </c>
    </row>
    <row r="57" spans="1:22" s="154" customFormat="1" ht="12" customHeight="1" x14ac:dyDescent="0.2">
      <c r="A57" s="795" t="s">
        <v>189</v>
      </c>
      <c r="B57" s="2185" t="s">
        <v>558</v>
      </c>
      <c r="C57" s="2043">
        <v>14875.5</v>
      </c>
      <c r="D57" s="2043">
        <v>21184.799999999999</v>
      </c>
      <c r="E57" s="2043">
        <f t="shared" si="15"/>
        <v>-6309.2999999999993</v>
      </c>
      <c r="F57" s="195">
        <v>1775.7</v>
      </c>
      <c r="G57" s="2043">
        <v>3051.6</v>
      </c>
      <c r="H57" s="2043">
        <f t="shared" si="16"/>
        <v>-1275.8999999999999</v>
      </c>
      <c r="I57" s="2043">
        <v>89.3</v>
      </c>
      <c r="J57" s="2043">
        <v>857.6</v>
      </c>
      <c r="K57" s="2043">
        <f t="shared" si="17"/>
        <v>-768.30000000000007</v>
      </c>
      <c r="L57" s="2043">
        <v>1.7</v>
      </c>
      <c r="M57" s="2043">
        <v>7277.6</v>
      </c>
      <c r="N57" s="2043">
        <f t="shared" si="18"/>
        <v>7279.3</v>
      </c>
      <c r="O57" s="2045">
        <f t="shared" si="19"/>
        <v>-1074.199999999998</v>
      </c>
      <c r="P57" s="2043">
        <v>23.1</v>
      </c>
      <c r="Q57" s="2043">
        <v>411.5</v>
      </c>
      <c r="R57" s="2043">
        <v>2249.4</v>
      </c>
      <c r="S57" s="2043">
        <v>1740</v>
      </c>
      <c r="T57" s="195">
        <v>-2804.9</v>
      </c>
      <c r="U57" s="2043">
        <f t="shared" si="20"/>
        <v>1619.1</v>
      </c>
      <c r="V57" s="2043">
        <f t="shared" si="21"/>
        <v>-544.90000000000191</v>
      </c>
    </row>
    <row r="58" spans="1:22" s="154" customFormat="1" ht="12" customHeight="1" x14ac:dyDescent="0.2">
      <c r="A58" s="795" t="s">
        <v>189</v>
      </c>
      <c r="B58" s="293" t="s">
        <v>559</v>
      </c>
      <c r="C58" s="2038">
        <v>16823.7</v>
      </c>
      <c r="D58" s="2038">
        <v>21712.7</v>
      </c>
      <c r="E58" s="2038">
        <f t="shared" si="15"/>
        <v>-4889</v>
      </c>
      <c r="F58" s="2038">
        <v>1496</v>
      </c>
      <c r="G58" s="2038">
        <v>3124.3</v>
      </c>
      <c r="H58" s="2038">
        <f t="shared" si="16"/>
        <v>-1628.3000000000002</v>
      </c>
      <c r="I58" s="2038">
        <v>88.4</v>
      </c>
      <c r="J58" s="2038">
        <v>905.2</v>
      </c>
      <c r="K58" s="2038">
        <f t="shared" si="17"/>
        <v>-816.80000000000007</v>
      </c>
      <c r="L58" s="2038">
        <v>2.1</v>
      </c>
      <c r="M58" s="2038">
        <v>7477.1</v>
      </c>
      <c r="N58" s="2038">
        <f t="shared" si="18"/>
        <v>7479.2000000000007</v>
      </c>
      <c r="O58" s="2039">
        <f t="shared" si="19"/>
        <v>145.10000000000036</v>
      </c>
      <c r="P58" s="2038">
        <v>28.3</v>
      </c>
      <c r="Q58" s="2038">
        <v>588.1</v>
      </c>
      <c r="R58" s="2038">
        <v>-2765.4</v>
      </c>
      <c r="S58" s="2038">
        <v>-1911</v>
      </c>
      <c r="T58" s="286">
        <v>5309.7</v>
      </c>
      <c r="U58" s="2038">
        <f t="shared" si="20"/>
        <v>1249.6999999999998</v>
      </c>
      <c r="V58" s="2038">
        <f t="shared" si="21"/>
        <v>-1394.8000000000002</v>
      </c>
    </row>
    <row r="59" spans="1:22" s="154" customFormat="1" ht="12" customHeight="1" x14ac:dyDescent="0.2">
      <c r="A59" s="795" t="s">
        <v>189</v>
      </c>
      <c r="B59" s="2185" t="s">
        <v>550</v>
      </c>
      <c r="C59" s="2043">
        <v>17712.7</v>
      </c>
      <c r="D59" s="2043">
        <v>19378</v>
      </c>
      <c r="E59" s="2043">
        <f t="shared" si="15"/>
        <v>-1665.2999999999993</v>
      </c>
      <c r="F59" s="2043">
        <v>1991.2</v>
      </c>
      <c r="G59" s="2043">
        <v>3255.6</v>
      </c>
      <c r="H59" s="2043">
        <f t="shared" si="16"/>
        <v>-1264.3999999999999</v>
      </c>
      <c r="I59" s="2043">
        <v>61.1</v>
      </c>
      <c r="J59" s="2043">
        <v>1203</v>
      </c>
      <c r="K59" s="2043">
        <f t="shared" si="17"/>
        <v>-1141.9000000000001</v>
      </c>
      <c r="L59" s="2043">
        <v>99.2</v>
      </c>
      <c r="M59" s="2043">
        <v>7544.4</v>
      </c>
      <c r="N59" s="2043">
        <f t="shared" si="18"/>
        <v>7643.5999999999995</v>
      </c>
      <c r="O59" s="2045">
        <f t="shared" si="19"/>
        <v>3572.0000000000005</v>
      </c>
      <c r="P59" s="2043">
        <v>1317.4</v>
      </c>
      <c r="Q59" s="2043">
        <v>405</v>
      </c>
      <c r="R59" s="2043">
        <v>-106.2</v>
      </c>
      <c r="S59" s="2043">
        <v>-73.400000000000006</v>
      </c>
      <c r="T59" s="195">
        <v>-3720.6</v>
      </c>
      <c r="U59" s="2043">
        <f t="shared" si="20"/>
        <v>-2177.8000000000002</v>
      </c>
      <c r="V59" s="2043">
        <f t="shared" si="21"/>
        <v>-1394.2000000000003</v>
      </c>
    </row>
    <row r="60" spans="1:22" s="154" customFormat="1" ht="12" customHeight="1" x14ac:dyDescent="0.2">
      <c r="A60" s="795" t="s">
        <v>696</v>
      </c>
      <c r="B60" s="293" t="s">
        <v>552</v>
      </c>
      <c r="C60" s="2043">
        <v>17540.2</v>
      </c>
      <c r="D60" s="2043">
        <v>19720.7</v>
      </c>
      <c r="E60" s="2043">
        <f t="shared" si="15"/>
        <v>-2180.5</v>
      </c>
      <c r="F60" s="2043">
        <v>1344.1</v>
      </c>
      <c r="G60" s="2043">
        <v>2971</v>
      </c>
      <c r="H60" s="2043">
        <f t="shared" si="16"/>
        <v>-1626.9</v>
      </c>
      <c r="I60" s="2043">
        <v>55.1</v>
      </c>
      <c r="J60" s="2043">
        <v>875.8</v>
      </c>
      <c r="K60" s="2043">
        <f t="shared" si="17"/>
        <v>-820.69999999999993</v>
      </c>
      <c r="L60" s="2043">
        <v>0.3</v>
      </c>
      <c r="M60" s="2043">
        <v>7483.7</v>
      </c>
      <c r="N60" s="2043">
        <f t="shared" si="18"/>
        <v>7484</v>
      </c>
      <c r="O60" s="2045">
        <f t="shared" si="19"/>
        <v>2855.8999999999996</v>
      </c>
      <c r="P60" s="2043">
        <v>3.9</v>
      </c>
      <c r="Q60" s="2043">
        <v>488.7</v>
      </c>
      <c r="R60" s="2043">
        <v>48.8</v>
      </c>
      <c r="S60" s="2043">
        <v>-8067.5</v>
      </c>
      <c r="T60" s="195">
        <v>4053.8</v>
      </c>
      <c r="U60" s="2043">
        <f t="shared" si="20"/>
        <v>-3472.3</v>
      </c>
      <c r="V60" s="2043">
        <f t="shared" si="21"/>
        <v>616.40000000000055</v>
      </c>
    </row>
    <row r="61" spans="1:22" s="154" customFormat="1" ht="12" customHeight="1" x14ac:dyDescent="0.2">
      <c r="A61" s="795" t="s">
        <v>696</v>
      </c>
      <c r="B61" s="2185" t="s">
        <v>553</v>
      </c>
      <c r="C61" s="2038">
        <v>17786.099999999999</v>
      </c>
      <c r="D61" s="2038">
        <v>17121.900000000001</v>
      </c>
      <c r="E61" s="2038">
        <f t="shared" si="15"/>
        <v>664.19999999999709</v>
      </c>
      <c r="F61" s="2038">
        <v>1551</v>
      </c>
      <c r="G61" s="2038">
        <v>2746.6</v>
      </c>
      <c r="H61" s="2038">
        <f t="shared" si="16"/>
        <v>-1195.5999999999999</v>
      </c>
      <c r="I61" s="2038">
        <v>69</v>
      </c>
      <c r="J61" s="2038">
        <v>1178.5999999999999</v>
      </c>
      <c r="K61" s="2038">
        <f t="shared" si="17"/>
        <v>-1109.5999999999999</v>
      </c>
      <c r="L61" s="2038">
        <v>12.2</v>
      </c>
      <c r="M61" s="2038">
        <v>8157</v>
      </c>
      <c r="N61" s="2038">
        <f t="shared" si="18"/>
        <v>8169.2</v>
      </c>
      <c r="O61" s="2039">
        <f t="shared" si="19"/>
        <v>6528.1999999999971</v>
      </c>
      <c r="P61" s="2038">
        <v>161.80000000000001</v>
      </c>
      <c r="Q61" s="2038">
        <v>531.29999999999995</v>
      </c>
      <c r="R61" s="2038">
        <v>-1359.7</v>
      </c>
      <c r="S61" s="2038">
        <v>142.80000000000001</v>
      </c>
      <c r="T61" s="2038">
        <v>-4762</v>
      </c>
      <c r="U61" s="2038">
        <f t="shared" si="20"/>
        <v>-5285.8</v>
      </c>
      <c r="V61" s="2038">
        <f t="shared" si="21"/>
        <v>-1242.3999999999969</v>
      </c>
    </row>
    <row r="62" spans="1:22" s="154" customFormat="1" ht="12" customHeight="1" x14ac:dyDescent="0.2">
      <c r="A62" s="795" t="s">
        <v>696</v>
      </c>
      <c r="B62" s="293" t="s">
        <v>547</v>
      </c>
      <c r="C62" s="2043">
        <v>10896.5</v>
      </c>
      <c r="D62" s="2043">
        <v>21972.1</v>
      </c>
      <c r="E62" s="2043">
        <f t="shared" si="15"/>
        <v>-11075.599999999999</v>
      </c>
      <c r="F62" s="2043">
        <v>1568.3</v>
      </c>
      <c r="G62" s="2043">
        <v>3575.1</v>
      </c>
      <c r="H62" s="2043">
        <f t="shared" si="16"/>
        <v>-2006.8</v>
      </c>
      <c r="I62" s="2043">
        <v>71.3</v>
      </c>
      <c r="J62" s="2043">
        <v>1049.0999999999999</v>
      </c>
      <c r="K62" s="2043">
        <f t="shared" si="17"/>
        <v>-977.8</v>
      </c>
      <c r="L62" s="2043">
        <v>235.4</v>
      </c>
      <c r="M62" s="2043">
        <v>6328.2</v>
      </c>
      <c r="N62" s="2043">
        <f t="shared" si="18"/>
        <v>6563.5999999999995</v>
      </c>
      <c r="O62" s="2045">
        <f t="shared" si="19"/>
        <v>-7496.5999999999976</v>
      </c>
      <c r="P62" s="2043">
        <v>650.9</v>
      </c>
      <c r="Q62" s="2043">
        <v>366.8</v>
      </c>
      <c r="R62" s="2043">
        <v>2799.1</v>
      </c>
      <c r="S62" s="2043">
        <v>0.9</v>
      </c>
      <c r="T62" s="2043">
        <v>6357.1</v>
      </c>
      <c r="U62" s="2043">
        <f t="shared" si="20"/>
        <v>10174.800000000001</v>
      </c>
      <c r="V62" s="2043">
        <f t="shared" si="21"/>
        <v>-2678.2000000000035</v>
      </c>
    </row>
    <row r="63" spans="1:22" s="154" customFormat="1" ht="12" customHeight="1" x14ac:dyDescent="0.2">
      <c r="A63" s="795" t="s">
        <v>696</v>
      </c>
      <c r="B63" s="2185" t="s">
        <v>554</v>
      </c>
      <c r="C63" s="2038">
        <v>14868.1</v>
      </c>
      <c r="D63" s="2038">
        <v>20317.099999999999</v>
      </c>
      <c r="E63" s="2038">
        <f t="shared" si="15"/>
        <v>-5448.9999999999982</v>
      </c>
      <c r="F63" s="2038">
        <v>2416.3000000000002</v>
      </c>
      <c r="G63" s="2038">
        <v>4151.2</v>
      </c>
      <c r="H63" s="2038">
        <f t="shared" si="16"/>
        <v>-1734.8999999999996</v>
      </c>
      <c r="I63" s="2038">
        <v>273.39999999999998</v>
      </c>
      <c r="J63" s="2038">
        <v>1010.5</v>
      </c>
      <c r="K63" s="2038">
        <f t="shared" si="17"/>
        <v>-737.1</v>
      </c>
      <c r="L63" s="2038">
        <v>3.2</v>
      </c>
      <c r="M63" s="2038">
        <v>7908.7</v>
      </c>
      <c r="N63" s="2038">
        <f t="shared" si="18"/>
        <v>7911.9</v>
      </c>
      <c r="O63" s="2039">
        <f t="shared" si="19"/>
        <v>-9.0999999999985448</v>
      </c>
      <c r="P63" s="2038">
        <v>42.8</v>
      </c>
      <c r="Q63" s="2038">
        <v>379.7</v>
      </c>
      <c r="R63" s="2038">
        <v>3795.3</v>
      </c>
      <c r="S63" s="2038">
        <v>-2142.4</v>
      </c>
      <c r="T63" s="2038">
        <v>-200.9</v>
      </c>
      <c r="U63" s="2038">
        <f t="shared" si="20"/>
        <v>1874.5</v>
      </c>
      <c r="V63" s="2038">
        <f t="shared" si="21"/>
        <v>-1865.4000000000015</v>
      </c>
    </row>
    <row r="64" spans="1:22" s="154" customFormat="1" ht="12" customHeight="1" x14ac:dyDescent="0.2">
      <c r="A64" s="795" t="s">
        <v>696</v>
      </c>
      <c r="B64" s="293" t="s">
        <v>555</v>
      </c>
      <c r="C64" s="2043">
        <v>12282.5</v>
      </c>
      <c r="D64" s="2043">
        <v>21640.1</v>
      </c>
      <c r="E64" s="2043">
        <f t="shared" si="15"/>
        <v>-9357.5999999999985</v>
      </c>
      <c r="F64" s="2043">
        <v>1517.4</v>
      </c>
      <c r="G64" s="2043">
        <v>3448.2</v>
      </c>
      <c r="H64" s="2043">
        <f t="shared" si="16"/>
        <v>-1930.7999999999997</v>
      </c>
      <c r="I64" s="2043">
        <v>86.8</v>
      </c>
      <c r="J64" s="2043">
        <v>1015.4</v>
      </c>
      <c r="K64" s="2043">
        <f t="shared" si="17"/>
        <v>-928.6</v>
      </c>
      <c r="L64" s="2043">
        <v>0.5</v>
      </c>
      <c r="M64" s="2043">
        <v>7269.1</v>
      </c>
      <c r="N64" s="2043">
        <f t="shared" si="18"/>
        <v>7269.6</v>
      </c>
      <c r="O64" s="2045">
        <f t="shared" si="19"/>
        <v>-4947.3999999999978</v>
      </c>
      <c r="P64" s="2043">
        <v>6.6</v>
      </c>
      <c r="Q64" s="2043">
        <v>487.5</v>
      </c>
      <c r="R64" s="2043">
        <v>1266.8</v>
      </c>
      <c r="S64" s="2043">
        <v>-2699.7</v>
      </c>
      <c r="T64" s="2043">
        <v>7489.2</v>
      </c>
      <c r="U64" s="2043">
        <f t="shared" si="20"/>
        <v>6550.4</v>
      </c>
      <c r="V64" s="2043">
        <f t="shared" si="21"/>
        <v>-1603.0000000000018</v>
      </c>
    </row>
    <row r="65" spans="1:22" s="154" customFormat="1" ht="12" customHeight="1" x14ac:dyDescent="0.2">
      <c r="A65" s="795" t="s">
        <v>696</v>
      </c>
      <c r="B65" s="2185" t="s">
        <v>548</v>
      </c>
      <c r="C65" s="2038">
        <v>16538.599999999999</v>
      </c>
      <c r="D65" s="2038">
        <v>20740.8</v>
      </c>
      <c r="E65" s="2038">
        <f t="shared" si="15"/>
        <v>-4202.2000000000007</v>
      </c>
      <c r="F65" s="2038">
        <v>2013.6</v>
      </c>
      <c r="G65" s="2038">
        <v>3722.1</v>
      </c>
      <c r="H65" s="2038">
        <f t="shared" si="16"/>
        <v>-1708.5</v>
      </c>
      <c r="I65" s="2038">
        <v>66.900000000000006</v>
      </c>
      <c r="J65" s="2038">
        <v>950.2</v>
      </c>
      <c r="K65" s="2038">
        <f t="shared" si="17"/>
        <v>-883.30000000000007</v>
      </c>
      <c r="L65" s="2038">
        <v>164.7</v>
      </c>
      <c r="M65" s="2038">
        <v>9253.2999999999993</v>
      </c>
      <c r="N65" s="2038">
        <f t="shared" si="18"/>
        <v>9418</v>
      </c>
      <c r="O65" s="2039">
        <f t="shared" si="19"/>
        <v>2623.9999999999991</v>
      </c>
      <c r="P65" s="2038">
        <v>1446.2</v>
      </c>
      <c r="Q65" s="2038">
        <v>450.4</v>
      </c>
      <c r="R65" s="2038">
        <v>-1642.6</v>
      </c>
      <c r="S65" s="2038">
        <v>1505.9</v>
      </c>
      <c r="T65" s="2038">
        <v>-4282.8</v>
      </c>
      <c r="U65" s="2038">
        <f t="shared" si="20"/>
        <v>-2522.9</v>
      </c>
      <c r="V65" s="2038">
        <f t="shared" si="21"/>
        <v>-101.099999999999</v>
      </c>
    </row>
    <row r="66" spans="1:22" s="154" customFormat="1" ht="12" customHeight="1" x14ac:dyDescent="0.2">
      <c r="A66" s="795" t="s">
        <v>696</v>
      </c>
      <c r="B66" s="293" t="s">
        <v>556</v>
      </c>
      <c r="C66" s="2043">
        <v>18007.5</v>
      </c>
      <c r="D66" s="2043">
        <v>25131.5</v>
      </c>
      <c r="E66" s="2043">
        <f t="shared" si="15"/>
        <v>-7124</v>
      </c>
      <c r="F66" s="2043">
        <v>1675.5</v>
      </c>
      <c r="G66" s="2043">
        <v>3732.3</v>
      </c>
      <c r="H66" s="2043">
        <f t="shared" si="16"/>
        <v>-2056.8000000000002</v>
      </c>
      <c r="I66" s="2043">
        <v>70.099999999999994</v>
      </c>
      <c r="J66" s="2043">
        <v>1081.3</v>
      </c>
      <c r="K66" s="2043">
        <f t="shared" si="17"/>
        <v>-1011.1999999999999</v>
      </c>
      <c r="L66" s="2043">
        <v>4.4000000000000004</v>
      </c>
      <c r="M66" s="2043">
        <v>10278.9</v>
      </c>
      <c r="N66" s="2043">
        <f t="shared" si="18"/>
        <v>10283.299999999999</v>
      </c>
      <c r="O66" s="2045">
        <f t="shared" si="19"/>
        <v>91.299999999999272</v>
      </c>
      <c r="P66" s="2043">
        <v>59.2</v>
      </c>
      <c r="Q66" s="2043">
        <v>798.4</v>
      </c>
      <c r="R66" s="2043">
        <v>-1283.0999999999999</v>
      </c>
      <c r="S66" s="2043">
        <v>-3124.7</v>
      </c>
      <c r="T66" s="2043">
        <v>1974.8</v>
      </c>
      <c r="U66" s="2043">
        <f t="shared" si="20"/>
        <v>-1575.3999999999999</v>
      </c>
      <c r="V66" s="2043">
        <f t="shared" si="21"/>
        <v>1484.1000000000006</v>
      </c>
    </row>
    <row r="67" spans="1:22" s="154" customFormat="1" ht="12" customHeight="1" x14ac:dyDescent="0.2">
      <c r="A67" s="795" t="s">
        <v>696</v>
      </c>
      <c r="B67" s="2185" t="s">
        <v>557</v>
      </c>
      <c r="C67" s="2038">
        <v>16536.7</v>
      </c>
      <c r="D67" s="2038">
        <v>22105.8</v>
      </c>
      <c r="E67" s="2038">
        <f t="shared" si="15"/>
        <v>-5569.0999999999985</v>
      </c>
      <c r="F67" s="2038">
        <v>1739.1</v>
      </c>
      <c r="G67" s="2038">
        <v>3591.5</v>
      </c>
      <c r="H67" s="2038">
        <f t="shared" si="16"/>
        <v>-1852.4</v>
      </c>
      <c r="I67" s="2038">
        <v>234</v>
      </c>
      <c r="J67" s="2038">
        <v>881.2</v>
      </c>
      <c r="K67" s="2038">
        <f t="shared" si="17"/>
        <v>-647.20000000000005</v>
      </c>
      <c r="L67" s="2038">
        <v>10.199999999999999</v>
      </c>
      <c r="M67" s="2038">
        <v>9509.9</v>
      </c>
      <c r="N67" s="2038">
        <f t="shared" si="18"/>
        <v>9520.1</v>
      </c>
      <c r="O67" s="2039">
        <f t="shared" si="19"/>
        <v>1451.4000000000024</v>
      </c>
      <c r="P67" s="2038">
        <v>134.9</v>
      </c>
      <c r="Q67" s="2038">
        <v>592</v>
      </c>
      <c r="R67" s="2038">
        <v>107.1</v>
      </c>
      <c r="S67" s="2038">
        <v>3022</v>
      </c>
      <c r="T67" s="2038">
        <v>-5665.2</v>
      </c>
      <c r="U67" s="2038">
        <f t="shared" si="20"/>
        <v>-1809.1999999999998</v>
      </c>
      <c r="V67" s="2038">
        <f t="shared" si="21"/>
        <v>357.79999999999745</v>
      </c>
    </row>
    <row r="68" spans="1:22" s="154" customFormat="1" ht="12" customHeight="1" x14ac:dyDescent="0.2">
      <c r="A68" s="795" t="s">
        <v>696</v>
      </c>
      <c r="B68" s="293" t="s">
        <v>549</v>
      </c>
      <c r="C68" s="2043">
        <v>16297.7</v>
      </c>
      <c r="D68" s="2043">
        <v>20969.7</v>
      </c>
      <c r="E68" s="2043">
        <f t="shared" si="15"/>
        <v>-4672</v>
      </c>
      <c r="F68" s="2043">
        <v>2042.8</v>
      </c>
      <c r="G68" s="2043">
        <v>3298.5</v>
      </c>
      <c r="H68" s="2043">
        <f t="shared" si="16"/>
        <v>-1255.7</v>
      </c>
      <c r="I68" s="2043">
        <v>58.4</v>
      </c>
      <c r="J68" s="2043">
        <v>1208.9000000000001</v>
      </c>
      <c r="K68" s="2043">
        <f t="shared" si="17"/>
        <v>-1150.5</v>
      </c>
      <c r="L68" s="2043">
        <v>108.1</v>
      </c>
      <c r="M68" s="2043">
        <v>9350.4</v>
      </c>
      <c r="N68" s="2043">
        <f t="shared" si="18"/>
        <v>9458.5</v>
      </c>
      <c r="O68" s="2045">
        <f t="shared" si="19"/>
        <v>2380.3000000000002</v>
      </c>
      <c r="P68" s="2043">
        <v>568</v>
      </c>
      <c r="Q68" s="2043">
        <v>507.7</v>
      </c>
      <c r="R68" s="2043">
        <v>807</v>
      </c>
      <c r="S68" s="2043">
        <v>-7335.9</v>
      </c>
      <c r="T68" s="2043">
        <v>2665</v>
      </c>
      <c r="U68" s="2043">
        <f t="shared" si="20"/>
        <v>-2788.2</v>
      </c>
      <c r="V68" s="2043">
        <f t="shared" si="21"/>
        <v>407.89999999999964</v>
      </c>
    </row>
    <row r="69" spans="1:22" s="154" customFormat="1" ht="12" customHeight="1" x14ac:dyDescent="0.2">
      <c r="A69" s="795" t="s">
        <v>696</v>
      </c>
      <c r="B69" s="2185" t="s">
        <v>558</v>
      </c>
      <c r="C69" s="2038">
        <v>18035</v>
      </c>
      <c r="D69" s="2038">
        <v>21409.9</v>
      </c>
      <c r="E69" s="2038">
        <f t="shared" si="15"/>
        <v>-3374.9000000000015</v>
      </c>
      <c r="F69" s="2038">
        <v>1648.1</v>
      </c>
      <c r="G69" s="2038">
        <v>3303.2</v>
      </c>
      <c r="H69" s="2038">
        <f t="shared" si="16"/>
        <v>-1655.1</v>
      </c>
      <c r="I69" s="2038">
        <v>138.80000000000001</v>
      </c>
      <c r="J69" s="2038">
        <v>1599.4</v>
      </c>
      <c r="K69" s="2038">
        <f t="shared" si="17"/>
        <v>-1460.6000000000001</v>
      </c>
      <c r="L69" s="2038">
        <v>24.7</v>
      </c>
      <c r="M69" s="2038">
        <v>8881.7000000000007</v>
      </c>
      <c r="N69" s="2038">
        <f t="shared" si="18"/>
        <v>8906.4000000000015</v>
      </c>
      <c r="O69" s="2039">
        <f t="shared" si="19"/>
        <v>2415.7999999999993</v>
      </c>
      <c r="P69" s="2038">
        <v>327.7</v>
      </c>
      <c r="Q69" s="2038">
        <v>581.6</v>
      </c>
      <c r="R69" s="2038">
        <v>190.1</v>
      </c>
      <c r="S69" s="2038">
        <v>2869.1</v>
      </c>
      <c r="T69" s="2038">
        <v>-5671.2</v>
      </c>
      <c r="U69" s="2038">
        <f t="shared" si="20"/>
        <v>-1702.6999999999998</v>
      </c>
      <c r="V69" s="2038">
        <f t="shared" si="21"/>
        <v>-713.09999999999945</v>
      </c>
    </row>
    <row r="70" spans="1:22" s="154" customFormat="1" ht="12" customHeight="1" x14ac:dyDescent="0.2">
      <c r="A70" s="795" t="s">
        <v>696</v>
      </c>
      <c r="B70" s="293" t="s">
        <v>559</v>
      </c>
      <c r="C70" s="2043">
        <v>18063.400000000001</v>
      </c>
      <c r="D70" s="2043">
        <v>22796.5</v>
      </c>
      <c r="E70" s="2043">
        <f t="shared" si="15"/>
        <v>-4733.0999999999985</v>
      </c>
      <c r="F70" s="2043">
        <v>1580.9</v>
      </c>
      <c r="G70" s="2043">
        <v>3448.7</v>
      </c>
      <c r="H70" s="2043">
        <f t="shared" si="16"/>
        <v>-1867.7999999999997</v>
      </c>
      <c r="I70" s="2043">
        <v>100.1</v>
      </c>
      <c r="J70" s="2043">
        <v>1146.5</v>
      </c>
      <c r="K70" s="2043">
        <f t="shared" si="17"/>
        <v>-1046.4000000000001</v>
      </c>
      <c r="L70" s="2043">
        <v>0</v>
      </c>
      <c r="M70" s="2043">
        <v>9387.2999999999993</v>
      </c>
      <c r="N70" s="2043">
        <f t="shared" si="18"/>
        <v>9387.2999999999993</v>
      </c>
      <c r="O70" s="2045">
        <f t="shared" si="19"/>
        <v>1740.0000000000018</v>
      </c>
      <c r="P70" s="2043">
        <v>0</v>
      </c>
      <c r="Q70" s="2043">
        <v>521.1</v>
      </c>
      <c r="R70" s="2043">
        <v>124.1</v>
      </c>
      <c r="S70" s="2043">
        <v>-3326.3</v>
      </c>
      <c r="T70" s="2043">
        <v>2350.8000000000002</v>
      </c>
      <c r="U70" s="2043">
        <f t="shared" si="20"/>
        <v>-330.30000000000018</v>
      </c>
      <c r="V70" s="2043">
        <f t="shared" si="21"/>
        <v>-1409.7000000000016</v>
      </c>
    </row>
    <row r="71" spans="1:22" s="154" customFormat="1" ht="12" customHeight="1" x14ac:dyDescent="0.2">
      <c r="A71" s="795" t="s">
        <v>696</v>
      </c>
      <c r="B71" s="2185" t="s">
        <v>550</v>
      </c>
      <c r="C71" s="2038">
        <v>18968.599999999999</v>
      </c>
      <c r="D71" s="2038">
        <v>18384</v>
      </c>
      <c r="E71" s="2038">
        <f t="shared" si="15"/>
        <v>584.59999999999854</v>
      </c>
      <c r="F71" s="2038">
        <v>2186.6</v>
      </c>
      <c r="G71" s="2038">
        <v>3084</v>
      </c>
      <c r="H71" s="2038">
        <f t="shared" si="16"/>
        <v>-897.40000000000009</v>
      </c>
      <c r="I71" s="2050">
        <v>59.1</v>
      </c>
      <c r="J71" s="2050">
        <v>720.5</v>
      </c>
      <c r="K71" s="2050">
        <f t="shared" si="17"/>
        <v>-661.4</v>
      </c>
      <c r="L71" s="2050">
        <v>224.7</v>
      </c>
      <c r="M71" s="2050">
        <v>8772</v>
      </c>
      <c r="N71" s="2050">
        <f t="shared" si="18"/>
        <v>8996.7000000000007</v>
      </c>
      <c r="O71" s="2040">
        <f t="shared" si="19"/>
        <v>8022.4999999999991</v>
      </c>
      <c r="P71" s="2050">
        <v>486.8</v>
      </c>
      <c r="Q71" s="2050">
        <v>518.70000000000005</v>
      </c>
      <c r="R71" s="2050">
        <v>-539.6</v>
      </c>
      <c r="S71" s="2050">
        <v>-599.20000000000005</v>
      </c>
      <c r="T71" s="2050">
        <v>-6856.2</v>
      </c>
      <c r="U71" s="2050">
        <f t="shared" si="20"/>
        <v>-6989.5</v>
      </c>
      <c r="V71" s="2050">
        <f t="shared" si="21"/>
        <v>-1032.9999999999991</v>
      </c>
    </row>
    <row r="72" spans="1:22" s="154" customFormat="1" ht="12" customHeight="1" x14ac:dyDescent="0.2">
      <c r="A72" s="795" t="s">
        <v>804</v>
      </c>
      <c r="B72" s="293" t="s">
        <v>552</v>
      </c>
      <c r="C72" s="274">
        <v>19673.3</v>
      </c>
      <c r="D72" s="274">
        <v>24798.6</v>
      </c>
      <c r="E72" s="274">
        <f t="shared" si="15"/>
        <v>-5125.2999999999993</v>
      </c>
      <c r="F72" s="274">
        <v>1891.1</v>
      </c>
      <c r="G72" s="274">
        <v>3813.3</v>
      </c>
      <c r="H72" s="274">
        <f t="shared" si="16"/>
        <v>-1922.2000000000003</v>
      </c>
      <c r="I72" s="270">
        <v>120.2</v>
      </c>
      <c r="J72" s="270">
        <v>1255.8</v>
      </c>
      <c r="K72" s="270">
        <f t="shared" si="17"/>
        <v>-1135.5999999999999</v>
      </c>
      <c r="L72" s="270">
        <v>0.5</v>
      </c>
      <c r="M72" s="270">
        <v>9992.2000000000007</v>
      </c>
      <c r="N72" s="270">
        <f>M72+L72</f>
        <v>9992.7000000000007</v>
      </c>
      <c r="O72" s="269">
        <f>E72++H72+K72+N72</f>
        <v>1809.6000000000004</v>
      </c>
      <c r="P72" s="270">
        <v>6.3</v>
      </c>
      <c r="Q72" s="270">
        <v>-1861.2</v>
      </c>
      <c r="R72" s="270">
        <v>-300.60000000000002</v>
      </c>
      <c r="S72" s="270">
        <v>2573.3000000000002</v>
      </c>
      <c r="T72" s="270">
        <v>1869.4</v>
      </c>
      <c r="U72" s="280">
        <f t="shared" ref="U72:U83" si="22">Q72+R72+S72+T72</f>
        <v>2280.9</v>
      </c>
      <c r="V72" s="274">
        <f t="shared" ref="V72:V95" si="23">-(O72+P72-U72)</f>
        <v>464.99999999999977</v>
      </c>
    </row>
    <row r="73" spans="1:22" s="154" customFormat="1" ht="12" customHeight="1" x14ac:dyDescent="0.2">
      <c r="A73" s="795" t="s">
        <v>804</v>
      </c>
      <c r="B73" s="2185" t="s">
        <v>553</v>
      </c>
      <c r="C73" s="51">
        <v>15717.1</v>
      </c>
      <c r="D73" s="51">
        <v>19220.099999999999</v>
      </c>
      <c r="E73" s="51">
        <f t="shared" si="15"/>
        <v>-3502.9999999999982</v>
      </c>
      <c r="F73" s="51">
        <v>1914.8</v>
      </c>
      <c r="G73" s="51">
        <v>3202.7</v>
      </c>
      <c r="H73" s="51">
        <f t="shared" si="16"/>
        <v>-1287.8999999999999</v>
      </c>
      <c r="I73" s="214">
        <v>88.4</v>
      </c>
      <c r="J73" s="214">
        <v>1858.7</v>
      </c>
      <c r="K73" s="214">
        <f t="shared" si="17"/>
        <v>-1770.3</v>
      </c>
      <c r="L73" s="214">
        <v>14.6</v>
      </c>
      <c r="M73" s="214">
        <v>9468.2000000000007</v>
      </c>
      <c r="N73" s="214">
        <f t="shared" ref="N73:N83" si="24">L73+M73</f>
        <v>9482.8000000000011</v>
      </c>
      <c r="O73" s="213">
        <f t="shared" ref="O73:O83" si="25">E73++H73+K73+N73</f>
        <v>2921.6000000000031</v>
      </c>
      <c r="P73" s="214">
        <v>194.2</v>
      </c>
      <c r="Q73" s="214">
        <v>-484.3</v>
      </c>
      <c r="R73" s="214">
        <v>-82.9</v>
      </c>
      <c r="S73" s="214">
        <v>-2032</v>
      </c>
      <c r="T73" s="214">
        <v>6593.3</v>
      </c>
      <c r="U73" s="218">
        <f t="shared" si="22"/>
        <v>3994.1000000000004</v>
      </c>
      <c r="V73" s="51">
        <f t="shared" si="23"/>
        <v>878.29999999999745</v>
      </c>
    </row>
    <row r="74" spans="1:22" s="154" customFormat="1" ht="12" customHeight="1" x14ac:dyDescent="0.2">
      <c r="A74" s="795" t="s">
        <v>804</v>
      </c>
      <c r="B74" s="293" t="s">
        <v>547</v>
      </c>
      <c r="C74" s="274">
        <v>15032.8</v>
      </c>
      <c r="D74" s="274">
        <v>23195.8</v>
      </c>
      <c r="E74" s="274">
        <f t="shared" si="15"/>
        <v>-8163</v>
      </c>
      <c r="F74" s="274">
        <v>1643.7</v>
      </c>
      <c r="G74" s="274">
        <v>4091.8</v>
      </c>
      <c r="H74" s="274">
        <f t="shared" si="16"/>
        <v>-2448.1000000000004</v>
      </c>
      <c r="I74" s="270">
        <v>59</v>
      </c>
      <c r="J74" s="270">
        <v>2213.8000000000002</v>
      </c>
      <c r="K74" s="270">
        <f t="shared" si="17"/>
        <v>-2154.8000000000002</v>
      </c>
      <c r="L74" s="270">
        <v>184.8</v>
      </c>
      <c r="M74" s="270">
        <v>9985.7000000000007</v>
      </c>
      <c r="N74" s="270">
        <f t="shared" si="24"/>
        <v>10170.5</v>
      </c>
      <c r="O74" s="269">
        <f t="shared" si="25"/>
        <v>-2595.4000000000015</v>
      </c>
      <c r="P74" s="270">
        <v>800.6</v>
      </c>
      <c r="Q74" s="270">
        <v>-895.6</v>
      </c>
      <c r="R74" s="270">
        <v>-1496.4</v>
      </c>
      <c r="S74" s="270">
        <v>2202.1999999999998</v>
      </c>
      <c r="T74" s="270">
        <v>-2443.6</v>
      </c>
      <c r="U74" s="280">
        <f t="shared" si="22"/>
        <v>-2633.4</v>
      </c>
      <c r="V74" s="274">
        <f t="shared" si="23"/>
        <v>-838.59999999999854</v>
      </c>
    </row>
    <row r="75" spans="1:22" s="154" customFormat="1" ht="12" customHeight="1" x14ac:dyDescent="0.2">
      <c r="A75" s="795" t="s">
        <v>804</v>
      </c>
      <c r="B75" s="2185" t="s">
        <v>554</v>
      </c>
      <c r="C75" s="51">
        <v>16632.7</v>
      </c>
      <c r="D75" s="51">
        <v>22151.8</v>
      </c>
      <c r="E75" s="51">
        <f t="shared" si="15"/>
        <v>-5519.0999999999985</v>
      </c>
      <c r="F75" s="51">
        <v>2305.6999999999998</v>
      </c>
      <c r="G75" s="51">
        <v>4617.7</v>
      </c>
      <c r="H75" s="51">
        <f t="shared" si="16"/>
        <v>-2312</v>
      </c>
      <c r="I75" s="214">
        <v>94.4</v>
      </c>
      <c r="J75" s="214">
        <v>1554.4</v>
      </c>
      <c r="K75" s="214">
        <f t="shared" si="17"/>
        <v>-1460</v>
      </c>
      <c r="L75" s="214">
        <v>23.2</v>
      </c>
      <c r="M75" s="214">
        <v>12112.6</v>
      </c>
      <c r="N75" s="214">
        <f t="shared" si="24"/>
        <v>12135.800000000001</v>
      </c>
      <c r="O75" s="213">
        <f t="shared" si="25"/>
        <v>2844.7000000000025</v>
      </c>
      <c r="P75" s="214">
        <v>307.8</v>
      </c>
      <c r="Q75" s="214">
        <v>-1446.8</v>
      </c>
      <c r="R75" s="214">
        <v>-268.2</v>
      </c>
      <c r="S75" s="214">
        <v>-4676.3999999999996</v>
      </c>
      <c r="T75" s="214">
        <v>8842.1</v>
      </c>
      <c r="U75" s="218">
        <f t="shared" si="22"/>
        <v>2450.7000000000007</v>
      </c>
      <c r="V75" s="51">
        <f t="shared" si="23"/>
        <v>-701.800000000002</v>
      </c>
    </row>
    <row r="76" spans="1:22" s="154" customFormat="1" ht="12" customHeight="1" x14ac:dyDescent="0.2">
      <c r="A76" s="795" t="s">
        <v>804</v>
      </c>
      <c r="B76" s="293" t="s">
        <v>555</v>
      </c>
      <c r="C76" s="274">
        <v>14524.2</v>
      </c>
      <c r="D76" s="274">
        <v>22503.1</v>
      </c>
      <c r="E76" s="274">
        <f t="shared" si="15"/>
        <v>-7978.8999999999978</v>
      </c>
      <c r="F76" s="274">
        <v>1376.2</v>
      </c>
      <c r="G76" s="274">
        <v>4014.1</v>
      </c>
      <c r="H76" s="274">
        <f t="shared" si="16"/>
        <v>-2637.8999999999996</v>
      </c>
      <c r="I76" s="270">
        <v>106</v>
      </c>
      <c r="J76" s="270">
        <v>1442.6</v>
      </c>
      <c r="K76" s="270">
        <f t="shared" si="17"/>
        <v>-1336.6</v>
      </c>
      <c r="L76" s="270">
        <v>3.1</v>
      </c>
      <c r="M76" s="270">
        <v>9226.9</v>
      </c>
      <c r="N76" s="270">
        <f t="shared" si="24"/>
        <v>9230</v>
      </c>
      <c r="O76" s="269">
        <f t="shared" si="25"/>
        <v>-2723.3999999999978</v>
      </c>
      <c r="P76" s="270">
        <v>41.7</v>
      </c>
      <c r="Q76" s="270">
        <v>-621.6</v>
      </c>
      <c r="R76" s="270">
        <v>-858.2</v>
      </c>
      <c r="S76" s="270">
        <v>2729.4</v>
      </c>
      <c r="T76" s="270">
        <v>-4769.3999999999996</v>
      </c>
      <c r="U76" s="280">
        <f t="shared" si="22"/>
        <v>-3519.7999999999997</v>
      </c>
      <c r="V76" s="274">
        <f t="shared" si="23"/>
        <v>-838.10000000000173</v>
      </c>
    </row>
    <row r="77" spans="1:22" s="154" customFormat="1" ht="12" customHeight="1" x14ac:dyDescent="0.2">
      <c r="A77" s="795" t="s">
        <v>804</v>
      </c>
      <c r="B77" s="2185" t="s">
        <v>548</v>
      </c>
      <c r="C77" s="51">
        <v>19323</v>
      </c>
      <c r="D77" s="51">
        <v>21237.4</v>
      </c>
      <c r="E77" s="51">
        <f t="shared" si="15"/>
        <v>-1914.4000000000015</v>
      </c>
      <c r="F77" s="51">
        <v>2077.9</v>
      </c>
      <c r="G77" s="51">
        <v>3549.6</v>
      </c>
      <c r="H77" s="51">
        <f t="shared" si="16"/>
        <v>-1471.6999999999998</v>
      </c>
      <c r="I77" s="214">
        <v>97.9</v>
      </c>
      <c r="J77" s="214">
        <v>907.6</v>
      </c>
      <c r="K77" s="214">
        <f t="shared" si="17"/>
        <v>-809.7</v>
      </c>
      <c r="L77" s="214">
        <v>45.1</v>
      </c>
      <c r="M77" s="214">
        <v>11068.6</v>
      </c>
      <c r="N77" s="214">
        <f t="shared" si="24"/>
        <v>11113.7</v>
      </c>
      <c r="O77" s="213">
        <f t="shared" si="25"/>
        <v>6917.9</v>
      </c>
      <c r="P77" s="214">
        <v>599.20000000000005</v>
      </c>
      <c r="Q77" s="214">
        <v>-530.4</v>
      </c>
      <c r="R77" s="214">
        <v>2601.8000000000002</v>
      </c>
      <c r="S77" s="214">
        <v>-3761.9</v>
      </c>
      <c r="T77" s="214">
        <v>7916.4</v>
      </c>
      <c r="U77" s="218">
        <f t="shared" si="22"/>
        <v>6225.9</v>
      </c>
      <c r="V77" s="51">
        <f t="shared" si="23"/>
        <v>-1291.1999999999998</v>
      </c>
    </row>
    <row r="78" spans="1:22" s="154" customFormat="1" ht="12" customHeight="1" x14ac:dyDescent="0.2">
      <c r="A78" s="795" t="s">
        <v>804</v>
      </c>
      <c r="B78" s="293" t="s">
        <v>556</v>
      </c>
      <c r="C78" s="274">
        <v>19996.8</v>
      </c>
      <c r="D78" s="274">
        <v>26142.2</v>
      </c>
      <c r="E78" s="274">
        <f t="shared" si="15"/>
        <v>-6145.4000000000015</v>
      </c>
      <c r="F78" s="274">
        <v>1638.2</v>
      </c>
      <c r="G78" s="274">
        <v>3960.2</v>
      </c>
      <c r="H78" s="274">
        <f t="shared" si="16"/>
        <v>-2322</v>
      </c>
      <c r="I78" s="270">
        <v>55.7</v>
      </c>
      <c r="J78" s="270">
        <v>1997.3</v>
      </c>
      <c r="K78" s="270">
        <f t="shared" si="17"/>
        <v>-1941.6</v>
      </c>
      <c r="L78" s="270">
        <v>6.8</v>
      </c>
      <c r="M78" s="270">
        <v>11021.2</v>
      </c>
      <c r="N78" s="270">
        <f t="shared" si="24"/>
        <v>11028</v>
      </c>
      <c r="O78" s="269">
        <f t="shared" si="25"/>
        <v>618.99999999999818</v>
      </c>
      <c r="P78" s="270">
        <v>90.5</v>
      </c>
      <c r="Q78" s="270">
        <v>-836.8</v>
      </c>
      <c r="R78" s="270">
        <v>134</v>
      </c>
      <c r="S78" s="270">
        <v>-1332.7</v>
      </c>
      <c r="T78" s="270">
        <v>2361.1</v>
      </c>
      <c r="U78" s="280">
        <f t="shared" si="22"/>
        <v>325.59999999999991</v>
      </c>
      <c r="V78" s="274">
        <f t="shared" si="23"/>
        <v>-383.89999999999827</v>
      </c>
    </row>
    <row r="79" spans="1:22" s="154" customFormat="1" ht="12" customHeight="1" x14ac:dyDescent="0.2">
      <c r="A79" s="795" t="s">
        <v>804</v>
      </c>
      <c r="B79" s="2185" t="s">
        <v>557</v>
      </c>
      <c r="C79" s="51">
        <v>17162.400000000001</v>
      </c>
      <c r="D79" s="51">
        <v>20591</v>
      </c>
      <c r="E79" s="51">
        <f t="shared" si="15"/>
        <v>-3428.5999999999985</v>
      </c>
      <c r="F79" s="51">
        <v>1500.3</v>
      </c>
      <c r="G79" s="51">
        <v>3035.9</v>
      </c>
      <c r="H79" s="51">
        <f t="shared" si="16"/>
        <v>-1535.6000000000001</v>
      </c>
      <c r="I79" s="214">
        <v>42</v>
      </c>
      <c r="J79" s="214">
        <v>762.2</v>
      </c>
      <c r="K79" s="214">
        <f t="shared" si="17"/>
        <v>-720.2</v>
      </c>
      <c r="L79" s="214">
        <v>1.9</v>
      </c>
      <c r="M79" s="214">
        <v>9305.4</v>
      </c>
      <c r="N79" s="214">
        <f t="shared" si="24"/>
        <v>9307.2999999999993</v>
      </c>
      <c r="O79" s="213">
        <f t="shared" si="25"/>
        <v>3622.9000000000005</v>
      </c>
      <c r="P79" s="214">
        <v>24.8</v>
      </c>
      <c r="Q79" s="214">
        <v>-818.8</v>
      </c>
      <c r="R79" s="214">
        <v>130.80000000000001</v>
      </c>
      <c r="S79" s="214">
        <v>-2228.5</v>
      </c>
      <c r="T79" s="214">
        <v>7221.8</v>
      </c>
      <c r="U79" s="218">
        <f t="shared" si="22"/>
        <v>4305.3</v>
      </c>
      <c r="V79" s="51">
        <f t="shared" si="23"/>
        <v>657.59999999999945</v>
      </c>
    </row>
    <row r="80" spans="1:22" s="154" customFormat="1" ht="12" customHeight="1" x14ac:dyDescent="0.2">
      <c r="A80" s="795" t="s">
        <v>804</v>
      </c>
      <c r="B80" s="293" t="s">
        <v>549</v>
      </c>
      <c r="C80" s="274">
        <v>17899.8</v>
      </c>
      <c r="D80" s="274">
        <v>19558.2</v>
      </c>
      <c r="E80" s="274">
        <f t="shared" si="15"/>
        <v>-1658.4000000000015</v>
      </c>
      <c r="F80" s="274">
        <v>1649.9</v>
      </c>
      <c r="G80" s="274">
        <v>3378.3</v>
      </c>
      <c r="H80" s="274">
        <f t="shared" si="16"/>
        <v>-1728.4</v>
      </c>
      <c r="I80" s="270">
        <v>45.7</v>
      </c>
      <c r="J80" s="270">
        <v>1525.2</v>
      </c>
      <c r="K80" s="270">
        <f t="shared" si="17"/>
        <v>-1479.5</v>
      </c>
      <c r="L80" s="270">
        <v>38.6</v>
      </c>
      <c r="M80" s="270">
        <v>9911.1</v>
      </c>
      <c r="N80" s="270">
        <f t="shared" si="24"/>
        <v>9949.7000000000007</v>
      </c>
      <c r="O80" s="269">
        <f t="shared" si="25"/>
        <v>5083.3999999999996</v>
      </c>
      <c r="P80" s="270">
        <v>513.1</v>
      </c>
      <c r="Q80" s="270">
        <v>-544.20000000000005</v>
      </c>
      <c r="R80" s="270">
        <v>-257.89999999999998</v>
      </c>
      <c r="S80" s="270">
        <v>5211.1000000000004</v>
      </c>
      <c r="T80" s="270">
        <v>1240.5</v>
      </c>
      <c r="U80" s="280">
        <f t="shared" si="22"/>
        <v>5649.5</v>
      </c>
      <c r="V80" s="274">
        <f t="shared" si="23"/>
        <v>53</v>
      </c>
    </row>
    <row r="81" spans="1:22" s="154" customFormat="1" ht="12" customHeight="1" x14ac:dyDescent="0.2">
      <c r="A81" s="795" t="s">
        <v>804</v>
      </c>
      <c r="B81" s="2185" t="s">
        <v>558</v>
      </c>
      <c r="C81" s="51">
        <v>16001.4</v>
      </c>
      <c r="D81" s="51">
        <v>24793.599999999999</v>
      </c>
      <c r="E81" s="51">
        <f t="shared" si="15"/>
        <v>-8792.1999999999989</v>
      </c>
      <c r="F81" s="51">
        <v>1703.5</v>
      </c>
      <c r="G81" s="51">
        <v>3625.9</v>
      </c>
      <c r="H81" s="51">
        <f t="shared" si="16"/>
        <v>-1922.4</v>
      </c>
      <c r="I81" s="214">
        <v>73.5</v>
      </c>
      <c r="J81" s="214">
        <v>1846.5</v>
      </c>
      <c r="K81" s="214">
        <f t="shared" si="17"/>
        <v>-1773</v>
      </c>
      <c r="L81" s="214">
        <v>0</v>
      </c>
      <c r="M81" s="214">
        <v>9590</v>
      </c>
      <c r="N81" s="214">
        <f t="shared" si="24"/>
        <v>9590</v>
      </c>
      <c r="O81" s="213">
        <f t="shared" si="25"/>
        <v>-2897.5999999999985</v>
      </c>
      <c r="P81" s="214">
        <v>0</v>
      </c>
      <c r="Q81" s="214">
        <v>-1212.9000000000001</v>
      </c>
      <c r="R81" s="214">
        <v>7</v>
      </c>
      <c r="S81" s="214">
        <v>-9303.2000000000007</v>
      </c>
      <c r="T81" s="214">
        <v>6733.4</v>
      </c>
      <c r="U81" s="218">
        <f t="shared" si="22"/>
        <v>-3775.7000000000007</v>
      </c>
      <c r="V81" s="51">
        <f t="shared" si="23"/>
        <v>-878.10000000000218</v>
      </c>
    </row>
    <row r="82" spans="1:22" s="154" customFormat="1" ht="12" customHeight="1" x14ac:dyDescent="0.2">
      <c r="A82" s="795" t="s">
        <v>804</v>
      </c>
      <c r="B82" s="293" t="s">
        <v>559</v>
      </c>
      <c r="C82" s="274">
        <v>19473.599999999999</v>
      </c>
      <c r="D82" s="274">
        <v>23039.4</v>
      </c>
      <c r="E82" s="274">
        <f t="shared" si="15"/>
        <v>-3565.8000000000029</v>
      </c>
      <c r="F82" s="274">
        <v>1735.3</v>
      </c>
      <c r="G82" s="274">
        <v>3878.3</v>
      </c>
      <c r="H82" s="274">
        <f t="shared" si="16"/>
        <v>-2143</v>
      </c>
      <c r="I82" s="270">
        <v>54.9</v>
      </c>
      <c r="J82" s="270">
        <v>1623.9</v>
      </c>
      <c r="K82" s="270">
        <f t="shared" si="17"/>
        <v>-1569</v>
      </c>
      <c r="L82" s="270">
        <v>32.700000000000003</v>
      </c>
      <c r="M82" s="270">
        <v>8800.2999999999993</v>
      </c>
      <c r="N82" s="270">
        <f t="shared" si="24"/>
        <v>8833</v>
      </c>
      <c r="O82" s="269">
        <f t="shared" si="25"/>
        <v>1555.1999999999971</v>
      </c>
      <c r="P82" s="270">
        <v>434.1</v>
      </c>
      <c r="Q82" s="270">
        <v>-699.6</v>
      </c>
      <c r="R82" s="270">
        <v>-449.3</v>
      </c>
      <c r="S82" s="270">
        <v>3245.9</v>
      </c>
      <c r="T82" s="270">
        <v>-1328.1</v>
      </c>
      <c r="U82" s="280">
        <f t="shared" si="22"/>
        <v>768.90000000000009</v>
      </c>
      <c r="V82" s="274">
        <f t="shared" si="23"/>
        <v>-1220.3999999999969</v>
      </c>
    </row>
    <row r="83" spans="1:22" s="154" customFormat="1" ht="12" customHeight="1" x14ac:dyDescent="0.2">
      <c r="A83" s="795" t="s">
        <v>804</v>
      </c>
      <c r="B83" s="2185" t="s">
        <v>550</v>
      </c>
      <c r="C83" s="51">
        <v>17793.3</v>
      </c>
      <c r="D83" s="51">
        <v>26362.400000000001</v>
      </c>
      <c r="E83" s="51">
        <f t="shared" si="15"/>
        <v>-8569.1000000000022</v>
      </c>
      <c r="F83" s="51">
        <v>2452.1</v>
      </c>
      <c r="G83" s="51">
        <v>4209.2</v>
      </c>
      <c r="H83" s="51">
        <f t="shared" si="16"/>
        <v>-1757.1</v>
      </c>
      <c r="I83" s="214">
        <v>51.2</v>
      </c>
      <c r="J83" s="214">
        <v>1561</v>
      </c>
      <c r="K83" s="214">
        <f t="shared" si="17"/>
        <v>-1509.8</v>
      </c>
      <c r="L83" s="214">
        <v>44.9</v>
      </c>
      <c r="M83" s="214">
        <v>8581</v>
      </c>
      <c r="N83" s="214">
        <f t="shared" si="24"/>
        <v>8625.9</v>
      </c>
      <c r="O83" s="213">
        <f t="shared" si="25"/>
        <v>-3210.1000000000022</v>
      </c>
      <c r="P83" s="214">
        <v>595.9</v>
      </c>
      <c r="Q83" s="214">
        <v>-796.1</v>
      </c>
      <c r="R83" s="214">
        <v>1083.5999999999999</v>
      </c>
      <c r="S83" s="214">
        <v>-11112</v>
      </c>
      <c r="T83" s="214">
        <v>6764.8</v>
      </c>
      <c r="U83" s="213">
        <f t="shared" si="22"/>
        <v>-4059.7</v>
      </c>
      <c r="V83" s="51">
        <f t="shared" si="23"/>
        <v>-1445.4999999999977</v>
      </c>
    </row>
    <row r="84" spans="1:22" s="154" customFormat="1" ht="12" customHeight="1" x14ac:dyDescent="0.2">
      <c r="A84" s="795" t="s">
        <v>1029</v>
      </c>
      <c r="B84" s="293" t="s">
        <v>552</v>
      </c>
      <c r="C84" s="2038">
        <v>22943.4</v>
      </c>
      <c r="D84" s="2038">
        <v>22228.799999999999</v>
      </c>
      <c r="E84" s="2038">
        <f t="shared" ref="E84:E95" si="26">C84-D84</f>
        <v>714.60000000000218</v>
      </c>
      <c r="F84" s="2038">
        <v>1980.4</v>
      </c>
      <c r="G84" s="2038">
        <v>3803.8</v>
      </c>
      <c r="H84" s="2038">
        <f t="shared" ref="H84:H95" si="27">F84-G84</f>
        <v>-1823.4</v>
      </c>
      <c r="I84" s="2050">
        <v>353.7</v>
      </c>
      <c r="J84" s="2050">
        <v>1602.9</v>
      </c>
      <c r="K84" s="2050">
        <f t="shared" ref="K84:K95" si="28">I84-J84</f>
        <v>-1249.2</v>
      </c>
      <c r="L84" s="2050">
        <v>4.5999999999999996</v>
      </c>
      <c r="M84" s="2050">
        <v>11812.9</v>
      </c>
      <c r="N84" s="2050">
        <f t="shared" ref="N84:N95" si="29">L84+M84</f>
        <v>11817.5</v>
      </c>
      <c r="O84" s="2040">
        <f t="shared" ref="O84:O95" si="30">E84++H84+K84+N84</f>
        <v>9459.5000000000018</v>
      </c>
      <c r="P84" s="2050">
        <v>61.9</v>
      </c>
      <c r="Q84" s="2050">
        <v>-664.9</v>
      </c>
      <c r="R84" s="2050">
        <v>-1.8</v>
      </c>
      <c r="S84" s="2050">
        <v>9755.6</v>
      </c>
      <c r="T84" s="2050">
        <v>-351.6</v>
      </c>
      <c r="U84" s="2040">
        <f t="shared" ref="U84:U95" si="31">Q84+R84+S84+T84</f>
        <v>8737.2999999999993</v>
      </c>
      <c r="V84" s="2038">
        <f t="shared" si="23"/>
        <v>-784.10000000000218</v>
      </c>
    </row>
    <row r="85" spans="1:22" s="154" customFormat="1" ht="12" customHeight="1" x14ac:dyDescent="0.2">
      <c r="A85" s="795" t="s">
        <v>1029</v>
      </c>
      <c r="B85" s="2185" t="s">
        <v>553</v>
      </c>
      <c r="C85" s="2043">
        <v>16391.3</v>
      </c>
      <c r="D85" s="2043">
        <v>26001</v>
      </c>
      <c r="E85" s="2043">
        <f t="shared" si="26"/>
        <v>-9609.7000000000007</v>
      </c>
      <c r="F85" s="2043">
        <v>1916.4</v>
      </c>
      <c r="G85" s="2043">
        <v>4390.3</v>
      </c>
      <c r="H85" s="2043">
        <f t="shared" si="27"/>
        <v>-2473.9</v>
      </c>
      <c r="I85" s="1037">
        <v>84.2</v>
      </c>
      <c r="J85" s="1037">
        <v>2200.8000000000002</v>
      </c>
      <c r="K85" s="1037">
        <f>I85-J85</f>
        <v>-2116.6000000000004</v>
      </c>
      <c r="L85" s="1037">
        <v>17.3</v>
      </c>
      <c r="M85" s="1037">
        <v>9309.7999999999993</v>
      </c>
      <c r="N85" s="1037">
        <f t="shared" si="29"/>
        <v>9327.0999999999985</v>
      </c>
      <c r="O85" s="2046">
        <f t="shared" si="30"/>
        <v>-4873.1000000000022</v>
      </c>
      <c r="P85" s="1037">
        <v>229.3</v>
      </c>
      <c r="Q85" s="1037">
        <v>-806.4</v>
      </c>
      <c r="R85" s="1037">
        <v>-2020</v>
      </c>
      <c r="S85" s="1037">
        <v>-8061.5</v>
      </c>
      <c r="T85" s="1037">
        <v>5791.7</v>
      </c>
      <c r="U85" s="2046">
        <f t="shared" si="31"/>
        <v>-5096.2</v>
      </c>
      <c r="V85" s="2043">
        <f t="shared" si="23"/>
        <v>-452.39999999999782</v>
      </c>
    </row>
    <row r="86" spans="1:22" s="154" customFormat="1" ht="12" customHeight="1" x14ac:dyDescent="0.2">
      <c r="A86" s="795" t="s">
        <v>1029</v>
      </c>
      <c r="B86" s="293" t="s">
        <v>547</v>
      </c>
      <c r="C86" s="2038">
        <v>19418.3</v>
      </c>
      <c r="D86" s="2038">
        <v>30660.5</v>
      </c>
      <c r="E86" s="2038">
        <f t="shared" si="26"/>
        <v>-11242.2</v>
      </c>
      <c r="F86" s="2038">
        <v>2083.9</v>
      </c>
      <c r="G86" s="2038">
        <v>4618.6000000000004</v>
      </c>
      <c r="H86" s="2038">
        <f t="shared" si="27"/>
        <v>-2534.7000000000003</v>
      </c>
      <c r="I86" s="2050">
        <v>109</v>
      </c>
      <c r="J86" s="2050">
        <v>1822.7</v>
      </c>
      <c r="K86" s="2050">
        <f t="shared" si="28"/>
        <v>-1713.7</v>
      </c>
      <c r="L86" s="2050">
        <v>19.5</v>
      </c>
      <c r="M86" s="2050">
        <v>10686.2</v>
      </c>
      <c r="N86" s="2050">
        <f t="shared" si="29"/>
        <v>10705.7</v>
      </c>
      <c r="O86" s="2040">
        <f t="shared" si="30"/>
        <v>-4784.9000000000015</v>
      </c>
      <c r="P86" s="2050">
        <v>249.5</v>
      </c>
      <c r="Q86" s="2050">
        <v>-751.6</v>
      </c>
      <c r="R86" s="2050">
        <v>110.3</v>
      </c>
      <c r="S86" s="2050">
        <v>-2726.9</v>
      </c>
      <c r="T86" s="2050">
        <v>-425.6</v>
      </c>
      <c r="U86" s="2040">
        <f t="shared" si="31"/>
        <v>-3793.8</v>
      </c>
      <c r="V86" s="2038">
        <f t="shared" si="23"/>
        <v>741.60000000000127</v>
      </c>
    </row>
    <row r="87" spans="1:22" s="154" customFormat="1" ht="12" customHeight="1" x14ac:dyDescent="0.2">
      <c r="A87" s="795" t="s">
        <v>1029</v>
      </c>
      <c r="B87" s="2185" t="s">
        <v>554</v>
      </c>
      <c r="C87" s="2043">
        <v>14915.6</v>
      </c>
      <c r="D87" s="2043">
        <v>25371.7</v>
      </c>
      <c r="E87" s="2043">
        <f t="shared" si="26"/>
        <v>-10456.1</v>
      </c>
      <c r="F87" s="2043">
        <v>2285.9</v>
      </c>
      <c r="G87" s="2043">
        <v>4734.8</v>
      </c>
      <c r="H87" s="2043">
        <f t="shared" si="27"/>
        <v>-2448.9</v>
      </c>
      <c r="I87" s="1037">
        <v>30.5</v>
      </c>
      <c r="J87" s="1037">
        <v>1421.2</v>
      </c>
      <c r="K87" s="1037">
        <f t="shared" si="28"/>
        <v>-1390.7</v>
      </c>
      <c r="L87" s="1037">
        <v>95.8</v>
      </c>
      <c r="M87" s="1037">
        <v>8280.2000000000007</v>
      </c>
      <c r="N87" s="1037">
        <f t="shared" si="29"/>
        <v>8376</v>
      </c>
      <c r="O87" s="2046">
        <f t="shared" si="30"/>
        <v>-5919.7000000000007</v>
      </c>
      <c r="P87" s="1037">
        <v>53.5</v>
      </c>
      <c r="Q87" s="1037">
        <v>-780.7</v>
      </c>
      <c r="R87" s="1037">
        <v>-1701.5</v>
      </c>
      <c r="S87" s="1037">
        <v>-8130.1</v>
      </c>
      <c r="T87" s="1037">
        <v>3771.6</v>
      </c>
      <c r="U87" s="2046">
        <f t="shared" si="31"/>
        <v>-6840.6999999999989</v>
      </c>
      <c r="V87" s="2043">
        <f t="shared" si="23"/>
        <v>-974.49999999999818</v>
      </c>
    </row>
    <row r="88" spans="1:22" s="154" customFormat="1" ht="12" customHeight="1" x14ac:dyDescent="0.2">
      <c r="A88" s="795" t="s">
        <v>1029</v>
      </c>
      <c r="B88" s="293" t="s">
        <v>555</v>
      </c>
      <c r="C88" s="2038">
        <v>18480.099999999999</v>
      </c>
      <c r="D88" s="2038">
        <v>24654.9</v>
      </c>
      <c r="E88" s="2038">
        <f t="shared" si="26"/>
        <v>-6174.8000000000029</v>
      </c>
      <c r="F88" s="2038">
        <v>1865.1</v>
      </c>
      <c r="G88" s="2038">
        <v>3585.2</v>
      </c>
      <c r="H88" s="2038">
        <f t="shared" si="27"/>
        <v>-1720.1</v>
      </c>
      <c r="I88" s="2050">
        <v>36.1</v>
      </c>
      <c r="J88" s="2050">
        <v>1486.3</v>
      </c>
      <c r="K88" s="2050">
        <f t="shared" si="28"/>
        <v>-1450.2</v>
      </c>
      <c r="L88" s="2050">
        <v>13.9</v>
      </c>
      <c r="M88" s="2050">
        <v>9539.2999999999993</v>
      </c>
      <c r="N88" s="2050">
        <f t="shared" si="29"/>
        <v>9553.1999999999989</v>
      </c>
      <c r="O88" s="2040">
        <f t="shared" si="30"/>
        <v>208.09999999999491</v>
      </c>
      <c r="P88" s="2050">
        <v>184.7</v>
      </c>
      <c r="Q88" s="2050">
        <v>-743.2</v>
      </c>
      <c r="R88" s="2050">
        <v>-1676.3</v>
      </c>
      <c r="S88" s="2050">
        <v>6526.7</v>
      </c>
      <c r="T88" s="2050">
        <v>-4892.5</v>
      </c>
      <c r="U88" s="2040">
        <f t="shared" si="31"/>
        <v>-785.30000000000018</v>
      </c>
      <c r="V88" s="2038">
        <f t="shared" si="23"/>
        <v>-1178.0999999999951</v>
      </c>
    </row>
    <row r="89" spans="1:22" s="154" customFormat="1" ht="12" customHeight="1" x14ac:dyDescent="0.2">
      <c r="A89" s="795" t="s">
        <v>1029</v>
      </c>
      <c r="B89" s="2185" t="s">
        <v>548</v>
      </c>
      <c r="C89" s="2043">
        <v>21864.3</v>
      </c>
      <c r="D89" s="2043">
        <v>28493.3</v>
      </c>
      <c r="E89" s="2043">
        <f t="shared" si="26"/>
        <v>-6629</v>
      </c>
      <c r="F89" s="2043">
        <v>2357.4</v>
      </c>
      <c r="G89" s="2043">
        <v>5709.8</v>
      </c>
      <c r="H89" s="2043">
        <f t="shared" si="27"/>
        <v>-3352.4</v>
      </c>
      <c r="I89" s="1037">
        <v>30</v>
      </c>
      <c r="J89" s="1037">
        <v>1644.1</v>
      </c>
      <c r="K89" s="1037">
        <f t="shared" si="28"/>
        <v>-1614.1</v>
      </c>
      <c r="L89" s="1037">
        <v>43.7</v>
      </c>
      <c r="M89" s="1037">
        <v>10888.7</v>
      </c>
      <c r="N89" s="1037">
        <f t="shared" si="29"/>
        <v>10932.400000000001</v>
      </c>
      <c r="O89" s="2046">
        <f t="shared" si="30"/>
        <v>-663.09999999999854</v>
      </c>
      <c r="P89" s="1037">
        <v>580.6</v>
      </c>
      <c r="Q89" s="1037">
        <v>-1061.4000000000001</v>
      </c>
      <c r="R89" s="1037">
        <v>2620.3000000000002</v>
      </c>
      <c r="S89" s="1037">
        <v>-7603.7</v>
      </c>
      <c r="T89" s="1037">
        <v>6290.3</v>
      </c>
      <c r="U89" s="2046">
        <f t="shared" si="31"/>
        <v>245.50000000000091</v>
      </c>
      <c r="V89" s="2043">
        <f t="shared" si="23"/>
        <v>327.99999999999943</v>
      </c>
    </row>
    <row r="90" spans="1:22" s="154" customFormat="1" ht="12" customHeight="1" x14ac:dyDescent="0.2">
      <c r="A90" s="795" t="s">
        <v>1029</v>
      </c>
      <c r="B90" s="293" t="s">
        <v>556</v>
      </c>
      <c r="C90" s="2038">
        <v>22134.3</v>
      </c>
      <c r="D90" s="2038">
        <v>25526.6</v>
      </c>
      <c r="E90" s="2038">
        <f t="shared" si="26"/>
        <v>-3392.2999999999993</v>
      </c>
      <c r="F90" s="2038">
        <v>1645.7</v>
      </c>
      <c r="G90" s="2038">
        <v>4267</v>
      </c>
      <c r="H90" s="2038">
        <f t="shared" si="27"/>
        <v>-2621.3000000000002</v>
      </c>
      <c r="I90" s="2050">
        <v>31.6</v>
      </c>
      <c r="J90" s="2050">
        <v>1732.8</v>
      </c>
      <c r="K90" s="2050">
        <f t="shared" si="28"/>
        <v>-1701.2</v>
      </c>
      <c r="L90" s="2050">
        <v>8</v>
      </c>
      <c r="M90" s="2050">
        <v>9890.9</v>
      </c>
      <c r="N90" s="2050">
        <f t="shared" si="29"/>
        <v>9898.9</v>
      </c>
      <c r="O90" s="2040">
        <f t="shared" si="30"/>
        <v>2184.1000000000004</v>
      </c>
      <c r="P90" s="2050">
        <v>105.7</v>
      </c>
      <c r="Q90" s="2050">
        <v>-682.5</v>
      </c>
      <c r="R90" s="2050">
        <v>659.5</v>
      </c>
      <c r="S90" s="2050">
        <v>3537.1</v>
      </c>
      <c r="T90" s="2050">
        <v>-909.1</v>
      </c>
      <c r="U90" s="2040">
        <f t="shared" si="31"/>
        <v>2605</v>
      </c>
      <c r="V90" s="2038">
        <f t="shared" si="23"/>
        <v>315.19999999999982</v>
      </c>
    </row>
    <row r="91" spans="1:22" s="154" customFormat="1" ht="12" customHeight="1" x14ac:dyDescent="0.2">
      <c r="A91" s="795" t="s">
        <v>1029</v>
      </c>
      <c r="B91" s="2185" t="s">
        <v>557</v>
      </c>
      <c r="C91" s="2043">
        <v>19244.400000000001</v>
      </c>
      <c r="D91" s="2043">
        <v>25526.7</v>
      </c>
      <c r="E91" s="2043">
        <f t="shared" si="26"/>
        <v>-6282.2999999999993</v>
      </c>
      <c r="F91" s="2043">
        <v>1696.1</v>
      </c>
      <c r="G91" s="2043">
        <v>3804.4</v>
      </c>
      <c r="H91" s="2043">
        <f t="shared" si="27"/>
        <v>-2108.3000000000002</v>
      </c>
      <c r="I91" s="1037">
        <v>51.1</v>
      </c>
      <c r="J91" s="1037">
        <v>1245.8</v>
      </c>
      <c r="K91" s="1037">
        <f t="shared" si="28"/>
        <v>-1194.7</v>
      </c>
      <c r="L91" s="1037">
        <v>4.5</v>
      </c>
      <c r="M91" s="1037">
        <v>9472.6</v>
      </c>
      <c r="N91" s="1037">
        <f t="shared" si="29"/>
        <v>9477.1</v>
      </c>
      <c r="O91" s="2046">
        <f t="shared" si="30"/>
        <v>-108.19999999999891</v>
      </c>
      <c r="P91" s="1037">
        <v>60.3</v>
      </c>
      <c r="Q91" s="1037">
        <v>-774</v>
      </c>
      <c r="R91" s="1037">
        <v>-811.1</v>
      </c>
      <c r="S91" s="1037">
        <v>-5271.5</v>
      </c>
      <c r="T91" s="1037">
        <v>7689.6</v>
      </c>
      <c r="U91" s="2046">
        <f t="shared" si="31"/>
        <v>833</v>
      </c>
      <c r="V91" s="2043">
        <f t="shared" si="23"/>
        <v>880.89999999999895</v>
      </c>
    </row>
    <row r="92" spans="1:22" s="154" customFormat="1" ht="12" customHeight="1" x14ac:dyDescent="0.2">
      <c r="A92" s="795" t="s">
        <v>1029</v>
      </c>
      <c r="B92" s="293" t="s">
        <v>549</v>
      </c>
      <c r="C92" s="2038">
        <v>19781</v>
      </c>
      <c r="D92" s="2038">
        <v>26130.3</v>
      </c>
      <c r="E92" s="2038">
        <f t="shared" si="26"/>
        <v>-6349.2999999999993</v>
      </c>
      <c r="F92" s="2038">
        <v>2290.1999999999998</v>
      </c>
      <c r="G92" s="2038">
        <v>4916.7</v>
      </c>
      <c r="H92" s="2038">
        <f t="shared" si="27"/>
        <v>-2626.5</v>
      </c>
      <c r="I92" s="2050">
        <v>50.1</v>
      </c>
      <c r="J92" s="2050">
        <v>1741.9</v>
      </c>
      <c r="K92" s="2050">
        <f t="shared" si="28"/>
        <v>-1691.8000000000002</v>
      </c>
      <c r="L92" s="2050">
        <v>69.599999999999994</v>
      </c>
      <c r="M92" s="2050">
        <v>10643</v>
      </c>
      <c r="N92" s="2050">
        <f t="shared" si="29"/>
        <v>10712.6</v>
      </c>
      <c r="O92" s="2040">
        <f t="shared" si="30"/>
        <v>45.000000000001819</v>
      </c>
      <c r="P92" s="2050">
        <v>387</v>
      </c>
      <c r="Q92" s="2050">
        <v>-1161.5</v>
      </c>
      <c r="R92" s="2050">
        <v>-623.29999999999995</v>
      </c>
      <c r="S92" s="2050">
        <v>1671.8</v>
      </c>
      <c r="T92" s="2050">
        <v>1464</v>
      </c>
      <c r="U92" s="2040">
        <f t="shared" si="31"/>
        <v>1351</v>
      </c>
      <c r="V92" s="2038">
        <f t="shared" si="23"/>
        <v>918.99999999999818</v>
      </c>
    </row>
    <row r="93" spans="1:22" s="154" customFormat="1" ht="12" customHeight="1" x14ac:dyDescent="0.2">
      <c r="A93" s="795" t="s">
        <v>1029</v>
      </c>
      <c r="B93" s="2185" t="s">
        <v>558</v>
      </c>
      <c r="C93" s="2043">
        <v>18282.099999999999</v>
      </c>
      <c r="D93" s="2043">
        <v>29019.3</v>
      </c>
      <c r="E93" s="2043">
        <f t="shared" si="26"/>
        <v>-10737.2</v>
      </c>
      <c r="F93" s="2043">
        <v>2134.4</v>
      </c>
      <c r="G93" s="2043">
        <v>4634.5</v>
      </c>
      <c r="H93" s="2043">
        <f t="shared" si="27"/>
        <v>-2500.1</v>
      </c>
      <c r="I93" s="1037">
        <v>37</v>
      </c>
      <c r="J93" s="1037">
        <v>1317.5</v>
      </c>
      <c r="K93" s="1037">
        <f t="shared" si="28"/>
        <v>-1280.5</v>
      </c>
      <c r="L93" s="1037">
        <v>10.5</v>
      </c>
      <c r="M93" s="1037">
        <v>10290.700000000001</v>
      </c>
      <c r="N93" s="1037">
        <f t="shared" si="29"/>
        <v>10301.200000000001</v>
      </c>
      <c r="O93" s="2046">
        <f t="shared" si="30"/>
        <v>-4216.6000000000004</v>
      </c>
      <c r="P93" s="1037">
        <v>140.19999999999999</v>
      </c>
      <c r="Q93" s="1037">
        <v>-917.6</v>
      </c>
      <c r="R93" s="1037">
        <v>813.5</v>
      </c>
      <c r="S93" s="1037">
        <v>-10866.2</v>
      </c>
      <c r="T93" s="1037">
        <v>6769.7</v>
      </c>
      <c r="U93" s="2046">
        <f t="shared" si="31"/>
        <v>-4200.6000000000013</v>
      </c>
      <c r="V93" s="2043">
        <f t="shared" si="23"/>
        <v>-124.20000000000073</v>
      </c>
    </row>
    <row r="94" spans="1:22" s="154" customFormat="1" ht="12" customHeight="1" x14ac:dyDescent="0.2">
      <c r="A94" s="795" t="s">
        <v>1029</v>
      </c>
      <c r="B94" s="293" t="s">
        <v>559</v>
      </c>
      <c r="C94" s="2038">
        <v>21718.799999999999</v>
      </c>
      <c r="D94" s="2038">
        <v>29641.4</v>
      </c>
      <c r="E94" s="2038">
        <f t="shared" si="26"/>
        <v>-7922.6000000000022</v>
      </c>
      <c r="F94" s="2038">
        <v>2027</v>
      </c>
      <c r="G94" s="2038">
        <v>4823.6000000000004</v>
      </c>
      <c r="H94" s="2038">
        <f t="shared" si="27"/>
        <v>-2796.6000000000004</v>
      </c>
      <c r="I94" s="2050">
        <v>42.6</v>
      </c>
      <c r="J94" s="2050">
        <v>2261</v>
      </c>
      <c r="K94" s="2050">
        <f t="shared" si="28"/>
        <v>-2218.4</v>
      </c>
      <c r="L94" s="2050">
        <v>26</v>
      </c>
      <c r="M94" s="2050">
        <v>10538.5</v>
      </c>
      <c r="N94" s="2050">
        <f t="shared" si="29"/>
        <v>10564.5</v>
      </c>
      <c r="O94" s="2040">
        <f t="shared" si="30"/>
        <v>-2373.1000000000022</v>
      </c>
      <c r="P94" s="2050">
        <v>345.1</v>
      </c>
      <c r="Q94" s="2050">
        <v>-616.29999999999995</v>
      </c>
      <c r="R94" s="2050">
        <v>-717.2</v>
      </c>
      <c r="S94" s="2050">
        <v>765.7</v>
      </c>
      <c r="T94" s="2050">
        <v>-2180.9</v>
      </c>
      <c r="U94" s="2040">
        <f t="shared" si="31"/>
        <v>-2748.7</v>
      </c>
      <c r="V94" s="2038">
        <f t="shared" si="23"/>
        <v>-720.69999999999754</v>
      </c>
    </row>
    <row r="95" spans="1:22" s="154" customFormat="1" ht="12" customHeight="1" x14ac:dyDescent="0.2">
      <c r="A95" s="795" t="s">
        <v>1029</v>
      </c>
      <c r="B95" s="2185" t="s">
        <v>550</v>
      </c>
      <c r="C95" s="2043">
        <v>23330.799999999999</v>
      </c>
      <c r="D95" s="2043">
        <v>27103.7</v>
      </c>
      <c r="E95" s="2043">
        <f t="shared" si="26"/>
        <v>-3772.9000000000015</v>
      </c>
      <c r="F95" s="2043">
        <v>2002.8</v>
      </c>
      <c r="G95" s="2043">
        <v>5503.9</v>
      </c>
      <c r="H95" s="2043">
        <f t="shared" si="27"/>
        <v>-3501.0999999999995</v>
      </c>
      <c r="I95" s="1037">
        <v>51.7</v>
      </c>
      <c r="J95" s="1037">
        <v>1680.4</v>
      </c>
      <c r="K95" s="1037">
        <f t="shared" si="28"/>
        <v>-1628.7</v>
      </c>
      <c r="L95" s="1037">
        <v>114.7</v>
      </c>
      <c r="M95" s="1037">
        <v>11471.1</v>
      </c>
      <c r="N95" s="1037">
        <f t="shared" si="29"/>
        <v>11585.800000000001</v>
      </c>
      <c r="O95" s="2046">
        <f t="shared" si="30"/>
        <v>2683.1000000000004</v>
      </c>
      <c r="P95" s="1037">
        <v>997.1</v>
      </c>
      <c r="Q95" s="1037">
        <v>-825.6</v>
      </c>
      <c r="R95" s="1037">
        <v>900.7</v>
      </c>
      <c r="S95" s="1037">
        <v>-5964</v>
      </c>
      <c r="T95" s="1037">
        <v>9793.4</v>
      </c>
      <c r="U95" s="2046">
        <f t="shared" si="31"/>
        <v>3904.5</v>
      </c>
      <c r="V95" s="2043">
        <f t="shared" si="23"/>
        <v>224.29999999999973</v>
      </c>
    </row>
    <row r="96" spans="1:22" s="154" customFormat="1" ht="12" customHeight="1" x14ac:dyDescent="0.2">
      <c r="A96" s="795" t="s">
        <v>1150</v>
      </c>
      <c r="B96" s="293" t="s">
        <v>552</v>
      </c>
      <c r="C96" s="2043"/>
      <c r="D96" s="2043"/>
      <c r="E96" s="2043"/>
      <c r="F96" s="2043"/>
      <c r="G96" s="2043"/>
      <c r="H96" s="2043"/>
      <c r="I96" s="1037"/>
      <c r="J96" s="1037"/>
      <c r="K96" s="1037"/>
      <c r="L96" s="1037"/>
      <c r="M96" s="1037"/>
      <c r="N96" s="1037"/>
      <c r="O96" s="2046"/>
      <c r="P96" s="1037"/>
      <c r="Q96" s="1037"/>
      <c r="R96" s="1037"/>
      <c r="S96" s="1037"/>
      <c r="T96" s="1037"/>
      <c r="U96" s="2046"/>
      <c r="V96" s="2043"/>
    </row>
    <row r="97" spans="1:22" s="154" customFormat="1" ht="12" customHeight="1" x14ac:dyDescent="0.2">
      <c r="A97" s="795" t="s">
        <v>1150</v>
      </c>
      <c r="B97" s="2185" t="s">
        <v>553</v>
      </c>
      <c r="C97" s="2043"/>
      <c r="D97" s="2043"/>
      <c r="E97" s="2043"/>
      <c r="F97" s="2043"/>
      <c r="G97" s="2043"/>
      <c r="H97" s="2043"/>
      <c r="I97" s="1037"/>
      <c r="J97" s="1037"/>
      <c r="K97" s="1037"/>
      <c r="L97" s="1037"/>
      <c r="M97" s="1037"/>
      <c r="N97" s="1037"/>
      <c r="O97" s="2046"/>
      <c r="P97" s="1037"/>
      <c r="Q97" s="1037"/>
      <c r="R97" s="1037"/>
      <c r="S97" s="1037"/>
      <c r="T97" s="1037"/>
      <c r="U97" s="2046"/>
      <c r="V97" s="2043"/>
    </row>
    <row r="98" spans="1:22" s="154" customFormat="1" ht="12" customHeight="1" x14ac:dyDescent="0.2">
      <c r="A98" s="795" t="s">
        <v>1150</v>
      </c>
      <c r="B98" s="293" t="s">
        <v>547</v>
      </c>
      <c r="C98" s="2043"/>
      <c r="D98" s="2043"/>
      <c r="E98" s="2043"/>
      <c r="F98" s="2043"/>
      <c r="G98" s="2043"/>
      <c r="H98" s="2043"/>
      <c r="I98" s="1037"/>
      <c r="J98" s="1037"/>
      <c r="K98" s="1037"/>
      <c r="L98" s="1037"/>
      <c r="M98" s="1037"/>
      <c r="N98" s="1037"/>
      <c r="O98" s="2046"/>
      <c r="P98" s="1037"/>
      <c r="Q98" s="1037"/>
      <c r="R98" s="1037"/>
      <c r="S98" s="1037"/>
      <c r="T98" s="1037"/>
      <c r="U98" s="2046"/>
      <c r="V98" s="2043"/>
    </row>
    <row r="99" spans="1:22" s="154" customFormat="1" ht="12" customHeight="1" x14ac:dyDescent="0.2">
      <c r="A99" s="795" t="s">
        <v>1150</v>
      </c>
      <c r="B99" s="2185" t="s">
        <v>554</v>
      </c>
      <c r="C99" s="2043"/>
      <c r="D99" s="2043"/>
      <c r="E99" s="2043"/>
      <c r="F99" s="2043"/>
      <c r="G99" s="2043"/>
      <c r="H99" s="2043"/>
      <c r="I99" s="1037"/>
      <c r="J99" s="1037"/>
      <c r="K99" s="1037"/>
      <c r="L99" s="1037"/>
      <c r="M99" s="1037"/>
      <c r="N99" s="1037"/>
      <c r="O99" s="2046"/>
      <c r="P99" s="1037"/>
      <c r="Q99" s="1037"/>
      <c r="R99" s="1037"/>
      <c r="S99" s="1037"/>
      <c r="T99" s="1037"/>
      <c r="U99" s="2046"/>
      <c r="V99" s="2043"/>
    </row>
    <row r="100" spans="1:22" s="154" customFormat="1" ht="12" customHeight="1" x14ac:dyDescent="0.2">
      <c r="A100" s="795" t="s">
        <v>1150</v>
      </c>
      <c r="B100" s="293" t="s">
        <v>555</v>
      </c>
      <c r="C100" s="2043"/>
      <c r="D100" s="2043"/>
      <c r="E100" s="2043"/>
      <c r="F100" s="2043"/>
      <c r="G100" s="2043"/>
      <c r="H100" s="2043"/>
      <c r="I100" s="1037"/>
      <c r="J100" s="1037"/>
      <c r="K100" s="1037"/>
      <c r="L100" s="1037"/>
      <c r="M100" s="1037"/>
      <c r="N100" s="1037"/>
      <c r="O100" s="2046"/>
      <c r="P100" s="1037"/>
      <c r="Q100" s="1037"/>
      <c r="R100" s="1037"/>
      <c r="S100" s="1037"/>
      <c r="T100" s="1037"/>
      <c r="U100" s="2046"/>
      <c r="V100" s="2043"/>
    </row>
    <row r="101" spans="1:22" s="154" customFormat="1" ht="12" customHeight="1" x14ac:dyDescent="0.2">
      <c r="A101" s="795" t="s">
        <v>1150</v>
      </c>
      <c r="B101" s="2185" t="s">
        <v>548</v>
      </c>
      <c r="C101" s="2043"/>
      <c r="D101" s="2043"/>
      <c r="E101" s="2043"/>
      <c r="F101" s="2043"/>
      <c r="G101" s="2043"/>
      <c r="H101" s="2043"/>
      <c r="I101" s="1037"/>
      <c r="J101" s="1037"/>
      <c r="K101" s="1037"/>
      <c r="L101" s="1037"/>
      <c r="M101" s="1037"/>
      <c r="N101" s="1037"/>
      <c r="O101" s="2046"/>
      <c r="P101" s="1037"/>
      <c r="Q101" s="1037"/>
      <c r="R101" s="1037"/>
      <c r="S101" s="1037"/>
      <c r="T101" s="1037"/>
      <c r="U101" s="2046"/>
      <c r="V101" s="2043"/>
    </row>
    <row r="102" spans="1:22" s="154" customFormat="1" ht="12" customHeight="1" x14ac:dyDescent="0.2">
      <c r="A102" s="795" t="s">
        <v>1150</v>
      </c>
      <c r="B102" s="293" t="s">
        <v>556</v>
      </c>
      <c r="C102" s="2043"/>
      <c r="D102" s="2043"/>
      <c r="E102" s="2043"/>
      <c r="F102" s="2043"/>
      <c r="G102" s="2043"/>
      <c r="H102" s="2043"/>
      <c r="I102" s="1037"/>
      <c r="J102" s="1037"/>
      <c r="K102" s="1037"/>
      <c r="L102" s="1037"/>
      <c r="M102" s="1037"/>
      <c r="N102" s="1037"/>
      <c r="O102" s="2046"/>
      <c r="P102" s="1037"/>
      <c r="Q102" s="1037"/>
      <c r="R102" s="1037"/>
      <c r="S102" s="1037"/>
      <c r="T102" s="1037"/>
      <c r="U102" s="2046"/>
      <c r="V102" s="2043"/>
    </row>
    <row r="103" spans="1:22" s="154" customFormat="1" ht="12" customHeight="1" x14ac:dyDescent="0.2">
      <c r="A103" s="795" t="s">
        <v>1150</v>
      </c>
      <c r="B103" s="2185" t="s">
        <v>557</v>
      </c>
      <c r="C103" s="2043"/>
      <c r="D103" s="2043"/>
      <c r="E103" s="2043"/>
      <c r="F103" s="2043"/>
      <c r="G103" s="2043"/>
      <c r="H103" s="2043"/>
      <c r="I103" s="1037"/>
      <c r="J103" s="1037"/>
      <c r="K103" s="1037"/>
      <c r="L103" s="1037"/>
      <c r="M103" s="1037"/>
      <c r="N103" s="1037"/>
      <c r="O103" s="2046"/>
      <c r="P103" s="1037"/>
      <c r="Q103" s="1037"/>
      <c r="R103" s="1037"/>
      <c r="S103" s="1037"/>
      <c r="T103" s="1037"/>
      <c r="U103" s="2046"/>
      <c r="V103" s="2043"/>
    </row>
    <row r="104" spans="1:22" s="154" customFormat="1" ht="12" customHeight="1" x14ac:dyDescent="0.2">
      <c r="A104" s="795" t="s">
        <v>1150</v>
      </c>
      <c r="B104" s="293" t="s">
        <v>549</v>
      </c>
      <c r="C104" s="795"/>
      <c r="D104" s="795"/>
      <c r="E104" s="795"/>
      <c r="F104" s="795"/>
      <c r="G104" s="795"/>
      <c r="H104" s="795"/>
      <c r="I104" s="795"/>
      <c r="J104" s="795"/>
      <c r="K104" s="795"/>
      <c r="L104" s="795"/>
      <c r="M104" s="795"/>
      <c r="N104" s="795"/>
      <c r="O104" s="795"/>
      <c r="P104" s="795"/>
      <c r="Q104" s="795"/>
      <c r="R104" s="795"/>
      <c r="S104" s="795"/>
      <c r="T104" s="795"/>
      <c r="U104" s="795"/>
      <c r="V104" s="795"/>
    </row>
    <row r="105" spans="1:22" s="154" customFormat="1" ht="12" customHeight="1" x14ac:dyDescent="0.2">
      <c r="A105" s="795" t="s">
        <v>1150</v>
      </c>
      <c r="B105" s="2185" t="s">
        <v>558</v>
      </c>
      <c r="C105" s="795"/>
      <c r="D105" s="795"/>
      <c r="E105" s="795"/>
      <c r="F105" s="795"/>
      <c r="G105" s="795"/>
      <c r="H105" s="795"/>
      <c r="I105" s="795"/>
      <c r="J105" s="795"/>
      <c r="K105" s="795"/>
      <c r="L105" s="795"/>
      <c r="M105" s="795"/>
      <c r="N105" s="795"/>
      <c r="O105" s="795"/>
      <c r="P105" s="795"/>
      <c r="Q105" s="795"/>
      <c r="R105" s="795"/>
      <c r="S105" s="795"/>
      <c r="T105" s="795"/>
      <c r="U105" s="795"/>
      <c r="V105" s="795"/>
    </row>
    <row r="106" spans="1:22" s="154" customFormat="1" ht="12" customHeight="1" x14ac:dyDescent="0.2">
      <c r="A106" s="795" t="s">
        <v>1150</v>
      </c>
      <c r="B106" s="293" t="s">
        <v>559</v>
      </c>
      <c r="C106" s="795"/>
      <c r="D106" s="795"/>
      <c r="E106" s="795"/>
      <c r="F106" s="795"/>
      <c r="G106" s="795"/>
      <c r="H106" s="795"/>
      <c r="I106" s="795"/>
      <c r="J106" s="795"/>
      <c r="K106" s="795"/>
      <c r="L106" s="795"/>
      <c r="M106" s="795"/>
      <c r="N106" s="795"/>
      <c r="O106" s="795"/>
      <c r="P106" s="795"/>
      <c r="Q106" s="795"/>
      <c r="R106" s="795"/>
      <c r="S106" s="795"/>
      <c r="T106" s="795"/>
      <c r="U106" s="795"/>
      <c r="V106" s="795"/>
    </row>
    <row r="107" spans="1:22" s="154" customFormat="1" ht="12" customHeight="1" x14ac:dyDescent="0.2">
      <c r="A107" s="795" t="s">
        <v>1150</v>
      </c>
      <c r="B107" s="2185" t="s">
        <v>550</v>
      </c>
      <c r="C107" s="795"/>
      <c r="D107" s="795"/>
      <c r="E107" s="795"/>
      <c r="F107" s="795"/>
      <c r="G107" s="795"/>
      <c r="H107" s="795"/>
      <c r="I107" s="795"/>
      <c r="J107" s="795"/>
      <c r="K107" s="795"/>
      <c r="L107" s="795"/>
      <c r="M107" s="795"/>
      <c r="N107" s="795"/>
      <c r="O107" s="795"/>
      <c r="P107" s="795"/>
      <c r="Q107" s="795"/>
      <c r="R107" s="795"/>
      <c r="S107" s="795"/>
      <c r="T107" s="795"/>
      <c r="U107" s="795"/>
      <c r="V107" s="795"/>
    </row>
    <row r="108" spans="1:22" s="154" customFormat="1" ht="12" customHeight="1" x14ac:dyDescent="0.2">
      <c r="A108" s="795"/>
      <c r="B108" s="2185"/>
      <c r="C108" s="795"/>
      <c r="D108" s="795"/>
      <c r="E108" s="795"/>
      <c r="F108" s="795"/>
      <c r="G108" s="795"/>
      <c r="H108" s="795"/>
      <c r="I108" s="795"/>
      <c r="J108" s="795"/>
      <c r="K108" s="795"/>
      <c r="L108" s="795"/>
      <c r="M108" s="795"/>
      <c r="N108" s="795"/>
      <c r="O108" s="795"/>
      <c r="P108" s="795"/>
      <c r="Q108" s="795"/>
      <c r="R108" s="795"/>
      <c r="S108" s="795"/>
      <c r="T108" s="795"/>
      <c r="U108" s="795"/>
      <c r="V108" s="795"/>
    </row>
    <row r="109" spans="1:22" s="154" customFormat="1" ht="12" customHeight="1" x14ac:dyDescent="0.2">
      <c r="A109" s="795" t="s">
        <v>85</v>
      </c>
      <c r="B109" s="1314" t="s">
        <v>1288</v>
      </c>
      <c r="C109" s="24">
        <v>30246.3</v>
      </c>
      <c r="D109" s="24">
        <v>39104.800000000003</v>
      </c>
      <c r="E109" s="51">
        <v>-8858.5000000000018</v>
      </c>
      <c r="F109" s="24">
        <v>3195.9</v>
      </c>
      <c r="G109" s="24">
        <v>6480</v>
      </c>
      <c r="H109" s="24">
        <v>-3284.1000000000004</v>
      </c>
      <c r="I109" s="24">
        <v>325.5</v>
      </c>
      <c r="J109" s="24">
        <v>2672.8</v>
      </c>
      <c r="K109" s="24">
        <v>-2347.3000000000002</v>
      </c>
      <c r="L109" s="24">
        <v>90.6</v>
      </c>
      <c r="M109" s="24">
        <v>16553.099999999999</v>
      </c>
      <c r="N109" s="24">
        <v>16643.7</v>
      </c>
      <c r="O109" s="218">
        <v>2153.7999999999984</v>
      </c>
      <c r="P109" s="24">
        <v>1204.4000000000001</v>
      </c>
      <c r="Q109" s="24">
        <v>2202.7000000000003</v>
      </c>
      <c r="R109" s="24">
        <v>-783.7</v>
      </c>
      <c r="S109" s="51">
        <v>-4766</v>
      </c>
      <c r="T109" s="24">
        <v>-907.1999999999997</v>
      </c>
      <c r="U109" s="24">
        <v>-3049.7999999999997</v>
      </c>
      <c r="V109" s="51">
        <v>896.00000000000125</v>
      </c>
    </row>
    <row r="110" spans="1:22" s="154" customFormat="1" ht="12" customHeight="1" x14ac:dyDescent="0.2">
      <c r="A110" s="795" t="s">
        <v>85</v>
      </c>
      <c r="B110" s="301" t="s">
        <v>1285</v>
      </c>
      <c r="C110" s="24">
        <v>23229.599999999999</v>
      </c>
      <c r="D110" s="24">
        <v>34040</v>
      </c>
      <c r="E110" s="51">
        <v>-10810.400000000001</v>
      </c>
      <c r="F110" s="24">
        <v>3028.8999999999996</v>
      </c>
      <c r="G110" s="24">
        <v>6142.2</v>
      </c>
      <c r="H110" s="24">
        <v>-3113.3</v>
      </c>
      <c r="I110" s="24">
        <v>141.19999999999999</v>
      </c>
      <c r="J110" s="51">
        <v>2628.7</v>
      </c>
      <c r="K110" s="24">
        <v>-2487.5</v>
      </c>
      <c r="L110" s="24">
        <v>39.9</v>
      </c>
      <c r="M110" s="24">
        <v>15649.9</v>
      </c>
      <c r="N110" s="24">
        <v>15689.8</v>
      </c>
      <c r="O110" s="218">
        <v>-721.40000000000191</v>
      </c>
      <c r="P110" s="24">
        <v>530.70000000000005</v>
      </c>
      <c r="Q110" s="24">
        <v>2220.3000000000002</v>
      </c>
      <c r="R110" s="24">
        <v>524.6</v>
      </c>
      <c r="S110" s="24">
        <v>776.30000000000018</v>
      </c>
      <c r="T110" s="24">
        <v>-1616.3999999999999</v>
      </c>
      <c r="U110" s="24">
        <v>2435.5000000000005</v>
      </c>
      <c r="V110" s="51">
        <v>-1714.0999999999985</v>
      </c>
    </row>
    <row r="111" spans="1:22" s="154" customFormat="1" ht="12" customHeight="1" x14ac:dyDescent="0.2">
      <c r="A111" s="795" t="s">
        <v>85</v>
      </c>
      <c r="B111" s="1314" t="s">
        <v>1286</v>
      </c>
      <c r="C111" s="24">
        <v>26657.599999999999</v>
      </c>
      <c r="D111" s="24">
        <v>34890.9</v>
      </c>
      <c r="E111" s="51">
        <v>-8233.3000000000011</v>
      </c>
      <c r="F111" s="24">
        <v>2480</v>
      </c>
      <c r="G111" s="24">
        <v>5781.8</v>
      </c>
      <c r="H111" s="24">
        <v>-3301.8</v>
      </c>
      <c r="I111" s="24">
        <v>113.79999999999998</v>
      </c>
      <c r="J111" s="51">
        <v>2336.6</v>
      </c>
      <c r="K111" s="24">
        <v>-2222.8000000000002</v>
      </c>
      <c r="L111" s="51">
        <v>104.6</v>
      </c>
      <c r="M111" s="24">
        <v>17829.7</v>
      </c>
      <c r="N111" s="51">
        <v>17934.3</v>
      </c>
      <c r="O111" s="218">
        <v>4176.3999999999996</v>
      </c>
      <c r="P111" s="51">
        <v>1389</v>
      </c>
      <c r="Q111" s="24">
        <v>1344.6</v>
      </c>
      <c r="R111" s="24">
        <v>39.600000000000023</v>
      </c>
      <c r="S111" s="24">
        <v>-5432.7000000000007</v>
      </c>
      <c r="T111" s="24">
        <v>-1743.3</v>
      </c>
      <c r="U111" s="51">
        <v>-4402.8</v>
      </c>
      <c r="V111" s="51">
        <v>226.40000000000055</v>
      </c>
    </row>
    <row r="112" spans="1:22" s="154" customFormat="1" ht="12" customHeight="1" x14ac:dyDescent="0.2">
      <c r="A112" s="795" t="s">
        <v>85</v>
      </c>
      <c r="B112" s="301" t="s">
        <v>1287</v>
      </c>
      <c r="C112" s="24">
        <v>27061.5</v>
      </c>
      <c r="D112" s="24">
        <v>31543.799999999996</v>
      </c>
      <c r="E112" s="51">
        <v>-4482.2999999999993</v>
      </c>
      <c r="F112" s="24">
        <v>3540.3</v>
      </c>
      <c r="G112" s="24">
        <v>5259.4</v>
      </c>
      <c r="H112" s="24">
        <v>-1719.1000000000004</v>
      </c>
      <c r="I112" s="24">
        <v>72.599999999999994</v>
      </c>
      <c r="J112" s="51">
        <v>2674.5</v>
      </c>
      <c r="K112" s="24">
        <v>-2601.9</v>
      </c>
      <c r="L112" s="24">
        <v>16.7</v>
      </c>
      <c r="M112" s="24">
        <v>17683.099999999999</v>
      </c>
      <c r="N112" s="24">
        <v>17699.800000000003</v>
      </c>
      <c r="O112" s="218">
        <v>8896.5000000000018</v>
      </c>
      <c r="P112" s="24">
        <v>221.3</v>
      </c>
      <c r="Q112" s="24">
        <v>1212.6999999999998</v>
      </c>
      <c r="R112" s="24">
        <v>-482.6</v>
      </c>
      <c r="S112" s="24">
        <v>-1997.8000000000002</v>
      </c>
      <c r="T112" s="24">
        <v>-8693.0999999999985</v>
      </c>
      <c r="U112" s="51">
        <v>-9739.5</v>
      </c>
      <c r="V112" s="51">
        <v>842.99999999999773</v>
      </c>
    </row>
    <row r="113" spans="1:22" s="154" customFormat="1" ht="12" customHeight="1" x14ac:dyDescent="0.2">
      <c r="A113" s="795" t="s">
        <v>81</v>
      </c>
      <c r="B113" s="1314" t="s">
        <v>1288</v>
      </c>
      <c r="C113" s="24"/>
      <c r="D113" s="24"/>
      <c r="E113" s="51"/>
      <c r="F113" s="24"/>
      <c r="G113" s="24"/>
      <c r="H113" s="24"/>
      <c r="I113" s="24"/>
      <c r="J113" s="51"/>
      <c r="K113" s="24"/>
      <c r="L113" s="24"/>
      <c r="M113" s="24"/>
      <c r="N113" s="24"/>
      <c r="O113" s="218"/>
      <c r="P113" s="24"/>
      <c r="Q113" s="24"/>
      <c r="R113" s="24"/>
      <c r="S113" s="24"/>
      <c r="T113" s="24"/>
      <c r="U113" s="51"/>
      <c r="V113" s="51"/>
    </row>
    <row r="114" spans="1:22" s="154" customFormat="1" ht="12" customHeight="1" x14ac:dyDescent="0.2">
      <c r="A114" s="795" t="s">
        <v>81</v>
      </c>
      <c r="B114" s="301" t="s">
        <v>1285</v>
      </c>
      <c r="C114" s="24"/>
      <c r="D114" s="24"/>
      <c r="E114" s="51"/>
      <c r="F114" s="24"/>
      <c r="G114" s="24"/>
      <c r="H114" s="24"/>
      <c r="I114" s="24"/>
      <c r="J114" s="51"/>
      <c r="K114" s="24"/>
      <c r="L114" s="24"/>
      <c r="M114" s="24"/>
      <c r="N114" s="24"/>
      <c r="O114" s="218"/>
      <c r="P114" s="24"/>
      <c r="Q114" s="24"/>
      <c r="R114" s="24"/>
      <c r="S114" s="24"/>
      <c r="T114" s="24"/>
      <c r="U114" s="51"/>
      <c r="V114" s="51"/>
    </row>
    <row r="115" spans="1:22" s="154" customFormat="1" ht="12" customHeight="1" x14ac:dyDescent="0.2">
      <c r="A115" s="795" t="s">
        <v>81</v>
      </c>
      <c r="B115" s="1314" t="s">
        <v>1286</v>
      </c>
      <c r="C115" s="24"/>
      <c r="D115" s="24"/>
      <c r="E115" s="51"/>
      <c r="F115" s="24"/>
      <c r="G115" s="24"/>
      <c r="H115" s="24"/>
      <c r="I115" s="24"/>
      <c r="J115" s="51"/>
      <c r="K115" s="24"/>
      <c r="L115" s="24"/>
      <c r="M115" s="24"/>
      <c r="N115" s="24"/>
      <c r="O115" s="218"/>
      <c r="P115" s="24"/>
      <c r="Q115" s="24"/>
      <c r="R115" s="24"/>
      <c r="S115" s="24"/>
      <c r="T115" s="24"/>
      <c r="U115" s="51"/>
      <c r="V115" s="51"/>
    </row>
    <row r="116" spans="1:22" s="154" customFormat="1" ht="12" customHeight="1" x14ac:dyDescent="0.2">
      <c r="A116" s="795" t="s">
        <v>81</v>
      </c>
      <c r="B116" s="301" t="s">
        <v>1287</v>
      </c>
      <c r="C116" s="24"/>
      <c r="D116" s="24"/>
      <c r="E116" s="51"/>
      <c r="F116" s="24"/>
      <c r="G116" s="24"/>
      <c r="H116" s="24"/>
      <c r="I116" s="24"/>
      <c r="J116" s="51"/>
      <c r="K116" s="24"/>
      <c r="L116" s="24"/>
      <c r="M116" s="24"/>
      <c r="N116" s="24"/>
      <c r="O116" s="218"/>
      <c r="P116" s="24"/>
      <c r="Q116" s="24"/>
      <c r="R116" s="24"/>
      <c r="S116" s="24"/>
      <c r="T116" s="24"/>
      <c r="U116" s="51"/>
      <c r="V116" s="51"/>
    </row>
    <row r="117" spans="1:22" s="154" customFormat="1" ht="12" customHeight="1" x14ac:dyDescent="0.2">
      <c r="A117" s="795" t="s">
        <v>189</v>
      </c>
      <c r="B117" s="1314" t="s">
        <v>1288</v>
      </c>
      <c r="C117" s="274">
        <v>35076.400000000001</v>
      </c>
      <c r="D117" s="274">
        <v>44034.6</v>
      </c>
      <c r="E117" s="274">
        <f t="shared" ref="E117:E120" si="32">C117-D117</f>
        <v>-8958.1999999999971</v>
      </c>
      <c r="F117" s="279">
        <v>3669.6</v>
      </c>
      <c r="G117" s="279">
        <v>7600.3</v>
      </c>
      <c r="H117" s="274">
        <f t="shared" ref="H117:H120" si="33">F117-G117</f>
        <v>-3930.7000000000003</v>
      </c>
      <c r="I117" s="274">
        <v>188.4</v>
      </c>
      <c r="J117" s="274">
        <v>2462.8000000000002</v>
      </c>
      <c r="K117" s="274">
        <f t="shared" ref="K117:K132" si="34">I117-J117</f>
        <v>-2274.4</v>
      </c>
      <c r="L117" s="274">
        <v>285.10000000000002</v>
      </c>
      <c r="M117" s="274">
        <v>19106.599999999999</v>
      </c>
      <c r="N117" s="274">
        <f t="shared" ref="N117:N120" si="35">L117+M117</f>
        <v>19391.699999999997</v>
      </c>
      <c r="O117" s="280">
        <f t="shared" ref="O117:O120" si="36">E117++H117+K117+N117</f>
        <v>4228.3999999999996</v>
      </c>
      <c r="P117" s="274">
        <v>733.6</v>
      </c>
      <c r="Q117" s="274">
        <v>1208.4000000000001</v>
      </c>
      <c r="R117" s="274">
        <v>-966</v>
      </c>
      <c r="S117" s="274">
        <v>-7030</v>
      </c>
      <c r="T117" s="279">
        <v>2396.3000000000002</v>
      </c>
      <c r="U117" s="280">
        <f t="shared" ref="U117:U120" si="37">Q117+R117+S117+T117</f>
        <v>-4391.3</v>
      </c>
      <c r="V117" s="274">
        <f t="shared" ref="V117:V124" si="38">-(O117+P117+U117)</f>
        <v>-570.69999999999982</v>
      </c>
    </row>
    <row r="118" spans="1:22" s="154" customFormat="1" ht="12" customHeight="1" x14ac:dyDescent="0.2">
      <c r="A118" s="795" t="s">
        <v>189</v>
      </c>
      <c r="B118" s="301" t="s">
        <v>1285</v>
      </c>
      <c r="C118" s="51">
        <v>37000.5</v>
      </c>
      <c r="D118" s="51">
        <v>52238.2</v>
      </c>
      <c r="E118" s="51">
        <f t="shared" si="32"/>
        <v>-15237.699999999997</v>
      </c>
      <c r="F118" s="51">
        <v>5362</v>
      </c>
      <c r="G118" s="24">
        <v>9746.6</v>
      </c>
      <c r="H118" s="51">
        <f t="shared" si="33"/>
        <v>-4384.6000000000004</v>
      </c>
      <c r="I118" s="51">
        <v>193.7</v>
      </c>
      <c r="J118" s="51">
        <v>2872.6</v>
      </c>
      <c r="K118" s="51">
        <f t="shared" si="34"/>
        <v>-2678.9</v>
      </c>
      <c r="L118" s="51">
        <v>253.7</v>
      </c>
      <c r="M118" s="51">
        <v>20942.5</v>
      </c>
      <c r="N118" s="51">
        <f t="shared" si="35"/>
        <v>21196.2</v>
      </c>
      <c r="O118" s="218">
        <f t="shared" si="36"/>
        <v>-1104.9999999999964</v>
      </c>
      <c r="P118" s="51">
        <v>1774.7</v>
      </c>
      <c r="Q118" s="51">
        <v>1218.8</v>
      </c>
      <c r="R118" s="51">
        <v>-925.1</v>
      </c>
      <c r="S118" s="51">
        <v>2560.9</v>
      </c>
      <c r="T118" s="24">
        <v>-3473.5</v>
      </c>
      <c r="U118" s="218">
        <f t="shared" si="37"/>
        <v>-618.90000000000009</v>
      </c>
      <c r="V118" s="51">
        <f t="shared" si="38"/>
        <v>-50.800000000003593</v>
      </c>
    </row>
    <row r="119" spans="1:22" s="154" customFormat="1" ht="12" customHeight="1" x14ac:dyDescent="0.2">
      <c r="A119" s="795" t="s">
        <v>189</v>
      </c>
      <c r="B119" s="1314" t="s">
        <v>1286</v>
      </c>
      <c r="C119" s="274">
        <v>42647</v>
      </c>
      <c r="D119" s="274">
        <v>57795.4</v>
      </c>
      <c r="E119" s="274">
        <f t="shared" si="32"/>
        <v>-15148.400000000001</v>
      </c>
      <c r="F119" s="279">
        <v>3988.2</v>
      </c>
      <c r="G119" s="279">
        <v>8633.7999999999993</v>
      </c>
      <c r="H119" s="274">
        <f t="shared" si="33"/>
        <v>-4645.5999999999995</v>
      </c>
      <c r="I119" s="274">
        <v>240.1</v>
      </c>
      <c r="J119" s="274">
        <v>2704.8</v>
      </c>
      <c r="K119" s="274">
        <f t="shared" si="34"/>
        <v>-2464.7000000000003</v>
      </c>
      <c r="L119" s="274">
        <v>198.3</v>
      </c>
      <c r="M119" s="274">
        <v>21676.5</v>
      </c>
      <c r="N119" s="274">
        <f t="shared" si="35"/>
        <v>21874.799999999999</v>
      </c>
      <c r="O119" s="280">
        <f t="shared" si="36"/>
        <v>-383.90000000000146</v>
      </c>
      <c r="P119" s="274">
        <v>651.70000000000005</v>
      </c>
      <c r="Q119" s="274">
        <v>1577.3</v>
      </c>
      <c r="R119" s="274">
        <v>-2622</v>
      </c>
      <c r="S119" s="274">
        <v>-4257.8999999999996</v>
      </c>
      <c r="T119" s="274">
        <v>7600</v>
      </c>
      <c r="U119" s="280">
        <f t="shared" si="37"/>
        <v>2297.4000000000005</v>
      </c>
      <c r="V119" s="274">
        <f t="shared" si="38"/>
        <v>-2565.1999999999989</v>
      </c>
    </row>
    <row r="120" spans="1:22" s="154" customFormat="1" ht="12" customHeight="1" x14ac:dyDescent="0.2">
      <c r="A120" s="795" t="s">
        <v>189</v>
      </c>
      <c r="B120" s="301" t="s">
        <v>1287</v>
      </c>
      <c r="C120" s="51">
        <v>49435.3</v>
      </c>
      <c r="D120" s="51">
        <v>62272.9</v>
      </c>
      <c r="E120" s="51">
        <f t="shared" si="32"/>
        <v>-12837.599999999999</v>
      </c>
      <c r="F120" s="24">
        <v>5273.1</v>
      </c>
      <c r="G120" s="24">
        <v>9519.9</v>
      </c>
      <c r="H120" s="51">
        <f t="shared" si="33"/>
        <v>-4246.7999999999993</v>
      </c>
      <c r="I120" s="51">
        <v>249.5</v>
      </c>
      <c r="J120" s="51">
        <v>3226.9</v>
      </c>
      <c r="K120" s="51">
        <f t="shared" si="34"/>
        <v>-2977.4</v>
      </c>
      <c r="L120" s="51">
        <v>310</v>
      </c>
      <c r="M120" s="51">
        <v>22287.599999999999</v>
      </c>
      <c r="N120" s="51">
        <f t="shared" si="35"/>
        <v>22597.599999999999</v>
      </c>
      <c r="O120" s="218">
        <f t="shared" si="36"/>
        <v>2535.7999999999993</v>
      </c>
      <c r="P120" s="51">
        <v>978.1</v>
      </c>
      <c r="Q120" s="51">
        <v>1581.1</v>
      </c>
      <c r="R120" s="51">
        <v>-1596.1</v>
      </c>
      <c r="S120" s="51">
        <v>-862.8</v>
      </c>
      <c r="T120" s="24">
        <v>-1171.8</v>
      </c>
      <c r="U120" s="218">
        <f t="shared" si="37"/>
        <v>-2049.6</v>
      </c>
      <c r="V120" s="51">
        <f t="shared" si="38"/>
        <v>-1464.2999999999993</v>
      </c>
    </row>
    <row r="121" spans="1:22" s="154" customFormat="1" ht="12" customHeight="1" x14ac:dyDescent="0.2">
      <c r="A121" s="795" t="s">
        <v>696</v>
      </c>
      <c r="B121" s="1314" t="s">
        <v>1288</v>
      </c>
      <c r="C121" s="274">
        <v>46291.8</v>
      </c>
      <c r="D121" s="274">
        <v>58989.8</v>
      </c>
      <c r="E121" s="274">
        <f t="shared" ref="E121:E124" si="39">C121-D121</f>
        <v>-12698</v>
      </c>
      <c r="F121" s="274">
        <v>4751.6000000000004</v>
      </c>
      <c r="G121" s="274">
        <v>9796.7999999999993</v>
      </c>
      <c r="H121" s="274">
        <f t="shared" ref="H121:H124" si="40">F121-G121</f>
        <v>-5045.1999999999989</v>
      </c>
      <c r="I121" s="274">
        <v>260.39999999999998</v>
      </c>
      <c r="J121" s="274">
        <v>3372.8</v>
      </c>
      <c r="K121" s="274">
        <f t="shared" si="34"/>
        <v>-3112.4</v>
      </c>
      <c r="L121" s="274">
        <v>181.2</v>
      </c>
      <c r="M121" s="274">
        <v>21970.799999999999</v>
      </c>
      <c r="N121" s="274">
        <f t="shared" ref="N121:N124" si="41">L121+M121</f>
        <v>22152</v>
      </c>
      <c r="O121" s="280">
        <f t="shared" ref="O121:O124" si="42">E121++H121+K121+N121</f>
        <v>1296.4000000000015</v>
      </c>
      <c r="P121" s="274">
        <v>896.2</v>
      </c>
      <c r="Q121" s="274">
        <v>2656.1</v>
      </c>
      <c r="R121" s="274">
        <v>1771.3</v>
      </c>
      <c r="S121" s="274">
        <v>-9675.7999999999993</v>
      </c>
      <c r="T121" s="279">
        <v>4560.1000000000004</v>
      </c>
      <c r="U121" s="280">
        <f>Q121+R121+S121+T121</f>
        <v>-688.29999999999927</v>
      </c>
      <c r="V121" s="274">
        <f t="shared" si="38"/>
        <v>-1504.300000000002</v>
      </c>
    </row>
    <row r="122" spans="1:22" s="154" customFormat="1" ht="12" customHeight="1" x14ac:dyDescent="0.2">
      <c r="A122" s="795" t="s">
        <v>696</v>
      </c>
      <c r="B122" s="301" t="s">
        <v>1285</v>
      </c>
      <c r="C122" s="51">
        <v>43642.6</v>
      </c>
      <c r="D122" s="51">
        <v>62697.9</v>
      </c>
      <c r="E122" s="51">
        <f t="shared" si="39"/>
        <v>-19055.300000000003</v>
      </c>
      <c r="F122" s="51">
        <v>4119.5</v>
      </c>
      <c r="G122" s="51">
        <v>11375.9</v>
      </c>
      <c r="H122" s="51">
        <f t="shared" si="40"/>
        <v>-7256.4</v>
      </c>
      <c r="I122" s="51">
        <v>427.3</v>
      </c>
      <c r="J122" s="51">
        <v>3143.7</v>
      </c>
      <c r="K122" s="51">
        <f t="shared" si="34"/>
        <v>-2716.3999999999996</v>
      </c>
      <c r="L122" s="51">
        <v>221.7</v>
      </c>
      <c r="M122" s="51">
        <v>23952.799999999999</v>
      </c>
      <c r="N122" s="51">
        <f t="shared" si="41"/>
        <v>24174.5</v>
      </c>
      <c r="O122" s="218">
        <f t="shared" si="42"/>
        <v>-4853.6000000000058</v>
      </c>
      <c r="P122" s="51">
        <v>1295.5</v>
      </c>
      <c r="Q122" s="51">
        <v>2643.5</v>
      </c>
      <c r="R122" s="51">
        <v>3619</v>
      </c>
      <c r="S122" s="51">
        <v>-2824.1</v>
      </c>
      <c r="T122" s="51">
        <v>3294.1</v>
      </c>
      <c r="U122" s="218">
        <f>Q122+R122+S122+T122</f>
        <v>6732.5</v>
      </c>
      <c r="V122" s="51">
        <f t="shared" si="38"/>
        <v>-3174.3999999999942</v>
      </c>
    </row>
    <row r="123" spans="1:22" s="154" customFormat="1" ht="12" customHeight="1" x14ac:dyDescent="0.2">
      <c r="A123" s="795" t="s">
        <v>696</v>
      </c>
      <c r="B123" s="1314" t="s">
        <v>1286</v>
      </c>
      <c r="C123" s="274">
        <v>50847.3</v>
      </c>
      <c r="D123" s="274">
        <v>68206.7</v>
      </c>
      <c r="E123" s="274">
        <f t="shared" si="39"/>
        <v>-17359.399999999994</v>
      </c>
      <c r="F123" s="274">
        <v>5434.9</v>
      </c>
      <c r="G123" s="274">
        <v>10641.5</v>
      </c>
      <c r="H123" s="274">
        <f t="shared" si="40"/>
        <v>-5206.6000000000004</v>
      </c>
      <c r="I123" s="274">
        <v>396</v>
      </c>
      <c r="J123" s="274">
        <v>3239.7</v>
      </c>
      <c r="K123" s="274">
        <f t="shared" si="34"/>
        <v>-2843.7</v>
      </c>
      <c r="L123" s="274">
        <v>176.7</v>
      </c>
      <c r="M123" s="274">
        <v>29111.4</v>
      </c>
      <c r="N123" s="274">
        <f t="shared" si="41"/>
        <v>29288.100000000002</v>
      </c>
      <c r="O123" s="280">
        <f t="shared" si="42"/>
        <v>3878.4000000000087</v>
      </c>
      <c r="P123" s="274">
        <v>669.6</v>
      </c>
      <c r="Q123" s="274">
        <v>1891.5</v>
      </c>
      <c r="R123" s="274">
        <v>-315.39999999999998</v>
      </c>
      <c r="S123" s="274">
        <v>-7646.9</v>
      </c>
      <c r="T123" s="274">
        <v>-345.3</v>
      </c>
      <c r="U123" s="280">
        <f>Q123+R123+S123+T123</f>
        <v>-6416.0999999999995</v>
      </c>
      <c r="V123" s="274">
        <f t="shared" si="38"/>
        <v>1868.0999999999904</v>
      </c>
    </row>
    <row r="124" spans="1:22" s="154" customFormat="1" ht="12" customHeight="1" x14ac:dyDescent="0.2">
      <c r="A124" s="795" t="s">
        <v>696</v>
      </c>
      <c r="B124" s="301" t="s">
        <v>1287</v>
      </c>
      <c r="C124" s="51">
        <v>52593.8</v>
      </c>
      <c r="D124" s="51">
        <v>63147.8</v>
      </c>
      <c r="E124" s="51">
        <f t="shared" si="39"/>
        <v>-10554</v>
      </c>
      <c r="F124" s="51">
        <v>5064.3999999999996</v>
      </c>
      <c r="G124" s="51">
        <v>10066.1</v>
      </c>
      <c r="H124" s="51">
        <f t="shared" si="40"/>
        <v>-5001.7000000000007</v>
      </c>
      <c r="I124" s="51">
        <v>439.6</v>
      </c>
      <c r="J124" s="51">
        <v>3486</v>
      </c>
      <c r="K124" s="51">
        <f t="shared" si="34"/>
        <v>-3046.4</v>
      </c>
      <c r="L124" s="51">
        <v>249.6</v>
      </c>
      <c r="M124" s="51">
        <v>26947.599999999999</v>
      </c>
      <c r="N124" s="51">
        <f t="shared" si="41"/>
        <v>27197.199999999997</v>
      </c>
      <c r="O124" s="218">
        <f t="shared" si="42"/>
        <v>8595.0999999999949</v>
      </c>
      <c r="P124" s="51">
        <v>817.2</v>
      </c>
      <c r="Q124" s="51">
        <v>1897.1</v>
      </c>
      <c r="R124" s="51">
        <v>-932.3</v>
      </c>
      <c r="S124" s="51">
        <v>2755.8</v>
      </c>
      <c r="T124" s="51">
        <v>-9833.4</v>
      </c>
      <c r="U124" s="218">
        <f>Q124+R124+S124+T124</f>
        <v>-6112.7999999999993</v>
      </c>
      <c r="V124" s="51">
        <f t="shared" si="38"/>
        <v>-3299.4999999999964</v>
      </c>
    </row>
    <row r="125" spans="1:22" s="154" customFormat="1" ht="12" customHeight="1" x14ac:dyDescent="0.2">
      <c r="A125" s="795" t="s">
        <v>804</v>
      </c>
      <c r="B125" s="1314" t="s">
        <v>1288</v>
      </c>
      <c r="C125" s="274">
        <v>50410.7</v>
      </c>
      <c r="D125" s="274">
        <v>66242.399999999994</v>
      </c>
      <c r="E125" s="274">
        <f t="shared" ref="E125:E132" si="43">C125-D125</f>
        <v>-15831.699999999997</v>
      </c>
      <c r="F125" s="279">
        <v>5609.4</v>
      </c>
      <c r="G125" s="279">
        <v>12293.4</v>
      </c>
      <c r="H125" s="274">
        <f t="shared" ref="H125:H132" si="44">F125-G125</f>
        <v>-6684</v>
      </c>
      <c r="I125" s="274">
        <v>349.3</v>
      </c>
      <c r="J125" s="274">
        <v>5446.4</v>
      </c>
      <c r="K125" s="274">
        <f t="shared" si="34"/>
        <v>-5097.0999999999995</v>
      </c>
      <c r="L125" s="274">
        <v>242.6</v>
      </c>
      <c r="M125" s="274">
        <v>29798.7</v>
      </c>
      <c r="N125" s="274">
        <f t="shared" ref="N125:N132" si="45">L125+M125</f>
        <v>30041.3</v>
      </c>
      <c r="O125" s="280">
        <f t="shared" ref="O125:O132" si="46">E125++H125+K125+N125</f>
        <v>2428.5000000000036</v>
      </c>
      <c r="P125" s="274">
        <v>1051</v>
      </c>
      <c r="Q125" s="274">
        <v>-3242.7</v>
      </c>
      <c r="R125" s="274">
        <v>-1032.5999999999999</v>
      </c>
      <c r="S125" s="274">
        <v>2109.8000000000002</v>
      </c>
      <c r="T125" s="274">
        <v>6019</v>
      </c>
      <c r="U125" s="280">
        <f t="shared" ref="U125:U144" si="47">Q125+R125+S125+T125</f>
        <v>3853.5000000000009</v>
      </c>
      <c r="V125" s="274">
        <f t="shared" ref="V125:V156" si="48">-(O125+P125-U125)</f>
        <v>373.99999999999727</v>
      </c>
    </row>
    <row r="126" spans="1:22" s="154" customFormat="1" ht="12" customHeight="1" x14ac:dyDescent="0.2">
      <c r="A126" s="795" t="s">
        <v>804</v>
      </c>
      <c r="B126" s="301" t="s">
        <v>1285</v>
      </c>
      <c r="C126" s="51">
        <v>50177.8</v>
      </c>
      <c r="D126" s="51">
        <v>65773.3</v>
      </c>
      <c r="E126" s="51">
        <f t="shared" si="43"/>
        <v>-15595.5</v>
      </c>
      <c r="F126" s="51">
        <v>5759.8</v>
      </c>
      <c r="G126" s="24">
        <v>12670.2</v>
      </c>
      <c r="H126" s="51">
        <f t="shared" si="44"/>
        <v>-6910.4000000000005</v>
      </c>
      <c r="I126" s="51">
        <v>265.10000000000002</v>
      </c>
      <c r="J126" s="51">
        <v>4126.3</v>
      </c>
      <c r="K126" s="51">
        <f t="shared" si="34"/>
        <v>-3861.2000000000003</v>
      </c>
      <c r="L126" s="51">
        <v>116.6</v>
      </c>
      <c r="M126" s="51">
        <v>32413.599999999999</v>
      </c>
      <c r="N126" s="51">
        <f t="shared" si="45"/>
        <v>32530.199999999997</v>
      </c>
      <c r="O126" s="218">
        <f t="shared" si="46"/>
        <v>6163.0999999999949</v>
      </c>
      <c r="P126" s="51">
        <v>1548.6</v>
      </c>
      <c r="Q126" s="51">
        <v>-3238.3</v>
      </c>
      <c r="R126" s="51">
        <v>1528.8</v>
      </c>
      <c r="S126" s="51">
        <v>-7249.6</v>
      </c>
      <c r="T126" s="24">
        <v>12228.5</v>
      </c>
      <c r="U126" s="218">
        <f t="shared" si="47"/>
        <v>3269.3999999999996</v>
      </c>
      <c r="V126" s="51">
        <f t="shared" si="48"/>
        <v>-4442.2999999999956</v>
      </c>
    </row>
    <row r="127" spans="1:22" s="154" customFormat="1" ht="12" customHeight="1" x14ac:dyDescent="0.2">
      <c r="A127" s="795" t="s">
        <v>804</v>
      </c>
      <c r="B127" s="1314" t="s">
        <v>1286</v>
      </c>
      <c r="C127" s="274">
        <v>55023.1</v>
      </c>
      <c r="D127" s="274">
        <v>66242.7</v>
      </c>
      <c r="E127" s="274">
        <f t="shared" si="43"/>
        <v>-11219.599999999999</v>
      </c>
      <c r="F127" s="279">
        <v>5395.4</v>
      </c>
      <c r="G127" s="279">
        <v>10954.2</v>
      </c>
      <c r="H127" s="274">
        <f t="shared" si="44"/>
        <v>-5558.8000000000011</v>
      </c>
      <c r="I127" s="274">
        <v>152.69999999999999</v>
      </c>
      <c r="J127" s="274">
        <v>4615.1000000000004</v>
      </c>
      <c r="K127" s="274">
        <f t="shared" si="34"/>
        <v>-4462.4000000000005</v>
      </c>
      <c r="L127" s="274">
        <v>79.900000000000006</v>
      </c>
      <c r="M127" s="274">
        <v>30301.4</v>
      </c>
      <c r="N127" s="274">
        <f t="shared" si="45"/>
        <v>30381.300000000003</v>
      </c>
      <c r="O127" s="280">
        <f t="shared" si="46"/>
        <v>9140.5</v>
      </c>
      <c r="P127" s="274">
        <v>1061.0999999999999</v>
      </c>
      <c r="Q127" s="274">
        <v>-3658.2</v>
      </c>
      <c r="R127" s="274">
        <v>-6.1</v>
      </c>
      <c r="S127" s="274">
        <v>1996.8</v>
      </c>
      <c r="T127" s="274">
        <v>10823.3</v>
      </c>
      <c r="U127" s="280">
        <f t="shared" si="47"/>
        <v>9155.7999999999993</v>
      </c>
      <c r="V127" s="274">
        <f t="shared" si="48"/>
        <v>-1045.8000000000011</v>
      </c>
    </row>
    <row r="128" spans="1:22" s="154" customFormat="1" ht="12" customHeight="1" x14ac:dyDescent="0.2">
      <c r="A128" s="795" t="s">
        <v>804</v>
      </c>
      <c r="B128" s="301" t="s">
        <v>1287</v>
      </c>
      <c r="C128" s="51">
        <v>56031.4</v>
      </c>
      <c r="D128" s="51">
        <v>74168.7</v>
      </c>
      <c r="E128" s="51">
        <f t="shared" si="43"/>
        <v>-18137.299999999996</v>
      </c>
      <c r="F128" s="24">
        <v>5836.5</v>
      </c>
      <c r="G128" s="24">
        <v>12469.3</v>
      </c>
      <c r="H128" s="51">
        <f t="shared" si="44"/>
        <v>-6632.7999999999993</v>
      </c>
      <c r="I128" s="51">
        <v>197.9</v>
      </c>
      <c r="J128" s="51">
        <v>5253.8</v>
      </c>
      <c r="K128" s="51">
        <f t="shared" si="34"/>
        <v>-5055.9000000000005</v>
      </c>
      <c r="L128" s="51">
        <v>77.5</v>
      </c>
      <c r="M128" s="51">
        <v>27006.7</v>
      </c>
      <c r="N128" s="51">
        <f t="shared" si="45"/>
        <v>27084.2</v>
      </c>
      <c r="O128" s="218">
        <f t="shared" si="46"/>
        <v>-2741.7999999999956</v>
      </c>
      <c r="P128" s="51">
        <v>1030.0999999999999</v>
      </c>
      <c r="Q128" s="51">
        <v>-3637.1</v>
      </c>
      <c r="R128" s="51">
        <v>252.8</v>
      </c>
      <c r="S128" s="51">
        <v>-12808.5</v>
      </c>
      <c r="T128" s="24">
        <v>12245.2</v>
      </c>
      <c r="U128" s="218">
        <f t="shared" si="47"/>
        <v>-3947.5999999999985</v>
      </c>
      <c r="V128" s="51">
        <f t="shared" si="48"/>
        <v>-2235.9000000000028</v>
      </c>
    </row>
    <row r="129" spans="1:22" s="154" customFormat="1" ht="12" customHeight="1" x14ac:dyDescent="0.2">
      <c r="A129" s="795" t="s">
        <v>978</v>
      </c>
      <c r="B129" s="1314" t="s">
        <v>1288</v>
      </c>
      <c r="C129" s="51">
        <v>58485.3</v>
      </c>
      <c r="D129" s="51">
        <v>69051.100000000006</v>
      </c>
      <c r="E129" s="51">
        <f t="shared" si="43"/>
        <v>-10565.800000000003</v>
      </c>
      <c r="F129" s="51">
        <v>5686.6</v>
      </c>
      <c r="G129" s="51">
        <v>13333.4</v>
      </c>
      <c r="H129" s="51">
        <f t="shared" si="44"/>
        <v>-7646.7999999999993</v>
      </c>
      <c r="I129" s="51">
        <v>371.8</v>
      </c>
      <c r="J129" s="51">
        <v>5638.6</v>
      </c>
      <c r="K129" s="51">
        <f t="shared" si="34"/>
        <v>-5266.8</v>
      </c>
      <c r="L129" s="51">
        <v>117.3</v>
      </c>
      <c r="M129" s="51">
        <v>26557.8</v>
      </c>
      <c r="N129" s="51">
        <f t="shared" si="45"/>
        <v>26675.1</v>
      </c>
      <c r="O129" s="218">
        <f t="shared" si="46"/>
        <v>3195.6999999999971</v>
      </c>
      <c r="P129" s="51">
        <v>1558.6</v>
      </c>
      <c r="Q129" s="51">
        <v>-2578.1999999999998</v>
      </c>
      <c r="R129" s="51">
        <v>-1321.4</v>
      </c>
      <c r="S129" s="51">
        <v>2920.1</v>
      </c>
      <c r="T129" s="24">
        <v>4898.7</v>
      </c>
      <c r="U129" s="218">
        <f t="shared" si="47"/>
        <v>3919.2</v>
      </c>
      <c r="V129" s="51">
        <f t="shared" si="48"/>
        <v>-835.09999999999764</v>
      </c>
    </row>
    <row r="130" spans="1:22" s="154" customFormat="1" ht="12" customHeight="1" x14ac:dyDescent="0.2">
      <c r="A130" s="795" t="s">
        <v>978</v>
      </c>
      <c r="B130" s="301" t="s">
        <v>1285</v>
      </c>
      <c r="C130" s="274">
        <v>54108.6</v>
      </c>
      <c r="D130" s="274">
        <v>63864.9</v>
      </c>
      <c r="E130" s="274">
        <f t="shared" si="43"/>
        <v>-9756.3000000000029</v>
      </c>
      <c r="F130" s="274">
        <v>6480.5</v>
      </c>
      <c r="G130" s="274">
        <v>14506.4</v>
      </c>
      <c r="H130" s="274">
        <f t="shared" si="44"/>
        <v>-8025.9</v>
      </c>
      <c r="I130" s="274">
        <v>309.3</v>
      </c>
      <c r="J130" s="274">
        <v>5102.3999999999996</v>
      </c>
      <c r="K130" s="274">
        <f t="shared" si="34"/>
        <v>-4793.0999999999995</v>
      </c>
      <c r="L130" s="274">
        <v>334.6</v>
      </c>
      <c r="M130" s="274">
        <v>28796.1</v>
      </c>
      <c r="N130" s="274">
        <f t="shared" si="45"/>
        <v>29130.699999999997</v>
      </c>
      <c r="O130" s="280">
        <f t="shared" si="46"/>
        <v>6555.3999999999942</v>
      </c>
      <c r="P130" s="274">
        <v>2009.6</v>
      </c>
      <c r="Q130" s="274">
        <v>-2579.8000000000002</v>
      </c>
      <c r="R130" s="274">
        <v>44.2</v>
      </c>
      <c r="S130" s="274">
        <v>-10405.1</v>
      </c>
      <c r="T130" s="274">
        <v>15407.7</v>
      </c>
      <c r="U130" s="280">
        <f t="shared" si="47"/>
        <v>2467</v>
      </c>
      <c r="V130" s="274">
        <f t="shared" si="48"/>
        <v>-6097.9999999999945</v>
      </c>
    </row>
    <row r="131" spans="1:22" s="154" customFormat="1" ht="12" customHeight="1" x14ac:dyDescent="0.2">
      <c r="A131" s="795" t="s">
        <v>978</v>
      </c>
      <c r="B131" s="1314" t="s">
        <v>1286</v>
      </c>
      <c r="C131" s="51">
        <v>57795.4</v>
      </c>
      <c r="D131" s="51">
        <v>75040.3</v>
      </c>
      <c r="E131" s="51">
        <f t="shared" si="43"/>
        <v>-17244.900000000001</v>
      </c>
      <c r="F131" s="51">
        <v>5784</v>
      </c>
      <c r="G131" s="51">
        <v>12885.8</v>
      </c>
      <c r="H131" s="51">
        <f t="shared" si="44"/>
        <v>-7101.7999999999993</v>
      </c>
      <c r="I131" s="51">
        <v>191.8</v>
      </c>
      <c r="J131" s="51">
        <v>4686.8999999999996</v>
      </c>
      <c r="K131" s="51">
        <f t="shared" si="34"/>
        <v>-4495.0999999999995</v>
      </c>
      <c r="L131" s="51">
        <v>111.9</v>
      </c>
      <c r="M131" s="51">
        <v>29979.7</v>
      </c>
      <c r="N131" s="51">
        <f t="shared" si="45"/>
        <v>30091.600000000002</v>
      </c>
      <c r="O131" s="218">
        <f t="shared" si="46"/>
        <v>1249.8000000000029</v>
      </c>
      <c r="P131" s="51">
        <v>758</v>
      </c>
      <c r="Q131" s="51">
        <v>-3404.8</v>
      </c>
      <c r="R131" s="51">
        <v>1627.5</v>
      </c>
      <c r="S131" s="51">
        <v>2039.2</v>
      </c>
      <c r="T131" s="51">
        <v>8876.4</v>
      </c>
      <c r="U131" s="218">
        <f t="shared" si="47"/>
        <v>9138.2999999999993</v>
      </c>
      <c r="V131" s="51">
        <f t="shared" si="48"/>
        <v>7130.4999999999964</v>
      </c>
    </row>
    <row r="132" spans="1:22" s="154" customFormat="1" ht="12" customHeight="1" x14ac:dyDescent="0.2">
      <c r="A132" s="795" t="s">
        <v>978</v>
      </c>
      <c r="B132" s="301" t="s">
        <v>1287</v>
      </c>
      <c r="C132" s="274">
        <v>60557</v>
      </c>
      <c r="D132" s="274">
        <v>78879.399999999994</v>
      </c>
      <c r="E132" s="274">
        <f t="shared" si="43"/>
        <v>-18322.399999999994</v>
      </c>
      <c r="F132" s="274">
        <v>6261.8</v>
      </c>
      <c r="G132" s="274">
        <v>15403.8</v>
      </c>
      <c r="H132" s="274">
        <f t="shared" si="44"/>
        <v>-9142</v>
      </c>
      <c r="I132" s="274">
        <v>138.6</v>
      </c>
      <c r="J132" s="274">
        <v>5740.2</v>
      </c>
      <c r="K132" s="274">
        <f t="shared" si="34"/>
        <v>-5601.5999999999995</v>
      </c>
      <c r="L132" s="274">
        <v>51.4</v>
      </c>
      <c r="M132" s="274">
        <v>30091.4</v>
      </c>
      <c r="N132" s="274">
        <f t="shared" si="45"/>
        <v>30142.800000000003</v>
      </c>
      <c r="O132" s="280">
        <f t="shared" si="46"/>
        <v>-2923.1999999999898</v>
      </c>
      <c r="P132" s="274">
        <v>683.3</v>
      </c>
      <c r="Q132" s="274">
        <v>-3000.1</v>
      </c>
      <c r="R132" s="274">
        <v>-3370.2</v>
      </c>
      <c r="S132" s="274">
        <v>-11573.6</v>
      </c>
      <c r="T132" s="274">
        <v>16759.3</v>
      </c>
      <c r="U132" s="280">
        <f t="shared" si="47"/>
        <v>-1184.6000000000022</v>
      </c>
      <c r="V132" s="274">
        <f t="shared" si="48"/>
        <v>1055.2999999999874</v>
      </c>
    </row>
    <row r="133" spans="1:22" s="154" customFormat="1" ht="12" customHeight="1" x14ac:dyDescent="0.2">
      <c r="A133" s="795" t="s">
        <v>1029</v>
      </c>
      <c r="B133" s="1314" t="s">
        <v>1288</v>
      </c>
      <c r="C133" s="51">
        <v>58763.3</v>
      </c>
      <c r="D133" s="51">
        <v>67955.600000000006</v>
      </c>
      <c r="E133" s="51">
        <f t="shared" ref="E133:E144" si="49">C133-D133</f>
        <v>-9192.3000000000029</v>
      </c>
      <c r="F133" s="51">
        <v>5790</v>
      </c>
      <c r="G133" s="51">
        <v>15003.6</v>
      </c>
      <c r="H133" s="51">
        <f t="shared" ref="H133:H144" si="50">F133-G133</f>
        <v>-9213.6</v>
      </c>
      <c r="I133" s="214">
        <v>189.5</v>
      </c>
      <c r="J133" s="214">
        <v>6243.7</v>
      </c>
      <c r="K133" s="214">
        <f t="shared" ref="K133" si="51">I133-J133</f>
        <v>-6054.2</v>
      </c>
      <c r="L133" s="214">
        <v>158</v>
      </c>
      <c r="M133" s="214">
        <v>31829.8</v>
      </c>
      <c r="N133" s="214">
        <f t="shared" ref="N133:N144" si="52">L133+M133</f>
        <v>31987.8</v>
      </c>
      <c r="O133" s="213">
        <f t="shared" ref="O133:O144" si="53">E133++H133+K133+N133</f>
        <v>7527.6999999999971</v>
      </c>
      <c r="P133" s="214">
        <v>1108.5999999999999</v>
      </c>
      <c r="Q133" s="214">
        <v>-2637.7</v>
      </c>
      <c r="R133" s="214">
        <v>-3010.8</v>
      </c>
      <c r="S133" s="214">
        <v>4057.2</v>
      </c>
      <c r="T133" s="214">
        <v>5014.2</v>
      </c>
      <c r="U133" s="213">
        <f t="shared" si="47"/>
        <v>3422.8999999999996</v>
      </c>
      <c r="V133" s="51">
        <f t="shared" si="48"/>
        <v>-5213.3999999999978</v>
      </c>
    </row>
    <row r="134" spans="1:22" s="154" customFormat="1" ht="12" customHeight="1" x14ac:dyDescent="0.2">
      <c r="A134" s="795" t="s">
        <v>1029</v>
      </c>
      <c r="B134" s="301" t="s">
        <v>1285</v>
      </c>
      <c r="C134" s="274">
        <v>55218</v>
      </c>
      <c r="D134" s="274">
        <v>68562.399999999994</v>
      </c>
      <c r="E134" s="274">
        <f t="shared" si="49"/>
        <v>-13344.399999999994</v>
      </c>
      <c r="F134" s="274">
        <v>6487.3</v>
      </c>
      <c r="G134" s="274">
        <v>17034.3</v>
      </c>
      <c r="H134" s="274">
        <f t="shared" si="50"/>
        <v>-10547</v>
      </c>
      <c r="I134" s="270">
        <v>108.8</v>
      </c>
      <c r="J134" s="270">
        <v>5131.3999999999996</v>
      </c>
      <c r="K134" s="270">
        <f>I134-J134</f>
        <v>-5022.5999999999995</v>
      </c>
      <c r="L134" s="270">
        <v>176.8</v>
      </c>
      <c r="M134" s="270">
        <v>28737</v>
      </c>
      <c r="N134" s="270">
        <f t="shared" si="52"/>
        <v>28913.8</v>
      </c>
      <c r="O134" s="269">
        <f t="shared" si="53"/>
        <v>-0.19999999999345164</v>
      </c>
      <c r="P134" s="270">
        <v>1305.5</v>
      </c>
      <c r="Q134" s="270">
        <v>-3067.2</v>
      </c>
      <c r="R134" s="270">
        <v>1173.0999999999999</v>
      </c>
      <c r="S134" s="270">
        <v>-7116</v>
      </c>
      <c r="T134" s="270">
        <v>5362.8</v>
      </c>
      <c r="U134" s="269">
        <f t="shared" si="47"/>
        <v>-3647.3</v>
      </c>
      <c r="V134" s="274">
        <f t="shared" si="48"/>
        <v>-4952.6000000000067</v>
      </c>
    </row>
    <row r="135" spans="1:22" s="154" customFormat="1" ht="12" customHeight="1" x14ac:dyDescent="0.2">
      <c r="A135" s="795" t="s">
        <v>1029</v>
      </c>
      <c r="B135" s="1314" t="s">
        <v>1286</v>
      </c>
      <c r="C135" s="51">
        <v>61177.1</v>
      </c>
      <c r="D135" s="51">
        <v>69187.7</v>
      </c>
      <c r="E135" s="51">
        <f t="shared" si="49"/>
        <v>-8010.5999999999985</v>
      </c>
      <c r="F135" s="51">
        <v>5508.7</v>
      </c>
      <c r="G135" s="51">
        <v>15305.2</v>
      </c>
      <c r="H135" s="51">
        <f t="shared" si="50"/>
        <v>-9796.5</v>
      </c>
      <c r="I135" s="214">
        <v>156</v>
      </c>
      <c r="J135" s="214">
        <v>5663.1</v>
      </c>
      <c r="K135" s="214">
        <f t="shared" ref="K135:K144" si="54">I135-J135</f>
        <v>-5507.1</v>
      </c>
      <c r="L135" s="214">
        <v>81.400000000000006</v>
      </c>
      <c r="M135" s="214">
        <v>30021.5</v>
      </c>
      <c r="N135" s="214">
        <f t="shared" si="52"/>
        <v>30102.9</v>
      </c>
      <c r="O135" s="213">
        <f t="shared" si="53"/>
        <v>6788.7000000000044</v>
      </c>
      <c r="P135" s="214">
        <v>542.79999999999995</v>
      </c>
      <c r="Q135" s="214">
        <v>-4719.2</v>
      </c>
      <c r="R135" s="214">
        <v>-932.7</v>
      </c>
      <c r="S135" s="214">
        <v>9475.2000000000007</v>
      </c>
      <c r="T135" s="214">
        <v>8244.6</v>
      </c>
      <c r="U135" s="213">
        <f t="shared" si="47"/>
        <v>12067.900000000001</v>
      </c>
      <c r="V135" s="51">
        <f t="shared" si="48"/>
        <v>4736.3999999999969</v>
      </c>
    </row>
    <row r="136" spans="1:22" s="154" customFormat="1" ht="12" customHeight="1" x14ac:dyDescent="0.2">
      <c r="A136" s="795" t="s">
        <v>1029</v>
      </c>
      <c r="B136" s="301" t="s">
        <v>1287</v>
      </c>
      <c r="C136" s="274">
        <v>63325.3</v>
      </c>
      <c r="D136" s="274">
        <v>78949</v>
      </c>
      <c r="E136" s="274">
        <f t="shared" si="49"/>
        <v>-15623.699999999997</v>
      </c>
      <c r="F136" s="274">
        <v>6170.9</v>
      </c>
      <c r="G136" s="274">
        <v>17213.5</v>
      </c>
      <c r="H136" s="274">
        <f t="shared" si="50"/>
        <v>-11042.6</v>
      </c>
      <c r="I136" s="270">
        <v>128.30000000000001</v>
      </c>
      <c r="J136" s="270">
        <v>5731.6</v>
      </c>
      <c r="K136" s="270">
        <f t="shared" si="54"/>
        <v>-5603.3</v>
      </c>
      <c r="L136" s="270">
        <v>178.4</v>
      </c>
      <c r="M136" s="270">
        <v>32300.5</v>
      </c>
      <c r="N136" s="270">
        <f t="shared" si="52"/>
        <v>32478.9</v>
      </c>
      <c r="O136" s="269">
        <f t="shared" si="53"/>
        <v>209.30000000000655</v>
      </c>
      <c r="P136" s="270">
        <v>1068</v>
      </c>
      <c r="Q136" s="270">
        <v>-3792.9</v>
      </c>
      <c r="R136" s="270">
        <v>-1387.1</v>
      </c>
      <c r="S136" s="270">
        <v>-9996.4</v>
      </c>
      <c r="T136" s="270">
        <v>14419.4</v>
      </c>
      <c r="U136" s="269">
        <f t="shared" si="47"/>
        <v>-757</v>
      </c>
      <c r="V136" s="274">
        <f t="shared" si="48"/>
        <v>-2034.3000000000065</v>
      </c>
    </row>
    <row r="137" spans="1:22" s="154" customFormat="1" ht="12" customHeight="1" x14ac:dyDescent="0.2">
      <c r="A137" s="795" t="s">
        <v>1150</v>
      </c>
      <c r="B137" s="1314" t="s">
        <v>1288</v>
      </c>
      <c r="C137" s="274">
        <v>59442.1</v>
      </c>
      <c r="D137" s="274">
        <v>66334.2</v>
      </c>
      <c r="E137" s="274">
        <f t="shared" si="49"/>
        <v>-6892.0999999999985</v>
      </c>
      <c r="F137" s="274">
        <v>6720.8</v>
      </c>
      <c r="G137" s="274">
        <v>13331.9</v>
      </c>
      <c r="H137" s="274">
        <f t="shared" si="50"/>
        <v>-6611.0999999999995</v>
      </c>
      <c r="I137" s="270">
        <v>438.1</v>
      </c>
      <c r="J137" s="270">
        <v>5119.5</v>
      </c>
      <c r="K137" s="270">
        <f t="shared" si="54"/>
        <v>-4681.3999999999996</v>
      </c>
      <c r="L137" s="270">
        <v>106.1</v>
      </c>
      <c r="M137" s="270">
        <v>31252.799999999999</v>
      </c>
      <c r="N137" s="270">
        <f t="shared" si="52"/>
        <v>31358.899999999998</v>
      </c>
      <c r="O137" s="269">
        <f t="shared" si="53"/>
        <v>13174.3</v>
      </c>
      <c r="P137" s="270">
        <v>741</v>
      </c>
      <c r="Q137" s="270">
        <v>-4603.5</v>
      </c>
      <c r="R137" s="270">
        <v>-68.599999999999994</v>
      </c>
      <c r="S137" s="270">
        <v>3482.7</v>
      </c>
      <c r="T137" s="270">
        <v>11547</v>
      </c>
      <c r="U137" s="269">
        <f t="shared" si="47"/>
        <v>10357.599999999999</v>
      </c>
      <c r="V137" s="274">
        <f t="shared" si="48"/>
        <v>-3557.7000000000007</v>
      </c>
    </row>
    <row r="138" spans="1:22" s="154" customFormat="1" ht="12" customHeight="1" x14ac:dyDescent="0.2">
      <c r="A138" s="795" t="s">
        <v>1150</v>
      </c>
      <c r="B138" s="301" t="s">
        <v>1285</v>
      </c>
      <c r="C138" s="51">
        <v>63437</v>
      </c>
      <c r="D138" s="51">
        <v>80652.399999999994</v>
      </c>
      <c r="E138" s="51">
        <f>C138-D138</f>
        <v>-17215.399999999994</v>
      </c>
      <c r="F138" s="51">
        <v>6804.7</v>
      </c>
      <c r="G138" s="51">
        <v>14314.6</v>
      </c>
      <c r="H138" s="51">
        <f t="shared" si="50"/>
        <v>-7509.9000000000005</v>
      </c>
      <c r="I138" s="214">
        <v>359.3</v>
      </c>
      <c r="J138" s="214">
        <v>4697.5</v>
      </c>
      <c r="K138" s="214">
        <f t="shared" si="54"/>
        <v>-4338.2</v>
      </c>
      <c r="L138" s="214">
        <v>130.9</v>
      </c>
      <c r="M138" s="214">
        <v>28831.1</v>
      </c>
      <c r="N138" s="214">
        <f t="shared" si="52"/>
        <v>28962</v>
      </c>
      <c r="O138" s="213">
        <f t="shared" si="53"/>
        <v>-101.49999999999636</v>
      </c>
      <c r="P138" s="214">
        <v>1096.5999999999999</v>
      </c>
      <c r="Q138" s="214">
        <v>-4138.8</v>
      </c>
      <c r="R138" s="214">
        <v>811.5</v>
      </c>
      <c r="S138" s="214">
        <v>-5942.4</v>
      </c>
      <c r="T138" s="214">
        <v>9622.5</v>
      </c>
      <c r="U138" s="213">
        <f t="shared" si="47"/>
        <v>352.79999999999927</v>
      </c>
      <c r="V138" s="51">
        <f t="shared" si="48"/>
        <v>-642.30000000000427</v>
      </c>
    </row>
    <row r="139" spans="1:22" s="154" customFormat="1" ht="12" customHeight="1" x14ac:dyDescent="0.2">
      <c r="A139" s="795" t="s">
        <v>1150</v>
      </c>
      <c r="B139" s="1314" t="s">
        <v>1286</v>
      </c>
      <c r="C139" s="274">
        <v>67692.899999999994</v>
      </c>
      <c r="D139" s="274">
        <v>74910.100000000006</v>
      </c>
      <c r="E139" s="274">
        <f t="shared" si="49"/>
        <v>-7217.2000000000116</v>
      </c>
      <c r="F139" s="274">
        <v>6535.6</v>
      </c>
      <c r="G139" s="274">
        <v>14012.2</v>
      </c>
      <c r="H139" s="274">
        <f t="shared" si="50"/>
        <v>-7476.6</v>
      </c>
      <c r="I139" s="270">
        <v>222.1</v>
      </c>
      <c r="J139" s="270">
        <v>4594.3999999999996</v>
      </c>
      <c r="K139" s="270">
        <f t="shared" si="54"/>
        <v>-4372.2999999999993</v>
      </c>
      <c r="L139" s="270">
        <v>181.5</v>
      </c>
      <c r="M139" s="270">
        <v>28449</v>
      </c>
      <c r="N139" s="270">
        <f t="shared" si="52"/>
        <v>28630.5</v>
      </c>
      <c r="O139" s="269">
        <f t="shared" si="53"/>
        <v>9564.3999999999869</v>
      </c>
      <c r="P139" s="270">
        <v>1102.7</v>
      </c>
      <c r="Q139" s="270">
        <v>-3207.5</v>
      </c>
      <c r="R139" s="270">
        <v>-191.7</v>
      </c>
      <c r="S139" s="270">
        <v>3484</v>
      </c>
      <c r="T139" s="270">
        <v>6149.2</v>
      </c>
      <c r="U139" s="269">
        <f t="shared" si="47"/>
        <v>6234</v>
      </c>
      <c r="V139" s="274">
        <f t="shared" si="48"/>
        <v>-4433.0999999999876</v>
      </c>
    </row>
    <row r="140" spans="1:22" s="154" customFormat="1" ht="12" customHeight="1" x14ac:dyDescent="0.2">
      <c r="A140" s="795" t="s">
        <v>1150</v>
      </c>
      <c r="B140" s="301" t="s">
        <v>1287</v>
      </c>
      <c r="C140" s="51">
        <v>71250.600000000006</v>
      </c>
      <c r="D140" s="51">
        <v>82055.199999999997</v>
      </c>
      <c r="E140" s="51">
        <f t="shared" si="49"/>
        <v>-10804.599999999991</v>
      </c>
      <c r="F140" s="51">
        <v>7095.6</v>
      </c>
      <c r="G140" s="51">
        <v>15851</v>
      </c>
      <c r="H140" s="51">
        <f t="shared" si="50"/>
        <v>-8755.4</v>
      </c>
      <c r="I140" s="214">
        <v>180.6</v>
      </c>
      <c r="J140" s="214">
        <v>6390.6</v>
      </c>
      <c r="K140" s="214">
        <f t="shared" si="54"/>
        <v>-6210</v>
      </c>
      <c r="L140" s="214">
        <v>113.6</v>
      </c>
      <c r="M140" s="214">
        <v>31039.599999999999</v>
      </c>
      <c r="N140" s="214">
        <f t="shared" si="52"/>
        <v>31153.199999999997</v>
      </c>
      <c r="O140" s="213">
        <f t="shared" si="53"/>
        <v>5383.2000000000044</v>
      </c>
      <c r="P140" s="214">
        <v>808.1</v>
      </c>
      <c r="Q140" s="214">
        <v>-3546.2</v>
      </c>
      <c r="R140" s="214">
        <v>3426.1</v>
      </c>
      <c r="S140" s="214">
        <v>-14274.8</v>
      </c>
      <c r="T140" s="214">
        <v>15643.6</v>
      </c>
      <c r="U140" s="213">
        <f t="shared" si="47"/>
        <v>1248.7000000000007</v>
      </c>
      <c r="V140" s="51">
        <f t="shared" si="48"/>
        <v>-4942.600000000004</v>
      </c>
    </row>
    <row r="141" spans="1:22" s="154" customFormat="1" ht="12" customHeight="1" x14ac:dyDescent="0.2">
      <c r="A141" s="795" t="s">
        <v>1174</v>
      </c>
      <c r="B141" s="1314" t="s">
        <v>1288</v>
      </c>
      <c r="C141" s="51">
        <v>62005.9</v>
      </c>
      <c r="D141" s="51">
        <v>72490.8</v>
      </c>
      <c r="E141" s="51">
        <f t="shared" si="49"/>
        <v>-10484.900000000001</v>
      </c>
      <c r="F141" s="51">
        <v>6787.5</v>
      </c>
      <c r="G141" s="51">
        <v>14905.5</v>
      </c>
      <c r="H141" s="51">
        <f t="shared" si="50"/>
        <v>-8118</v>
      </c>
      <c r="I141" s="214">
        <v>165.1</v>
      </c>
      <c r="J141" s="214">
        <v>5789.6</v>
      </c>
      <c r="K141" s="214">
        <f t="shared" si="54"/>
        <v>-5624.5</v>
      </c>
      <c r="L141" s="214">
        <v>103.4</v>
      </c>
      <c r="M141" s="214">
        <v>26671.1</v>
      </c>
      <c r="N141" s="214">
        <f t="shared" si="52"/>
        <v>26774.5</v>
      </c>
      <c r="O141" s="213">
        <f t="shared" si="53"/>
        <v>2547.0999999999985</v>
      </c>
      <c r="P141" s="214">
        <v>493.5</v>
      </c>
      <c r="Q141" s="214">
        <v>-4754.7</v>
      </c>
      <c r="R141" s="214">
        <v>-422.9</v>
      </c>
      <c r="S141" s="214">
        <v>1061.7</v>
      </c>
      <c r="T141" s="214">
        <v>7745.3</v>
      </c>
      <c r="U141" s="213">
        <f t="shared" si="47"/>
        <v>3629.4000000000005</v>
      </c>
      <c r="V141" s="51">
        <f t="shared" si="48"/>
        <v>588.800000000002</v>
      </c>
    </row>
    <row r="142" spans="1:22" s="154" customFormat="1" ht="12" customHeight="1" x14ac:dyDescent="0.2">
      <c r="A142" s="795" t="s">
        <v>1174</v>
      </c>
      <c r="B142" s="301" t="s">
        <v>1285</v>
      </c>
      <c r="C142" s="274">
        <v>66800.100000000006</v>
      </c>
      <c r="D142" s="274">
        <v>87302</v>
      </c>
      <c r="E142" s="274">
        <f t="shared" si="49"/>
        <v>-20501.899999999994</v>
      </c>
      <c r="F142" s="274">
        <v>7364.4</v>
      </c>
      <c r="G142" s="274">
        <v>16453.2</v>
      </c>
      <c r="H142" s="274">
        <f t="shared" si="50"/>
        <v>-9088.8000000000011</v>
      </c>
      <c r="I142" s="270">
        <v>170.8</v>
      </c>
      <c r="J142" s="270">
        <v>5041.6000000000004</v>
      </c>
      <c r="K142" s="270">
        <f t="shared" si="54"/>
        <v>-4870.8</v>
      </c>
      <c r="L142" s="270">
        <v>112.6</v>
      </c>
      <c r="M142" s="270">
        <v>24143.200000000001</v>
      </c>
      <c r="N142" s="270">
        <f t="shared" si="52"/>
        <v>24255.8</v>
      </c>
      <c r="O142" s="269">
        <f t="shared" si="53"/>
        <v>-10205.700000000001</v>
      </c>
      <c r="P142" s="270">
        <v>949.8</v>
      </c>
      <c r="Q142" s="270">
        <v>-6481.3</v>
      </c>
      <c r="R142" s="270">
        <v>-3148.9</v>
      </c>
      <c r="S142" s="270">
        <v>-10725.6</v>
      </c>
      <c r="T142" s="270">
        <v>10290</v>
      </c>
      <c r="U142" s="269">
        <f t="shared" si="47"/>
        <v>-10065.800000000003</v>
      </c>
      <c r="V142" s="274">
        <f t="shared" si="48"/>
        <v>-809.90000000000146</v>
      </c>
    </row>
    <row r="143" spans="1:22" s="154" customFormat="1" ht="12" customHeight="1" x14ac:dyDescent="0.2">
      <c r="A143" s="795" t="s">
        <v>1174</v>
      </c>
      <c r="B143" s="1314" t="s">
        <v>1286</v>
      </c>
      <c r="C143" s="51">
        <v>70661.899999999994</v>
      </c>
      <c r="D143" s="51">
        <v>88241.600000000006</v>
      </c>
      <c r="E143" s="51">
        <f t="shared" si="49"/>
        <v>-17579.700000000012</v>
      </c>
      <c r="F143" s="51">
        <v>7320.8</v>
      </c>
      <c r="G143" s="51">
        <v>16659.400000000001</v>
      </c>
      <c r="H143" s="51">
        <f t="shared" si="50"/>
        <v>-9338.6000000000022</v>
      </c>
      <c r="I143" s="214">
        <v>204.4</v>
      </c>
      <c r="J143" s="214">
        <v>5107.5</v>
      </c>
      <c r="K143" s="214">
        <f t="shared" si="54"/>
        <v>-4903.1000000000004</v>
      </c>
      <c r="L143" s="214">
        <v>83.2</v>
      </c>
      <c r="M143" s="214">
        <v>24602.400000000001</v>
      </c>
      <c r="N143" s="214">
        <f t="shared" si="52"/>
        <v>24685.600000000002</v>
      </c>
      <c r="O143" s="213">
        <f t="shared" si="53"/>
        <v>-7135.8000000000138</v>
      </c>
      <c r="P143" s="214">
        <v>450.3</v>
      </c>
      <c r="Q143" s="214">
        <v>-3739.3</v>
      </c>
      <c r="R143" s="214">
        <v>745.3</v>
      </c>
      <c r="S143" s="214">
        <v>-4348.7</v>
      </c>
      <c r="T143" s="214">
        <v>-517.5</v>
      </c>
      <c r="U143" s="213">
        <f t="shared" si="47"/>
        <v>-7860.2</v>
      </c>
      <c r="V143" s="51">
        <f t="shared" si="48"/>
        <v>-1174.6999999999862</v>
      </c>
    </row>
    <row r="144" spans="1:22" s="154" customFormat="1" ht="12" customHeight="1" x14ac:dyDescent="0.2">
      <c r="A144" s="795" t="s">
        <v>1174</v>
      </c>
      <c r="B144" s="301" t="s">
        <v>1287</v>
      </c>
      <c r="C144" s="274">
        <v>69783.8</v>
      </c>
      <c r="D144" s="274">
        <v>86895.6</v>
      </c>
      <c r="E144" s="274">
        <f t="shared" si="49"/>
        <v>-17111.800000000003</v>
      </c>
      <c r="F144" s="274">
        <v>7245.9</v>
      </c>
      <c r="G144" s="274">
        <v>16367.5</v>
      </c>
      <c r="H144" s="274">
        <f t="shared" si="50"/>
        <v>-9121.6</v>
      </c>
      <c r="I144" s="270">
        <v>272.10000000000002</v>
      </c>
      <c r="J144" s="270">
        <v>5723.5</v>
      </c>
      <c r="K144" s="270">
        <f t="shared" si="54"/>
        <v>-5451.4</v>
      </c>
      <c r="L144" s="270">
        <v>44.6</v>
      </c>
      <c r="M144" s="270">
        <v>29755.5</v>
      </c>
      <c r="N144" s="270">
        <f t="shared" si="52"/>
        <v>29800.1</v>
      </c>
      <c r="O144" s="269">
        <f t="shared" si="53"/>
        <v>-1884.7000000000044</v>
      </c>
      <c r="P144" s="270">
        <v>592.79999999999995</v>
      </c>
      <c r="Q144" s="270">
        <v>-3887.8</v>
      </c>
      <c r="R144" s="270">
        <v>1537.8</v>
      </c>
      <c r="S144" s="270">
        <v>-13279.4</v>
      </c>
      <c r="T144" s="270">
        <v>8876.6</v>
      </c>
      <c r="U144" s="269">
        <f t="shared" si="47"/>
        <v>-6752.7999999999993</v>
      </c>
      <c r="V144" s="274">
        <f t="shared" si="48"/>
        <v>-5460.8999999999951</v>
      </c>
    </row>
    <row r="145" spans="1:22" s="154" customFormat="1" ht="12" customHeight="1" x14ac:dyDescent="0.2">
      <c r="A145" s="795" t="s">
        <v>1296</v>
      </c>
      <c r="B145" s="1314" t="s">
        <v>1288</v>
      </c>
      <c r="C145" s="270">
        <v>68969.8</v>
      </c>
      <c r="D145" s="270">
        <v>98425.8</v>
      </c>
      <c r="E145" s="270">
        <f t="shared" ref="E145:E156" si="55">C145-D145</f>
        <v>-29456</v>
      </c>
      <c r="F145" s="270">
        <v>7797.9</v>
      </c>
      <c r="G145" s="270">
        <v>16636.8</v>
      </c>
      <c r="H145" s="270">
        <f t="shared" ref="H145:H156" si="56">F145-G145</f>
        <v>-8838.9</v>
      </c>
      <c r="I145" s="270">
        <v>224.6</v>
      </c>
      <c r="J145" s="270">
        <v>4263.6000000000004</v>
      </c>
      <c r="K145" s="270">
        <f t="shared" ref="K145:K156" si="57">I145-J145</f>
        <v>-4039.0000000000005</v>
      </c>
      <c r="L145" s="270">
        <v>97.2</v>
      </c>
      <c r="M145" s="270">
        <v>27772.400000000001</v>
      </c>
      <c r="N145" s="270">
        <f t="shared" ref="N145:N156" si="58">L145+M145</f>
        <v>27869.600000000002</v>
      </c>
      <c r="O145" s="269">
        <f t="shared" ref="O145:O156" si="59">E145+H145+K145+N145</f>
        <v>-14464.3</v>
      </c>
      <c r="P145" s="270">
        <v>519.29999999999995</v>
      </c>
      <c r="Q145" s="270">
        <v>-1710.9</v>
      </c>
      <c r="R145" s="270">
        <v>573.1</v>
      </c>
      <c r="S145" s="270">
        <v>-8333.2999999999993</v>
      </c>
      <c r="T145" s="270">
        <v>-6625</v>
      </c>
      <c r="U145" s="269">
        <f t="shared" ref="U145:U156" si="60">Q145+R145+S145+T145</f>
        <v>-16096.099999999999</v>
      </c>
      <c r="V145" s="270">
        <f t="shared" si="48"/>
        <v>-2151.0999999999985</v>
      </c>
    </row>
    <row r="146" spans="1:22" s="154" customFormat="1" ht="12" customHeight="1" x14ac:dyDescent="0.2">
      <c r="A146" s="795" t="s">
        <v>1296</v>
      </c>
      <c r="B146" s="301" t="s">
        <v>1285</v>
      </c>
      <c r="C146" s="214">
        <v>74553.600000000006</v>
      </c>
      <c r="D146" s="214">
        <v>115042.6</v>
      </c>
      <c r="E146" s="214">
        <f t="shared" si="55"/>
        <v>-40489</v>
      </c>
      <c r="F146" s="214">
        <v>8780.4</v>
      </c>
      <c r="G146" s="214">
        <v>18716.099999999999</v>
      </c>
      <c r="H146" s="214">
        <f t="shared" si="56"/>
        <v>-9935.6999999999989</v>
      </c>
      <c r="I146" s="214">
        <v>191.4</v>
      </c>
      <c r="J146" s="214">
        <v>5033.5</v>
      </c>
      <c r="K146" s="214">
        <f t="shared" si="57"/>
        <v>-4842.1000000000004</v>
      </c>
      <c r="L146" s="214">
        <v>219.1</v>
      </c>
      <c r="M146" s="214">
        <v>30119.4</v>
      </c>
      <c r="N146" s="214">
        <f t="shared" si="58"/>
        <v>30338.5</v>
      </c>
      <c r="O146" s="213">
        <f t="shared" si="59"/>
        <v>-24928.299999999996</v>
      </c>
      <c r="P146" s="214">
        <v>798.6</v>
      </c>
      <c r="Q146" s="214">
        <v>-4203.1000000000004</v>
      </c>
      <c r="R146" s="214">
        <v>-1450.2</v>
      </c>
      <c r="S146" s="214">
        <v>-16810.8</v>
      </c>
      <c r="T146" s="214">
        <v>3232.9</v>
      </c>
      <c r="U146" s="213">
        <f t="shared" si="60"/>
        <v>-19231.199999999997</v>
      </c>
      <c r="V146" s="214">
        <f t="shared" si="48"/>
        <v>4898.5</v>
      </c>
    </row>
    <row r="147" spans="1:22" s="154" customFormat="1" ht="12" customHeight="1" x14ac:dyDescent="0.2">
      <c r="A147" s="795" t="s">
        <v>1296</v>
      </c>
      <c r="B147" s="1314" t="s">
        <v>1286</v>
      </c>
      <c r="C147" s="270">
        <v>78019.399999999994</v>
      </c>
      <c r="D147" s="270">
        <v>115941.7</v>
      </c>
      <c r="E147" s="270">
        <f t="shared" si="55"/>
        <v>-37922.300000000003</v>
      </c>
      <c r="F147" s="270">
        <v>9475.9</v>
      </c>
      <c r="G147" s="270">
        <v>18471.3</v>
      </c>
      <c r="H147" s="270">
        <f t="shared" si="56"/>
        <v>-8995.4</v>
      </c>
      <c r="I147" s="270">
        <v>251.7</v>
      </c>
      <c r="J147" s="270">
        <v>4551.7</v>
      </c>
      <c r="K147" s="270">
        <f t="shared" si="57"/>
        <v>-4300</v>
      </c>
      <c r="L147" s="270">
        <v>41.7</v>
      </c>
      <c r="M147" s="270">
        <v>32444.2</v>
      </c>
      <c r="N147" s="270">
        <f t="shared" si="58"/>
        <v>32485.9</v>
      </c>
      <c r="O147" s="269">
        <f t="shared" si="59"/>
        <v>-18731.800000000003</v>
      </c>
      <c r="P147" s="270">
        <v>554.6</v>
      </c>
      <c r="Q147" s="270">
        <v>-3082.8</v>
      </c>
      <c r="R147" s="270">
        <v>451</v>
      </c>
      <c r="S147" s="270">
        <v>-8851.2999999999993</v>
      </c>
      <c r="T147" s="270">
        <v>-8321.9</v>
      </c>
      <c r="U147" s="269">
        <f t="shared" si="60"/>
        <v>-19805</v>
      </c>
      <c r="V147" s="270">
        <f t="shared" si="48"/>
        <v>-1627.7999999999956</v>
      </c>
    </row>
    <row r="148" spans="1:22" s="154" customFormat="1" ht="12" customHeight="1" x14ac:dyDescent="0.2">
      <c r="A148" s="795" t="s">
        <v>1296</v>
      </c>
      <c r="B148" s="301" t="s">
        <v>1287</v>
      </c>
      <c r="C148" s="214">
        <v>75913.399999999994</v>
      </c>
      <c r="D148" s="214">
        <v>118012.3</v>
      </c>
      <c r="E148" s="214">
        <f t="shared" si="55"/>
        <v>-42098.900000000009</v>
      </c>
      <c r="F148" s="214">
        <v>11008.7</v>
      </c>
      <c r="G148" s="214">
        <v>22376.1</v>
      </c>
      <c r="H148" s="214">
        <f t="shared" si="56"/>
        <v>-11367.399999999998</v>
      </c>
      <c r="I148" s="214">
        <v>367.4</v>
      </c>
      <c r="J148" s="214">
        <v>4799</v>
      </c>
      <c r="K148" s="214">
        <f t="shared" si="57"/>
        <v>-4431.6000000000004</v>
      </c>
      <c r="L148" s="214">
        <v>39.6</v>
      </c>
      <c r="M148" s="214">
        <v>36634.9</v>
      </c>
      <c r="N148" s="214">
        <f t="shared" si="58"/>
        <v>36674.5</v>
      </c>
      <c r="O148" s="214">
        <f t="shared" si="59"/>
        <v>-21223.4</v>
      </c>
      <c r="P148" s="214">
        <v>526.20000000000005</v>
      </c>
      <c r="Q148" s="214">
        <v>-5877.3</v>
      </c>
      <c r="R148" s="214">
        <v>1090.5</v>
      </c>
      <c r="S148" s="214">
        <v>-25737</v>
      </c>
      <c r="T148" s="214">
        <v>5311.7</v>
      </c>
      <c r="U148" s="213">
        <f t="shared" si="60"/>
        <v>-25212.1</v>
      </c>
      <c r="V148" s="214">
        <f t="shared" si="48"/>
        <v>-4514.8999999999978</v>
      </c>
    </row>
    <row r="149" spans="1:22" s="154" customFormat="1" ht="12" customHeight="1" x14ac:dyDescent="0.2">
      <c r="A149" s="795" t="s">
        <v>1404</v>
      </c>
      <c r="B149" s="1314" t="s">
        <v>1288</v>
      </c>
      <c r="C149" s="214">
        <v>81626.899999999994</v>
      </c>
      <c r="D149" s="214">
        <v>113892.6</v>
      </c>
      <c r="E149" s="214">
        <f t="shared" si="55"/>
        <v>-32265.700000000012</v>
      </c>
      <c r="F149" s="214">
        <v>12108.4</v>
      </c>
      <c r="G149" s="214">
        <v>18476.599999999999</v>
      </c>
      <c r="H149" s="214">
        <f t="shared" si="56"/>
        <v>-6368.1999999999989</v>
      </c>
      <c r="I149" s="214">
        <v>308.89999999999998</v>
      </c>
      <c r="J149" s="214">
        <v>4783.1000000000004</v>
      </c>
      <c r="K149" s="214">
        <f t="shared" si="57"/>
        <v>-4474.2000000000007</v>
      </c>
      <c r="L149" s="214">
        <v>75.7</v>
      </c>
      <c r="M149" s="214">
        <v>33108.800000000003</v>
      </c>
      <c r="N149" s="214">
        <f t="shared" si="58"/>
        <v>33184.5</v>
      </c>
      <c r="O149" s="214">
        <f t="shared" si="59"/>
        <v>-9923.6000000000058</v>
      </c>
      <c r="P149" s="214">
        <v>370.5</v>
      </c>
      <c r="Q149" s="214">
        <v>-5019.8</v>
      </c>
      <c r="R149" s="214">
        <v>1079.5999999999999</v>
      </c>
      <c r="S149" s="214">
        <v>7321.5</v>
      </c>
      <c r="T149" s="214">
        <v>-7263.3</v>
      </c>
      <c r="U149" s="214">
        <f t="shared" si="60"/>
        <v>-3882.0000000000005</v>
      </c>
      <c r="V149" s="214">
        <f t="shared" si="48"/>
        <v>5671.1000000000058</v>
      </c>
    </row>
    <row r="150" spans="1:22" s="154" customFormat="1" ht="12" customHeight="1" x14ac:dyDescent="0.2">
      <c r="A150" s="795" t="s">
        <v>1404</v>
      </c>
      <c r="B150" s="301" t="s">
        <v>1285</v>
      </c>
      <c r="C150" s="270">
        <v>87356.3</v>
      </c>
      <c r="D150" s="270">
        <v>119277.2</v>
      </c>
      <c r="E150" s="270">
        <f t="shared" si="55"/>
        <v>-31920.899999999994</v>
      </c>
      <c r="F150" s="270">
        <v>12886</v>
      </c>
      <c r="G150" s="270">
        <v>20968.599999999999</v>
      </c>
      <c r="H150" s="270">
        <f t="shared" si="56"/>
        <v>-8082.5999999999985</v>
      </c>
      <c r="I150" s="270">
        <v>2338.6999999999998</v>
      </c>
      <c r="J150" s="270">
        <v>3597.2</v>
      </c>
      <c r="K150" s="270">
        <f t="shared" si="57"/>
        <v>-1258.5</v>
      </c>
      <c r="L150" s="270">
        <v>56.8</v>
      </c>
      <c r="M150" s="270">
        <v>31942.799999999999</v>
      </c>
      <c r="N150" s="270">
        <f t="shared" si="58"/>
        <v>31999.599999999999</v>
      </c>
      <c r="O150" s="270">
        <f t="shared" si="59"/>
        <v>-9262.3999999999942</v>
      </c>
      <c r="P150" s="270">
        <v>753.9</v>
      </c>
      <c r="Q150" s="270">
        <v>-6088.9</v>
      </c>
      <c r="R150" s="270">
        <v>-2822.8</v>
      </c>
      <c r="S150" s="270">
        <v>-6719.7</v>
      </c>
      <c r="T150" s="270">
        <v>1157.3</v>
      </c>
      <c r="U150" s="270">
        <f t="shared" si="60"/>
        <v>-14474.100000000002</v>
      </c>
      <c r="V150" s="270">
        <f t="shared" si="48"/>
        <v>-5965.6000000000076</v>
      </c>
    </row>
    <row r="151" spans="1:22" s="154" customFormat="1" ht="12" customHeight="1" x14ac:dyDescent="0.2">
      <c r="A151" s="795" t="s">
        <v>1404</v>
      </c>
      <c r="B151" s="1314" t="s">
        <v>1286</v>
      </c>
      <c r="C151" s="214">
        <v>86382</v>
      </c>
      <c r="D151" s="214">
        <v>122256.9</v>
      </c>
      <c r="E151" s="214">
        <f t="shared" si="55"/>
        <v>-35874.899999999994</v>
      </c>
      <c r="F151" s="214">
        <v>12386.2</v>
      </c>
      <c r="G151" s="214">
        <v>19794.2</v>
      </c>
      <c r="H151" s="214">
        <f t="shared" si="56"/>
        <v>-7408</v>
      </c>
      <c r="I151" s="214">
        <v>400</v>
      </c>
      <c r="J151" s="214">
        <v>6293.6</v>
      </c>
      <c r="K151" s="214">
        <f t="shared" si="57"/>
        <v>-5893.6</v>
      </c>
      <c r="L151" s="214">
        <v>37.299999999999997</v>
      </c>
      <c r="M151" s="214">
        <v>37661.9</v>
      </c>
      <c r="N151" s="214">
        <f t="shared" si="58"/>
        <v>37699.200000000004</v>
      </c>
      <c r="O151" s="214">
        <f t="shared" si="59"/>
        <v>-11477.299999999988</v>
      </c>
      <c r="P151" s="214">
        <v>496.1</v>
      </c>
      <c r="Q151" s="214">
        <v>-7370</v>
      </c>
      <c r="R151" s="214">
        <v>2136.3000000000002</v>
      </c>
      <c r="S151" s="214">
        <v>-7373.4</v>
      </c>
      <c r="T151" s="214">
        <v>-4293.2</v>
      </c>
      <c r="U151" s="214">
        <f t="shared" si="60"/>
        <v>-16900.3</v>
      </c>
      <c r="V151" s="214">
        <f t="shared" si="48"/>
        <v>-5919.1000000000113</v>
      </c>
    </row>
    <row r="152" spans="1:22" s="154" customFormat="1" ht="12" customHeight="1" x14ac:dyDescent="0.2">
      <c r="A152" s="795" t="s">
        <v>1404</v>
      </c>
      <c r="B152" s="301" t="s">
        <v>1287</v>
      </c>
      <c r="C152" s="270">
        <v>80268.100000000006</v>
      </c>
      <c r="D152" s="270">
        <v>110366.6</v>
      </c>
      <c r="E152" s="270">
        <f t="shared" si="55"/>
        <v>-30098.5</v>
      </c>
      <c r="F152" s="270">
        <v>13468.5</v>
      </c>
      <c r="G152" s="270">
        <v>20488.599999999999</v>
      </c>
      <c r="H152" s="270">
        <f t="shared" si="56"/>
        <v>-7020.0999999999985</v>
      </c>
      <c r="I152" s="270">
        <v>475.2</v>
      </c>
      <c r="J152" s="270">
        <v>5959.9</v>
      </c>
      <c r="K152" s="270">
        <f t="shared" si="57"/>
        <v>-5484.7</v>
      </c>
      <c r="L152" s="270">
        <v>25.2</v>
      </c>
      <c r="M152" s="270">
        <v>39752.300000000003</v>
      </c>
      <c r="N152" s="270">
        <f t="shared" si="58"/>
        <v>39777.5</v>
      </c>
      <c r="O152" s="270">
        <f t="shared" si="59"/>
        <v>-2825.7999999999956</v>
      </c>
      <c r="P152" s="270">
        <v>335</v>
      </c>
      <c r="Q152" s="270">
        <v>-3593.6</v>
      </c>
      <c r="R152" s="270">
        <v>1216.0999999999999</v>
      </c>
      <c r="S152" s="270">
        <v>-13523.1</v>
      </c>
      <c r="T152" s="270">
        <v>9567.7000000000007</v>
      </c>
      <c r="U152" s="270">
        <f t="shared" si="60"/>
        <v>-6332.9</v>
      </c>
      <c r="V152" s="270">
        <f t="shared" si="48"/>
        <v>-3842.100000000004</v>
      </c>
    </row>
    <row r="153" spans="1:22" s="154" customFormat="1" ht="12" customHeight="1" x14ac:dyDescent="0.2">
      <c r="A153" s="795" t="s">
        <v>1484</v>
      </c>
      <c r="B153" s="1314" t="s">
        <v>1288</v>
      </c>
      <c r="C153" s="270">
        <v>80122.8</v>
      </c>
      <c r="D153" s="270">
        <v>112017.5</v>
      </c>
      <c r="E153" s="270">
        <f t="shared" si="55"/>
        <v>-31894.699999999997</v>
      </c>
      <c r="F153" s="270">
        <v>12475.8</v>
      </c>
      <c r="G153" s="270">
        <v>19747.7</v>
      </c>
      <c r="H153" s="270">
        <f t="shared" si="56"/>
        <v>-7271.9000000000015</v>
      </c>
      <c r="I153" s="270">
        <v>325.10000000000002</v>
      </c>
      <c r="J153" s="270">
        <v>5008.1000000000004</v>
      </c>
      <c r="K153" s="270">
        <f t="shared" si="57"/>
        <v>-4683</v>
      </c>
      <c r="L153" s="270">
        <v>18.100000000000001</v>
      </c>
      <c r="M153" s="270">
        <v>38971</v>
      </c>
      <c r="N153" s="270">
        <f t="shared" si="58"/>
        <v>38989.1</v>
      </c>
      <c r="O153" s="270">
        <f t="shared" si="59"/>
        <v>-4860.5</v>
      </c>
      <c r="P153" s="270">
        <v>240.2</v>
      </c>
      <c r="Q153" s="270">
        <v>-1436.7</v>
      </c>
      <c r="R153" s="270">
        <v>-232.3</v>
      </c>
      <c r="S153" s="270">
        <v>3195.7</v>
      </c>
      <c r="T153" s="270">
        <v>-6543.7</v>
      </c>
      <c r="U153" s="270">
        <f t="shared" si="60"/>
        <v>-5017</v>
      </c>
      <c r="V153" s="270">
        <f t="shared" si="48"/>
        <v>-396.69999999999982</v>
      </c>
    </row>
    <row r="154" spans="1:22" s="154" customFormat="1" ht="12" customHeight="1" x14ac:dyDescent="0.2">
      <c r="A154" s="795" t="s">
        <v>1484</v>
      </c>
      <c r="B154" s="301" t="s">
        <v>1285</v>
      </c>
      <c r="C154" s="214">
        <v>80430.7</v>
      </c>
      <c r="D154" s="214">
        <v>117085.5</v>
      </c>
      <c r="E154" s="214">
        <f t="shared" si="55"/>
        <v>-36654.800000000003</v>
      </c>
      <c r="F154" s="214">
        <v>14153.6</v>
      </c>
      <c r="G154" s="214">
        <v>20691.2</v>
      </c>
      <c r="H154" s="214">
        <f t="shared" si="56"/>
        <v>-6537.6</v>
      </c>
      <c r="I154" s="214">
        <v>338.9</v>
      </c>
      <c r="J154" s="214">
        <v>5792.4</v>
      </c>
      <c r="K154" s="214">
        <f t="shared" si="57"/>
        <v>-5453.5</v>
      </c>
      <c r="L154" s="214">
        <v>64.400000000000006</v>
      </c>
      <c r="M154" s="214">
        <v>42870.7</v>
      </c>
      <c r="N154" s="214">
        <f t="shared" si="58"/>
        <v>42935.1</v>
      </c>
      <c r="O154" s="214">
        <f t="shared" si="59"/>
        <v>-5710.8000000000029</v>
      </c>
      <c r="P154" s="214">
        <v>855.6</v>
      </c>
      <c r="Q154" s="214">
        <v>-3499.8</v>
      </c>
      <c r="R154" s="214">
        <v>133.6</v>
      </c>
      <c r="S154" s="214">
        <v>-13884</v>
      </c>
      <c r="T154" s="214">
        <v>5713.4</v>
      </c>
      <c r="U154" s="214">
        <f t="shared" si="60"/>
        <v>-11536.800000000001</v>
      </c>
      <c r="V154" s="214">
        <f t="shared" si="48"/>
        <v>-6681.5999999999985</v>
      </c>
    </row>
    <row r="155" spans="1:22" s="154" customFormat="1" ht="12" customHeight="1" x14ac:dyDescent="0.2">
      <c r="A155" s="795" t="s">
        <v>1484</v>
      </c>
      <c r="B155" s="1314" t="s">
        <v>1286</v>
      </c>
      <c r="C155" s="270">
        <v>80628.5</v>
      </c>
      <c r="D155" s="270">
        <v>112645.4</v>
      </c>
      <c r="E155" s="270">
        <f t="shared" si="55"/>
        <v>-32016.899999999994</v>
      </c>
      <c r="F155" s="270">
        <v>13774.2</v>
      </c>
      <c r="G155" s="270">
        <v>19495.599999999999</v>
      </c>
      <c r="H155" s="270">
        <f t="shared" si="56"/>
        <v>-5721.3999999999978</v>
      </c>
      <c r="I155" s="270">
        <v>337.1</v>
      </c>
      <c r="J155" s="270">
        <v>7100.8</v>
      </c>
      <c r="K155" s="270">
        <f t="shared" si="57"/>
        <v>-6763.7</v>
      </c>
      <c r="L155" s="270">
        <v>22.9</v>
      </c>
      <c r="M155" s="270">
        <v>37934.6</v>
      </c>
      <c r="N155" s="270">
        <f t="shared" si="58"/>
        <v>37957.5</v>
      </c>
      <c r="O155" s="270">
        <f t="shared" si="59"/>
        <v>-6544.4999999999854</v>
      </c>
      <c r="P155" s="270">
        <v>303.7</v>
      </c>
      <c r="Q155" s="270">
        <v>-3798.6</v>
      </c>
      <c r="R155" s="270">
        <v>34.6</v>
      </c>
      <c r="S155" s="270">
        <v>-9743.7999999999993</v>
      </c>
      <c r="T155" s="270">
        <v>1881.7</v>
      </c>
      <c r="U155" s="270">
        <f t="shared" si="60"/>
        <v>-11626.099999999999</v>
      </c>
      <c r="V155" s="270">
        <f t="shared" si="48"/>
        <v>-5385.3000000000129</v>
      </c>
    </row>
    <row r="156" spans="1:22" s="154" customFormat="1" ht="12" customHeight="1" x14ac:dyDescent="0.2">
      <c r="A156" s="795" t="s">
        <v>1484</v>
      </c>
      <c r="B156" s="301" t="s">
        <v>1287</v>
      </c>
      <c r="C156" s="214">
        <v>39155.599999999999</v>
      </c>
      <c r="D156" s="214">
        <v>88000.6</v>
      </c>
      <c r="E156" s="214">
        <f t="shared" si="55"/>
        <v>-48845.000000000007</v>
      </c>
      <c r="F156" s="214">
        <v>10344.200000000001</v>
      </c>
      <c r="G156" s="214">
        <v>12159.3</v>
      </c>
      <c r="H156" s="214">
        <f t="shared" si="56"/>
        <v>-1815.0999999999985</v>
      </c>
      <c r="I156" s="214">
        <v>852.8</v>
      </c>
      <c r="J156" s="214">
        <v>5453.7</v>
      </c>
      <c r="K156" s="214">
        <f t="shared" si="57"/>
        <v>-4600.8999999999996</v>
      </c>
      <c r="L156" s="214">
        <v>58.3</v>
      </c>
      <c r="M156" s="214">
        <v>39162.300000000003</v>
      </c>
      <c r="N156" s="214">
        <f t="shared" si="58"/>
        <v>39220.600000000006</v>
      </c>
      <c r="O156" s="214">
        <f t="shared" si="59"/>
        <v>-16040.400000000001</v>
      </c>
      <c r="P156" s="214">
        <v>774.7</v>
      </c>
      <c r="Q156" s="214">
        <v>-2048.6</v>
      </c>
      <c r="R156" s="214">
        <v>-60.8</v>
      </c>
      <c r="S156" s="214">
        <v>-35542.400000000001</v>
      </c>
      <c r="T156" s="214">
        <v>26400.5</v>
      </c>
      <c r="U156" s="214">
        <f t="shared" si="60"/>
        <v>-11251.300000000003</v>
      </c>
      <c r="V156" s="214">
        <f t="shared" si="48"/>
        <v>4014.3999999999978</v>
      </c>
    </row>
    <row r="157" spans="1:22" s="154" customFormat="1" ht="12" customHeight="1" x14ac:dyDescent="0.2">
      <c r="A157" s="794" t="s">
        <v>1536</v>
      </c>
      <c r="B157" s="1314" t="s">
        <v>1288</v>
      </c>
      <c r="C157" s="214">
        <v>80550.8</v>
      </c>
      <c r="D157" s="214">
        <v>99540.1</v>
      </c>
      <c r="E157" s="214">
        <f t="shared" ref="E157:E160" si="61">C157-D157</f>
        <v>-18989.300000000003</v>
      </c>
      <c r="F157" s="214">
        <v>13721.9</v>
      </c>
      <c r="G157" s="214">
        <v>17991.400000000001</v>
      </c>
      <c r="H157" s="214">
        <f t="shared" ref="H157:H160" si="62">F157-G157</f>
        <v>-4269.5000000000018</v>
      </c>
      <c r="I157" s="214">
        <v>331.1</v>
      </c>
      <c r="J157" s="214">
        <v>6015.3</v>
      </c>
      <c r="K157" s="214">
        <f t="shared" ref="K157:K160" si="63">I157-J157</f>
        <v>-5684.2</v>
      </c>
      <c r="L157" s="214">
        <v>84.2</v>
      </c>
      <c r="M157" s="214">
        <v>57806.3</v>
      </c>
      <c r="N157" s="214">
        <f t="shared" ref="N157:N160" si="64">L157+M157</f>
        <v>57890.5</v>
      </c>
      <c r="O157" s="214">
        <f t="shared" ref="O157:O160" si="65">E157+H157+K157+N157</f>
        <v>28947.499999999996</v>
      </c>
      <c r="P157" s="214">
        <v>427</v>
      </c>
      <c r="Q157" s="214">
        <v>-1927.4</v>
      </c>
      <c r="R157" s="214">
        <v>1444.8</v>
      </c>
      <c r="S157" s="214">
        <v>1940.9</v>
      </c>
      <c r="T157" s="214">
        <v>25437.5</v>
      </c>
      <c r="U157" s="214">
        <f t="shared" ref="U157:U160" si="66">Q157+R157+S157+T157</f>
        <v>26895.8</v>
      </c>
      <c r="V157" s="214">
        <f t="shared" ref="V157:V182" si="67">-(O157+P157-U157)</f>
        <v>-2478.6999999999971</v>
      </c>
    </row>
    <row r="158" spans="1:22" s="154" customFormat="1" ht="12" customHeight="1" x14ac:dyDescent="0.2">
      <c r="A158" s="794" t="s">
        <v>1536</v>
      </c>
      <c r="B158" s="301" t="s">
        <v>1285</v>
      </c>
      <c r="C158" s="270">
        <v>75099.199999999997</v>
      </c>
      <c r="D158" s="270">
        <v>114396.9</v>
      </c>
      <c r="E158" s="270">
        <f t="shared" si="61"/>
        <v>-39297.699999999997</v>
      </c>
      <c r="F158" s="270">
        <v>16939.2</v>
      </c>
      <c r="G158" s="270">
        <v>21315.599999999999</v>
      </c>
      <c r="H158" s="270">
        <f t="shared" si="62"/>
        <v>-4376.3999999999978</v>
      </c>
      <c r="I158" s="270">
        <v>326.3</v>
      </c>
      <c r="J158" s="270">
        <v>7389.7</v>
      </c>
      <c r="K158" s="270">
        <f t="shared" si="63"/>
        <v>-7063.4</v>
      </c>
      <c r="L158" s="270">
        <v>80.7</v>
      </c>
      <c r="M158" s="270">
        <v>54379.8</v>
      </c>
      <c r="N158" s="270">
        <f t="shared" si="64"/>
        <v>54460.5</v>
      </c>
      <c r="O158" s="270">
        <f t="shared" si="65"/>
        <v>3723.0000000000073</v>
      </c>
      <c r="P158" s="270">
        <v>306.5</v>
      </c>
      <c r="Q158" s="270">
        <v>-5128.8999999999996</v>
      </c>
      <c r="R158" s="270">
        <v>193.8</v>
      </c>
      <c r="S158" s="270">
        <v>-24670.7</v>
      </c>
      <c r="T158" s="270">
        <v>30175.1</v>
      </c>
      <c r="U158" s="270">
        <f t="shared" si="66"/>
        <v>569.29999999999927</v>
      </c>
      <c r="V158" s="270">
        <f t="shared" si="67"/>
        <v>-3460.200000000008</v>
      </c>
    </row>
    <row r="159" spans="1:22" s="154" customFormat="1" ht="12" customHeight="1" x14ac:dyDescent="0.2">
      <c r="A159" s="794" t="s">
        <v>1536</v>
      </c>
      <c r="B159" s="1314" t="s">
        <v>1286</v>
      </c>
      <c r="C159" s="214">
        <v>77985.600000000006</v>
      </c>
      <c r="D159" s="214">
        <v>148745.5</v>
      </c>
      <c r="E159" s="214">
        <f t="shared" si="61"/>
        <v>-70759.899999999994</v>
      </c>
      <c r="F159" s="214">
        <v>15844</v>
      </c>
      <c r="G159" s="214">
        <v>23201</v>
      </c>
      <c r="H159" s="214">
        <f t="shared" si="62"/>
        <v>-7357</v>
      </c>
      <c r="I159" s="214">
        <v>653.70000000000005</v>
      </c>
      <c r="J159" s="214">
        <v>5000.6000000000004</v>
      </c>
      <c r="K159" s="214">
        <f t="shared" si="63"/>
        <v>-4346.9000000000005</v>
      </c>
      <c r="L159" s="214">
        <v>24.6</v>
      </c>
      <c r="M159" s="214">
        <v>48993.599999999999</v>
      </c>
      <c r="N159" s="214">
        <f t="shared" si="64"/>
        <v>49018.2</v>
      </c>
      <c r="O159" s="214">
        <f t="shared" si="65"/>
        <v>-33445.599999999991</v>
      </c>
      <c r="P159" s="214">
        <v>327.3</v>
      </c>
      <c r="Q159" s="214">
        <v>-2625.9</v>
      </c>
      <c r="R159" s="214">
        <v>676.4</v>
      </c>
      <c r="S159" s="214">
        <v>-33571</v>
      </c>
      <c r="T159" s="214">
        <v>4726.8999999999996</v>
      </c>
      <c r="U159" s="214">
        <f t="shared" si="66"/>
        <v>-30793.599999999999</v>
      </c>
      <c r="V159" s="214">
        <f t="shared" si="67"/>
        <v>2324.6999999999898</v>
      </c>
    </row>
    <row r="160" spans="1:22" s="154" customFormat="1" ht="12" customHeight="1" x14ac:dyDescent="0.2">
      <c r="A160" s="794" t="s">
        <v>1536</v>
      </c>
      <c r="B160" s="301" t="s">
        <v>1287</v>
      </c>
      <c r="C160" s="270">
        <v>79320.899999999994</v>
      </c>
      <c r="D160" s="270">
        <v>151926.29999999999</v>
      </c>
      <c r="E160" s="270">
        <f t="shared" si="61"/>
        <v>-72605.399999999994</v>
      </c>
      <c r="F160" s="270">
        <v>16954.2</v>
      </c>
      <c r="G160" s="270">
        <v>25176</v>
      </c>
      <c r="H160" s="270">
        <f t="shared" si="62"/>
        <v>-8221.7999999999993</v>
      </c>
      <c r="I160" s="270">
        <v>748.4</v>
      </c>
      <c r="J160" s="270">
        <v>6203.6</v>
      </c>
      <c r="K160" s="270">
        <f t="shared" si="63"/>
        <v>-5455.2000000000007</v>
      </c>
      <c r="L160" s="270">
        <v>88.6</v>
      </c>
      <c r="M160" s="270">
        <v>53557.3</v>
      </c>
      <c r="N160" s="270">
        <f t="shared" si="64"/>
        <v>53645.9</v>
      </c>
      <c r="O160" s="270">
        <f t="shared" si="65"/>
        <v>-32636.499999999993</v>
      </c>
      <c r="P160" s="270">
        <v>811.9</v>
      </c>
      <c r="Q160" s="270">
        <v>-1805.9</v>
      </c>
      <c r="R160" s="270">
        <v>602.29999999999995</v>
      </c>
      <c r="S160" s="270">
        <v>-51217.4</v>
      </c>
      <c r="T160" s="270">
        <v>24346.9</v>
      </c>
      <c r="U160" s="270">
        <f t="shared" si="66"/>
        <v>-28074.1</v>
      </c>
      <c r="V160" s="270">
        <f t="shared" si="67"/>
        <v>3750.4999999999927</v>
      </c>
    </row>
    <row r="161" spans="1:24" s="154" customFormat="1" ht="12" customHeight="1" x14ac:dyDescent="0.2">
      <c r="A161" s="160" t="s">
        <v>1817</v>
      </c>
      <c r="B161" s="301" t="s">
        <v>1288</v>
      </c>
      <c r="C161" s="270">
        <v>89664.6</v>
      </c>
      <c r="D161" s="270">
        <v>147272.4</v>
      </c>
      <c r="E161" s="270">
        <f t="shared" ref="E161:E176" si="68">C161-D161</f>
        <v>-57607.799999999988</v>
      </c>
      <c r="F161" s="270">
        <v>18439.400000000001</v>
      </c>
      <c r="G161" s="270">
        <v>23105.200000000001</v>
      </c>
      <c r="H161" s="270">
        <f t="shared" ref="H161:H164" si="69">F161-G161</f>
        <v>-4665.7999999999993</v>
      </c>
      <c r="I161" s="270">
        <v>846.7</v>
      </c>
      <c r="J161" s="270">
        <v>6387.1</v>
      </c>
      <c r="K161" s="270">
        <f t="shared" ref="K161:K164" si="70">I161-J161</f>
        <v>-5540.4000000000005</v>
      </c>
      <c r="L161" s="270">
        <v>59.4</v>
      </c>
      <c r="M161" s="270">
        <v>47187.6</v>
      </c>
      <c r="N161" s="270">
        <f t="shared" ref="N161:N164" si="71">L161+M161</f>
        <v>47247</v>
      </c>
      <c r="O161" s="270">
        <f t="shared" ref="O161:O164" si="72">E161+H161+K161+N161</f>
        <v>-20566.999999999985</v>
      </c>
      <c r="P161" s="270">
        <v>581.1</v>
      </c>
      <c r="Q161" s="270">
        <v>-3184.2</v>
      </c>
      <c r="R161" s="270">
        <v>817</v>
      </c>
      <c r="S161" s="270">
        <v>-24155</v>
      </c>
      <c r="T161" s="270">
        <v>-267.39999999999998</v>
      </c>
      <c r="U161" s="270">
        <f t="shared" ref="U161:U164" si="73">Q161+R161+S161+T161</f>
        <v>-26789.600000000002</v>
      </c>
      <c r="V161" s="270">
        <f t="shared" si="67"/>
        <v>-6803.7000000000153</v>
      </c>
    </row>
    <row r="162" spans="1:24" s="154" customFormat="1" ht="12" customHeight="1" x14ac:dyDescent="0.2">
      <c r="A162" s="160" t="s">
        <v>1817</v>
      </c>
      <c r="B162" s="1314" t="s">
        <v>1285</v>
      </c>
      <c r="C162" s="214">
        <v>109026.4</v>
      </c>
      <c r="D162" s="214">
        <v>185613.8</v>
      </c>
      <c r="E162" s="214">
        <f t="shared" si="68"/>
        <v>-76587.399999999994</v>
      </c>
      <c r="F162" s="214">
        <v>22341.8</v>
      </c>
      <c r="G162" s="214">
        <v>30961.9</v>
      </c>
      <c r="H162" s="214">
        <f t="shared" si="69"/>
        <v>-8620.1000000000022</v>
      </c>
      <c r="I162" s="214">
        <v>603.79999999999995</v>
      </c>
      <c r="J162" s="214">
        <v>5996.4</v>
      </c>
      <c r="K162" s="214">
        <f t="shared" si="70"/>
        <v>-5392.5999999999995</v>
      </c>
      <c r="L162" s="214">
        <v>45.7</v>
      </c>
      <c r="M162" s="214">
        <v>42860.4</v>
      </c>
      <c r="N162" s="214">
        <f t="shared" si="71"/>
        <v>42906.1</v>
      </c>
      <c r="O162" s="214">
        <f t="shared" si="72"/>
        <v>-47694.000000000007</v>
      </c>
      <c r="P162" s="214">
        <v>606.4</v>
      </c>
      <c r="Q162" s="214">
        <v>-6373.6</v>
      </c>
      <c r="R162" s="214">
        <v>570.1</v>
      </c>
      <c r="S162" s="214">
        <v>-40831.5</v>
      </c>
      <c r="T162" s="214">
        <v>-148</v>
      </c>
      <c r="U162" s="214">
        <f t="shared" si="73"/>
        <v>-46783</v>
      </c>
      <c r="V162" s="214">
        <f t="shared" si="67"/>
        <v>304.60000000000582</v>
      </c>
    </row>
    <row r="163" spans="1:24" s="154" customFormat="1" ht="12" customHeight="1" x14ac:dyDescent="0.2">
      <c r="A163" s="160" t="s">
        <v>1817</v>
      </c>
      <c r="B163" s="301" t="s">
        <v>1286</v>
      </c>
      <c r="C163" s="270">
        <v>113777</v>
      </c>
      <c r="D163" s="270">
        <v>193965.9</v>
      </c>
      <c r="E163" s="270">
        <f t="shared" si="68"/>
        <v>-80188.899999999994</v>
      </c>
      <c r="F163" s="270">
        <v>21237.8</v>
      </c>
      <c r="G163" s="270">
        <v>29981.4</v>
      </c>
      <c r="H163" s="270">
        <f t="shared" si="69"/>
        <v>-8743.6000000000022</v>
      </c>
      <c r="I163" s="270">
        <v>909.2</v>
      </c>
      <c r="J163" s="270">
        <v>7264.9</v>
      </c>
      <c r="K163" s="270">
        <f t="shared" si="70"/>
        <v>-6355.7</v>
      </c>
      <c r="L163" s="270">
        <v>24</v>
      </c>
      <c r="M163" s="270">
        <v>44590.5</v>
      </c>
      <c r="N163" s="270">
        <f t="shared" si="71"/>
        <v>44614.5</v>
      </c>
      <c r="O163" s="270">
        <f t="shared" si="72"/>
        <v>-50673.7</v>
      </c>
      <c r="P163" s="270">
        <v>239.3</v>
      </c>
      <c r="Q163" s="270">
        <v>-4441.8999999999996</v>
      </c>
      <c r="R163" s="270">
        <v>590.70000000000005</v>
      </c>
      <c r="S163" s="270">
        <v>-33771.199999999997</v>
      </c>
      <c r="T163" s="270">
        <v>-16767.2</v>
      </c>
      <c r="U163" s="270">
        <f t="shared" si="73"/>
        <v>-54389.599999999991</v>
      </c>
      <c r="V163" s="270">
        <f t="shared" si="67"/>
        <v>-3955.1999999999971</v>
      </c>
    </row>
    <row r="164" spans="1:24" s="154" customFormat="1" ht="12" customHeight="1" x14ac:dyDescent="0.2">
      <c r="A164" s="160" t="s">
        <v>1817</v>
      </c>
      <c r="B164" s="1314" t="s">
        <v>1287</v>
      </c>
      <c r="C164" s="214">
        <v>113011.5</v>
      </c>
      <c r="D164" s="214">
        <v>185592.6</v>
      </c>
      <c r="E164" s="214">
        <f t="shared" si="68"/>
        <v>-72581.100000000006</v>
      </c>
      <c r="F164" s="214">
        <v>24147</v>
      </c>
      <c r="G164" s="214">
        <v>33505.800000000003</v>
      </c>
      <c r="H164" s="214">
        <f t="shared" si="69"/>
        <v>-9358.8000000000029</v>
      </c>
      <c r="I164" s="214">
        <v>867.1</v>
      </c>
      <c r="J164" s="214">
        <v>6830.3</v>
      </c>
      <c r="K164" s="214">
        <f t="shared" si="70"/>
        <v>-5963.2</v>
      </c>
      <c r="L164" s="214">
        <v>19.8</v>
      </c>
      <c r="M164" s="214">
        <v>52315.3</v>
      </c>
      <c r="N164" s="214">
        <f t="shared" si="71"/>
        <v>52335.100000000006</v>
      </c>
      <c r="O164" s="214">
        <f t="shared" si="72"/>
        <v>-35568</v>
      </c>
      <c r="P164" s="214">
        <v>243</v>
      </c>
      <c r="Q164" s="214">
        <v>-1705.7</v>
      </c>
      <c r="R164" s="214">
        <v>1110.5</v>
      </c>
      <c r="S164" s="214">
        <v>-29280.799999999999</v>
      </c>
      <c r="T164" s="214">
        <v>-14507.9</v>
      </c>
      <c r="U164" s="214">
        <f t="shared" si="73"/>
        <v>-44383.9</v>
      </c>
      <c r="V164" s="214">
        <f t="shared" si="67"/>
        <v>-9058.9000000000015</v>
      </c>
    </row>
    <row r="165" spans="1:24" s="1179" customFormat="1" ht="12" customHeight="1" x14ac:dyDescent="0.2">
      <c r="A165" s="794" t="s">
        <v>2066</v>
      </c>
      <c r="B165" s="1314" t="s">
        <v>1288</v>
      </c>
      <c r="C165" s="214">
        <v>106024.1</v>
      </c>
      <c r="D165" s="214">
        <v>184235.1</v>
      </c>
      <c r="E165" s="214">
        <f t="shared" si="68"/>
        <v>-78211</v>
      </c>
      <c r="F165" s="214">
        <v>18099.3</v>
      </c>
      <c r="G165" s="214">
        <v>24790.6</v>
      </c>
      <c r="H165" s="214">
        <f t="shared" ref="H165:H168" si="74">F165-G165</f>
        <v>-6691.2999999999993</v>
      </c>
      <c r="I165" s="214">
        <v>1004.8</v>
      </c>
      <c r="J165" s="214">
        <v>7625.3</v>
      </c>
      <c r="K165" s="214">
        <f t="shared" ref="K165:K168" si="75">I165-J165</f>
        <v>-6620.5</v>
      </c>
      <c r="L165" s="214">
        <v>145.4</v>
      </c>
      <c r="M165" s="214">
        <v>54880.800000000003</v>
      </c>
      <c r="N165" s="214">
        <f t="shared" ref="N165:N168" si="76">L165+M165</f>
        <v>55026.200000000004</v>
      </c>
      <c r="O165" s="214">
        <f t="shared" ref="O165:O168" si="77">E165+H165+K165+N165</f>
        <v>-36496.6</v>
      </c>
      <c r="P165" s="214">
        <v>344.4</v>
      </c>
      <c r="Q165" s="214">
        <v>-4664.8</v>
      </c>
      <c r="R165" s="214">
        <v>556.9</v>
      </c>
      <c r="S165" s="214">
        <v>3612.5</v>
      </c>
      <c r="T165" s="214">
        <v>-43937.3</v>
      </c>
      <c r="U165" s="214">
        <f t="shared" ref="U165:U168" si="78">Q165+R165+S165+T165</f>
        <v>-44432.700000000004</v>
      </c>
      <c r="V165" s="214">
        <f t="shared" si="67"/>
        <v>-8280.5000000000073</v>
      </c>
    </row>
    <row r="166" spans="1:24" s="154" customFormat="1" ht="12" customHeight="1" x14ac:dyDescent="0.2">
      <c r="A166" s="794" t="s">
        <v>2066</v>
      </c>
      <c r="B166" s="301" t="s">
        <v>1285</v>
      </c>
      <c r="C166" s="270">
        <v>111127.8</v>
      </c>
      <c r="D166" s="270">
        <v>185540.5</v>
      </c>
      <c r="E166" s="270">
        <f t="shared" si="68"/>
        <v>-74412.7</v>
      </c>
      <c r="F166" s="270">
        <v>18472.3</v>
      </c>
      <c r="G166" s="270">
        <v>23245.3</v>
      </c>
      <c r="H166" s="270">
        <f t="shared" si="74"/>
        <v>-4773</v>
      </c>
      <c r="I166" s="270">
        <v>1155.9000000000001</v>
      </c>
      <c r="J166" s="270">
        <v>7758.2</v>
      </c>
      <c r="K166" s="270">
        <f t="shared" si="75"/>
        <v>-6602.2999999999993</v>
      </c>
      <c r="L166" s="270">
        <v>229.1</v>
      </c>
      <c r="M166" s="270">
        <v>48728.9</v>
      </c>
      <c r="N166" s="270">
        <f t="shared" si="76"/>
        <v>48958</v>
      </c>
      <c r="O166" s="270">
        <f t="shared" si="77"/>
        <v>-36830</v>
      </c>
      <c r="P166" s="270">
        <v>1347.6</v>
      </c>
      <c r="Q166" s="270">
        <v>-3596.8</v>
      </c>
      <c r="R166" s="270">
        <v>686.7</v>
      </c>
      <c r="S166" s="270">
        <v>-17646</v>
      </c>
      <c r="T166" s="270">
        <v>-26620.2</v>
      </c>
      <c r="U166" s="270">
        <f t="shared" si="78"/>
        <v>-47176.3</v>
      </c>
      <c r="V166" s="270">
        <f t="shared" si="67"/>
        <v>-11693.900000000001</v>
      </c>
    </row>
    <row r="167" spans="1:24" s="154" customFormat="1" ht="12" customHeight="1" x14ac:dyDescent="0.2">
      <c r="A167" s="794" t="s">
        <v>2066</v>
      </c>
      <c r="B167" s="1314" t="s">
        <v>1286</v>
      </c>
      <c r="C167" s="214">
        <v>107051.6</v>
      </c>
      <c r="D167" s="214">
        <v>165165.29999999999</v>
      </c>
      <c r="E167" s="214">
        <f t="shared" si="68"/>
        <v>-58113.699999999983</v>
      </c>
      <c r="F167" s="214">
        <v>16162.1</v>
      </c>
      <c r="G167" s="214">
        <v>21245.599999999999</v>
      </c>
      <c r="H167" s="214">
        <f t="shared" si="74"/>
        <v>-5083.4999999999982</v>
      </c>
      <c r="I167" s="214">
        <v>1128.0999999999999</v>
      </c>
      <c r="J167" s="214">
        <v>9032.7000000000007</v>
      </c>
      <c r="K167" s="214">
        <f t="shared" si="75"/>
        <v>-7904.6</v>
      </c>
      <c r="L167" s="214">
        <v>232.9</v>
      </c>
      <c r="M167" s="214">
        <v>56976.4</v>
      </c>
      <c r="N167" s="214">
        <f t="shared" si="76"/>
        <v>57209.3</v>
      </c>
      <c r="O167" s="214">
        <f t="shared" si="77"/>
        <v>-13892.499999999985</v>
      </c>
      <c r="P167" s="214">
        <v>1229.2</v>
      </c>
      <c r="Q167" s="214">
        <v>-3165.5</v>
      </c>
      <c r="R167" s="214">
        <v>796.7</v>
      </c>
      <c r="S167" s="214">
        <v>98.4</v>
      </c>
      <c r="T167" s="214">
        <v>-20936.400000000001</v>
      </c>
      <c r="U167" s="214">
        <f t="shared" si="78"/>
        <v>-23206.800000000003</v>
      </c>
      <c r="V167" s="214">
        <f t="shared" si="67"/>
        <v>-10543.500000000018</v>
      </c>
    </row>
    <row r="168" spans="1:24" s="154" customFormat="1" ht="12" customHeight="1" x14ac:dyDescent="0.2">
      <c r="A168" s="794" t="s">
        <v>2066</v>
      </c>
      <c r="B168" s="301" t="s">
        <v>1287</v>
      </c>
      <c r="C168" s="270">
        <v>106601.3</v>
      </c>
      <c r="D168" s="270">
        <v>166588.29999999999</v>
      </c>
      <c r="E168" s="270">
        <f t="shared" si="68"/>
        <v>-59986.999999999985</v>
      </c>
      <c r="F168" s="270">
        <v>16971.3</v>
      </c>
      <c r="G168" s="270">
        <v>26239.200000000001</v>
      </c>
      <c r="H168" s="270">
        <f t="shared" si="74"/>
        <v>-9267.9000000000015</v>
      </c>
      <c r="I168" s="270">
        <v>1267.7</v>
      </c>
      <c r="J168" s="270">
        <v>13504.8</v>
      </c>
      <c r="K168" s="270">
        <f t="shared" si="75"/>
        <v>-12237.099999999999</v>
      </c>
      <c r="L168" s="270">
        <v>327</v>
      </c>
      <c r="M168" s="270">
        <v>59825.4</v>
      </c>
      <c r="N168" s="270">
        <f t="shared" si="76"/>
        <v>60152.4</v>
      </c>
      <c r="O168" s="270">
        <f t="shared" si="77"/>
        <v>-21339.599999999999</v>
      </c>
      <c r="P168" s="270">
        <v>2107</v>
      </c>
      <c r="Q168" s="270">
        <v>-4356.7</v>
      </c>
      <c r="R168" s="270">
        <v>547.9</v>
      </c>
      <c r="S168" s="270">
        <v>-39307.4</v>
      </c>
      <c r="T168" s="270">
        <v>9543.6</v>
      </c>
      <c r="U168" s="270">
        <f t="shared" si="78"/>
        <v>-33572.600000000006</v>
      </c>
      <c r="V168" s="270">
        <f t="shared" si="67"/>
        <v>-14340.000000000007</v>
      </c>
    </row>
    <row r="169" spans="1:24" s="154" customFormat="1" ht="12" customHeight="1" x14ac:dyDescent="0.2">
      <c r="A169" s="1895" t="s">
        <v>3066</v>
      </c>
      <c r="B169" s="301" t="s">
        <v>1288</v>
      </c>
      <c r="C169" s="270">
        <v>109930.5</v>
      </c>
      <c r="D169" s="270">
        <v>164757.1</v>
      </c>
      <c r="E169" s="270">
        <f t="shared" si="68"/>
        <v>-54826.600000000006</v>
      </c>
      <c r="F169" s="270">
        <v>15940.8</v>
      </c>
      <c r="G169" s="270">
        <v>25681.5</v>
      </c>
      <c r="H169" s="270">
        <f t="shared" ref="H169:H172" si="79">F169-G169</f>
        <v>-9740.7000000000007</v>
      </c>
      <c r="I169" s="270">
        <v>4439.3</v>
      </c>
      <c r="J169" s="270">
        <v>14392.1</v>
      </c>
      <c r="K169" s="270">
        <f t="shared" ref="K169:K172" si="80">I169-J169</f>
        <v>-9952.7999999999993</v>
      </c>
      <c r="L169" s="270">
        <v>95.1</v>
      </c>
      <c r="M169" s="270">
        <v>54737.3</v>
      </c>
      <c r="N169" s="270">
        <f>L169+M169</f>
        <v>54832.4</v>
      </c>
      <c r="O169" s="270">
        <f t="shared" ref="O169:O172" si="81">E169+H169+K169+N169</f>
        <v>-19687.700000000004</v>
      </c>
      <c r="P169" s="270">
        <v>459.8</v>
      </c>
      <c r="Q169" s="270">
        <v>-3765.8</v>
      </c>
      <c r="R169" s="270">
        <v>897.2</v>
      </c>
      <c r="S169" s="270">
        <v>23350.400000000001</v>
      </c>
      <c r="T169" s="270">
        <v>-38430.5</v>
      </c>
      <c r="U169" s="270">
        <f t="shared" ref="U169:U172" si="82">Q169+R169+S169+T169</f>
        <v>-17948.699999999997</v>
      </c>
      <c r="V169" s="270">
        <f t="shared" si="67"/>
        <v>1279.200000000008</v>
      </c>
    </row>
    <row r="170" spans="1:24" s="154" customFormat="1" ht="12" customHeight="1" x14ac:dyDescent="0.2">
      <c r="A170" s="1895" t="s">
        <v>3066</v>
      </c>
      <c r="B170" s="1314" t="s">
        <v>1285</v>
      </c>
      <c r="C170" s="214">
        <v>111230.39999999999</v>
      </c>
      <c r="D170" s="214">
        <v>179490</v>
      </c>
      <c r="E170" s="214">
        <f t="shared" si="68"/>
        <v>-68259.600000000006</v>
      </c>
      <c r="F170" s="214">
        <v>18470</v>
      </c>
      <c r="G170" s="214">
        <v>26594.799999999999</v>
      </c>
      <c r="H170" s="214">
        <f t="shared" si="79"/>
        <v>-8124.7999999999993</v>
      </c>
      <c r="I170" s="214">
        <v>6636.6</v>
      </c>
      <c r="J170" s="214">
        <v>18433.3</v>
      </c>
      <c r="K170" s="214">
        <f t="shared" si="80"/>
        <v>-11796.699999999999</v>
      </c>
      <c r="L170" s="214">
        <v>152.80000000000001</v>
      </c>
      <c r="M170" s="214">
        <v>66149.100000000006</v>
      </c>
      <c r="N170" s="214">
        <f t="shared" ref="N170:N172" si="83">L170+M170</f>
        <v>66301.900000000009</v>
      </c>
      <c r="O170" s="214">
        <f t="shared" si="81"/>
        <v>-21879.199999999997</v>
      </c>
      <c r="P170" s="214">
        <v>1298.5</v>
      </c>
      <c r="Q170" s="214">
        <v>-4258.3</v>
      </c>
      <c r="R170" s="214">
        <v>1219.2</v>
      </c>
      <c r="S170" s="214">
        <v>-33193.699999999997</v>
      </c>
      <c r="T170" s="214">
        <v>6949.5</v>
      </c>
      <c r="U170" s="214">
        <f t="shared" si="82"/>
        <v>-29283.299999999996</v>
      </c>
      <c r="V170" s="214">
        <f t="shared" si="67"/>
        <v>-8702.5999999999985</v>
      </c>
    </row>
    <row r="171" spans="1:24" s="154" customFormat="1" ht="12" customHeight="1" x14ac:dyDescent="0.2">
      <c r="A171" s="1895" t="s">
        <v>3066</v>
      </c>
      <c r="B171" s="301" t="s">
        <v>1286</v>
      </c>
      <c r="C171" s="270">
        <v>119122.3</v>
      </c>
      <c r="D171" s="270">
        <v>169390.2</v>
      </c>
      <c r="E171" s="270">
        <f t="shared" si="68"/>
        <v>-50267.900000000009</v>
      </c>
      <c r="F171" s="270">
        <v>16770.3</v>
      </c>
      <c r="G171" s="270">
        <v>28179.4</v>
      </c>
      <c r="H171" s="270">
        <f t="shared" si="79"/>
        <v>-11409.100000000002</v>
      </c>
      <c r="I171" s="270">
        <v>5771.9</v>
      </c>
      <c r="J171" s="270">
        <v>18575.5</v>
      </c>
      <c r="K171" s="270">
        <f t="shared" si="80"/>
        <v>-12803.6</v>
      </c>
      <c r="L171" s="270">
        <v>198.9</v>
      </c>
      <c r="M171" s="270">
        <v>69915</v>
      </c>
      <c r="N171" s="270">
        <f t="shared" si="83"/>
        <v>70113.899999999994</v>
      </c>
      <c r="O171" s="270">
        <f t="shared" si="81"/>
        <v>-4366.7000000000262</v>
      </c>
      <c r="P171" s="270">
        <v>1400.2</v>
      </c>
      <c r="Q171" s="270">
        <v>-4613.1000000000004</v>
      </c>
      <c r="R171" s="270">
        <v>757.4</v>
      </c>
      <c r="S171" s="270">
        <v>14170.2</v>
      </c>
      <c r="T171" s="270">
        <v>-19439.5</v>
      </c>
      <c r="U171" s="270">
        <f t="shared" si="82"/>
        <v>-9125</v>
      </c>
      <c r="V171" s="270">
        <f t="shared" si="67"/>
        <v>-6158.4999999999736</v>
      </c>
    </row>
    <row r="172" spans="1:24" s="154" customFormat="1" ht="12" customHeight="1" x14ac:dyDescent="0.2">
      <c r="A172" s="1895" t="s">
        <v>3066</v>
      </c>
      <c r="B172" s="1314" t="s">
        <v>1287</v>
      </c>
      <c r="C172" s="214">
        <v>113071.6</v>
      </c>
      <c r="D172" s="214">
        <v>189040.1</v>
      </c>
      <c r="E172" s="214">
        <f t="shared" si="68"/>
        <v>-75968.5</v>
      </c>
      <c r="F172" s="214">
        <v>18801.099999999999</v>
      </c>
      <c r="G172" s="214">
        <v>33291.300000000003</v>
      </c>
      <c r="H172" s="214">
        <f t="shared" si="79"/>
        <v>-14490.200000000004</v>
      </c>
      <c r="I172" s="214">
        <v>7389.3</v>
      </c>
      <c r="J172" s="214">
        <v>20837.599999999999</v>
      </c>
      <c r="K172" s="214">
        <f t="shared" si="80"/>
        <v>-13448.3</v>
      </c>
      <c r="L172" s="214">
        <v>511.4</v>
      </c>
      <c r="M172" s="214">
        <v>79447.8</v>
      </c>
      <c r="N172" s="214">
        <f t="shared" si="83"/>
        <v>79959.199999999997</v>
      </c>
      <c r="O172" s="214">
        <f t="shared" si="81"/>
        <v>-23947.800000000017</v>
      </c>
      <c r="P172" s="214">
        <v>5071.3</v>
      </c>
      <c r="Q172" s="214">
        <v>-3077.3</v>
      </c>
      <c r="R172" s="214">
        <v>1211.4000000000001</v>
      </c>
      <c r="S172" s="214">
        <v>-62998.1</v>
      </c>
      <c r="T172" s="214">
        <v>20982.6</v>
      </c>
      <c r="U172" s="214">
        <f t="shared" si="82"/>
        <v>-43881.4</v>
      </c>
      <c r="V172" s="214">
        <f t="shared" si="67"/>
        <v>-25004.899999999983</v>
      </c>
    </row>
    <row r="173" spans="1:24" s="153" customFormat="1" ht="12" customHeight="1" x14ac:dyDescent="0.2">
      <c r="A173" s="795" t="s">
        <v>2872</v>
      </c>
      <c r="B173" s="212" t="s">
        <v>1288</v>
      </c>
      <c r="C173" s="214">
        <v>125428.46016364478</v>
      </c>
      <c r="D173" s="214">
        <v>180626.71573629213</v>
      </c>
      <c r="E173" s="214">
        <f t="shared" si="68"/>
        <v>-55198.255572647351</v>
      </c>
      <c r="F173" s="214">
        <v>19239.788496126752</v>
      </c>
      <c r="G173" s="214">
        <v>30707.316800353183</v>
      </c>
      <c r="H173" s="214">
        <f t="shared" ref="H173:H176" si="84">F173-G173</f>
        <v>-11467.528304226431</v>
      </c>
      <c r="I173" s="214">
        <v>8591.7693649844641</v>
      </c>
      <c r="J173" s="214">
        <v>21726.475923253907</v>
      </c>
      <c r="K173" s="214">
        <f t="shared" ref="K173:K176" si="85">I173-J173</f>
        <v>-13134.706558269443</v>
      </c>
      <c r="L173" s="214">
        <v>319.65691872222231</v>
      </c>
      <c r="M173" s="214">
        <v>79542.190111111151</v>
      </c>
      <c r="N173" s="214">
        <f t="shared" ref="N173:N181" si="86">L173+M173</f>
        <v>79861.84702983337</v>
      </c>
      <c r="O173" s="214">
        <f t="shared" ref="O173:O176" si="87">E173+H173+K173+N173</f>
        <v>61.356594690136262</v>
      </c>
      <c r="P173" s="214">
        <v>1855.4419201666685</v>
      </c>
      <c r="Q173" s="214">
        <v>-1351.3092935232999</v>
      </c>
      <c r="R173" s="214">
        <v>-60.721216360283144</v>
      </c>
      <c r="S173" s="214">
        <v>19728.93263502638</v>
      </c>
      <c r="T173" s="214">
        <v>-26970.1</v>
      </c>
      <c r="U173" s="214">
        <f t="shared" ref="U173:U176" si="88">Q173+R173+S173+T173</f>
        <v>-8653.1978748572001</v>
      </c>
      <c r="V173" s="214">
        <f t="shared" si="67"/>
        <v>-10569.996389714004</v>
      </c>
      <c r="X173" s="667"/>
    </row>
    <row r="174" spans="1:24" s="153" customFormat="1" ht="12" customHeight="1" x14ac:dyDescent="0.2">
      <c r="A174" s="795" t="s">
        <v>2872</v>
      </c>
      <c r="B174" s="268" t="s">
        <v>1285</v>
      </c>
      <c r="C174" s="270">
        <v>141255.98050922915</v>
      </c>
      <c r="D174" s="270">
        <v>202739.62837972998</v>
      </c>
      <c r="E174" s="270">
        <f t="shared" si="68"/>
        <v>-61483.647870500834</v>
      </c>
      <c r="F174" s="270">
        <v>22802.394217903449</v>
      </c>
      <c r="G174" s="270">
        <v>40249.104449589577</v>
      </c>
      <c r="H174" s="270">
        <f t="shared" si="84"/>
        <v>-17446.710231686127</v>
      </c>
      <c r="I174" s="270">
        <v>6548.5900221395332</v>
      </c>
      <c r="J174" s="270">
        <v>22790.344813892094</v>
      </c>
      <c r="K174" s="270">
        <f t="shared" si="85"/>
        <v>-16241.754791752561</v>
      </c>
      <c r="L174" s="270">
        <v>174.91909447303999</v>
      </c>
      <c r="M174" s="270">
        <v>88697.080727480003</v>
      </c>
      <c r="N174" s="270">
        <f t="shared" si="86"/>
        <v>88871.999821953039</v>
      </c>
      <c r="O174" s="270">
        <f t="shared" si="87"/>
        <v>-6300.1130719864886</v>
      </c>
      <c r="P174" s="270">
        <v>729.63939799896002</v>
      </c>
      <c r="Q174" s="270">
        <v>-5274.5657531866937</v>
      </c>
      <c r="R174" s="270">
        <v>688.89718733858012</v>
      </c>
      <c r="S174" s="270">
        <v>-21576.445229515095</v>
      </c>
      <c r="T174" s="270">
        <v>23002.2</v>
      </c>
      <c r="U174" s="270">
        <f t="shared" si="88"/>
        <v>-3159.9137953632089</v>
      </c>
      <c r="V174" s="270">
        <f t="shared" si="67"/>
        <v>2410.5598786243199</v>
      </c>
      <c r="X174" s="667"/>
    </row>
    <row r="175" spans="1:24" s="153" customFormat="1" ht="12" customHeight="1" x14ac:dyDescent="0.2">
      <c r="A175" s="795" t="s">
        <v>2872</v>
      </c>
      <c r="B175" s="212" t="s">
        <v>1286</v>
      </c>
      <c r="C175" s="214">
        <v>140728.43881256157</v>
      </c>
      <c r="D175" s="214">
        <v>210041.00515928734</v>
      </c>
      <c r="E175" s="214">
        <f t="shared" si="68"/>
        <v>-69312.566346725769</v>
      </c>
      <c r="F175" s="214">
        <v>20021.898982570368</v>
      </c>
      <c r="G175" s="214">
        <v>38311.793705745527</v>
      </c>
      <c r="H175" s="214">
        <f t="shared" si="84"/>
        <v>-18289.894723175159</v>
      </c>
      <c r="I175" s="214">
        <v>7858.7627708444443</v>
      </c>
      <c r="J175" s="214">
        <v>24002.140330608381</v>
      </c>
      <c r="K175" s="214">
        <f t="shared" si="85"/>
        <v>-16143.377559763936</v>
      </c>
      <c r="L175" s="214">
        <v>167.47519925925926</v>
      </c>
      <c r="M175" s="214">
        <v>99199.379450242413</v>
      </c>
      <c r="N175" s="214">
        <f t="shared" si="86"/>
        <v>99366.854649501678</v>
      </c>
      <c r="O175" s="214">
        <f t="shared" si="87"/>
        <v>-4378.9839801631751</v>
      </c>
      <c r="P175" s="214">
        <v>604.17050444444453</v>
      </c>
      <c r="Q175" s="214">
        <v>-9303.3989679999995</v>
      </c>
      <c r="R175" s="214">
        <v>648.6794125614</v>
      </c>
      <c r="S175" s="214">
        <v>17113.102011604991</v>
      </c>
      <c r="T175" s="214">
        <v>-16726.389556607581</v>
      </c>
      <c r="U175" s="214">
        <f t="shared" si="88"/>
        <v>-8268.0071004411893</v>
      </c>
      <c r="V175" s="214">
        <f t="shared" si="67"/>
        <v>-4493.1936247224585</v>
      </c>
      <c r="X175" s="667"/>
    </row>
    <row r="176" spans="1:24" s="153" customFormat="1" ht="12" customHeight="1" x14ac:dyDescent="0.2">
      <c r="A176" s="795" t="s">
        <v>2872</v>
      </c>
      <c r="B176" s="268" t="s">
        <v>1287</v>
      </c>
      <c r="C176" s="270">
        <v>123605.40717960437</v>
      </c>
      <c r="D176" s="270">
        <v>184165.89144866361</v>
      </c>
      <c r="E176" s="270">
        <f t="shared" si="68"/>
        <v>-60560.484269059234</v>
      </c>
      <c r="F176" s="270">
        <v>19973.926792950013</v>
      </c>
      <c r="G176" s="270">
        <v>41584.278173110557</v>
      </c>
      <c r="H176" s="270">
        <f t="shared" si="84"/>
        <v>-21610.351380160544</v>
      </c>
      <c r="I176" s="270">
        <v>7115.0252571607389</v>
      </c>
      <c r="J176" s="270">
        <v>22573.321096865293</v>
      </c>
      <c r="K176" s="270">
        <f t="shared" si="85"/>
        <v>-15458.295839704555</v>
      </c>
      <c r="L176" s="270">
        <v>263.63155035351951</v>
      </c>
      <c r="M176" s="270">
        <v>106471.97944682704</v>
      </c>
      <c r="N176" s="270">
        <f t="shared" si="86"/>
        <v>106735.61099718056</v>
      </c>
      <c r="O176" s="270">
        <f t="shared" si="87"/>
        <v>9106.4795082562196</v>
      </c>
      <c r="P176" s="270">
        <v>1349.3117382837522</v>
      </c>
      <c r="Q176" s="270">
        <v>-4308.5482019999999</v>
      </c>
      <c r="R176" s="270">
        <v>399.64491425659998</v>
      </c>
      <c r="S176" s="270">
        <v>-49608.916519064609</v>
      </c>
      <c r="T176" s="270">
        <v>72218.734810639959</v>
      </c>
      <c r="U176" s="270">
        <f t="shared" si="88"/>
        <v>18700.915003831949</v>
      </c>
      <c r="V176" s="270">
        <f t="shared" si="67"/>
        <v>8245.1237572919781</v>
      </c>
      <c r="X176" s="667"/>
    </row>
    <row r="177" spans="1:24" s="153" customFormat="1" ht="12" customHeight="1" x14ac:dyDescent="0.2">
      <c r="A177" s="795" t="s">
        <v>2730</v>
      </c>
      <c r="B177" s="268" t="s">
        <v>552</v>
      </c>
      <c r="C177" s="270">
        <v>53937.199263651841</v>
      </c>
      <c r="D177" s="270">
        <v>72340.923455324271</v>
      </c>
      <c r="E177" s="270">
        <v>-18403.724191672423</v>
      </c>
      <c r="F177" s="270">
        <v>6601.5269968355551</v>
      </c>
      <c r="G177" s="270">
        <v>13018.299268926265</v>
      </c>
      <c r="H177" s="270">
        <v>-6416.7722720907059</v>
      </c>
      <c r="I177" s="270">
        <v>2794.6507424446795</v>
      </c>
      <c r="J177" s="270">
        <v>7188.5581294434905</v>
      </c>
      <c r="K177" s="270">
        <v>-4393.9073869988106</v>
      </c>
      <c r="L177" s="270">
        <v>-66.555211007279837</v>
      </c>
      <c r="M177" s="270">
        <v>30805.536566674571</v>
      </c>
      <c r="N177" s="270">
        <f t="shared" si="86"/>
        <v>30738.981355667293</v>
      </c>
      <c r="O177" s="270">
        <f>E177+H177+K177+N177</f>
        <v>1524.5775049053555</v>
      </c>
      <c r="P177" s="270">
        <v>3.5162135777777861</v>
      </c>
      <c r="Q177" s="270">
        <v>-1492.5116045999996</v>
      </c>
      <c r="R177" s="270">
        <v>-143.8206740740747</v>
      </c>
      <c r="S177" s="270">
        <v>26174.012955668069</v>
      </c>
      <c r="T177" s="270">
        <v>-21906.261282787844</v>
      </c>
      <c r="U177" s="270">
        <f t="shared" ref="U177:U181" si="89">Q177+R177+S177+T177</f>
        <v>2631.4193942061502</v>
      </c>
      <c r="V177" s="270">
        <f t="shared" si="67"/>
        <v>1103.325675723017</v>
      </c>
      <c r="X177" s="667"/>
    </row>
    <row r="178" spans="1:24" s="153" customFormat="1" ht="12" customHeight="1" x14ac:dyDescent="0.2">
      <c r="A178" s="795" t="s">
        <v>2730</v>
      </c>
      <c r="B178" s="212" t="s">
        <v>553</v>
      </c>
      <c r="C178" s="214">
        <v>42612.535695484592</v>
      </c>
      <c r="D178" s="214">
        <v>60288.795784886366</v>
      </c>
      <c r="E178" s="214">
        <v>-17676.260089401774</v>
      </c>
      <c r="F178" s="214">
        <v>6399.0126235965727</v>
      </c>
      <c r="G178" s="214">
        <v>12457.458507685626</v>
      </c>
      <c r="H178" s="214">
        <v>-6058.4458840890566</v>
      </c>
      <c r="I178" s="214">
        <v>2581.0788333333339</v>
      </c>
      <c r="J178" s="214">
        <v>8011.7815012426017</v>
      </c>
      <c r="K178" s="214">
        <v>-5430.7026679092687</v>
      </c>
      <c r="L178" s="214">
        <v>7.4665112173077022</v>
      </c>
      <c r="M178" s="214">
        <v>30039.932956346187</v>
      </c>
      <c r="N178" s="214">
        <f t="shared" si="86"/>
        <v>30047.399467563493</v>
      </c>
      <c r="O178" s="214">
        <f>E178+H178+K178+N178</f>
        <v>881.99082616339365</v>
      </c>
      <c r="P178" s="214">
        <v>100.40693474423088</v>
      </c>
      <c r="Q178" s="214">
        <v>-1492.5116045999996</v>
      </c>
      <c r="R178" s="214">
        <v>205.1335584544162</v>
      </c>
      <c r="S178" s="214">
        <v>-13953.278384081821</v>
      </c>
      <c r="T178" s="214">
        <v>15022.754707249303</v>
      </c>
      <c r="U178" s="214">
        <f t="shared" si="89"/>
        <v>-217.90172297810022</v>
      </c>
      <c r="V178" s="214">
        <f t="shared" si="67"/>
        <v>-1200.2994838857248</v>
      </c>
      <c r="X178" s="667"/>
    </row>
    <row r="179" spans="1:24" s="153" customFormat="1" ht="12" customHeight="1" x14ac:dyDescent="0.2">
      <c r="A179" s="795" t="s">
        <v>2730</v>
      </c>
      <c r="B179" s="268" t="s">
        <v>547</v>
      </c>
      <c r="C179" s="270">
        <v>38481.925595329572</v>
      </c>
      <c r="D179" s="270">
        <v>72000.323021164368</v>
      </c>
      <c r="E179" s="270">
        <v>-33518.397425834803</v>
      </c>
      <c r="F179" s="270">
        <v>7796.3081239053154</v>
      </c>
      <c r="G179" s="270">
        <v>12025.357641758426</v>
      </c>
      <c r="H179" s="270">
        <v>-4229.049517853111</v>
      </c>
      <c r="I179" s="270">
        <v>2665.7889228076619</v>
      </c>
      <c r="J179" s="270">
        <v>10955.503697378221</v>
      </c>
      <c r="K179" s="270">
        <v>-8289.7147745705606</v>
      </c>
      <c r="L179" s="270">
        <v>199.99191303928106</v>
      </c>
      <c r="M179" s="270">
        <v>33462.835591730669</v>
      </c>
      <c r="N179" s="270">
        <f t="shared" si="86"/>
        <v>33662.82750476995</v>
      </c>
      <c r="O179" s="270">
        <f t="shared" ref="O179:O182" si="90">E179+H179+K179+N179</f>
        <v>-12374.334213488524</v>
      </c>
      <c r="P179" s="270">
        <v>1033.5816011206698</v>
      </c>
      <c r="Q179" s="270">
        <v>-1492.5116045999996</v>
      </c>
      <c r="R179" s="270">
        <v>490.32878062499969</v>
      </c>
      <c r="S179" s="270">
        <v>-15579.147059399231</v>
      </c>
      <c r="T179" s="270">
        <v>3105.9967736296358</v>
      </c>
      <c r="U179" s="270">
        <f t="shared" si="89"/>
        <v>-13475.333109744595</v>
      </c>
      <c r="V179" s="270">
        <f t="shared" si="67"/>
        <v>-2134.5804973767408</v>
      </c>
      <c r="X179" s="667"/>
    </row>
    <row r="180" spans="1:24" s="153" customFormat="1" ht="12" customHeight="1" x14ac:dyDescent="0.2">
      <c r="A180" s="795" t="s">
        <v>2730</v>
      </c>
      <c r="B180" s="212" t="s">
        <v>554</v>
      </c>
      <c r="C180" s="214">
        <v>42138.959953703692</v>
      </c>
      <c r="D180" s="214">
        <v>64808.96849740739</v>
      </c>
      <c r="E180" s="214">
        <v>-22670.008543703698</v>
      </c>
      <c r="F180" s="214">
        <v>6012.7004516194847</v>
      </c>
      <c r="G180" s="214">
        <v>13188.791218474256</v>
      </c>
      <c r="H180" s="214">
        <v>-7176.0907668547716</v>
      </c>
      <c r="I180" s="214">
        <v>2613.0160674043327</v>
      </c>
      <c r="J180" s="214">
        <v>7681.1515906015102</v>
      </c>
      <c r="K180" s="214">
        <v>-5068.1355231971784</v>
      </c>
      <c r="L180" s="214">
        <v>-2.0606746487510685</v>
      </c>
      <c r="M180" s="214">
        <v>31823.104788518503</v>
      </c>
      <c r="N180" s="214">
        <f t="shared" si="86"/>
        <v>31821.044113869753</v>
      </c>
      <c r="O180" s="214">
        <f t="shared" si="90"/>
        <v>-3093.1907198858935</v>
      </c>
      <c r="P180" s="214">
        <v>14.058216789166664</v>
      </c>
      <c r="Q180" s="214">
        <v>-1422.2154476666667</v>
      </c>
      <c r="R180" s="214">
        <v>311.3962384259259</v>
      </c>
      <c r="S180" s="214">
        <v>-14240.400625284805</v>
      </c>
      <c r="T180" s="214">
        <v>11737.484706284478</v>
      </c>
      <c r="U180" s="214">
        <f t="shared" si="89"/>
        <v>-3613.7351282410673</v>
      </c>
      <c r="V180" s="214">
        <f t="shared" si="67"/>
        <v>-534.60262514434044</v>
      </c>
      <c r="X180" s="667"/>
    </row>
    <row r="181" spans="1:24" s="153" customFormat="1" ht="12" customHeight="1" x14ac:dyDescent="0.2">
      <c r="A181" s="795" t="s">
        <v>2730</v>
      </c>
      <c r="B181" s="268" t="s">
        <v>555</v>
      </c>
      <c r="C181" s="270">
        <v>44592.796458567122</v>
      </c>
      <c r="D181" s="270">
        <v>67047.992823407039</v>
      </c>
      <c r="E181" s="270">
        <v>-22455.196364839925</v>
      </c>
      <c r="F181" s="270">
        <v>7109.8775155095063</v>
      </c>
      <c r="G181" s="270">
        <v>12551.683134471767</v>
      </c>
      <c r="H181" s="270">
        <v>-5441.8056189622612</v>
      </c>
      <c r="I181" s="270">
        <v>2904.8550206906643</v>
      </c>
      <c r="J181" s="270">
        <v>7928.1468299227363</v>
      </c>
      <c r="K181" s="270">
        <v>-5023.2918092320715</v>
      </c>
      <c r="L181" s="270">
        <v>2.4364489760842756</v>
      </c>
      <c r="M181" s="270">
        <v>35898.745937</v>
      </c>
      <c r="N181" s="270">
        <f t="shared" si="86"/>
        <v>35901.182385976084</v>
      </c>
      <c r="O181" s="270">
        <f t="shared" si="90"/>
        <v>2980.8885929418248</v>
      </c>
      <c r="P181" s="270">
        <v>60.726345360198934</v>
      </c>
      <c r="Q181" s="270">
        <v>-1422.2154476666667</v>
      </c>
      <c r="R181" s="270">
        <v>232.20062900000002</v>
      </c>
      <c r="S181" s="270">
        <v>20016.425512349142</v>
      </c>
      <c r="T181" s="270">
        <v>-15153.925444930986</v>
      </c>
      <c r="U181" s="270">
        <f t="shared" si="89"/>
        <v>3672.4852487514891</v>
      </c>
      <c r="V181" s="270">
        <f t="shared" si="67"/>
        <v>630.87031044946525</v>
      </c>
      <c r="X181" s="667"/>
    </row>
    <row r="182" spans="1:24" s="153" customFormat="1" ht="12" customHeight="1" x14ac:dyDescent="0.2">
      <c r="A182" s="795" t="s">
        <v>2730</v>
      </c>
      <c r="B182" s="212" t="s">
        <v>548</v>
      </c>
      <c r="C182" s="214">
        <v>48140.976276011716</v>
      </c>
      <c r="D182" s="214">
        <v>74403.232773441487</v>
      </c>
      <c r="E182" s="214">
        <v>-26262.256497429764</v>
      </c>
      <c r="F182" s="214">
        <v>7724.7524124093561</v>
      </c>
      <c r="G182" s="214">
        <v>14884.798635729492</v>
      </c>
      <c r="H182" s="214">
        <v>-7160.0462233201379</v>
      </c>
      <c r="I182" s="214">
        <v>2908.2684551676566</v>
      </c>
      <c r="J182" s="214">
        <v>7367.2740852416364</v>
      </c>
      <c r="K182" s="214">
        <v>-4459.0056300739789</v>
      </c>
      <c r="L182" s="214">
        <v>263.45544288246629</v>
      </c>
      <c r="M182" s="214">
        <v>40125.454698703579</v>
      </c>
      <c r="N182" s="214">
        <f>L182+M182</f>
        <v>40388.910141586042</v>
      </c>
      <c r="O182" s="214">
        <f t="shared" si="90"/>
        <v>2507.6017907621572</v>
      </c>
      <c r="P182" s="214">
        <v>1273.5545533378611</v>
      </c>
      <c r="Q182" s="214">
        <v>-1422.2154476666667</v>
      </c>
      <c r="R182" s="214">
        <v>171.22006481481452</v>
      </c>
      <c r="S182" s="214">
        <v>-14149.499163055723</v>
      </c>
      <c r="T182" s="214">
        <v>24853.766701172852</v>
      </c>
      <c r="U182" s="214">
        <f>Q182+R182+S182+T182</f>
        <v>9453.2721552652765</v>
      </c>
      <c r="V182" s="214">
        <f t="shared" si="67"/>
        <v>5672.1158111652585</v>
      </c>
      <c r="X182" s="667"/>
    </row>
    <row r="183" spans="1:24" s="153" customFormat="1" ht="12" customHeight="1" thickBot="1" x14ac:dyDescent="0.25">
      <c r="A183" s="795" t="s">
        <v>2730</v>
      </c>
      <c r="B183" s="1649" t="s">
        <v>556</v>
      </c>
      <c r="C183" s="1493">
        <v>48506.515056087868</v>
      </c>
      <c r="D183" s="1493">
        <v>75705.082177616438</v>
      </c>
      <c r="E183" s="1493">
        <v>-27198.567121528566</v>
      </c>
      <c r="F183" s="1493">
        <v>7606.2510429758622</v>
      </c>
      <c r="G183" s="1493">
        <v>13094.554477582975</v>
      </c>
      <c r="H183" s="1493">
        <v>-5488.3034346071117</v>
      </c>
      <c r="I183" s="1493">
        <v>2802.4177372094723</v>
      </c>
      <c r="J183" s="1493">
        <v>6107.4209174549114</v>
      </c>
      <c r="K183" s="1493">
        <v>-3305.0031802454387</v>
      </c>
      <c r="L183" s="1493">
        <v>0.4500926805576233</v>
      </c>
      <c r="M183" s="1493">
        <v>39218.215110576777</v>
      </c>
      <c r="N183" s="1493">
        <f>(L183+M183)/10</f>
        <v>3921.8665203257333</v>
      </c>
      <c r="O183" s="1493">
        <f>(E183+H183+K183+N183)/10</f>
        <v>-3207.0007216055383</v>
      </c>
      <c r="P183" s="1493">
        <v>12.600713661749058</v>
      </c>
      <c r="Q183" s="1493">
        <v>-1599.2963605666662</v>
      </c>
      <c r="R183" s="1493">
        <v>221.98232403846151</v>
      </c>
      <c r="S183" s="1493">
        <v>12529.427702515331</v>
      </c>
      <c r="T183" s="1493">
        <v>-5673.7291335456321</v>
      </c>
      <c r="U183" s="1493">
        <f>(Q183+R183+S183+T183)/10</f>
        <v>547.83845324414938</v>
      </c>
      <c r="V183" s="1493">
        <f>(-(O183+P183-U183))/10</f>
        <v>374.22384611879386</v>
      </c>
      <c r="X183" s="667"/>
    </row>
    <row r="184" spans="1:24" s="154" customFormat="1" ht="11.25" customHeight="1" x14ac:dyDescent="0.2">
      <c r="A184" s="2152" t="s">
        <v>1338</v>
      </c>
      <c r="B184" s="161"/>
      <c r="C184" s="2581" t="s">
        <v>1268</v>
      </c>
      <c r="D184" s="2581"/>
      <c r="E184" s="2581"/>
      <c r="F184" s="2581"/>
      <c r="G184" s="2581"/>
      <c r="H184" s="2581"/>
      <c r="I184" s="161" t="s">
        <v>30</v>
      </c>
      <c r="J184" s="2582" t="s">
        <v>2536</v>
      </c>
      <c r="K184" s="2582"/>
      <c r="L184" s="2582"/>
      <c r="M184" s="2582"/>
      <c r="N184" s="2582"/>
      <c r="O184" s="2582"/>
      <c r="P184" s="153" t="s">
        <v>1339</v>
      </c>
      <c r="Q184" s="153"/>
      <c r="R184" s="153"/>
      <c r="S184" s="153"/>
      <c r="T184" s="153"/>
      <c r="U184" s="153"/>
      <c r="V184" s="153"/>
    </row>
    <row r="185" spans="1:24" s="154" customFormat="1" ht="14.25" customHeight="1" x14ac:dyDescent="0.2">
      <c r="A185" s="810" t="s">
        <v>16</v>
      </c>
      <c r="B185" s="1290"/>
      <c r="C185" s="2583" t="s">
        <v>2474</v>
      </c>
      <c r="D185" s="2583"/>
      <c r="E185" s="2583"/>
      <c r="F185" s="153"/>
      <c r="G185" s="153" t="s">
        <v>253</v>
      </c>
      <c r="H185" s="153"/>
      <c r="I185" s="153"/>
      <c r="J185" s="2582"/>
      <c r="K185" s="2582"/>
      <c r="L185" s="2582"/>
      <c r="M185" s="2582"/>
      <c r="N185" s="2582"/>
      <c r="O185" s="2582"/>
      <c r="P185" s="153" t="s">
        <v>1340</v>
      </c>
      <c r="Q185" s="153"/>
      <c r="R185" s="153"/>
      <c r="S185" s="153"/>
      <c r="T185" s="153"/>
      <c r="U185" s="153"/>
      <c r="V185" s="153"/>
    </row>
    <row r="186" spans="1:24" s="154" customFormat="1" x14ac:dyDescent="0.2">
      <c r="A186" s="160"/>
      <c r="G186" s="154" t="s">
        <v>2871</v>
      </c>
      <c r="J186" s="2586" t="s">
        <v>2476</v>
      </c>
      <c r="K186" s="2586"/>
      <c r="L186" s="2586"/>
      <c r="M186" s="2586"/>
      <c r="N186" s="2586"/>
      <c r="O186" s="2586"/>
      <c r="P186" s="153" t="s">
        <v>253</v>
      </c>
    </row>
    <row r="187" spans="1:24" s="154" customFormat="1" x14ac:dyDescent="0.2">
      <c r="A187" s="160"/>
      <c r="J187" s="2586" t="s">
        <v>2475</v>
      </c>
      <c r="K187" s="2586"/>
      <c r="L187" s="2586"/>
      <c r="M187" s="2586"/>
      <c r="N187" s="2586"/>
      <c r="O187" s="211"/>
      <c r="Q187" s="436"/>
    </row>
    <row r="188" spans="1:24" s="154" customFormat="1" x14ac:dyDescent="0.2">
      <c r="A188" s="160"/>
      <c r="H188" s="163"/>
    </row>
    <row r="189" spans="1:24" s="154" customFormat="1" x14ac:dyDescent="0.2">
      <c r="A189" s="160"/>
      <c r="T189" s="163"/>
      <c r="U189" s="163"/>
      <c r="V189" s="163"/>
      <c r="W189" s="163"/>
    </row>
    <row r="190" spans="1:24" s="154" customFormat="1" x14ac:dyDescent="0.2">
      <c r="A190" s="160"/>
    </row>
    <row r="191" spans="1:24" s="154" customFormat="1" x14ac:dyDescent="0.2">
      <c r="A191" s="160"/>
      <c r="C191" s="163"/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</row>
    <row r="192" spans="1:24" s="154" customFormat="1" x14ac:dyDescent="0.2">
      <c r="A192" s="160"/>
      <c r="V192" s="163"/>
    </row>
    <row r="193" spans="1:8" s="154" customFormat="1" x14ac:dyDescent="0.2">
      <c r="A193" s="160"/>
      <c r="H193" s="163"/>
    </row>
    <row r="194" spans="1:8" s="154" customFormat="1" x14ac:dyDescent="0.2">
      <c r="A194" s="160"/>
    </row>
    <row r="195" spans="1:8" s="154" customFormat="1" x14ac:dyDescent="0.2">
      <c r="A195" s="160"/>
    </row>
    <row r="196" spans="1:8" s="154" customFormat="1" x14ac:dyDescent="0.2">
      <c r="A196" s="160"/>
    </row>
    <row r="197" spans="1:8" s="154" customFormat="1" x14ac:dyDescent="0.2">
      <c r="A197" s="160"/>
    </row>
    <row r="198" spans="1:8" s="154" customFormat="1" x14ac:dyDescent="0.2">
      <c r="A198" s="160"/>
    </row>
    <row r="199" spans="1:8" s="154" customFormat="1" x14ac:dyDescent="0.2">
      <c r="A199" s="160"/>
    </row>
    <row r="200" spans="1:8" s="154" customFormat="1" x14ac:dyDescent="0.2">
      <c r="A200" s="160"/>
    </row>
    <row r="201" spans="1:8" s="154" customFormat="1" x14ac:dyDescent="0.2">
      <c r="A201" s="160"/>
    </row>
    <row r="202" spans="1:8" s="154" customFormat="1" x14ac:dyDescent="0.2">
      <c r="A202" s="160"/>
    </row>
    <row r="203" spans="1:8" s="154" customFormat="1" x14ac:dyDescent="0.2">
      <c r="A203" s="160"/>
      <c r="H203" s="163"/>
    </row>
    <row r="204" spans="1:8" s="154" customFormat="1" x14ac:dyDescent="0.2">
      <c r="A204" s="160"/>
    </row>
    <row r="205" spans="1:8" s="154" customFormat="1" x14ac:dyDescent="0.2">
      <c r="A205" s="160"/>
    </row>
    <row r="206" spans="1:8" s="154" customFormat="1" x14ac:dyDescent="0.2">
      <c r="A206" s="160"/>
    </row>
    <row r="207" spans="1:8" s="154" customFormat="1" x14ac:dyDescent="0.2">
      <c r="A207" s="160"/>
    </row>
    <row r="208" spans="1:8" s="154" customFormat="1" x14ac:dyDescent="0.2">
      <c r="A208" s="160"/>
    </row>
    <row r="209" spans="1:1" s="154" customFormat="1" x14ac:dyDescent="0.2">
      <c r="A209" s="160"/>
    </row>
    <row r="210" spans="1:1" s="154" customFormat="1" x14ac:dyDescent="0.2">
      <c r="A210" s="160"/>
    </row>
    <row r="211" spans="1:1" s="154" customFormat="1" x14ac:dyDescent="0.2">
      <c r="A211" s="160"/>
    </row>
    <row r="212" spans="1:1" s="154" customFormat="1" x14ac:dyDescent="0.2">
      <c r="A212" s="160"/>
    </row>
    <row r="213" spans="1:1" s="154" customFormat="1" x14ac:dyDescent="0.2">
      <c r="A213" s="160"/>
    </row>
    <row r="214" spans="1:1" s="154" customFormat="1" x14ac:dyDescent="0.2">
      <c r="A214" s="160"/>
    </row>
    <row r="215" spans="1:1" s="154" customFormat="1" x14ac:dyDescent="0.2">
      <c r="A215" s="160"/>
    </row>
    <row r="216" spans="1:1" s="154" customFormat="1" x14ac:dyDescent="0.2">
      <c r="A216" s="160"/>
    </row>
    <row r="217" spans="1:1" s="154" customFormat="1" x14ac:dyDescent="0.2">
      <c r="A217" s="160"/>
    </row>
    <row r="218" spans="1:1" s="154" customFormat="1" x14ac:dyDescent="0.2">
      <c r="A218" s="160"/>
    </row>
    <row r="219" spans="1:1" s="154" customFormat="1" x14ac:dyDescent="0.2">
      <c r="A219" s="160"/>
    </row>
    <row r="220" spans="1:1" s="154" customFormat="1" x14ac:dyDescent="0.2">
      <c r="A220" s="160"/>
    </row>
    <row r="221" spans="1:1" s="154" customFormat="1" x14ac:dyDescent="0.2">
      <c r="A221" s="160"/>
    </row>
    <row r="222" spans="1:1" s="154" customFormat="1" x14ac:dyDescent="0.2">
      <c r="A222" s="160"/>
    </row>
    <row r="223" spans="1:1" s="154" customFormat="1" x14ac:dyDescent="0.2">
      <c r="A223" s="160"/>
    </row>
    <row r="224" spans="1:1" s="154" customFormat="1" x14ac:dyDescent="0.2">
      <c r="A224" s="160"/>
    </row>
    <row r="225" spans="1:1" s="154" customFormat="1" x14ac:dyDescent="0.2">
      <c r="A225" s="160"/>
    </row>
    <row r="226" spans="1:1" s="154" customFormat="1" x14ac:dyDescent="0.2">
      <c r="A226" s="160"/>
    </row>
    <row r="227" spans="1:1" s="154" customFormat="1" x14ac:dyDescent="0.2">
      <c r="A227" s="160"/>
    </row>
    <row r="228" spans="1:1" s="154" customFormat="1" x14ac:dyDescent="0.2">
      <c r="A228" s="160"/>
    </row>
    <row r="229" spans="1:1" s="154" customFormat="1" x14ac:dyDescent="0.2">
      <c r="A229" s="160"/>
    </row>
    <row r="230" spans="1:1" s="154" customFormat="1" x14ac:dyDescent="0.2">
      <c r="A230" s="160"/>
    </row>
    <row r="231" spans="1:1" s="154" customFormat="1" x14ac:dyDescent="0.2">
      <c r="A231" s="160"/>
    </row>
    <row r="232" spans="1:1" s="154" customFormat="1" x14ac:dyDescent="0.2">
      <c r="A232" s="160"/>
    </row>
    <row r="233" spans="1:1" s="154" customFormat="1" x14ac:dyDescent="0.2">
      <c r="A233" s="160"/>
    </row>
    <row r="234" spans="1:1" s="154" customFormat="1" x14ac:dyDescent="0.2">
      <c r="A234" s="160"/>
    </row>
    <row r="235" spans="1:1" s="154" customFormat="1" x14ac:dyDescent="0.2">
      <c r="A235" s="160"/>
    </row>
    <row r="236" spans="1:1" s="154" customFormat="1" x14ac:dyDescent="0.2">
      <c r="A236" s="160"/>
    </row>
    <row r="237" spans="1:1" s="154" customFormat="1" x14ac:dyDescent="0.2">
      <c r="A237" s="160"/>
    </row>
    <row r="238" spans="1:1" s="154" customFormat="1" x14ac:dyDescent="0.2">
      <c r="A238" s="160"/>
    </row>
    <row r="239" spans="1:1" s="154" customFormat="1" x14ac:dyDescent="0.2">
      <c r="A239" s="160"/>
    </row>
    <row r="240" spans="1:1" s="154" customFormat="1" x14ac:dyDescent="0.2">
      <c r="A240" s="160"/>
    </row>
    <row r="241" spans="1:1" s="154" customFormat="1" x14ac:dyDescent="0.2">
      <c r="A241" s="160"/>
    </row>
    <row r="242" spans="1:1" s="154" customFormat="1" x14ac:dyDescent="0.2">
      <c r="A242" s="160"/>
    </row>
    <row r="243" spans="1:1" s="154" customFormat="1" x14ac:dyDescent="0.2">
      <c r="A243" s="160"/>
    </row>
    <row r="244" spans="1:1" s="154" customFormat="1" x14ac:dyDescent="0.2">
      <c r="A244" s="160"/>
    </row>
    <row r="245" spans="1:1" s="154" customFormat="1" x14ac:dyDescent="0.2">
      <c r="A245" s="160"/>
    </row>
    <row r="246" spans="1:1" s="154" customFormat="1" x14ac:dyDescent="0.2">
      <c r="A246" s="160"/>
    </row>
    <row r="247" spans="1:1" s="154" customFormat="1" x14ac:dyDescent="0.2">
      <c r="A247" s="160"/>
    </row>
    <row r="248" spans="1:1" s="154" customFormat="1" x14ac:dyDescent="0.2">
      <c r="A248" s="160"/>
    </row>
    <row r="249" spans="1:1" s="154" customFormat="1" x14ac:dyDescent="0.2">
      <c r="A249" s="160"/>
    </row>
    <row r="250" spans="1:1" s="154" customFormat="1" x14ac:dyDescent="0.2">
      <c r="A250" s="160"/>
    </row>
    <row r="251" spans="1:1" s="154" customFormat="1" x14ac:dyDescent="0.2">
      <c r="A251" s="160"/>
    </row>
    <row r="252" spans="1:1" s="154" customFormat="1" x14ac:dyDescent="0.2">
      <c r="A252" s="160"/>
    </row>
    <row r="253" spans="1:1" s="154" customFormat="1" x14ac:dyDescent="0.2">
      <c r="A253" s="160"/>
    </row>
    <row r="254" spans="1:1" s="154" customFormat="1" x14ac:dyDescent="0.2">
      <c r="A254" s="160"/>
    </row>
    <row r="255" spans="1:1" s="154" customFormat="1" x14ac:dyDescent="0.2">
      <c r="A255" s="160"/>
    </row>
    <row r="256" spans="1:1" s="154" customFormat="1" x14ac:dyDescent="0.2">
      <c r="A256" s="160"/>
    </row>
    <row r="257" spans="1:1" s="154" customFormat="1" x14ac:dyDescent="0.2">
      <c r="A257" s="160"/>
    </row>
    <row r="258" spans="1:1" s="154" customFormat="1" x14ac:dyDescent="0.2">
      <c r="A258" s="160"/>
    </row>
    <row r="259" spans="1:1" s="154" customFormat="1" x14ac:dyDescent="0.2">
      <c r="A259" s="160"/>
    </row>
    <row r="260" spans="1:1" s="154" customFormat="1" x14ac:dyDescent="0.2">
      <c r="A260" s="160"/>
    </row>
    <row r="261" spans="1:1" s="154" customFormat="1" x14ac:dyDescent="0.2">
      <c r="A261" s="160"/>
    </row>
    <row r="262" spans="1:1" s="154" customFormat="1" x14ac:dyDescent="0.2">
      <c r="A262" s="160"/>
    </row>
    <row r="263" spans="1:1" s="154" customFormat="1" x14ac:dyDescent="0.2">
      <c r="A263" s="160"/>
    </row>
    <row r="264" spans="1:1" s="154" customFormat="1" x14ac:dyDescent="0.2">
      <c r="A264" s="160"/>
    </row>
    <row r="265" spans="1:1" s="154" customFormat="1" x14ac:dyDescent="0.2">
      <c r="A265" s="160"/>
    </row>
    <row r="266" spans="1:1" s="154" customFormat="1" x14ac:dyDescent="0.2">
      <c r="A266" s="160"/>
    </row>
    <row r="267" spans="1:1" s="154" customFormat="1" x14ac:dyDescent="0.2">
      <c r="A267" s="160"/>
    </row>
    <row r="268" spans="1:1" s="154" customFormat="1" x14ac:dyDescent="0.2">
      <c r="A268" s="160"/>
    </row>
    <row r="269" spans="1:1" s="154" customFormat="1" x14ac:dyDescent="0.2">
      <c r="A269" s="160"/>
    </row>
    <row r="270" spans="1:1" s="154" customFormat="1" x14ac:dyDescent="0.2">
      <c r="A270" s="160"/>
    </row>
    <row r="271" spans="1:1" s="154" customFormat="1" x14ac:dyDescent="0.2">
      <c r="A271" s="160"/>
    </row>
    <row r="272" spans="1:1" s="154" customFormat="1" x14ac:dyDescent="0.2">
      <c r="A272" s="160"/>
    </row>
    <row r="273" spans="1:1" s="154" customFormat="1" x14ac:dyDescent="0.2">
      <c r="A273" s="160"/>
    </row>
    <row r="274" spans="1:1" s="154" customFormat="1" x14ac:dyDescent="0.2">
      <c r="A274" s="160"/>
    </row>
    <row r="275" spans="1:1" s="154" customFormat="1" x14ac:dyDescent="0.2">
      <c r="A275" s="160"/>
    </row>
    <row r="276" spans="1:1" s="154" customFormat="1" x14ac:dyDescent="0.2">
      <c r="A276" s="160"/>
    </row>
    <row r="277" spans="1:1" s="154" customFormat="1" x14ac:dyDescent="0.2">
      <c r="A277" s="160"/>
    </row>
    <row r="278" spans="1:1" s="154" customFormat="1" x14ac:dyDescent="0.2">
      <c r="A278" s="160"/>
    </row>
    <row r="279" spans="1:1" s="154" customFormat="1" x14ac:dyDescent="0.2">
      <c r="A279" s="160"/>
    </row>
    <row r="280" spans="1:1" s="154" customFormat="1" x14ac:dyDescent="0.2">
      <c r="A280" s="160"/>
    </row>
    <row r="281" spans="1:1" s="154" customFormat="1" x14ac:dyDescent="0.2">
      <c r="A281" s="160"/>
    </row>
    <row r="282" spans="1:1" s="154" customFormat="1" x14ac:dyDescent="0.2">
      <c r="A282" s="160"/>
    </row>
    <row r="283" spans="1:1" s="154" customFormat="1" x14ac:dyDescent="0.2">
      <c r="A283" s="160"/>
    </row>
    <row r="284" spans="1:1" s="154" customFormat="1" x14ac:dyDescent="0.2">
      <c r="A284" s="160"/>
    </row>
    <row r="285" spans="1:1" s="154" customFormat="1" x14ac:dyDescent="0.2">
      <c r="A285" s="160"/>
    </row>
    <row r="286" spans="1:1" s="154" customFormat="1" x14ac:dyDescent="0.2">
      <c r="A286" s="160"/>
    </row>
    <row r="287" spans="1:1" s="154" customFormat="1" x14ac:dyDescent="0.2">
      <c r="A287" s="160"/>
    </row>
    <row r="288" spans="1:1" s="154" customFormat="1" x14ac:dyDescent="0.2">
      <c r="A288" s="160"/>
    </row>
    <row r="289" spans="1:22" s="154" customFormat="1" x14ac:dyDescent="0.2">
      <c r="A289" s="160"/>
    </row>
    <row r="290" spans="1:22" s="154" customFormat="1" x14ac:dyDescent="0.2">
      <c r="A290" s="160"/>
    </row>
    <row r="291" spans="1:22" s="154" customFormat="1" x14ac:dyDescent="0.2">
      <c r="A291" s="160"/>
    </row>
    <row r="292" spans="1:22" s="154" customFormat="1" x14ac:dyDescent="0.2">
      <c r="A292" s="160"/>
    </row>
    <row r="293" spans="1:22" s="154" customFormat="1" x14ac:dyDescent="0.2">
      <c r="A293" s="160"/>
    </row>
    <row r="294" spans="1:22" s="154" customFormat="1" x14ac:dyDescent="0.2">
      <c r="A294" s="160"/>
    </row>
    <row r="295" spans="1:22" x14ac:dyDescent="0.2">
      <c r="A295" s="160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</row>
    <row r="296" spans="1:22" x14ac:dyDescent="0.2">
      <c r="A296" s="160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</row>
    <row r="297" spans="1:22" x14ac:dyDescent="0.2">
      <c r="A297" s="160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</row>
    <row r="298" spans="1:22" x14ac:dyDescent="0.2">
      <c r="A298" s="160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</row>
    <row r="299" spans="1:22" x14ac:dyDescent="0.2">
      <c r="A299" s="160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</row>
    <row r="300" spans="1:22" x14ac:dyDescent="0.2">
      <c r="A300" s="160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</row>
    <row r="301" spans="1:22" x14ac:dyDescent="0.2">
      <c r="A301" s="160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</row>
    <row r="302" spans="1:22" x14ac:dyDescent="0.2">
      <c r="A302" s="160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</row>
    <row r="303" spans="1:22" x14ac:dyDescent="0.2">
      <c r="A303" s="160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</row>
    <row r="304" spans="1:22" x14ac:dyDescent="0.2">
      <c r="A304" s="160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</row>
    <row r="305" spans="1:22" x14ac:dyDescent="0.2">
      <c r="A305" s="160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</row>
    <row r="306" spans="1:22" x14ac:dyDescent="0.2">
      <c r="A306" s="160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</row>
  </sheetData>
  <customSheetViews>
    <customSheetView guid="{A374FC54-96E3-45F0-9C12-8450400C12DF}" scale="160">
      <pane xSplit="1" ySplit="5" topLeftCell="Q47" activePane="bottomRight" state="frozen"/>
      <selection pane="bottomRight" activeCell="X54" sqref="X54"/>
      <pageMargins left="0.62992125984252001" right="0.511811023622047" top="0.511811023622047" bottom="0.511811023622047" header="0" footer="0.47244094488188998"/>
      <pageSetup paperSize="132" firstPageNumber="28" orientation="portrait" useFirstPageNumber="1" r:id="rId1"/>
      <headerFooter alignWithMargins="0">
        <oddFooter>&amp;C&amp;"Times New Roman,Regular"&amp;8&amp;P</oddFooter>
      </headerFooter>
    </customSheetView>
  </customSheetViews>
  <mergeCells count="22">
    <mergeCell ref="J187:N187"/>
    <mergeCell ref="P1:S1"/>
    <mergeCell ref="F3:H3"/>
    <mergeCell ref="Q3:U3"/>
    <mergeCell ref="C3:E3"/>
    <mergeCell ref="U2:V2"/>
    <mergeCell ref="T1:V1"/>
    <mergeCell ref="I3:K3"/>
    <mergeCell ref="I1:J1"/>
    <mergeCell ref="M1:O1"/>
    <mergeCell ref="M2:O2"/>
    <mergeCell ref="G1:H1"/>
    <mergeCell ref="L3:N3"/>
    <mergeCell ref="P3:P4"/>
    <mergeCell ref="V3:V5"/>
    <mergeCell ref="J186:O186"/>
    <mergeCell ref="A3:A5"/>
    <mergeCell ref="C184:H184"/>
    <mergeCell ref="J184:O185"/>
    <mergeCell ref="C185:E185"/>
    <mergeCell ref="O3:O4"/>
    <mergeCell ref="B3:B5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130"/>
  <sheetViews>
    <sheetView zoomScale="150" zoomScaleNormal="150"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H2"/>
    </sheetView>
  </sheetViews>
  <sheetFormatPr defaultRowHeight="12.75" x14ac:dyDescent="0.2"/>
  <cols>
    <col min="1" max="1" width="7.85546875" style="1583" customWidth="1"/>
    <col min="2" max="2" width="7.85546875" style="1692" customWidth="1"/>
    <col min="3" max="3" width="8.28515625" style="1583" customWidth="1"/>
    <col min="4" max="4" width="9.42578125" style="1583" customWidth="1"/>
    <col min="5" max="5" width="9.140625" style="1583"/>
    <col min="6" max="7" width="8.28515625" style="1583" customWidth="1"/>
    <col min="8" max="8" width="9.140625" style="1583"/>
    <col min="9" max="9" width="8.5703125" style="1583" customWidth="1"/>
    <col min="10" max="10" width="9.85546875" style="1583" customWidth="1"/>
    <col min="11" max="16384" width="9.140625" style="1583"/>
  </cols>
  <sheetData>
    <row r="1" spans="1:10" ht="15.75" customHeight="1" x14ac:dyDescent="0.25">
      <c r="A1" s="2601" t="s">
        <v>1233</v>
      </c>
      <c r="B1" s="2601"/>
      <c r="C1" s="2601"/>
      <c r="D1" s="2601"/>
      <c r="E1" s="2601"/>
      <c r="F1" s="2601"/>
      <c r="G1" s="2601"/>
      <c r="H1" s="2601"/>
      <c r="I1" s="140"/>
      <c r="J1" s="1584" t="s">
        <v>309</v>
      </c>
    </row>
    <row r="2" spans="1:10" ht="15" customHeight="1" x14ac:dyDescent="0.25">
      <c r="A2" s="2601"/>
      <c r="B2" s="2601"/>
      <c r="C2" s="2601"/>
      <c r="D2" s="2601"/>
      <c r="E2" s="2601"/>
      <c r="F2" s="2601"/>
      <c r="G2" s="2601"/>
      <c r="H2" s="2601"/>
      <c r="I2" s="140"/>
    </row>
    <row r="3" spans="1:10" ht="10.5" customHeight="1" x14ac:dyDescent="0.2">
      <c r="A3" s="890"/>
      <c r="B3" s="890"/>
      <c r="C3" s="891"/>
      <c r="D3" s="891"/>
      <c r="E3" s="891"/>
      <c r="G3" s="839"/>
      <c r="I3" s="2602" t="s">
        <v>0</v>
      </c>
      <c r="J3" s="2602"/>
    </row>
    <row r="4" spans="1:10" s="141" customFormat="1" ht="12.95" customHeight="1" x14ac:dyDescent="0.25">
      <c r="A4" s="2603" t="s">
        <v>474</v>
      </c>
      <c r="B4" s="1724"/>
      <c r="C4" s="2604" t="s">
        <v>327</v>
      </c>
      <c r="D4" s="2604"/>
      <c r="E4" s="2604"/>
      <c r="F4" s="2604"/>
      <c r="G4" s="2604" t="s">
        <v>328</v>
      </c>
      <c r="H4" s="2604"/>
      <c r="I4" s="2604"/>
      <c r="J4" s="2604"/>
    </row>
    <row r="5" spans="1:10" ht="36" x14ac:dyDescent="0.2">
      <c r="A5" s="2603"/>
      <c r="B5" s="1724" t="s">
        <v>3181</v>
      </c>
      <c r="C5" s="1725" t="s">
        <v>748</v>
      </c>
      <c r="D5" s="1725" t="s">
        <v>768</v>
      </c>
      <c r="E5" s="1725" t="s">
        <v>770</v>
      </c>
      <c r="F5" s="1725" t="s">
        <v>329</v>
      </c>
      <c r="G5" s="1725" t="s">
        <v>749</v>
      </c>
      <c r="H5" s="1725" t="s">
        <v>771</v>
      </c>
      <c r="I5" s="1725" t="s">
        <v>769</v>
      </c>
      <c r="J5" s="1725" t="s">
        <v>330</v>
      </c>
    </row>
    <row r="6" spans="1:10" s="1707" customFormat="1" x14ac:dyDescent="0.2">
      <c r="A6" s="1724"/>
      <c r="B6" s="1724"/>
      <c r="C6" s="1725">
        <v>1</v>
      </c>
      <c r="D6" s="1725">
        <v>2</v>
      </c>
      <c r="E6" s="1725">
        <v>3</v>
      </c>
      <c r="F6" s="1725">
        <v>4</v>
      </c>
      <c r="G6" s="1725">
        <v>5</v>
      </c>
      <c r="H6" s="1725">
        <v>6</v>
      </c>
      <c r="I6" s="1725">
        <v>7</v>
      </c>
      <c r="J6" s="1725">
        <v>8</v>
      </c>
    </row>
    <row r="7" spans="1:10" s="2187" customFormat="1" ht="11.1" customHeight="1" x14ac:dyDescent="0.2">
      <c r="A7" s="144" t="s">
        <v>538</v>
      </c>
      <c r="B7" s="2191"/>
      <c r="C7" s="2192">
        <v>136.71</v>
      </c>
      <c r="D7" s="2192">
        <v>151.27000000000001</v>
      </c>
      <c r="E7" s="2192">
        <v>78.87</v>
      </c>
      <c r="F7" s="2193">
        <v>366.85</v>
      </c>
      <c r="G7" s="2193" t="s">
        <v>288</v>
      </c>
      <c r="H7" s="2193" t="s">
        <v>288</v>
      </c>
      <c r="I7" s="2193" t="s">
        <v>288</v>
      </c>
      <c r="J7" s="2193" t="s">
        <v>288</v>
      </c>
    </row>
    <row r="8" spans="1:10" s="2187" customFormat="1" ht="11.1" customHeight="1" x14ac:dyDescent="0.2">
      <c r="A8" s="144" t="s">
        <v>539</v>
      </c>
      <c r="B8" s="2191"/>
      <c r="C8" s="2193">
        <v>349.02</v>
      </c>
      <c r="D8" s="2194">
        <v>181.31</v>
      </c>
      <c r="E8" s="2194">
        <v>72.97</v>
      </c>
      <c r="F8" s="2194">
        <v>603.29999999999995</v>
      </c>
      <c r="G8" s="2193" t="s">
        <v>288</v>
      </c>
      <c r="H8" s="2193" t="s">
        <v>288</v>
      </c>
      <c r="I8" s="2193" t="s">
        <v>288</v>
      </c>
      <c r="J8" s="2193" t="s">
        <v>288</v>
      </c>
    </row>
    <row r="9" spans="1:10" s="2187" customFormat="1" ht="11.1" customHeight="1" x14ac:dyDescent="0.2">
      <c r="A9" s="144" t="s">
        <v>540</v>
      </c>
      <c r="B9" s="144"/>
      <c r="C9" s="2193">
        <v>195.54</v>
      </c>
      <c r="D9" s="2194">
        <v>120.71</v>
      </c>
      <c r="E9" s="2194">
        <v>77.849999999999994</v>
      </c>
      <c r="F9" s="2194">
        <v>394.1</v>
      </c>
      <c r="G9" s="2193" t="s">
        <v>288</v>
      </c>
      <c r="H9" s="2193" t="s">
        <v>288</v>
      </c>
      <c r="I9" s="2193" t="s">
        <v>288</v>
      </c>
      <c r="J9" s="2193" t="s">
        <v>288</v>
      </c>
    </row>
    <row r="10" spans="1:10" s="2187" customFormat="1" ht="11.1" customHeight="1" x14ac:dyDescent="0.2">
      <c r="A10" s="144" t="s">
        <v>541</v>
      </c>
      <c r="B10" s="2191"/>
      <c r="C10" s="2193">
        <v>152.97999999999999</v>
      </c>
      <c r="D10" s="2194">
        <v>80.709999999999994</v>
      </c>
      <c r="E10" s="2194">
        <v>149.53</v>
      </c>
      <c r="F10" s="2194">
        <v>383.22</v>
      </c>
      <c r="G10" s="2194">
        <v>1010.45</v>
      </c>
      <c r="H10" s="2194">
        <v>505.89</v>
      </c>
      <c r="I10" s="2195">
        <v>459.04</v>
      </c>
      <c r="J10" s="2196">
        <f t="shared" ref="J10:J19" si="0">G10+H10+I10</f>
        <v>1975.38</v>
      </c>
    </row>
    <row r="11" spans="1:10" s="2187" customFormat="1" ht="11.1" customHeight="1" x14ac:dyDescent="0.2">
      <c r="A11" s="144" t="s">
        <v>542</v>
      </c>
      <c r="B11" s="2191"/>
      <c r="C11" s="2193">
        <v>372.27</v>
      </c>
      <c r="D11" s="2194">
        <v>81</v>
      </c>
      <c r="E11" s="2194">
        <v>110.66</v>
      </c>
      <c r="F11" s="2194">
        <v>563.91999999999996</v>
      </c>
      <c r="G11" s="2194">
        <v>1182.07</v>
      </c>
      <c r="H11" s="2194">
        <v>470.44</v>
      </c>
      <c r="I11" s="2195">
        <v>454.29</v>
      </c>
      <c r="J11" s="2196">
        <f t="shared" si="0"/>
        <v>2106.8000000000002</v>
      </c>
    </row>
    <row r="12" spans="1:10" s="2187" customFormat="1" ht="11.1" customHeight="1" x14ac:dyDescent="0.2">
      <c r="A12" s="144" t="s">
        <v>543</v>
      </c>
      <c r="B12" s="2191"/>
      <c r="C12" s="2193">
        <v>230.11</v>
      </c>
      <c r="D12" s="2194">
        <v>84.66</v>
      </c>
      <c r="E12" s="2194">
        <v>79</v>
      </c>
      <c r="F12" s="2194">
        <v>393.76</v>
      </c>
      <c r="G12" s="2194">
        <v>1408.98</v>
      </c>
      <c r="H12" s="2197">
        <v>505.13</v>
      </c>
      <c r="I12" s="2195">
        <v>448.82</v>
      </c>
      <c r="J12" s="2196">
        <f t="shared" si="0"/>
        <v>2362.9300000000003</v>
      </c>
    </row>
    <row r="13" spans="1:10" s="2187" customFormat="1" ht="11.1" customHeight="1" x14ac:dyDescent="0.2">
      <c r="A13" s="144" t="s">
        <v>544</v>
      </c>
      <c r="B13" s="2191"/>
      <c r="C13" s="2193">
        <v>163.98</v>
      </c>
      <c r="D13" s="2194">
        <v>164.97</v>
      </c>
      <c r="E13" s="2194">
        <v>50.23</v>
      </c>
      <c r="F13" s="2194">
        <v>379.18</v>
      </c>
      <c r="G13" s="2194">
        <v>1579.15</v>
      </c>
      <c r="H13" s="2197">
        <v>637.75</v>
      </c>
      <c r="I13" s="2195">
        <v>410.64</v>
      </c>
      <c r="J13" s="2196">
        <f t="shared" si="0"/>
        <v>2627.54</v>
      </c>
    </row>
    <row r="14" spans="1:10" s="2187" customFormat="1" ht="11.1" customHeight="1" x14ac:dyDescent="0.2">
      <c r="A14" s="144" t="s">
        <v>545</v>
      </c>
      <c r="B14" s="2191"/>
      <c r="C14" s="2193">
        <v>111.23</v>
      </c>
      <c r="D14" s="2194">
        <v>161.38</v>
      </c>
      <c r="E14" s="2194">
        <v>11.55</v>
      </c>
      <c r="F14" s="2194">
        <v>284.16000000000003</v>
      </c>
      <c r="G14" s="2194">
        <v>1854.1</v>
      </c>
      <c r="H14" s="2198">
        <v>708.43</v>
      </c>
      <c r="I14" s="2195">
        <v>321.16000000000003</v>
      </c>
      <c r="J14" s="2196">
        <f t="shared" si="0"/>
        <v>2883.6899999999996</v>
      </c>
    </row>
    <row r="15" spans="1:10" s="2187" customFormat="1" ht="11.1" customHeight="1" x14ac:dyDescent="0.2">
      <c r="A15" s="144" t="s">
        <v>546</v>
      </c>
      <c r="B15" s="2191"/>
      <c r="C15" s="2193">
        <v>361.14</v>
      </c>
      <c r="D15" s="2194">
        <v>297.11</v>
      </c>
      <c r="E15" s="2194">
        <v>145.53</v>
      </c>
      <c r="F15" s="2194">
        <v>803.78</v>
      </c>
      <c r="G15" s="2194">
        <v>2123.5</v>
      </c>
      <c r="H15" s="2194">
        <v>880.01</v>
      </c>
      <c r="I15" s="2195">
        <v>362.1</v>
      </c>
      <c r="J15" s="2196">
        <f t="shared" si="0"/>
        <v>3365.61</v>
      </c>
    </row>
    <row r="16" spans="1:10" s="2187" customFormat="1" ht="11.1" customHeight="1" x14ac:dyDescent="0.2">
      <c r="A16" s="144" t="s">
        <v>551</v>
      </c>
      <c r="B16" s="2191"/>
      <c r="C16" s="2193">
        <v>447.22</v>
      </c>
      <c r="D16" s="2194">
        <v>198.64</v>
      </c>
      <c r="E16" s="2194">
        <v>98.75</v>
      </c>
      <c r="F16" s="2194">
        <v>744.61</v>
      </c>
      <c r="G16" s="2194">
        <v>2468.63</v>
      </c>
      <c r="H16" s="2194">
        <v>974.18</v>
      </c>
      <c r="I16" s="2195">
        <v>322.72000000000003</v>
      </c>
      <c r="J16" s="2196">
        <f t="shared" si="0"/>
        <v>3765.5299999999997</v>
      </c>
    </row>
    <row r="17" spans="1:13" s="2187" customFormat="1" ht="11.1" customHeight="1" x14ac:dyDescent="0.2">
      <c r="A17" s="144" t="s">
        <v>560</v>
      </c>
      <c r="B17" s="2191"/>
      <c r="C17" s="2193">
        <v>464.5</v>
      </c>
      <c r="D17" s="2194">
        <v>281</v>
      </c>
      <c r="E17" s="2194">
        <v>47.24</v>
      </c>
      <c r="F17" s="2194">
        <v>792.74</v>
      </c>
      <c r="G17" s="2194">
        <v>2857.96</v>
      </c>
      <c r="H17" s="2194">
        <v>1146.22</v>
      </c>
      <c r="I17" s="2195">
        <v>364.23</v>
      </c>
      <c r="J17" s="2196">
        <f t="shared" si="0"/>
        <v>4368.41</v>
      </c>
    </row>
    <row r="18" spans="1:13" s="2187" customFormat="1" ht="11.1" customHeight="1" x14ac:dyDescent="0.2">
      <c r="A18" s="144" t="s">
        <v>325</v>
      </c>
      <c r="B18" s="2191"/>
      <c r="C18" s="2193">
        <v>545.69000000000005</v>
      </c>
      <c r="D18" s="2194">
        <v>197.71</v>
      </c>
      <c r="E18" s="2194">
        <v>25.29</v>
      </c>
      <c r="F18" s="2194">
        <v>768.69</v>
      </c>
      <c r="G18" s="2196">
        <v>3719.99</v>
      </c>
      <c r="H18" s="2195">
        <v>873.76</v>
      </c>
      <c r="I18" s="2195">
        <v>210.68</v>
      </c>
      <c r="J18" s="2196">
        <f t="shared" si="0"/>
        <v>4804.43</v>
      </c>
    </row>
    <row r="19" spans="1:13" s="2187" customFormat="1" ht="11.1" customHeight="1" x14ac:dyDescent="0.2">
      <c r="A19" s="144" t="s">
        <v>85</v>
      </c>
      <c r="B19" s="2191"/>
      <c r="C19" s="2193">
        <v>535.41999999999996</v>
      </c>
      <c r="D19" s="2194">
        <v>336.61</v>
      </c>
      <c r="E19" s="2194">
        <v>88.56</v>
      </c>
      <c r="F19" s="2194">
        <v>960.58999999999992</v>
      </c>
      <c r="G19" s="2196">
        <v>3909.6</v>
      </c>
      <c r="H19" s="2195">
        <v>903.65</v>
      </c>
      <c r="I19" s="2195">
        <v>325.94</v>
      </c>
      <c r="J19" s="2196">
        <f t="shared" si="0"/>
        <v>5139.1899999999996</v>
      </c>
    </row>
    <row r="20" spans="1:13" s="49" customFormat="1" ht="11.1" customHeight="1" x14ac:dyDescent="0.2">
      <c r="A20" s="295" t="s">
        <v>81</v>
      </c>
      <c r="B20" s="295"/>
      <c r="C20" s="2199">
        <v>515.14</v>
      </c>
      <c r="D20" s="2199">
        <v>331.1</v>
      </c>
      <c r="E20" s="2199">
        <v>66.78</v>
      </c>
      <c r="F20" s="2199">
        <v>913.02</v>
      </c>
      <c r="G20" s="2199">
        <v>5014.96</v>
      </c>
      <c r="H20" s="2199">
        <v>544.21</v>
      </c>
      <c r="I20" s="2199">
        <v>410.29</v>
      </c>
      <c r="J20" s="2200">
        <v>5969.46</v>
      </c>
    </row>
    <row r="21" spans="1:13" s="39" customFormat="1" ht="11.1" customHeight="1" x14ac:dyDescent="0.2">
      <c r="A21" s="144" t="s">
        <v>189</v>
      </c>
      <c r="B21" s="144"/>
      <c r="C21" s="2201">
        <v>249.95</v>
      </c>
      <c r="D21" s="2201">
        <v>445.19</v>
      </c>
      <c r="E21" s="2201">
        <v>83.9</v>
      </c>
      <c r="F21" s="2202">
        <v>779.04</v>
      </c>
      <c r="G21" s="2201">
        <v>5143.7</v>
      </c>
      <c r="H21" s="2201">
        <v>612.69000000000005</v>
      </c>
      <c r="I21" s="2201">
        <v>462.67</v>
      </c>
      <c r="J21" s="2203">
        <v>6219.0599999999995</v>
      </c>
    </row>
    <row r="22" spans="1:13" s="39" customFormat="1" ht="11.1" customHeight="1" x14ac:dyDescent="0.2">
      <c r="A22" s="295" t="s">
        <v>696</v>
      </c>
      <c r="B22" s="295"/>
      <c r="C22" s="2199">
        <v>454.09999999999997</v>
      </c>
      <c r="D22" s="2199">
        <v>542.34999999999991</v>
      </c>
      <c r="E22" s="2199">
        <v>198.42999999999998</v>
      </c>
      <c r="F22" s="2199">
        <v>1194.8799999999999</v>
      </c>
      <c r="G22" s="2199">
        <v>4855.47</v>
      </c>
      <c r="H22" s="2199">
        <v>861.44</v>
      </c>
      <c r="I22" s="2199">
        <v>533.95000000000005</v>
      </c>
      <c r="J22" s="2200">
        <v>6250.86</v>
      </c>
    </row>
    <row r="23" spans="1:13" s="39" customFormat="1" ht="11.1" customHeight="1" x14ac:dyDescent="0.2">
      <c r="A23" s="515" t="s">
        <v>804</v>
      </c>
      <c r="B23" s="515"/>
      <c r="C23" s="2201">
        <v>761.03</v>
      </c>
      <c r="D23" s="2201">
        <v>645.64</v>
      </c>
      <c r="E23" s="2201">
        <v>323.96000000000004</v>
      </c>
      <c r="F23" s="2202">
        <v>1730.63</v>
      </c>
      <c r="G23" s="2201">
        <v>6333.41</v>
      </c>
      <c r="H23" s="2201">
        <v>995.87</v>
      </c>
      <c r="I23" s="2201">
        <v>1033.78</v>
      </c>
      <c r="J23" s="2203">
        <v>8363.06</v>
      </c>
    </row>
    <row r="24" spans="1:13" s="39" customFormat="1" ht="11.1" customHeight="1" x14ac:dyDescent="0.2">
      <c r="A24" s="295" t="s">
        <v>978</v>
      </c>
      <c r="B24" s="295"/>
      <c r="C24" s="2199">
        <v>233.83999999999997</v>
      </c>
      <c r="D24" s="2199">
        <v>795.78</v>
      </c>
      <c r="E24" s="2199">
        <v>450.71999999999997</v>
      </c>
      <c r="F24" s="2199">
        <v>1480.34</v>
      </c>
      <c r="G24" s="2199">
        <v>6375.35</v>
      </c>
      <c r="H24" s="2199">
        <v>964.83</v>
      </c>
      <c r="I24" s="2199">
        <v>2000.05</v>
      </c>
      <c r="J24" s="2200">
        <v>9340.23</v>
      </c>
    </row>
    <row r="25" spans="1:13" s="39" customFormat="1" ht="11.1" customHeight="1" x14ac:dyDescent="0.2">
      <c r="A25" s="515" t="s">
        <v>1029</v>
      </c>
      <c r="B25" s="515"/>
      <c r="C25" s="2201">
        <v>528.03</v>
      </c>
      <c r="D25" s="2201">
        <v>1141.3400000000001</v>
      </c>
      <c r="E25" s="2201">
        <v>164.5</v>
      </c>
      <c r="F25" s="2202">
        <v>1833.8700000000001</v>
      </c>
      <c r="G25" s="2204">
        <v>9027.07</v>
      </c>
      <c r="H25" s="2204">
        <v>1326.11</v>
      </c>
      <c r="I25" s="2204">
        <v>2147.9499999999998</v>
      </c>
      <c r="J25" s="2204">
        <v>12501.130000000001</v>
      </c>
    </row>
    <row r="26" spans="1:13" s="39" customFormat="1" ht="11.1" customHeight="1" x14ac:dyDescent="0.2">
      <c r="A26" s="545" t="s">
        <v>1150</v>
      </c>
      <c r="B26" s="545"/>
      <c r="C26" s="2199">
        <v>505.55</v>
      </c>
      <c r="D26" s="2199">
        <v>1154.4499999999998</v>
      </c>
      <c r="E26" s="2199">
        <v>343.53</v>
      </c>
      <c r="F26" s="2199">
        <v>2003.5299999999997</v>
      </c>
      <c r="G26" s="2205">
        <v>9549.39</v>
      </c>
      <c r="H26" s="2205">
        <v>1585.21</v>
      </c>
      <c r="I26" s="2205">
        <v>2311.54</v>
      </c>
      <c r="J26" s="2205">
        <v>13446.14</v>
      </c>
      <c r="M26" s="972"/>
    </row>
    <row r="27" spans="1:13" s="39" customFormat="1" ht="11.1" customHeight="1" x14ac:dyDescent="0.2">
      <c r="A27" s="515" t="s">
        <v>1174</v>
      </c>
      <c r="B27" s="515"/>
      <c r="C27" s="2201">
        <v>1006.74</v>
      </c>
      <c r="D27" s="2201">
        <v>1253</v>
      </c>
      <c r="E27" s="2201">
        <v>195.07</v>
      </c>
      <c r="F27" s="2201">
        <v>2454.81</v>
      </c>
      <c r="G27" s="2204">
        <v>9527.51</v>
      </c>
      <c r="H27" s="2204">
        <v>2699.93</v>
      </c>
      <c r="I27" s="2204">
        <v>2239.13</v>
      </c>
      <c r="J27" s="2206">
        <v>14466.57</v>
      </c>
      <c r="M27" s="972"/>
    </row>
    <row r="28" spans="1:13" s="39" customFormat="1" ht="11.1" customHeight="1" x14ac:dyDescent="0.2">
      <c r="A28" s="295" t="s">
        <v>1296</v>
      </c>
      <c r="B28" s="295"/>
      <c r="C28" s="2199">
        <v>614.76</v>
      </c>
      <c r="D28" s="2199">
        <v>1253.44</v>
      </c>
      <c r="E28" s="2199">
        <v>712.24</v>
      </c>
      <c r="F28" s="2199">
        <v>2580.4399999999996</v>
      </c>
      <c r="G28" s="2205">
        <v>9895.7800000000007</v>
      </c>
      <c r="H28" s="2205">
        <v>3080.35</v>
      </c>
      <c r="I28" s="2205">
        <v>2815.21</v>
      </c>
      <c r="J28" s="2200">
        <v>15791.34</v>
      </c>
      <c r="M28" s="972"/>
    </row>
    <row r="29" spans="1:13" s="373" customFormat="1" ht="11.1" customHeight="1" x14ac:dyDescent="0.2">
      <c r="A29" s="221" t="s">
        <v>1404</v>
      </c>
      <c r="B29" s="221"/>
      <c r="C29" s="2201">
        <f>C92+C93+C94+C95</f>
        <v>1164.77</v>
      </c>
      <c r="D29" s="2201">
        <f>D92+D93+D94+D95</f>
        <v>988.3</v>
      </c>
      <c r="E29" s="2201">
        <f>E92+E93+E94+E95</f>
        <v>1329.62</v>
      </c>
      <c r="F29" s="2201">
        <f>F92+F93+F94+F95</f>
        <v>3482.6899999999996</v>
      </c>
      <c r="G29" s="2204">
        <f>G95</f>
        <v>11775.91</v>
      </c>
      <c r="H29" s="2204">
        <f>H95</f>
        <v>3021.77</v>
      </c>
      <c r="I29" s="2204">
        <f>I95</f>
        <v>3882.53</v>
      </c>
      <c r="J29" s="2206">
        <f t="shared" ref="J29" si="1">SUM(G29:I29)</f>
        <v>18680.21</v>
      </c>
      <c r="M29" s="972"/>
    </row>
    <row r="30" spans="1:13" s="373" customFormat="1" ht="11.1" customHeight="1" x14ac:dyDescent="0.2">
      <c r="A30" s="545" t="s">
        <v>1484</v>
      </c>
      <c r="B30" s="545"/>
      <c r="C30" s="2199">
        <f>C96+C97+C98+C99</f>
        <v>672.21180217178255</v>
      </c>
      <c r="D30" s="2199">
        <f>D96+D97+D98+D99</f>
        <v>414.36524948094154</v>
      </c>
      <c r="E30" s="2199">
        <f>E96+E97+E98+E99</f>
        <v>119.76738310713577</v>
      </c>
      <c r="F30" s="2199">
        <f>F96+F97+F98+F99</f>
        <v>1206.3444347598597</v>
      </c>
      <c r="G30" s="2205">
        <f>G99</f>
        <v>9832.9799150558283</v>
      </c>
      <c r="H30" s="2205">
        <f>H99</f>
        <v>3228.1462507731453</v>
      </c>
      <c r="I30" s="2205">
        <f>I99</f>
        <v>2792.86</v>
      </c>
      <c r="J30" s="2200">
        <f>SUM(G30:I30)</f>
        <v>15853.986165828974</v>
      </c>
      <c r="M30" s="972"/>
    </row>
    <row r="31" spans="1:13" s="373" customFormat="1" ht="11.1" customHeight="1" x14ac:dyDescent="0.2">
      <c r="A31" s="221" t="s">
        <v>1536</v>
      </c>
      <c r="B31" s="221"/>
      <c r="C31" s="2201">
        <f>C100+C101+C102+C103</f>
        <v>728.1395429193592</v>
      </c>
      <c r="D31" s="2201">
        <f>D100+D101+D102+D103</f>
        <v>486.40375219832436</v>
      </c>
      <c r="E31" s="2201">
        <f>E100+E101+E102+E103</f>
        <v>113.05449579646017</v>
      </c>
      <c r="F31" s="2201">
        <f>F100+F101+F102+F103</f>
        <v>1327.5977909141438</v>
      </c>
      <c r="G31" s="2204">
        <f>G103</f>
        <v>10746.3</v>
      </c>
      <c r="H31" s="2204">
        <f>H103</f>
        <v>3482.674</v>
      </c>
      <c r="I31" s="2204">
        <f>I103</f>
        <v>2591.8440000000001</v>
      </c>
      <c r="J31" s="2206">
        <f>SUM(G31:I31)</f>
        <v>16820.817999999999</v>
      </c>
      <c r="M31" s="972"/>
    </row>
    <row r="32" spans="1:13" s="373" customFormat="1" ht="11.1" customHeight="1" x14ac:dyDescent="0.2">
      <c r="A32" s="545" t="s">
        <v>1817</v>
      </c>
      <c r="B32" s="545"/>
      <c r="C32" s="2199">
        <f>C104+C105+C106+C107</f>
        <v>1136.2284303097997</v>
      </c>
      <c r="D32" s="2199">
        <f>D104+D105+D106+D107</f>
        <v>483.4066575141602</v>
      </c>
      <c r="E32" s="2199">
        <f>E104+E105+E106+E107</f>
        <v>90.892250897865864</v>
      </c>
      <c r="F32" s="2199">
        <f>F104+F105+F106+F107</f>
        <v>1710.5273387218258</v>
      </c>
      <c r="G32" s="2205">
        <f>G107</f>
        <v>10975.522113632853</v>
      </c>
      <c r="H32" s="2205">
        <f>H107</f>
        <v>3695.489942013593</v>
      </c>
      <c r="I32" s="2205">
        <f>I107</f>
        <v>2806.27</v>
      </c>
      <c r="J32" s="2200">
        <f t="shared" ref="J32" si="2">SUM(G32:I32)</f>
        <v>17477.282055646447</v>
      </c>
      <c r="M32" s="972"/>
    </row>
    <row r="33" spans="1:13" s="373" customFormat="1" ht="11.1" customHeight="1" x14ac:dyDescent="0.2">
      <c r="A33" s="221" t="s">
        <v>2066</v>
      </c>
      <c r="B33" s="221"/>
      <c r="C33" s="2201">
        <f>C108+C109+C110+C111</f>
        <v>709.9295798735285</v>
      </c>
      <c r="D33" s="2201">
        <f>D108+D109+D110+D111</f>
        <v>788.07825689303422</v>
      </c>
      <c r="E33" s="2201">
        <f>E108+E109+E110+E111</f>
        <v>107.4560566764363</v>
      </c>
      <c r="F33" s="2201">
        <f>F108+F109+F110+F111</f>
        <v>1605.4638934429991</v>
      </c>
      <c r="G33" s="2204">
        <f>G111</f>
        <v>10597.720442214342</v>
      </c>
      <c r="H33" s="2204">
        <f>H111</f>
        <v>4043.73</v>
      </c>
      <c r="I33" s="2204">
        <f>I111</f>
        <v>2875.56</v>
      </c>
      <c r="J33" s="2206">
        <f>SUM(G33:I33)</f>
        <v>17517.010442214341</v>
      </c>
      <c r="M33" s="972"/>
    </row>
    <row r="34" spans="1:13" s="373" customFormat="1" ht="11.1" customHeight="1" x14ac:dyDescent="0.2">
      <c r="A34" s="545" t="s">
        <v>2206</v>
      </c>
      <c r="B34" s="545"/>
      <c r="C34" s="2199">
        <f>C112+C113+C114+C115</f>
        <v>667.55865143447068</v>
      </c>
      <c r="D34" s="2199">
        <f>D112+D113+D114+D115</f>
        <v>614.870941240467</v>
      </c>
      <c r="E34" s="2199">
        <f>E112+E113+E114+E115</f>
        <v>133.03</v>
      </c>
      <c r="F34" s="2199">
        <f>F112+F113+F114+F115</f>
        <v>1415.4595926749375</v>
      </c>
      <c r="G34" s="2205">
        <f>G115</f>
        <v>10465.309350218979</v>
      </c>
      <c r="H34" s="2205">
        <f>H115</f>
        <v>4285.3725929807633</v>
      </c>
      <c r="I34" s="2205">
        <f>I115</f>
        <v>2976.72</v>
      </c>
      <c r="J34" s="2200">
        <f t="shared" ref="J34" si="3">SUM(G34:I34)</f>
        <v>17727.401943199744</v>
      </c>
    </row>
    <row r="35" spans="1:13" s="373" customFormat="1" ht="11.1" customHeight="1" x14ac:dyDescent="0.2">
      <c r="A35" s="1207" t="s">
        <v>2850</v>
      </c>
      <c r="B35" s="1207"/>
      <c r="C35" s="2201">
        <f>C116+C117+C118+C119</f>
        <v>554.77</v>
      </c>
      <c r="D35" s="2201">
        <f>D116+D117+D118+D119</f>
        <v>758.11</v>
      </c>
      <c r="E35" s="2201">
        <f>E116+E117+E118+E119</f>
        <v>373.36</v>
      </c>
      <c r="F35" s="2201">
        <f>F116+F117+F118+F119</f>
        <v>1686.24</v>
      </c>
      <c r="G35" s="2204">
        <f>G119</f>
        <v>10871.19</v>
      </c>
      <c r="H35" s="2204">
        <f>H119</f>
        <v>4798.46</v>
      </c>
      <c r="I35" s="2204">
        <f>I119</f>
        <v>3285.7</v>
      </c>
      <c r="J35" s="2206">
        <f t="shared" ref="J35" si="4">SUM(G35:I35)</f>
        <v>18955.350000000002</v>
      </c>
      <c r="M35" s="972"/>
    </row>
    <row r="36" spans="1:13" s="2187" customFormat="1" ht="11.1" customHeight="1" x14ac:dyDescent="0.2">
      <c r="A36" s="2188"/>
      <c r="C36" s="2189"/>
      <c r="D36" s="2189"/>
      <c r="E36" s="2189"/>
      <c r="F36" s="2189"/>
      <c r="G36" s="2189"/>
      <c r="H36" s="2189"/>
      <c r="I36" s="2189"/>
      <c r="J36" s="2189"/>
    </row>
    <row r="37" spans="1:13" s="2187" customFormat="1" ht="11.1" customHeight="1" x14ac:dyDescent="0.2">
      <c r="A37" s="2188" t="s">
        <v>3183</v>
      </c>
      <c r="C37" s="2189"/>
      <c r="D37" s="2189"/>
      <c r="E37" s="2189"/>
      <c r="F37" s="2189"/>
      <c r="G37" s="2189"/>
      <c r="H37" s="2189"/>
      <c r="I37" s="2189"/>
      <c r="J37" s="2189"/>
    </row>
    <row r="38" spans="1:13" s="2187" customFormat="1" ht="11.1" customHeight="1" x14ac:dyDescent="0.2">
      <c r="A38" s="2188" t="s">
        <v>538</v>
      </c>
      <c r="B38" s="144" t="s">
        <v>3179</v>
      </c>
      <c r="C38" s="2193">
        <v>40.79</v>
      </c>
      <c r="D38" s="2194">
        <v>79.92</v>
      </c>
      <c r="E38" s="2194">
        <v>36.92</v>
      </c>
      <c r="F38" s="2194">
        <v>157.63</v>
      </c>
      <c r="G38" s="2193" t="s">
        <v>288</v>
      </c>
      <c r="H38" s="2193" t="s">
        <v>288</v>
      </c>
      <c r="I38" s="2193" t="s">
        <v>288</v>
      </c>
      <c r="J38" s="2193" t="s">
        <v>288</v>
      </c>
    </row>
    <row r="39" spans="1:13" s="2187" customFormat="1" ht="11.1" customHeight="1" x14ac:dyDescent="0.2">
      <c r="A39" s="2188" t="s">
        <v>538</v>
      </c>
      <c r="B39" s="144" t="s">
        <v>3180</v>
      </c>
      <c r="C39" s="2193">
        <v>95.92</v>
      </c>
      <c r="D39" s="2194">
        <v>71.349999999999994</v>
      </c>
      <c r="E39" s="2194">
        <v>41.95</v>
      </c>
      <c r="F39" s="2194">
        <v>209.21999999999997</v>
      </c>
      <c r="G39" s="2193" t="s">
        <v>288</v>
      </c>
      <c r="H39" s="2193" t="s">
        <v>288</v>
      </c>
      <c r="I39" s="2193" t="s">
        <v>288</v>
      </c>
      <c r="J39" s="2193" t="s">
        <v>288</v>
      </c>
    </row>
    <row r="40" spans="1:13" s="2187" customFormat="1" ht="11.1" customHeight="1" x14ac:dyDescent="0.2">
      <c r="A40" s="2188" t="s">
        <v>539</v>
      </c>
      <c r="B40" s="144" t="s">
        <v>3179</v>
      </c>
      <c r="C40" s="2193">
        <v>236.14</v>
      </c>
      <c r="D40" s="2194">
        <v>92.1</v>
      </c>
      <c r="E40" s="2194">
        <v>37.83</v>
      </c>
      <c r="F40" s="2194">
        <v>366.07</v>
      </c>
      <c r="G40" s="2193" t="s">
        <v>288</v>
      </c>
      <c r="H40" s="2193" t="s">
        <v>288</v>
      </c>
      <c r="I40" s="2193" t="s">
        <v>288</v>
      </c>
      <c r="J40" s="2193" t="s">
        <v>288</v>
      </c>
    </row>
    <row r="41" spans="1:13" s="2187" customFormat="1" ht="11.1" customHeight="1" x14ac:dyDescent="0.2">
      <c r="A41" s="2188" t="s">
        <v>539</v>
      </c>
      <c r="B41" s="144" t="s">
        <v>3180</v>
      </c>
      <c r="C41" s="2193">
        <v>112.88</v>
      </c>
      <c r="D41" s="2194">
        <v>89.21</v>
      </c>
      <c r="E41" s="2194">
        <v>35.14</v>
      </c>
      <c r="F41" s="2194">
        <v>237.22999999999996</v>
      </c>
      <c r="G41" s="2193" t="s">
        <v>288</v>
      </c>
      <c r="H41" s="2193" t="s">
        <v>288</v>
      </c>
      <c r="I41" s="2193" t="s">
        <v>288</v>
      </c>
      <c r="J41" s="2193" t="s">
        <v>288</v>
      </c>
    </row>
    <row r="42" spans="1:13" s="2187" customFormat="1" ht="11.1" customHeight="1" x14ac:dyDescent="0.2">
      <c r="A42" s="2188" t="s">
        <v>540</v>
      </c>
      <c r="B42" s="144" t="s">
        <v>3179</v>
      </c>
      <c r="C42" s="2193">
        <v>167.63</v>
      </c>
      <c r="D42" s="2194">
        <v>100.67</v>
      </c>
      <c r="E42" s="2194">
        <v>70.930000000000007</v>
      </c>
      <c r="F42" s="2194">
        <v>339.23</v>
      </c>
      <c r="G42" s="2193" t="s">
        <v>288</v>
      </c>
      <c r="H42" s="2193" t="s">
        <v>288</v>
      </c>
      <c r="I42" s="2193" t="s">
        <v>288</v>
      </c>
      <c r="J42" s="2193" t="s">
        <v>288</v>
      </c>
    </row>
    <row r="43" spans="1:13" s="2187" customFormat="1" ht="11.1" customHeight="1" x14ac:dyDescent="0.2">
      <c r="A43" s="2188" t="s">
        <v>540</v>
      </c>
      <c r="B43" s="144" t="s">
        <v>3180</v>
      </c>
      <c r="C43" s="2193">
        <v>27.91</v>
      </c>
      <c r="D43" s="2194">
        <v>20.04</v>
      </c>
      <c r="E43" s="2194">
        <v>6.92</v>
      </c>
      <c r="F43" s="2194">
        <v>54.870000000000005</v>
      </c>
      <c r="G43" s="2193" t="s">
        <v>288</v>
      </c>
      <c r="H43" s="2193" t="s">
        <v>288</v>
      </c>
      <c r="I43" s="2193" t="s">
        <v>288</v>
      </c>
      <c r="J43" s="2193" t="s">
        <v>288</v>
      </c>
    </row>
    <row r="44" spans="1:13" s="2187" customFormat="1" ht="11.1" customHeight="1" x14ac:dyDescent="0.2">
      <c r="A44" s="2188" t="s">
        <v>541</v>
      </c>
      <c r="B44" s="144" t="s">
        <v>3179</v>
      </c>
      <c r="C44" s="2193">
        <v>109.56</v>
      </c>
      <c r="D44" s="2194">
        <v>56.19</v>
      </c>
      <c r="E44" s="2194">
        <v>88.5</v>
      </c>
      <c r="F44" s="2194">
        <v>254.25</v>
      </c>
      <c r="G44" s="2194">
        <v>968.83</v>
      </c>
      <c r="H44" s="2196">
        <v>492.8</v>
      </c>
      <c r="I44" s="2196">
        <v>428.96</v>
      </c>
      <c r="J44" s="2196">
        <f>G44+H44+I44</f>
        <v>1890.5900000000001</v>
      </c>
    </row>
    <row r="45" spans="1:13" s="2187" customFormat="1" ht="11.1" customHeight="1" x14ac:dyDescent="0.2">
      <c r="A45" s="2188" t="s">
        <v>541</v>
      </c>
      <c r="B45" s="144" t="s">
        <v>3180</v>
      </c>
      <c r="C45" s="2193">
        <v>43.42</v>
      </c>
      <c r="D45" s="2194">
        <v>24.52</v>
      </c>
      <c r="E45" s="2194">
        <v>61.03</v>
      </c>
      <c r="F45" s="2194">
        <v>128.97</v>
      </c>
      <c r="G45" s="2194">
        <v>1010.45</v>
      </c>
      <c r="H45" s="2194">
        <v>505.89</v>
      </c>
      <c r="I45" s="2195">
        <v>459.04</v>
      </c>
      <c r="J45" s="2196">
        <f>G45+H45+I45</f>
        <v>1975.38</v>
      </c>
    </row>
    <row r="46" spans="1:13" s="2187" customFormat="1" ht="11.1" customHeight="1" x14ac:dyDescent="0.2">
      <c r="A46" s="2188" t="s">
        <v>542</v>
      </c>
      <c r="B46" s="144" t="s">
        <v>3179</v>
      </c>
      <c r="C46" s="2193">
        <v>306.76</v>
      </c>
      <c r="D46" s="2194">
        <v>53.25</v>
      </c>
      <c r="E46" s="2194">
        <v>89.66</v>
      </c>
      <c r="F46" s="2194">
        <v>449.66999999999996</v>
      </c>
      <c r="G46" s="2194">
        <v>1215.54</v>
      </c>
      <c r="H46" s="2197">
        <v>470.37</v>
      </c>
      <c r="I46" s="2196">
        <v>475.85</v>
      </c>
      <c r="J46" s="2196">
        <f t="shared" ref="J46:J50" si="5">G46+H46+I46</f>
        <v>2161.7599999999998</v>
      </c>
    </row>
    <row r="47" spans="1:13" s="2187" customFormat="1" ht="11.1" customHeight="1" x14ac:dyDescent="0.2">
      <c r="A47" s="2188" t="s">
        <v>542</v>
      </c>
      <c r="B47" s="144" t="s">
        <v>3180</v>
      </c>
      <c r="C47" s="2193">
        <v>65.510000000000005</v>
      </c>
      <c r="D47" s="2194">
        <v>27.75</v>
      </c>
      <c r="E47" s="2194">
        <v>21</v>
      </c>
      <c r="F47" s="2194">
        <v>114.26</v>
      </c>
      <c r="G47" s="2194">
        <v>1182.07</v>
      </c>
      <c r="H47" s="2194">
        <v>470.44</v>
      </c>
      <c r="I47" s="2195">
        <v>454.29</v>
      </c>
      <c r="J47" s="2196">
        <f>G47+H47+I47</f>
        <v>2106.8000000000002</v>
      </c>
    </row>
    <row r="48" spans="1:13" s="2187" customFormat="1" ht="11.1" customHeight="1" x14ac:dyDescent="0.2">
      <c r="A48" s="2188" t="s">
        <v>543</v>
      </c>
      <c r="B48" s="144" t="s">
        <v>3179</v>
      </c>
      <c r="C48" s="2193">
        <v>168.27</v>
      </c>
      <c r="D48" s="2194">
        <v>37.26</v>
      </c>
      <c r="E48" s="2194">
        <v>34.68</v>
      </c>
      <c r="F48" s="2194">
        <v>240.21</v>
      </c>
      <c r="G48" s="2194">
        <v>1325.97</v>
      </c>
      <c r="H48" s="2197">
        <v>494.15</v>
      </c>
      <c r="I48" s="2196">
        <v>382.08</v>
      </c>
      <c r="J48" s="2196">
        <f t="shared" si="5"/>
        <v>2202.1999999999998</v>
      </c>
    </row>
    <row r="49" spans="1:10" s="2187" customFormat="1" ht="11.1" customHeight="1" x14ac:dyDescent="0.2">
      <c r="A49" s="2188" t="s">
        <v>543</v>
      </c>
      <c r="B49" s="144" t="s">
        <v>3180</v>
      </c>
      <c r="C49" s="2193">
        <v>61.84</v>
      </c>
      <c r="D49" s="2194">
        <v>47.4</v>
      </c>
      <c r="E49" s="2194">
        <v>44.32</v>
      </c>
      <c r="F49" s="2194">
        <v>153.56</v>
      </c>
      <c r="G49" s="2194">
        <v>1408.98</v>
      </c>
      <c r="H49" s="2197">
        <v>505.13</v>
      </c>
      <c r="I49" s="2195">
        <v>448.82</v>
      </c>
      <c r="J49" s="2196">
        <f>G49+H49+I49</f>
        <v>2362.9300000000003</v>
      </c>
    </row>
    <row r="50" spans="1:10" s="2187" customFormat="1" ht="11.1" customHeight="1" x14ac:dyDescent="0.2">
      <c r="A50" s="2188" t="s">
        <v>544</v>
      </c>
      <c r="B50" s="144" t="s">
        <v>3179</v>
      </c>
      <c r="C50" s="2193">
        <v>71.97</v>
      </c>
      <c r="D50" s="2194">
        <v>69.42</v>
      </c>
      <c r="E50" s="2194">
        <v>33.36</v>
      </c>
      <c r="F50" s="2194">
        <v>174.75</v>
      </c>
      <c r="G50" s="2196">
        <v>1472.7</v>
      </c>
      <c r="H50" s="2196">
        <v>550.1</v>
      </c>
      <c r="I50" s="2196">
        <v>427.89</v>
      </c>
      <c r="J50" s="2196">
        <f t="shared" si="5"/>
        <v>2450.69</v>
      </c>
    </row>
    <row r="51" spans="1:10" s="2187" customFormat="1" ht="11.1" customHeight="1" x14ac:dyDescent="0.2">
      <c r="A51" s="2188" t="s">
        <v>544</v>
      </c>
      <c r="B51" s="144" t="s">
        <v>3180</v>
      </c>
      <c r="C51" s="2193">
        <v>92.01</v>
      </c>
      <c r="D51" s="2194">
        <v>95.55</v>
      </c>
      <c r="E51" s="2194">
        <v>16.87</v>
      </c>
      <c r="F51" s="2194">
        <v>204.43</v>
      </c>
      <c r="G51" s="2194">
        <v>1579.15</v>
      </c>
      <c r="H51" s="2197">
        <v>637.75</v>
      </c>
      <c r="I51" s="2195">
        <v>410.64</v>
      </c>
      <c r="J51" s="2196">
        <f t="shared" ref="J51:J65" si="6">G51+H51+I51</f>
        <v>2627.54</v>
      </c>
    </row>
    <row r="52" spans="1:10" s="2187" customFormat="1" ht="11.1" customHeight="1" x14ac:dyDescent="0.2">
      <c r="A52" s="2188" t="s">
        <v>545</v>
      </c>
      <c r="B52" s="144" t="s">
        <v>3179</v>
      </c>
      <c r="C52" s="2193">
        <v>64.13</v>
      </c>
      <c r="D52" s="2194">
        <v>74.58</v>
      </c>
      <c r="E52" s="2194">
        <v>7.11</v>
      </c>
      <c r="F52" s="2194">
        <v>145.82</v>
      </c>
      <c r="G52" s="2194">
        <v>1818.86</v>
      </c>
      <c r="H52" s="2198">
        <v>649.08000000000004</v>
      </c>
      <c r="I52" s="2196">
        <v>408.03</v>
      </c>
      <c r="J52" s="2196">
        <f t="shared" si="6"/>
        <v>2875.9700000000003</v>
      </c>
    </row>
    <row r="53" spans="1:10" s="2187" customFormat="1" ht="11.1" customHeight="1" x14ac:dyDescent="0.2">
      <c r="A53" s="2188" t="s">
        <v>545</v>
      </c>
      <c r="B53" s="144" t="s">
        <v>3180</v>
      </c>
      <c r="C53" s="2193">
        <v>47.1</v>
      </c>
      <c r="D53" s="2194">
        <v>86.8</v>
      </c>
      <c r="E53" s="2194">
        <v>4.4400000000000004</v>
      </c>
      <c r="F53" s="2194">
        <v>138.34</v>
      </c>
      <c r="G53" s="2194">
        <v>1854.1</v>
      </c>
      <c r="H53" s="2198">
        <v>708.43</v>
      </c>
      <c r="I53" s="2195">
        <v>321.16000000000003</v>
      </c>
      <c r="J53" s="2196">
        <f t="shared" si="6"/>
        <v>2883.6899999999996</v>
      </c>
    </row>
    <row r="54" spans="1:10" s="2187" customFormat="1" ht="11.1" customHeight="1" x14ac:dyDescent="0.2">
      <c r="A54" s="2188" t="s">
        <v>546</v>
      </c>
      <c r="B54" s="144" t="s">
        <v>3179</v>
      </c>
      <c r="C54" s="2193">
        <v>108.79</v>
      </c>
      <c r="D54" s="2194">
        <v>152.99</v>
      </c>
      <c r="E54" s="2194">
        <v>60.28</v>
      </c>
      <c r="F54" s="2194">
        <v>322.06000000000006</v>
      </c>
      <c r="G54" s="2194">
        <v>1940.57</v>
      </c>
      <c r="H54" s="2194">
        <v>822.04</v>
      </c>
      <c r="I54" s="2196">
        <v>328.07</v>
      </c>
      <c r="J54" s="2196">
        <f t="shared" si="6"/>
        <v>3090.68</v>
      </c>
    </row>
    <row r="55" spans="1:10" s="2187" customFormat="1" ht="11.1" customHeight="1" x14ac:dyDescent="0.2">
      <c r="A55" s="2188" t="s">
        <v>546</v>
      </c>
      <c r="B55" s="144" t="s">
        <v>3180</v>
      </c>
      <c r="C55" s="2193">
        <v>252.35</v>
      </c>
      <c r="D55" s="2194">
        <v>144.12</v>
      </c>
      <c r="E55" s="2194">
        <v>85.25</v>
      </c>
      <c r="F55" s="2194">
        <v>481.72</v>
      </c>
      <c r="G55" s="2194">
        <v>2123.5</v>
      </c>
      <c r="H55" s="2194">
        <v>880.01</v>
      </c>
      <c r="I55" s="2195">
        <v>362.1</v>
      </c>
      <c r="J55" s="2196">
        <f t="shared" si="6"/>
        <v>3365.61</v>
      </c>
    </row>
    <row r="56" spans="1:10" s="2187" customFormat="1" ht="11.1" customHeight="1" x14ac:dyDescent="0.2">
      <c r="A56" s="2188" t="s">
        <v>551</v>
      </c>
      <c r="B56" s="144" t="s">
        <v>3179</v>
      </c>
      <c r="C56" s="2193">
        <v>173.24</v>
      </c>
      <c r="D56" s="2194">
        <v>103.36</v>
      </c>
      <c r="E56" s="2194">
        <v>86.94</v>
      </c>
      <c r="F56" s="2194">
        <v>363.54</v>
      </c>
      <c r="G56" s="2194">
        <v>2268.39</v>
      </c>
      <c r="H56" s="2194">
        <v>904.81</v>
      </c>
      <c r="I56" s="2196">
        <v>363.95</v>
      </c>
      <c r="J56" s="2196">
        <f t="shared" si="6"/>
        <v>3537.1499999999996</v>
      </c>
    </row>
    <row r="57" spans="1:10" s="2187" customFormat="1" ht="11.1" customHeight="1" x14ac:dyDescent="0.2">
      <c r="A57" s="2188" t="s">
        <v>551</v>
      </c>
      <c r="B57" s="144" t="s">
        <v>3180</v>
      </c>
      <c r="C57" s="2193">
        <v>273.98</v>
      </c>
      <c r="D57" s="2194">
        <v>95.28</v>
      </c>
      <c r="E57" s="2194">
        <v>11.81</v>
      </c>
      <c r="F57" s="2194">
        <v>381.07</v>
      </c>
      <c r="G57" s="2194">
        <v>2468.63</v>
      </c>
      <c r="H57" s="2194">
        <v>974.18</v>
      </c>
      <c r="I57" s="2195">
        <v>322.72000000000003</v>
      </c>
      <c r="J57" s="2196">
        <f t="shared" si="6"/>
        <v>3765.5299999999997</v>
      </c>
    </row>
    <row r="58" spans="1:10" s="2187" customFormat="1" ht="11.1" customHeight="1" x14ac:dyDescent="0.2">
      <c r="A58" s="2188" t="s">
        <v>560</v>
      </c>
      <c r="B58" s="144" t="s">
        <v>3179</v>
      </c>
      <c r="C58" s="2193">
        <v>229.67</v>
      </c>
      <c r="D58" s="2194">
        <v>169.46</v>
      </c>
      <c r="E58" s="2194">
        <v>12.28</v>
      </c>
      <c r="F58" s="2194">
        <v>411.40999999999997</v>
      </c>
      <c r="G58" s="2196">
        <v>2736.5</v>
      </c>
      <c r="H58" s="2196">
        <v>1133.8699999999999</v>
      </c>
      <c r="I58" s="2196">
        <v>316.86</v>
      </c>
      <c r="J58" s="2196">
        <f t="shared" si="6"/>
        <v>4187.2299999999996</v>
      </c>
    </row>
    <row r="59" spans="1:10" s="2187" customFormat="1" ht="11.1" customHeight="1" x14ac:dyDescent="0.2">
      <c r="A59" s="2188" t="s">
        <v>560</v>
      </c>
      <c r="B59" s="144" t="s">
        <v>3180</v>
      </c>
      <c r="C59" s="2193">
        <v>234.83</v>
      </c>
      <c r="D59" s="2194">
        <v>111.54</v>
      </c>
      <c r="E59" s="2194">
        <v>34.96</v>
      </c>
      <c r="F59" s="2194">
        <v>381.33</v>
      </c>
      <c r="G59" s="2194">
        <v>2857.96</v>
      </c>
      <c r="H59" s="2194">
        <v>1146.22</v>
      </c>
      <c r="I59" s="2195">
        <v>364.23</v>
      </c>
      <c r="J59" s="2196">
        <f t="shared" si="6"/>
        <v>4368.41</v>
      </c>
    </row>
    <row r="60" spans="1:10" s="2187" customFormat="1" ht="11.1" customHeight="1" x14ac:dyDescent="0.2">
      <c r="A60" s="2188" t="s">
        <v>325</v>
      </c>
      <c r="B60" s="144" t="s">
        <v>3179</v>
      </c>
      <c r="C60" s="2193">
        <v>166.78</v>
      </c>
      <c r="D60" s="2194">
        <v>101.7</v>
      </c>
      <c r="E60" s="2194">
        <v>16.55</v>
      </c>
      <c r="F60" s="2194">
        <v>285.03000000000003</v>
      </c>
      <c r="G60" s="2194">
        <v>3068.07</v>
      </c>
      <c r="H60" s="2194">
        <v>1109.5899999999999</v>
      </c>
      <c r="I60" s="2196">
        <v>221.12</v>
      </c>
      <c r="J60" s="2196">
        <f t="shared" si="6"/>
        <v>4398.78</v>
      </c>
    </row>
    <row r="61" spans="1:10" s="2187" customFormat="1" ht="11.1" customHeight="1" x14ac:dyDescent="0.2">
      <c r="A61" s="2188" t="s">
        <v>325</v>
      </c>
      <c r="B61" s="144" t="s">
        <v>3180</v>
      </c>
      <c r="C61" s="2193">
        <v>378.91</v>
      </c>
      <c r="D61" s="2194">
        <v>96.01</v>
      </c>
      <c r="E61" s="2194">
        <v>8.74</v>
      </c>
      <c r="F61" s="2194">
        <v>483.66</v>
      </c>
      <c r="G61" s="2196">
        <v>3719.99</v>
      </c>
      <c r="H61" s="2195">
        <v>873.76</v>
      </c>
      <c r="I61" s="2195">
        <v>210.68</v>
      </c>
      <c r="J61" s="2196">
        <f t="shared" si="6"/>
        <v>4804.43</v>
      </c>
    </row>
    <row r="62" spans="1:10" s="2187" customFormat="1" ht="11.1" customHeight="1" x14ac:dyDescent="0.2">
      <c r="A62" s="2188" t="s">
        <v>85</v>
      </c>
      <c r="B62" s="144" t="s">
        <v>3179</v>
      </c>
      <c r="C62" s="2193">
        <v>430.34</v>
      </c>
      <c r="D62" s="2194">
        <v>149.72</v>
      </c>
      <c r="E62" s="2194">
        <v>22.59</v>
      </c>
      <c r="F62" s="2194">
        <v>602.65</v>
      </c>
      <c r="G62" s="2196">
        <v>3823.32</v>
      </c>
      <c r="H62" s="2196">
        <v>742.04</v>
      </c>
      <c r="I62" s="2196">
        <v>250.66</v>
      </c>
      <c r="J62" s="2196">
        <f t="shared" si="6"/>
        <v>4816.0200000000004</v>
      </c>
    </row>
    <row r="63" spans="1:10" s="2187" customFormat="1" ht="11.1" customHeight="1" x14ac:dyDescent="0.2">
      <c r="A63" s="2188" t="s">
        <v>85</v>
      </c>
      <c r="B63" s="144" t="s">
        <v>3180</v>
      </c>
      <c r="C63" s="2193">
        <v>105.08</v>
      </c>
      <c r="D63" s="2193">
        <v>186.89</v>
      </c>
      <c r="E63" s="2193">
        <v>65.97</v>
      </c>
      <c r="F63" s="2193">
        <v>357.93999999999994</v>
      </c>
      <c r="G63" s="2207">
        <v>3909.6</v>
      </c>
      <c r="H63" s="2207">
        <v>903.65</v>
      </c>
      <c r="I63" s="2207">
        <v>325.94</v>
      </c>
      <c r="J63" s="2207">
        <f t="shared" si="6"/>
        <v>5139.1899999999996</v>
      </c>
    </row>
    <row r="64" spans="1:10" s="2187" customFormat="1" ht="11.1" customHeight="1" x14ac:dyDescent="0.2">
      <c r="A64" s="2188" t="s">
        <v>81</v>
      </c>
      <c r="B64" s="144" t="s">
        <v>3179</v>
      </c>
      <c r="C64" s="2193">
        <v>113.47</v>
      </c>
      <c r="D64" s="2193">
        <v>178.05</v>
      </c>
      <c r="E64" s="2193">
        <v>50.7</v>
      </c>
      <c r="F64" s="2193">
        <f t="shared" ref="F64:F72" si="7">C64+D64+E64</f>
        <v>342.21999999999997</v>
      </c>
      <c r="G64" s="2207">
        <v>4426.6899999999996</v>
      </c>
      <c r="H64" s="2207">
        <v>474.06</v>
      </c>
      <c r="I64" s="2207">
        <v>378.17</v>
      </c>
      <c r="J64" s="2207">
        <f t="shared" si="6"/>
        <v>5278.92</v>
      </c>
    </row>
    <row r="65" spans="1:13" s="2187" customFormat="1" ht="11.1" customHeight="1" x14ac:dyDescent="0.2">
      <c r="A65" s="2188" t="s">
        <v>81</v>
      </c>
      <c r="B65" s="144" t="s">
        <v>3180</v>
      </c>
      <c r="C65" s="2193">
        <v>401.67</v>
      </c>
      <c r="D65" s="2193">
        <v>153.05000000000001</v>
      </c>
      <c r="E65" s="2193">
        <v>16.079999999999998</v>
      </c>
      <c r="F65" s="2193">
        <f t="shared" si="7"/>
        <v>570.80000000000007</v>
      </c>
      <c r="G65" s="2207">
        <v>5014.96</v>
      </c>
      <c r="H65" s="2207">
        <v>544.21</v>
      </c>
      <c r="I65" s="2207">
        <v>410.29</v>
      </c>
      <c r="J65" s="2207">
        <f t="shared" si="6"/>
        <v>5969.46</v>
      </c>
    </row>
    <row r="66" spans="1:13" s="2187" customFormat="1" ht="11.1" customHeight="1" x14ac:dyDescent="0.2">
      <c r="A66" s="2188" t="s">
        <v>189</v>
      </c>
      <c r="B66" s="2190" t="s">
        <v>3182</v>
      </c>
      <c r="C66" s="2208">
        <v>118.31</v>
      </c>
      <c r="D66" s="2208">
        <v>211.57</v>
      </c>
      <c r="E66" s="2208">
        <v>12.64</v>
      </c>
      <c r="F66" s="2208">
        <f t="shared" si="7"/>
        <v>342.52</v>
      </c>
      <c r="G66" s="2209">
        <v>5196.21</v>
      </c>
      <c r="H66" s="2209">
        <v>533.65</v>
      </c>
      <c r="I66" s="2209">
        <v>342.21</v>
      </c>
      <c r="J66" s="2209">
        <f t="shared" ref="J66:J67" si="8">G66+H66+I66</f>
        <v>6072.07</v>
      </c>
    </row>
    <row r="67" spans="1:13" s="373" customFormat="1" ht="11.1" customHeight="1" x14ac:dyDescent="0.2">
      <c r="A67" s="683" t="s">
        <v>189</v>
      </c>
      <c r="B67" s="1022" t="s">
        <v>3180</v>
      </c>
      <c r="C67" s="2193">
        <v>131.63999999999999</v>
      </c>
      <c r="D67" s="2193">
        <v>233.62</v>
      </c>
      <c r="E67" s="2193">
        <v>71.260000000000005</v>
      </c>
      <c r="F67" s="2193">
        <f t="shared" si="7"/>
        <v>436.52</v>
      </c>
      <c r="G67" s="2207">
        <v>5143.7</v>
      </c>
      <c r="H67" s="2207">
        <v>612.69000000000005</v>
      </c>
      <c r="I67" s="2207">
        <v>462.67</v>
      </c>
      <c r="J67" s="2207">
        <f t="shared" si="8"/>
        <v>6219.0599999999995</v>
      </c>
      <c r="M67" s="972"/>
    </row>
    <row r="68" spans="1:13" s="373" customFormat="1" ht="11.1" customHeight="1" x14ac:dyDescent="0.2">
      <c r="A68" s="683" t="s">
        <v>696</v>
      </c>
      <c r="B68" s="545" t="s">
        <v>3179</v>
      </c>
      <c r="C68" s="2193">
        <v>300.20999999999998</v>
      </c>
      <c r="D68" s="2193">
        <v>256.01</v>
      </c>
      <c r="E68" s="2193">
        <v>143.63999999999999</v>
      </c>
      <c r="F68" s="2193">
        <f t="shared" si="7"/>
        <v>699.86</v>
      </c>
      <c r="G68" s="2207">
        <v>4943.83</v>
      </c>
      <c r="H68" s="2207">
        <v>670.37</v>
      </c>
      <c r="I68" s="2207">
        <v>551.61</v>
      </c>
      <c r="J68" s="2207">
        <f>G68+H68+I68</f>
        <v>6165.8099999999995</v>
      </c>
      <c r="M68" s="972"/>
    </row>
    <row r="69" spans="1:13" s="373" customFormat="1" ht="11.1" customHeight="1" thickBot="1" x14ac:dyDescent="0.25">
      <c r="A69" s="683" t="s">
        <v>696</v>
      </c>
      <c r="B69" s="221" t="s">
        <v>3180</v>
      </c>
      <c r="C69" s="2210">
        <v>153.88999999999999</v>
      </c>
      <c r="D69" s="2210">
        <v>286.33999999999997</v>
      </c>
      <c r="E69" s="2210">
        <v>54.79</v>
      </c>
      <c r="F69" s="2210">
        <f t="shared" si="7"/>
        <v>495.02</v>
      </c>
      <c r="G69" s="2211">
        <v>4855.47</v>
      </c>
      <c r="H69" s="2211">
        <v>861.44</v>
      </c>
      <c r="I69" s="2211">
        <v>533.95000000000005</v>
      </c>
      <c r="J69" s="2211">
        <f>G69+H69+I69</f>
        <v>6250.86</v>
      </c>
      <c r="M69" s="972"/>
    </row>
    <row r="70" spans="1:13" s="373" customFormat="1" ht="11.1" customHeight="1" x14ac:dyDescent="0.2">
      <c r="A70" s="683" t="s">
        <v>804</v>
      </c>
      <c r="B70" s="221" t="s">
        <v>3179</v>
      </c>
      <c r="C70" s="2208">
        <v>343.74</v>
      </c>
      <c r="D70" s="2208">
        <v>301.19</v>
      </c>
      <c r="E70" s="2208">
        <v>152.61000000000001</v>
      </c>
      <c r="F70" s="2208">
        <f t="shared" si="7"/>
        <v>797.54000000000008</v>
      </c>
      <c r="G70" s="2209">
        <v>6085.39</v>
      </c>
      <c r="H70" s="2209">
        <v>846.55</v>
      </c>
      <c r="I70" s="2209">
        <v>818.3</v>
      </c>
      <c r="J70" s="2209">
        <f t="shared" ref="J70:J75" si="9">G70+H70+I70</f>
        <v>7750.2400000000007</v>
      </c>
      <c r="M70" s="972"/>
    </row>
    <row r="71" spans="1:13" s="373" customFormat="1" ht="11.1" customHeight="1" x14ac:dyDescent="0.2">
      <c r="A71" s="683" t="s">
        <v>804</v>
      </c>
      <c r="B71" s="545" t="s">
        <v>3180</v>
      </c>
      <c r="C71" s="2212">
        <v>417.29</v>
      </c>
      <c r="D71" s="2212">
        <v>344.45</v>
      </c>
      <c r="E71" s="2212">
        <v>171.35</v>
      </c>
      <c r="F71" s="2193">
        <f t="shared" si="7"/>
        <v>933.09</v>
      </c>
      <c r="G71" s="2213">
        <v>6333.41</v>
      </c>
      <c r="H71" s="2213">
        <v>995.87</v>
      </c>
      <c r="I71" s="2213">
        <v>1033.78</v>
      </c>
      <c r="J71" s="2207">
        <f t="shared" si="9"/>
        <v>8363.06</v>
      </c>
      <c r="M71" s="972"/>
    </row>
    <row r="72" spans="1:13" s="373" customFormat="1" ht="11.1" customHeight="1" x14ac:dyDescent="0.2">
      <c r="A72" s="683" t="s">
        <v>978</v>
      </c>
      <c r="B72" s="545" t="s">
        <v>1161</v>
      </c>
      <c r="C72" s="2212">
        <v>123.77</v>
      </c>
      <c r="D72" s="2212">
        <v>352.66</v>
      </c>
      <c r="E72" s="2212">
        <v>189.64</v>
      </c>
      <c r="F72" s="2212">
        <f t="shared" si="7"/>
        <v>666.06999999999994</v>
      </c>
      <c r="G72" s="2213">
        <v>6345.56</v>
      </c>
      <c r="H72" s="2213">
        <v>969.93</v>
      </c>
      <c r="I72" s="2213">
        <v>1278</v>
      </c>
      <c r="J72" s="2213">
        <f t="shared" si="9"/>
        <v>8593.4900000000016</v>
      </c>
      <c r="M72" s="972"/>
    </row>
    <row r="73" spans="1:13" s="373" customFormat="1" ht="11.1" customHeight="1" x14ac:dyDescent="0.2">
      <c r="A73" s="683" t="s">
        <v>978</v>
      </c>
      <c r="B73" s="221" t="s">
        <v>1274</v>
      </c>
      <c r="C73" s="2208">
        <f>C74+C75</f>
        <v>110.07</v>
      </c>
      <c r="D73" s="2208">
        <f>D74+D75</f>
        <v>443.12</v>
      </c>
      <c r="E73" s="2208">
        <f>E74+E75</f>
        <v>261.08</v>
      </c>
      <c r="F73" s="2208">
        <f>F74+F75</f>
        <v>814.27</v>
      </c>
      <c r="G73" s="2209">
        <v>6375.35</v>
      </c>
      <c r="H73" s="2209">
        <v>964.83</v>
      </c>
      <c r="I73" s="2209">
        <v>2000.05</v>
      </c>
      <c r="J73" s="2209">
        <f>G73+H73+I73</f>
        <v>9340.23</v>
      </c>
      <c r="M73" s="972"/>
    </row>
    <row r="74" spans="1:13" s="373" customFormat="1" ht="11.1" customHeight="1" x14ac:dyDescent="0.2">
      <c r="A74" s="683" t="s">
        <v>978</v>
      </c>
      <c r="B74" s="545" t="s">
        <v>1159</v>
      </c>
      <c r="C74" s="2212">
        <v>71.7</v>
      </c>
      <c r="D74" s="2212">
        <v>246.42</v>
      </c>
      <c r="E74" s="2212">
        <v>129.38</v>
      </c>
      <c r="F74" s="2212">
        <f t="shared" ref="F74:F79" si="10">C74+D74+E74</f>
        <v>447.5</v>
      </c>
      <c r="G74" s="2213">
        <v>6228.02</v>
      </c>
      <c r="H74" s="2213">
        <v>850.53</v>
      </c>
      <c r="I74" s="2213">
        <v>1768.18</v>
      </c>
      <c r="J74" s="2213">
        <f t="shared" si="9"/>
        <v>8846.73</v>
      </c>
      <c r="M74" s="972"/>
    </row>
    <row r="75" spans="1:13" s="373" customFormat="1" ht="11.1" customHeight="1" x14ac:dyDescent="0.2">
      <c r="A75" s="683" t="s">
        <v>978</v>
      </c>
      <c r="B75" s="221" t="s">
        <v>1160</v>
      </c>
      <c r="C75" s="2208">
        <v>38.369999999999997</v>
      </c>
      <c r="D75" s="2208">
        <v>196.7</v>
      </c>
      <c r="E75" s="2208">
        <v>131.69999999999999</v>
      </c>
      <c r="F75" s="2208">
        <f t="shared" si="10"/>
        <v>366.77</v>
      </c>
      <c r="G75" s="2209">
        <v>6375.35</v>
      </c>
      <c r="H75" s="2209">
        <v>964.83</v>
      </c>
      <c r="I75" s="2209">
        <v>2000.05</v>
      </c>
      <c r="J75" s="2209">
        <f t="shared" si="9"/>
        <v>9340.23</v>
      </c>
      <c r="M75" s="972"/>
    </row>
    <row r="76" spans="1:13" s="373" customFormat="1" ht="11.1" customHeight="1" x14ac:dyDescent="0.2">
      <c r="A76" s="683" t="s">
        <v>1029</v>
      </c>
      <c r="B76" s="978" t="s">
        <v>1161</v>
      </c>
      <c r="C76" s="2212">
        <v>51.06</v>
      </c>
      <c r="D76" s="2212">
        <v>260.08</v>
      </c>
      <c r="E76" s="2212">
        <v>29.96</v>
      </c>
      <c r="F76" s="2212">
        <f t="shared" si="10"/>
        <v>341.09999999999997</v>
      </c>
      <c r="G76" s="2213">
        <v>6372.25</v>
      </c>
      <c r="H76" s="2213">
        <v>1086.7</v>
      </c>
      <c r="I76" s="2213">
        <v>2120.88</v>
      </c>
      <c r="J76" s="2213">
        <f>G76+H76+I76</f>
        <v>9579.83</v>
      </c>
      <c r="M76" s="972"/>
    </row>
    <row r="77" spans="1:13" s="373" customFormat="1" ht="11.1" customHeight="1" x14ac:dyDescent="0.2">
      <c r="A77" s="683" t="s">
        <v>1029</v>
      </c>
      <c r="B77" s="1022" t="s">
        <v>1274</v>
      </c>
      <c r="C77" s="2214">
        <v>119.17</v>
      </c>
      <c r="D77" s="2214">
        <v>285.61</v>
      </c>
      <c r="E77" s="2214">
        <v>-8.8699999999999992</v>
      </c>
      <c r="F77" s="2214">
        <f t="shared" si="10"/>
        <v>395.91</v>
      </c>
      <c r="G77" s="2215">
        <v>6717.59</v>
      </c>
      <c r="H77" s="2215">
        <v>1142.17</v>
      </c>
      <c r="I77" s="2215">
        <v>2169.04</v>
      </c>
      <c r="J77" s="2215">
        <f>G77+H77+I77</f>
        <v>10028.799999999999</v>
      </c>
      <c r="M77" s="972"/>
    </row>
    <row r="78" spans="1:13" s="373" customFormat="1" ht="11.1" customHeight="1" x14ac:dyDescent="0.2">
      <c r="A78" s="683" t="s">
        <v>1029</v>
      </c>
      <c r="B78" s="978" t="s">
        <v>1159</v>
      </c>
      <c r="C78" s="2214">
        <v>195.69</v>
      </c>
      <c r="D78" s="2214">
        <v>330.5</v>
      </c>
      <c r="E78" s="2214">
        <v>80.73</v>
      </c>
      <c r="F78" s="2214">
        <f t="shared" si="10"/>
        <v>606.92000000000007</v>
      </c>
      <c r="G78" s="2215">
        <v>8996.68</v>
      </c>
      <c r="H78" s="2215">
        <v>1401.28</v>
      </c>
      <c r="I78" s="2215">
        <v>2287.89</v>
      </c>
      <c r="J78" s="2215">
        <v>12685.85</v>
      </c>
      <c r="M78" s="972"/>
    </row>
    <row r="79" spans="1:13" s="373" customFormat="1" ht="11.1" customHeight="1" thickBot="1" x14ac:dyDescent="0.25">
      <c r="A79" s="683" t="s">
        <v>1029</v>
      </c>
      <c r="B79" s="1022" t="s">
        <v>1160</v>
      </c>
      <c r="C79" s="2216">
        <v>162.11000000000001</v>
      </c>
      <c r="D79" s="2216">
        <v>265.14999999999998</v>
      </c>
      <c r="E79" s="2216">
        <v>62.68</v>
      </c>
      <c r="F79" s="2216">
        <f t="shared" si="10"/>
        <v>489.94</v>
      </c>
      <c r="G79" s="2217">
        <v>9027.07</v>
      </c>
      <c r="H79" s="2217">
        <v>1326.11</v>
      </c>
      <c r="I79" s="2217">
        <v>2147.9499999999998</v>
      </c>
      <c r="J79" s="2217">
        <v>12501.13</v>
      </c>
      <c r="M79" s="972"/>
    </row>
    <row r="80" spans="1:13" s="373" customFormat="1" ht="11.1" customHeight="1" x14ac:dyDescent="0.2">
      <c r="A80" s="683" t="s">
        <v>1150</v>
      </c>
      <c r="B80" s="1022" t="s">
        <v>1161</v>
      </c>
      <c r="C80" s="2214">
        <v>224.91</v>
      </c>
      <c r="D80" s="2214">
        <v>244.38</v>
      </c>
      <c r="E80" s="2214">
        <v>128.79</v>
      </c>
      <c r="F80" s="2218">
        <f t="shared" ref="F80:F87" si="11">SUM(C80:E80)</f>
        <v>598.07999999999993</v>
      </c>
      <c r="G80" s="2215">
        <v>9211.5499999999993</v>
      </c>
      <c r="H80" s="2215">
        <v>1257.28</v>
      </c>
      <c r="I80" s="2215">
        <v>2141.58</v>
      </c>
      <c r="J80" s="2218">
        <f t="shared" ref="J80:J83" si="12">SUM(G80:I80)</f>
        <v>12610.41</v>
      </c>
      <c r="M80" s="972"/>
    </row>
    <row r="81" spans="1:13" s="373" customFormat="1" ht="11.1" customHeight="1" x14ac:dyDescent="0.2">
      <c r="A81" s="683" t="s">
        <v>1150</v>
      </c>
      <c r="B81" s="978" t="s">
        <v>1274</v>
      </c>
      <c r="C81" s="2219">
        <v>113.96</v>
      </c>
      <c r="D81" s="2219">
        <v>304.70999999999998</v>
      </c>
      <c r="E81" s="2219">
        <v>121.78</v>
      </c>
      <c r="F81" s="2212">
        <f t="shared" si="11"/>
        <v>540.44999999999993</v>
      </c>
      <c r="G81" s="2220">
        <v>9276.15</v>
      </c>
      <c r="H81" s="2220">
        <v>1325.46</v>
      </c>
      <c r="I81" s="2220">
        <v>2310.5300000000002</v>
      </c>
      <c r="J81" s="2195">
        <f t="shared" si="12"/>
        <v>12912.140000000001</v>
      </c>
      <c r="M81" s="972"/>
    </row>
    <row r="82" spans="1:13" s="373" customFormat="1" ht="11.1" customHeight="1" x14ac:dyDescent="0.2">
      <c r="A82" s="683" t="s">
        <v>1150</v>
      </c>
      <c r="B82" s="1022" t="s">
        <v>1159</v>
      </c>
      <c r="C82" s="2219">
        <v>90.29</v>
      </c>
      <c r="D82" s="2219">
        <v>299.86</v>
      </c>
      <c r="E82" s="2219">
        <v>20.53</v>
      </c>
      <c r="F82" s="2212">
        <f t="shared" si="11"/>
        <v>410.68000000000006</v>
      </c>
      <c r="G82" s="2220">
        <v>9674.09</v>
      </c>
      <c r="H82" s="2220">
        <v>1567.33</v>
      </c>
      <c r="I82" s="2220">
        <v>2298.65</v>
      </c>
      <c r="J82" s="2195">
        <f t="shared" si="12"/>
        <v>13540.07</v>
      </c>
      <c r="M82" s="972"/>
    </row>
    <row r="83" spans="1:13" s="373" customFormat="1" ht="11.1" customHeight="1" x14ac:dyDescent="0.2">
      <c r="A83" s="683" t="s">
        <v>1150</v>
      </c>
      <c r="B83" s="1207" t="s">
        <v>1160</v>
      </c>
      <c r="C83" s="2214">
        <v>76.39</v>
      </c>
      <c r="D83" s="2214">
        <v>305.5</v>
      </c>
      <c r="E83" s="2214">
        <v>72.430000000000007</v>
      </c>
      <c r="F83" s="2218">
        <f t="shared" si="11"/>
        <v>454.32</v>
      </c>
      <c r="G83" s="2215">
        <v>9549.39</v>
      </c>
      <c r="H83" s="2215">
        <v>1585.21</v>
      </c>
      <c r="I83" s="2215">
        <v>2311.54</v>
      </c>
      <c r="J83" s="2218">
        <f t="shared" si="12"/>
        <v>13446.14</v>
      </c>
      <c r="M83" s="972"/>
    </row>
    <row r="84" spans="1:13" s="373" customFormat="1" ht="11.1" customHeight="1" x14ac:dyDescent="0.2">
      <c r="A84" s="683" t="s">
        <v>1174</v>
      </c>
      <c r="B84" s="1022" t="s">
        <v>1161</v>
      </c>
      <c r="C84" s="2219">
        <v>258.52</v>
      </c>
      <c r="D84" s="2219">
        <v>294.55</v>
      </c>
      <c r="E84" s="2219">
        <v>60.92</v>
      </c>
      <c r="F84" s="2212">
        <f t="shared" si="11"/>
        <v>613.9899999999999</v>
      </c>
      <c r="G84" s="2220">
        <v>9846.48</v>
      </c>
      <c r="H84" s="2220">
        <v>1517.16</v>
      </c>
      <c r="I84" s="2220">
        <v>2430.59</v>
      </c>
      <c r="J84" s="2195">
        <f t="shared" ref="J84:J93" si="13">SUM(G84:I84)</f>
        <v>13794.23</v>
      </c>
      <c r="M84" s="972"/>
    </row>
    <row r="85" spans="1:13" s="373" customFormat="1" ht="11.1" customHeight="1" x14ac:dyDescent="0.2">
      <c r="A85" s="683" t="s">
        <v>1174</v>
      </c>
      <c r="B85" s="978" t="s">
        <v>1274</v>
      </c>
      <c r="C85" s="2214">
        <v>486.18</v>
      </c>
      <c r="D85" s="2214">
        <v>315.48</v>
      </c>
      <c r="E85" s="2214">
        <v>52.07</v>
      </c>
      <c r="F85" s="2214">
        <f t="shared" si="11"/>
        <v>853.73000000000013</v>
      </c>
      <c r="G85" s="2215">
        <v>10735.38</v>
      </c>
      <c r="H85" s="2215">
        <v>1640.2</v>
      </c>
      <c r="I85" s="2215">
        <v>2163.7399999999998</v>
      </c>
      <c r="J85" s="2218">
        <f t="shared" si="13"/>
        <v>14539.32</v>
      </c>
      <c r="M85" s="972"/>
    </row>
    <row r="86" spans="1:13" s="373" customFormat="1" ht="11.1" customHeight="1" x14ac:dyDescent="0.2">
      <c r="A86" s="683" t="s">
        <v>1174</v>
      </c>
      <c r="B86" s="1022" t="s">
        <v>1159</v>
      </c>
      <c r="C86" s="2214">
        <v>140.35</v>
      </c>
      <c r="D86" s="2214">
        <v>319.3</v>
      </c>
      <c r="E86" s="2214">
        <v>36.19</v>
      </c>
      <c r="F86" s="2208">
        <f t="shared" si="11"/>
        <v>495.84</v>
      </c>
      <c r="G86" s="2215">
        <v>9528.91</v>
      </c>
      <c r="H86" s="2215">
        <v>2705.15</v>
      </c>
      <c r="I86" s="2215">
        <v>2144.1</v>
      </c>
      <c r="J86" s="2208">
        <f t="shared" si="13"/>
        <v>14378.16</v>
      </c>
      <c r="M86" s="972"/>
    </row>
    <row r="87" spans="1:13" s="373" customFormat="1" ht="11.1" customHeight="1" thickBot="1" x14ac:dyDescent="0.25">
      <c r="A87" s="683" t="s">
        <v>1174</v>
      </c>
      <c r="B87" s="1207" t="s">
        <v>1160</v>
      </c>
      <c r="C87" s="2216">
        <v>121.69</v>
      </c>
      <c r="D87" s="2216">
        <v>323.67</v>
      </c>
      <c r="E87" s="2216">
        <v>45.89</v>
      </c>
      <c r="F87" s="2216">
        <f t="shared" si="11"/>
        <v>491.25</v>
      </c>
      <c r="G87" s="2217">
        <v>9527.51</v>
      </c>
      <c r="H87" s="2217">
        <v>2699.93</v>
      </c>
      <c r="I87" s="2217">
        <v>2239.13</v>
      </c>
      <c r="J87" s="2221">
        <f t="shared" si="13"/>
        <v>14466.57</v>
      </c>
      <c r="M87" s="972"/>
    </row>
    <row r="88" spans="1:13" s="373" customFormat="1" ht="11.1" customHeight="1" x14ac:dyDescent="0.2">
      <c r="A88" s="683" t="s">
        <v>1296</v>
      </c>
      <c r="B88" s="1022" t="s">
        <v>1161</v>
      </c>
      <c r="C88" s="2214">
        <v>154.41</v>
      </c>
      <c r="D88" s="2214">
        <v>291.88</v>
      </c>
      <c r="E88" s="2214">
        <v>60.86</v>
      </c>
      <c r="F88" s="2214">
        <f t="shared" ref="F88:F91" si="14">SUM(C88:E88)</f>
        <v>507.15</v>
      </c>
      <c r="G88" s="2215">
        <v>9696.59</v>
      </c>
      <c r="H88" s="2215">
        <v>2787.24</v>
      </c>
      <c r="I88" s="2215">
        <v>2263.13</v>
      </c>
      <c r="J88" s="2215">
        <f t="shared" si="13"/>
        <v>14746.96</v>
      </c>
      <c r="M88" s="972"/>
    </row>
    <row r="89" spans="1:13" s="373" customFormat="1" ht="11.1" customHeight="1" x14ac:dyDescent="0.2">
      <c r="A89" s="683" t="s">
        <v>1296</v>
      </c>
      <c r="B89" s="978" t="s">
        <v>1274</v>
      </c>
      <c r="C89" s="2219">
        <v>122.45</v>
      </c>
      <c r="D89" s="2219">
        <v>344.57</v>
      </c>
      <c r="E89" s="2219">
        <v>190.3</v>
      </c>
      <c r="F89" s="2219">
        <f t="shared" si="14"/>
        <v>657.31999999999994</v>
      </c>
      <c r="G89" s="2220">
        <v>9601.6299999999992</v>
      </c>
      <c r="H89" s="2220">
        <v>2697.3</v>
      </c>
      <c r="I89" s="2220">
        <v>2258.29</v>
      </c>
      <c r="J89" s="2220">
        <f t="shared" si="13"/>
        <v>14557.220000000001</v>
      </c>
      <c r="M89" s="972"/>
    </row>
    <row r="90" spans="1:13" s="373" customFormat="1" ht="11.25" customHeight="1" x14ac:dyDescent="0.2">
      <c r="A90" s="683" t="s">
        <v>1296</v>
      </c>
      <c r="B90" s="1022" t="s">
        <v>1159</v>
      </c>
      <c r="C90" s="2220">
        <v>111.22</v>
      </c>
      <c r="D90" s="2220">
        <v>324.95999999999998</v>
      </c>
      <c r="E90" s="2220">
        <v>67.599999999999994</v>
      </c>
      <c r="F90" s="2220">
        <f t="shared" si="14"/>
        <v>503.78</v>
      </c>
      <c r="G90" s="2220">
        <v>9470.5</v>
      </c>
      <c r="H90" s="2220">
        <v>2885.89</v>
      </c>
      <c r="I90" s="2220">
        <v>2283.5</v>
      </c>
      <c r="J90" s="2220">
        <f t="shared" si="13"/>
        <v>14639.89</v>
      </c>
      <c r="M90" s="972"/>
    </row>
    <row r="91" spans="1:13" s="373" customFormat="1" ht="11.1" customHeight="1" thickBot="1" x14ac:dyDescent="0.25">
      <c r="A91" s="683" t="s">
        <v>1296</v>
      </c>
      <c r="B91" s="1207" t="s">
        <v>1160</v>
      </c>
      <c r="C91" s="2222">
        <v>226.68</v>
      </c>
      <c r="D91" s="2222">
        <v>292.02999999999997</v>
      </c>
      <c r="E91" s="2222">
        <v>393.48</v>
      </c>
      <c r="F91" s="2222">
        <f t="shared" si="14"/>
        <v>912.19</v>
      </c>
      <c r="G91" s="2222">
        <v>9895.7800000000007</v>
      </c>
      <c r="H91" s="2222">
        <v>3080.35</v>
      </c>
      <c r="I91" s="2222">
        <v>2815.21</v>
      </c>
      <c r="J91" s="2222">
        <f t="shared" si="13"/>
        <v>15791.34</v>
      </c>
      <c r="M91" s="972"/>
    </row>
    <row r="92" spans="1:13" s="373" customFormat="1" ht="11.1" customHeight="1" x14ac:dyDescent="0.2">
      <c r="A92" s="683" t="s">
        <v>1404</v>
      </c>
      <c r="B92" s="545" t="s">
        <v>1161</v>
      </c>
      <c r="C92" s="299">
        <v>267.47000000000003</v>
      </c>
      <c r="D92" s="299">
        <v>311.27999999999997</v>
      </c>
      <c r="E92" s="299">
        <v>270.87</v>
      </c>
      <c r="F92" s="2205">
        <f t="shared" ref="F92:F106" si="15">SUM(C92:E92)</f>
        <v>849.62</v>
      </c>
      <c r="G92" s="2205">
        <v>10364.040000000001</v>
      </c>
      <c r="H92" s="2205">
        <v>3076.04</v>
      </c>
      <c r="I92" s="2205">
        <v>3202.41</v>
      </c>
      <c r="J92" s="2205">
        <f t="shared" si="13"/>
        <v>16642.490000000002</v>
      </c>
      <c r="M92" s="972"/>
    </row>
    <row r="93" spans="1:13" s="373" customFormat="1" ht="11.1" customHeight="1" x14ac:dyDescent="0.2">
      <c r="A93" s="683" t="s">
        <v>1404</v>
      </c>
      <c r="B93" s="221" t="s">
        <v>1274</v>
      </c>
      <c r="C93" s="232">
        <v>518.76</v>
      </c>
      <c r="D93" s="232">
        <v>380.84</v>
      </c>
      <c r="E93" s="232">
        <v>448.11</v>
      </c>
      <c r="F93" s="2204">
        <f t="shared" si="15"/>
        <v>1347.71</v>
      </c>
      <c r="G93" s="2204">
        <v>10865.73</v>
      </c>
      <c r="H93" s="2204">
        <v>2721.98</v>
      </c>
      <c r="I93" s="2204">
        <v>3473.92</v>
      </c>
      <c r="J93" s="2204">
        <f t="shared" si="13"/>
        <v>17061.629999999997</v>
      </c>
      <c r="M93" s="972"/>
    </row>
    <row r="94" spans="1:13" s="373" customFormat="1" ht="11.1" customHeight="1" x14ac:dyDescent="0.2">
      <c r="A94" s="683" t="s">
        <v>1404</v>
      </c>
      <c r="B94" s="545" t="s">
        <v>1159</v>
      </c>
      <c r="C94" s="299">
        <v>176.76</v>
      </c>
      <c r="D94" s="299">
        <v>203.73</v>
      </c>
      <c r="E94" s="299">
        <v>474</v>
      </c>
      <c r="F94" s="2205">
        <f t="shared" si="15"/>
        <v>854.49</v>
      </c>
      <c r="G94" s="2205">
        <v>11588.82</v>
      </c>
      <c r="H94" s="2205">
        <v>2880.06</v>
      </c>
      <c r="I94" s="2205">
        <v>3716.13</v>
      </c>
      <c r="J94" s="2205">
        <f t="shared" ref="J94:J119" si="16">SUM(G94:I94)</f>
        <v>18185.009999999998</v>
      </c>
      <c r="M94" s="972"/>
    </row>
    <row r="95" spans="1:13" s="373" customFormat="1" ht="11.1" customHeight="1" x14ac:dyDescent="0.2">
      <c r="A95" s="683" t="s">
        <v>1404</v>
      </c>
      <c r="B95" s="221" t="s">
        <v>1160</v>
      </c>
      <c r="C95" s="232">
        <v>201.78</v>
      </c>
      <c r="D95" s="232">
        <v>92.45</v>
      </c>
      <c r="E95" s="232">
        <v>136.63999999999999</v>
      </c>
      <c r="F95" s="2204">
        <f t="shared" si="15"/>
        <v>430.87</v>
      </c>
      <c r="G95" s="2204">
        <v>11775.91</v>
      </c>
      <c r="H95" s="2204">
        <v>3021.77</v>
      </c>
      <c r="I95" s="2204">
        <v>3882.53</v>
      </c>
      <c r="J95" s="2204">
        <f t="shared" si="16"/>
        <v>18680.21</v>
      </c>
      <c r="M95" s="972"/>
    </row>
    <row r="96" spans="1:13" s="373" customFormat="1" ht="11.1" customHeight="1" x14ac:dyDescent="0.2">
      <c r="A96" s="373" t="s">
        <v>1484</v>
      </c>
      <c r="B96" s="221" t="s">
        <v>1161</v>
      </c>
      <c r="C96" s="232">
        <v>181.22843324305333</v>
      </c>
      <c r="D96" s="232">
        <v>31.343031271743257</v>
      </c>
      <c r="E96" s="232">
        <v>-55.902805572952786</v>
      </c>
      <c r="F96" s="2204">
        <f t="shared" si="15"/>
        <v>156.6686589418438</v>
      </c>
      <c r="G96" s="2204">
        <v>9139.1557755976337</v>
      </c>
      <c r="H96" s="2204">
        <v>2954.3718413904153</v>
      </c>
      <c r="I96" s="2204">
        <v>2331.9899999999998</v>
      </c>
      <c r="J96" s="2204">
        <f t="shared" si="16"/>
        <v>14425.517616988049</v>
      </c>
      <c r="L96" s="744"/>
    </row>
    <row r="97" spans="1:12" s="373" customFormat="1" ht="11.1" customHeight="1" x14ac:dyDescent="0.2">
      <c r="A97" s="373" t="s">
        <v>1484</v>
      </c>
      <c r="B97" s="545" t="s">
        <v>1274</v>
      </c>
      <c r="C97" s="299">
        <v>188.88340892515114</v>
      </c>
      <c r="D97" s="299">
        <v>174.07049359854665</v>
      </c>
      <c r="E97" s="299">
        <v>51.652527858445438</v>
      </c>
      <c r="F97" s="2205">
        <f t="shared" si="15"/>
        <v>414.60643038214323</v>
      </c>
      <c r="G97" s="2205">
        <v>9451.7112942199074</v>
      </c>
      <c r="H97" s="2205">
        <v>3011.4844432439359</v>
      </c>
      <c r="I97" s="2205">
        <v>2424.6799999999998</v>
      </c>
      <c r="J97" s="2205">
        <f t="shared" si="16"/>
        <v>14887.875737463844</v>
      </c>
    </row>
    <row r="98" spans="1:12" s="373" customFormat="1" ht="11.1" customHeight="1" x14ac:dyDescent="0.2">
      <c r="A98" s="373" t="s">
        <v>1484</v>
      </c>
      <c r="B98" s="221" t="s">
        <v>1159</v>
      </c>
      <c r="C98" s="232">
        <v>164.52593125333709</v>
      </c>
      <c r="D98" s="232">
        <v>264.52374645289404</v>
      </c>
      <c r="E98" s="232">
        <v>-23.403756999038421</v>
      </c>
      <c r="F98" s="2204">
        <f t="shared" si="15"/>
        <v>405.64592070719272</v>
      </c>
      <c r="G98" s="2204">
        <v>9597.2058831639806</v>
      </c>
      <c r="H98" s="2204">
        <v>3411.162786788228</v>
      </c>
      <c r="I98" s="2204">
        <v>2885.08</v>
      </c>
      <c r="J98" s="2204">
        <f>SUM(G98:I98)</f>
        <v>15893.448669952208</v>
      </c>
    </row>
    <row r="99" spans="1:12" s="373" customFormat="1" ht="11.1" customHeight="1" x14ac:dyDescent="0.2">
      <c r="A99" s="373" t="s">
        <v>1484</v>
      </c>
      <c r="B99" s="545" t="s">
        <v>1160</v>
      </c>
      <c r="C99" s="299">
        <v>137.57402875024093</v>
      </c>
      <c r="D99" s="299">
        <v>-55.572021842242407</v>
      </c>
      <c r="E99" s="299">
        <v>147.42141782068154</v>
      </c>
      <c r="F99" s="2205">
        <f t="shared" si="15"/>
        <v>229.42342472868006</v>
      </c>
      <c r="G99" s="2205">
        <v>9832.9799150558283</v>
      </c>
      <c r="H99" s="2205">
        <v>3228.1462507731453</v>
      </c>
      <c r="I99" s="2205">
        <v>2792.86</v>
      </c>
      <c r="J99" s="2205">
        <f t="shared" si="16"/>
        <v>15853.986165828974</v>
      </c>
    </row>
    <row r="100" spans="1:12" s="373" customFormat="1" ht="11.1" customHeight="1" x14ac:dyDescent="0.2">
      <c r="A100" s="683" t="s">
        <v>1536</v>
      </c>
      <c r="B100" s="545" t="s">
        <v>1161</v>
      </c>
      <c r="C100" s="299">
        <v>120.49891477967547</v>
      </c>
      <c r="D100" s="299">
        <v>86.891415557053961</v>
      </c>
      <c r="E100" s="299">
        <v>17.137682745122305</v>
      </c>
      <c r="F100" s="2205">
        <f t="shared" si="15"/>
        <v>224.52801308185175</v>
      </c>
      <c r="G100" s="2205">
        <v>9899.1942071803405</v>
      </c>
      <c r="H100" s="2205">
        <v>3258.6074203150638</v>
      </c>
      <c r="I100" s="2205">
        <v>2467.42</v>
      </c>
      <c r="J100" s="2205">
        <f t="shared" si="16"/>
        <v>15625.221627495404</v>
      </c>
      <c r="L100" s="744"/>
    </row>
    <row r="101" spans="1:12" s="373" customFormat="1" ht="11.1" customHeight="1" x14ac:dyDescent="0.2">
      <c r="A101" s="683" t="s">
        <v>1536</v>
      </c>
      <c r="B101" s="221" t="s">
        <v>1274</v>
      </c>
      <c r="C101" s="232">
        <v>355.67257480287708</v>
      </c>
      <c r="D101" s="232">
        <v>231.99810386985828</v>
      </c>
      <c r="E101" s="232">
        <v>17.296429065867784</v>
      </c>
      <c r="F101" s="2204">
        <f t="shared" si="15"/>
        <v>604.96710773860309</v>
      </c>
      <c r="G101" s="2204">
        <v>10357.319528274098</v>
      </c>
      <c r="H101" s="2204">
        <v>3325.2852283446155</v>
      </c>
      <c r="I101" s="2204">
        <v>2657.34</v>
      </c>
      <c r="J101" s="2204">
        <f t="shared" si="16"/>
        <v>16339.944756618714</v>
      </c>
    </row>
    <row r="102" spans="1:12" s="373" customFormat="1" ht="11.1" customHeight="1" x14ac:dyDescent="0.2">
      <c r="A102" s="683" t="s">
        <v>1536</v>
      </c>
      <c r="B102" s="545" t="s">
        <v>1159</v>
      </c>
      <c r="C102" s="299">
        <v>121.15805333680674</v>
      </c>
      <c r="D102" s="299">
        <v>104.72577686544776</v>
      </c>
      <c r="E102" s="299">
        <v>72.669604266582439</v>
      </c>
      <c r="F102" s="2205">
        <f t="shared" si="15"/>
        <v>298.55343446883694</v>
      </c>
      <c r="G102" s="2205">
        <v>11015.225202382831</v>
      </c>
      <c r="H102" s="2205">
        <v>3344.0228279621474</v>
      </c>
      <c r="I102" s="2205">
        <v>2625.9</v>
      </c>
      <c r="J102" s="2205">
        <f t="shared" si="16"/>
        <v>16985.148030344979</v>
      </c>
    </row>
    <row r="103" spans="1:12" s="373" customFormat="1" ht="11.1" customHeight="1" x14ac:dyDescent="0.2">
      <c r="A103" s="683" t="s">
        <v>1536</v>
      </c>
      <c r="B103" s="221" t="s">
        <v>1160</v>
      </c>
      <c r="C103" s="232">
        <v>130.81</v>
      </c>
      <c r="D103" s="232">
        <v>62.788455905964383</v>
      </c>
      <c r="E103" s="232">
        <v>5.9507797188876452</v>
      </c>
      <c r="F103" s="2204">
        <f t="shared" si="15"/>
        <v>199.54923562485203</v>
      </c>
      <c r="G103" s="2204">
        <v>10746.3</v>
      </c>
      <c r="H103" s="2204">
        <v>3482.674</v>
      </c>
      <c r="I103" s="2204">
        <v>2591.8440000000001</v>
      </c>
      <c r="J103" s="2204">
        <f t="shared" si="16"/>
        <v>16820.817999999999</v>
      </c>
    </row>
    <row r="104" spans="1:12" s="373" customFormat="1" ht="11.1" customHeight="1" x14ac:dyDescent="0.2">
      <c r="A104" s="373" t="s">
        <v>3065</v>
      </c>
      <c r="B104" s="978" t="s">
        <v>1161</v>
      </c>
      <c r="C104" s="232">
        <v>252.08</v>
      </c>
      <c r="D104" s="232">
        <v>123.43345269186131</v>
      </c>
      <c r="E104" s="232">
        <v>21.897757522825628</v>
      </c>
      <c r="F104" s="2204">
        <f t="shared" si="15"/>
        <v>397.41121021468689</v>
      </c>
      <c r="G104" s="2204">
        <v>10927.89</v>
      </c>
      <c r="H104" s="2204">
        <v>4214.0274912398809</v>
      </c>
      <c r="I104" s="2204">
        <v>2633.13</v>
      </c>
      <c r="J104" s="2204">
        <f t="shared" si="16"/>
        <v>17775.047491239882</v>
      </c>
    </row>
    <row r="105" spans="1:12" s="373" customFormat="1" ht="11.1" customHeight="1" x14ac:dyDescent="0.2">
      <c r="A105" s="373" t="s">
        <v>1817</v>
      </c>
      <c r="B105" s="1022" t="s">
        <v>1274</v>
      </c>
      <c r="C105" s="299">
        <v>469.37</v>
      </c>
      <c r="D105" s="299">
        <v>99.62302759833068</v>
      </c>
      <c r="E105" s="299">
        <v>107.65300000000001</v>
      </c>
      <c r="F105" s="2205">
        <f t="shared" si="15"/>
        <v>676.64602759833065</v>
      </c>
      <c r="G105" s="2205">
        <v>11495.97</v>
      </c>
      <c r="H105" s="2205">
        <v>4116.6755739096761</v>
      </c>
      <c r="I105" s="2205">
        <v>2820.5</v>
      </c>
      <c r="J105" s="2205">
        <f t="shared" si="16"/>
        <v>18433.145573909675</v>
      </c>
    </row>
    <row r="106" spans="1:12" s="373" customFormat="1" ht="11.1" customHeight="1" x14ac:dyDescent="0.2">
      <c r="A106" s="373" t="s">
        <v>1817</v>
      </c>
      <c r="B106" s="978" t="s">
        <v>1159</v>
      </c>
      <c r="C106" s="232">
        <v>246.21210190237227</v>
      </c>
      <c r="D106" s="232">
        <v>253.08586343978902</v>
      </c>
      <c r="E106" s="232">
        <v>-10.055464788014888</v>
      </c>
      <c r="F106" s="2204">
        <f t="shared" si="15"/>
        <v>489.24250055414643</v>
      </c>
      <c r="G106" s="2204">
        <v>11722.45</v>
      </c>
      <c r="H106" s="2204">
        <v>4259.2757488694888</v>
      </c>
      <c r="I106" s="2204">
        <v>2884</v>
      </c>
      <c r="J106" s="2204">
        <f t="shared" si="16"/>
        <v>18865.725748869489</v>
      </c>
    </row>
    <row r="107" spans="1:12" s="373" customFormat="1" ht="11.1" customHeight="1" x14ac:dyDescent="0.2">
      <c r="A107" s="373" t="s">
        <v>1817</v>
      </c>
      <c r="B107" s="1022" t="s">
        <v>1160</v>
      </c>
      <c r="C107" s="299">
        <v>168.56632840742736</v>
      </c>
      <c r="D107" s="299">
        <v>7.264313784179194</v>
      </c>
      <c r="E107" s="299">
        <v>-28.603041836944868</v>
      </c>
      <c r="F107" s="2205">
        <f>SUM(C107:E107)</f>
        <v>147.22760035466169</v>
      </c>
      <c r="G107" s="2205">
        <v>10975.522113632853</v>
      </c>
      <c r="H107" s="2205">
        <v>3695.489942013593</v>
      </c>
      <c r="I107" s="2205">
        <v>2806.27</v>
      </c>
      <c r="J107" s="2205">
        <f t="shared" si="16"/>
        <v>17477.282055646447</v>
      </c>
    </row>
    <row r="108" spans="1:12" s="373" customFormat="1" ht="11.1" customHeight="1" x14ac:dyDescent="0.2">
      <c r="A108" s="683" t="s">
        <v>2066</v>
      </c>
      <c r="B108" s="1022" t="s">
        <v>1161</v>
      </c>
      <c r="C108" s="299">
        <v>223.66504454925553</v>
      </c>
      <c r="D108" s="299">
        <v>164.05450189583735</v>
      </c>
      <c r="E108" s="299">
        <v>109.42230581789886</v>
      </c>
      <c r="F108" s="2205">
        <f t="shared" ref="F108:F111" si="17">SUM(C108:E108)</f>
        <v>497.14185226299173</v>
      </c>
      <c r="G108" s="2205">
        <v>11056.39</v>
      </c>
      <c r="H108" s="2205">
        <v>3738.6640000000002</v>
      </c>
      <c r="I108" s="2205">
        <v>2928.2339999999999</v>
      </c>
      <c r="J108" s="2205">
        <f t="shared" si="16"/>
        <v>17723.288</v>
      </c>
    </row>
    <row r="109" spans="1:12" s="373" customFormat="1" ht="11.1" customHeight="1" x14ac:dyDescent="0.2">
      <c r="A109" s="683" t="s">
        <v>2066</v>
      </c>
      <c r="B109" s="978" t="s">
        <v>1274</v>
      </c>
      <c r="C109" s="232">
        <v>230.49779332823621</v>
      </c>
      <c r="D109" s="232">
        <v>245.43833483737012</v>
      </c>
      <c r="E109" s="232">
        <v>-91.944752915763786</v>
      </c>
      <c r="F109" s="2204">
        <f t="shared" si="17"/>
        <v>383.99137524984252</v>
      </c>
      <c r="G109" s="2204">
        <v>11014.943646098083</v>
      </c>
      <c r="H109" s="2204">
        <v>3984.22</v>
      </c>
      <c r="I109" s="2204">
        <v>2868.81</v>
      </c>
      <c r="J109" s="2204">
        <f t="shared" si="16"/>
        <v>17867.973646098082</v>
      </c>
    </row>
    <row r="110" spans="1:12" s="373" customFormat="1" ht="11.1" customHeight="1" x14ac:dyDescent="0.2">
      <c r="A110" s="683" t="s">
        <v>2066</v>
      </c>
      <c r="B110" s="1022" t="s">
        <v>1159</v>
      </c>
      <c r="C110" s="299">
        <v>137.00539392957256</v>
      </c>
      <c r="D110" s="299">
        <v>205.77697716266829</v>
      </c>
      <c r="E110" s="299">
        <v>-45.44</v>
      </c>
      <c r="F110" s="2205">
        <f t="shared" si="17"/>
        <v>297.34237109224085</v>
      </c>
      <c r="G110" s="2205">
        <v>10899.948</v>
      </c>
      <c r="H110" s="2205">
        <v>4108.9129999999996</v>
      </c>
      <c r="I110" s="2205">
        <v>2818.884</v>
      </c>
      <c r="J110" s="2205">
        <f t="shared" si="16"/>
        <v>17827.745000000003</v>
      </c>
    </row>
    <row r="111" spans="1:12" s="373" customFormat="1" ht="11.1" customHeight="1" x14ac:dyDescent="0.2">
      <c r="A111" s="683" t="s">
        <v>2066</v>
      </c>
      <c r="B111" s="1207" t="s">
        <v>1160</v>
      </c>
      <c r="C111" s="232">
        <v>118.76134806646412</v>
      </c>
      <c r="D111" s="232">
        <v>172.80844299715847</v>
      </c>
      <c r="E111" s="232">
        <v>135.41850377430123</v>
      </c>
      <c r="F111" s="2204">
        <f t="shared" si="17"/>
        <v>426.98829483792383</v>
      </c>
      <c r="G111" s="2204">
        <v>10597.720442214342</v>
      </c>
      <c r="H111" s="2204">
        <v>4043.73</v>
      </c>
      <c r="I111" s="2204">
        <v>2875.56</v>
      </c>
      <c r="J111" s="2204">
        <f t="shared" si="16"/>
        <v>17517.010442214341</v>
      </c>
    </row>
    <row r="112" spans="1:12" s="373" customFormat="1" ht="11.1" customHeight="1" x14ac:dyDescent="0.2">
      <c r="A112" s="553" t="s">
        <v>2206</v>
      </c>
      <c r="B112" s="1022" t="s">
        <v>1161</v>
      </c>
      <c r="C112" s="232">
        <v>144.80771510213179</v>
      </c>
      <c r="D112" s="232">
        <v>271.25145873778467</v>
      </c>
      <c r="E112" s="232">
        <v>-55.52</v>
      </c>
      <c r="F112" s="2204">
        <f t="shared" ref="F112:F114" si="18">SUM(C112:E112)</f>
        <v>360.53917383991649</v>
      </c>
      <c r="G112" s="2204">
        <v>10419.049942807074</v>
      </c>
      <c r="H112" s="2204">
        <v>4141.47</v>
      </c>
      <c r="I112" s="2204">
        <v>2789.16</v>
      </c>
      <c r="J112" s="2204">
        <f t="shared" si="16"/>
        <v>17349.679942807074</v>
      </c>
    </row>
    <row r="113" spans="1:10" s="373" customFormat="1" ht="11.1" customHeight="1" x14ac:dyDescent="0.2">
      <c r="A113" s="553" t="s">
        <v>2206</v>
      </c>
      <c r="B113" s="978" t="s">
        <v>1274</v>
      </c>
      <c r="C113" s="299">
        <v>187.72</v>
      </c>
      <c r="D113" s="299">
        <v>120.31</v>
      </c>
      <c r="E113" s="299">
        <v>71.23</v>
      </c>
      <c r="F113" s="2205">
        <f t="shared" si="18"/>
        <v>379.26</v>
      </c>
      <c r="G113" s="2205">
        <v>10620.66</v>
      </c>
      <c r="H113" s="2205">
        <v>4349.99</v>
      </c>
      <c r="I113" s="2205">
        <v>2861.28</v>
      </c>
      <c r="J113" s="2205">
        <f t="shared" si="16"/>
        <v>17831.93</v>
      </c>
    </row>
    <row r="114" spans="1:10" s="373" customFormat="1" ht="11.1" customHeight="1" x14ac:dyDescent="0.2">
      <c r="A114" s="553" t="s">
        <v>2206</v>
      </c>
      <c r="B114" s="1022" t="s">
        <v>1159</v>
      </c>
      <c r="C114" s="232">
        <v>120.88740568218184</v>
      </c>
      <c r="D114" s="232">
        <v>257.264877454182</v>
      </c>
      <c r="E114" s="232">
        <v>25.29</v>
      </c>
      <c r="F114" s="2204">
        <f t="shared" si="18"/>
        <v>403.44228313636387</v>
      </c>
      <c r="G114" s="2204">
        <v>10872.513999999999</v>
      </c>
      <c r="H114" s="2204">
        <v>4956.7539999999999</v>
      </c>
      <c r="I114" s="2204">
        <v>2888.42</v>
      </c>
      <c r="J114" s="2204">
        <f t="shared" si="16"/>
        <v>18717.688000000002</v>
      </c>
    </row>
    <row r="115" spans="1:10" s="373" customFormat="1" ht="11.1" customHeight="1" x14ac:dyDescent="0.2">
      <c r="A115" s="553" t="s">
        <v>2206</v>
      </c>
      <c r="B115" s="1207" t="s">
        <v>1160</v>
      </c>
      <c r="C115" s="299">
        <v>214.14353065015712</v>
      </c>
      <c r="D115" s="299">
        <v>-33.95539495149967</v>
      </c>
      <c r="E115" s="299">
        <v>92.03</v>
      </c>
      <c r="F115" s="2205">
        <f t="shared" ref="F115:F120" si="19">SUM(C115:E115)</f>
        <v>272.21813569865742</v>
      </c>
      <c r="G115" s="2205">
        <v>10465.309350218979</v>
      </c>
      <c r="H115" s="2205">
        <v>4285.3725929807633</v>
      </c>
      <c r="I115" s="2205">
        <v>2976.72</v>
      </c>
      <c r="J115" s="2205">
        <f t="shared" si="16"/>
        <v>17727.401943199744</v>
      </c>
    </row>
    <row r="116" spans="1:10" s="373" customFormat="1" ht="11.1" customHeight="1" x14ac:dyDescent="0.2">
      <c r="A116" s="1331" t="s">
        <v>2708</v>
      </c>
      <c r="B116" s="1022" t="s">
        <v>1161</v>
      </c>
      <c r="C116" s="299">
        <v>76.790000000000006</v>
      </c>
      <c r="D116" s="299">
        <v>72.900000000000006</v>
      </c>
      <c r="E116" s="299">
        <v>-45.36</v>
      </c>
      <c r="F116" s="2205">
        <f t="shared" si="19"/>
        <v>104.33</v>
      </c>
      <c r="G116" s="2205">
        <v>10423.57</v>
      </c>
      <c r="H116" s="2205">
        <v>4315.08</v>
      </c>
      <c r="I116" s="2205">
        <v>2938.7</v>
      </c>
      <c r="J116" s="2205">
        <f t="shared" si="16"/>
        <v>17677.349999999999</v>
      </c>
    </row>
    <row r="117" spans="1:10" s="373" customFormat="1" ht="11.1" customHeight="1" x14ac:dyDescent="0.2">
      <c r="A117" s="1331" t="s">
        <v>2708</v>
      </c>
      <c r="B117" s="978" t="s">
        <v>1274</v>
      </c>
      <c r="C117" s="232">
        <v>132.81</v>
      </c>
      <c r="D117" s="232">
        <v>325.75</v>
      </c>
      <c r="E117" s="232">
        <v>31.84</v>
      </c>
      <c r="F117" s="2204">
        <f t="shared" si="19"/>
        <v>490.4</v>
      </c>
      <c r="G117" s="2204">
        <v>10686.58</v>
      </c>
      <c r="H117" s="2204">
        <v>4680.9399999999996</v>
      </c>
      <c r="I117" s="2204">
        <v>2926.36</v>
      </c>
      <c r="J117" s="2204">
        <f t="shared" si="16"/>
        <v>18293.88</v>
      </c>
    </row>
    <row r="118" spans="1:10" s="373" customFormat="1" ht="11.1" customHeight="1" x14ac:dyDescent="0.2">
      <c r="A118" s="1331" t="s">
        <v>2708</v>
      </c>
      <c r="B118" s="1022" t="s">
        <v>1159</v>
      </c>
      <c r="C118" s="299">
        <v>263.87</v>
      </c>
      <c r="D118" s="299">
        <v>191.22</v>
      </c>
      <c r="E118" s="299">
        <v>333.15</v>
      </c>
      <c r="F118" s="2205">
        <f t="shared" si="19"/>
        <v>788.24</v>
      </c>
      <c r="G118" s="2205">
        <v>10806.99</v>
      </c>
      <c r="H118" s="2205">
        <v>4742.75</v>
      </c>
      <c r="I118" s="2205">
        <v>3186.66</v>
      </c>
      <c r="J118" s="2205">
        <f t="shared" si="16"/>
        <v>18736.400000000001</v>
      </c>
    </row>
    <row r="119" spans="1:10" s="373" customFormat="1" ht="11.1" customHeight="1" x14ac:dyDescent="0.2">
      <c r="A119" s="1331" t="s">
        <v>2708</v>
      </c>
      <c r="B119" s="1207" t="s">
        <v>1160</v>
      </c>
      <c r="C119" s="232">
        <v>81.3</v>
      </c>
      <c r="D119" s="232">
        <v>168.24</v>
      </c>
      <c r="E119" s="232">
        <v>53.73</v>
      </c>
      <c r="F119" s="2204">
        <f t="shared" si="19"/>
        <v>303.27000000000004</v>
      </c>
      <c r="G119" s="2204">
        <v>10871.19</v>
      </c>
      <c r="H119" s="2204">
        <v>4798.46</v>
      </c>
      <c r="I119" s="2204">
        <v>3285.7</v>
      </c>
      <c r="J119" s="2204">
        <f t="shared" si="16"/>
        <v>18955.350000000002</v>
      </c>
    </row>
    <row r="120" spans="1:10" s="373" customFormat="1" ht="11.25" x14ac:dyDescent="0.2">
      <c r="A120" s="553" t="s">
        <v>2849</v>
      </c>
      <c r="B120" s="1207" t="s">
        <v>1161</v>
      </c>
      <c r="C120" s="232">
        <v>101.12</v>
      </c>
      <c r="D120" s="232">
        <v>211.47</v>
      </c>
      <c r="E120" s="232">
        <v>2.4900000000000002</v>
      </c>
      <c r="F120" s="2204">
        <f t="shared" si="19"/>
        <v>315.08000000000004</v>
      </c>
      <c r="G120" s="2204">
        <v>11072.05</v>
      </c>
      <c r="H120" s="2204">
        <v>5100.12</v>
      </c>
      <c r="I120" s="2204">
        <v>3326.73</v>
      </c>
      <c r="J120" s="2204">
        <f t="shared" ref="J120" si="20">SUM(G120:I120)</f>
        <v>19498.899999999998</v>
      </c>
    </row>
    <row r="121" spans="1:10" s="142" customFormat="1" ht="12" thickBot="1" x14ac:dyDescent="0.25">
      <c r="A121" s="553" t="s">
        <v>2849</v>
      </c>
      <c r="B121" s="1633" t="s">
        <v>1274</v>
      </c>
      <c r="C121" s="317">
        <v>108.34</v>
      </c>
      <c r="D121" s="317">
        <v>210.74</v>
      </c>
      <c r="E121" s="317">
        <v>44.73</v>
      </c>
      <c r="F121" s="2223">
        <f>C121+D121+E121</f>
        <v>363.81000000000006</v>
      </c>
      <c r="G121" s="2223">
        <v>11232.51</v>
      </c>
      <c r="H121" s="2223">
        <v>5425.12</v>
      </c>
      <c r="I121" s="2223">
        <v>3403.28</v>
      </c>
      <c r="J121" s="2223">
        <f>I121+H121+G121</f>
        <v>20060.91</v>
      </c>
    </row>
    <row r="122" spans="1:10" s="142" customFormat="1" ht="12" customHeight="1" x14ac:dyDescent="0.2">
      <c r="A122" s="220" t="s">
        <v>583</v>
      </c>
      <c r="B122" s="220"/>
      <c r="C122" s="2605" t="s">
        <v>1858</v>
      </c>
      <c r="D122" s="2605"/>
      <c r="E122" s="2605"/>
      <c r="F122" s="2605"/>
      <c r="G122" s="2605"/>
      <c r="H122" s="2605"/>
      <c r="I122" s="2605"/>
      <c r="J122" s="2605"/>
    </row>
    <row r="123" spans="1:10" x14ac:dyDescent="0.2">
      <c r="A123" s="16"/>
      <c r="B123" s="16"/>
      <c r="C123" s="2606" t="s">
        <v>1533</v>
      </c>
      <c r="D123" s="2606"/>
      <c r="E123" s="2606"/>
      <c r="F123" s="2606"/>
      <c r="G123" s="2606"/>
      <c r="H123" s="2606"/>
      <c r="I123" s="2606"/>
      <c r="J123" s="2606"/>
    </row>
    <row r="124" spans="1:10" x14ac:dyDescent="0.2">
      <c r="A124" s="16"/>
      <c r="B124" s="16"/>
      <c r="C124" s="1585" t="s">
        <v>2570</v>
      </c>
      <c r="D124" s="1585"/>
      <c r="E124" s="1585"/>
      <c r="F124" s="1585"/>
      <c r="G124" s="1585"/>
      <c r="H124" s="1585"/>
      <c r="I124" s="1585"/>
      <c r="J124" s="1585"/>
    </row>
    <row r="125" spans="1:10" x14ac:dyDescent="0.2">
      <c r="A125" s="16"/>
      <c r="B125" s="16"/>
      <c r="C125" s="1585" t="s">
        <v>2571</v>
      </c>
      <c r="D125" s="1585"/>
      <c r="E125" s="1585"/>
      <c r="F125" s="1585"/>
      <c r="G125" s="1585"/>
      <c r="H125" s="1585" t="s">
        <v>1294</v>
      </c>
      <c r="I125" s="1413"/>
      <c r="J125" s="1585"/>
    </row>
    <row r="126" spans="1:10" x14ac:dyDescent="0.2">
      <c r="A126" s="515" t="s">
        <v>803</v>
      </c>
      <c r="B126" s="515"/>
      <c r="C126" s="2600" t="s">
        <v>1208</v>
      </c>
      <c r="D126" s="2600"/>
      <c r="E126" s="2600"/>
      <c r="F126" s="2600"/>
      <c r="G126" s="28"/>
      <c r="H126" s="2417" t="s">
        <v>2484</v>
      </c>
      <c r="I126" s="2417"/>
      <c r="J126" s="219"/>
    </row>
    <row r="127" spans="1:10" x14ac:dyDescent="0.2">
      <c r="F127" s="1586"/>
      <c r="G127" s="1586"/>
    </row>
    <row r="128" spans="1:10" ht="11.1" customHeight="1" x14ac:dyDescent="0.2">
      <c r="F128" s="552"/>
    </row>
    <row r="129" spans="6:6" ht="11.1" customHeight="1" x14ac:dyDescent="0.2">
      <c r="F129" s="552"/>
    </row>
    <row r="130" spans="6:6" ht="11.1" customHeight="1" x14ac:dyDescent="0.2"/>
  </sheetData>
  <customSheetViews>
    <customSheetView guid="{A374FC54-96E3-45F0-9C12-8450400C12DF}" scale="160">
      <pane xSplit="1" ySplit="5" topLeftCell="B35" activePane="bottomRight" state="frozen"/>
      <selection pane="bottomRight" activeCell="K38" sqref="K38"/>
      <pageMargins left="0.59055118110236204" right="0.511811023622047" top="0.39370078740157499" bottom="0.511811023622047" header="0" footer="0.39370078740157499"/>
      <pageSetup paperSize="132" firstPageNumber="31" orientation="portrait" useFirstPageNumber="1" r:id="rId1"/>
      <headerFooter>
        <oddFooter>&amp;C&amp;"Times New Roman,Regular"&amp;8&amp;P</oddFooter>
      </headerFooter>
    </customSheetView>
  </customSheetViews>
  <mergeCells count="9">
    <mergeCell ref="C126:F126"/>
    <mergeCell ref="H126:I126"/>
    <mergeCell ref="A1:H2"/>
    <mergeCell ref="I3:J3"/>
    <mergeCell ref="A4:A5"/>
    <mergeCell ref="C4:F4"/>
    <mergeCell ref="G4:J4"/>
    <mergeCell ref="C122:J122"/>
    <mergeCell ref="C123:J123"/>
  </mergeCells>
  <phoneticPr fontId="5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D295"/>
  <sheetViews>
    <sheetView zoomScale="150" zoomScaleNormal="150" workbookViewId="0">
      <pane xSplit="1" ySplit="6" topLeftCell="AG7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AV2" sqref="AV2"/>
    </sheetView>
  </sheetViews>
  <sheetFormatPr defaultColWidth="9.140625" defaultRowHeight="12" x14ac:dyDescent="0.2"/>
  <cols>
    <col min="1" max="1" width="8.85546875" style="70" customWidth="1"/>
    <col min="2" max="2" width="8.85546875" style="61" customWidth="1"/>
    <col min="3" max="3" width="5.28515625" style="28" customWidth="1"/>
    <col min="4" max="4" width="8.28515625" style="28" customWidth="1"/>
    <col min="5" max="5" width="4.85546875" style="28" customWidth="1"/>
    <col min="6" max="6" width="8.28515625" style="28" customWidth="1"/>
    <col min="7" max="7" width="5.42578125" style="28" customWidth="1"/>
    <col min="8" max="8" width="7.7109375" style="28" customWidth="1"/>
    <col min="9" max="9" width="6.85546875" style="28" customWidth="1"/>
    <col min="10" max="10" width="5.42578125" style="28" customWidth="1"/>
    <col min="11" max="11" width="5.5703125" style="28" customWidth="1"/>
    <col min="12" max="13" width="6.42578125" style="28" customWidth="1"/>
    <col min="14" max="14" width="8.28515625" style="28" customWidth="1"/>
    <col min="15" max="15" width="8.85546875" style="28" customWidth="1"/>
    <col min="16" max="16" width="8.5703125" style="28" customWidth="1"/>
    <col min="17" max="17" width="9" style="28" customWidth="1"/>
    <col min="18" max="18" width="8.140625" style="28" customWidth="1"/>
    <col min="19" max="19" width="7.7109375" style="28" customWidth="1"/>
    <col min="20" max="20" width="7.42578125" style="28" customWidth="1"/>
    <col min="21" max="21" width="7.85546875" style="28" customWidth="1"/>
    <col min="22" max="23" width="6" style="28" customWidth="1"/>
    <col min="24" max="24" width="7.5703125" style="28" customWidth="1"/>
    <col min="25" max="25" width="6.85546875" style="28" customWidth="1"/>
    <col min="26" max="26" width="6.42578125" style="28" customWidth="1"/>
    <col min="27" max="27" width="6.85546875" style="28" customWidth="1"/>
    <col min="28" max="28" width="6.5703125" style="28" customWidth="1"/>
    <col min="29" max="29" width="7.28515625" style="28" customWidth="1"/>
    <col min="30" max="30" width="8.140625" style="28" customWidth="1"/>
    <col min="31" max="31" width="6.85546875" style="28" customWidth="1"/>
    <col min="32" max="32" width="6.42578125" style="28" customWidth="1"/>
    <col min="33" max="33" width="7.7109375" style="28" customWidth="1"/>
    <col min="34" max="34" width="7" style="28" customWidth="1"/>
    <col min="35" max="35" width="7.140625" style="28" customWidth="1"/>
    <col min="36" max="36" width="7.7109375" style="28" customWidth="1"/>
    <col min="37" max="37" width="7.85546875" style="28" customWidth="1"/>
    <col min="38" max="38" width="9.7109375" style="28" customWidth="1"/>
    <col min="39" max="39" width="7.7109375" style="28" customWidth="1"/>
    <col min="40" max="40" width="8.28515625" style="28" customWidth="1"/>
    <col min="41" max="41" width="9.7109375" style="61" customWidth="1"/>
    <col min="42" max="56" width="5.5703125" style="28" customWidth="1"/>
    <col min="57" max="16384" width="9.140625" style="28"/>
  </cols>
  <sheetData>
    <row r="1" spans="1:41" s="20" customFormat="1" ht="15.75" x14ac:dyDescent="0.25">
      <c r="A1" s="2628" t="s">
        <v>621</v>
      </c>
      <c r="B1" s="2628"/>
      <c r="C1" s="2628"/>
      <c r="D1" s="2628"/>
      <c r="E1" s="2628"/>
      <c r="F1" s="54"/>
      <c r="G1" s="54"/>
      <c r="K1" s="2615" t="s">
        <v>117</v>
      </c>
      <c r="L1" s="2615"/>
      <c r="M1" s="2615"/>
      <c r="N1" s="2621" t="s">
        <v>116</v>
      </c>
      <c r="O1" s="2621"/>
      <c r="T1" s="2615" t="s">
        <v>138</v>
      </c>
      <c r="U1" s="2615"/>
      <c r="AD1" s="2615" t="s">
        <v>117</v>
      </c>
      <c r="AE1" s="2615"/>
      <c r="AF1" s="2621" t="s">
        <v>116</v>
      </c>
      <c r="AG1" s="2621"/>
      <c r="AH1" s="2621"/>
      <c r="AM1" s="2615" t="s">
        <v>219</v>
      </c>
      <c r="AN1" s="2615"/>
      <c r="AO1" s="2615"/>
    </row>
    <row r="2" spans="1:41" s="19" customFormat="1" ht="11.25" customHeight="1" x14ac:dyDescent="0.2">
      <c r="A2" s="1955"/>
      <c r="B2" s="1698"/>
      <c r="C2" s="1637"/>
      <c r="D2" s="1637"/>
      <c r="E2" s="1637"/>
      <c r="F2" s="55"/>
      <c r="G2" s="55"/>
      <c r="H2" s="56"/>
      <c r="I2" s="56"/>
      <c r="J2" s="56"/>
      <c r="N2" s="56"/>
      <c r="T2" s="1637"/>
      <c r="U2" s="1932" t="s">
        <v>24</v>
      </c>
      <c r="AN2" s="2622" t="s">
        <v>24</v>
      </c>
      <c r="AO2" s="2622"/>
    </row>
    <row r="3" spans="1:41" s="107" customFormat="1" ht="13.5" customHeight="1" x14ac:dyDescent="0.2">
      <c r="A3" s="2612" t="s">
        <v>21</v>
      </c>
      <c r="B3" s="1712"/>
      <c r="C3" s="2623" t="s">
        <v>168</v>
      </c>
      <c r="D3" s="2624"/>
      <c r="E3" s="2624"/>
      <c r="F3" s="2624"/>
      <c r="G3" s="2624"/>
      <c r="H3" s="2624"/>
      <c r="I3" s="2624"/>
      <c r="J3" s="2624"/>
      <c r="K3" s="2624"/>
      <c r="L3" s="2624"/>
      <c r="M3" s="2627"/>
      <c r="N3" s="2623" t="s">
        <v>169</v>
      </c>
      <c r="O3" s="2624"/>
      <c r="P3" s="2624"/>
      <c r="Q3" s="2624"/>
      <c r="R3" s="2624"/>
      <c r="S3" s="2624"/>
      <c r="T3" s="2624"/>
      <c r="U3" s="2627"/>
      <c r="V3" s="2623" t="s">
        <v>170</v>
      </c>
      <c r="W3" s="2624"/>
      <c r="X3" s="2624"/>
      <c r="Y3" s="2624"/>
      <c r="Z3" s="2624"/>
      <c r="AA3" s="2624"/>
      <c r="AB3" s="2624"/>
      <c r="AC3" s="2624"/>
      <c r="AD3" s="2624"/>
      <c r="AE3" s="2624"/>
      <c r="AF3" s="2624"/>
      <c r="AG3" s="2624" t="s">
        <v>171</v>
      </c>
      <c r="AH3" s="2624"/>
      <c r="AI3" s="2624"/>
      <c r="AJ3" s="2624"/>
      <c r="AK3" s="2624"/>
      <c r="AL3" s="2627"/>
      <c r="AM3" s="2607" t="s">
        <v>899</v>
      </c>
      <c r="AN3" s="2607" t="s">
        <v>901</v>
      </c>
      <c r="AO3" s="2612" t="s">
        <v>474</v>
      </c>
    </row>
    <row r="4" spans="1:41" s="76" customFormat="1" ht="11.25" customHeight="1" x14ac:dyDescent="0.2">
      <c r="A4" s="2613"/>
      <c r="B4" s="1695"/>
      <c r="C4" s="2607" t="s">
        <v>918</v>
      </c>
      <c r="D4" s="2610" t="s">
        <v>2276</v>
      </c>
      <c r="E4" s="2607" t="s">
        <v>111</v>
      </c>
      <c r="F4" s="2610" t="s">
        <v>2277</v>
      </c>
      <c r="G4" s="2607" t="s">
        <v>2278</v>
      </c>
      <c r="H4" s="2610" t="s">
        <v>2279</v>
      </c>
      <c r="I4" s="2610" t="s">
        <v>1235</v>
      </c>
      <c r="J4" s="2607" t="s">
        <v>736</v>
      </c>
      <c r="K4" s="2607" t="s">
        <v>737</v>
      </c>
      <c r="L4" s="2607" t="s">
        <v>637</v>
      </c>
      <c r="M4" s="2619" t="s">
        <v>217</v>
      </c>
      <c r="N4" s="2616" t="s">
        <v>484</v>
      </c>
      <c r="O4" s="2617"/>
      <c r="P4" s="2618"/>
      <c r="Q4" s="2616" t="s">
        <v>213</v>
      </c>
      <c r="R4" s="2617"/>
      <c r="S4" s="2617"/>
      <c r="T4" s="2617"/>
      <c r="U4" s="2618"/>
      <c r="V4" s="2616" t="s">
        <v>218</v>
      </c>
      <c r="W4" s="2617"/>
      <c r="X4" s="2617"/>
      <c r="Y4" s="2617"/>
      <c r="Z4" s="2617"/>
      <c r="AA4" s="2617"/>
      <c r="AB4" s="2617"/>
      <c r="AC4" s="2617"/>
      <c r="AD4" s="2617"/>
      <c r="AE4" s="2617"/>
      <c r="AF4" s="2617"/>
      <c r="AG4" s="2617"/>
      <c r="AH4" s="2617"/>
      <c r="AI4" s="2617"/>
      <c r="AJ4" s="2617"/>
      <c r="AK4" s="2617"/>
      <c r="AL4" s="2618"/>
      <c r="AM4" s="2608"/>
      <c r="AN4" s="2608"/>
      <c r="AO4" s="2613"/>
    </row>
    <row r="5" spans="1:41" s="58" customFormat="1" ht="44.25" customHeight="1" x14ac:dyDescent="0.2">
      <c r="A5" s="2613"/>
      <c r="B5" s="1695" t="s">
        <v>3061</v>
      </c>
      <c r="C5" s="2609"/>
      <c r="D5" s="2611"/>
      <c r="E5" s="2609"/>
      <c r="F5" s="2611"/>
      <c r="G5" s="2609"/>
      <c r="H5" s="2611"/>
      <c r="I5" s="2611"/>
      <c r="J5" s="2609"/>
      <c r="K5" s="2609"/>
      <c r="L5" s="2609"/>
      <c r="M5" s="2620"/>
      <c r="N5" s="1640" t="s">
        <v>485</v>
      </c>
      <c r="O5" s="1641" t="s">
        <v>486</v>
      </c>
      <c r="P5" s="1641" t="s">
        <v>633</v>
      </c>
      <c r="Q5" s="1641" t="s">
        <v>2280</v>
      </c>
      <c r="R5" s="1641" t="s">
        <v>487</v>
      </c>
      <c r="S5" s="1641" t="s">
        <v>738</v>
      </c>
      <c r="T5" s="1641" t="s">
        <v>739</v>
      </c>
      <c r="U5" s="1640" t="s">
        <v>773</v>
      </c>
      <c r="V5" s="869" t="s">
        <v>577</v>
      </c>
      <c r="W5" s="1635" t="s">
        <v>113</v>
      </c>
      <c r="X5" s="1635" t="s">
        <v>898</v>
      </c>
      <c r="Y5" s="1635" t="s">
        <v>2281</v>
      </c>
      <c r="Z5" s="1634" t="s">
        <v>2283</v>
      </c>
      <c r="AA5" s="1635" t="s">
        <v>215</v>
      </c>
      <c r="AB5" s="1635" t="s">
        <v>567</v>
      </c>
      <c r="AC5" s="1635" t="s">
        <v>2284</v>
      </c>
      <c r="AD5" s="1634" t="s">
        <v>2282</v>
      </c>
      <c r="AE5" s="1635" t="s">
        <v>2285</v>
      </c>
      <c r="AF5" s="1635" t="s">
        <v>488</v>
      </c>
      <c r="AG5" s="1106" t="s">
        <v>1236</v>
      </c>
      <c r="AH5" s="1641" t="s">
        <v>740</v>
      </c>
      <c r="AI5" s="1641" t="s">
        <v>2286</v>
      </c>
      <c r="AJ5" s="1641" t="s">
        <v>216</v>
      </c>
      <c r="AK5" s="1641" t="s">
        <v>772</v>
      </c>
      <c r="AL5" s="1641" t="s">
        <v>900</v>
      </c>
      <c r="AM5" s="2609"/>
      <c r="AN5" s="2609"/>
      <c r="AO5" s="2613"/>
    </row>
    <row r="6" spans="1:41" s="62" customFormat="1" ht="12" customHeight="1" x14ac:dyDescent="0.2">
      <c r="A6" s="2614"/>
      <c r="B6" s="1228"/>
      <c r="C6" s="1595">
        <v>1</v>
      </c>
      <c r="D6" s="1638">
        <v>2</v>
      </c>
      <c r="E6" s="1638">
        <v>3</v>
      </c>
      <c r="F6" s="1638">
        <v>4</v>
      </c>
      <c r="G6" s="1638">
        <v>5</v>
      </c>
      <c r="H6" s="1638">
        <v>6</v>
      </c>
      <c r="I6" s="1638">
        <v>7</v>
      </c>
      <c r="J6" s="1638">
        <v>8</v>
      </c>
      <c r="K6" s="1638">
        <v>9</v>
      </c>
      <c r="L6" s="1638">
        <v>10</v>
      </c>
      <c r="M6" s="1638">
        <v>11</v>
      </c>
      <c r="N6" s="756">
        <v>12</v>
      </c>
      <c r="O6" s="1638">
        <v>13</v>
      </c>
      <c r="P6" s="1638" t="s">
        <v>634</v>
      </c>
      <c r="Q6" s="1638">
        <v>15</v>
      </c>
      <c r="R6" s="1638">
        <v>16</v>
      </c>
      <c r="S6" s="1638">
        <v>17</v>
      </c>
      <c r="T6" s="1638">
        <v>18</v>
      </c>
      <c r="U6" s="756">
        <v>19</v>
      </c>
      <c r="V6" s="1595">
        <v>20</v>
      </c>
      <c r="W6" s="1638">
        <v>21</v>
      </c>
      <c r="X6" s="1638">
        <v>22</v>
      </c>
      <c r="Y6" s="1638">
        <v>23</v>
      </c>
      <c r="Z6" s="1638">
        <v>24</v>
      </c>
      <c r="AA6" s="1638">
        <v>25</v>
      </c>
      <c r="AB6" s="1638">
        <v>26</v>
      </c>
      <c r="AC6" s="1638">
        <v>27</v>
      </c>
      <c r="AD6" s="1638">
        <v>28</v>
      </c>
      <c r="AE6" s="1638">
        <v>29</v>
      </c>
      <c r="AF6" s="1638">
        <v>30</v>
      </c>
      <c r="AG6" s="1638">
        <v>31</v>
      </c>
      <c r="AH6" s="1638">
        <v>32</v>
      </c>
      <c r="AI6" s="1638">
        <v>33</v>
      </c>
      <c r="AJ6" s="1638">
        <v>34</v>
      </c>
      <c r="AK6" s="1638">
        <v>35</v>
      </c>
      <c r="AL6" s="1638">
        <v>36</v>
      </c>
      <c r="AM6" s="1638" t="s">
        <v>635</v>
      </c>
      <c r="AN6" s="59" t="s">
        <v>636</v>
      </c>
      <c r="AO6" s="2614"/>
    </row>
    <row r="7" spans="1:41" s="62" customFormat="1" ht="12" customHeight="1" x14ac:dyDescent="0.2">
      <c r="A7" s="1954"/>
      <c r="B7" s="1954"/>
      <c r="C7" s="1960"/>
      <c r="D7" s="1960"/>
      <c r="E7" s="1960"/>
      <c r="F7" s="1960"/>
      <c r="G7" s="1960"/>
      <c r="H7" s="1960"/>
      <c r="I7" s="1960"/>
      <c r="J7" s="1960"/>
      <c r="K7" s="1960"/>
      <c r="L7" s="1960"/>
      <c r="M7" s="1960"/>
      <c r="N7" s="1960"/>
      <c r="O7" s="1960"/>
      <c r="P7" s="1960"/>
      <c r="Q7" s="1960"/>
      <c r="R7" s="1960"/>
      <c r="S7" s="1960"/>
      <c r="T7" s="1960"/>
      <c r="U7" s="1960"/>
      <c r="V7" s="1960"/>
      <c r="W7" s="1960"/>
      <c r="X7" s="1960"/>
      <c r="Y7" s="1960"/>
      <c r="Z7" s="1960"/>
      <c r="AA7" s="1960"/>
      <c r="AB7" s="1960"/>
      <c r="AC7" s="1960"/>
      <c r="AD7" s="1960"/>
      <c r="AE7" s="1960"/>
      <c r="AF7" s="1960"/>
      <c r="AG7" s="1960"/>
      <c r="AH7" s="1960"/>
      <c r="AI7" s="1960"/>
      <c r="AJ7" s="1960"/>
      <c r="AK7" s="1960"/>
      <c r="AL7" s="1960"/>
      <c r="AM7" s="1960"/>
      <c r="AN7" s="1960"/>
      <c r="AO7" s="1954"/>
    </row>
    <row r="8" spans="1:41" s="62" customFormat="1" ht="12" customHeight="1" x14ac:dyDescent="0.2">
      <c r="A8" s="1954"/>
      <c r="B8" s="1954"/>
      <c r="C8" s="1960"/>
      <c r="D8" s="1960"/>
      <c r="E8" s="1960"/>
      <c r="F8" s="1960"/>
      <c r="G8" s="1960"/>
      <c r="H8" s="1960"/>
      <c r="I8" s="1960"/>
      <c r="J8" s="1960"/>
      <c r="K8" s="1960"/>
      <c r="L8" s="1960"/>
      <c r="M8" s="1960"/>
      <c r="N8" s="1960"/>
      <c r="O8" s="1960"/>
      <c r="P8" s="1960"/>
      <c r="Q8" s="1960"/>
      <c r="R8" s="1960"/>
      <c r="S8" s="1960"/>
      <c r="T8" s="1960"/>
      <c r="U8" s="1960"/>
      <c r="V8" s="1960"/>
      <c r="W8" s="1960"/>
      <c r="X8" s="1960"/>
      <c r="Y8" s="1960"/>
      <c r="Z8" s="1960"/>
      <c r="AA8" s="1960"/>
      <c r="AB8" s="1960"/>
      <c r="AC8" s="1960"/>
      <c r="AD8" s="1960"/>
      <c r="AE8" s="1960"/>
      <c r="AF8" s="1960"/>
      <c r="AG8" s="1960"/>
      <c r="AH8" s="1960"/>
      <c r="AI8" s="1960"/>
      <c r="AJ8" s="1960"/>
      <c r="AK8" s="1960"/>
      <c r="AL8" s="1960"/>
      <c r="AM8" s="1960"/>
      <c r="AN8" s="1960"/>
      <c r="AO8" s="1954"/>
    </row>
    <row r="9" spans="1:41" s="62" customFormat="1" ht="12" customHeight="1" x14ac:dyDescent="0.2">
      <c r="A9" s="1954"/>
      <c r="B9" s="1954"/>
      <c r="C9" s="1960"/>
      <c r="D9" s="1960"/>
      <c r="E9" s="1960"/>
      <c r="F9" s="1960"/>
      <c r="G9" s="1960"/>
      <c r="H9" s="1960"/>
      <c r="I9" s="1960"/>
      <c r="J9" s="1960"/>
      <c r="K9" s="1960"/>
      <c r="L9" s="1960"/>
      <c r="M9" s="1960"/>
      <c r="N9" s="1960"/>
      <c r="O9" s="1960"/>
      <c r="P9" s="1960"/>
      <c r="Q9" s="1960"/>
      <c r="R9" s="1960"/>
      <c r="S9" s="1960"/>
      <c r="T9" s="1960"/>
      <c r="U9" s="1960"/>
      <c r="V9" s="1960"/>
      <c r="W9" s="1960"/>
      <c r="X9" s="1960"/>
      <c r="Y9" s="1960"/>
      <c r="Z9" s="1960"/>
      <c r="AA9" s="1960"/>
      <c r="AB9" s="1960"/>
      <c r="AC9" s="1960"/>
      <c r="AD9" s="1960"/>
      <c r="AE9" s="1960"/>
      <c r="AF9" s="1960"/>
      <c r="AG9" s="1960"/>
      <c r="AH9" s="1960"/>
      <c r="AI9" s="1960"/>
      <c r="AJ9" s="1960"/>
      <c r="AK9" s="1960"/>
      <c r="AL9" s="1960"/>
      <c r="AM9" s="1960"/>
      <c r="AN9" s="1960"/>
      <c r="AO9" s="1954"/>
    </row>
    <row r="10" spans="1:41" s="62" customFormat="1" ht="12" customHeight="1" x14ac:dyDescent="0.2">
      <c r="A10" s="1954" t="s">
        <v>535</v>
      </c>
      <c r="B10" s="1954"/>
      <c r="C10" s="1964">
        <v>256</v>
      </c>
      <c r="D10" s="1964">
        <v>956</v>
      </c>
      <c r="E10" s="1964">
        <v>175</v>
      </c>
      <c r="F10" s="1964">
        <v>632</v>
      </c>
      <c r="G10" s="1964">
        <v>1013</v>
      </c>
      <c r="H10" s="1964">
        <v>5646</v>
      </c>
      <c r="I10" s="1964">
        <v>35</v>
      </c>
      <c r="J10" s="1964">
        <v>1</v>
      </c>
      <c r="K10" s="1964">
        <v>178</v>
      </c>
      <c r="L10" s="1964">
        <v>907</v>
      </c>
      <c r="M10" s="1964">
        <f>SUM(C10:L10)</f>
        <v>9799</v>
      </c>
      <c r="N10" s="1964">
        <v>40</v>
      </c>
      <c r="O10" s="1964">
        <v>564</v>
      </c>
      <c r="P10" s="1964">
        <f t="shared" ref="P10:P22" si="0">N10+O10</f>
        <v>604</v>
      </c>
      <c r="Q10" s="1964">
        <v>148</v>
      </c>
      <c r="R10" s="1964">
        <v>88</v>
      </c>
      <c r="S10" s="1964">
        <v>160</v>
      </c>
      <c r="T10" s="1964">
        <v>468</v>
      </c>
      <c r="U10" s="1964">
        <v>112</v>
      </c>
      <c r="V10" s="1952">
        <v>52</v>
      </c>
      <c r="W10" s="1952">
        <v>44</v>
      </c>
      <c r="X10" s="1952">
        <v>464</v>
      </c>
      <c r="Y10" s="1952">
        <v>672</v>
      </c>
      <c r="Z10" s="1952">
        <v>576</v>
      </c>
      <c r="AA10" s="1952">
        <v>60</v>
      </c>
      <c r="AB10" s="1952">
        <v>540</v>
      </c>
      <c r="AC10" s="1952">
        <v>144</v>
      </c>
      <c r="AD10" s="1952" t="s">
        <v>3093</v>
      </c>
      <c r="AE10" s="1952">
        <v>288</v>
      </c>
      <c r="AF10" s="1952">
        <v>672</v>
      </c>
      <c r="AG10" s="1952">
        <v>3364</v>
      </c>
      <c r="AH10" s="1952">
        <v>124</v>
      </c>
      <c r="AI10" s="1952">
        <v>520</v>
      </c>
      <c r="AJ10" s="1952">
        <v>520</v>
      </c>
      <c r="AK10" s="1952">
        <v>6695</v>
      </c>
      <c r="AL10" s="1952">
        <v>16162</v>
      </c>
      <c r="AM10" s="1964">
        <f t="shared" ref="AM10:AM22" si="1">P10+AL10</f>
        <v>16766</v>
      </c>
      <c r="AN10" s="1964">
        <f t="shared" ref="AN10:AN22" si="2">M10-AM10</f>
        <v>-6967</v>
      </c>
      <c r="AO10" s="1954"/>
    </row>
    <row r="11" spans="1:41" s="62" customFormat="1" ht="12" customHeight="1" x14ac:dyDescent="0.2">
      <c r="A11" s="1954" t="s">
        <v>536</v>
      </c>
      <c r="B11" s="1954"/>
      <c r="C11" s="1964">
        <v>256</v>
      </c>
      <c r="D11" s="1964">
        <v>1365</v>
      </c>
      <c r="E11" s="1964">
        <v>130</v>
      </c>
      <c r="F11" s="1964">
        <v>876</v>
      </c>
      <c r="G11" s="1964">
        <v>1321</v>
      </c>
      <c r="H11" s="1964">
        <v>7438</v>
      </c>
      <c r="I11" s="1964">
        <v>50</v>
      </c>
      <c r="J11" s="1964">
        <v>1</v>
      </c>
      <c r="K11" s="1964">
        <v>311</v>
      </c>
      <c r="L11" s="1964">
        <v>1382</v>
      </c>
      <c r="M11" s="1964">
        <f t="shared" ref="M11:M22" si="3">SUM(C11:L11)</f>
        <v>13130</v>
      </c>
      <c r="N11" s="1964">
        <v>884</v>
      </c>
      <c r="O11" s="1964">
        <v>1029</v>
      </c>
      <c r="P11" s="1964">
        <f t="shared" si="0"/>
        <v>1913</v>
      </c>
      <c r="Q11" s="1964">
        <v>165</v>
      </c>
      <c r="R11" s="1964">
        <v>64</v>
      </c>
      <c r="S11" s="1964">
        <v>322</v>
      </c>
      <c r="T11" s="1964">
        <v>884</v>
      </c>
      <c r="U11" s="1964">
        <v>36</v>
      </c>
      <c r="V11" s="1952">
        <v>129</v>
      </c>
      <c r="W11" s="1952">
        <v>48</v>
      </c>
      <c r="X11" s="1952">
        <v>711</v>
      </c>
      <c r="Y11" s="1952">
        <v>828</v>
      </c>
      <c r="Z11" s="1952">
        <v>623</v>
      </c>
      <c r="AA11" s="1952">
        <v>64</v>
      </c>
      <c r="AB11" s="1952">
        <v>571</v>
      </c>
      <c r="AC11" s="1952">
        <v>201</v>
      </c>
      <c r="AD11" s="1952" t="s">
        <v>3094</v>
      </c>
      <c r="AE11" s="1952">
        <v>543</v>
      </c>
      <c r="AF11" s="1952">
        <v>804</v>
      </c>
      <c r="AG11" s="1952">
        <v>4121</v>
      </c>
      <c r="AH11" s="1952">
        <v>161</v>
      </c>
      <c r="AI11" s="1952">
        <v>828</v>
      </c>
      <c r="AJ11" s="1952">
        <v>796</v>
      </c>
      <c r="AK11" s="1952">
        <v>9047</v>
      </c>
      <c r="AL11" s="1952">
        <v>21542</v>
      </c>
      <c r="AM11" s="1964">
        <f t="shared" si="1"/>
        <v>23455</v>
      </c>
      <c r="AN11" s="1964">
        <f t="shared" si="2"/>
        <v>-10325</v>
      </c>
      <c r="AO11" s="1954"/>
    </row>
    <row r="12" spans="1:41" s="62" customFormat="1" ht="12" customHeight="1" x14ac:dyDescent="0.2">
      <c r="A12" s="1954" t="s">
        <v>537</v>
      </c>
      <c r="B12" s="1954"/>
      <c r="C12" s="1964">
        <v>294</v>
      </c>
      <c r="D12" s="1964">
        <v>1240</v>
      </c>
      <c r="E12" s="1964">
        <v>115</v>
      </c>
      <c r="F12" s="1964">
        <v>897</v>
      </c>
      <c r="G12" s="1964">
        <v>1311</v>
      </c>
      <c r="H12" s="1964">
        <v>8195</v>
      </c>
      <c r="I12" s="1964">
        <v>49</v>
      </c>
      <c r="J12" s="1964" t="s">
        <v>52</v>
      </c>
      <c r="K12" s="1964">
        <v>12</v>
      </c>
      <c r="L12" s="1964">
        <v>1744</v>
      </c>
      <c r="M12" s="1964">
        <f t="shared" si="3"/>
        <v>13857</v>
      </c>
      <c r="N12" s="1964">
        <v>1462</v>
      </c>
      <c r="O12" s="1964">
        <v>931</v>
      </c>
      <c r="P12" s="1964">
        <f t="shared" si="0"/>
        <v>2393</v>
      </c>
      <c r="Q12" s="1964">
        <v>217</v>
      </c>
      <c r="R12" s="1964">
        <v>94</v>
      </c>
      <c r="S12" s="1964">
        <v>364</v>
      </c>
      <c r="T12" s="1964">
        <v>731</v>
      </c>
      <c r="U12" s="1964">
        <v>98</v>
      </c>
      <c r="V12" s="1952">
        <v>25</v>
      </c>
      <c r="W12" s="1952">
        <v>102</v>
      </c>
      <c r="X12" s="1952">
        <v>678</v>
      </c>
      <c r="Y12" s="1952">
        <v>1184</v>
      </c>
      <c r="Z12" s="1952">
        <v>821</v>
      </c>
      <c r="AA12" s="1952">
        <v>82</v>
      </c>
      <c r="AB12" s="1952">
        <v>396</v>
      </c>
      <c r="AC12" s="1952">
        <v>225</v>
      </c>
      <c r="AD12" s="1952" t="s">
        <v>3095</v>
      </c>
      <c r="AE12" s="1952">
        <v>756</v>
      </c>
      <c r="AF12" s="1952">
        <v>1209</v>
      </c>
      <c r="AG12" s="1952">
        <v>4260</v>
      </c>
      <c r="AH12" s="1952">
        <v>176</v>
      </c>
      <c r="AI12" s="1952">
        <v>1315</v>
      </c>
      <c r="AJ12" s="1952">
        <v>1221</v>
      </c>
      <c r="AK12" s="1952">
        <v>11198</v>
      </c>
      <c r="AL12" s="1952">
        <v>25911</v>
      </c>
      <c r="AM12" s="1964">
        <f t="shared" si="1"/>
        <v>28304</v>
      </c>
      <c r="AN12" s="1964">
        <f t="shared" si="2"/>
        <v>-14447</v>
      </c>
      <c r="AO12" s="1954"/>
    </row>
    <row r="13" spans="1:41" s="62" customFormat="1" ht="12" customHeight="1" x14ac:dyDescent="0.2">
      <c r="A13" s="1954" t="s">
        <v>538</v>
      </c>
      <c r="B13" s="1954"/>
      <c r="C13" s="1964">
        <v>538</v>
      </c>
      <c r="D13" s="1964">
        <v>1330</v>
      </c>
      <c r="E13" s="1964">
        <v>150</v>
      </c>
      <c r="F13" s="1964">
        <v>898</v>
      </c>
      <c r="G13" s="1964">
        <v>1397</v>
      </c>
      <c r="H13" s="1964">
        <v>9893</v>
      </c>
      <c r="I13" s="1964">
        <v>41</v>
      </c>
      <c r="J13" s="1964" t="s">
        <v>52</v>
      </c>
      <c r="K13" s="1964">
        <v>5</v>
      </c>
      <c r="L13" s="1964">
        <v>2312</v>
      </c>
      <c r="M13" s="1964">
        <f t="shared" si="3"/>
        <v>16564</v>
      </c>
      <c r="N13" s="1964">
        <v>119</v>
      </c>
      <c r="O13" s="1964">
        <v>666</v>
      </c>
      <c r="P13" s="1964">
        <f t="shared" si="0"/>
        <v>785</v>
      </c>
      <c r="Q13" s="1964">
        <v>226</v>
      </c>
      <c r="R13" s="1964">
        <v>43</v>
      </c>
      <c r="S13" s="1964">
        <v>265</v>
      </c>
      <c r="T13" s="1964">
        <v>922</v>
      </c>
      <c r="U13" s="1964">
        <v>231</v>
      </c>
      <c r="V13" s="1952">
        <v>209</v>
      </c>
      <c r="W13" s="1952">
        <v>141</v>
      </c>
      <c r="X13" s="1952">
        <v>743</v>
      </c>
      <c r="Y13" s="1952">
        <v>1456</v>
      </c>
      <c r="Z13" s="1952">
        <v>1097</v>
      </c>
      <c r="AA13" s="1952">
        <v>95</v>
      </c>
      <c r="AB13" s="1952">
        <v>641</v>
      </c>
      <c r="AC13" s="1952">
        <v>265</v>
      </c>
      <c r="AD13" s="1952" t="s">
        <v>3096</v>
      </c>
      <c r="AE13" s="1952">
        <v>833</v>
      </c>
      <c r="AF13" s="1952">
        <v>1687</v>
      </c>
      <c r="AG13" s="1952">
        <v>4689</v>
      </c>
      <c r="AH13" s="1952">
        <v>192</v>
      </c>
      <c r="AI13" s="1952">
        <v>1866</v>
      </c>
      <c r="AJ13" s="1952">
        <v>1422</v>
      </c>
      <c r="AK13" s="1952">
        <v>11957</v>
      </c>
      <c r="AL13" s="1952">
        <v>29755</v>
      </c>
      <c r="AM13" s="1964">
        <f t="shared" si="1"/>
        <v>30540</v>
      </c>
      <c r="AN13" s="1964">
        <f t="shared" si="2"/>
        <v>-13976</v>
      </c>
      <c r="AO13" s="1954"/>
    </row>
    <row r="14" spans="1:41" s="62" customFormat="1" ht="12" customHeight="1" x14ac:dyDescent="0.2">
      <c r="A14" s="1954" t="s">
        <v>539</v>
      </c>
      <c r="B14" s="1954"/>
      <c r="C14" s="1964">
        <v>484</v>
      </c>
      <c r="D14" s="1964">
        <v>1328</v>
      </c>
      <c r="E14" s="1964">
        <v>207</v>
      </c>
      <c r="F14" s="1964">
        <v>810</v>
      </c>
      <c r="G14" s="1964">
        <v>1491</v>
      </c>
      <c r="H14" s="1964">
        <v>12617</v>
      </c>
      <c r="I14" s="1964">
        <v>10</v>
      </c>
      <c r="J14" s="1964" t="s">
        <v>52</v>
      </c>
      <c r="K14" s="1964">
        <v>58</v>
      </c>
      <c r="L14" s="1964">
        <v>3388</v>
      </c>
      <c r="M14" s="1964">
        <f t="shared" si="3"/>
        <v>20393</v>
      </c>
      <c r="N14" s="1964">
        <v>1123</v>
      </c>
      <c r="O14" s="1964">
        <v>555</v>
      </c>
      <c r="P14" s="1964">
        <f t="shared" si="0"/>
        <v>1678</v>
      </c>
      <c r="Q14" s="1964">
        <v>205</v>
      </c>
      <c r="R14" s="1964">
        <v>45</v>
      </c>
      <c r="S14" s="1964">
        <v>423</v>
      </c>
      <c r="T14" s="1964">
        <v>982</v>
      </c>
      <c r="U14" s="1964">
        <v>200</v>
      </c>
      <c r="V14" s="1952">
        <v>132</v>
      </c>
      <c r="W14" s="1952">
        <v>159</v>
      </c>
      <c r="X14" s="1952">
        <v>636</v>
      </c>
      <c r="Y14" s="1952">
        <v>1341</v>
      </c>
      <c r="Z14" s="1952">
        <v>1127</v>
      </c>
      <c r="AA14" s="1952">
        <v>123</v>
      </c>
      <c r="AB14" s="1952">
        <v>491</v>
      </c>
      <c r="AC14" s="1952">
        <v>300</v>
      </c>
      <c r="AD14" s="1952" t="s">
        <v>3097</v>
      </c>
      <c r="AE14" s="1952">
        <v>941</v>
      </c>
      <c r="AF14" s="1952">
        <v>1486</v>
      </c>
      <c r="AG14" s="1952">
        <v>5746</v>
      </c>
      <c r="AH14" s="1952">
        <v>218</v>
      </c>
      <c r="AI14" s="1952">
        <v>1778</v>
      </c>
      <c r="AJ14" s="1952">
        <v>1293</v>
      </c>
      <c r="AK14" s="1952">
        <v>13950</v>
      </c>
      <c r="AL14" s="1952">
        <v>32505</v>
      </c>
      <c r="AM14" s="1964">
        <f t="shared" si="1"/>
        <v>34183</v>
      </c>
      <c r="AN14" s="1964">
        <f t="shared" si="2"/>
        <v>-13790</v>
      </c>
      <c r="AO14" s="1954"/>
    </row>
    <row r="15" spans="1:41" s="62" customFormat="1" ht="12" customHeight="1" x14ac:dyDescent="0.2">
      <c r="A15" s="1954" t="s">
        <v>540</v>
      </c>
      <c r="B15" s="1954"/>
      <c r="C15" s="1964">
        <v>270</v>
      </c>
      <c r="D15" s="1964">
        <v>1168</v>
      </c>
      <c r="E15" s="1964">
        <v>150</v>
      </c>
      <c r="F15" s="1964">
        <v>767</v>
      </c>
      <c r="G15" s="1964">
        <v>1483</v>
      </c>
      <c r="H15" s="1964">
        <v>12976</v>
      </c>
      <c r="I15" s="1964">
        <v>15</v>
      </c>
      <c r="J15" s="1964" t="s">
        <v>52</v>
      </c>
      <c r="K15" s="1964">
        <v>59</v>
      </c>
      <c r="L15" s="1964">
        <v>3963</v>
      </c>
      <c r="M15" s="1964">
        <f t="shared" si="3"/>
        <v>20851</v>
      </c>
      <c r="N15" s="1964">
        <v>3268</v>
      </c>
      <c r="O15" s="1964">
        <v>154</v>
      </c>
      <c r="P15" s="1964">
        <f t="shared" si="0"/>
        <v>3422</v>
      </c>
      <c r="Q15" s="1964">
        <v>269</v>
      </c>
      <c r="R15" s="1964">
        <v>130</v>
      </c>
      <c r="S15" s="1964">
        <v>481</v>
      </c>
      <c r="T15" s="1964">
        <v>1379</v>
      </c>
      <c r="U15" s="1964">
        <v>341</v>
      </c>
      <c r="V15" s="1952">
        <v>202</v>
      </c>
      <c r="W15" s="1952">
        <v>183</v>
      </c>
      <c r="X15" s="1952">
        <v>567</v>
      </c>
      <c r="Y15" s="1952">
        <v>1298</v>
      </c>
      <c r="Z15" s="1952">
        <v>1202</v>
      </c>
      <c r="AA15" s="1952">
        <v>139</v>
      </c>
      <c r="AB15" s="1952">
        <v>577</v>
      </c>
      <c r="AC15" s="1952">
        <v>317</v>
      </c>
      <c r="AD15" s="1952" t="s">
        <v>3098</v>
      </c>
      <c r="AE15" s="1952">
        <v>1120</v>
      </c>
      <c r="AF15" s="1952">
        <v>1360</v>
      </c>
      <c r="AG15" s="1952">
        <v>5330</v>
      </c>
      <c r="AH15" s="1952">
        <v>187</v>
      </c>
      <c r="AI15" s="1952">
        <v>1658</v>
      </c>
      <c r="AJ15" s="1952">
        <v>1411</v>
      </c>
      <c r="AK15" s="1952">
        <v>15942</v>
      </c>
      <c r="AL15" s="1952">
        <v>35058</v>
      </c>
      <c r="AM15" s="1964">
        <f t="shared" si="1"/>
        <v>38480</v>
      </c>
      <c r="AN15" s="1964">
        <f t="shared" si="2"/>
        <v>-17629</v>
      </c>
      <c r="AO15" s="1954"/>
    </row>
    <row r="16" spans="1:41" s="62" customFormat="1" ht="12" customHeight="1" x14ac:dyDescent="0.2">
      <c r="A16" s="1954" t="s">
        <v>541</v>
      </c>
      <c r="B16" s="1954"/>
      <c r="C16" s="1964">
        <v>370</v>
      </c>
      <c r="D16" s="1964">
        <v>1131</v>
      </c>
      <c r="E16" s="1964">
        <v>86</v>
      </c>
      <c r="F16" s="1964">
        <v>760</v>
      </c>
      <c r="G16" s="1964">
        <v>1813</v>
      </c>
      <c r="H16" s="1964">
        <v>15724</v>
      </c>
      <c r="I16" s="1964">
        <v>57</v>
      </c>
      <c r="J16" s="1964"/>
      <c r="K16" s="1964"/>
      <c r="L16" s="1964">
        <v>4982</v>
      </c>
      <c r="M16" s="1964">
        <f t="shared" si="3"/>
        <v>24923</v>
      </c>
      <c r="N16" s="1964">
        <v>579</v>
      </c>
      <c r="O16" s="1964">
        <v>1338</v>
      </c>
      <c r="P16" s="1964">
        <f t="shared" si="0"/>
        <v>1917</v>
      </c>
      <c r="Q16" s="1964">
        <v>302</v>
      </c>
      <c r="R16" s="1964">
        <v>90</v>
      </c>
      <c r="S16" s="1964">
        <v>453</v>
      </c>
      <c r="T16" s="1964">
        <v>1288</v>
      </c>
      <c r="U16" s="1964">
        <v>569</v>
      </c>
      <c r="V16" s="1952">
        <v>151</v>
      </c>
      <c r="W16" s="1952">
        <v>297</v>
      </c>
      <c r="X16" s="1952">
        <v>1167</v>
      </c>
      <c r="Y16" s="1952">
        <v>2043</v>
      </c>
      <c r="Z16" s="1952">
        <v>1398</v>
      </c>
      <c r="AA16" s="1952">
        <v>135</v>
      </c>
      <c r="AB16" s="1952">
        <v>705</v>
      </c>
      <c r="AC16" s="1952">
        <v>357</v>
      </c>
      <c r="AD16" s="1952" t="s">
        <v>3099</v>
      </c>
      <c r="AE16" s="1952">
        <v>1394</v>
      </c>
      <c r="AF16" s="1952">
        <v>1509</v>
      </c>
      <c r="AG16" s="1952">
        <v>5801</v>
      </c>
      <c r="AH16" s="1952">
        <v>216</v>
      </c>
      <c r="AI16" s="1952">
        <v>1977</v>
      </c>
      <c r="AJ16" s="1952">
        <v>1579</v>
      </c>
      <c r="AK16" s="1952">
        <v>17624</v>
      </c>
      <c r="AL16" s="1952">
        <v>40214</v>
      </c>
      <c r="AM16" s="1964">
        <f t="shared" si="1"/>
        <v>42131</v>
      </c>
      <c r="AN16" s="1964">
        <f t="shared" si="2"/>
        <v>-17208</v>
      </c>
      <c r="AO16" s="1954"/>
    </row>
    <row r="17" spans="1:41" s="62" customFormat="1" ht="12" customHeight="1" x14ac:dyDescent="0.2">
      <c r="A17" s="1954" t="s">
        <v>542</v>
      </c>
      <c r="B17" s="1954"/>
      <c r="C17" s="1964">
        <v>402</v>
      </c>
      <c r="D17" s="1964">
        <v>1274</v>
      </c>
      <c r="E17" s="1964">
        <v>119</v>
      </c>
      <c r="F17" s="1964">
        <v>1364</v>
      </c>
      <c r="G17" s="1964">
        <v>2036</v>
      </c>
      <c r="H17" s="1964">
        <v>20265</v>
      </c>
      <c r="I17" s="1964">
        <v>56</v>
      </c>
      <c r="J17" s="1964" t="s">
        <v>52</v>
      </c>
      <c r="K17" s="1964">
        <v>6</v>
      </c>
      <c r="L17" s="1964">
        <v>6897</v>
      </c>
      <c r="M17" s="1964">
        <f t="shared" si="3"/>
        <v>32419</v>
      </c>
      <c r="N17" s="1964">
        <v>925</v>
      </c>
      <c r="O17" s="1964">
        <v>955</v>
      </c>
      <c r="P17" s="1964">
        <f t="shared" si="0"/>
        <v>1880</v>
      </c>
      <c r="Q17" s="1964">
        <v>333</v>
      </c>
      <c r="R17" s="1964">
        <v>78</v>
      </c>
      <c r="S17" s="1964">
        <v>347</v>
      </c>
      <c r="T17" s="1964">
        <v>1175</v>
      </c>
      <c r="U17" s="1964">
        <v>464</v>
      </c>
      <c r="V17" s="1952">
        <v>250</v>
      </c>
      <c r="W17" s="1952">
        <v>572</v>
      </c>
      <c r="X17" s="1952">
        <v>1471</v>
      </c>
      <c r="Y17" s="1952">
        <v>3055</v>
      </c>
      <c r="Z17" s="1952">
        <v>1828</v>
      </c>
      <c r="AA17" s="1952">
        <v>179</v>
      </c>
      <c r="AB17" s="1952">
        <v>698</v>
      </c>
      <c r="AC17" s="1952">
        <v>488</v>
      </c>
      <c r="AD17" s="1952" t="s">
        <v>3100</v>
      </c>
      <c r="AE17" s="1952">
        <v>1941</v>
      </c>
      <c r="AF17" s="1952">
        <v>1739</v>
      </c>
      <c r="AG17" s="1952">
        <v>6968</v>
      </c>
      <c r="AH17" s="1952">
        <v>212</v>
      </c>
      <c r="AI17" s="1952">
        <v>2502</v>
      </c>
      <c r="AJ17" s="1952">
        <v>2599</v>
      </c>
      <c r="AK17" s="1952">
        <v>20181</v>
      </c>
      <c r="AL17" s="1952">
        <v>48491</v>
      </c>
      <c r="AM17" s="1964">
        <f t="shared" si="1"/>
        <v>50371</v>
      </c>
      <c r="AN17" s="1964">
        <f t="shared" si="2"/>
        <v>-17952</v>
      </c>
      <c r="AO17" s="1954"/>
    </row>
    <row r="18" spans="1:41" s="62" customFormat="1" ht="12" customHeight="1" x14ac:dyDescent="0.2">
      <c r="A18" s="1954" t="s">
        <v>543</v>
      </c>
      <c r="B18" s="1954"/>
      <c r="C18" s="1964">
        <v>379</v>
      </c>
      <c r="D18" s="1964">
        <v>1398</v>
      </c>
      <c r="E18" s="1964">
        <v>91</v>
      </c>
      <c r="F18" s="1964">
        <v>1309</v>
      </c>
      <c r="G18" s="1964">
        <v>1689</v>
      </c>
      <c r="H18" s="1964">
        <v>19270</v>
      </c>
      <c r="I18" s="1964">
        <v>65</v>
      </c>
      <c r="J18" s="1964" t="s">
        <v>52</v>
      </c>
      <c r="K18" s="1964" t="s">
        <v>52</v>
      </c>
      <c r="L18" s="1964">
        <v>6733</v>
      </c>
      <c r="M18" s="1964">
        <f t="shared" si="3"/>
        <v>30934</v>
      </c>
      <c r="N18" s="1964">
        <v>87</v>
      </c>
      <c r="O18" s="1964">
        <v>983</v>
      </c>
      <c r="P18" s="1964">
        <f t="shared" si="0"/>
        <v>1070</v>
      </c>
      <c r="Q18" s="1964">
        <v>339</v>
      </c>
      <c r="R18" s="1964">
        <v>72</v>
      </c>
      <c r="S18" s="1964">
        <v>412</v>
      </c>
      <c r="T18" s="1964">
        <v>1439</v>
      </c>
      <c r="U18" s="1964">
        <v>505</v>
      </c>
      <c r="V18" s="1952">
        <v>135</v>
      </c>
      <c r="W18" s="1952">
        <v>862</v>
      </c>
      <c r="X18" s="1952">
        <v>1391</v>
      </c>
      <c r="Y18" s="1952">
        <v>2764</v>
      </c>
      <c r="Z18" s="1952">
        <v>1923</v>
      </c>
      <c r="AA18" s="1952">
        <v>224</v>
      </c>
      <c r="AB18" s="1952">
        <v>615</v>
      </c>
      <c r="AC18" s="1952">
        <v>503</v>
      </c>
      <c r="AD18" s="1952" t="s">
        <v>3101</v>
      </c>
      <c r="AE18" s="1952">
        <v>1794</v>
      </c>
      <c r="AF18" s="1952">
        <v>1622</v>
      </c>
      <c r="AG18" s="1952">
        <v>6102</v>
      </c>
      <c r="AH18" s="1952">
        <v>226</v>
      </c>
      <c r="AI18" s="1952">
        <v>2372</v>
      </c>
      <c r="AJ18" s="1952">
        <v>3184</v>
      </c>
      <c r="AK18" s="1952">
        <v>20060</v>
      </c>
      <c r="AL18" s="1952">
        <v>47979</v>
      </c>
      <c r="AM18" s="1964">
        <f t="shared" si="1"/>
        <v>49049</v>
      </c>
      <c r="AN18" s="1964">
        <f t="shared" si="2"/>
        <v>-18115</v>
      </c>
      <c r="AO18" s="1954"/>
    </row>
    <row r="19" spans="1:41" s="62" customFormat="1" ht="12" customHeight="1" x14ac:dyDescent="0.2">
      <c r="A19" s="1954" t="s">
        <v>544</v>
      </c>
      <c r="B19" s="1954"/>
      <c r="C19" s="1964">
        <v>401</v>
      </c>
      <c r="D19" s="1964">
        <v>1272</v>
      </c>
      <c r="E19" s="1964">
        <v>77</v>
      </c>
      <c r="F19" s="1964">
        <v>1229</v>
      </c>
      <c r="G19" s="1964">
        <v>1859</v>
      </c>
      <c r="H19" s="1964">
        <v>20852</v>
      </c>
      <c r="I19" s="1964">
        <v>136</v>
      </c>
      <c r="J19" s="1964" t="s">
        <v>52</v>
      </c>
      <c r="K19" s="1964" t="s">
        <v>52</v>
      </c>
      <c r="L19" s="1964">
        <v>7416</v>
      </c>
      <c r="M19" s="1964">
        <f t="shared" si="3"/>
        <v>33242</v>
      </c>
      <c r="N19" s="1964">
        <v>1220</v>
      </c>
      <c r="O19" s="1964">
        <v>1145</v>
      </c>
      <c r="P19" s="1964">
        <f t="shared" si="0"/>
        <v>2365</v>
      </c>
      <c r="Q19" s="1964">
        <v>353</v>
      </c>
      <c r="R19" s="1964">
        <v>185</v>
      </c>
      <c r="S19" s="1964">
        <v>369</v>
      </c>
      <c r="T19" s="1964">
        <v>2110</v>
      </c>
      <c r="U19" s="1964">
        <v>840</v>
      </c>
      <c r="V19" s="1952">
        <v>601</v>
      </c>
      <c r="W19" s="1952">
        <v>834</v>
      </c>
      <c r="X19" s="1952">
        <v>1545</v>
      </c>
      <c r="Y19" s="1952">
        <v>3588</v>
      </c>
      <c r="Z19" s="1952">
        <v>2042</v>
      </c>
      <c r="AA19" s="1952">
        <v>258</v>
      </c>
      <c r="AB19" s="1952">
        <v>630</v>
      </c>
      <c r="AC19" s="1952">
        <v>500</v>
      </c>
      <c r="AD19" s="1952" t="s">
        <v>3102</v>
      </c>
      <c r="AE19" s="1952">
        <v>2274</v>
      </c>
      <c r="AF19" s="1952">
        <v>1561</v>
      </c>
      <c r="AG19" s="1952">
        <v>6406</v>
      </c>
      <c r="AH19" s="1952">
        <v>239</v>
      </c>
      <c r="AI19" s="1952">
        <v>2634</v>
      </c>
      <c r="AJ19" s="1952">
        <v>3172</v>
      </c>
      <c r="AK19" s="1952">
        <v>21785</v>
      </c>
      <c r="AL19" s="1952">
        <v>53553</v>
      </c>
      <c r="AM19" s="1964">
        <f t="shared" si="1"/>
        <v>55918</v>
      </c>
      <c r="AN19" s="1964">
        <f t="shared" si="2"/>
        <v>-22676</v>
      </c>
      <c r="AO19" s="1954"/>
    </row>
    <row r="20" spans="1:41" s="62" customFormat="1" ht="12" customHeight="1" x14ac:dyDescent="0.2">
      <c r="A20" s="1954" t="s">
        <v>545</v>
      </c>
      <c r="B20" s="1954"/>
      <c r="C20" s="1964">
        <v>454</v>
      </c>
      <c r="D20" s="1964">
        <v>1271</v>
      </c>
      <c r="E20" s="1964">
        <v>95</v>
      </c>
      <c r="F20" s="1964">
        <v>1441</v>
      </c>
      <c r="G20" s="1964">
        <v>2284</v>
      </c>
      <c r="H20" s="1964">
        <v>26189</v>
      </c>
      <c r="I20" s="1964">
        <v>152</v>
      </c>
      <c r="J20" s="1964" t="s">
        <v>52</v>
      </c>
      <c r="K20" s="1964" t="s">
        <v>52</v>
      </c>
      <c r="L20" s="1964">
        <v>8695</v>
      </c>
      <c r="M20" s="1964">
        <f t="shared" si="3"/>
        <v>40581</v>
      </c>
      <c r="N20" s="1964">
        <v>842</v>
      </c>
      <c r="O20" s="1964">
        <v>1690</v>
      </c>
      <c r="P20" s="1964">
        <f t="shared" si="0"/>
        <v>2532</v>
      </c>
      <c r="Q20" s="1964">
        <v>359</v>
      </c>
      <c r="R20" s="1964">
        <v>177</v>
      </c>
      <c r="S20" s="1964">
        <v>434</v>
      </c>
      <c r="T20" s="1964">
        <v>2773</v>
      </c>
      <c r="U20" s="1964">
        <v>707</v>
      </c>
      <c r="V20" s="1952">
        <v>647</v>
      </c>
      <c r="W20" s="1952">
        <v>821</v>
      </c>
      <c r="X20" s="1952">
        <v>1484</v>
      </c>
      <c r="Y20" s="1952">
        <v>4536</v>
      </c>
      <c r="Z20" s="1952">
        <v>2394</v>
      </c>
      <c r="AA20" s="1952">
        <v>267</v>
      </c>
      <c r="AB20" s="1952">
        <v>882</v>
      </c>
      <c r="AC20" s="1952">
        <v>644</v>
      </c>
      <c r="AD20" s="1952" t="s">
        <v>3103</v>
      </c>
      <c r="AE20" s="1952">
        <v>3436</v>
      </c>
      <c r="AF20" s="1952">
        <v>1900</v>
      </c>
      <c r="AG20" s="1952">
        <v>7627</v>
      </c>
      <c r="AH20" s="1952">
        <v>339</v>
      </c>
      <c r="AI20" s="1952">
        <v>2826</v>
      </c>
      <c r="AJ20" s="1952">
        <v>4298</v>
      </c>
      <c r="AK20" s="1952">
        <v>23013</v>
      </c>
      <c r="AL20" s="1952">
        <v>61725</v>
      </c>
      <c r="AM20" s="1964">
        <f t="shared" si="1"/>
        <v>64257</v>
      </c>
      <c r="AN20" s="1964">
        <f t="shared" si="2"/>
        <v>-23676</v>
      </c>
      <c r="AO20" s="1954"/>
    </row>
    <row r="21" spans="1:41" s="62" customFormat="1" ht="12" customHeight="1" x14ac:dyDescent="0.2">
      <c r="A21" s="1954" t="s">
        <v>546</v>
      </c>
      <c r="B21" s="1954"/>
      <c r="C21" s="1964">
        <v>564</v>
      </c>
      <c r="D21" s="1964">
        <v>1677</v>
      </c>
      <c r="E21" s="1964">
        <v>94</v>
      </c>
      <c r="F21" s="1964">
        <v>1608</v>
      </c>
      <c r="G21" s="1964">
        <v>2576</v>
      </c>
      <c r="H21" s="1964">
        <v>33333</v>
      </c>
      <c r="I21" s="1964">
        <v>194</v>
      </c>
      <c r="J21" s="1964" t="s">
        <v>52</v>
      </c>
      <c r="K21" s="1964">
        <v>82</v>
      </c>
      <c r="L21" s="1964">
        <v>10707</v>
      </c>
      <c r="M21" s="1964">
        <f t="shared" si="3"/>
        <v>50835</v>
      </c>
      <c r="N21" s="1964">
        <v>1627</v>
      </c>
      <c r="O21" s="1964">
        <v>1915</v>
      </c>
      <c r="P21" s="1964">
        <f t="shared" si="0"/>
        <v>3542</v>
      </c>
      <c r="Q21" s="1964">
        <v>532</v>
      </c>
      <c r="R21" s="1964">
        <v>254</v>
      </c>
      <c r="S21" s="1964">
        <v>526</v>
      </c>
      <c r="T21" s="1964">
        <v>2698</v>
      </c>
      <c r="U21" s="1964">
        <v>974</v>
      </c>
      <c r="V21" s="1952" t="s">
        <v>3104</v>
      </c>
      <c r="W21" s="1952" t="s">
        <v>3105</v>
      </c>
      <c r="X21" s="1952" t="s">
        <v>3106</v>
      </c>
      <c r="Y21" s="1952" t="s">
        <v>3107</v>
      </c>
      <c r="Z21" s="1952" t="s">
        <v>3108</v>
      </c>
      <c r="AA21" s="1952" t="s">
        <v>3109</v>
      </c>
      <c r="AB21" s="1952" t="s">
        <v>3110</v>
      </c>
      <c r="AC21" s="1952">
        <v>814</v>
      </c>
      <c r="AD21" s="1952">
        <v>2934</v>
      </c>
      <c r="AE21" s="1952">
        <v>4096</v>
      </c>
      <c r="AF21" s="1952" t="s">
        <v>3111</v>
      </c>
      <c r="AG21" s="1952">
        <v>9646</v>
      </c>
      <c r="AH21" s="1952">
        <v>461</v>
      </c>
      <c r="AI21" s="1952">
        <v>4193</v>
      </c>
      <c r="AJ21" s="1952" t="s">
        <v>3112</v>
      </c>
      <c r="AK21" s="1952">
        <v>23209</v>
      </c>
      <c r="AL21" s="1952">
        <v>77353</v>
      </c>
      <c r="AM21" s="1964">
        <f t="shared" si="1"/>
        <v>80895</v>
      </c>
      <c r="AN21" s="1964">
        <f t="shared" si="2"/>
        <v>-30060</v>
      </c>
      <c r="AO21" s="1954"/>
    </row>
    <row r="22" spans="1:41" s="62" customFormat="1" ht="12" customHeight="1" x14ac:dyDescent="0.2">
      <c r="A22" s="1954" t="s">
        <v>551</v>
      </c>
      <c r="B22" s="1954"/>
      <c r="C22" s="1964">
        <v>860</v>
      </c>
      <c r="D22" s="1964">
        <v>2159</v>
      </c>
      <c r="E22" s="1964">
        <v>80</v>
      </c>
      <c r="F22" s="1964">
        <v>1981</v>
      </c>
      <c r="G22" s="1964">
        <v>2951</v>
      </c>
      <c r="H22" s="1964">
        <v>40529</v>
      </c>
      <c r="I22" s="1964">
        <v>316</v>
      </c>
      <c r="J22" s="1964">
        <v>0</v>
      </c>
      <c r="K22" s="1964" t="s">
        <v>52</v>
      </c>
      <c r="L22" s="1964">
        <v>13725</v>
      </c>
      <c r="M22" s="1964">
        <f t="shared" si="3"/>
        <v>62601</v>
      </c>
      <c r="N22" s="1964">
        <v>787</v>
      </c>
      <c r="O22" s="1964">
        <v>2012</v>
      </c>
      <c r="P22" s="1964">
        <f t="shared" si="0"/>
        <v>2799</v>
      </c>
      <c r="Q22" s="1964">
        <v>489</v>
      </c>
      <c r="R22" s="1964">
        <v>212</v>
      </c>
      <c r="S22" s="1964">
        <v>607</v>
      </c>
      <c r="T22" s="1964">
        <v>3174</v>
      </c>
      <c r="U22" s="1964">
        <v>1094</v>
      </c>
      <c r="V22" s="1952">
        <v>837</v>
      </c>
      <c r="W22" s="1952">
        <v>1413</v>
      </c>
      <c r="X22" s="1952">
        <v>4080</v>
      </c>
      <c r="Y22" s="1952">
        <v>9437</v>
      </c>
      <c r="Z22" s="1952">
        <v>3897</v>
      </c>
      <c r="AA22" s="1952">
        <v>336</v>
      </c>
      <c r="AB22" s="1952">
        <v>2262</v>
      </c>
      <c r="AC22" s="1952">
        <v>997</v>
      </c>
      <c r="AD22" s="1952">
        <v>3516</v>
      </c>
      <c r="AE22" s="1952">
        <v>4987</v>
      </c>
      <c r="AF22" s="1952">
        <v>3367</v>
      </c>
      <c r="AG22" s="1952">
        <v>11598</v>
      </c>
      <c r="AH22" s="1952">
        <v>507</v>
      </c>
      <c r="AI22" s="1952">
        <v>6590</v>
      </c>
      <c r="AJ22" s="1952">
        <v>10365</v>
      </c>
      <c r="AK22" s="1952">
        <v>26566</v>
      </c>
      <c r="AL22" s="1952">
        <v>96331</v>
      </c>
      <c r="AM22" s="1964">
        <f t="shared" si="1"/>
        <v>99130</v>
      </c>
      <c r="AN22" s="1964">
        <f t="shared" si="2"/>
        <v>-36529</v>
      </c>
      <c r="AO22" s="1954"/>
    </row>
    <row r="23" spans="1:41" s="62" customFormat="1" ht="12" customHeight="1" x14ac:dyDescent="0.2">
      <c r="A23" s="1954" t="s">
        <v>560</v>
      </c>
      <c r="B23" s="1954"/>
      <c r="C23" s="1964">
        <v>977</v>
      </c>
      <c r="D23" s="26">
        <v>2602</v>
      </c>
      <c r="E23" s="26">
        <v>42</v>
      </c>
      <c r="F23" s="26">
        <v>2290</v>
      </c>
      <c r="G23" s="26">
        <v>3702</v>
      </c>
      <c r="H23" s="26">
        <v>51891</v>
      </c>
      <c r="I23" s="1964">
        <v>325</v>
      </c>
      <c r="J23" s="1964">
        <v>0</v>
      </c>
      <c r="K23" s="1964">
        <v>271</v>
      </c>
      <c r="L23" s="1964">
        <v>16838</v>
      </c>
      <c r="M23" s="1964">
        <v>78931</v>
      </c>
      <c r="N23" s="1964">
        <v>1234</v>
      </c>
      <c r="O23" s="1964">
        <v>2774</v>
      </c>
      <c r="P23" s="1964">
        <v>4008</v>
      </c>
      <c r="Q23" s="1964">
        <v>572</v>
      </c>
      <c r="R23" s="1964">
        <v>525</v>
      </c>
      <c r="S23" s="1964">
        <v>736</v>
      </c>
      <c r="T23" s="1964">
        <v>4022</v>
      </c>
      <c r="U23" s="1964">
        <v>1356</v>
      </c>
      <c r="V23" s="793">
        <v>2034</v>
      </c>
      <c r="W23" s="793">
        <v>1656</v>
      </c>
      <c r="X23" s="793">
        <v>3607</v>
      </c>
      <c r="Y23" s="793">
        <v>11807</v>
      </c>
      <c r="Z23" s="793">
        <v>4616</v>
      </c>
      <c r="AA23" s="793">
        <v>338</v>
      </c>
      <c r="AB23" s="793">
        <v>2370</v>
      </c>
      <c r="AC23" s="793">
        <v>1113</v>
      </c>
      <c r="AD23" s="793">
        <v>4440</v>
      </c>
      <c r="AE23" s="793">
        <v>5926</v>
      </c>
      <c r="AF23" s="793">
        <v>4023</v>
      </c>
      <c r="AG23" s="793">
        <v>13064</v>
      </c>
      <c r="AH23" s="1952">
        <v>671</v>
      </c>
      <c r="AI23" s="1952">
        <v>6805</v>
      </c>
      <c r="AJ23" s="1952">
        <v>13332</v>
      </c>
      <c r="AK23" s="1952">
        <v>31410</v>
      </c>
      <c r="AL23" s="1952">
        <v>114470</v>
      </c>
      <c r="AM23" s="1964">
        <v>118478</v>
      </c>
      <c r="AN23" s="1964">
        <v>-39560</v>
      </c>
      <c r="AO23" s="1954"/>
    </row>
    <row r="24" spans="1:41" s="62" customFormat="1" ht="12" customHeight="1" x14ac:dyDescent="0.15">
      <c r="A24" s="1954" t="s">
        <v>325</v>
      </c>
      <c r="B24" s="1954"/>
      <c r="C24" s="1979">
        <v>1075</v>
      </c>
      <c r="D24" s="1980">
        <v>2490</v>
      </c>
      <c r="E24" s="1980">
        <v>107</v>
      </c>
      <c r="F24" s="1980">
        <v>2425</v>
      </c>
      <c r="G24" s="1980">
        <v>3892</v>
      </c>
      <c r="H24" s="1980">
        <v>56878</v>
      </c>
      <c r="I24" s="1979">
        <v>759</v>
      </c>
      <c r="J24" s="1979">
        <v>0</v>
      </c>
      <c r="K24" s="1979">
        <v>408</v>
      </c>
      <c r="L24" s="1979">
        <v>18988</v>
      </c>
      <c r="M24" s="1979">
        <v>87022</v>
      </c>
      <c r="N24" s="1979">
        <v>5993</v>
      </c>
      <c r="O24" s="1979">
        <v>3681</v>
      </c>
      <c r="P24" s="1979">
        <v>9674</v>
      </c>
      <c r="Q24" s="1979">
        <v>943</v>
      </c>
      <c r="R24" s="1979">
        <v>550</v>
      </c>
      <c r="S24" s="1979">
        <v>932</v>
      </c>
      <c r="T24" s="1979">
        <v>6905</v>
      </c>
      <c r="U24" s="1979">
        <v>2242</v>
      </c>
      <c r="V24" s="1981">
        <v>2718</v>
      </c>
      <c r="W24" s="1981">
        <v>2380</v>
      </c>
      <c r="X24" s="1981">
        <v>4767</v>
      </c>
      <c r="Y24" s="1981">
        <v>14116</v>
      </c>
      <c r="Z24" s="1981">
        <v>6103</v>
      </c>
      <c r="AA24" s="1981">
        <v>426</v>
      </c>
      <c r="AB24" s="1981">
        <v>4330</v>
      </c>
      <c r="AC24" s="1981">
        <v>1492</v>
      </c>
      <c r="AD24" s="1981">
        <v>5542</v>
      </c>
      <c r="AE24" s="1981">
        <v>8317</v>
      </c>
      <c r="AF24" s="1981">
        <v>4739</v>
      </c>
      <c r="AG24" s="1981">
        <v>12984</v>
      </c>
      <c r="AH24" s="1982">
        <v>756</v>
      </c>
      <c r="AI24" s="1982">
        <v>8091</v>
      </c>
      <c r="AJ24" s="1982">
        <v>11440</v>
      </c>
      <c r="AK24" s="1982">
        <v>38926</v>
      </c>
      <c r="AL24" s="1982">
        <v>138696</v>
      </c>
      <c r="AM24" s="1979">
        <v>148370</v>
      </c>
      <c r="AN24" s="1979">
        <v>-62087</v>
      </c>
      <c r="AO24" s="1954"/>
    </row>
    <row r="25" spans="1:41" s="62" customFormat="1" ht="12" customHeight="1" x14ac:dyDescent="0.15">
      <c r="A25" s="1954" t="s">
        <v>85</v>
      </c>
      <c r="B25" s="1954"/>
      <c r="C25" s="1979">
        <v>923</v>
      </c>
      <c r="D25" s="1980">
        <v>2348</v>
      </c>
      <c r="E25" s="1980">
        <v>82</v>
      </c>
      <c r="F25" s="1980">
        <v>1963</v>
      </c>
      <c r="G25" s="1980">
        <v>3131</v>
      </c>
      <c r="H25" s="1980">
        <v>67257</v>
      </c>
      <c r="I25" s="1979">
        <v>661</v>
      </c>
      <c r="J25" s="1979">
        <v>0</v>
      </c>
      <c r="K25" s="1979">
        <v>712</v>
      </c>
      <c r="L25" s="1979">
        <v>20421</v>
      </c>
      <c r="M25" s="1979">
        <v>97498</v>
      </c>
      <c r="N25" s="1979">
        <v>1645.4</v>
      </c>
      <c r="O25" s="1979">
        <v>4428.7</v>
      </c>
      <c r="P25" s="1979">
        <v>6070.1</v>
      </c>
      <c r="Q25" s="1979">
        <v>664.1</v>
      </c>
      <c r="R25" s="1979">
        <v>428</v>
      </c>
      <c r="S25" s="1979">
        <v>1095</v>
      </c>
      <c r="T25" s="1979">
        <v>5951.6</v>
      </c>
      <c r="U25" s="1979">
        <v>1610</v>
      </c>
      <c r="V25" s="1981">
        <v>2843</v>
      </c>
      <c r="W25" s="1981">
        <v>2160</v>
      </c>
      <c r="X25" s="1981">
        <v>4011</v>
      </c>
      <c r="Y25" s="1981">
        <v>13729</v>
      </c>
      <c r="Z25" s="1981">
        <v>6604.8</v>
      </c>
      <c r="AA25" s="1981">
        <v>548</v>
      </c>
      <c r="AB25" s="1981">
        <v>6559.5</v>
      </c>
      <c r="AC25" s="1981">
        <v>1779</v>
      </c>
      <c r="AD25" s="1981">
        <v>5779</v>
      </c>
      <c r="AE25" s="1981">
        <v>8880</v>
      </c>
      <c r="AF25" s="1981">
        <v>5448</v>
      </c>
      <c r="AG25" s="1981">
        <v>14444</v>
      </c>
      <c r="AH25" s="1982">
        <v>774</v>
      </c>
      <c r="AI25" s="1982">
        <v>10336</v>
      </c>
      <c r="AJ25" s="1982">
        <v>9764</v>
      </c>
      <c r="AK25" s="1982">
        <v>45346.400000000001</v>
      </c>
      <c r="AL25" s="1982">
        <v>148752.4</v>
      </c>
      <c r="AM25" s="1979">
        <v>154822.5</v>
      </c>
      <c r="AN25" s="1979">
        <v>-57324.5</v>
      </c>
      <c r="AO25" s="1954"/>
    </row>
    <row r="26" spans="1:41" s="62" customFormat="1" ht="12" customHeight="1" x14ac:dyDescent="0.15">
      <c r="A26" s="1954" t="s">
        <v>81</v>
      </c>
      <c r="B26" s="1954"/>
      <c r="C26" s="1981">
        <v>1328</v>
      </c>
      <c r="D26" s="1981">
        <v>3656</v>
      </c>
      <c r="E26" s="1981">
        <v>37</v>
      </c>
      <c r="F26" s="1981">
        <v>2431</v>
      </c>
      <c r="G26" s="1981">
        <v>3208</v>
      </c>
      <c r="H26" s="1981">
        <v>67248</v>
      </c>
      <c r="I26" s="1981">
        <v>993</v>
      </c>
      <c r="J26" s="1981">
        <v>0</v>
      </c>
      <c r="K26" s="1981">
        <v>236</v>
      </c>
      <c r="L26" s="1981">
        <v>23011</v>
      </c>
      <c r="M26" s="1981">
        <v>102148</v>
      </c>
      <c r="N26" s="1980">
        <v>522</v>
      </c>
      <c r="O26" s="1980">
        <v>5267</v>
      </c>
      <c r="P26" s="1980">
        <v>5789</v>
      </c>
      <c r="Q26" s="1980">
        <v>736</v>
      </c>
      <c r="R26" s="1980">
        <v>755</v>
      </c>
      <c r="S26" s="1980">
        <v>900</v>
      </c>
      <c r="T26" s="1980">
        <v>7260</v>
      </c>
      <c r="U26" s="1980">
        <v>2422</v>
      </c>
      <c r="V26" s="1980">
        <v>4497</v>
      </c>
      <c r="W26" s="1980">
        <v>2305</v>
      </c>
      <c r="X26" s="1980">
        <v>3700</v>
      </c>
      <c r="Y26" s="1980">
        <v>13984</v>
      </c>
      <c r="Z26" s="1980">
        <v>6722</v>
      </c>
      <c r="AA26" s="1980">
        <v>713</v>
      </c>
      <c r="AB26" s="1980">
        <v>4960</v>
      </c>
      <c r="AC26" s="1980">
        <v>1899</v>
      </c>
      <c r="AD26" s="1980">
        <v>6683</v>
      </c>
      <c r="AE26" s="1980">
        <v>9959</v>
      </c>
      <c r="AF26" s="1980">
        <v>4971</v>
      </c>
      <c r="AG26" s="1980">
        <v>13742</v>
      </c>
      <c r="AH26" s="1980">
        <v>814</v>
      </c>
      <c r="AI26" s="1980">
        <v>10052</v>
      </c>
      <c r="AJ26" s="1980">
        <v>11032</v>
      </c>
      <c r="AK26" s="1980">
        <v>50346</v>
      </c>
      <c r="AL26" s="1980">
        <v>158452</v>
      </c>
      <c r="AM26" s="1980">
        <v>164241</v>
      </c>
      <c r="AN26" s="1979">
        <v>-62093</v>
      </c>
      <c r="AO26" s="1954"/>
    </row>
    <row r="27" spans="1:41" s="62" customFormat="1" ht="12" customHeight="1" x14ac:dyDescent="0.2">
      <c r="A27" s="1954" t="s">
        <v>189</v>
      </c>
      <c r="B27" s="1954"/>
      <c r="C27" s="1960">
        <v>1888</v>
      </c>
      <c r="D27" s="1960">
        <v>4750</v>
      </c>
      <c r="E27" s="1960">
        <v>19</v>
      </c>
      <c r="F27" s="1960">
        <v>3365</v>
      </c>
      <c r="G27" s="1960">
        <v>4149</v>
      </c>
      <c r="H27" s="1960">
        <v>96711</v>
      </c>
      <c r="I27" s="1960">
        <v>851</v>
      </c>
      <c r="J27" s="1960">
        <v>0</v>
      </c>
      <c r="K27" s="1960">
        <v>182</v>
      </c>
      <c r="L27" s="1960">
        <v>32507.544508999999</v>
      </c>
      <c r="M27" s="1960">
        <v>144431.544509</v>
      </c>
      <c r="N27" s="1960">
        <v>5942</v>
      </c>
      <c r="O27" s="1960">
        <v>7720</v>
      </c>
      <c r="P27" s="1960">
        <v>13662</v>
      </c>
      <c r="Q27" s="1960">
        <v>1153</v>
      </c>
      <c r="R27" s="1960">
        <v>899</v>
      </c>
      <c r="S27" s="1960">
        <v>735</v>
      </c>
      <c r="T27" s="1960">
        <v>7599</v>
      </c>
      <c r="U27" s="1960">
        <v>2072</v>
      </c>
      <c r="V27" s="1960">
        <v>4667</v>
      </c>
      <c r="W27" s="1960">
        <v>3182</v>
      </c>
      <c r="X27" s="1960">
        <v>6350</v>
      </c>
      <c r="Y27" s="1960">
        <v>23060</v>
      </c>
      <c r="Z27" s="1960">
        <v>8937</v>
      </c>
      <c r="AA27" s="1960">
        <v>824</v>
      </c>
      <c r="AB27" s="1960">
        <v>8816</v>
      </c>
      <c r="AC27" s="1960">
        <v>2366</v>
      </c>
      <c r="AD27" s="1960">
        <v>9277</v>
      </c>
      <c r="AE27" s="1960">
        <v>19125</v>
      </c>
      <c r="AF27" s="1960">
        <v>9927</v>
      </c>
      <c r="AG27" s="1960">
        <v>19091</v>
      </c>
      <c r="AH27" s="1960">
        <v>1284</v>
      </c>
      <c r="AI27" s="1960">
        <v>14287</v>
      </c>
      <c r="AJ27" s="1960">
        <v>16526</v>
      </c>
      <c r="AK27" s="1960">
        <v>66170</v>
      </c>
      <c r="AL27" s="1960">
        <v>226347</v>
      </c>
      <c r="AM27" s="1960">
        <v>240009</v>
      </c>
      <c r="AN27" s="1960">
        <v>-95577.455490999986</v>
      </c>
      <c r="AO27" s="1954"/>
    </row>
    <row r="28" spans="1:41" s="62" customFormat="1" ht="12" customHeight="1" x14ac:dyDescent="0.2">
      <c r="A28" s="1954" t="s">
        <v>696</v>
      </c>
      <c r="B28" s="1954"/>
      <c r="C28" s="1960">
        <v>1866</v>
      </c>
      <c r="D28" s="1960">
        <v>5200</v>
      </c>
      <c r="E28" s="1960">
        <v>28</v>
      </c>
      <c r="F28" s="1960">
        <v>4115</v>
      </c>
      <c r="G28" s="1960">
        <v>4758</v>
      </c>
      <c r="H28" s="1960">
        <v>122701</v>
      </c>
      <c r="I28" s="1960">
        <v>975</v>
      </c>
      <c r="J28" s="1960">
        <v>0</v>
      </c>
      <c r="K28" s="1960">
        <v>130</v>
      </c>
      <c r="L28" s="1960">
        <v>40540.264029999998</v>
      </c>
      <c r="M28" s="1960">
        <v>180313.26402999999</v>
      </c>
      <c r="N28" s="1960">
        <v>2188</v>
      </c>
      <c r="O28" s="1960">
        <v>4763</v>
      </c>
      <c r="P28" s="1960">
        <v>6951</v>
      </c>
      <c r="Q28" s="1960">
        <v>1750</v>
      </c>
      <c r="R28" s="1960">
        <v>1080</v>
      </c>
      <c r="S28" s="1960">
        <v>1420</v>
      </c>
      <c r="T28" s="1960">
        <v>13051</v>
      </c>
      <c r="U28" s="1960">
        <v>1911</v>
      </c>
      <c r="V28" s="1960">
        <v>9390</v>
      </c>
      <c r="W28" s="1960">
        <v>3994</v>
      </c>
      <c r="X28" s="1960">
        <v>8387</v>
      </c>
      <c r="Y28" s="1960">
        <v>30484</v>
      </c>
      <c r="Z28" s="1960">
        <v>9575</v>
      </c>
      <c r="AA28" s="1960">
        <v>934</v>
      </c>
      <c r="AB28" s="1960">
        <v>10907</v>
      </c>
      <c r="AC28" s="1960">
        <v>2977</v>
      </c>
      <c r="AD28" s="1960">
        <v>10835</v>
      </c>
      <c r="AE28" s="1960">
        <v>16601</v>
      </c>
      <c r="AF28" s="1960">
        <v>10833</v>
      </c>
      <c r="AG28" s="1960">
        <v>24168</v>
      </c>
      <c r="AH28" s="1960">
        <v>3250</v>
      </c>
      <c r="AI28" s="1960">
        <v>17637</v>
      </c>
      <c r="AJ28" s="1960">
        <v>15765</v>
      </c>
      <c r="AK28" s="1960">
        <v>79063</v>
      </c>
      <c r="AL28" s="1960">
        <v>274012</v>
      </c>
      <c r="AM28" s="1960">
        <v>280963</v>
      </c>
      <c r="AN28" s="1960">
        <v>-100649.73597000001</v>
      </c>
      <c r="AO28" s="1954"/>
    </row>
    <row r="29" spans="1:41" s="245" customFormat="1" ht="11.45" customHeight="1" x14ac:dyDescent="0.2">
      <c r="A29" s="312" t="s">
        <v>804</v>
      </c>
      <c r="B29" s="296"/>
      <c r="C29" s="374">
        <v>1681.3</v>
      </c>
      <c r="D29" s="277">
        <v>5987.8</v>
      </c>
      <c r="E29" s="277">
        <v>18.2</v>
      </c>
      <c r="F29" s="277">
        <v>5398.8</v>
      </c>
      <c r="G29" s="277">
        <v>3580.2</v>
      </c>
      <c r="H29" s="277">
        <v>128269.2</v>
      </c>
      <c r="I29" s="374">
        <v>144.80000000000001</v>
      </c>
      <c r="J29" s="374">
        <v>0</v>
      </c>
      <c r="K29" s="374">
        <v>0.6</v>
      </c>
      <c r="L29" s="374">
        <v>44578.800000000017</v>
      </c>
      <c r="M29" s="374">
        <v>189659.7</v>
      </c>
      <c r="N29" s="374">
        <v>240.1</v>
      </c>
      <c r="O29" s="374">
        <v>5575.5</v>
      </c>
      <c r="P29" s="374">
        <v>5815.6</v>
      </c>
      <c r="Q29" s="374">
        <v>1709.3</v>
      </c>
      <c r="R29" s="374">
        <v>945.1</v>
      </c>
      <c r="S29" s="374">
        <v>1930.3</v>
      </c>
      <c r="T29" s="374">
        <v>11185</v>
      </c>
      <c r="U29" s="374">
        <v>3371.1</v>
      </c>
      <c r="V29" s="277">
        <v>5851.7</v>
      </c>
      <c r="W29" s="277">
        <v>3887.6</v>
      </c>
      <c r="X29" s="277">
        <v>8799.9</v>
      </c>
      <c r="Y29" s="277">
        <v>29121.8</v>
      </c>
      <c r="Z29" s="277">
        <v>10405.1</v>
      </c>
      <c r="AA29" s="277">
        <v>951.7</v>
      </c>
      <c r="AB29" s="277">
        <v>9564.6</v>
      </c>
      <c r="AC29" s="277">
        <v>3189.6</v>
      </c>
      <c r="AD29" s="277">
        <v>10904.3</v>
      </c>
      <c r="AE29" s="277">
        <v>16003.1</v>
      </c>
      <c r="AF29" s="277">
        <v>10849.9</v>
      </c>
      <c r="AG29" s="277">
        <v>26132.1</v>
      </c>
      <c r="AH29" s="374">
        <v>3627.8</v>
      </c>
      <c r="AI29" s="374">
        <v>18641.599999999999</v>
      </c>
      <c r="AJ29" s="374">
        <v>14671.3</v>
      </c>
      <c r="AK29" s="374">
        <v>74769.399999999994</v>
      </c>
      <c r="AL29" s="374">
        <v>266512.3</v>
      </c>
      <c r="AM29" s="374">
        <v>272327.89999999997</v>
      </c>
      <c r="AN29" s="374">
        <f t="shared" ref="AN29:AN37" si="4">M29-AM29</f>
        <v>-82668.199999999953</v>
      </c>
      <c r="AO29" s="291" t="s">
        <v>804</v>
      </c>
    </row>
    <row r="30" spans="1:41" s="234" customFormat="1" ht="11.45" customHeight="1" x14ac:dyDescent="0.2">
      <c r="A30" s="463" t="s">
        <v>978</v>
      </c>
      <c r="B30" s="454"/>
      <c r="C30" s="356">
        <v>948.1</v>
      </c>
      <c r="D30" s="356">
        <v>5316.6</v>
      </c>
      <c r="E30" s="356">
        <v>16.3</v>
      </c>
      <c r="F30" s="356">
        <v>6863.6</v>
      </c>
      <c r="G30" s="356">
        <v>4097</v>
      </c>
      <c r="H30" s="356">
        <v>146626.6</v>
      </c>
      <c r="I30" s="356">
        <v>133.6</v>
      </c>
      <c r="J30" s="356">
        <v>0</v>
      </c>
      <c r="K30" s="356">
        <v>0.8</v>
      </c>
      <c r="L30" s="356">
        <v>49371.899999999994</v>
      </c>
      <c r="M30" s="356">
        <v>213374.5</v>
      </c>
      <c r="N30" s="356">
        <v>2700.2</v>
      </c>
      <c r="O30" s="356">
        <v>8685.9</v>
      </c>
      <c r="P30" s="356">
        <v>11386.099999999999</v>
      </c>
      <c r="Q30" s="356">
        <v>2247.6</v>
      </c>
      <c r="R30" s="356">
        <v>1423.1</v>
      </c>
      <c r="S30" s="356">
        <v>3952</v>
      </c>
      <c r="T30" s="356">
        <v>13685.3</v>
      </c>
      <c r="U30" s="356">
        <v>3535</v>
      </c>
      <c r="V30" s="356">
        <v>7011.1</v>
      </c>
      <c r="W30" s="356">
        <v>4810.3</v>
      </c>
      <c r="X30" s="356">
        <v>7218.5</v>
      </c>
      <c r="Y30" s="356">
        <v>31629</v>
      </c>
      <c r="Z30" s="356">
        <v>11644</v>
      </c>
      <c r="AA30" s="356">
        <v>932</v>
      </c>
      <c r="AB30" s="356">
        <v>7977</v>
      </c>
      <c r="AC30" s="356">
        <v>4185.5</v>
      </c>
      <c r="AD30" s="356">
        <v>13937.2</v>
      </c>
      <c r="AE30" s="356">
        <v>18851.3</v>
      </c>
      <c r="AF30" s="356">
        <v>11705.4</v>
      </c>
      <c r="AG30" s="356">
        <v>27852.3</v>
      </c>
      <c r="AH30" s="356">
        <v>3832.7</v>
      </c>
      <c r="AI30" s="356">
        <v>20653</v>
      </c>
      <c r="AJ30" s="356">
        <v>18121.400000000001</v>
      </c>
      <c r="AK30" s="356">
        <v>89982.399999999994</v>
      </c>
      <c r="AL30" s="356">
        <v>305186.09999999998</v>
      </c>
      <c r="AM30" s="356">
        <v>316572.19999999995</v>
      </c>
      <c r="AN30" s="577">
        <f t="shared" si="4"/>
        <v>-103197.69999999995</v>
      </c>
      <c r="AO30" s="455" t="s">
        <v>978</v>
      </c>
    </row>
    <row r="31" spans="1:41" s="222" customFormat="1" ht="11.45" customHeight="1" x14ac:dyDescent="0.2">
      <c r="A31" s="312" t="s">
        <v>1029</v>
      </c>
      <c r="B31" s="296"/>
      <c r="C31" s="374">
        <v>856.4</v>
      </c>
      <c r="D31" s="374">
        <v>5350.7</v>
      </c>
      <c r="E31" s="374">
        <v>31.8</v>
      </c>
      <c r="F31" s="374">
        <v>6890.4</v>
      </c>
      <c r="G31" s="374">
        <v>3989.1</v>
      </c>
      <c r="H31" s="374">
        <v>156045.5</v>
      </c>
      <c r="I31" s="374">
        <v>290</v>
      </c>
      <c r="J31" s="374">
        <v>0</v>
      </c>
      <c r="K31" s="374">
        <v>0.6</v>
      </c>
      <c r="L31" s="374">
        <v>53031.700000000012</v>
      </c>
      <c r="M31" s="374">
        <v>226486.2</v>
      </c>
      <c r="N31" s="374">
        <v>4311.1000000000004</v>
      </c>
      <c r="O31" s="374">
        <v>7913.1</v>
      </c>
      <c r="P31" s="374">
        <v>12224.2</v>
      </c>
      <c r="Q31" s="374">
        <v>2410.1</v>
      </c>
      <c r="R31" s="374">
        <v>1668.2</v>
      </c>
      <c r="S31" s="374">
        <v>2745</v>
      </c>
      <c r="T31" s="374">
        <v>12221.1</v>
      </c>
      <c r="U31" s="374">
        <v>3057.7</v>
      </c>
      <c r="V31" s="777">
        <v>5770.1</v>
      </c>
      <c r="W31" s="777">
        <v>4631.3</v>
      </c>
      <c r="X31" s="777">
        <v>6629.7</v>
      </c>
      <c r="Y31" s="777">
        <v>26174.6</v>
      </c>
      <c r="Z31" s="777">
        <v>12191.1</v>
      </c>
      <c r="AA31" s="777">
        <v>873.9</v>
      </c>
      <c r="AB31" s="777">
        <v>9647.6</v>
      </c>
      <c r="AC31" s="777">
        <v>4312.3</v>
      </c>
      <c r="AD31" s="777">
        <v>14331.9</v>
      </c>
      <c r="AE31" s="777">
        <v>17672.3</v>
      </c>
      <c r="AF31" s="777">
        <v>12378.5</v>
      </c>
      <c r="AG31" s="777">
        <v>28568.799999999999</v>
      </c>
      <c r="AH31" s="777">
        <v>4077.7</v>
      </c>
      <c r="AI31" s="777">
        <v>22908.799999999999</v>
      </c>
      <c r="AJ31" s="777">
        <v>20291.7</v>
      </c>
      <c r="AK31" s="777">
        <v>90398.1</v>
      </c>
      <c r="AL31" s="777">
        <v>302960.5</v>
      </c>
      <c r="AM31" s="777">
        <v>315184.7</v>
      </c>
      <c r="AN31" s="374">
        <f t="shared" si="4"/>
        <v>-88698.5</v>
      </c>
      <c r="AO31" s="297" t="s">
        <v>1029</v>
      </c>
    </row>
    <row r="32" spans="1:41" s="234" customFormat="1" ht="11.45" customHeight="1" x14ac:dyDescent="0.2">
      <c r="A32" s="463" t="s">
        <v>1150</v>
      </c>
      <c r="B32" s="454"/>
      <c r="C32" s="355">
        <v>1256.7</v>
      </c>
      <c r="D32" s="355">
        <v>5699.7</v>
      </c>
      <c r="E32" s="355">
        <v>14.9</v>
      </c>
      <c r="F32" s="355">
        <v>6496.9</v>
      </c>
      <c r="G32" s="355">
        <v>3559.2</v>
      </c>
      <c r="H32" s="355">
        <v>163120.5</v>
      </c>
      <c r="I32" s="355">
        <v>101.4</v>
      </c>
      <c r="J32" s="355">
        <v>0</v>
      </c>
      <c r="K32" s="355">
        <v>0</v>
      </c>
      <c r="L32" s="355">
        <v>56553.800000000017</v>
      </c>
      <c r="M32" s="355">
        <v>236803.1</v>
      </c>
      <c r="N32" s="355">
        <v>931.4</v>
      </c>
      <c r="O32" s="355">
        <v>7159.1</v>
      </c>
      <c r="P32" s="355">
        <v>8090.5</v>
      </c>
      <c r="Q32" s="355">
        <v>1766.2</v>
      </c>
      <c r="R32" s="355">
        <v>1597.8</v>
      </c>
      <c r="S32" s="355">
        <v>4083.2</v>
      </c>
      <c r="T32" s="355">
        <v>10409.299999999999</v>
      </c>
      <c r="U32" s="355">
        <v>3625.2</v>
      </c>
      <c r="V32" s="355">
        <v>5171.3999999999996</v>
      </c>
      <c r="W32" s="355">
        <v>3467.4</v>
      </c>
      <c r="X32" s="355">
        <v>2985.2</v>
      </c>
      <c r="Y32" s="355">
        <v>17826.599999999999</v>
      </c>
      <c r="Z32" s="355">
        <v>13214.5</v>
      </c>
      <c r="AA32" s="355">
        <v>937.5</v>
      </c>
      <c r="AB32" s="355">
        <v>8170.1</v>
      </c>
      <c r="AC32" s="355">
        <v>4271.7</v>
      </c>
      <c r="AD32" s="355">
        <v>14233.1</v>
      </c>
      <c r="AE32" s="355">
        <v>16844</v>
      </c>
      <c r="AF32" s="355">
        <v>12884.7</v>
      </c>
      <c r="AG32" s="355">
        <v>32259.1</v>
      </c>
      <c r="AH32" s="355">
        <v>4713.1000000000004</v>
      </c>
      <c r="AI32" s="355">
        <v>21924.9</v>
      </c>
      <c r="AJ32" s="355">
        <v>23920.3</v>
      </c>
      <c r="AK32" s="355">
        <v>101483</v>
      </c>
      <c r="AL32" s="355">
        <v>305788.3</v>
      </c>
      <c r="AM32" s="355">
        <v>313878.8</v>
      </c>
      <c r="AN32" s="577">
        <f t="shared" si="4"/>
        <v>-77075.699999999983</v>
      </c>
      <c r="AO32" s="704" t="s">
        <v>1150</v>
      </c>
    </row>
    <row r="33" spans="1:51" s="234" customFormat="1" ht="11.45" customHeight="1" x14ac:dyDescent="0.2">
      <c r="A33" s="312" t="s">
        <v>1174</v>
      </c>
      <c r="B33" s="296"/>
      <c r="C33" s="374">
        <v>1381.5</v>
      </c>
      <c r="D33" s="374">
        <v>6116.2</v>
      </c>
      <c r="E33" s="374">
        <v>31.4</v>
      </c>
      <c r="F33" s="374">
        <v>6232.9</v>
      </c>
      <c r="G33" s="374">
        <v>3679.8</v>
      </c>
      <c r="H33" s="374">
        <v>166761.1</v>
      </c>
      <c r="I33" s="374">
        <v>130.4</v>
      </c>
      <c r="J33" s="374">
        <v>0</v>
      </c>
      <c r="K33" s="374">
        <v>44.1</v>
      </c>
      <c r="L33" s="374">
        <v>55278.800000000017</v>
      </c>
      <c r="M33" s="374">
        <v>239656.2</v>
      </c>
      <c r="N33" s="374">
        <v>604.1</v>
      </c>
      <c r="O33" s="374">
        <v>8157.1</v>
      </c>
      <c r="P33" s="374">
        <v>8761.2000000000007</v>
      </c>
      <c r="Q33" s="374">
        <v>1998.9</v>
      </c>
      <c r="R33" s="374">
        <v>2051.1</v>
      </c>
      <c r="S33" s="374">
        <v>3273.5</v>
      </c>
      <c r="T33" s="374">
        <v>11837.8</v>
      </c>
      <c r="U33" s="374">
        <v>4669.3999999999996</v>
      </c>
      <c r="V33" s="374">
        <v>6648</v>
      </c>
      <c r="W33" s="374">
        <v>3764.2</v>
      </c>
      <c r="X33" s="374">
        <v>4222.1000000000004</v>
      </c>
      <c r="Y33" s="374">
        <v>21980.2</v>
      </c>
      <c r="Z33" s="374">
        <v>14792.9</v>
      </c>
      <c r="AA33" s="374">
        <v>1159.9000000000001</v>
      </c>
      <c r="AB33" s="374">
        <v>5742.4</v>
      </c>
      <c r="AC33" s="374">
        <v>4436.5</v>
      </c>
      <c r="AD33" s="374">
        <v>15330.1</v>
      </c>
      <c r="AE33" s="374">
        <v>20702.7</v>
      </c>
      <c r="AF33" s="374">
        <v>13181.2</v>
      </c>
      <c r="AG33" s="374">
        <v>32746.7</v>
      </c>
      <c r="AH33" s="374">
        <v>4836.8</v>
      </c>
      <c r="AI33" s="374">
        <v>25854.7</v>
      </c>
      <c r="AJ33" s="374">
        <v>28625.8</v>
      </c>
      <c r="AK33" s="374">
        <v>107961</v>
      </c>
      <c r="AL33" s="374">
        <v>335815.9</v>
      </c>
      <c r="AM33" s="374">
        <v>344577.10000000003</v>
      </c>
      <c r="AN33" s="374">
        <f t="shared" si="4"/>
        <v>-104920.90000000002</v>
      </c>
      <c r="AO33" s="771" t="s">
        <v>1174</v>
      </c>
    </row>
    <row r="34" spans="1:51" s="234" customFormat="1" ht="11.45" customHeight="1" x14ac:dyDescent="0.2">
      <c r="A34" s="463" t="s">
        <v>1296</v>
      </c>
      <c r="B34" s="454"/>
      <c r="C34" s="355">
        <v>1160.0999999999999</v>
      </c>
      <c r="D34" s="355">
        <v>6276.5</v>
      </c>
      <c r="E34" s="355">
        <v>21.6</v>
      </c>
      <c r="F34" s="355">
        <v>5805.8</v>
      </c>
      <c r="G34" s="355">
        <v>4087.7</v>
      </c>
      <c r="H34" s="355">
        <v>185411.8</v>
      </c>
      <c r="I34" s="355">
        <v>72.099999999999994</v>
      </c>
      <c r="J34" s="355">
        <v>13.6</v>
      </c>
      <c r="K34" s="355">
        <v>0</v>
      </c>
      <c r="L34" s="355">
        <v>64330.599999999977</v>
      </c>
      <c r="M34" s="355">
        <v>267179.8</v>
      </c>
      <c r="N34" s="355">
        <v>14319</v>
      </c>
      <c r="O34" s="355">
        <v>10064.5</v>
      </c>
      <c r="P34" s="355">
        <v>24383.5</v>
      </c>
      <c r="Q34" s="355">
        <v>2371.4</v>
      </c>
      <c r="R34" s="355">
        <v>2362.9</v>
      </c>
      <c r="S34" s="355">
        <v>4176.3</v>
      </c>
      <c r="T34" s="355">
        <v>14447.8</v>
      </c>
      <c r="U34" s="355">
        <v>3349</v>
      </c>
      <c r="V34" s="355">
        <v>7766.4</v>
      </c>
      <c r="W34" s="355">
        <v>4264</v>
      </c>
      <c r="X34" s="355">
        <v>4577.5</v>
      </c>
      <c r="Y34" s="355">
        <v>34122.800000000003</v>
      </c>
      <c r="Z34" s="355">
        <v>17548</v>
      </c>
      <c r="AA34" s="355">
        <v>1251.8</v>
      </c>
      <c r="AB34" s="355">
        <v>7141.9</v>
      </c>
      <c r="AC34" s="355">
        <v>5078.1000000000004</v>
      </c>
      <c r="AD34" s="355">
        <v>17772.7</v>
      </c>
      <c r="AE34" s="355">
        <v>24249.8</v>
      </c>
      <c r="AF34" s="355">
        <v>15664.1</v>
      </c>
      <c r="AG34" s="355">
        <v>37509.1</v>
      </c>
      <c r="AH34" s="355">
        <v>5682</v>
      </c>
      <c r="AI34" s="355">
        <v>31459</v>
      </c>
      <c r="AJ34" s="355">
        <v>37712.400000000001</v>
      </c>
      <c r="AK34" s="355">
        <v>132150.9</v>
      </c>
      <c r="AL34" s="355">
        <v>410657.9</v>
      </c>
      <c r="AM34" s="355">
        <v>435041.4</v>
      </c>
      <c r="AN34" s="577">
        <f t="shared" si="4"/>
        <v>-167861.60000000003</v>
      </c>
      <c r="AO34" s="704" t="s">
        <v>1296</v>
      </c>
    </row>
    <row r="35" spans="1:51" s="234" customFormat="1" ht="11.45" customHeight="1" x14ac:dyDescent="0.2">
      <c r="A35" s="1973" t="s">
        <v>1404</v>
      </c>
      <c r="B35" s="1082"/>
      <c r="C35" s="374">
        <v>964.2</v>
      </c>
      <c r="D35" s="374">
        <v>5468.7</v>
      </c>
      <c r="E35" s="374">
        <v>21.3</v>
      </c>
      <c r="F35" s="272">
        <v>5137.1000000000004</v>
      </c>
      <c r="G35" s="374">
        <v>3556.3</v>
      </c>
      <c r="H35" s="374">
        <v>212355.7</v>
      </c>
      <c r="I35" s="374">
        <v>181.2</v>
      </c>
      <c r="J35" s="374">
        <v>22.2</v>
      </c>
      <c r="K35" s="374">
        <v>0</v>
      </c>
      <c r="L35" s="374">
        <v>69277.199999999983</v>
      </c>
      <c r="M35" s="374">
        <v>296983.90000000002</v>
      </c>
      <c r="N35" s="374">
        <v>1043.9000000000001</v>
      </c>
      <c r="O35" s="374">
        <v>9641.6</v>
      </c>
      <c r="P35" s="374">
        <v>10685.5</v>
      </c>
      <c r="Q35" s="374">
        <v>2820.7</v>
      </c>
      <c r="R35" s="374">
        <v>2645.2</v>
      </c>
      <c r="S35" s="374">
        <v>5491.6</v>
      </c>
      <c r="T35" s="374">
        <v>14431.5</v>
      </c>
      <c r="U35" s="374">
        <v>3456.9</v>
      </c>
      <c r="V35" s="374">
        <v>5431.6</v>
      </c>
      <c r="W35" s="374">
        <v>6020.7</v>
      </c>
      <c r="X35" s="374">
        <v>7816.6</v>
      </c>
      <c r="Y35" s="374">
        <v>48167.3</v>
      </c>
      <c r="Z35" s="374">
        <v>18668.2</v>
      </c>
      <c r="AA35" s="374">
        <v>1231.2</v>
      </c>
      <c r="AB35" s="374">
        <v>9402.2000000000007</v>
      </c>
      <c r="AC35" s="374">
        <v>5824.5</v>
      </c>
      <c r="AD35" s="374">
        <v>20030.7</v>
      </c>
      <c r="AE35" s="374">
        <v>24638.3</v>
      </c>
      <c r="AF35" s="374">
        <v>17750.5</v>
      </c>
      <c r="AG35" s="374">
        <v>41881.9</v>
      </c>
      <c r="AH35" s="374">
        <v>6817.7</v>
      </c>
      <c r="AI35" s="374">
        <v>36363.199999999997</v>
      </c>
      <c r="AJ35" s="374">
        <v>43242.5</v>
      </c>
      <c r="AK35" s="374">
        <v>138259.1</v>
      </c>
      <c r="AL35" s="374">
        <v>460392.1</v>
      </c>
      <c r="AM35" s="374">
        <v>471077.6</v>
      </c>
      <c r="AN35" s="374">
        <f t="shared" si="4"/>
        <v>-174093.69999999995</v>
      </c>
      <c r="AO35" s="1083" t="s">
        <v>1404</v>
      </c>
      <c r="AQ35" s="1565"/>
    </row>
    <row r="36" spans="1:51" s="244" customFormat="1" ht="11.45" customHeight="1" x14ac:dyDescent="0.2">
      <c r="A36" s="340" t="s">
        <v>1484</v>
      </c>
      <c r="B36" s="135"/>
      <c r="C36" s="355">
        <v>1040</v>
      </c>
      <c r="D36" s="355">
        <v>6146.1</v>
      </c>
      <c r="E36" s="355">
        <v>20.9</v>
      </c>
      <c r="F36" s="355">
        <v>4398.1000000000004</v>
      </c>
      <c r="G36" s="355">
        <v>3442.8</v>
      </c>
      <c r="H36" s="355">
        <v>190874.7</v>
      </c>
      <c r="I36" s="355">
        <v>0.1</v>
      </c>
      <c r="J36" s="355">
        <v>0</v>
      </c>
      <c r="K36" s="355">
        <v>4.5999999999999996</v>
      </c>
      <c r="L36" s="355">
        <v>59526.199999999983</v>
      </c>
      <c r="M36" s="355">
        <v>265453.5</v>
      </c>
      <c r="N36" s="355">
        <v>129.4</v>
      </c>
      <c r="O36" s="355">
        <v>12646</v>
      </c>
      <c r="P36" s="355">
        <v>12775.4</v>
      </c>
      <c r="Q36" s="355">
        <v>2959.7</v>
      </c>
      <c r="R36" s="355">
        <v>2773.6</v>
      </c>
      <c r="S36" s="355">
        <v>8209.6</v>
      </c>
      <c r="T36" s="355">
        <v>12283</v>
      </c>
      <c r="U36" s="355">
        <v>5004.1000000000004</v>
      </c>
      <c r="V36" s="355">
        <v>5339.5</v>
      </c>
      <c r="W36" s="355">
        <v>5611.1</v>
      </c>
      <c r="X36" s="355">
        <v>3970.2</v>
      </c>
      <c r="Y36" s="355">
        <v>43098.400000000001</v>
      </c>
      <c r="Z36" s="355">
        <v>18777.7</v>
      </c>
      <c r="AA36" s="355">
        <v>1275.9000000000001</v>
      </c>
      <c r="AB36" s="355">
        <v>8034.1</v>
      </c>
      <c r="AC36" s="355">
        <v>5221.2</v>
      </c>
      <c r="AD36" s="355">
        <v>19694.5</v>
      </c>
      <c r="AE36" s="355">
        <v>22525.4</v>
      </c>
      <c r="AF36" s="355">
        <v>14213.6</v>
      </c>
      <c r="AG36" s="355">
        <v>35771.4</v>
      </c>
      <c r="AH36" s="355">
        <v>6134.2</v>
      </c>
      <c r="AI36" s="355">
        <v>33033.300000000003</v>
      </c>
      <c r="AJ36" s="355">
        <v>31480.5</v>
      </c>
      <c r="AK36" s="355">
        <v>114666.2</v>
      </c>
      <c r="AL36" s="355">
        <v>400077.2</v>
      </c>
      <c r="AM36" s="355">
        <v>412852.60000000003</v>
      </c>
      <c r="AN36" s="577">
        <f t="shared" si="4"/>
        <v>-147399.10000000003</v>
      </c>
      <c r="AO36" s="195" t="s">
        <v>1484</v>
      </c>
    </row>
    <row r="37" spans="1:51" s="244" customFormat="1" ht="11.45" customHeight="1" x14ac:dyDescent="0.2">
      <c r="A37" s="1974" t="s">
        <v>1536</v>
      </c>
      <c r="B37" s="293"/>
      <c r="C37" s="374">
        <v>1051.4000000000001</v>
      </c>
      <c r="D37" s="374">
        <v>8249.4</v>
      </c>
      <c r="E37" s="374">
        <v>27.7</v>
      </c>
      <c r="F37" s="374">
        <v>7023.3</v>
      </c>
      <c r="G37" s="374">
        <v>3485.2</v>
      </c>
      <c r="H37" s="374">
        <v>238623.4</v>
      </c>
      <c r="I37" s="374">
        <v>86.6</v>
      </c>
      <c r="J37" s="374">
        <v>1.3</v>
      </c>
      <c r="K37" s="374">
        <v>108</v>
      </c>
      <c r="L37" s="374">
        <v>29423.799999999988</v>
      </c>
      <c r="M37" s="374">
        <v>288080.09999999998</v>
      </c>
      <c r="N37" s="374">
        <v>3159.8</v>
      </c>
      <c r="O37" s="374">
        <v>13211.6</v>
      </c>
      <c r="P37" s="374">
        <v>16371.400000000001</v>
      </c>
      <c r="Q37" s="374">
        <v>2633.2</v>
      </c>
      <c r="R37" s="374">
        <v>3391</v>
      </c>
      <c r="S37" s="374">
        <v>10913.8</v>
      </c>
      <c r="T37" s="374">
        <v>15142.9</v>
      </c>
      <c r="U37" s="374">
        <v>5578.4</v>
      </c>
      <c r="V37" s="374">
        <v>6923.6</v>
      </c>
      <c r="W37" s="374">
        <v>6565.8</v>
      </c>
      <c r="X37" s="374">
        <v>6861.6</v>
      </c>
      <c r="Y37" s="374">
        <v>41886.6</v>
      </c>
      <c r="Z37" s="374">
        <v>22966.7</v>
      </c>
      <c r="AA37" s="374">
        <v>2474.4</v>
      </c>
      <c r="AB37" s="374">
        <v>8259.7999999999993</v>
      </c>
      <c r="AC37" s="374">
        <v>6329.7</v>
      </c>
      <c r="AD37" s="374">
        <v>25589.4</v>
      </c>
      <c r="AE37" s="374">
        <v>26634</v>
      </c>
      <c r="AF37" s="374">
        <v>18080.7</v>
      </c>
      <c r="AG37" s="374">
        <v>35694.1</v>
      </c>
      <c r="AH37" s="374">
        <v>6154.3</v>
      </c>
      <c r="AI37" s="374">
        <v>35392.5</v>
      </c>
      <c r="AJ37" s="374">
        <v>25701.7</v>
      </c>
      <c r="AK37" s="374">
        <v>131816</v>
      </c>
      <c r="AL37" s="374">
        <v>444990.2</v>
      </c>
      <c r="AM37" s="374">
        <v>461361.60000000003</v>
      </c>
      <c r="AN37" s="374">
        <f t="shared" si="4"/>
        <v>-173281.50000000006</v>
      </c>
      <c r="AO37" s="286" t="s">
        <v>1536</v>
      </c>
    </row>
    <row r="38" spans="1:51" s="244" customFormat="1" ht="11.45" customHeight="1" x14ac:dyDescent="0.2">
      <c r="A38" s="1975" t="s">
        <v>1817</v>
      </c>
      <c r="B38" s="1314"/>
      <c r="C38" s="355">
        <v>1571.2</v>
      </c>
      <c r="D38" s="355">
        <v>7367.2999999999993</v>
      </c>
      <c r="E38" s="355">
        <v>18.399999999999999</v>
      </c>
      <c r="F38" s="355">
        <v>10258.299999999999</v>
      </c>
      <c r="G38" s="355">
        <v>4013.1</v>
      </c>
      <c r="H38" s="355">
        <v>315958.39999999997</v>
      </c>
      <c r="I38" s="355">
        <v>1.2</v>
      </c>
      <c r="J38" s="355">
        <v>1.2</v>
      </c>
      <c r="K38" s="355">
        <v>115.99999999999994</v>
      </c>
      <c r="L38" s="355">
        <v>37671.100000000057</v>
      </c>
      <c r="M38" s="355">
        <v>376976.20000000007</v>
      </c>
      <c r="N38" s="355">
        <v>4679.8</v>
      </c>
      <c r="O38" s="355">
        <v>17796.8</v>
      </c>
      <c r="P38" s="355">
        <v>22477.000000000004</v>
      </c>
      <c r="Q38" s="355">
        <v>3293.2</v>
      </c>
      <c r="R38" s="355">
        <v>2910.9</v>
      </c>
      <c r="S38" s="355">
        <v>13854.2</v>
      </c>
      <c r="T38" s="355">
        <v>22006.400000000001</v>
      </c>
      <c r="U38" s="355">
        <v>6184.4999999999991</v>
      </c>
      <c r="V38" s="355">
        <v>10237.200000000001</v>
      </c>
      <c r="W38" s="355">
        <v>6627.6</v>
      </c>
      <c r="X38" s="355">
        <v>7598.7999999999993</v>
      </c>
      <c r="Y38" s="355">
        <v>96957.400000000009</v>
      </c>
      <c r="Z38" s="355">
        <v>28308.199999999997</v>
      </c>
      <c r="AA38" s="355">
        <v>5881.4999999999991</v>
      </c>
      <c r="AB38" s="355">
        <v>24973.599999999999</v>
      </c>
      <c r="AC38" s="355">
        <v>8314.8000000000011</v>
      </c>
      <c r="AD38" s="355">
        <v>34454.5</v>
      </c>
      <c r="AE38" s="355">
        <v>35771.799999999996</v>
      </c>
      <c r="AF38" s="355">
        <v>40440.300000000003</v>
      </c>
      <c r="AG38" s="355">
        <v>67421.8</v>
      </c>
      <c r="AH38" s="355">
        <v>10991.2</v>
      </c>
      <c r="AI38" s="355">
        <v>51970.6</v>
      </c>
      <c r="AJ38" s="355">
        <v>42706.81</v>
      </c>
      <c r="AK38" s="355">
        <v>139012.5</v>
      </c>
      <c r="AL38" s="355">
        <v>687416.40999999992</v>
      </c>
      <c r="AM38" s="355">
        <v>682394.41</v>
      </c>
      <c r="AN38" s="355">
        <v>-305418.19999999995</v>
      </c>
      <c r="AO38" s="195" t="s">
        <v>1817</v>
      </c>
      <c r="AP38" s="958"/>
      <c r="AQ38" s="958"/>
      <c r="AR38" s="958"/>
      <c r="AS38" s="958"/>
      <c r="AT38" s="958"/>
      <c r="AU38" s="958"/>
      <c r="AV38" s="958"/>
      <c r="AW38" s="958"/>
      <c r="AX38" s="958"/>
      <c r="AY38" s="958"/>
    </row>
    <row r="39" spans="1:51" s="244" customFormat="1" ht="11.45" customHeight="1" x14ac:dyDescent="0.2">
      <c r="A39" s="1976" t="s">
        <v>2066</v>
      </c>
      <c r="B39" s="294"/>
      <c r="C39" s="776">
        <v>1968.9</v>
      </c>
      <c r="D39" s="776">
        <v>7108.4999999999991</v>
      </c>
      <c r="E39" s="776">
        <v>25.400000000000002</v>
      </c>
      <c r="F39" s="776">
        <v>12929.9</v>
      </c>
      <c r="G39" s="776">
        <v>3684.6000000000004</v>
      </c>
      <c r="H39" s="776">
        <v>366180.39999999997</v>
      </c>
      <c r="I39" s="776">
        <v>1.2</v>
      </c>
      <c r="J39" s="776">
        <v>1.2</v>
      </c>
      <c r="K39" s="776">
        <v>1.2</v>
      </c>
      <c r="L39" s="776">
        <v>39841.000000000058</v>
      </c>
      <c r="M39" s="776">
        <v>431742.29999999993</v>
      </c>
      <c r="N39" s="776">
        <v>5081.7999999999993</v>
      </c>
      <c r="O39" s="776">
        <v>16544.5</v>
      </c>
      <c r="P39" s="776">
        <v>21625.999999999996</v>
      </c>
      <c r="Q39" s="776">
        <v>3980.5000000000005</v>
      </c>
      <c r="R39" s="776">
        <v>3581.5</v>
      </c>
      <c r="S39" s="776">
        <v>12487.7</v>
      </c>
      <c r="T39" s="776">
        <v>28762</v>
      </c>
      <c r="U39" s="776">
        <v>8165.9999999999991</v>
      </c>
      <c r="V39" s="776">
        <v>9138.9</v>
      </c>
      <c r="W39" s="776">
        <v>8465.3000000000011</v>
      </c>
      <c r="X39" s="776">
        <v>12059.800000000001</v>
      </c>
      <c r="Y39" s="776">
        <v>104521.1</v>
      </c>
      <c r="Z39" s="776">
        <v>30574</v>
      </c>
      <c r="AA39" s="776">
        <v>1759</v>
      </c>
      <c r="AB39" s="776">
        <v>33692</v>
      </c>
      <c r="AC39" s="776">
        <v>7763.8</v>
      </c>
      <c r="AD39" s="776">
        <v>29525.199999999997</v>
      </c>
      <c r="AE39" s="776">
        <v>38963.599999999999</v>
      </c>
      <c r="AF39" s="776">
        <v>27235.4</v>
      </c>
      <c r="AG39" s="776">
        <v>68886</v>
      </c>
      <c r="AH39" s="776">
        <v>12432.9</v>
      </c>
      <c r="AI39" s="776">
        <v>47125.2</v>
      </c>
      <c r="AJ39" s="776">
        <v>34920.04</v>
      </c>
      <c r="AK39" s="776">
        <v>133138</v>
      </c>
      <c r="AL39" s="776">
        <v>687750.1399999999</v>
      </c>
      <c r="AM39" s="776">
        <v>678804.23999999987</v>
      </c>
      <c r="AN39" s="776">
        <v>-247061.8</v>
      </c>
      <c r="AO39" s="288" t="s">
        <v>2066</v>
      </c>
      <c r="AP39" s="958"/>
      <c r="AQ39" s="958"/>
      <c r="AR39" s="958"/>
      <c r="AS39" s="958"/>
      <c r="AU39" s="958"/>
      <c r="AV39" s="958"/>
      <c r="AW39" s="958"/>
      <c r="AX39" s="958"/>
      <c r="AY39" s="958"/>
    </row>
    <row r="40" spans="1:51" s="1636" customFormat="1" ht="11.45" customHeight="1" x14ac:dyDescent="0.2">
      <c r="A40" s="156" t="s">
        <v>3090</v>
      </c>
      <c r="B40" s="1375"/>
      <c r="C40" s="775">
        <f>SUM(C238:C249)</f>
        <v>1749.5779</v>
      </c>
      <c r="D40" s="775">
        <f t="shared" ref="D40:U40" si="5">SUM(D238:D249)</f>
        <v>7642.9600000000009</v>
      </c>
      <c r="E40" s="775">
        <f t="shared" si="5"/>
        <v>30.014299999999999</v>
      </c>
      <c r="F40" s="775">
        <f t="shared" si="5"/>
        <v>12158.21</v>
      </c>
      <c r="G40" s="775">
        <f t="shared" si="5"/>
        <v>3389.51</v>
      </c>
      <c r="H40" s="775">
        <f t="shared" si="5"/>
        <v>369178.39900000003</v>
      </c>
      <c r="I40" s="775">
        <f t="shared" si="5"/>
        <v>0.6</v>
      </c>
      <c r="J40" s="775">
        <f t="shared" si="5"/>
        <v>0.6</v>
      </c>
      <c r="K40" s="775">
        <f t="shared" si="5"/>
        <v>0.7</v>
      </c>
      <c r="L40" s="775">
        <f t="shared" si="5"/>
        <v>38979.238800000036</v>
      </c>
      <c r="M40" s="775">
        <f>SUM(M238:M249)</f>
        <v>433129.80999999994</v>
      </c>
      <c r="N40" s="775">
        <f t="shared" si="5"/>
        <v>206.50559999999996</v>
      </c>
      <c r="O40" s="775">
        <f t="shared" si="5"/>
        <v>19558.304499999998</v>
      </c>
      <c r="P40" s="775">
        <f t="shared" si="5"/>
        <v>19764.810099999999</v>
      </c>
      <c r="Q40" s="775">
        <f t="shared" si="5"/>
        <v>4371.2961999999998</v>
      </c>
      <c r="R40" s="775">
        <f t="shared" si="5"/>
        <v>5324.6283999999996</v>
      </c>
      <c r="S40" s="775">
        <f t="shared" si="5"/>
        <v>12361.9354</v>
      </c>
      <c r="T40" s="775">
        <f t="shared" si="5"/>
        <v>24135.051199999998</v>
      </c>
      <c r="U40" s="775">
        <f t="shared" si="5"/>
        <v>7780.5681000000013</v>
      </c>
      <c r="V40" s="775">
        <f t="shared" ref="V40:AN40" si="6">SUM(V238:V249)</f>
        <v>12578.869300000002</v>
      </c>
      <c r="W40" s="775">
        <f t="shared" si="6"/>
        <v>7515.2033999999994</v>
      </c>
      <c r="X40" s="775">
        <f t="shared" si="6"/>
        <v>12082.529399999999</v>
      </c>
      <c r="Y40" s="775">
        <f t="shared" si="6"/>
        <v>104175.45089999998</v>
      </c>
      <c r="Z40" s="775">
        <f t="shared" si="6"/>
        <v>34477.190699999999</v>
      </c>
      <c r="AA40" s="775">
        <f t="shared" si="6"/>
        <v>2030.5640000000001</v>
      </c>
      <c r="AB40" s="775">
        <f t="shared" si="6"/>
        <v>18394.2287</v>
      </c>
      <c r="AC40" s="775">
        <f t="shared" si="6"/>
        <v>8577.5186000000012</v>
      </c>
      <c r="AD40" s="775">
        <f t="shared" si="6"/>
        <v>31861.216799999995</v>
      </c>
      <c r="AE40" s="775">
        <f t="shared" si="6"/>
        <v>39226.866900000001</v>
      </c>
      <c r="AF40" s="775">
        <f t="shared" si="6"/>
        <v>32606.576599999997</v>
      </c>
      <c r="AG40" s="775">
        <f t="shared" si="6"/>
        <v>71424.247900000002</v>
      </c>
      <c r="AH40" s="775">
        <f t="shared" si="6"/>
        <v>13461.640100000002</v>
      </c>
      <c r="AI40" s="775">
        <f t="shared" si="6"/>
        <v>56972.269400000005</v>
      </c>
      <c r="AJ40" s="775">
        <f t="shared" si="6"/>
        <v>32623.848086091341</v>
      </c>
      <c r="AK40" s="775">
        <f t="shared" si="6"/>
        <v>150483.96230000001</v>
      </c>
      <c r="AL40" s="775">
        <f t="shared" si="6"/>
        <v>682465.66238609131</v>
      </c>
      <c r="AM40" s="775">
        <f t="shared" si="6"/>
        <v>702230.47248609131</v>
      </c>
      <c r="AN40" s="775">
        <f t="shared" si="6"/>
        <v>-269100.66248609131</v>
      </c>
      <c r="AO40" s="437" t="s">
        <v>2205</v>
      </c>
      <c r="AQ40" s="958"/>
      <c r="AR40" s="958"/>
    </row>
    <row r="41" spans="1:51" s="1696" customFormat="1" ht="11.45" customHeight="1" x14ac:dyDescent="0.2">
      <c r="A41" s="156" t="s">
        <v>3064</v>
      </c>
      <c r="B41" s="1375"/>
      <c r="C41" s="775">
        <v>1841.5500999999997</v>
      </c>
      <c r="D41" s="775">
        <v>8373.8837000000003</v>
      </c>
      <c r="E41" s="775">
        <v>38.628</v>
      </c>
      <c r="F41" s="775">
        <v>14284.143099999999</v>
      </c>
      <c r="G41" s="775">
        <v>4279.1954000000005</v>
      </c>
      <c r="H41" s="775">
        <v>449777.09659999982</v>
      </c>
      <c r="I41" s="775">
        <v>0.6</v>
      </c>
      <c r="J41" s="775">
        <v>0.6</v>
      </c>
      <c r="K41" s="775">
        <v>0.80590000000000006</v>
      </c>
      <c r="L41" s="775">
        <v>47805.839000000124</v>
      </c>
      <c r="M41" s="775">
        <v>526402.34180000005</v>
      </c>
      <c r="N41" s="775">
        <v>7009.6</v>
      </c>
      <c r="O41" s="775">
        <v>17537.5</v>
      </c>
      <c r="P41" s="775">
        <v>24547.1</v>
      </c>
      <c r="Q41" s="775">
        <v>5377.4</v>
      </c>
      <c r="R41" s="775">
        <v>5490.3000000000011</v>
      </c>
      <c r="S41" s="775">
        <v>13034.699999999999</v>
      </c>
      <c r="T41" s="775">
        <v>30605.099999999995</v>
      </c>
      <c r="U41" s="775">
        <v>10370.799999999999</v>
      </c>
      <c r="V41" s="775">
        <v>15222.199999999999</v>
      </c>
      <c r="W41" s="775">
        <v>9777.4</v>
      </c>
      <c r="X41" s="775">
        <v>13379.800000000001</v>
      </c>
      <c r="Y41" s="775">
        <v>114811.9</v>
      </c>
      <c r="Z41" s="775">
        <v>39960.199999999997</v>
      </c>
      <c r="AA41" s="775">
        <v>2545.2999999999997</v>
      </c>
      <c r="AB41" s="775">
        <v>22142.400000000001</v>
      </c>
      <c r="AC41" s="775">
        <v>10110.299999999999</v>
      </c>
      <c r="AD41" s="775">
        <v>37473.1</v>
      </c>
      <c r="AE41" s="775">
        <v>41097.700000000004</v>
      </c>
      <c r="AF41" s="775">
        <v>42308.700000000004</v>
      </c>
      <c r="AG41" s="775">
        <v>93341.4</v>
      </c>
      <c r="AH41" s="775">
        <v>16406.400000000001</v>
      </c>
      <c r="AI41" s="775">
        <v>59758.400000000009</v>
      </c>
      <c r="AJ41" s="775">
        <v>36949.789812541501</v>
      </c>
      <c r="AK41" s="775">
        <v>176103.08999999997</v>
      </c>
      <c r="AL41" s="775">
        <v>790843.77981254144</v>
      </c>
      <c r="AM41" s="775">
        <v>815390.87981254153</v>
      </c>
      <c r="AN41" s="775">
        <v>-288988.53801254148</v>
      </c>
      <c r="AO41" s="437" t="s">
        <v>3064</v>
      </c>
      <c r="AQ41" s="958"/>
      <c r="AR41" s="958"/>
    </row>
    <row r="42" spans="1:51" s="1696" customFormat="1" ht="11.45" customHeight="1" x14ac:dyDescent="0.2">
      <c r="A42" s="156"/>
      <c r="B42" s="1375"/>
      <c r="C42" s="775"/>
      <c r="D42" s="775"/>
      <c r="E42" s="775"/>
      <c r="F42" s="775"/>
      <c r="G42" s="775"/>
      <c r="H42" s="775"/>
      <c r="I42" s="775"/>
      <c r="J42" s="775"/>
      <c r="K42" s="775"/>
      <c r="L42" s="775"/>
      <c r="M42" s="775"/>
      <c r="N42" s="775"/>
      <c r="O42" s="775"/>
      <c r="P42" s="775"/>
      <c r="Q42" s="775"/>
      <c r="R42" s="775"/>
      <c r="S42" s="775"/>
      <c r="T42" s="775"/>
      <c r="U42" s="775"/>
      <c r="V42" s="775"/>
      <c r="W42" s="775"/>
      <c r="X42" s="775"/>
      <c r="Y42" s="775"/>
      <c r="Z42" s="775"/>
      <c r="AA42" s="775"/>
      <c r="AB42" s="775"/>
      <c r="AC42" s="775"/>
      <c r="AD42" s="775"/>
      <c r="AE42" s="775"/>
      <c r="AF42" s="775"/>
      <c r="AG42" s="775"/>
      <c r="AH42" s="775"/>
      <c r="AI42" s="775"/>
      <c r="AJ42" s="775"/>
      <c r="AK42" s="775"/>
      <c r="AL42" s="775"/>
      <c r="AM42" s="775"/>
      <c r="AN42" s="775"/>
      <c r="AO42" s="437"/>
      <c r="AQ42" s="958"/>
      <c r="AR42" s="958"/>
    </row>
    <row r="43" spans="1:51" s="1696" customFormat="1" ht="11.45" customHeight="1" x14ac:dyDescent="0.2">
      <c r="A43" s="156"/>
      <c r="B43" s="1375"/>
      <c r="C43" s="775"/>
      <c r="D43" s="775"/>
      <c r="E43" s="775"/>
      <c r="F43" s="775"/>
      <c r="G43" s="775"/>
      <c r="H43" s="775"/>
      <c r="I43" s="775"/>
      <c r="J43" s="775"/>
      <c r="K43" s="775"/>
      <c r="L43" s="775"/>
      <c r="M43" s="775"/>
      <c r="N43" s="775"/>
      <c r="O43" s="775"/>
      <c r="P43" s="775"/>
      <c r="Q43" s="775"/>
      <c r="R43" s="775"/>
      <c r="S43" s="775"/>
      <c r="T43" s="775"/>
      <c r="U43" s="775"/>
      <c r="V43" s="775"/>
      <c r="W43" s="775"/>
      <c r="X43" s="775"/>
      <c r="Y43" s="775"/>
      <c r="Z43" s="775"/>
      <c r="AA43" s="775"/>
      <c r="AB43" s="775"/>
      <c r="AC43" s="775"/>
      <c r="AD43" s="775"/>
      <c r="AE43" s="775"/>
      <c r="AF43" s="775"/>
      <c r="AG43" s="775"/>
      <c r="AH43" s="775"/>
      <c r="AI43" s="775"/>
      <c r="AJ43" s="775"/>
      <c r="AK43" s="775"/>
      <c r="AL43" s="775"/>
      <c r="AM43" s="775"/>
      <c r="AN43" s="775"/>
      <c r="AO43" s="437"/>
      <c r="AQ43" s="958"/>
      <c r="AR43" s="958"/>
    </row>
    <row r="44" spans="1:51" s="1933" customFormat="1" ht="11.45" customHeight="1" x14ac:dyDescent="0.2">
      <c r="A44" s="156"/>
      <c r="B44" s="1375"/>
      <c r="C44" s="775"/>
      <c r="D44" s="775"/>
      <c r="E44" s="775"/>
      <c r="F44" s="775"/>
      <c r="G44" s="775"/>
      <c r="H44" s="775"/>
      <c r="I44" s="775"/>
      <c r="J44" s="775"/>
      <c r="K44" s="775"/>
      <c r="L44" s="775"/>
      <c r="M44" s="775"/>
      <c r="N44" s="775"/>
      <c r="O44" s="775"/>
      <c r="P44" s="775"/>
      <c r="Q44" s="775"/>
      <c r="R44" s="775"/>
      <c r="S44" s="775"/>
      <c r="T44" s="775"/>
      <c r="U44" s="775"/>
      <c r="V44" s="775"/>
      <c r="W44" s="775"/>
      <c r="X44" s="775"/>
      <c r="Y44" s="775"/>
      <c r="Z44" s="775"/>
      <c r="AA44" s="775"/>
      <c r="AB44" s="775"/>
      <c r="AC44" s="775"/>
      <c r="AD44" s="775"/>
      <c r="AE44" s="775"/>
      <c r="AF44" s="775"/>
      <c r="AG44" s="775"/>
      <c r="AH44" s="775"/>
      <c r="AI44" s="775"/>
      <c r="AJ44" s="775"/>
      <c r="AK44" s="775"/>
      <c r="AL44" s="775"/>
      <c r="AM44" s="775"/>
      <c r="AN44" s="775"/>
      <c r="AO44" s="437"/>
      <c r="AQ44" s="958"/>
      <c r="AR44" s="958"/>
    </row>
    <row r="45" spans="1:51" s="1933" customFormat="1" ht="11.45" customHeight="1" x14ac:dyDescent="0.2">
      <c r="A45" s="156"/>
      <c r="B45" s="1375"/>
      <c r="C45" s="775"/>
      <c r="D45" s="775"/>
      <c r="E45" s="775"/>
      <c r="F45" s="775"/>
      <c r="G45" s="775"/>
      <c r="H45" s="775"/>
      <c r="I45" s="775"/>
      <c r="J45" s="775"/>
      <c r="K45" s="775"/>
      <c r="L45" s="775"/>
      <c r="M45" s="775"/>
      <c r="N45" s="775"/>
      <c r="O45" s="775"/>
      <c r="P45" s="775"/>
      <c r="Q45" s="775"/>
      <c r="R45" s="775"/>
      <c r="S45" s="775"/>
      <c r="T45" s="775"/>
      <c r="U45" s="775"/>
      <c r="V45" s="775"/>
      <c r="W45" s="775"/>
      <c r="X45" s="775"/>
      <c r="Y45" s="775"/>
      <c r="Z45" s="775"/>
      <c r="AA45" s="775"/>
      <c r="AB45" s="775"/>
      <c r="AC45" s="775"/>
      <c r="AD45" s="775"/>
      <c r="AE45" s="775"/>
      <c r="AF45" s="775"/>
      <c r="AG45" s="775"/>
      <c r="AH45" s="775"/>
      <c r="AI45" s="775"/>
      <c r="AJ45" s="775"/>
      <c r="AK45" s="775"/>
      <c r="AL45" s="775"/>
      <c r="AM45" s="775"/>
      <c r="AN45" s="775"/>
      <c r="AO45" s="437"/>
      <c r="AQ45" s="958"/>
      <c r="AR45" s="958"/>
    </row>
    <row r="46" spans="1:51" s="1933" customFormat="1" ht="11.45" customHeight="1" x14ac:dyDescent="0.2">
      <c r="A46" s="156"/>
      <c r="B46" s="1375"/>
      <c r="C46" s="775"/>
      <c r="D46" s="775"/>
      <c r="E46" s="775"/>
      <c r="F46" s="775"/>
      <c r="G46" s="775"/>
      <c r="H46" s="775"/>
      <c r="I46" s="775"/>
      <c r="J46" s="775"/>
      <c r="K46" s="775"/>
      <c r="L46" s="775"/>
      <c r="M46" s="775"/>
      <c r="N46" s="775"/>
      <c r="O46" s="775"/>
      <c r="P46" s="775"/>
      <c r="Q46" s="775"/>
      <c r="R46" s="775"/>
      <c r="S46" s="775"/>
      <c r="T46" s="775"/>
      <c r="U46" s="775"/>
      <c r="V46" s="775"/>
      <c r="W46" s="775"/>
      <c r="X46" s="775"/>
      <c r="Y46" s="775"/>
      <c r="Z46" s="775"/>
      <c r="AA46" s="775"/>
      <c r="AB46" s="775"/>
      <c r="AC46" s="775"/>
      <c r="AD46" s="775"/>
      <c r="AE46" s="775"/>
      <c r="AF46" s="775"/>
      <c r="AG46" s="775"/>
      <c r="AH46" s="775"/>
      <c r="AI46" s="775"/>
      <c r="AJ46" s="775"/>
      <c r="AK46" s="775"/>
      <c r="AL46" s="775"/>
      <c r="AM46" s="775"/>
      <c r="AN46" s="775"/>
      <c r="AO46" s="437"/>
      <c r="AQ46" s="958"/>
      <c r="AR46" s="958"/>
    </row>
    <row r="47" spans="1:51" s="1953" customFormat="1" ht="11.45" customHeight="1" x14ac:dyDescent="0.2">
      <c r="A47" s="156" t="s">
        <v>81</v>
      </c>
      <c r="B47" s="1136" t="s">
        <v>552</v>
      </c>
      <c r="C47" s="26">
        <v>103</v>
      </c>
      <c r="D47" s="26">
        <v>209</v>
      </c>
      <c r="E47" s="26">
        <v>1</v>
      </c>
      <c r="F47" s="26">
        <v>209</v>
      </c>
      <c r="G47" s="26">
        <v>255</v>
      </c>
      <c r="H47" s="26">
        <v>6177</v>
      </c>
      <c r="I47" s="26">
        <v>0</v>
      </c>
      <c r="J47" s="26">
        <v>0</v>
      </c>
      <c r="K47" s="26">
        <v>77</v>
      </c>
      <c r="L47" s="26">
        <v>1917</v>
      </c>
      <c r="M47" s="134">
        <f>C47+D47+E47+F47+G47+H47+I47+J47+K47+L47</f>
        <v>8948</v>
      </c>
      <c r="N47" s="26">
        <v>9</v>
      </c>
      <c r="O47" s="26">
        <v>115</v>
      </c>
      <c r="P47" s="26">
        <f t="shared" ref="P47:P82" si="7">N47+O47</f>
        <v>124</v>
      </c>
      <c r="Q47" s="26">
        <v>33</v>
      </c>
      <c r="R47" s="26">
        <v>58</v>
      </c>
      <c r="S47" s="26">
        <v>17</v>
      </c>
      <c r="T47" s="26">
        <v>997</v>
      </c>
      <c r="U47" s="26">
        <v>197</v>
      </c>
      <c r="V47" s="26">
        <v>103</v>
      </c>
      <c r="W47" s="26">
        <v>97</v>
      </c>
      <c r="X47" s="26">
        <v>0</v>
      </c>
      <c r="Y47" s="26">
        <v>1236</v>
      </c>
      <c r="Z47" s="26">
        <v>524</v>
      </c>
      <c r="AA47" s="26">
        <v>46</v>
      </c>
      <c r="AB47" s="26">
        <v>55</v>
      </c>
      <c r="AC47" s="26">
        <v>146</v>
      </c>
      <c r="AD47" s="26">
        <v>486</v>
      </c>
      <c r="AE47" s="26">
        <v>643</v>
      </c>
      <c r="AF47" s="26">
        <v>448</v>
      </c>
      <c r="AG47" s="26">
        <v>1230</v>
      </c>
      <c r="AH47" s="26">
        <v>89</v>
      </c>
      <c r="AI47" s="26">
        <v>684</v>
      </c>
      <c r="AJ47" s="26">
        <v>934</v>
      </c>
      <c r="AK47" s="26">
        <v>3775</v>
      </c>
      <c r="AL47" s="26">
        <f t="shared" ref="AL47:AL82" si="8">SUM(Q47:U47)+SUM(V47:AK47)</f>
        <v>11798</v>
      </c>
      <c r="AM47" s="26">
        <f t="shared" ref="AM47:AM82" si="9">P47+AL47</f>
        <v>11922</v>
      </c>
      <c r="AN47" s="1964">
        <f t="shared" ref="AN47:AN82" si="10">M47-AM47</f>
        <v>-2974</v>
      </c>
      <c r="AO47" s="437"/>
      <c r="AQ47" s="958"/>
      <c r="AR47" s="958"/>
    </row>
    <row r="48" spans="1:51" s="1953" customFormat="1" ht="11.45" customHeight="1" x14ac:dyDescent="0.2">
      <c r="A48" s="156" t="s">
        <v>81</v>
      </c>
      <c r="B48" s="482" t="s">
        <v>112</v>
      </c>
      <c r="C48" s="26">
        <v>75</v>
      </c>
      <c r="D48" s="26">
        <v>233</v>
      </c>
      <c r="E48" s="26">
        <v>1</v>
      </c>
      <c r="F48" s="26">
        <v>156</v>
      </c>
      <c r="G48" s="26">
        <v>342</v>
      </c>
      <c r="H48" s="26">
        <v>6050</v>
      </c>
      <c r="I48" s="26">
        <v>0</v>
      </c>
      <c r="J48" s="26">
        <v>0</v>
      </c>
      <c r="K48" s="26">
        <v>83</v>
      </c>
      <c r="L48" s="26">
        <v>2230</v>
      </c>
      <c r="M48" s="134">
        <f t="shared" ref="M48:M58" si="11">C48+D48+E48+F48+G48+H48+I48+J48+K48+L48</f>
        <v>9170</v>
      </c>
      <c r="N48" s="26">
        <v>2</v>
      </c>
      <c r="O48" s="26">
        <v>211</v>
      </c>
      <c r="P48" s="26">
        <f t="shared" si="7"/>
        <v>213</v>
      </c>
      <c r="Q48" s="26">
        <v>25</v>
      </c>
      <c r="R48" s="26">
        <v>95</v>
      </c>
      <c r="S48" s="26">
        <v>57</v>
      </c>
      <c r="T48" s="26">
        <v>563</v>
      </c>
      <c r="U48" s="26">
        <v>183</v>
      </c>
      <c r="V48" s="26">
        <v>99</v>
      </c>
      <c r="W48" s="26">
        <v>191</v>
      </c>
      <c r="X48" s="26">
        <v>0</v>
      </c>
      <c r="Y48" s="26">
        <v>435</v>
      </c>
      <c r="Z48" s="26">
        <v>560</v>
      </c>
      <c r="AA48" s="26">
        <v>32</v>
      </c>
      <c r="AB48" s="26">
        <v>120</v>
      </c>
      <c r="AC48" s="26">
        <v>146</v>
      </c>
      <c r="AD48" s="26">
        <v>519</v>
      </c>
      <c r="AE48" s="26">
        <v>685</v>
      </c>
      <c r="AF48" s="26">
        <v>420</v>
      </c>
      <c r="AG48" s="26">
        <v>1206</v>
      </c>
      <c r="AH48" s="26">
        <v>58</v>
      </c>
      <c r="AI48" s="26">
        <v>762</v>
      </c>
      <c r="AJ48" s="26">
        <v>886</v>
      </c>
      <c r="AK48" s="26">
        <v>3671</v>
      </c>
      <c r="AL48" s="26">
        <f t="shared" si="8"/>
        <v>10713</v>
      </c>
      <c r="AM48" s="26">
        <f t="shared" si="9"/>
        <v>10926</v>
      </c>
      <c r="AN48" s="1964">
        <f t="shared" si="10"/>
        <v>-1756</v>
      </c>
      <c r="AO48" s="437"/>
      <c r="AQ48" s="958"/>
      <c r="AR48" s="958"/>
    </row>
    <row r="49" spans="1:44" s="1953" customFormat="1" ht="11.45" customHeight="1" x14ac:dyDescent="0.2">
      <c r="A49" s="156" t="s">
        <v>81</v>
      </c>
      <c r="B49" s="1136" t="s">
        <v>547</v>
      </c>
      <c r="C49" s="26">
        <v>66</v>
      </c>
      <c r="D49" s="26">
        <v>204</v>
      </c>
      <c r="E49" s="26">
        <v>1</v>
      </c>
      <c r="F49" s="26">
        <v>177</v>
      </c>
      <c r="G49" s="26">
        <v>278</v>
      </c>
      <c r="H49" s="26">
        <v>5143</v>
      </c>
      <c r="I49" s="26">
        <v>0</v>
      </c>
      <c r="J49" s="26">
        <v>0</v>
      </c>
      <c r="K49" s="26">
        <v>44</v>
      </c>
      <c r="L49" s="26">
        <v>1387</v>
      </c>
      <c r="M49" s="134">
        <f t="shared" si="11"/>
        <v>7300</v>
      </c>
      <c r="N49" s="26">
        <v>1</v>
      </c>
      <c r="O49" s="26">
        <v>438</v>
      </c>
      <c r="P49" s="26">
        <f t="shared" si="7"/>
        <v>439</v>
      </c>
      <c r="Q49" s="26">
        <v>28</v>
      </c>
      <c r="R49" s="26">
        <v>78</v>
      </c>
      <c r="S49" s="26">
        <v>127</v>
      </c>
      <c r="T49" s="26">
        <v>628</v>
      </c>
      <c r="U49" s="26">
        <v>73</v>
      </c>
      <c r="V49" s="26">
        <v>302</v>
      </c>
      <c r="W49" s="26">
        <v>161</v>
      </c>
      <c r="X49" s="26">
        <v>718</v>
      </c>
      <c r="Y49" s="26">
        <v>1268</v>
      </c>
      <c r="Z49" s="26">
        <v>461</v>
      </c>
      <c r="AA49" s="26">
        <v>45</v>
      </c>
      <c r="AB49" s="26">
        <v>496</v>
      </c>
      <c r="AC49" s="26">
        <v>131</v>
      </c>
      <c r="AD49" s="26">
        <v>505</v>
      </c>
      <c r="AE49" s="26">
        <v>644</v>
      </c>
      <c r="AF49" s="26">
        <v>320</v>
      </c>
      <c r="AG49" s="26">
        <v>970</v>
      </c>
      <c r="AH49" s="26">
        <v>63</v>
      </c>
      <c r="AI49" s="26">
        <v>623</v>
      </c>
      <c r="AJ49" s="26">
        <v>879</v>
      </c>
      <c r="AK49" s="26">
        <f>1841+1148+576</f>
        <v>3565</v>
      </c>
      <c r="AL49" s="26">
        <f t="shared" si="8"/>
        <v>12085</v>
      </c>
      <c r="AM49" s="26">
        <f t="shared" si="9"/>
        <v>12524</v>
      </c>
      <c r="AN49" s="1964">
        <f t="shared" si="10"/>
        <v>-5224</v>
      </c>
      <c r="AO49" s="437"/>
      <c r="AQ49" s="958"/>
      <c r="AR49" s="958"/>
    </row>
    <row r="50" spans="1:44" s="1953" customFormat="1" ht="11.45" customHeight="1" x14ac:dyDescent="0.2">
      <c r="A50" s="156" t="s">
        <v>81</v>
      </c>
      <c r="B50" s="482" t="s">
        <v>554</v>
      </c>
      <c r="C50" s="26">
        <v>124</v>
      </c>
      <c r="D50" s="26">
        <v>274</v>
      </c>
      <c r="E50" s="26">
        <v>3</v>
      </c>
      <c r="F50" s="26">
        <v>187</v>
      </c>
      <c r="G50" s="26">
        <f>64+247</f>
        <v>311</v>
      </c>
      <c r="H50" s="26">
        <v>5731</v>
      </c>
      <c r="I50" s="26">
        <v>139</v>
      </c>
      <c r="J50" s="26">
        <v>0</v>
      </c>
      <c r="K50" s="26">
        <v>0</v>
      </c>
      <c r="L50" s="26">
        <v>1609</v>
      </c>
      <c r="M50" s="134">
        <f t="shared" si="11"/>
        <v>8378</v>
      </c>
      <c r="N50" s="26">
        <v>18</v>
      </c>
      <c r="O50" s="26">
        <v>834</v>
      </c>
      <c r="P50" s="26">
        <f t="shared" si="7"/>
        <v>852</v>
      </c>
      <c r="Q50" s="26">
        <v>49</v>
      </c>
      <c r="R50" s="26">
        <v>68</v>
      </c>
      <c r="S50" s="26">
        <v>222</v>
      </c>
      <c r="T50" s="26">
        <v>508</v>
      </c>
      <c r="U50" s="26">
        <v>164</v>
      </c>
      <c r="V50" s="26">
        <v>426</v>
      </c>
      <c r="W50" s="26">
        <v>131</v>
      </c>
      <c r="X50" s="26">
        <v>267</v>
      </c>
      <c r="Y50" s="26">
        <v>863</v>
      </c>
      <c r="Z50" s="26">
        <v>505</v>
      </c>
      <c r="AA50" s="26">
        <v>47</v>
      </c>
      <c r="AB50" s="26">
        <v>766</v>
      </c>
      <c r="AC50" s="26">
        <v>176</v>
      </c>
      <c r="AD50" s="26">
        <v>528</v>
      </c>
      <c r="AE50" s="26">
        <v>807</v>
      </c>
      <c r="AF50" s="26">
        <v>450</v>
      </c>
      <c r="AG50" s="26">
        <v>1204</v>
      </c>
      <c r="AH50" s="26">
        <v>78</v>
      </c>
      <c r="AI50" s="26">
        <v>830</v>
      </c>
      <c r="AJ50" s="26">
        <v>748</v>
      </c>
      <c r="AK50" s="26">
        <f>2308+1332+712</f>
        <v>4352</v>
      </c>
      <c r="AL50" s="26">
        <f t="shared" si="8"/>
        <v>13189</v>
      </c>
      <c r="AM50" s="26">
        <f t="shared" si="9"/>
        <v>14041</v>
      </c>
      <c r="AN50" s="1964">
        <f t="shared" si="10"/>
        <v>-5663</v>
      </c>
      <c r="AO50" s="437"/>
      <c r="AQ50" s="958"/>
      <c r="AR50" s="958"/>
    </row>
    <row r="51" spans="1:44" s="1953" customFormat="1" ht="11.45" customHeight="1" x14ac:dyDescent="0.2">
      <c r="A51" s="156" t="s">
        <v>81</v>
      </c>
      <c r="B51" s="1136" t="s">
        <v>555</v>
      </c>
      <c r="C51" s="26">
        <v>144</v>
      </c>
      <c r="D51" s="26">
        <v>346</v>
      </c>
      <c r="E51" s="26">
        <v>5</v>
      </c>
      <c r="F51" s="26">
        <v>218</v>
      </c>
      <c r="G51" s="26">
        <f>66+209</f>
        <v>275</v>
      </c>
      <c r="H51" s="26">
        <v>4489</v>
      </c>
      <c r="I51" s="26">
        <v>58</v>
      </c>
      <c r="J51" s="26">
        <v>0</v>
      </c>
      <c r="K51" s="26">
        <v>0</v>
      </c>
      <c r="L51" s="26">
        <f>1038+897</f>
        <v>1935</v>
      </c>
      <c r="M51" s="134">
        <f t="shared" si="11"/>
        <v>7470</v>
      </c>
      <c r="N51" s="26">
        <v>11</v>
      </c>
      <c r="O51" s="26">
        <v>479</v>
      </c>
      <c r="P51" s="26">
        <f t="shared" si="7"/>
        <v>490</v>
      </c>
      <c r="Q51" s="26">
        <v>81</v>
      </c>
      <c r="R51" s="26">
        <v>62</v>
      </c>
      <c r="S51" s="26">
        <v>7</v>
      </c>
      <c r="T51" s="26">
        <v>632</v>
      </c>
      <c r="U51" s="26">
        <v>233</v>
      </c>
      <c r="V51" s="26">
        <v>440</v>
      </c>
      <c r="W51" s="26">
        <v>121</v>
      </c>
      <c r="X51" s="26">
        <v>362</v>
      </c>
      <c r="Y51" s="26">
        <v>1000</v>
      </c>
      <c r="Z51" s="26">
        <v>503</v>
      </c>
      <c r="AA51" s="26">
        <v>36</v>
      </c>
      <c r="AB51" s="26">
        <v>711</v>
      </c>
      <c r="AC51" s="26">
        <v>139</v>
      </c>
      <c r="AD51" s="26">
        <v>455</v>
      </c>
      <c r="AE51" s="26">
        <v>642</v>
      </c>
      <c r="AF51" s="26">
        <v>343</v>
      </c>
      <c r="AG51" s="26">
        <v>905</v>
      </c>
      <c r="AH51" s="26">
        <v>44</v>
      </c>
      <c r="AI51" s="26">
        <v>788</v>
      </c>
      <c r="AJ51" s="26">
        <v>1015</v>
      </c>
      <c r="AK51" s="26">
        <f>1751+1191+627</f>
        <v>3569</v>
      </c>
      <c r="AL51" s="26">
        <f t="shared" si="8"/>
        <v>12088</v>
      </c>
      <c r="AM51" s="26">
        <f t="shared" si="9"/>
        <v>12578</v>
      </c>
      <c r="AN51" s="1964">
        <f t="shared" si="10"/>
        <v>-5108</v>
      </c>
      <c r="AO51" s="437"/>
      <c r="AQ51" s="958"/>
      <c r="AR51" s="958"/>
    </row>
    <row r="52" spans="1:44" s="1953" customFormat="1" ht="11.45" customHeight="1" x14ac:dyDescent="0.2">
      <c r="A52" s="156" t="s">
        <v>81</v>
      </c>
      <c r="B52" s="482" t="s">
        <v>548</v>
      </c>
      <c r="C52" s="1964">
        <v>181</v>
      </c>
      <c r="D52" s="26">
        <v>317</v>
      </c>
      <c r="E52" s="26">
        <v>6</v>
      </c>
      <c r="F52" s="26">
        <v>223</v>
      </c>
      <c r="G52" s="26">
        <f>61+254</f>
        <v>315</v>
      </c>
      <c r="H52" s="26">
        <v>5381</v>
      </c>
      <c r="I52" s="26">
        <v>158</v>
      </c>
      <c r="J52" s="26">
        <v>0</v>
      </c>
      <c r="K52" s="26">
        <v>11</v>
      </c>
      <c r="L52" s="26">
        <v>1804</v>
      </c>
      <c r="M52" s="134">
        <f t="shared" si="11"/>
        <v>8396</v>
      </c>
      <c r="N52" s="26">
        <v>10</v>
      </c>
      <c r="O52" s="26">
        <v>670</v>
      </c>
      <c r="P52" s="26">
        <f t="shared" si="7"/>
        <v>680</v>
      </c>
      <c r="Q52" s="26">
        <v>78</v>
      </c>
      <c r="R52" s="26">
        <v>38</v>
      </c>
      <c r="S52" s="26">
        <v>129</v>
      </c>
      <c r="T52" s="26">
        <v>667</v>
      </c>
      <c r="U52" s="26">
        <v>192</v>
      </c>
      <c r="V52" s="1964">
        <v>809</v>
      </c>
      <c r="W52" s="1964">
        <v>134</v>
      </c>
      <c r="X52" s="793">
        <v>425</v>
      </c>
      <c r="Y52" s="793">
        <v>1288</v>
      </c>
      <c r="Z52" s="26">
        <v>561</v>
      </c>
      <c r="AA52" s="793">
        <v>79</v>
      </c>
      <c r="AB52" s="26">
        <v>1202</v>
      </c>
      <c r="AC52" s="793">
        <v>182</v>
      </c>
      <c r="AD52" s="793">
        <v>540</v>
      </c>
      <c r="AE52" s="793">
        <v>715</v>
      </c>
      <c r="AF52" s="793">
        <v>362</v>
      </c>
      <c r="AG52" s="793">
        <v>1010</v>
      </c>
      <c r="AH52" s="793">
        <v>52</v>
      </c>
      <c r="AI52" s="793">
        <v>810</v>
      </c>
      <c r="AJ52" s="793">
        <v>1095</v>
      </c>
      <c r="AK52" s="26">
        <f>2011+1211+812</f>
        <v>4034</v>
      </c>
      <c r="AL52" s="26">
        <f t="shared" si="8"/>
        <v>14402</v>
      </c>
      <c r="AM52" s="26">
        <f t="shared" si="9"/>
        <v>15082</v>
      </c>
      <c r="AN52" s="1964">
        <f t="shared" si="10"/>
        <v>-6686</v>
      </c>
      <c r="AO52" s="437"/>
      <c r="AQ52" s="958"/>
      <c r="AR52" s="958"/>
    </row>
    <row r="53" spans="1:44" s="1953" customFormat="1" ht="11.45" customHeight="1" x14ac:dyDescent="0.2">
      <c r="A53" s="156" t="s">
        <v>81</v>
      </c>
      <c r="B53" s="1136" t="s">
        <v>556</v>
      </c>
      <c r="C53" s="1964">
        <v>33</v>
      </c>
      <c r="D53" s="26">
        <v>321</v>
      </c>
      <c r="E53" s="26">
        <v>7</v>
      </c>
      <c r="F53" s="26">
        <v>167</v>
      </c>
      <c r="G53" s="26">
        <f>60+201</f>
        <v>261</v>
      </c>
      <c r="H53" s="26">
        <v>5253</v>
      </c>
      <c r="I53" s="26">
        <v>117</v>
      </c>
      <c r="J53" s="26">
        <v>0</v>
      </c>
      <c r="K53" s="26">
        <v>0</v>
      </c>
      <c r="L53" s="26">
        <v>2159</v>
      </c>
      <c r="M53" s="134">
        <f t="shared" si="11"/>
        <v>8318</v>
      </c>
      <c r="N53" s="26">
        <v>6</v>
      </c>
      <c r="O53" s="26">
        <v>341</v>
      </c>
      <c r="P53" s="26">
        <f t="shared" si="7"/>
        <v>347</v>
      </c>
      <c r="Q53" s="26">
        <v>71</v>
      </c>
      <c r="R53" s="26">
        <v>42</v>
      </c>
      <c r="S53" s="26">
        <v>24</v>
      </c>
      <c r="T53" s="26">
        <v>522</v>
      </c>
      <c r="U53" s="26">
        <v>283</v>
      </c>
      <c r="V53" s="1964">
        <v>241</v>
      </c>
      <c r="W53" s="1964">
        <v>186</v>
      </c>
      <c r="X53" s="793">
        <v>356</v>
      </c>
      <c r="Y53" s="793">
        <v>1113</v>
      </c>
      <c r="Z53" s="26">
        <v>519</v>
      </c>
      <c r="AA53" s="793">
        <v>57</v>
      </c>
      <c r="AB53" s="26">
        <v>522</v>
      </c>
      <c r="AC53" s="793">
        <v>148</v>
      </c>
      <c r="AD53" s="793">
        <v>558</v>
      </c>
      <c r="AE53" s="793">
        <v>656</v>
      </c>
      <c r="AF53" s="793">
        <v>367</v>
      </c>
      <c r="AG53" s="793">
        <v>1194</v>
      </c>
      <c r="AH53" s="793">
        <v>36</v>
      </c>
      <c r="AI53" s="793">
        <v>698</v>
      </c>
      <c r="AJ53" s="793">
        <v>822</v>
      </c>
      <c r="AK53" s="26">
        <f>1867+1351+900</f>
        <v>4118</v>
      </c>
      <c r="AL53" s="26">
        <f t="shared" si="8"/>
        <v>12533</v>
      </c>
      <c r="AM53" s="26">
        <f t="shared" si="9"/>
        <v>12880</v>
      </c>
      <c r="AN53" s="1964">
        <f t="shared" si="10"/>
        <v>-4562</v>
      </c>
      <c r="AO53" s="437"/>
      <c r="AQ53" s="958"/>
      <c r="AR53" s="958"/>
    </row>
    <row r="54" spans="1:44" s="1953" customFormat="1" ht="11.45" customHeight="1" x14ac:dyDescent="0.2">
      <c r="A54" s="156" t="s">
        <v>81</v>
      </c>
      <c r="B54" s="482" t="s">
        <v>557</v>
      </c>
      <c r="C54" s="1964">
        <v>78</v>
      </c>
      <c r="D54" s="26">
        <v>267</v>
      </c>
      <c r="E54" s="26">
        <v>7</v>
      </c>
      <c r="F54" s="26">
        <v>162</v>
      </c>
      <c r="G54" s="26">
        <f>49+139</f>
        <v>188</v>
      </c>
      <c r="H54" s="26">
        <v>5094</v>
      </c>
      <c r="I54" s="26">
        <v>159</v>
      </c>
      <c r="J54" s="26">
        <v>0</v>
      </c>
      <c r="K54" s="26">
        <v>0</v>
      </c>
      <c r="L54" s="26">
        <f>516+1132</f>
        <v>1648</v>
      </c>
      <c r="M54" s="134">
        <f t="shared" si="11"/>
        <v>7603</v>
      </c>
      <c r="N54" s="26">
        <v>70</v>
      </c>
      <c r="O54" s="26">
        <v>251</v>
      </c>
      <c r="P54" s="26">
        <f t="shared" si="7"/>
        <v>321</v>
      </c>
      <c r="Q54" s="26">
        <v>60</v>
      </c>
      <c r="R54" s="26">
        <v>40</v>
      </c>
      <c r="S54" s="26">
        <v>10</v>
      </c>
      <c r="T54" s="26">
        <v>611</v>
      </c>
      <c r="U54" s="26">
        <v>179</v>
      </c>
      <c r="V54" s="1964">
        <v>390</v>
      </c>
      <c r="W54" s="1964">
        <v>243</v>
      </c>
      <c r="X54" s="793">
        <v>432</v>
      </c>
      <c r="Y54" s="793">
        <v>1020</v>
      </c>
      <c r="Z54" s="26">
        <v>617</v>
      </c>
      <c r="AA54" s="793">
        <v>95</v>
      </c>
      <c r="AB54" s="26">
        <v>412</v>
      </c>
      <c r="AC54" s="793">
        <v>153</v>
      </c>
      <c r="AD54" s="793">
        <v>569</v>
      </c>
      <c r="AE54" s="793">
        <v>705</v>
      </c>
      <c r="AF54" s="793">
        <v>372</v>
      </c>
      <c r="AG54" s="793">
        <v>959</v>
      </c>
      <c r="AH54" s="793">
        <v>66</v>
      </c>
      <c r="AI54" s="793">
        <v>821</v>
      </c>
      <c r="AJ54" s="793">
        <v>826</v>
      </c>
      <c r="AK54" s="26">
        <f>1487+1314+900</f>
        <v>3701</v>
      </c>
      <c r="AL54" s="26">
        <f t="shared" si="8"/>
        <v>12281</v>
      </c>
      <c r="AM54" s="26">
        <f t="shared" si="9"/>
        <v>12602</v>
      </c>
      <c r="AN54" s="1964">
        <f t="shared" si="10"/>
        <v>-4999</v>
      </c>
      <c r="AO54" s="437"/>
      <c r="AQ54" s="958"/>
      <c r="AR54" s="958"/>
    </row>
    <row r="55" spans="1:44" s="1953" customFormat="1" ht="11.45" customHeight="1" x14ac:dyDescent="0.2">
      <c r="A55" s="156" t="s">
        <v>81</v>
      </c>
      <c r="B55" s="1136" t="s">
        <v>549</v>
      </c>
      <c r="C55" s="1964">
        <v>142</v>
      </c>
      <c r="D55" s="26">
        <v>375</v>
      </c>
      <c r="E55" s="26">
        <v>3</v>
      </c>
      <c r="F55" s="26">
        <v>193</v>
      </c>
      <c r="G55" s="26">
        <f>49+179</f>
        <v>228</v>
      </c>
      <c r="H55" s="26">
        <v>6400</v>
      </c>
      <c r="I55" s="26">
        <v>170</v>
      </c>
      <c r="J55" s="26">
        <v>0</v>
      </c>
      <c r="K55" s="26">
        <v>0</v>
      </c>
      <c r="L55" s="26">
        <v>2084</v>
      </c>
      <c r="M55" s="134">
        <f t="shared" si="11"/>
        <v>9595</v>
      </c>
      <c r="N55" s="26">
        <v>101</v>
      </c>
      <c r="O55" s="26">
        <v>572</v>
      </c>
      <c r="P55" s="26">
        <f t="shared" si="7"/>
        <v>673</v>
      </c>
      <c r="Q55" s="26">
        <v>61</v>
      </c>
      <c r="R55" s="26">
        <v>52</v>
      </c>
      <c r="S55" s="26">
        <v>9</v>
      </c>
      <c r="T55" s="26">
        <v>552</v>
      </c>
      <c r="U55" s="26">
        <v>215</v>
      </c>
      <c r="V55" s="1964">
        <v>952</v>
      </c>
      <c r="W55" s="1964">
        <v>293</v>
      </c>
      <c r="X55" s="793">
        <v>344</v>
      </c>
      <c r="Y55" s="793">
        <v>1415</v>
      </c>
      <c r="Z55" s="26">
        <v>623</v>
      </c>
      <c r="AA55" s="793">
        <v>85</v>
      </c>
      <c r="AB55" s="26">
        <v>374</v>
      </c>
      <c r="AC55" s="793">
        <v>182</v>
      </c>
      <c r="AD55" s="793">
        <v>640</v>
      </c>
      <c r="AE55" s="793">
        <v>1230</v>
      </c>
      <c r="AF55" s="793">
        <v>412</v>
      </c>
      <c r="AG55" s="793">
        <v>1204</v>
      </c>
      <c r="AH55" s="793">
        <v>67</v>
      </c>
      <c r="AI55" s="793">
        <v>1031</v>
      </c>
      <c r="AJ55" s="793">
        <v>823</v>
      </c>
      <c r="AK55" s="26">
        <f>2552+1601+910</f>
        <v>5063</v>
      </c>
      <c r="AL55" s="26">
        <f t="shared" si="8"/>
        <v>15627</v>
      </c>
      <c r="AM55" s="26">
        <f t="shared" si="9"/>
        <v>16300</v>
      </c>
      <c r="AN55" s="1964">
        <f t="shared" si="10"/>
        <v>-6705</v>
      </c>
      <c r="AO55" s="437"/>
      <c r="AQ55" s="958"/>
      <c r="AR55" s="958"/>
    </row>
    <row r="56" spans="1:44" s="1953" customFormat="1" ht="11.45" customHeight="1" x14ac:dyDescent="0.2">
      <c r="A56" s="156" t="s">
        <v>81</v>
      </c>
      <c r="B56" s="482" t="s">
        <v>558</v>
      </c>
      <c r="C56" s="1964">
        <v>157</v>
      </c>
      <c r="D56" s="26">
        <v>357</v>
      </c>
      <c r="E56" s="26">
        <v>1</v>
      </c>
      <c r="F56" s="26">
        <v>211</v>
      </c>
      <c r="G56" s="26">
        <f>39+158</f>
        <v>197</v>
      </c>
      <c r="H56" s="26">
        <v>5647</v>
      </c>
      <c r="I56" s="26">
        <v>102</v>
      </c>
      <c r="J56" s="26">
        <v>0</v>
      </c>
      <c r="K56" s="26">
        <v>0</v>
      </c>
      <c r="L56" s="26">
        <v>1907</v>
      </c>
      <c r="M56" s="134">
        <f t="shared" si="11"/>
        <v>8579</v>
      </c>
      <c r="N56" s="26">
        <v>88</v>
      </c>
      <c r="O56" s="26">
        <v>767</v>
      </c>
      <c r="P56" s="26">
        <f t="shared" si="7"/>
        <v>855</v>
      </c>
      <c r="Q56" s="26">
        <v>82</v>
      </c>
      <c r="R56" s="26">
        <v>70</v>
      </c>
      <c r="S56" s="26">
        <v>135</v>
      </c>
      <c r="T56" s="26">
        <v>601</v>
      </c>
      <c r="U56" s="26">
        <v>176</v>
      </c>
      <c r="V56" s="1964">
        <v>357</v>
      </c>
      <c r="W56" s="1964">
        <v>276</v>
      </c>
      <c r="X56" s="793">
        <v>432</v>
      </c>
      <c r="Y56" s="793">
        <v>1307</v>
      </c>
      <c r="Z56" s="26">
        <v>547</v>
      </c>
      <c r="AA56" s="793">
        <v>83</v>
      </c>
      <c r="AB56" s="26">
        <v>70</v>
      </c>
      <c r="AC56" s="793">
        <v>167</v>
      </c>
      <c r="AD56" s="793">
        <v>580</v>
      </c>
      <c r="AE56" s="793">
        <v>1105</v>
      </c>
      <c r="AF56" s="793">
        <v>438</v>
      </c>
      <c r="AG56" s="793">
        <v>1245</v>
      </c>
      <c r="AH56" s="793">
        <v>73</v>
      </c>
      <c r="AI56" s="793">
        <v>976</v>
      </c>
      <c r="AJ56" s="793">
        <v>734</v>
      </c>
      <c r="AK56" s="26">
        <f>2424+1511+1131</f>
        <v>5066</v>
      </c>
      <c r="AL56" s="26">
        <f t="shared" si="8"/>
        <v>14520</v>
      </c>
      <c r="AM56" s="26">
        <f t="shared" si="9"/>
        <v>15375</v>
      </c>
      <c r="AN56" s="1964">
        <f t="shared" si="10"/>
        <v>-6796</v>
      </c>
      <c r="AO56" s="437"/>
      <c r="AQ56" s="958"/>
      <c r="AR56" s="958"/>
    </row>
    <row r="57" spans="1:44" s="1953" customFormat="1" ht="11.45" customHeight="1" x14ac:dyDescent="0.2">
      <c r="A57" s="156" t="s">
        <v>81</v>
      </c>
      <c r="B57" s="1136" t="s">
        <v>559</v>
      </c>
      <c r="C57" s="1964">
        <v>119</v>
      </c>
      <c r="D57" s="1964">
        <v>387</v>
      </c>
      <c r="E57" s="1964">
        <v>1</v>
      </c>
      <c r="F57" s="1964">
        <v>317</v>
      </c>
      <c r="G57" s="1964">
        <f>38+191</f>
        <v>229</v>
      </c>
      <c r="H57" s="1964">
        <v>5611</v>
      </c>
      <c r="I57" s="1964">
        <v>0</v>
      </c>
      <c r="J57" s="1964">
        <v>0</v>
      </c>
      <c r="K57" s="1964">
        <v>0</v>
      </c>
      <c r="L57" s="1966">
        <v>2042</v>
      </c>
      <c r="M57" s="134">
        <f t="shared" si="11"/>
        <v>8706</v>
      </c>
      <c r="N57" s="26">
        <v>104</v>
      </c>
      <c r="O57" s="26">
        <v>372</v>
      </c>
      <c r="P57" s="26">
        <f t="shared" si="7"/>
        <v>476</v>
      </c>
      <c r="Q57" s="26">
        <v>93</v>
      </c>
      <c r="R57" s="26">
        <v>66</v>
      </c>
      <c r="S57" s="26">
        <v>162</v>
      </c>
      <c r="T57" s="26">
        <v>358</v>
      </c>
      <c r="U57" s="26">
        <v>196</v>
      </c>
      <c r="V57" s="1965">
        <v>270</v>
      </c>
      <c r="W57" s="1965">
        <v>252</v>
      </c>
      <c r="X57" s="793">
        <v>0</v>
      </c>
      <c r="Y57" s="793">
        <v>1665</v>
      </c>
      <c r="Z57" s="26">
        <v>615</v>
      </c>
      <c r="AA57" s="793">
        <v>53</v>
      </c>
      <c r="AB57" s="26">
        <v>115</v>
      </c>
      <c r="AC57" s="793">
        <v>155</v>
      </c>
      <c r="AD57" s="793">
        <v>670</v>
      </c>
      <c r="AE57" s="793">
        <v>965</v>
      </c>
      <c r="AF57" s="793">
        <v>487</v>
      </c>
      <c r="AG57" s="793">
        <v>1287</v>
      </c>
      <c r="AH57" s="793">
        <v>91</v>
      </c>
      <c r="AI57" s="793">
        <v>997</v>
      </c>
      <c r="AJ57" s="793">
        <v>1046</v>
      </c>
      <c r="AK57" s="26">
        <f>2135+1488+1098</f>
        <v>4721</v>
      </c>
      <c r="AL57" s="26">
        <f t="shared" si="8"/>
        <v>14264</v>
      </c>
      <c r="AM57" s="26">
        <f t="shared" si="9"/>
        <v>14740</v>
      </c>
      <c r="AN57" s="1964">
        <f t="shared" si="10"/>
        <v>-6034</v>
      </c>
      <c r="AO57" s="437"/>
      <c r="AQ57" s="958"/>
      <c r="AR57" s="958"/>
    </row>
    <row r="58" spans="1:44" s="1953" customFormat="1" ht="11.45" customHeight="1" x14ac:dyDescent="0.2">
      <c r="A58" s="156" t="s">
        <v>81</v>
      </c>
      <c r="B58" s="482" t="s">
        <v>550</v>
      </c>
      <c r="C58" s="1964">
        <v>106</v>
      </c>
      <c r="D58" s="1964">
        <v>366</v>
      </c>
      <c r="E58" s="1964">
        <v>1</v>
      </c>
      <c r="F58" s="1964">
        <v>211</v>
      </c>
      <c r="G58" s="1964">
        <f>38+291</f>
        <v>329</v>
      </c>
      <c r="H58" s="1964">
        <v>6272</v>
      </c>
      <c r="I58" s="1964">
        <v>90</v>
      </c>
      <c r="J58" s="1964">
        <v>0</v>
      </c>
      <c r="K58" s="1964">
        <v>21</v>
      </c>
      <c r="L58" s="1966">
        <v>2289</v>
      </c>
      <c r="M58" s="134">
        <f t="shared" si="11"/>
        <v>9685</v>
      </c>
      <c r="N58" s="26">
        <v>103</v>
      </c>
      <c r="O58" s="26">
        <v>216</v>
      </c>
      <c r="P58" s="26">
        <f t="shared" si="7"/>
        <v>319</v>
      </c>
      <c r="Q58" s="26">
        <v>75</v>
      </c>
      <c r="R58" s="26">
        <v>87</v>
      </c>
      <c r="S58" s="26">
        <v>0</v>
      </c>
      <c r="T58" s="26">
        <v>621</v>
      </c>
      <c r="U58" s="26">
        <v>332</v>
      </c>
      <c r="V58" s="1965">
        <v>107</v>
      </c>
      <c r="W58" s="1965">
        <v>221</v>
      </c>
      <c r="X58" s="793">
        <v>365</v>
      </c>
      <c r="Y58" s="793">
        <v>1374</v>
      </c>
      <c r="Z58" s="26">
        <v>688</v>
      </c>
      <c r="AA58" s="793">
        <v>57</v>
      </c>
      <c r="AB58" s="26">
        <v>117</v>
      </c>
      <c r="AC58" s="793">
        <v>175</v>
      </c>
      <c r="AD58" s="793">
        <v>631</v>
      </c>
      <c r="AE58" s="793">
        <v>1162</v>
      </c>
      <c r="AF58" s="793">
        <v>551</v>
      </c>
      <c r="AG58" s="793">
        <v>1327</v>
      </c>
      <c r="AH58" s="793">
        <v>97</v>
      </c>
      <c r="AI58" s="793">
        <v>1033</v>
      </c>
      <c r="AJ58" s="793">
        <v>1186</v>
      </c>
      <c r="AK58" s="26">
        <f>2196+1633+901</f>
        <v>4730</v>
      </c>
      <c r="AL58" s="26">
        <f t="shared" si="8"/>
        <v>14936</v>
      </c>
      <c r="AM58" s="26">
        <f t="shared" si="9"/>
        <v>15255</v>
      </c>
      <c r="AN58" s="1964">
        <f t="shared" si="10"/>
        <v>-5570</v>
      </c>
      <c r="AO58" s="437"/>
      <c r="AQ58" s="958"/>
      <c r="AR58" s="958"/>
    </row>
    <row r="59" spans="1:44" s="1953" customFormat="1" ht="11.45" customHeight="1" x14ac:dyDescent="0.2">
      <c r="A59" s="156" t="s">
        <v>189</v>
      </c>
      <c r="B59" s="1136" t="s">
        <v>552</v>
      </c>
      <c r="C59" s="1964">
        <v>3</v>
      </c>
      <c r="D59" s="1964">
        <v>352</v>
      </c>
      <c r="E59" s="1964">
        <v>1</v>
      </c>
      <c r="F59" s="1964">
        <v>265</v>
      </c>
      <c r="G59" s="1964">
        <f>43+262</f>
        <v>305</v>
      </c>
      <c r="H59" s="1964">
        <v>6197</v>
      </c>
      <c r="I59" s="1964">
        <v>56</v>
      </c>
      <c r="J59" s="1964">
        <v>0</v>
      </c>
      <c r="K59" s="1964">
        <v>20</v>
      </c>
      <c r="L59" s="1964">
        <v>1673</v>
      </c>
      <c r="M59" s="134">
        <f>7866+1015</f>
        <v>8881</v>
      </c>
      <c r="N59" s="26">
        <v>218</v>
      </c>
      <c r="O59" s="26">
        <v>205</v>
      </c>
      <c r="P59" s="26">
        <f t="shared" si="7"/>
        <v>423</v>
      </c>
      <c r="Q59" s="26">
        <v>53</v>
      </c>
      <c r="R59" s="26">
        <v>89</v>
      </c>
      <c r="S59" s="26">
        <v>25</v>
      </c>
      <c r="T59" s="26">
        <v>679</v>
      </c>
      <c r="U59" s="26">
        <v>393</v>
      </c>
      <c r="V59" s="1965">
        <v>397</v>
      </c>
      <c r="W59" s="1965">
        <v>237</v>
      </c>
      <c r="X59" s="793">
        <v>350</v>
      </c>
      <c r="Y59" s="793">
        <v>1183</v>
      </c>
      <c r="Z59" s="26">
        <v>579</v>
      </c>
      <c r="AA59" s="793">
        <v>79</v>
      </c>
      <c r="AB59" s="26">
        <v>329</v>
      </c>
      <c r="AC59" s="793">
        <v>201</v>
      </c>
      <c r="AD59" s="793">
        <v>656</v>
      </c>
      <c r="AE59" s="793">
        <v>1309</v>
      </c>
      <c r="AF59" s="793">
        <v>590</v>
      </c>
      <c r="AG59" s="793">
        <v>1317</v>
      </c>
      <c r="AH59" s="793">
        <v>49</v>
      </c>
      <c r="AI59" s="793">
        <v>696</v>
      </c>
      <c r="AJ59" s="793">
        <v>911</v>
      </c>
      <c r="AK59" s="26">
        <f>1972+1497+1015</f>
        <v>4484</v>
      </c>
      <c r="AL59" s="26">
        <f t="shared" si="8"/>
        <v>14606</v>
      </c>
      <c r="AM59" s="26">
        <f t="shared" si="9"/>
        <v>15029</v>
      </c>
      <c r="AN59" s="1964">
        <f t="shared" si="10"/>
        <v>-6148</v>
      </c>
      <c r="AO59" s="437"/>
      <c r="AQ59" s="958"/>
      <c r="AR59" s="958"/>
    </row>
    <row r="60" spans="1:44" s="1953" customFormat="1" ht="11.45" customHeight="1" x14ac:dyDescent="0.2">
      <c r="A60" s="156" t="s">
        <v>189</v>
      </c>
      <c r="B60" s="482" t="s">
        <v>112</v>
      </c>
      <c r="C60" s="1964">
        <v>4</v>
      </c>
      <c r="D60" s="1964">
        <v>259</v>
      </c>
      <c r="E60" s="1964">
        <v>1</v>
      </c>
      <c r="F60" s="1964">
        <v>288</v>
      </c>
      <c r="G60" s="1964">
        <f>50+290</f>
        <v>340</v>
      </c>
      <c r="H60" s="1964">
        <v>7094</v>
      </c>
      <c r="I60" s="1964">
        <v>82</v>
      </c>
      <c r="J60" s="1964">
        <v>0</v>
      </c>
      <c r="K60" s="1964">
        <v>59</v>
      </c>
      <c r="L60" s="1964">
        <f>1592+911</f>
        <v>2503</v>
      </c>
      <c r="M60" s="134">
        <f>C60+D60+E60+F60+G60+H60+I60+J60+K60+L60</f>
        <v>10630</v>
      </c>
      <c r="N60" s="26">
        <v>306</v>
      </c>
      <c r="O60" s="26">
        <v>670</v>
      </c>
      <c r="P60" s="26">
        <f t="shared" si="7"/>
        <v>976</v>
      </c>
      <c r="Q60" s="26">
        <v>69</v>
      </c>
      <c r="R60" s="26">
        <v>117</v>
      </c>
      <c r="S60" s="26">
        <v>0</v>
      </c>
      <c r="T60" s="26">
        <v>669</v>
      </c>
      <c r="U60" s="26">
        <v>225</v>
      </c>
      <c r="V60" s="1965">
        <v>415</v>
      </c>
      <c r="W60" s="1965">
        <v>245</v>
      </c>
      <c r="X60" s="793">
        <v>132</v>
      </c>
      <c r="Y60" s="793">
        <v>1139</v>
      </c>
      <c r="Z60" s="26">
        <v>716</v>
      </c>
      <c r="AA60" s="793">
        <v>43</v>
      </c>
      <c r="AB60" s="26">
        <v>632</v>
      </c>
      <c r="AC60" s="793">
        <v>177</v>
      </c>
      <c r="AD60" s="793">
        <v>675</v>
      </c>
      <c r="AE60" s="793">
        <v>1169</v>
      </c>
      <c r="AF60" s="793">
        <v>660</v>
      </c>
      <c r="AG60" s="793">
        <v>1557</v>
      </c>
      <c r="AH60" s="793">
        <v>91</v>
      </c>
      <c r="AI60" s="793">
        <v>1088</v>
      </c>
      <c r="AJ60" s="793">
        <v>1177</v>
      </c>
      <c r="AK60" s="26">
        <f>2193+1790+913</f>
        <v>4896</v>
      </c>
      <c r="AL60" s="26">
        <f t="shared" si="8"/>
        <v>15892</v>
      </c>
      <c r="AM60" s="26">
        <f t="shared" si="9"/>
        <v>16868</v>
      </c>
      <c r="AN60" s="1964">
        <f t="shared" si="10"/>
        <v>-6238</v>
      </c>
      <c r="AO60" s="437"/>
      <c r="AQ60" s="958"/>
      <c r="AR60" s="958"/>
    </row>
    <row r="61" spans="1:44" s="1953" customFormat="1" ht="11.45" customHeight="1" x14ac:dyDescent="0.2">
      <c r="A61" s="156" t="s">
        <v>189</v>
      </c>
      <c r="B61" s="1136" t="s">
        <v>547</v>
      </c>
      <c r="C61" s="1964">
        <v>110</v>
      </c>
      <c r="D61" s="1964">
        <v>294</v>
      </c>
      <c r="E61" s="1964">
        <v>0</v>
      </c>
      <c r="F61" s="1964">
        <v>248</v>
      </c>
      <c r="G61" s="1964">
        <f>48+268</f>
        <v>316</v>
      </c>
      <c r="H61" s="1964">
        <v>6522</v>
      </c>
      <c r="I61" s="1964">
        <v>81</v>
      </c>
      <c r="J61" s="1964">
        <v>0</v>
      </c>
      <c r="K61" s="1964">
        <v>40</v>
      </c>
      <c r="L61" s="1964">
        <v>1906</v>
      </c>
      <c r="M61" s="134">
        <f>C61+D61+E61+F61+G61+H61+I61+J61+K61+L61</f>
        <v>9517</v>
      </c>
      <c r="N61" s="26">
        <v>350</v>
      </c>
      <c r="O61" s="26">
        <v>506</v>
      </c>
      <c r="P61" s="26">
        <f t="shared" si="7"/>
        <v>856</v>
      </c>
      <c r="Q61" s="26">
        <v>51</v>
      </c>
      <c r="R61" s="26">
        <v>86</v>
      </c>
      <c r="S61" s="26">
        <v>47</v>
      </c>
      <c r="T61" s="26">
        <v>134</v>
      </c>
      <c r="U61" s="26">
        <v>125</v>
      </c>
      <c r="V61" s="1965">
        <v>364</v>
      </c>
      <c r="W61" s="1965">
        <v>184</v>
      </c>
      <c r="X61" s="793">
        <v>738</v>
      </c>
      <c r="Y61" s="793">
        <v>1456</v>
      </c>
      <c r="Z61" s="26">
        <v>714</v>
      </c>
      <c r="AA61" s="793">
        <v>69</v>
      </c>
      <c r="AB61" s="26">
        <v>485</v>
      </c>
      <c r="AC61" s="793">
        <v>192</v>
      </c>
      <c r="AD61" s="793">
        <v>735</v>
      </c>
      <c r="AE61" s="793">
        <v>1314</v>
      </c>
      <c r="AF61" s="793">
        <v>688</v>
      </c>
      <c r="AG61" s="793">
        <v>1491</v>
      </c>
      <c r="AH61" s="793">
        <v>84</v>
      </c>
      <c r="AI61" s="793">
        <v>1041</v>
      </c>
      <c r="AJ61" s="793">
        <v>1503</v>
      </c>
      <c r="AK61" s="26">
        <f>2017+1524+1029</f>
        <v>4570</v>
      </c>
      <c r="AL61" s="26">
        <f t="shared" si="8"/>
        <v>16071</v>
      </c>
      <c r="AM61" s="26">
        <f t="shared" si="9"/>
        <v>16927</v>
      </c>
      <c r="AN61" s="1966">
        <f t="shared" si="10"/>
        <v>-7410</v>
      </c>
      <c r="AO61" s="437"/>
      <c r="AQ61" s="958"/>
      <c r="AR61" s="958"/>
    </row>
    <row r="62" spans="1:44" s="1953" customFormat="1" ht="11.45" customHeight="1" x14ac:dyDescent="0.2">
      <c r="A62" s="156" t="s">
        <v>189</v>
      </c>
      <c r="B62" s="482" t="s">
        <v>554</v>
      </c>
      <c r="C62" s="1964">
        <v>129</v>
      </c>
      <c r="D62" s="1964">
        <v>330</v>
      </c>
      <c r="E62" s="1964">
        <v>1</v>
      </c>
      <c r="F62" s="1964">
        <v>258</v>
      </c>
      <c r="G62" s="1964">
        <f>62+354</f>
        <v>416</v>
      </c>
      <c r="H62" s="1964">
        <v>7103</v>
      </c>
      <c r="I62" s="1964">
        <v>0</v>
      </c>
      <c r="J62" s="1964">
        <v>0</v>
      </c>
      <c r="K62" s="1964">
        <v>0</v>
      </c>
      <c r="L62" s="1964">
        <v>2318</v>
      </c>
      <c r="M62" s="134">
        <f>C62+D62+E62+F62+G62+H62+I62+J62+K62+L62</f>
        <v>10555</v>
      </c>
      <c r="N62" s="26">
        <v>609</v>
      </c>
      <c r="O62" s="26">
        <v>308</v>
      </c>
      <c r="P62" s="26">
        <f t="shared" si="7"/>
        <v>917</v>
      </c>
      <c r="Q62" s="26">
        <v>70</v>
      </c>
      <c r="R62" s="26">
        <v>96</v>
      </c>
      <c r="S62" s="26">
        <v>254</v>
      </c>
      <c r="T62" s="26">
        <v>785</v>
      </c>
      <c r="U62" s="26">
        <v>220</v>
      </c>
      <c r="V62" s="1965">
        <v>250</v>
      </c>
      <c r="W62" s="1965">
        <v>252</v>
      </c>
      <c r="X62" s="793">
        <v>419</v>
      </c>
      <c r="Y62" s="793">
        <v>1126</v>
      </c>
      <c r="Z62" s="26">
        <v>797</v>
      </c>
      <c r="AA62" s="793">
        <v>105</v>
      </c>
      <c r="AB62" s="26">
        <v>741</v>
      </c>
      <c r="AC62" s="793">
        <v>198</v>
      </c>
      <c r="AD62" s="793">
        <v>697</v>
      </c>
      <c r="AE62" s="793">
        <v>1265</v>
      </c>
      <c r="AF62" s="793">
        <v>732</v>
      </c>
      <c r="AG62" s="793">
        <v>1607</v>
      </c>
      <c r="AH62" s="793">
        <v>118</v>
      </c>
      <c r="AI62" s="793">
        <v>1319</v>
      </c>
      <c r="AJ62" s="793">
        <v>1197</v>
      </c>
      <c r="AK62" s="26">
        <f>2159+1536+997</f>
        <v>4692</v>
      </c>
      <c r="AL62" s="26">
        <f t="shared" si="8"/>
        <v>16940</v>
      </c>
      <c r="AM62" s="26">
        <f t="shared" si="9"/>
        <v>17857</v>
      </c>
      <c r="AN62" s="1966">
        <f t="shared" si="10"/>
        <v>-7302</v>
      </c>
      <c r="AO62" s="437"/>
      <c r="AQ62" s="958"/>
      <c r="AR62" s="958"/>
    </row>
    <row r="63" spans="1:44" s="1953" customFormat="1" ht="11.45" customHeight="1" x14ac:dyDescent="0.2">
      <c r="A63" s="156" t="s">
        <v>189</v>
      </c>
      <c r="B63" s="1136" t="s">
        <v>555</v>
      </c>
      <c r="C63" s="1964">
        <v>158</v>
      </c>
      <c r="D63" s="1964">
        <v>412</v>
      </c>
      <c r="E63" s="1964">
        <v>2</v>
      </c>
      <c r="F63" s="1964">
        <v>261</v>
      </c>
      <c r="G63" s="1964">
        <f>63+300</f>
        <v>363</v>
      </c>
      <c r="H63" s="1964">
        <v>6555</v>
      </c>
      <c r="I63" s="1964">
        <v>63</v>
      </c>
      <c r="J63" s="1964">
        <v>0</v>
      </c>
      <c r="K63" s="1964">
        <v>0</v>
      </c>
      <c r="L63" s="1964">
        <f>1041+1194</f>
        <v>2235</v>
      </c>
      <c r="M63" s="134">
        <f>C63+D63+E63+F63+G63+H63+I63+J63+K63+L63</f>
        <v>10049</v>
      </c>
      <c r="N63" s="26">
        <v>387</v>
      </c>
      <c r="O63" s="26">
        <v>835</v>
      </c>
      <c r="P63" s="26">
        <f t="shared" si="7"/>
        <v>1222</v>
      </c>
      <c r="Q63" s="26">
        <v>59</v>
      </c>
      <c r="R63" s="26">
        <v>78</v>
      </c>
      <c r="S63" s="26">
        <v>13</v>
      </c>
      <c r="T63" s="26">
        <v>913</v>
      </c>
      <c r="U63" s="26">
        <v>109</v>
      </c>
      <c r="V63" s="1965">
        <v>86</v>
      </c>
      <c r="W63" s="1965">
        <v>233</v>
      </c>
      <c r="X63" s="793">
        <v>419</v>
      </c>
      <c r="Y63" s="793">
        <v>1472</v>
      </c>
      <c r="Z63" s="26">
        <v>676</v>
      </c>
      <c r="AA63" s="793">
        <v>87</v>
      </c>
      <c r="AB63" s="26">
        <v>877</v>
      </c>
      <c r="AC63" s="793">
        <v>179</v>
      </c>
      <c r="AD63" s="793">
        <v>771</v>
      </c>
      <c r="AE63" s="793">
        <v>1797</v>
      </c>
      <c r="AF63" s="793">
        <v>690</v>
      </c>
      <c r="AG63" s="793">
        <v>1290</v>
      </c>
      <c r="AH63" s="793">
        <v>85</v>
      </c>
      <c r="AI63" s="793">
        <v>1131</v>
      </c>
      <c r="AJ63" s="793">
        <v>970</v>
      </c>
      <c r="AK63" s="26">
        <f>2896+1871+1079</f>
        <v>5846</v>
      </c>
      <c r="AL63" s="26">
        <f t="shared" si="8"/>
        <v>17781</v>
      </c>
      <c r="AM63" s="26">
        <f t="shared" si="9"/>
        <v>19003</v>
      </c>
      <c r="AN63" s="1966">
        <f t="shared" si="10"/>
        <v>-8954</v>
      </c>
      <c r="AO63" s="437"/>
      <c r="AQ63" s="958"/>
      <c r="AR63" s="958"/>
    </row>
    <row r="64" spans="1:44" s="1953" customFormat="1" ht="11.45" customHeight="1" x14ac:dyDescent="0.2">
      <c r="A64" s="156" t="s">
        <v>189</v>
      </c>
      <c r="B64" s="482" t="s">
        <v>548</v>
      </c>
      <c r="C64" s="1964">
        <v>271</v>
      </c>
      <c r="D64" s="1964">
        <v>552</v>
      </c>
      <c r="E64" s="1964">
        <v>2</v>
      </c>
      <c r="F64" s="1964">
        <v>233</v>
      </c>
      <c r="G64" s="1964">
        <f>81+292</f>
        <v>373</v>
      </c>
      <c r="H64" s="1964">
        <v>7903</v>
      </c>
      <c r="I64" s="1964">
        <v>113</v>
      </c>
      <c r="J64" s="1964">
        <v>0</v>
      </c>
      <c r="K64" s="1964">
        <v>0</v>
      </c>
      <c r="L64" s="1964">
        <f t="shared" ref="L64:L70" si="12">M64-SUM(C64:K64)</f>
        <v>2830.76836</v>
      </c>
      <c r="M64" s="134">
        <f>10648+23.078*70.62</f>
        <v>12277.76836</v>
      </c>
      <c r="N64" s="26">
        <v>129</v>
      </c>
      <c r="O64" s="26">
        <v>796</v>
      </c>
      <c r="P64" s="26">
        <f t="shared" si="7"/>
        <v>925</v>
      </c>
      <c r="Q64" s="26">
        <v>120</v>
      </c>
      <c r="R64" s="26">
        <v>60</v>
      </c>
      <c r="S64" s="26">
        <v>22</v>
      </c>
      <c r="T64" s="26">
        <v>845</v>
      </c>
      <c r="U64" s="26">
        <v>85</v>
      </c>
      <c r="V64" s="1965">
        <v>390</v>
      </c>
      <c r="W64" s="1965">
        <v>227</v>
      </c>
      <c r="X64" s="793">
        <v>462</v>
      </c>
      <c r="Y64" s="793">
        <v>1759</v>
      </c>
      <c r="Z64" s="26">
        <v>723</v>
      </c>
      <c r="AA64" s="793">
        <v>86</v>
      </c>
      <c r="AB64" s="26">
        <v>1346</v>
      </c>
      <c r="AC64" s="793">
        <v>207</v>
      </c>
      <c r="AD64" s="793">
        <v>801</v>
      </c>
      <c r="AE64" s="793">
        <v>2297</v>
      </c>
      <c r="AF64" s="793">
        <v>783</v>
      </c>
      <c r="AG64" s="793">
        <v>1424</v>
      </c>
      <c r="AH64" s="793">
        <v>124</v>
      </c>
      <c r="AI64" s="793">
        <v>1298</v>
      </c>
      <c r="AJ64" s="793">
        <v>1536</v>
      </c>
      <c r="AK64" s="26">
        <f>2718+1563+1253</f>
        <v>5534</v>
      </c>
      <c r="AL64" s="26">
        <f t="shared" si="8"/>
        <v>20129</v>
      </c>
      <c r="AM64" s="26">
        <f t="shared" si="9"/>
        <v>21054</v>
      </c>
      <c r="AN64" s="1966">
        <f t="shared" si="10"/>
        <v>-8776.23164</v>
      </c>
      <c r="AO64" s="437"/>
      <c r="AQ64" s="958"/>
      <c r="AR64" s="958"/>
    </row>
    <row r="65" spans="1:44" s="1953" customFormat="1" ht="11.45" customHeight="1" x14ac:dyDescent="0.2">
      <c r="A65" s="156" t="s">
        <v>189</v>
      </c>
      <c r="B65" s="1136" t="s">
        <v>556</v>
      </c>
      <c r="C65" s="1964">
        <v>259</v>
      </c>
      <c r="D65" s="1964">
        <v>444</v>
      </c>
      <c r="E65" s="1964">
        <v>1</v>
      </c>
      <c r="F65" s="1964">
        <v>266</v>
      </c>
      <c r="G65" s="1964">
        <f>98+340</f>
        <v>438</v>
      </c>
      <c r="H65" s="1964">
        <v>8213</v>
      </c>
      <c r="I65" s="1964">
        <v>0</v>
      </c>
      <c r="J65" s="1964">
        <v>0</v>
      </c>
      <c r="K65" s="1964">
        <v>0</v>
      </c>
      <c r="L65" s="1964">
        <f t="shared" si="12"/>
        <v>2828.8390400000008</v>
      </c>
      <c r="M65" s="134">
        <f>10775+23.576*71.04</f>
        <v>12449.839040000001</v>
      </c>
      <c r="N65" s="26">
        <v>157</v>
      </c>
      <c r="O65" s="26">
        <v>420</v>
      </c>
      <c r="P65" s="26">
        <f t="shared" si="7"/>
        <v>577</v>
      </c>
      <c r="Q65" s="26">
        <v>117</v>
      </c>
      <c r="R65" s="26">
        <v>55</v>
      </c>
      <c r="S65" s="26">
        <v>86</v>
      </c>
      <c r="T65" s="26">
        <v>350</v>
      </c>
      <c r="U65" s="26">
        <v>169</v>
      </c>
      <c r="V65" s="1965">
        <v>355</v>
      </c>
      <c r="W65" s="1965">
        <v>234</v>
      </c>
      <c r="X65" s="793">
        <v>319</v>
      </c>
      <c r="Y65" s="793">
        <v>1969</v>
      </c>
      <c r="Z65" s="26">
        <v>730</v>
      </c>
      <c r="AA65" s="793">
        <v>55</v>
      </c>
      <c r="AB65" s="26">
        <v>1824</v>
      </c>
      <c r="AC65" s="793">
        <v>181</v>
      </c>
      <c r="AD65" s="793">
        <v>756</v>
      </c>
      <c r="AE65" s="793">
        <v>2553</v>
      </c>
      <c r="AF65" s="793">
        <v>937</v>
      </c>
      <c r="AG65" s="793">
        <v>1728</v>
      </c>
      <c r="AH65" s="793">
        <v>123</v>
      </c>
      <c r="AI65" s="793">
        <v>1139</v>
      </c>
      <c r="AJ65" s="793">
        <v>1411</v>
      </c>
      <c r="AK65" s="26">
        <f>2630+1910+1440</f>
        <v>5980</v>
      </c>
      <c r="AL65" s="26">
        <f t="shared" si="8"/>
        <v>21071</v>
      </c>
      <c r="AM65" s="26">
        <f t="shared" si="9"/>
        <v>21648</v>
      </c>
      <c r="AN65" s="1966">
        <f t="shared" si="10"/>
        <v>-9198.1609599999992</v>
      </c>
      <c r="AO65" s="437"/>
      <c r="AQ65" s="958"/>
      <c r="AR65" s="958"/>
    </row>
    <row r="66" spans="1:44" s="1953" customFormat="1" ht="11.45" customHeight="1" x14ac:dyDescent="0.2">
      <c r="A66" s="156" t="s">
        <v>189</v>
      </c>
      <c r="B66" s="482" t="s">
        <v>557</v>
      </c>
      <c r="C66" s="1964">
        <v>203</v>
      </c>
      <c r="D66" s="1964">
        <v>412</v>
      </c>
      <c r="E66" s="1964">
        <v>1</v>
      </c>
      <c r="F66" s="1964">
        <v>254</v>
      </c>
      <c r="G66" s="1964">
        <f>98+232</f>
        <v>330</v>
      </c>
      <c r="H66" s="1964">
        <v>7488</v>
      </c>
      <c r="I66" s="1964">
        <v>0</v>
      </c>
      <c r="J66" s="1964">
        <v>0</v>
      </c>
      <c r="K66" s="1964">
        <v>0</v>
      </c>
      <c r="L66" s="1964">
        <f t="shared" si="12"/>
        <v>2502.1971570000005</v>
      </c>
      <c r="M66" s="134">
        <f>9709+20.8121*71.17</f>
        <v>11190.197157000001</v>
      </c>
      <c r="N66" s="26">
        <v>964</v>
      </c>
      <c r="O66" s="26">
        <v>453</v>
      </c>
      <c r="P66" s="26">
        <f t="shared" si="7"/>
        <v>1417</v>
      </c>
      <c r="Q66" s="26">
        <v>131</v>
      </c>
      <c r="R66" s="26">
        <v>66</v>
      </c>
      <c r="S66" s="26">
        <v>11</v>
      </c>
      <c r="T66" s="26">
        <v>534</v>
      </c>
      <c r="U66" s="26">
        <v>53</v>
      </c>
      <c r="V66" s="1965">
        <v>241</v>
      </c>
      <c r="W66" s="1965">
        <v>228</v>
      </c>
      <c r="X66" s="793">
        <v>1001</v>
      </c>
      <c r="Y66" s="793">
        <v>1513</v>
      </c>
      <c r="Z66" s="26">
        <v>726</v>
      </c>
      <c r="AA66" s="793">
        <v>46</v>
      </c>
      <c r="AB66" s="26">
        <v>621</v>
      </c>
      <c r="AC66" s="793">
        <v>177</v>
      </c>
      <c r="AD66" s="793">
        <v>769</v>
      </c>
      <c r="AE66" s="793">
        <v>1926</v>
      </c>
      <c r="AF66" s="793">
        <v>779</v>
      </c>
      <c r="AG66" s="793">
        <v>1461</v>
      </c>
      <c r="AH66" s="793">
        <v>85</v>
      </c>
      <c r="AI66" s="793">
        <v>1240</v>
      </c>
      <c r="AJ66" s="793">
        <v>1183</v>
      </c>
      <c r="AK66" s="26">
        <f>2154+1917+1309</f>
        <v>5380</v>
      </c>
      <c r="AL66" s="26">
        <f t="shared" si="8"/>
        <v>18171</v>
      </c>
      <c r="AM66" s="26">
        <f t="shared" si="9"/>
        <v>19588</v>
      </c>
      <c r="AN66" s="1966">
        <f t="shared" si="10"/>
        <v>-8397.8028429999995</v>
      </c>
      <c r="AO66" s="437"/>
      <c r="AQ66" s="958"/>
      <c r="AR66" s="958"/>
    </row>
    <row r="67" spans="1:44" s="1953" customFormat="1" ht="11.45" customHeight="1" x14ac:dyDescent="0.2">
      <c r="A67" s="156" t="s">
        <v>189</v>
      </c>
      <c r="B67" s="1136" t="s">
        <v>549</v>
      </c>
      <c r="C67" s="1964">
        <v>207</v>
      </c>
      <c r="D67" s="1964">
        <v>480</v>
      </c>
      <c r="E67" s="1964">
        <v>3</v>
      </c>
      <c r="F67" s="1964">
        <v>321</v>
      </c>
      <c r="G67" s="1964">
        <f>81+241</f>
        <v>322</v>
      </c>
      <c r="H67" s="1964">
        <v>9472</v>
      </c>
      <c r="I67" s="1964">
        <v>194</v>
      </c>
      <c r="J67" s="1964">
        <v>0</v>
      </c>
      <c r="K67" s="1964">
        <v>1</v>
      </c>
      <c r="L67" s="1964">
        <f t="shared" si="12"/>
        <v>3231.2243400000007</v>
      </c>
      <c r="M67" s="134">
        <f>12300+26.8412*71.95</f>
        <v>14231.224340000001</v>
      </c>
      <c r="N67" s="26">
        <v>852</v>
      </c>
      <c r="O67" s="26">
        <v>1030</v>
      </c>
      <c r="P67" s="26">
        <f t="shared" si="7"/>
        <v>1882</v>
      </c>
      <c r="Q67" s="26">
        <v>139</v>
      </c>
      <c r="R67" s="26">
        <v>69</v>
      </c>
      <c r="S67" s="26">
        <v>20</v>
      </c>
      <c r="T67" s="26">
        <v>573</v>
      </c>
      <c r="U67" s="26">
        <v>247</v>
      </c>
      <c r="V67" s="1965">
        <v>632</v>
      </c>
      <c r="W67" s="1965">
        <v>412</v>
      </c>
      <c r="X67" s="793">
        <v>0</v>
      </c>
      <c r="Y67" s="793">
        <v>2741</v>
      </c>
      <c r="Z67" s="26">
        <v>914</v>
      </c>
      <c r="AA67" s="793">
        <v>47</v>
      </c>
      <c r="AB67" s="26">
        <v>242</v>
      </c>
      <c r="AC67" s="793">
        <v>235</v>
      </c>
      <c r="AD67" s="793">
        <v>972</v>
      </c>
      <c r="AE67" s="793">
        <v>1947</v>
      </c>
      <c r="AF67" s="793">
        <v>1005</v>
      </c>
      <c r="AG67" s="793">
        <v>1841</v>
      </c>
      <c r="AH67" s="793">
        <v>172</v>
      </c>
      <c r="AI67" s="793">
        <v>1120</v>
      </c>
      <c r="AJ67" s="793">
        <v>1406</v>
      </c>
      <c r="AK67" s="26">
        <f>2748+1832+1727</f>
        <v>6307</v>
      </c>
      <c r="AL67" s="26">
        <f t="shared" si="8"/>
        <v>21041</v>
      </c>
      <c r="AM67" s="26">
        <f t="shared" si="9"/>
        <v>22923</v>
      </c>
      <c r="AN67" s="1966">
        <f t="shared" si="10"/>
        <v>-8691.7756599999993</v>
      </c>
      <c r="AO67" s="437"/>
      <c r="AQ67" s="958"/>
      <c r="AR67" s="958"/>
    </row>
    <row r="68" spans="1:44" s="1953" customFormat="1" ht="11.45" customHeight="1" x14ac:dyDescent="0.2">
      <c r="A68" s="156" t="s">
        <v>189</v>
      </c>
      <c r="B68" s="482" t="s">
        <v>558</v>
      </c>
      <c r="C68" s="1964">
        <v>174</v>
      </c>
      <c r="D68" s="1964">
        <v>413</v>
      </c>
      <c r="E68" s="1964">
        <v>2</v>
      </c>
      <c r="F68" s="1964">
        <v>326</v>
      </c>
      <c r="G68" s="1964">
        <f>84+183</f>
        <v>267</v>
      </c>
      <c r="H68" s="1964">
        <v>9052</v>
      </c>
      <c r="I68" s="1964">
        <v>128</v>
      </c>
      <c r="J68" s="1964">
        <v>0</v>
      </c>
      <c r="K68" s="1964">
        <v>0</v>
      </c>
      <c r="L68" s="1964">
        <f t="shared" si="12"/>
        <v>3220.1002779999999</v>
      </c>
      <c r="M68" s="134">
        <f>11670+26.2579*72.82</f>
        <v>13582.100278</v>
      </c>
      <c r="N68" s="26">
        <v>644</v>
      </c>
      <c r="O68" s="26">
        <v>1248</v>
      </c>
      <c r="P68" s="26">
        <f t="shared" si="7"/>
        <v>1892</v>
      </c>
      <c r="Q68" s="26">
        <v>114</v>
      </c>
      <c r="R68" s="26">
        <v>55</v>
      </c>
      <c r="S68" s="26">
        <v>4</v>
      </c>
      <c r="T68" s="26">
        <v>685</v>
      </c>
      <c r="U68" s="26">
        <v>146</v>
      </c>
      <c r="V68" s="1965">
        <v>571</v>
      </c>
      <c r="W68" s="1965">
        <v>310</v>
      </c>
      <c r="X68" s="793">
        <v>1196</v>
      </c>
      <c r="Y68" s="793">
        <v>3254</v>
      </c>
      <c r="Z68" s="26">
        <v>668</v>
      </c>
      <c r="AA68" s="793">
        <v>44</v>
      </c>
      <c r="AB68" s="26">
        <v>608</v>
      </c>
      <c r="AC68" s="793">
        <v>205</v>
      </c>
      <c r="AD68" s="793">
        <v>864</v>
      </c>
      <c r="AE68" s="793">
        <v>1149</v>
      </c>
      <c r="AF68" s="793">
        <v>938</v>
      </c>
      <c r="AG68" s="793">
        <v>1637</v>
      </c>
      <c r="AH68" s="793">
        <v>126</v>
      </c>
      <c r="AI68" s="793">
        <v>1389</v>
      </c>
      <c r="AJ68" s="793">
        <v>1376</v>
      </c>
      <c r="AK68" s="26">
        <f>3010+1646+1629</f>
        <v>6285</v>
      </c>
      <c r="AL68" s="26">
        <f t="shared" si="8"/>
        <v>21624</v>
      </c>
      <c r="AM68" s="26">
        <f t="shared" si="9"/>
        <v>23516</v>
      </c>
      <c r="AN68" s="1966">
        <f t="shared" si="10"/>
        <v>-9933.8997220000001</v>
      </c>
      <c r="AO68" s="437"/>
      <c r="AQ68" s="958"/>
      <c r="AR68" s="958"/>
    </row>
    <row r="69" spans="1:44" s="1953" customFormat="1" ht="11.45" customHeight="1" x14ac:dyDescent="0.2">
      <c r="A69" s="156" t="s">
        <v>189</v>
      </c>
      <c r="B69" s="1136" t="s">
        <v>559</v>
      </c>
      <c r="C69" s="1964">
        <v>153</v>
      </c>
      <c r="D69" s="1964">
        <v>393</v>
      </c>
      <c r="E69" s="1964">
        <v>4</v>
      </c>
      <c r="F69" s="1964">
        <v>342</v>
      </c>
      <c r="G69" s="1964">
        <f>88+231</f>
        <v>319</v>
      </c>
      <c r="H69" s="1964">
        <v>10188</v>
      </c>
      <c r="I69" s="1964">
        <v>0</v>
      </c>
      <c r="J69" s="1964">
        <v>0</v>
      </c>
      <c r="K69" s="1964">
        <v>0</v>
      </c>
      <c r="L69" s="1964">
        <f t="shared" si="12"/>
        <v>3383.8171499999989</v>
      </c>
      <c r="M69" s="134">
        <f>12698+28.485*73.19</f>
        <v>14782.817149999999</v>
      </c>
      <c r="N69" s="26">
        <v>470</v>
      </c>
      <c r="O69" s="26">
        <v>849</v>
      </c>
      <c r="P69" s="26">
        <f t="shared" si="7"/>
        <v>1319</v>
      </c>
      <c r="Q69" s="26">
        <v>75</v>
      </c>
      <c r="R69" s="26">
        <v>68</v>
      </c>
      <c r="S69" s="26">
        <v>156</v>
      </c>
      <c r="T69" s="26">
        <v>551</v>
      </c>
      <c r="U69" s="26">
        <v>231</v>
      </c>
      <c r="V69" s="1965">
        <v>672</v>
      </c>
      <c r="W69" s="1965">
        <v>252</v>
      </c>
      <c r="X69" s="793">
        <v>672</v>
      </c>
      <c r="Y69" s="793">
        <v>3638</v>
      </c>
      <c r="Z69" s="26">
        <v>784</v>
      </c>
      <c r="AA69" s="793">
        <v>72</v>
      </c>
      <c r="AB69" s="26">
        <v>616</v>
      </c>
      <c r="AC69" s="793">
        <v>215</v>
      </c>
      <c r="AD69" s="793">
        <v>868</v>
      </c>
      <c r="AE69" s="793">
        <v>1487</v>
      </c>
      <c r="AF69" s="793">
        <v>1090</v>
      </c>
      <c r="AG69" s="793">
        <v>1883</v>
      </c>
      <c r="AH69" s="793">
        <v>111</v>
      </c>
      <c r="AI69" s="793">
        <v>1140</v>
      </c>
      <c r="AJ69" s="793">
        <v>1777</v>
      </c>
      <c r="AK69" s="26">
        <f>2912+1875+1629</f>
        <v>6416</v>
      </c>
      <c r="AL69" s="26">
        <f t="shared" si="8"/>
        <v>22774</v>
      </c>
      <c r="AM69" s="26">
        <f t="shared" si="9"/>
        <v>24093</v>
      </c>
      <c r="AN69" s="1966">
        <f t="shared" si="10"/>
        <v>-9310.1828500000011</v>
      </c>
      <c r="AO69" s="437"/>
      <c r="AQ69" s="958"/>
      <c r="AR69" s="958"/>
    </row>
    <row r="70" spans="1:44" s="1953" customFormat="1" ht="11.45" customHeight="1" x14ac:dyDescent="0.2">
      <c r="A70" s="156" t="s">
        <v>189</v>
      </c>
      <c r="B70" s="482" t="s">
        <v>550</v>
      </c>
      <c r="C70" s="1967">
        <v>217</v>
      </c>
      <c r="D70" s="1967">
        <v>409</v>
      </c>
      <c r="E70" s="1967">
        <v>1</v>
      </c>
      <c r="F70" s="1967">
        <v>303</v>
      </c>
      <c r="G70" s="1967">
        <f>92+268</f>
        <v>360</v>
      </c>
      <c r="H70" s="1967">
        <v>10924</v>
      </c>
      <c r="I70" s="1967">
        <v>134</v>
      </c>
      <c r="J70" s="1967">
        <v>0</v>
      </c>
      <c r="K70" s="1967">
        <v>62</v>
      </c>
      <c r="L70" s="1967">
        <f t="shared" si="12"/>
        <v>3875.5981840000004</v>
      </c>
      <c r="M70" s="1968">
        <f>13826+33.2918*73.88</f>
        <v>16285.598184</v>
      </c>
      <c r="N70" s="1969">
        <v>856</v>
      </c>
      <c r="O70" s="1969">
        <v>400</v>
      </c>
      <c r="P70" s="1969">
        <f t="shared" si="7"/>
        <v>1256</v>
      </c>
      <c r="Q70" s="1969">
        <v>155</v>
      </c>
      <c r="R70" s="1969">
        <v>60</v>
      </c>
      <c r="S70" s="1969">
        <v>97</v>
      </c>
      <c r="T70" s="1969">
        <v>881</v>
      </c>
      <c r="U70" s="1969">
        <v>69</v>
      </c>
      <c r="V70" s="1970">
        <v>294</v>
      </c>
      <c r="W70" s="1970">
        <v>368</v>
      </c>
      <c r="X70" s="1971">
        <v>642</v>
      </c>
      <c r="Y70" s="1971">
        <v>1810</v>
      </c>
      <c r="Z70" s="1969">
        <v>910</v>
      </c>
      <c r="AA70" s="1971">
        <v>91</v>
      </c>
      <c r="AB70" s="1969">
        <v>495</v>
      </c>
      <c r="AC70" s="1971">
        <v>199</v>
      </c>
      <c r="AD70" s="1971">
        <v>713</v>
      </c>
      <c r="AE70" s="1971">
        <v>912</v>
      </c>
      <c r="AF70" s="1971">
        <v>1035</v>
      </c>
      <c r="AG70" s="1971">
        <v>1855</v>
      </c>
      <c r="AH70" s="1971">
        <v>116</v>
      </c>
      <c r="AI70" s="1971">
        <v>1686</v>
      </c>
      <c r="AJ70" s="1971">
        <v>2079</v>
      </c>
      <c r="AK70" s="1969">
        <f>2875+1650+1255</f>
        <v>5780</v>
      </c>
      <c r="AL70" s="1969">
        <f t="shared" si="8"/>
        <v>20247</v>
      </c>
      <c r="AM70" s="1969">
        <f t="shared" si="9"/>
        <v>21503</v>
      </c>
      <c r="AN70" s="1972">
        <f t="shared" si="10"/>
        <v>-5217.4018159999996</v>
      </c>
      <c r="AO70" s="437"/>
      <c r="AQ70" s="958"/>
      <c r="AR70" s="958"/>
    </row>
    <row r="71" spans="1:44" s="1953" customFormat="1" ht="11.45" customHeight="1" x14ac:dyDescent="0.2">
      <c r="A71" s="156" t="s">
        <v>696</v>
      </c>
      <c r="B71" s="1136" t="s">
        <v>552</v>
      </c>
      <c r="C71" s="1961">
        <v>201</v>
      </c>
      <c r="D71" s="1961">
        <v>424</v>
      </c>
      <c r="E71" s="1961">
        <v>1</v>
      </c>
      <c r="F71" s="1961">
        <v>307</v>
      </c>
      <c r="G71" s="1961">
        <f>93+340</f>
        <v>433</v>
      </c>
      <c r="H71" s="1961">
        <v>10449</v>
      </c>
      <c r="I71" s="1961">
        <v>121</v>
      </c>
      <c r="J71" s="1961">
        <v>0</v>
      </c>
      <c r="K71" s="1961">
        <v>0</v>
      </c>
      <c r="L71" s="1961">
        <f t="shared" ref="L71:L94" si="13">M71-SUM(C71:K71)</f>
        <v>3580.1835200000005</v>
      </c>
      <c r="M71" s="282">
        <f>13172+31.474*74.48</f>
        <v>15516.18352</v>
      </c>
      <c r="N71" s="282">
        <v>779</v>
      </c>
      <c r="O71" s="282">
        <v>375</v>
      </c>
      <c r="P71" s="282">
        <f t="shared" si="7"/>
        <v>1154</v>
      </c>
      <c r="Q71" s="282">
        <v>130</v>
      </c>
      <c r="R71" s="282">
        <v>81</v>
      </c>
      <c r="S71" s="282">
        <v>166</v>
      </c>
      <c r="T71" s="282">
        <v>598</v>
      </c>
      <c r="U71" s="282">
        <v>114</v>
      </c>
      <c r="V71" s="1962">
        <v>450</v>
      </c>
      <c r="W71" s="1962">
        <v>303</v>
      </c>
      <c r="X71" s="279">
        <v>642</v>
      </c>
      <c r="Y71" s="279">
        <v>2748</v>
      </c>
      <c r="Z71" s="282">
        <v>789</v>
      </c>
      <c r="AA71" s="279">
        <v>91</v>
      </c>
      <c r="AB71" s="282">
        <v>825</v>
      </c>
      <c r="AC71" s="279">
        <v>252</v>
      </c>
      <c r="AD71" s="279">
        <v>667</v>
      </c>
      <c r="AE71" s="279">
        <v>728</v>
      </c>
      <c r="AF71" s="279">
        <v>1053</v>
      </c>
      <c r="AG71" s="279">
        <v>1959</v>
      </c>
      <c r="AH71" s="279">
        <v>111</v>
      </c>
      <c r="AI71" s="279">
        <v>1157</v>
      </c>
      <c r="AJ71" s="279">
        <v>1669</v>
      </c>
      <c r="AK71" s="282">
        <f>3374+1714+1106</f>
        <v>6194</v>
      </c>
      <c r="AL71" s="282">
        <f t="shared" si="8"/>
        <v>20727</v>
      </c>
      <c r="AM71" s="282">
        <f t="shared" si="9"/>
        <v>21881</v>
      </c>
      <c r="AN71" s="1963">
        <f t="shared" si="10"/>
        <v>-6364.8164799999995</v>
      </c>
      <c r="AO71" s="437"/>
      <c r="AQ71" s="958"/>
      <c r="AR71" s="958"/>
    </row>
    <row r="72" spans="1:44" s="1953" customFormat="1" ht="11.45" customHeight="1" x14ac:dyDescent="0.2">
      <c r="A72" s="156" t="s">
        <v>696</v>
      </c>
      <c r="B72" s="482" t="s">
        <v>112</v>
      </c>
      <c r="C72" s="1964">
        <v>112</v>
      </c>
      <c r="D72" s="1964">
        <v>349</v>
      </c>
      <c r="E72" s="1964">
        <v>1</v>
      </c>
      <c r="F72" s="1964">
        <v>297</v>
      </c>
      <c r="G72" s="1964">
        <f>78+279</f>
        <v>357</v>
      </c>
      <c r="H72" s="1964">
        <v>9305</v>
      </c>
      <c r="I72" s="1964">
        <v>51</v>
      </c>
      <c r="J72" s="1964">
        <v>0</v>
      </c>
      <c r="K72" s="1964">
        <v>0</v>
      </c>
      <c r="L72" s="1964">
        <f t="shared" si="13"/>
        <v>3645.6504999999997</v>
      </c>
      <c r="M72" s="134">
        <f>11803+31.09*74.45</f>
        <v>14117.6505</v>
      </c>
      <c r="N72" s="26">
        <v>426</v>
      </c>
      <c r="O72" s="26">
        <v>227</v>
      </c>
      <c r="P72" s="26">
        <f t="shared" si="7"/>
        <v>653</v>
      </c>
      <c r="Q72" s="26">
        <v>137</v>
      </c>
      <c r="R72" s="26">
        <v>101</v>
      </c>
      <c r="S72" s="26">
        <v>9</v>
      </c>
      <c r="T72" s="26">
        <v>987</v>
      </c>
      <c r="U72" s="26">
        <v>116</v>
      </c>
      <c r="V72" s="1965">
        <v>611</v>
      </c>
      <c r="W72" s="1965">
        <v>346</v>
      </c>
      <c r="X72" s="793">
        <v>0</v>
      </c>
      <c r="Y72" s="793">
        <v>2014</v>
      </c>
      <c r="Z72" s="26">
        <v>582</v>
      </c>
      <c r="AA72" s="793">
        <v>53</v>
      </c>
      <c r="AB72" s="26">
        <v>268</v>
      </c>
      <c r="AC72" s="793">
        <v>181</v>
      </c>
      <c r="AD72" s="793">
        <v>693</v>
      </c>
      <c r="AE72" s="793">
        <v>1060</v>
      </c>
      <c r="AF72" s="793">
        <v>1021</v>
      </c>
      <c r="AG72" s="793">
        <v>1928</v>
      </c>
      <c r="AH72" s="793">
        <v>233</v>
      </c>
      <c r="AI72" s="793">
        <v>1255</v>
      </c>
      <c r="AJ72" s="793">
        <v>1056</v>
      </c>
      <c r="AK72" s="26">
        <f>2994+1589+1117</f>
        <v>5700</v>
      </c>
      <c r="AL72" s="26">
        <f t="shared" si="8"/>
        <v>18351</v>
      </c>
      <c r="AM72" s="26">
        <f t="shared" si="9"/>
        <v>19004</v>
      </c>
      <c r="AN72" s="1966">
        <f t="shared" si="10"/>
        <v>-4886.3495000000003</v>
      </c>
      <c r="AO72" s="437"/>
      <c r="AQ72" s="958"/>
      <c r="AR72" s="958"/>
    </row>
    <row r="73" spans="1:44" s="1953" customFormat="1" ht="11.45" customHeight="1" x14ac:dyDescent="0.2">
      <c r="A73" s="156" t="s">
        <v>696</v>
      </c>
      <c r="B73" s="1136" t="s">
        <v>547</v>
      </c>
      <c r="C73" s="1961">
        <v>154</v>
      </c>
      <c r="D73" s="1961">
        <v>383</v>
      </c>
      <c r="E73" s="1961">
        <v>0</v>
      </c>
      <c r="F73" s="1961">
        <v>431</v>
      </c>
      <c r="G73" s="1961">
        <f>117+366</f>
        <v>483</v>
      </c>
      <c r="H73" s="1961">
        <v>12012</v>
      </c>
      <c r="I73" s="1961">
        <v>131</v>
      </c>
      <c r="J73" s="1961">
        <v>0</v>
      </c>
      <c r="K73" s="1961">
        <v>0</v>
      </c>
      <c r="L73" s="1961">
        <f t="shared" si="13"/>
        <v>3123.703300000001</v>
      </c>
      <c r="M73" s="282">
        <f>14802+25.69*74.57</f>
        <v>16717.703300000001</v>
      </c>
      <c r="N73" s="282">
        <v>242</v>
      </c>
      <c r="O73" s="282">
        <v>262</v>
      </c>
      <c r="P73" s="282">
        <f t="shared" si="7"/>
        <v>504</v>
      </c>
      <c r="Q73" s="282">
        <v>163</v>
      </c>
      <c r="R73" s="282">
        <v>106</v>
      </c>
      <c r="S73" s="282">
        <v>5</v>
      </c>
      <c r="T73" s="282">
        <v>1256</v>
      </c>
      <c r="U73" s="282">
        <v>333</v>
      </c>
      <c r="V73" s="1962">
        <v>501</v>
      </c>
      <c r="W73" s="1962">
        <v>262</v>
      </c>
      <c r="X73" s="279">
        <v>1564</v>
      </c>
      <c r="Y73" s="279">
        <v>2565</v>
      </c>
      <c r="Z73" s="282">
        <v>777</v>
      </c>
      <c r="AA73" s="279">
        <v>62</v>
      </c>
      <c r="AB73" s="282">
        <v>531</v>
      </c>
      <c r="AC73" s="279">
        <v>215</v>
      </c>
      <c r="AD73" s="279">
        <v>877</v>
      </c>
      <c r="AE73" s="279">
        <v>1372</v>
      </c>
      <c r="AF73" s="279">
        <v>1205</v>
      </c>
      <c r="AG73" s="279">
        <v>2200</v>
      </c>
      <c r="AH73" s="279">
        <v>254</v>
      </c>
      <c r="AI73" s="279">
        <v>1533</v>
      </c>
      <c r="AJ73" s="279">
        <v>1604</v>
      </c>
      <c r="AK73" s="282">
        <f>3470+1974+1261</f>
        <v>6705</v>
      </c>
      <c r="AL73" s="282">
        <f t="shared" si="8"/>
        <v>24090</v>
      </c>
      <c r="AM73" s="282">
        <f t="shared" si="9"/>
        <v>24594</v>
      </c>
      <c r="AN73" s="1963">
        <f t="shared" si="10"/>
        <v>-7876.296699999999</v>
      </c>
      <c r="AO73" s="437"/>
      <c r="AQ73" s="958"/>
      <c r="AR73" s="958"/>
    </row>
    <row r="74" spans="1:44" s="1953" customFormat="1" ht="11.45" customHeight="1" x14ac:dyDescent="0.2">
      <c r="A74" s="156" t="s">
        <v>696</v>
      </c>
      <c r="B74" s="482" t="s">
        <v>554</v>
      </c>
      <c r="C74" s="1964">
        <v>153</v>
      </c>
      <c r="D74" s="1964">
        <v>499</v>
      </c>
      <c r="E74" s="1964">
        <v>3</v>
      </c>
      <c r="F74" s="1964">
        <v>358</v>
      </c>
      <c r="G74" s="1964">
        <f>93+347</f>
        <v>440</v>
      </c>
      <c r="H74" s="1964">
        <v>10370</v>
      </c>
      <c r="I74" s="1964">
        <v>0</v>
      </c>
      <c r="J74" s="1964">
        <v>0</v>
      </c>
      <c r="K74" s="1964">
        <v>129</v>
      </c>
      <c r="L74" s="1964">
        <f t="shared" si="13"/>
        <v>3510.7703199999996</v>
      </c>
      <c r="M74" s="134">
        <f>13168+30.306*75.72</f>
        <v>15462.77032</v>
      </c>
      <c r="N74" s="26">
        <v>232</v>
      </c>
      <c r="O74" s="26">
        <v>263</v>
      </c>
      <c r="P74" s="26">
        <f t="shared" si="7"/>
        <v>495</v>
      </c>
      <c r="Q74" s="26">
        <v>91</v>
      </c>
      <c r="R74" s="26">
        <v>122</v>
      </c>
      <c r="S74" s="26">
        <v>62</v>
      </c>
      <c r="T74" s="26">
        <v>670</v>
      </c>
      <c r="U74" s="26">
        <v>98</v>
      </c>
      <c r="V74" s="1965">
        <v>470</v>
      </c>
      <c r="W74" s="1965">
        <v>316</v>
      </c>
      <c r="X74" s="793">
        <v>116</v>
      </c>
      <c r="Y74" s="793">
        <v>2444</v>
      </c>
      <c r="Z74" s="26">
        <v>768</v>
      </c>
      <c r="AA74" s="793">
        <v>104</v>
      </c>
      <c r="AB74" s="26">
        <v>1628</v>
      </c>
      <c r="AC74" s="793">
        <v>199</v>
      </c>
      <c r="AD74" s="793">
        <v>879</v>
      </c>
      <c r="AE74" s="793">
        <v>1347</v>
      </c>
      <c r="AF74" s="793">
        <v>1166</v>
      </c>
      <c r="AG74" s="793">
        <v>2155</v>
      </c>
      <c r="AH74" s="793">
        <v>315</v>
      </c>
      <c r="AI74" s="793">
        <v>1288</v>
      </c>
      <c r="AJ74" s="793">
        <v>1157</v>
      </c>
      <c r="AK74" s="26">
        <f>3463+1845+1343</f>
        <v>6651</v>
      </c>
      <c r="AL74" s="26">
        <f t="shared" si="8"/>
        <v>22046</v>
      </c>
      <c r="AM74" s="26">
        <f t="shared" si="9"/>
        <v>22541</v>
      </c>
      <c r="AN74" s="1966">
        <f t="shared" si="10"/>
        <v>-7078.2296800000004</v>
      </c>
      <c r="AO74" s="437"/>
      <c r="AQ74" s="958"/>
      <c r="AR74" s="958"/>
    </row>
    <row r="75" spans="1:44" s="1953" customFormat="1" ht="11.45" customHeight="1" x14ac:dyDescent="0.2">
      <c r="A75" s="156" t="s">
        <v>696</v>
      </c>
      <c r="B75" s="1136" t="s">
        <v>555</v>
      </c>
      <c r="C75" s="1961">
        <v>156</v>
      </c>
      <c r="D75" s="1961">
        <v>421</v>
      </c>
      <c r="E75" s="1961">
        <v>4</v>
      </c>
      <c r="F75" s="1961">
        <v>361</v>
      </c>
      <c r="G75" s="1961">
        <f>92+380</f>
        <v>472</v>
      </c>
      <c r="H75" s="1961">
        <v>9532</v>
      </c>
      <c r="I75" s="1961">
        <v>0</v>
      </c>
      <c r="J75" s="1961">
        <v>0</v>
      </c>
      <c r="K75" s="1961">
        <v>0</v>
      </c>
      <c r="L75" s="1961">
        <f t="shared" si="13"/>
        <v>2826.6860799999995</v>
      </c>
      <c r="M75" s="282">
        <f>11926+24.146*76.48</f>
        <v>13772.686079999999</v>
      </c>
      <c r="N75" s="282">
        <v>107</v>
      </c>
      <c r="O75" s="282">
        <v>266</v>
      </c>
      <c r="P75" s="282">
        <f t="shared" si="7"/>
        <v>373</v>
      </c>
      <c r="Q75" s="282">
        <v>142</v>
      </c>
      <c r="R75" s="282">
        <v>134</v>
      </c>
      <c r="S75" s="282">
        <v>52</v>
      </c>
      <c r="T75" s="282">
        <v>1365</v>
      </c>
      <c r="U75" s="282">
        <v>199</v>
      </c>
      <c r="V75" s="1962">
        <v>773</v>
      </c>
      <c r="W75" s="1962">
        <v>268</v>
      </c>
      <c r="X75" s="279">
        <v>0</v>
      </c>
      <c r="Y75" s="279">
        <v>2970</v>
      </c>
      <c r="Z75" s="282">
        <v>851</v>
      </c>
      <c r="AA75" s="279">
        <v>109</v>
      </c>
      <c r="AB75" s="282">
        <v>1607</v>
      </c>
      <c r="AC75" s="279">
        <v>279</v>
      </c>
      <c r="AD75" s="279">
        <v>903</v>
      </c>
      <c r="AE75" s="279">
        <v>1428</v>
      </c>
      <c r="AF75" s="279">
        <v>928</v>
      </c>
      <c r="AG75" s="279">
        <v>1698</v>
      </c>
      <c r="AH75" s="279">
        <v>237</v>
      </c>
      <c r="AI75" s="279">
        <v>1277</v>
      </c>
      <c r="AJ75" s="279">
        <v>1335</v>
      </c>
      <c r="AK75" s="282">
        <f>3746+2094+1256</f>
        <v>7096</v>
      </c>
      <c r="AL75" s="282">
        <f t="shared" si="8"/>
        <v>23651</v>
      </c>
      <c r="AM75" s="282">
        <f t="shared" si="9"/>
        <v>24024</v>
      </c>
      <c r="AN75" s="1963">
        <f t="shared" si="10"/>
        <v>-10251.313920000001</v>
      </c>
      <c r="AO75" s="437"/>
      <c r="AQ75" s="958"/>
      <c r="AR75" s="958"/>
    </row>
    <row r="76" spans="1:44" s="1953" customFormat="1" ht="11.45" customHeight="1" x14ac:dyDescent="0.2">
      <c r="A76" s="156" t="s">
        <v>696</v>
      </c>
      <c r="B76" s="482" t="s">
        <v>548</v>
      </c>
      <c r="C76" s="1964">
        <v>124</v>
      </c>
      <c r="D76" s="1964">
        <v>453</v>
      </c>
      <c r="E76" s="1964">
        <v>3</v>
      </c>
      <c r="F76" s="1964">
        <v>274</v>
      </c>
      <c r="G76" s="1964">
        <f>89+346</f>
        <v>435</v>
      </c>
      <c r="H76" s="1964">
        <v>8647</v>
      </c>
      <c r="I76" s="1964">
        <v>64</v>
      </c>
      <c r="J76" s="1964">
        <v>0</v>
      </c>
      <c r="K76" s="1964">
        <v>0</v>
      </c>
      <c r="L76" s="1964">
        <f t="shared" si="13"/>
        <v>3180.9658899999995</v>
      </c>
      <c r="M76" s="134">
        <f>10913+28.467*79.67</f>
        <v>13180.965889999999</v>
      </c>
      <c r="N76" s="26">
        <v>185</v>
      </c>
      <c r="O76" s="26">
        <v>479</v>
      </c>
      <c r="P76" s="26">
        <f t="shared" si="7"/>
        <v>664</v>
      </c>
      <c r="Q76" s="26">
        <v>106</v>
      </c>
      <c r="R76" s="26">
        <v>75</v>
      </c>
      <c r="S76" s="26">
        <v>331</v>
      </c>
      <c r="T76" s="26">
        <v>1007</v>
      </c>
      <c r="U76" s="26">
        <v>93</v>
      </c>
      <c r="V76" s="1965">
        <v>1135</v>
      </c>
      <c r="W76" s="1965">
        <v>321</v>
      </c>
      <c r="X76" s="793">
        <v>1039</v>
      </c>
      <c r="Y76" s="793">
        <v>1421</v>
      </c>
      <c r="Z76" s="26">
        <v>771</v>
      </c>
      <c r="AA76" s="793">
        <v>114</v>
      </c>
      <c r="AB76" s="26">
        <v>1530</v>
      </c>
      <c r="AC76" s="793">
        <v>231</v>
      </c>
      <c r="AD76" s="793">
        <v>942</v>
      </c>
      <c r="AE76" s="793">
        <v>1126</v>
      </c>
      <c r="AF76" s="793">
        <v>761</v>
      </c>
      <c r="AG76" s="793">
        <v>1610</v>
      </c>
      <c r="AH76" s="793">
        <v>245</v>
      </c>
      <c r="AI76" s="793">
        <v>1179</v>
      </c>
      <c r="AJ76" s="793">
        <v>1213</v>
      </c>
      <c r="AK76" s="26">
        <f>3901+1874+1334</f>
        <v>7109</v>
      </c>
      <c r="AL76" s="26">
        <f t="shared" si="8"/>
        <v>22359</v>
      </c>
      <c r="AM76" s="26">
        <f t="shared" si="9"/>
        <v>23023</v>
      </c>
      <c r="AN76" s="1966">
        <f t="shared" si="10"/>
        <v>-9842.0341100000005</v>
      </c>
      <c r="AO76" s="437"/>
      <c r="AQ76" s="958"/>
      <c r="AR76" s="958"/>
    </row>
    <row r="77" spans="1:44" s="1953" customFormat="1" ht="11.45" customHeight="1" x14ac:dyDescent="0.2">
      <c r="A77" s="156" t="s">
        <v>696</v>
      </c>
      <c r="B77" s="1136" t="s">
        <v>556</v>
      </c>
      <c r="C77" s="1961">
        <v>141</v>
      </c>
      <c r="D77" s="1961">
        <v>379</v>
      </c>
      <c r="E77" s="1961">
        <v>6</v>
      </c>
      <c r="F77" s="1961">
        <v>205</v>
      </c>
      <c r="G77" s="1961">
        <f>114+345</f>
        <v>459</v>
      </c>
      <c r="H77" s="1961">
        <v>10373</v>
      </c>
      <c r="I77" s="1961">
        <v>0</v>
      </c>
      <c r="J77" s="1961">
        <v>0</v>
      </c>
      <c r="K77" s="1961">
        <v>1</v>
      </c>
      <c r="L77" s="1961">
        <f t="shared" si="13"/>
        <v>3511.4783200000002</v>
      </c>
      <c r="M77" s="282">
        <f>12690+28.596*83.42</f>
        <v>15075.47832</v>
      </c>
      <c r="N77" s="282">
        <v>94</v>
      </c>
      <c r="O77" s="282">
        <v>440</v>
      </c>
      <c r="P77" s="282">
        <f t="shared" si="7"/>
        <v>534</v>
      </c>
      <c r="Q77" s="282">
        <v>143</v>
      </c>
      <c r="R77" s="282">
        <v>92</v>
      </c>
      <c r="S77" s="282">
        <v>13</v>
      </c>
      <c r="T77" s="282">
        <v>1837</v>
      </c>
      <c r="U77" s="282">
        <v>88</v>
      </c>
      <c r="V77" s="1962">
        <v>911</v>
      </c>
      <c r="W77" s="1962">
        <v>449</v>
      </c>
      <c r="X77" s="279">
        <v>1495</v>
      </c>
      <c r="Y77" s="279">
        <v>2020</v>
      </c>
      <c r="Z77" s="282">
        <v>931</v>
      </c>
      <c r="AA77" s="279">
        <v>81</v>
      </c>
      <c r="AB77" s="282">
        <v>1369</v>
      </c>
      <c r="AC77" s="279">
        <v>273</v>
      </c>
      <c r="AD77" s="279">
        <v>1187</v>
      </c>
      <c r="AE77" s="279">
        <v>1517</v>
      </c>
      <c r="AF77" s="279">
        <v>1024</v>
      </c>
      <c r="AG77" s="279">
        <v>2444</v>
      </c>
      <c r="AH77" s="279">
        <v>380</v>
      </c>
      <c r="AI77" s="279">
        <v>1593</v>
      </c>
      <c r="AJ77" s="279">
        <v>1744</v>
      </c>
      <c r="AK77" s="282">
        <f>3943+2189+1656</f>
        <v>7788</v>
      </c>
      <c r="AL77" s="282">
        <f t="shared" si="8"/>
        <v>27379</v>
      </c>
      <c r="AM77" s="282">
        <f t="shared" si="9"/>
        <v>27913</v>
      </c>
      <c r="AN77" s="1963">
        <f t="shared" si="10"/>
        <v>-12837.52168</v>
      </c>
      <c r="AO77" s="437"/>
      <c r="AQ77" s="958"/>
      <c r="AR77" s="958"/>
    </row>
    <row r="78" spans="1:44" s="1953" customFormat="1" ht="11.45" customHeight="1" x14ac:dyDescent="0.2">
      <c r="A78" s="156" t="s">
        <v>696</v>
      </c>
      <c r="B78" s="482" t="s">
        <v>557</v>
      </c>
      <c r="C78" s="1964">
        <v>137</v>
      </c>
      <c r="D78" s="1964">
        <v>417</v>
      </c>
      <c r="E78" s="1964">
        <v>2</v>
      </c>
      <c r="F78" s="1964">
        <v>304</v>
      </c>
      <c r="G78" s="1964">
        <f>84+299</f>
        <v>383</v>
      </c>
      <c r="H78" s="1964">
        <v>10405</v>
      </c>
      <c r="I78" s="1964">
        <v>1</v>
      </c>
      <c r="J78" s="1964">
        <v>0</v>
      </c>
      <c r="K78" s="1964">
        <v>0</v>
      </c>
      <c r="L78" s="1964">
        <f t="shared" si="13"/>
        <v>3095.6609399999998</v>
      </c>
      <c r="M78" s="134">
        <f>12637+25.366*83.09</f>
        <v>14744.66094</v>
      </c>
      <c r="N78" s="26">
        <v>70</v>
      </c>
      <c r="O78" s="26">
        <v>662</v>
      </c>
      <c r="P78" s="26">
        <f t="shared" si="7"/>
        <v>732</v>
      </c>
      <c r="Q78" s="26">
        <v>207</v>
      </c>
      <c r="R78" s="26">
        <v>74</v>
      </c>
      <c r="S78" s="26">
        <v>101</v>
      </c>
      <c r="T78" s="26">
        <v>1483</v>
      </c>
      <c r="U78" s="26">
        <v>146</v>
      </c>
      <c r="V78" s="1965">
        <v>1302</v>
      </c>
      <c r="W78" s="1965">
        <v>375</v>
      </c>
      <c r="X78" s="793">
        <v>727</v>
      </c>
      <c r="Y78" s="793">
        <v>2803</v>
      </c>
      <c r="Z78" s="26">
        <v>824</v>
      </c>
      <c r="AA78" s="793">
        <v>58</v>
      </c>
      <c r="AB78" s="26">
        <v>1684</v>
      </c>
      <c r="AC78" s="793">
        <v>209</v>
      </c>
      <c r="AD78" s="793">
        <v>997</v>
      </c>
      <c r="AE78" s="793">
        <v>1568</v>
      </c>
      <c r="AF78" s="793">
        <v>828</v>
      </c>
      <c r="AG78" s="793">
        <v>1983</v>
      </c>
      <c r="AH78" s="793">
        <v>286</v>
      </c>
      <c r="AI78" s="793">
        <v>1399</v>
      </c>
      <c r="AJ78" s="793">
        <v>895</v>
      </c>
      <c r="AK78" s="26">
        <f>2815+1839+1219</f>
        <v>5873</v>
      </c>
      <c r="AL78" s="26">
        <f t="shared" si="8"/>
        <v>23822</v>
      </c>
      <c r="AM78" s="26">
        <f t="shared" si="9"/>
        <v>24554</v>
      </c>
      <c r="AN78" s="1966">
        <f t="shared" si="10"/>
        <v>-9809.3390600000002</v>
      </c>
      <c r="AO78" s="437"/>
      <c r="AQ78" s="958"/>
      <c r="AR78" s="958"/>
    </row>
    <row r="79" spans="1:44" s="1953" customFormat="1" ht="11.45" customHeight="1" x14ac:dyDescent="0.2">
      <c r="A79" s="156" t="s">
        <v>696</v>
      </c>
      <c r="B79" s="1136" t="s">
        <v>549</v>
      </c>
      <c r="C79" s="1961">
        <v>143</v>
      </c>
      <c r="D79" s="1961">
        <v>483</v>
      </c>
      <c r="E79" s="1961">
        <v>1</v>
      </c>
      <c r="F79" s="1961">
        <v>385</v>
      </c>
      <c r="G79" s="1961">
        <f>80+222</f>
        <v>302</v>
      </c>
      <c r="H79" s="1961">
        <v>10897</v>
      </c>
      <c r="I79" s="1961">
        <v>0</v>
      </c>
      <c r="J79" s="1961">
        <v>0</v>
      </c>
      <c r="K79" s="1961">
        <v>0</v>
      </c>
      <c r="L79" s="1961">
        <f t="shared" si="13"/>
        <v>3113.9807999999994</v>
      </c>
      <c r="M79" s="282">
        <f>13254+25.33*81.76</f>
        <v>15324.980799999999</v>
      </c>
      <c r="N79" s="282">
        <v>11</v>
      </c>
      <c r="O79" s="282">
        <v>114</v>
      </c>
      <c r="P79" s="282">
        <f t="shared" si="7"/>
        <v>125</v>
      </c>
      <c r="Q79" s="282">
        <v>216</v>
      </c>
      <c r="R79" s="282">
        <v>85</v>
      </c>
      <c r="S79" s="282">
        <v>87</v>
      </c>
      <c r="T79" s="282">
        <v>1214</v>
      </c>
      <c r="U79" s="282">
        <v>90</v>
      </c>
      <c r="V79" s="1962">
        <v>1490</v>
      </c>
      <c r="W79" s="1962">
        <v>363</v>
      </c>
      <c r="X79" s="279">
        <v>705</v>
      </c>
      <c r="Y79" s="279">
        <v>2774</v>
      </c>
      <c r="Z79" s="282">
        <v>792</v>
      </c>
      <c r="AA79" s="279">
        <v>90</v>
      </c>
      <c r="AB79" s="282">
        <v>404</v>
      </c>
      <c r="AC79" s="279">
        <v>220</v>
      </c>
      <c r="AD79" s="279">
        <v>1003</v>
      </c>
      <c r="AE79" s="279">
        <v>1338</v>
      </c>
      <c r="AF79" s="279">
        <v>784</v>
      </c>
      <c r="AG79" s="279">
        <v>2085</v>
      </c>
      <c r="AH79" s="279">
        <v>309</v>
      </c>
      <c r="AI79" s="279">
        <v>2143</v>
      </c>
      <c r="AJ79" s="279">
        <v>1078</v>
      </c>
      <c r="AK79" s="282">
        <f>2492+1823+1582</f>
        <v>5897</v>
      </c>
      <c r="AL79" s="282">
        <f t="shared" si="8"/>
        <v>23167</v>
      </c>
      <c r="AM79" s="282">
        <f t="shared" si="9"/>
        <v>23292</v>
      </c>
      <c r="AN79" s="1963">
        <f t="shared" si="10"/>
        <v>-7967.0192000000006</v>
      </c>
      <c r="AO79" s="437"/>
      <c r="AQ79" s="958"/>
      <c r="AR79" s="958"/>
    </row>
    <row r="80" spans="1:44" s="1953" customFormat="1" ht="11.45" customHeight="1" x14ac:dyDescent="0.2">
      <c r="A80" s="156" t="s">
        <v>696</v>
      </c>
      <c r="B80" s="482" t="s">
        <v>558</v>
      </c>
      <c r="C80" s="1964">
        <v>197</v>
      </c>
      <c r="D80" s="1964">
        <v>479</v>
      </c>
      <c r="E80" s="1964">
        <v>2</v>
      </c>
      <c r="F80" s="1964">
        <v>427</v>
      </c>
      <c r="G80" s="1964">
        <f>107+257</f>
        <v>364</v>
      </c>
      <c r="H80" s="1964">
        <v>9944</v>
      </c>
      <c r="I80" s="1964">
        <v>483</v>
      </c>
      <c r="J80" s="1964">
        <v>0</v>
      </c>
      <c r="K80" s="1964">
        <v>0</v>
      </c>
      <c r="L80" s="1964">
        <f t="shared" si="13"/>
        <v>3337.5031999999992</v>
      </c>
      <c r="M80" s="134">
        <f>13044+26.76*81.82</f>
        <v>15233.503199999999</v>
      </c>
      <c r="N80" s="26">
        <v>7</v>
      </c>
      <c r="O80" s="26">
        <v>199</v>
      </c>
      <c r="P80" s="26">
        <f t="shared" si="7"/>
        <v>206</v>
      </c>
      <c r="Q80" s="26">
        <v>138</v>
      </c>
      <c r="R80" s="26">
        <v>63</v>
      </c>
      <c r="S80" s="26">
        <v>50</v>
      </c>
      <c r="T80" s="26">
        <v>1097</v>
      </c>
      <c r="U80" s="26">
        <v>165</v>
      </c>
      <c r="V80" s="1965">
        <v>635</v>
      </c>
      <c r="W80" s="1965">
        <v>358</v>
      </c>
      <c r="X80" s="793">
        <v>758</v>
      </c>
      <c r="Y80" s="793">
        <v>3937</v>
      </c>
      <c r="Z80" s="26">
        <v>861</v>
      </c>
      <c r="AA80" s="793">
        <v>60</v>
      </c>
      <c r="AB80" s="26">
        <v>519</v>
      </c>
      <c r="AC80" s="793">
        <v>242</v>
      </c>
      <c r="AD80" s="793">
        <v>972</v>
      </c>
      <c r="AE80" s="793">
        <v>1458</v>
      </c>
      <c r="AF80" s="793">
        <v>679</v>
      </c>
      <c r="AG80" s="793">
        <v>2253</v>
      </c>
      <c r="AH80" s="793">
        <v>304</v>
      </c>
      <c r="AI80" s="793">
        <v>1524</v>
      </c>
      <c r="AJ80" s="793">
        <v>1148</v>
      </c>
      <c r="AK80" s="26">
        <f>2842+1813+1708</f>
        <v>6363</v>
      </c>
      <c r="AL80" s="26">
        <f t="shared" si="8"/>
        <v>23584</v>
      </c>
      <c r="AM80" s="26">
        <f t="shared" si="9"/>
        <v>23790</v>
      </c>
      <c r="AN80" s="1966">
        <f t="shared" si="10"/>
        <v>-8556.4968000000008</v>
      </c>
      <c r="AO80" s="437"/>
      <c r="AQ80" s="958"/>
      <c r="AR80" s="958"/>
    </row>
    <row r="81" spans="1:44" s="1953" customFormat="1" ht="11.45" customHeight="1" x14ac:dyDescent="0.2">
      <c r="A81" s="156" t="s">
        <v>696</v>
      </c>
      <c r="B81" s="1136" t="s">
        <v>559</v>
      </c>
      <c r="C81" s="1961">
        <v>215</v>
      </c>
      <c r="D81" s="1961">
        <v>459</v>
      </c>
      <c r="E81" s="1961">
        <v>3</v>
      </c>
      <c r="F81" s="1961">
        <v>398</v>
      </c>
      <c r="G81" s="1961">
        <f>80+215</f>
        <v>295</v>
      </c>
      <c r="H81" s="1961">
        <v>10285</v>
      </c>
      <c r="I81" s="1961">
        <v>0</v>
      </c>
      <c r="J81" s="1961">
        <v>0</v>
      </c>
      <c r="K81" s="1961">
        <v>0</v>
      </c>
      <c r="L81" s="1961">
        <f t="shared" si="13"/>
        <v>3727.2819999999992</v>
      </c>
      <c r="M81" s="282">
        <f>12786+31.72*81.85</f>
        <v>15382.281999999999</v>
      </c>
      <c r="N81" s="282">
        <v>21</v>
      </c>
      <c r="O81" s="282">
        <v>720</v>
      </c>
      <c r="P81" s="282">
        <f t="shared" si="7"/>
        <v>741</v>
      </c>
      <c r="Q81" s="282">
        <v>152</v>
      </c>
      <c r="R81" s="282">
        <v>91</v>
      </c>
      <c r="S81" s="282">
        <v>364</v>
      </c>
      <c r="T81" s="282">
        <v>830</v>
      </c>
      <c r="U81" s="282">
        <v>254</v>
      </c>
      <c r="V81" s="1962">
        <v>778</v>
      </c>
      <c r="W81" s="1962">
        <v>377</v>
      </c>
      <c r="X81" s="279">
        <v>707</v>
      </c>
      <c r="Y81" s="279">
        <v>2736</v>
      </c>
      <c r="Z81" s="282">
        <v>818</v>
      </c>
      <c r="AA81" s="279">
        <v>63</v>
      </c>
      <c r="AB81" s="282">
        <v>109</v>
      </c>
      <c r="AC81" s="279">
        <v>431</v>
      </c>
      <c r="AD81" s="279">
        <v>895</v>
      </c>
      <c r="AE81" s="279">
        <v>1888</v>
      </c>
      <c r="AF81" s="279">
        <v>679</v>
      </c>
      <c r="AG81" s="279">
        <v>2084</v>
      </c>
      <c r="AH81" s="279">
        <v>342</v>
      </c>
      <c r="AI81" s="279">
        <v>2068</v>
      </c>
      <c r="AJ81" s="279">
        <v>1492</v>
      </c>
      <c r="AK81" s="282">
        <f>3663+2082+1677</f>
        <v>7422</v>
      </c>
      <c r="AL81" s="282">
        <f t="shared" si="8"/>
        <v>24580</v>
      </c>
      <c r="AM81" s="282">
        <f t="shared" si="9"/>
        <v>25321</v>
      </c>
      <c r="AN81" s="1963">
        <f t="shared" si="10"/>
        <v>-9938.7180000000008</v>
      </c>
      <c r="AO81" s="437"/>
      <c r="AQ81" s="958"/>
      <c r="AR81" s="958"/>
    </row>
    <row r="82" spans="1:44" s="1953" customFormat="1" ht="11.45" customHeight="1" x14ac:dyDescent="0.2">
      <c r="A82" s="156" t="s">
        <v>696</v>
      </c>
      <c r="B82" s="482" t="s">
        <v>550</v>
      </c>
      <c r="C82" s="355">
        <v>133</v>
      </c>
      <c r="D82" s="355">
        <v>454</v>
      </c>
      <c r="E82" s="355">
        <v>2</v>
      </c>
      <c r="F82" s="355">
        <v>368</v>
      </c>
      <c r="G82" s="355">
        <f>75+260</f>
        <v>335</v>
      </c>
      <c r="H82" s="355">
        <v>10482</v>
      </c>
      <c r="I82" s="355">
        <v>124</v>
      </c>
      <c r="J82" s="355">
        <v>0</v>
      </c>
      <c r="K82" s="355">
        <v>0</v>
      </c>
      <c r="L82" s="355">
        <f t="shared" si="13"/>
        <v>3886.3991600000008</v>
      </c>
      <c r="M82" s="356">
        <f>13028+33.668*81.87</f>
        <v>15784.399160000001</v>
      </c>
      <c r="N82" s="356">
        <v>14</v>
      </c>
      <c r="O82" s="356">
        <v>756</v>
      </c>
      <c r="P82" s="356">
        <f t="shared" si="7"/>
        <v>770</v>
      </c>
      <c r="Q82" s="356">
        <v>125</v>
      </c>
      <c r="R82" s="356">
        <v>56</v>
      </c>
      <c r="S82" s="356">
        <v>180</v>
      </c>
      <c r="T82" s="356">
        <v>707</v>
      </c>
      <c r="U82" s="356">
        <v>215</v>
      </c>
      <c r="V82" s="1423">
        <v>334</v>
      </c>
      <c r="W82" s="1423">
        <v>256</v>
      </c>
      <c r="X82" s="236">
        <v>634</v>
      </c>
      <c r="Y82" s="236">
        <v>2052</v>
      </c>
      <c r="Z82" s="356">
        <v>811</v>
      </c>
      <c r="AA82" s="236">
        <v>49</v>
      </c>
      <c r="AB82" s="356">
        <v>433</v>
      </c>
      <c r="AC82" s="236">
        <v>245</v>
      </c>
      <c r="AD82" s="236">
        <v>820</v>
      </c>
      <c r="AE82" s="236">
        <v>1771</v>
      </c>
      <c r="AF82" s="236">
        <v>705</v>
      </c>
      <c r="AG82" s="236">
        <v>1769</v>
      </c>
      <c r="AH82" s="236">
        <v>234</v>
      </c>
      <c r="AI82" s="236">
        <v>1221</v>
      </c>
      <c r="AJ82" s="236">
        <v>1374</v>
      </c>
      <c r="AK82" s="356">
        <f>3060+1690+1515</f>
        <v>6265</v>
      </c>
      <c r="AL82" s="356">
        <f t="shared" si="8"/>
        <v>20256</v>
      </c>
      <c r="AM82" s="356">
        <f t="shared" si="9"/>
        <v>21026</v>
      </c>
      <c r="AN82" s="216">
        <f t="shared" si="10"/>
        <v>-5241.6008399999992</v>
      </c>
      <c r="AO82" s="437"/>
      <c r="AQ82" s="958"/>
      <c r="AR82" s="958"/>
    </row>
    <row r="83" spans="1:44" s="1933" customFormat="1" ht="11.45" customHeight="1" x14ac:dyDescent="0.2">
      <c r="A83" s="156" t="s">
        <v>804</v>
      </c>
      <c r="B83" s="1136" t="s">
        <v>552</v>
      </c>
      <c r="C83" s="355">
        <v>119</v>
      </c>
      <c r="D83" s="355">
        <v>495</v>
      </c>
      <c r="E83" s="355">
        <v>2</v>
      </c>
      <c r="F83" s="355">
        <v>416</v>
      </c>
      <c r="G83" s="216">
        <f>102+342</f>
        <v>444</v>
      </c>
      <c r="H83" s="216">
        <v>10766</v>
      </c>
      <c r="I83" s="355">
        <v>0</v>
      </c>
      <c r="J83" s="355">
        <v>0</v>
      </c>
      <c r="K83" s="355">
        <v>0</v>
      </c>
      <c r="L83" s="355">
        <f t="shared" si="13"/>
        <v>3827.0323599999992</v>
      </c>
      <c r="M83" s="356">
        <f>13316+33.668*81.77</f>
        <v>16069.032359999999</v>
      </c>
      <c r="N83" s="356">
        <v>15</v>
      </c>
      <c r="O83" s="356">
        <v>440</v>
      </c>
      <c r="P83" s="356">
        <f t="shared" ref="P83:P94" si="14">N83+O83</f>
        <v>455</v>
      </c>
      <c r="Q83" s="356">
        <v>190</v>
      </c>
      <c r="R83" s="356">
        <v>108</v>
      </c>
      <c r="S83" s="356">
        <v>346</v>
      </c>
      <c r="T83" s="356">
        <v>530</v>
      </c>
      <c r="U83" s="356">
        <v>335</v>
      </c>
      <c r="V83" s="1423">
        <v>304</v>
      </c>
      <c r="W83" s="1423">
        <v>269</v>
      </c>
      <c r="X83" s="236">
        <v>0</v>
      </c>
      <c r="Y83" s="236">
        <v>2750</v>
      </c>
      <c r="Z83" s="356">
        <v>946</v>
      </c>
      <c r="AA83" s="236">
        <v>82</v>
      </c>
      <c r="AB83" s="356">
        <v>1278</v>
      </c>
      <c r="AC83" s="236">
        <v>278</v>
      </c>
      <c r="AD83" s="236">
        <v>911</v>
      </c>
      <c r="AE83" s="236">
        <v>1714</v>
      </c>
      <c r="AF83" s="236">
        <v>960</v>
      </c>
      <c r="AG83" s="236">
        <v>2099</v>
      </c>
      <c r="AH83" s="236">
        <v>295</v>
      </c>
      <c r="AI83" s="236">
        <v>1574</v>
      </c>
      <c r="AJ83" s="236">
        <v>1434</v>
      </c>
      <c r="AK83" s="356">
        <f>3120+1818+1393</f>
        <v>6331</v>
      </c>
      <c r="AL83" s="356">
        <f t="shared" ref="AL83:AL94" si="15">SUM(Q83:U83)+SUM(V83:AK83)</f>
        <v>22734</v>
      </c>
      <c r="AM83" s="356">
        <f t="shared" ref="AM83:AM94" si="16">P83+AL83</f>
        <v>23189</v>
      </c>
      <c r="AN83" s="216">
        <f t="shared" ref="AN83:AN94" si="17">M83-AM83</f>
        <v>-7119.9676400000008</v>
      </c>
      <c r="AO83" s="437"/>
      <c r="AQ83" s="958"/>
      <c r="AR83" s="958"/>
    </row>
    <row r="84" spans="1:44" s="1933" customFormat="1" ht="11.45" customHeight="1" x14ac:dyDescent="0.2">
      <c r="A84" s="156" t="s">
        <v>804</v>
      </c>
      <c r="B84" s="482" t="s">
        <v>112</v>
      </c>
      <c r="C84" s="374">
        <v>87</v>
      </c>
      <c r="D84" s="374">
        <v>408</v>
      </c>
      <c r="E84" s="374">
        <v>3</v>
      </c>
      <c r="F84" s="374">
        <v>360</v>
      </c>
      <c r="G84" s="272">
        <f>61+7</f>
        <v>68</v>
      </c>
      <c r="H84" s="272">
        <v>9376</v>
      </c>
      <c r="I84" s="374">
        <v>136</v>
      </c>
      <c r="J84" s="374">
        <v>0</v>
      </c>
      <c r="K84" s="374">
        <v>0</v>
      </c>
      <c r="L84" s="374">
        <f t="shared" si="13"/>
        <v>3240.4320000000007</v>
      </c>
      <c r="M84" s="277">
        <f>11510+26.6*81.52</f>
        <v>13678.432000000001</v>
      </c>
      <c r="N84" s="277">
        <v>41</v>
      </c>
      <c r="O84" s="277">
        <v>1109</v>
      </c>
      <c r="P84" s="277">
        <f t="shared" si="14"/>
        <v>1150</v>
      </c>
      <c r="Q84" s="277">
        <v>154</v>
      </c>
      <c r="R84" s="277">
        <v>71</v>
      </c>
      <c r="S84" s="277">
        <v>65</v>
      </c>
      <c r="T84" s="277">
        <v>325</v>
      </c>
      <c r="U84" s="277">
        <v>225</v>
      </c>
      <c r="V84" s="1819">
        <v>19</v>
      </c>
      <c r="W84" s="1819">
        <v>346</v>
      </c>
      <c r="X84" s="275">
        <v>594</v>
      </c>
      <c r="Y84" s="275">
        <v>2288</v>
      </c>
      <c r="Z84" s="277">
        <v>760</v>
      </c>
      <c r="AA84" s="275">
        <v>86</v>
      </c>
      <c r="AB84" s="277">
        <v>867</v>
      </c>
      <c r="AC84" s="275">
        <v>234</v>
      </c>
      <c r="AD84" s="275">
        <v>843</v>
      </c>
      <c r="AE84" s="275">
        <v>1025</v>
      </c>
      <c r="AF84" s="275">
        <v>958</v>
      </c>
      <c r="AG84" s="275">
        <v>1866</v>
      </c>
      <c r="AH84" s="275">
        <v>294</v>
      </c>
      <c r="AI84" s="275">
        <v>1631</v>
      </c>
      <c r="AJ84" s="275">
        <v>1029</v>
      </c>
      <c r="AK84" s="277">
        <f>2458+1937+1318</f>
        <v>5713</v>
      </c>
      <c r="AL84" s="277">
        <f t="shared" si="15"/>
        <v>19393</v>
      </c>
      <c r="AM84" s="277">
        <f t="shared" si="16"/>
        <v>20543</v>
      </c>
      <c r="AN84" s="272">
        <f t="shared" si="17"/>
        <v>-6864.5679999999993</v>
      </c>
      <c r="AO84" s="437"/>
      <c r="AQ84" s="958"/>
      <c r="AR84" s="958"/>
    </row>
    <row r="85" spans="1:44" s="1933" customFormat="1" ht="11.45" customHeight="1" x14ac:dyDescent="0.2">
      <c r="A85" s="156" t="s">
        <v>804</v>
      </c>
      <c r="B85" s="1136" t="s">
        <v>547</v>
      </c>
      <c r="C85" s="355">
        <v>121</v>
      </c>
      <c r="D85" s="355">
        <v>495</v>
      </c>
      <c r="E85" s="355">
        <v>2</v>
      </c>
      <c r="F85" s="355">
        <v>499</v>
      </c>
      <c r="G85" s="216">
        <f>49+286</f>
        <v>335</v>
      </c>
      <c r="H85" s="216">
        <v>11122</v>
      </c>
      <c r="I85" s="355">
        <v>1</v>
      </c>
      <c r="J85" s="355">
        <v>0</v>
      </c>
      <c r="K85" s="355">
        <v>0</v>
      </c>
      <c r="L85" s="355">
        <f t="shared" si="13"/>
        <v>3607.7958600000002</v>
      </c>
      <c r="M85" s="356">
        <f>13904+27.882*81.73</f>
        <v>16182.79586</v>
      </c>
      <c r="N85" s="356">
        <v>31</v>
      </c>
      <c r="O85" s="356">
        <v>527</v>
      </c>
      <c r="P85" s="356">
        <f t="shared" si="14"/>
        <v>558</v>
      </c>
      <c r="Q85" s="356">
        <v>174</v>
      </c>
      <c r="R85" s="356">
        <v>70</v>
      </c>
      <c r="S85" s="356">
        <v>85</v>
      </c>
      <c r="T85" s="356">
        <v>777</v>
      </c>
      <c r="U85" s="356">
        <v>401</v>
      </c>
      <c r="V85" s="1423">
        <v>409</v>
      </c>
      <c r="W85" s="1423">
        <v>314</v>
      </c>
      <c r="X85" s="236">
        <v>2151</v>
      </c>
      <c r="Y85" s="236">
        <v>2338</v>
      </c>
      <c r="Z85" s="356">
        <v>952</v>
      </c>
      <c r="AA85" s="236">
        <v>99</v>
      </c>
      <c r="AB85" s="356">
        <v>743</v>
      </c>
      <c r="AC85" s="236">
        <v>279</v>
      </c>
      <c r="AD85" s="236">
        <v>943</v>
      </c>
      <c r="AE85" s="236">
        <v>1261</v>
      </c>
      <c r="AF85" s="236">
        <v>1048</v>
      </c>
      <c r="AG85" s="236">
        <v>2309</v>
      </c>
      <c r="AH85" s="236">
        <v>304</v>
      </c>
      <c r="AI85" s="236">
        <v>1558</v>
      </c>
      <c r="AJ85" s="236">
        <v>1195</v>
      </c>
      <c r="AK85" s="356">
        <f>3173+1723+1466</f>
        <v>6362</v>
      </c>
      <c r="AL85" s="356">
        <f t="shared" si="15"/>
        <v>23772</v>
      </c>
      <c r="AM85" s="356">
        <f t="shared" si="16"/>
        <v>24330</v>
      </c>
      <c r="AN85" s="216">
        <f t="shared" si="17"/>
        <v>-8147.2041399999998</v>
      </c>
      <c r="AO85" s="437"/>
      <c r="AQ85" s="958"/>
      <c r="AR85" s="958"/>
    </row>
    <row r="86" spans="1:44" s="1933" customFormat="1" ht="11.45" customHeight="1" x14ac:dyDescent="0.2">
      <c r="A86" s="156" t="s">
        <v>804</v>
      </c>
      <c r="B86" s="482" t="s">
        <v>554</v>
      </c>
      <c r="C86" s="374">
        <v>126</v>
      </c>
      <c r="D86" s="374">
        <v>463</v>
      </c>
      <c r="E86" s="374">
        <v>2</v>
      </c>
      <c r="F86" s="374">
        <v>399</v>
      </c>
      <c r="G86" s="272">
        <f>49+170</f>
        <v>219</v>
      </c>
      <c r="H86" s="272">
        <v>9206</v>
      </c>
      <c r="I86" s="374">
        <v>149</v>
      </c>
      <c r="J86" s="374">
        <v>0</v>
      </c>
      <c r="K86" s="374">
        <v>0</v>
      </c>
      <c r="L86" s="374">
        <f t="shared" si="13"/>
        <v>3170.6421499999997</v>
      </c>
      <c r="M86" s="277">
        <f>11721+24.765*81.31</f>
        <v>13734.64215</v>
      </c>
      <c r="N86" s="277">
        <v>27</v>
      </c>
      <c r="O86" s="277">
        <v>427</v>
      </c>
      <c r="P86" s="277">
        <f t="shared" si="14"/>
        <v>454</v>
      </c>
      <c r="Q86" s="277">
        <v>99</v>
      </c>
      <c r="R86" s="277">
        <v>86</v>
      </c>
      <c r="S86" s="277">
        <v>210</v>
      </c>
      <c r="T86" s="277">
        <v>843</v>
      </c>
      <c r="U86" s="277">
        <v>224</v>
      </c>
      <c r="V86" s="1819">
        <v>758</v>
      </c>
      <c r="W86" s="1819">
        <v>318</v>
      </c>
      <c r="X86" s="275">
        <v>139</v>
      </c>
      <c r="Y86" s="275">
        <v>2322</v>
      </c>
      <c r="Z86" s="277">
        <v>904</v>
      </c>
      <c r="AA86" s="275">
        <v>80</v>
      </c>
      <c r="AB86" s="277">
        <v>1300</v>
      </c>
      <c r="AC86" s="275">
        <v>256</v>
      </c>
      <c r="AD86" s="275">
        <v>899</v>
      </c>
      <c r="AE86" s="275">
        <v>1210</v>
      </c>
      <c r="AF86" s="275">
        <v>954</v>
      </c>
      <c r="AG86" s="275">
        <v>2045</v>
      </c>
      <c r="AH86" s="275">
        <v>267</v>
      </c>
      <c r="AI86" s="275">
        <v>1261</v>
      </c>
      <c r="AJ86" s="275">
        <v>1280</v>
      </c>
      <c r="AK86" s="277">
        <f>2405+1718+1324</f>
        <v>5447</v>
      </c>
      <c r="AL86" s="277">
        <f t="shared" si="15"/>
        <v>20902</v>
      </c>
      <c r="AM86" s="277">
        <f t="shared" si="16"/>
        <v>21356</v>
      </c>
      <c r="AN86" s="272">
        <f t="shared" si="17"/>
        <v>-7621.3578500000003</v>
      </c>
      <c r="AO86" s="437"/>
      <c r="AQ86" s="958"/>
      <c r="AR86" s="958"/>
    </row>
    <row r="87" spans="1:44" s="1933" customFormat="1" ht="11.45" customHeight="1" x14ac:dyDescent="0.2">
      <c r="A87" s="156" t="s">
        <v>804</v>
      </c>
      <c r="B87" s="1136" t="s">
        <v>555</v>
      </c>
      <c r="C87" s="355">
        <v>154</v>
      </c>
      <c r="D87" s="355">
        <v>547</v>
      </c>
      <c r="E87" s="355">
        <v>2</v>
      </c>
      <c r="F87" s="355">
        <v>454</v>
      </c>
      <c r="G87" s="216">
        <f>63+330</f>
        <v>393</v>
      </c>
      <c r="H87" s="216">
        <v>10563</v>
      </c>
      <c r="I87" s="355">
        <v>0</v>
      </c>
      <c r="J87" s="355">
        <v>0</v>
      </c>
      <c r="K87" s="355">
        <v>0</v>
      </c>
      <c r="L87" s="355">
        <f t="shared" si="13"/>
        <v>3098.5903500000004</v>
      </c>
      <c r="M87" s="356">
        <f>13136+25.483*81.45</f>
        <v>15211.59035</v>
      </c>
      <c r="N87" s="356">
        <v>16</v>
      </c>
      <c r="O87" s="356">
        <v>417</v>
      </c>
      <c r="P87" s="356">
        <f t="shared" si="14"/>
        <v>433</v>
      </c>
      <c r="Q87" s="356">
        <v>101</v>
      </c>
      <c r="R87" s="356">
        <v>59</v>
      </c>
      <c r="S87" s="356">
        <v>218</v>
      </c>
      <c r="T87" s="356">
        <v>1461</v>
      </c>
      <c r="U87" s="356">
        <v>216</v>
      </c>
      <c r="V87" s="1423">
        <v>800</v>
      </c>
      <c r="W87" s="1423">
        <v>232</v>
      </c>
      <c r="X87" s="236">
        <v>1349</v>
      </c>
      <c r="Y87" s="236">
        <v>2650</v>
      </c>
      <c r="Z87" s="356">
        <v>851</v>
      </c>
      <c r="AA87" s="236">
        <v>143</v>
      </c>
      <c r="AB87" s="356">
        <v>1029</v>
      </c>
      <c r="AC87" s="236">
        <v>248</v>
      </c>
      <c r="AD87" s="236">
        <v>878</v>
      </c>
      <c r="AE87" s="236">
        <v>1058</v>
      </c>
      <c r="AF87" s="236">
        <v>933</v>
      </c>
      <c r="AG87" s="236">
        <v>2217</v>
      </c>
      <c r="AH87" s="236">
        <v>253</v>
      </c>
      <c r="AI87" s="236">
        <v>1453</v>
      </c>
      <c r="AJ87" s="236">
        <v>1346</v>
      </c>
      <c r="AK87" s="356">
        <f>2378+1756+1762</f>
        <v>5896</v>
      </c>
      <c r="AL87" s="356">
        <f t="shared" si="15"/>
        <v>23391</v>
      </c>
      <c r="AM87" s="356">
        <f t="shared" si="16"/>
        <v>23824</v>
      </c>
      <c r="AN87" s="216">
        <f t="shared" si="17"/>
        <v>-8612.4096499999996</v>
      </c>
      <c r="AO87" s="437"/>
      <c r="AQ87" s="958"/>
      <c r="AR87" s="958"/>
    </row>
    <row r="88" spans="1:44" s="1933" customFormat="1" ht="11.45" customHeight="1" x14ac:dyDescent="0.2">
      <c r="A88" s="156" t="s">
        <v>804</v>
      </c>
      <c r="B88" s="482" t="s">
        <v>548</v>
      </c>
      <c r="C88" s="374">
        <v>221</v>
      </c>
      <c r="D88" s="374">
        <v>522</v>
      </c>
      <c r="E88" s="374">
        <v>1</v>
      </c>
      <c r="F88" s="374">
        <v>412</v>
      </c>
      <c r="G88" s="272">
        <v>229</v>
      </c>
      <c r="H88" s="272">
        <v>9941</v>
      </c>
      <c r="I88" s="374">
        <v>0</v>
      </c>
      <c r="J88" s="374">
        <v>0</v>
      </c>
      <c r="K88" s="374">
        <v>0</v>
      </c>
      <c r="L88" s="374">
        <f t="shared" si="13"/>
        <v>4178.4521000000004</v>
      </c>
      <c r="M88" s="277">
        <f>12640+35.57*80.53</f>
        <v>15504.4521</v>
      </c>
      <c r="N88" s="277">
        <v>12</v>
      </c>
      <c r="O88" s="277">
        <v>342</v>
      </c>
      <c r="P88" s="277">
        <f t="shared" si="14"/>
        <v>354</v>
      </c>
      <c r="Q88" s="277">
        <v>94</v>
      </c>
      <c r="R88" s="277">
        <v>50</v>
      </c>
      <c r="S88" s="277">
        <v>64</v>
      </c>
      <c r="T88" s="277">
        <v>1114</v>
      </c>
      <c r="U88" s="277">
        <v>306</v>
      </c>
      <c r="V88" s="1819">
        <v>855</v>
      </c>
      <c r="W88" s="1819">
        <v>346</v>
      </c>
      <c r="X88" s="275">
        <v>0</v>
      </c>
      <c r="Y88" s="275">
        <v>1798</v>
      </c>
      <c r="Z88" s="277">
        <v>850</v>
      </c>
      <c r="AA88" s="275">
        <v>51</v>
      </c>
      <c r="AB88" s="277">
        <v>846</v>
      </c>
      <c r="AC88" s="275">
        <v>275</v>
      </c>
      <c r="AD88" s="275">
        <v>817</v>
      </c>
      <c r="AE88" s="275">
        <v>1262</v>
      </c>
      <c r="AF88" s="275">
        <v>906</v>
      </c>
      <c r="AG88" s="275">
        <v>1802</v>
      </c>
      <c r="AH88" s="275">
        <v>277</v>
      </c>
      <c r="AI88" s="275">
        <v>1272</v>
      </c>
      <c r="AJ88" s="275">
        <v>1163</v>
      </c>
      <c r="AK88" s="277">
        <f>2647+1776+1769</f>
        <v>6192</v>
      </c>
      <c r="AL88" s="277">
        <f t="shared" si="15"/>
        <v>20340</v>
      </c>
      <c r="AM88" s="277">
        <f t="shared" si="16"/>
        <v>20694</v>
      </c>
      <c r="AN88" s="272">
        <f t="shared" si="17"/>
        <v>-5189.5478999999996</v>
      </c>
      <c r="AO88" s="437"/>
      <c r="AQ88" s="958"/>
      <c r="AR88" s="958"/>
    </row>
    <row r="89" spans="1:44" s="1933" customFormat="1" ht="11.45" customHeight="1" x14ac:dyDescent="0.2">
      <c r="A89" s="156" t="s">
        <v>804</v>
      </c>
      <c r="B89" s="1136" t="s">
        <v>556</v>
      </c>
      <c r="C89" s="355">
        <v>164</v>
      </c>
      <c r="D89" s="355">
        <v>449</v>
      </c>
      <c r="E89" s="355">
        <v>1</v>
      </c>
      <c r="F89" s="355">
        <v>226</v>
      </c>
      <c r="G89" s="216">
        <f>86+285</f>
        <v>371</v>
      </c>
      <c r="H89" s="216">
        <v>11317</v>
      </c>
      <c r="I89" s="355">
        <v>0</v>
      </c>
      <c r="J89" s="355">
        <v>0</v>
      </c>
      <c r="K89" s="355">
        <v>0</v>
      </c>
      <c r="L89" s="355">
        <f t="shared" si="13"/>
        <v>4454.2861499999999</v>
      </c>
      <c r="M89" s="356">
        <f>14162+35.453*79.55</f>
        <v>16982.28615</v>
      </c>
      <c r="N89" s="356">
        <v>6</v>
      </c>
      <c r="O89" s="356">
        <v>258</v>
      </c>
      <c r="P89" s="356">
        <f t="shared" si="14"/>
        <v>264</v>
      </c>
      <c r="Q89" s="356">
        <v>148</v>
      </c>
      <c r="R89" s="356">
        <v>58</v>
      </c>
      <c r="S89" s="356">
        <v>17</v>
      </c>
      <c r="T89" s="356">
        <v>1434</v>
      </c>
      <c r="U89" s="356">
        <v>199</v>
      </c>
      <c r="V89" s="1423">
        <v>641</v>
      </c>
      <c r="W89" s="1423">
        <v>398</v>
      </c>
      <c r="X89" s="236">
        <v>636</v>
      </c>
      <c r="Y89" s="236">
        <v>4088</v>
      </c>
      <c r="Z89" s="356">
        <v>820</v>
      </c>
      <c r="AA89" s="236">
        <v>68</v>
      </c>
      <c r="AB89" s="356">
        <v>1510</v>
      </c>
      <c r="AC89" s="236">
        <v>264</v>
      </c>
      <c r="AD89" s="236">
        <v>921</v>
      </c>
      <c r="AE89" s="236">
        <v>1385</v>
      </c>
      <c r="AF89" s="236">
        <v>1027</v>
      </c>
      <c r="AG89" s="236">
        <v>2430</v>
      </c>
      <c r="AH89" s="236">
        <v>367</v>
      </c>
      <c r="AI89" s="236">
        <v>1690</v>
      </c>
      <c r="AJ89" s="236">
        <v>1373</v>
      </c>
      <c r="AK89" s="356">
        <f>2525+2336+2197</f>
        <v>7058</v>
      </c>
      <c r="AL89" s="356">
        <f t="shared" si="15"/>
        <v>26532</v>
      </c>
      <c r="AM89" s="356">
        <f t="shared" si="16"/>
        <v>26796</v>
      </c>
      <c r="AN89" s="216">
        <f t="shared" si="17"/>
        <v>-9813.7138500000001</v>
      </c>
      <c r="AO89" s="437"/>
      <c r="AQ89" s="958"/>
      <c r="AR89" s="958"/>
    </row>
    <row r="90" spans="1:44" s="1933" customFormat="1" ht="11.45" customHeight="1" x14ac:dyDescent="0.2">
      <c r="A90" s="156" t="s">
        <v>804</v>
      </c>
      <c r="B90" s="482" t="s">
        <v>557</v>
      </c>
      <c r="C90" s="374">
        <v>113</v>
      </c>
      <c r="D90" s="374">
        <v>465</v>
      </c>
      <c r="E90" s="374">
        <v>1</v>
      </c>
      <c r="F90" s="374">
        <v>378</v>
      </c>
      <c r="G90" s="272">
        <f>68+212</f>
        <v>280</v>
      </c>
      <c r="H90" s="272">
        <v>10382</v>
      </c>
      <c r="I90" s="374">
        <v>0</v>
      </c>
      <c r="J90" s="374">
        <v>0</v>
      </c>
      <c r="K90" s="374">
        <v>0</v>
      </c>
      <c r="L90" s="374">
        <f t="shared" si="13"/>
        <v>3264.8430700000008</v>
      </c>
      <c r="M90" s="277">
        <f>12592+29.007*79.01</f>
        <v>14883.843070000001</v>
      </c>
      <c r="N90" s="277">
        <v>16</v>
      </c>
      <c r="O90" s="277">
        <v>325</v>
      </c>
      <c r="P90" s="277">
        <f t="shared" si="14"/>
        <v>341</v>
      </c>
      <c r="Q90" s="277">
        <v>129</v>
      </c>
      <c r="R90" s="277">
        <v>75</v>
      </c>
      <c r="S90" s="277">
        <v>264</v>
      </c>
      <c r="T90" s="277">
        <v>889</v>
      </c>
      <c r="U90" s="277">
        <v>131</v>
      </c>
      <c r="V90" s="1819">
        <v>414</v>
      </c>
      <c r="W90" s="1819">
        <v>386</v>
      </c>
      <c r="X90" s="275">
        <v>0</v>
      </c>
      <c r="Y90" s="275">
        <v>1981</v>
      </c>
      <c r="Z90" s="277">
        <v>741</v>
      </c>
      <c r="AA90" s="275">
        <v>71</v>
      </c>
      <c r="AB90" s="277">
        <v>829</v>
      </c>
      <c r="AC90" s="275">
        <v>225</v>
      </c>
      <c r="AD90" s="275">
        <v>784</v>
      </c>
      <c r="AE90" s="275">
        <v>1194</v>
      </c>
      <c r="AF90" s="275">
        <v>766</v>
      </c>
      <c r="AG90" s="275">
        <v>2212</v>
      </c>
      <c r="AH90" s="275">
        <v>291</v>
      </c>
      <c r="AI90" s="275">
        <v>1828</v>
      </c>
      <c r="AJ90" s="275">
        <v>1113</v>
      </c>
      <c r="AK90" s="277">
        <f>2388+1929+1628</f>
        <v>5945</v>
      </c>
      <c r="AL90" s="277">
        <f t="shared" si="15"/>
        <v>20268</v>
      </c>
      <c r="AM90" s="277">
        <f t="shared" si="16"/>
        <v>20609</v>
      </c>
      <c r="AN90" s="272">
        <f t="shared" si="17"/>
        <v>-5725.1569299999992</v>
      </c>
      <c r="AO90" s="437"/>
      <c r="AQ90" s="958"/>
      <c r="AR90" s="958"/>
    </row>
    <row r="91" spans="1:44" s="1933" customFormat="1" ht="11.45" customHeight="1" x14ac:dyDescent="0.2">
      <c r="A91" s="156" t="s">
        <v>804</v>
      </c>
      <c r="B91" s="1136" t="s">
        <v>549</v>
      </c>
      <c r="C91" s="355">
        <v>144</v>
      </c>
      <c r="D91" s="355">
        <v>536</v>
      </c>
      <c r="E91" s="355">
        <v>0</v>
      </c>
      <c r="F91" s="355">
        <v>212</v>
      </c>
      <c r="G91" s="216">
        <v>183</v>
      </c>
      <c r="H91" s="216">
        <v>11358</v>
      </c>
      <c r="I91" s="355">
        <v>0</v>
      </c>
      <c r="J91" s="355">
        <v>0</v>
      </c>
      <c r="K91" s="355">
        <v>0</v>
      </c>
      <c r="L91" s="355">
        <f t="shared" si="13"/>
        <v>3870.3043600000001</v>
      </c>
      <c r="M91" s="356">
        <f>13644+33.842*78.58</f>
        <v>16303.30436</v>
      </c>
      <c r="N91" s="356">
        <v>28</v>
      </c>
      <c r="O91" s="356">
        <v>252</v>
      </c>
      <c r="P91" s="356">
        <f t="shared" si="14"/>
        <v>280</v>
      </c>
      <c r="Q91" s="356">
        <v>128</v>
      </c>
      <c r="R91" s="356">
        <v>83</v>
      </c>
      <c r="S91" s="356">
        <v>160</v>
      </c>
      <c r="T91" s="356">
        <v>1214</v>
      </c>
      <c r="U91" s="356">
        <v>229</v>
      </c>
      <c r="V91" s="1423">
        <v>483</v>
      </c>
      <c r="W91" s="1423">
        <v>377</v>
      </c>
      <c r="X91" s="236">
        <v>1332</v>
      </c>
      <c r="Y91" s="236">
        <v>2663</v>
      </c>
      <c r="Z91" s="356">
        <v>812</v>
      </c>
      <c r="AA91" s="236">
        <v>88</v>
      </c>
      <c r="AB91" s="356">
        <v>498</v>
      </c>
      <c r="AC91" s="236">
        <v>283</v>
      </c>
      <c r="AD91" s="236">
        <v>913</v>
      </c>
      <c r="AE91" s="236">
        <v>1386</v>
      </c>
      <c r="AF91" s="236">
        <v>749</v>
      </c>
      <c r="AG91" s="236">
        <v>2302</v>
      </c>
      <c r="AH91" s="236">
        <v>306</v>
      </c>
      <c r="AI91" s="236">
        <v>1669</v>
      </c>
      <c r="AJ91" s="236">
        <v>988</v>
      </c>
      <c r="AK91" s="356">
        <f>2437+1968+1541</f>
        <v>5946</v>
      </c>
      <c r="AL91" s="356">
        <f t="shared" si="15"/>
        <v>22609</v>
      </c>
      <c r="AM91" s="356">
        <f t="shared" si="16"/>
        <v>22889</v>
      </c>
      <c r="AN91" s="216">
        <f t="shared" si="17"/>
        <v>-6585.6956399999999</v>
      </c>
      <c r="AO91" s="437"/>
      <c r="AQ91" s="958"/>
      <c r="AR91" s="958"/>
    </row>
    <row r="92" spans="1:44" s="1933" customFormat="1" ht="11.45" customHeight="1" x14ac:dyDescent="0.2">
      <c r="A92" s="156" t="s">
        <v>804</v>
      </c>
      <c r="B92" s="482" t="s">
        <v>558</v>
      </c>
      <c r="C92" s="374">
        <v>125</v>
      </c>
      <c r="D92" s="374">
        <v>542</v>
      </c>
      <c r="E92" s="374">
        <v>1</v>
      </c>
      <c r="F92" s="374">
        <v>578</v>
      </c>
      <c r="G92" s="272">
        <v>210</v>
      </c>
      <c r="H92" s="272">
        <v>10599</v>
      </c>
      <c r="I92" s="374">
        <v>145</v>
      </c>
      <c r="J92" s="374">
        <v>0</v>
      </c>
      <c r="K92" s="374">
        <v>0</v>
      </c>
      <c r="L92" s="374">
        <f t="shared" si="13"/>
        <v>3374.4455999999991</v>
      </c>
      <c r="M92" s="277">
        <f>13271+29.52*78.03</f>
        <v>15574.445599999999</v>
      </c>
      <c r="N92" s="277">
        <v>23</v>
      </c>
      <c r="O92" s="277">
        <v>346</v>
      </c>
      <c r="P92" s="277">
        <f t="shared" si="14"/>
        <v>369</v>
      </c>
      <c r="Q92" s="277">
        <v>128</v>
      </c>
      <c r="R92" s="277">
        <v>99</v>
      </c>
      <c r="S92" s="277">
        <v>199</v>
      </c>
      <c r="T92" s="277">
        <v>774</v>
      </c>
      <c r="U92" s="277">
        <v>329</v>
      </c>
      <c r="V92" s="1819">
        <v>691</v>
      </c>
      <c r="W92" s="1819">
        <v>337</v>
      </c>
      <c r="X92" s="275">
        <v>0</v>
      </c>
      <c r="Y92" s="275">
        <v>2217</v>
      </c>
      <c r="Z92" s="277">
        <v>896</v>
      </c>
      <c r="AA92" s="275">
        <v>55</v>
      </c>
      <c r="AB92" s="277">
        <v>135</v>
      </c>
      <c r="AC92" s="275">
        <v>252</v>
      </c>
      <c r="AD92" s="275">
        <v>1045</v>
      </c>
      <c r="AE92" s="275">
        <v>1668</v>
      </c>
      <c r="AF92" s="275">
        <v>872</v>
      </c>
      <c r="AG92" s="275">
        <v>2423</v>
      </c>
      <c r="AH92" s="275">
        <v>336</v>
      </c>
      <c r="AI92" s="275">
        <v>1616</v>
      </c>
      <c r="AJ92" s="275">
        <v>1285</v>
      </c>
      <c r="AK92" s="277">
        <f>2172+2281+2013</f>
        <v>6466</v>
      </c>
      <c r="AL92" s="277">
        <f t="shared" si="15"/>
        <v>21823</v>
      </c>
      <c r="AM92" s="277">
        <f t="shared" si="16"/>
        <v>22192</v>
      </c>
      <c r="AN92" s="272">
        <f t="shared" si="17"/>
        <v>-6617.5544000000009</v>
      </c>
      <c r="AO92" s="437"/>
      <c r="AQ92" s="958"/>
      <c r="AR92" s="958"/>
    </row>
    <row r="93" spans="1:44" s="1933" customFormat="1" ht="11.45" customHeight="1" x14ac:dyDescent="0.2">
      <c r="A93" s="156" t="s">
        <v>804</v>
      </c>
      <c r="B93" s="1136" t="s">
        <v>559</v>
      </c>
      <c r="C93" s="355">
        <v>172</v>
      </c>
      <c r="D93" s="355">
        <v>559</v>
      </c>
      <c r="E93" s="355">
        <v>0</v>
      </c>
      <c r="F93" s="355">
        <v>318</v>
      </c>
      <c r="G93" s="216">
        <f>63+274</f>
        <v>337</v>
      </c>
      <c r="H93" s="216">
        <v>11823</v>
      </c>
      <c r="I93" s="355">
        <v>0</v>
      </c>
      <c r="J93" s="355">
        <v>0</v>
      </c>
      <c r="K93" s="355">
        <v>0</v>
      </c>
      <c r="L93" s="355">
        <f t="shared" si="13"/>
        <v>4286.5450400000009</v>
      </c>
      <c r="M93" s="356">
        <f>14687+36.081*77.84</f>
        <v>17495.545040000001</v>
      </c>
      <c r="N93" s="356">
        <v>3</v>
      </c>
      <c r="O93" s="356">
        <v>523</v>
      </c>
      <c r="P93" s="356">
        <f t="shared" si="14"/>
        <v>526</v>
      </c>
      <c r="Q93" s="356">
        <v>211</v>
      </c>
      <c r="R93" s="356">
        <v>96</v>
      </c>
      <c r="S93" s="356">
        <v>71</v>
      </c>
      <c r="T93" s="356">
        <v>913</v>
      </c>
      <c r="U93" s="356">
        <v>276</v>
      </c>
      <c r="V93" s="1423">
        <v>3</v>
      </c>
      <c r="W93" s="1423">
        <v>285</v>
      </c>
      <c r="X93" s="236">
        <v>1906</v>
      </c>
      <c r="Y93" s="236">
        <v>1615</v>
      </c>
      <c r="Z93" s="356">
        <v>900</v>
      </c>
      <c r="AA93" s="236">
        <v>74</v>
      </c>
      <c r="AB93" s="356">
        <v>337</v>
      </c>
      <c r="AC93" s="236">
        <v>328</v>
      </c>
      <c r="AD93" s="236">
        <v>968</v>
      </c>
      <c r="AE93" s="236">
        <v>1391</v>
      </c>
      <c r="AF93" s="236">
        <v>832</v>
      </c>
      <c r="AG93" s="236">
        <v>2300</v>
      </c>
      <c r="AH93" s="236">
        <v>362</v>
      </c>
      <c r="AI93" s="236">
        <v>1549</v>
      </c>
      <c r="AJ93" s="236">
        <v>1414</v>
      </c>
      <c r="AK93" s="356">
        <f>2684+2039+1905</f>
        <v>6628</v>
      </c>
      <c r="AL93" s="356">
        <f t="shared" si="15"/>
        <v>22459</v>
      </c>
      <c r="AM93" s="356">
        <f t="shared" si="16"/>
        <v>22985</v>
      </c>
      <c r="AN93" s="216">
        <f t="shared" si="17"/>
        <v>-5489.4549599999991</v>
      </c>
      <c r="AO93" s="437"/>
      <c r="AQ93" s="958"/>
      <c r="AR93" s="958"/>
    </row>
    <row r="94" spans="1:44" s="1933" customFormat="1" ht="11.45" customHeight="1" x14ac:dyDescent="0.2">
      <c r="A94" s="156" t="s">
        <v>804</v>
      </c>
      <c r="B94" s="482" t="s">
        <v>550</v>
      </c>
      <c r="C94" s="374">
        <v>153</v>
      </c>
      <c r="D94" s="374">
        <v>508</v>
      </c>
      <c r="E94" s="374">
        <v>2</v>
      </c>
      <c r="F94" s="374">
        <v>526</v>
      </c>
      <c r="G94" s="272">
        <f>44+286</f>
        <v>330</v>
      </c>
      <c r="H94" s="272">
        <v>11832</v>
      </c>
      <c r="I94" s="374">
        <v>0</v>
      </c>
      <c r="J94" s="374">
        <v>0</v>
      </c>
      <c r="K94" s="374">
        <v>0</v>
      </c>
      <c r="L94" s="374">
        <f t="shared" si="13"/>
        <v>4465.4736000000012</v>
      </c>
      <c r="M94" s="277">
        <f>14542+42.11*77.76</f>
        <v>17816.473600000001</v>
      </c>
      <c r="N94" s="277">
        <v>21</v>
      </c>
      <c r="O94" s="277">
        <v>609</v>
      </c>
      <c r="P94" s="277">
        <f t="shared" si="14"/>
        <v>630</v>
      </c>
      <c r="Q94" s="277">
        <v>152</v>
      </c>
      <c r="R94" s="277">
        <v>92</v>
      </c>
      <c r="S94" s="277">
        <v>233</v>
      </c>
      <c r="T94" s="277">
        <v>911</v>
      </c>
      <c r="U94" s="277">
        <v>502</v>
      </c>
      <c r="V94" s="1819">
        <v>476</v>
      </c>
      <c r="W94" s="1819">
        <v>280</v>
      </c>
      <c r="X94" s="275">
        <v>694</v>
      </c>
      <c r="Y94" s="275">
        <v>2412</v>
      </c>
      <c r="Z94" s="277">
        <v>973</v>
      </c>
      <c r="AA94" s="275">
        <v>55</v>
      </c>
      <c r="AB94" s="277">
        <v>191</v>
      </c>
      <c r="AC94" s="275">
        <v>268</v>
      </c>
      <c r="AD94" s="275">
        <v>983</v>
      </c>
      <c r="AE94" s="275">
        <v>1450</v>
      </c>
      <c r="AF94" s="275">
        <v>844</v>
      </c>
      <c r="AG94" s="275">
        <v>2128</v>
      </c>
      <c r="AH94" s="275">
        <v>275</v>
      </c>
      <c r="AI94" s="275">
        <v>1541</v>
      </c>
      <c r="AJ94" s="275">
        <v>1052</v>
      </c>
      <c r="AK94" s="277">
        <f>2977+2145+1657</f>
        <v>6779</v>
      </c>
      <c r="AL94" s="277">
        <f t="shared" si="15"/>
        <v>22291</v>
      </c>
      <c r="AM94" s="277">
        <f t="shared" si="16"/>
        <v>22921</v>
      </c>
      <c r="AN94" s="272">
        <f t="shared" si="17"/>
        <v>-5104.5263999999988</v>
      </c>
      <c r="AO94" s="437"/>
      <c r="AQ94" s="958"/>
      <c r="AR94" s="958"/>
    </row>
    <row r="95" spans="1:44" s="1933" customFormat="1" ht="11.45" customHeight="1" x14ac:dyDescent="0.2">
      <c r="A95" s="156" t="s">
        <v>978</v>
      </c>
      <c r="B95" s="1136" t="s">
        <v>552</v>
      </c>
      <c r="C95" s="374">
        <v>132</v>
      </c>
      <c r="D95" s="374">
        <v>479</v>
      </c>
      <c r="E95" s="374">
        <v>3</v>
      </c>
      <c r="F95" s="374">
        <v>258</v>
      </c>
      <c r="G95" s="272">
        <f>37+307</f>
        <v>344</v>
      </c>
      <c r="H95" s="272">
        <v>12309</v>
      </c>
      <c r="I95" s="374">
        <v>0</v>
      </c>
      <c r="J95" s="374">
        <v>0</v>
      </c>
      <c r="K95" s="374">
        <v>0</v>
      </c>
      <c r="L95" s="374">
        <f t="shared" ref="L95:L118" si="18">M95-SUM(C95:K95)</f>
        <v>4824.1536000000015</v>
      </c>
      <c r="M95" s="277">
        <f>14890+44.485*77.76</f>
        <v>18349.153600000001</v>
      </c>
      <c r="N95" s="277">
        <v>98</v>
      </c>
      <c r="O95" s="277">
        <v>1041</v>
      </c>
      <c r="P95" s="277">
        <f t="shared" ref="P95:P118" si="19">N95+O95</f>
        <v>1139</v>
      </c>
      <c r="Q95" s="277">
        <v>150</v>
      </c>
      <c r="R95" s="277">
        <v>139</v>
      </c>
      <c r="S95" s="277">
        <v>365</v>
      </c>
      <c r="T95" s="277">
        <v>1717</v>
      </c>
      <c r="U95" s="277">
        <v>448</v>
      </c>
      <c r="V95" s="1819">
        <v>588</v>
      </c>
      <c r="W95" s="1819">
        <v>491</v>
      </c>
      <c r="X95" s="275">
        <v>0</v>
      </c>
      <c r="Y95" s="275">
        <v>2036</v>
      </c>
      <c r="Z95" s="277">
        <v>1067</v>
      </c>
      <c r="AA95" s="275">
        <v>89</v>
      </c>
      <c r="AB95" s="277">
        <v>603</v>
      </c>
      <c r="AC95" s="275">
        <v>326</v>
      </c>
      <c r="AD95" s="275">
        <v>1263</v>
      </c>
      <c r="AE95" s="275">
        <v>1640</v>
      </c>
      <c r="AF95" s="275">
        <v>1040</v>
      </c>
      <c r="AG95" s="275">
        <v>2737</v>
      </c>
      <c r="AH95" s="275">
        <v>319</v>
      </c>
      <c r="AI95" s="275">
        <v>2174</v>
      </c>
      <c r="AJ95" s="275">
        <v>1826</v>
      </c>
      <c r="AK95" s="277">
        <f>2908+2579+1396</f>
        <v>6883</v>
      </c>
      <c r="AL95" s="277">
        <f t="shared" ref="AL95:AL118" si="20">SUM(Q95:U95)+SUM(V95:AK95)</f>
        <v>25901</v>
      </c>
      <c r="AM95" s="277">
        <f t="shared" ref="AM95:AM118" si="21">P95+AL95</f>
        <v>27040</v>
      </c>
      <c r="AN95" s="272">
        <f t="shared" ref="AN95:AN118" si="22">M95-AM95</f>
        <v>-8690.8463999999985</v>
      </c>
      <c r="AO95" s="437"/>
      <c r="AQ95" s="958"/>
      <c r="AR95" s="958"/>
    </row>
    <row r="96" spans="1:44" s="1933" customFormat="1" ht="11.45" customHeight="1" x14ac:dyDescent="0.2">
      <c r="A96" s="156" t="s">
        <v>978</v>
      </c>
      <c r="B96" s="482" t="s">
        <v>112</v>
      </c>
      <c r="C96" s="355">
        <v>55</v>
      </c>
      <c r="D96" s="355">
        <v>391</v>
      </c>
      <c r="E96" s="355">
        <v>0</v>
      </c>
      <c r="F96" s="355">
        <v>296</v>
      </c>
      <c r="G96" s="216">
        <f>31+384</f>
        <v>415</v>
      </c>
      <c r="H96" s="216">
        <v>10760</v>
      </c>
      <c r="I96" s="355">
        <v>0</v>
      </c>
      <c r="J96" s="355">
        <v>0</v>
      </c>
      <c r="K96" s="355">
        <v>0</v>
      </c>
      <c r="L96" s="355">
        <f t="shared" si="18"/>
        <v>3517.4492499999997</v>
      </c>
      <c r="M96" s="356">
        <f>13302+27.427*77.75</f>
        <v>15434.44925</v>
      </c>
      <c r="N96" s="356">
        <v>116</v>
      </c>
      <c r="O96" s="356">
        <v>671</v>
      </c>
      <c r="P96" s="356">
        <f t="shared" si="19"/>
        <v>787</v>
      </c>
      <c r="Q96" s="356">
        <v>144</v>
      </c>
      <c r="R96" s="356">
        <v>114</v>
      </c>
      <c r="S96" s="356">
        <v>84</v>
      </c>
      <c r="T96" s="356">
        <v>988</v>
      </c>
      <c r="U96" s="356">
        <v>462</v>
      </c>
      <c r="V96" s="1423">
        <v>591</v>
      </c>
      <c r="W96" s="1423">
        <v>481</v>
      </c>
      <c r="X96" s="236">
        <v>540</v>
      </c>
      <c r="Y96" s="236">
        <v>1910</v>
      </c>
      <c r="Z96" s="356">
        <v>788</v>
      </c>
      <c r="AA96" s="236">
        <v>51</v>
      </c>
      <c r="AB96" s="356">
        <v>275</v>
      </c>
      <c r="AC96" s="236">
        <v>274</v>
      </c>
      <c r="AD96" s="236">
        <v>961</v>
      </c>
      <c r="AE96" s="236">
        <v>1349</v>
      </c>
      <c r="AF96" s="236">
        <v>841</v>
      </c>
      <c r="AG96" s="236">
        <v>2248</v>
      </c>
      <c r="AH96" s="236">
        <v>256</v>
      </c>
      <c r="AI96" s="236">
        <v>1475</v>
      </c>
      <c r="AJ96" s="236">
        <v>1087</v>
      </c>
      <c r="AK96" s="356">
        <f>2915+2113+1440</f>
        <v>6468</v>
      </c>
      <c r="AL96" s="356">
        <f t="shared" si="20"/>
        <v>21387</v>
      </c>
      <c r="AM96" s="356">
        <f t="shared" si="21"/>
        <v>22174</v>
      </c>
      <c r="AN96" s="216">
        <f t="shared" si="22"/>
        <v>-6739.5507500000003</v>
      </c>
      <c r="AO96" s="437"/>
      <c r="AQ96" s="958"/>
      <c r="AR96" s="958"/>
    </row>
    <row r="97" spans="1:44" s="1933" customFormat="1" ht="11.45" customHeight="1" x14ac:dyDescent="0.2">
      <c r="A97" s="156" t="s">
        <v>978</v>
      </c>
      <c r="B97" s="1136" t="s">
        <v>547</v>
      </c>
      <c r="C97" s="374">
        <v>67</v>
      </c>
      <c r="D97" s="374">
        <v>537</v>
      </c>
      <c r="E97" s="374">
        <v>1</v>
      </c>
      <c r="F97" s="374">
        <v>311</v>
      </c>
      <c r="G97" s="272">
        <f>42+398</f>
        <v>440</v>
      </c>
      <c r="H97" s="272">
        <v>13470</v>
      </c>
      <c r="I97" s="374">
        <v>0</v>
      </c>
      <c r="J97" s="374">
        <v>0</v>
      </c>
      <c r="K97" s="374">
        <v>0</v>
      </c>
      <c r="L97" s="374">
        <f t="shared" si="18"/>
        <v>4157.6287499999999</v>
      </c>
      <c r="M97" s="277">
        <f>16234+35.365*77.75</f>
        <v>18983.62875</v>
      </c>
      <c r="N97" s="277">
        <v>202</v>
      </c>
      <c r="O97" s="277">
        <v>1345</v>
      </c>
      <c r="P97" s="277">
        <f t="shared" si="19"/>
        <v>1547</v>
      </c>
      <c r="Q97" s="277">
        <v>157</v>
      </c>
      <c r="R97" s="277">
        <v>147</v>
      </c>
      <c r="S97" s="277">
        <v>337</v>
      </c>
      <c r="T97" s="277">
        <v>1052</v>
      </c>
      <c r="U97" s="277">
        <v>401</v>
      </c>
      <c r="V97" s="1819">
        <v>393</v>
      </c>
      <c r="W97" s="1819">
        <v>341</v>
      </c>
      <c r="X97" s="275">
        <v>582</v>
      </c>
      <c r="Y97" s="275">
        <v>2471</v>
      </c>
      <c r="Z97" s="277">
        <v>997</v>
      </c>
      <c r="AA97" s="275">
        <v>69</v>
      </c>
      <c r="AB97" s="277">
        <v>617</v>
      </c>
      <c r="AC97" s="275">
        <v>323</v>
      </c>
      <c r="AD97" s="275">
        <v>1095</v>
      </c>
      <c r="AE97" s="275">
        <v>1900</v>
      </c>
      <c r="AF97" s="275">
        <v>962</v>
      </c>
      <c r="AG97" s="275">
        <v>2583</v>
      </c>
      <c r="AH97" s="275">
        <v>359</v>
      </c>
      <c r="AI97" s="275">
        <v>1702</v>
      </c>
      <c r="AJ97" s="275">
        <v>1413</v>
      </c>
      <c r="AK97" s="277">
        <f>3266+2633+1701</f>
        <v>7600</v>
      </c>
      <c r="AL97" s="277">
        <f t="shared" si="20"/>
        <v>25501</v>
      </c>
      <c r="AM97" s="277">
        <f t="shared" si="21"/>
        <v>27048</v>
      </c>
      <c r="AN97" s="272">
        <f t="shared" si="22"/>
        <v>-8064.3712500000001</v>
      </c>
      <c r="AO97" s="437"/>
      <c r="AQ97" s="958"/>
      <c r="AR97" s="958"/>
    </row>
    <row r="98" spans="1:44" s="1933" customFormat="1" ht="11.45" customHeight="1" x14ac:dyDescent="0.2">
      <c r="A98" s="156" t="s">
        <v>978</v>
      </c>
      <c r="B98" s="482" t="s">
        <v>554</v>
      </c>
      <c r="C98" s="355">
        <v>63</v>
      </c>
      <c r="D98" s="355">
        <v>421</v>
      </c>
      <c r="E98" s="355">
        <v>1</v>
      </c>
      <c r="F98" s="355">
        <v>310</v>
      </c>
      <c r="G98" s="216">
        <f>48+452</f>
        <v>500</v>
      </c>
      <c r="H98" s="216">
        <v>11636</v>
      </c>
      <c r="I98" s="355">
        <v>0</v>
      </c>
      <c r="J98" s="355">
        <v>0</v>
      </c>
      <c r="K98" s="355">
        <v>0</v>
      </c>
      <c r="L98" s="355">
        <f t="shared" si="18"/>
        <v>3643.6697500000009</v>
      </c>
      <c r="M98" s="356">
        <f>14313+29.089*77.75</f>
        <v>16574.669750000001</v>
      </c>
      <c r="N98" s="356">
        <v>201</v>
      </c>
      <c r="O98" s="356">
        <v>1086</v>
      </c>
      <c r="P98" s="356">
        <f t="shared" si="19"/>
        <v>1287</v>
      </c>
      <c r="Q98" s="356">
        <v>181</v>
      </c>
      <c r="R98" s="356">
        <v>181</v>
      </c>
      <c r="S98" s="356">
        <v>1</v>
      </c>
      <c r="T98" s="356">
        <v>1143</v>
      </c>
      <c r="U98" s="356">
        <v>305</v>
      </c>
      <c r="V98" s="1423">
        <v>486</v>
      </c>
      <c r="W98" s="1423">
        <v>291</v>
      </c>
      <c r="X98" s="236">
        <v>677</v>
      </c>
      <c r="Y98" s="236">
        <v>2852</v>
      </c>
      <c r="Z98" s="356">
        <v>945</v>
      </c>
      <c r="AA98" s="236">
        <v>73</v>
      </c>
      <c r="AB98" s="356">
        <v>636</v>
      </c>
      <c r="AC98" s="236">
        <v>316</v>
      </c>
      <c r="AD98" s="236">
        <v>1309</v>
      </c>
      <c r="AE98" s="236">
        <v>1394</v>
      </c>
      <c r="AF98" s="236">
        <v>911</v>
      </c>
      <c r="AG98" s="236">
        <v>2090</v>
      </c>
      <c r="AH98" s="236">
        <v>295</v>
      </c>
      <c r="AI98" s="236">
        <v>1768</v>
      </c>
      <c r="AJ98" s="236">
        <v>1584</v>
      </c>
      <c r="AK98" s="356">
        <f>2942+2442+1656</f>
        <v>7040</v>
      </c>
      <c r="AL98" s="356">
        <f t="shared" si="20"/>
        <v>24478</v>
      </c>
      <c r="AM98" s="356">
        <f t="shared" si="21"/>
        <v>25765</v>
      </c>
      <c r="AN98" s="216">
        <f t="shared" si="22"/>
        <v>-9190.3302499999991</v>
      </c>
      <c r="AO98" s="437"/>
      <c r="AQ98" s="958"/>
      <c r="AR98" s="958"/>
    </row>
    <row r="99" spans="1:44" s="1933" customFormat="1" ht="11.45" customHeight="1" x14ac:dyDescent="0.2">
      <c r="A99" s="156" t="s">
        <v>978</v>
      </c>
      <c r="B99" s="1136" t="s">
        <v>555</v>
      </c>
      <c r="C99" s="374">
        <v>75</v>
      </c>
      <c r="D99" s="374">
        <v>404</v>
      </c>
      <c r="E99" s="374">
        <v>1</v>
      </c>
      <c r="F99" s="374">
        <v>286</v>
      </c>
      <c r="G99" s="272">
        <f>49+396</f>
        <v>445</v>
      </c>
      <c r="H99" s="272">
        <v>12014</v>
      </c>
      <c r="I99" s="374">
        <v>134</v>
      </c>
      <c r="J99" s="374">
        <v>0</v>
      </c>
      <c r="K99" s="374">
        <v>0</v>
      </c>
      <c r="L99" s="374">
        <f t="shared" si="18"/>
        <v>4263.6827499999999</v>
      </c>
      <c r="M99" s="277">
        <f>14962+34.221*77.75</f>
        <v>17622.68275</v>
      </c>
      <c r="N99" s="277">
        <v>135</v>
      </c>
      <c r="O99" s="277">
        <v>218</v>
      </c>
      <c r="P99" s="277">
        <f t="shared" si="19"/>
        <v>353</v>
      </c>
      <c r="Q99" s="277">
        <v>302</v>
      </c>
      <c r="R99" s="277">
        <v>98</v>
      </c>
      <c r="S99" s="277">
        <v>929</v>
      </c>
      <c r="T99" s="277">
        <v>1122</v>
      </c>
      <c r="U99" s="277">
        <v>335</v>
      </c>
      <c r="V99" s="1819">
        <v>656</v>
      </c>
      <c r="W99" s="1819">
        <v>314</v>
      </c>
      <c r="X99" s="275">
        <v>624</v>
      </c>
      <c r="Y99" s="275">
        <v>2367</v>
      </c>
      <c r="Z99" s="277">
        <v>891</v>
      </c>
      <c r="AA99" s="275">
        <v>83</v>
      </c>
      <c r="AB99" s="277">
        <v>1062</v>
      </c>
      <c r="AC99" s="275">
        <v>401</v>
      </c>
      <c r="AD99" s="275">
        <v>1085</v>
      </c>
      <c r="AE99" s="275">
        <v>1300</v>
      </c>
      <c r="AF99" s="275">
        <v>1013</v>
      </c>
      <c r="AG99" s="275">
        <v>2129</v>
      </c>
      <c r="AH99" s="275">
        <v>284</v>
      </c>
      <c r="AI99" s="275">
        <v>1884</v>
      </c>
      <c r="AJ99" s="275">
        <v>1751</v>
      </c>
      <c r="AK99" s="277">
        <f>3098+2353+1623</f>
        <v>7074</v>
      </c>
      <c r="AL99" s="277">
        <f t="shared" si="20"/>
        <v>25704</v>
      </c>
      <c r="AM99" s="277">
        <f t="shared" si="21"/>
        <v>26057</v>
      </c>
      <c r="AN99" s="272">
        <f t="shared" si="22"/>
        <v>-8434.3172500000001</v>
      </c>
      <c r="AO99" s="437"/>
      <c r="AQ99" s="958"/>
      <c r="AR99" s="958"/>
    </row>
    <row r="100" spans="1:44" s="1933" customFormat="1" ht="11.45" customHeight="1" x14ac:dyDescent="0.2">
      <c r="A100" s="156" t="s">
        <v>978</v>
      </c>
      <c r="B100" s="482" t="s">
        <v>548</v>
      </c>
      <c r="C100" s="355">
        <v>94</v>
      </c>
      <c r="D100" s="355">
        <v>441</v>
      </c>
      <c r="E100" s="355">
        <v>1</v>
      </c>
      <c r="F100" s="355">
        <v>321</v>
      </c>
      <c r="G100" s="216">
        <f>62+288</f>
        <v>350</v>
      </c>
      <c r="H100" s="216">
        <v>10675</v>
      </c>
      <c r="I100" s="355">
        <v>0</v>
      </c>
      <c r="J100" s="355">
        <v>0</v>
      </c>
      <c r="K100" s="355">
        <v>0</v>
      </c>
      <c r="L100" s="355">
        <f t="shared" si="18"/>
        <v>4434.3695000000007</v>
      </c>
      <c r="M100" s="356">
        <f>13121+41.098*77.75</f>
        <v>16316.369500000001</v>
      </c>
      <c r="N100" s="356">
        <v>78</v>
      </c>
      <c r="O100" s="356">
        <v>318</v>
      </c>
      <c r="P100" s="356">
        <f t="shared" si="19"/>
        <v>396</v>
      </c>
      <c r="Q100" s="356">
        <v>206</v>
      </c>
      <c r="R100" s="356">
        <v>69</v>
      </c>
      <c r="S100" s="356">
        <v>588</v>
      </c>
      <c r="T100" s="356">
        <v>1018</v>
      </c>
      <c r="U100" s="356">
        <v>144</v>
      </c>
      <c r="V100" s="1423">
        <v>981</v>
      </c>
      <c r="W100" s="1423">
        <v>325</v>
      </c>
      <c r="X100" s="236">
        <v>667</v>
      </c>
      <c r="Y100" s="236">
        <v>2668</v>
      </c>
      <c r="Z100" s="356">
        <v>961</v>
      </c>
      <c r="AA100" s="236">
        <v>72</v>
      </c>
      <c r="AB100" s="356">
        <v>1242</v>
      </c>
      <c r="AC100" s="236">
        <v>306</v>
      </c>
      <c r="AD100" s="236">
        <v>996</v>
      </c>
      <c r="AE100" s="236">
        <v>1283</v>
      </c>
      <c r="AF100" s="236">
        <v>866</v>
      </c>
      <c r="AG100" s="236">
        <v>2020</v>
      </c>
      <c r="AH100" s="236">
        <v>270</v>
      </c>
      <c r="AI100" s="236">
        <v>1661</v>
      </c>
      <c r="AJ100" s="236">
        <v>1616</v>
      </c>
      <c r="AK100" s="356">
        <f>3418+3287+1836</f>
        <v>8541</v>
      </c>
      <c r="AL100" s="356">
        <f t="shared" si="20"/>
        <v>26500</v>
      </c>
      <c r="AM100" s="356">
        <f t="shared" si="21"/>
        <v>26896</v>
      </c>
      <c r="AN100" s="216">
        <f t="shared" si="22"/>
        <v>-10579.630499999999</v>
      </c>
      <c r="AO100" s="437"/>
      <c r="AQ100" s="958"/>
      <c r="AR100" s="958"/>
    </row>
    <row r="101" spans="1:44" s="1933" customFormat="1" ht="11.45" customHeight="1" x14ac:dyDescent="0.2">
      <c r="A101" s="156" t="s">
        <v>978</v>
      </c>
      <c r="B101" s="1136" t="s">
        <v>556</v>
      </c>
      <c r="C101" s="374">
        <v>75</v>
      </c>
      <c r="D101" s="374">
        <v>373</v>
      </c>
      <c r="E101" s="374">
        <v>1</v>
      </c>
      <c r="F101" s="374">
        <v>342</v>
      </c>
      <c r="G101" s="272">
        <f>74+261</f>
        <v>335</v>
      </c>
      <c r="H101" s="272">
        <v>12396</v>
      </c>
      <c r="I101" s="374">
        <v>0</v>
      </c>
      <c r="J101" s="374">
        <v>0</v>
      </c>
      <c r="K101" s="374">
        <v>0</v>
      </c>
      <c r="L101" s="374">
        <f t="shared" si="18"/>
        <v>4480.8430000000008</v>
      </c>
      <c r="M101" s="277">
        <f>14951+39.252*77.75</f>
        <v>18002.843000000001</v>
      </c>
      <c r="N101" s="277">
        <v>207</v>
      </c>
      <c r="O101" s="277">
        <v>606</v>
      </c>
      <c r="P101" s="277">
        <f t="shared" si="19"/>
        <v>813</v>
      </c>
      <c r="Q101" s="277">
        <v>246</v>
      </c>
      <c r="R101" s="277">
        <v>92</v>
      </c>
      <c r="S101" s="277">
        <v>188</v>
      </c>
      <c r="T101" s="277">
        <v>1352</v>
      </c>
      <c r="U101" s="277">
        <v>231</v>
      </c>
      <c r="V101" s="1819">
        <v>724</v>
      </c>
      <c r="W101" s="1819">
        <v>370</v>
      </c>
      <c r="X101" s="275">
        <v>667</v>
      </c>
      <c r="Y101" s="275">
        <v>3098</v>
      </c>
      <c r="Z101" s="277">
        <v>1113</v>
      </c>
      <c r="AA101" s="275">
        <v>103</v>
      </c>
      <c r="AB101" s="277">
        <v>1172</v>
      </c>
      <c r="AC101" s="275">
        <v>366</v>
      </c>
      <c r="AD101" s="275">
        <v>1020</v>
      </c>
      <c r="AE101" s="275">
        <v>1481</v>
      </c>
      <c r="AF101" s="275">
        <v>1065</v>
      </c>
      <c r="AG101" s="275">
        <v>2712</v>
      </c>
      <c r="AH101" s="275">
        <v>290</v>
      </c>
      <c r="AI101" s="275">
        <v>1866</v>
      </c>
      <c r="AJ101" s="275">
        <v>1601</v>
      </c>
      <c r="AK101" s="277">
        <f>3151+2666+2032</f>
        <v>7849</v>
      </c>
      <c r="AL101" s="277">
        <f t="shared" si="20"/>
        <v>27606</v>
      </c>
      <c r="AM101" s="277">
        <f t="shared" si="21"/>
        <v>28419</v>
      </c>
      <c r="AN101" s="272">
        <f t="shared" si="22"/>
        <v>-10416.156999999999</v>
      </c>
      <c r="AO101" s="437"/>
      <c r="AQ101" s="958"/>
      <c r="AR101" s="958"/>
    </row>
    <row r="102" spans="1:44" s="1933" customFormat="1" ht="11.45" customHeight="1" x14ac:dyDescent="0.2">
      <c r="A102" s="156" t="s">
        <v>978</v>
      </c>
      <c r="B102" s="482" t="s">
        <v>557</v>
      </c>
      <c r="C102" s="355">
        <v>78</v>
      </c>
      <c r="D102" s="355">
        <v>423</v>
      </c>
      <c r="E102" s="355">
        <v>2</v>
      </c>
      <c r="F102" s="355">
        <v>362</v>
      </c>
      <c r="G102" s="216">
        <f>65+201</f>
        <v>266</v>
      </c>
      <c r="H102" s="216">
        <v>12281</v>
      </c>
      <c r="I102" s="355">
        <v>0</v>
      </c>
      <c r="J102" s="355">
        <v>0</v>
      </c>
      <c r="K102" s="355">
        <v>0</v>
      </c>
      <c r="L102" s="355">
        <f t="shared" si="18"/>
        <v>4371.541250000002</v>
      </c>
      <c r="M102" s="356">
        <f>15100+34.515*77.75</f>
        <v>17783.541250000002</v>
      </c>
      <c r="N102" s="356">
        <v>362</v>
      </c>
      <c r="O102" s="356">
        <v>771</v>
      </c>
      <c r="P102" s="356">
        <f t="shared" si="19"/>
        <v>1133</v>
      </c>
      <c r="Q102" s="356">
        <v>175</v>
      </c>
      <c r="R102" s="356">
        <v>87</v>
      </c>
      <c r="S102" s="356">
        <v>97</v>
      </c>
      <c r="T102" s="356">
        <v>1017</v>
      </c>
      <c r="U102" s="356">
        <v>165</v>
      </c>
      <c r="V102" s="1423">
        <v>737</v>
      </c>
      <c r="W102" s="1423">
        <v>529</v>
      </c>
      <c r="X102" s="236">
        <v>671</v>
      </c>
      <c r="Y102" s="236">
        <v>1855</v>
      </c>
      <c r="Z102" s="356">
        <v>741</v>
      </c>
      <c r="AA102" s="236">
        <v>82</v>
      </c>
      <c r="AB102" s="356">
        <v>472</v>
      </c>
      <c r="AC102" s="236">
        <v>275</v>
      </c>
      <c r="AD102" s="236">
        <v>940</v>
      </c>
      <c r="AE102" s="236">
        <v>1628</v>
      </c>
      <c r="AF102" s="236">
        <v>886</v>
      </c>
      <c r="AG102" s="236">
        <v>2156</v>
      </c>
      <c r="AH102" s="236">
        <v>313</v>
      </c>
      <c r="AI102" s="236">
        <v>1344</v>
      </c>
      <c r="AJ102" s="236">
        <v>1510</v>
      </c>
      <c r="AK102" s="356">
        <f>2698+2679+1536</f>
        <v>6913</v>
      </c>
      <c r="AL102" s="356">
        <f t="shared" si="20"/>
        <v>22593</v>
      </c>
      <c r="AM102" s="356">
        <f t="shared" si="21"/>
        <v>23726</v>
      </c>
      <c r="AN102" s="216">
        <f t="shared" si="22"/>
        <v>-5942.458749999998</v>
      </c>
      <c r="AO102" s="437"/>
      <c r="AQ102" s="958"/>
      <c r="AR102" s="958"/>
    </row>
    <row r="103" spans="1:44" s="1933" customFormat="1" ht="11.45" customHeight="1" x14ac:dyDescent="0.2">
      <c r="A103" s="156" t="s">
        <v>978</v>
      </c>
      <c r="B103" s="1136" t="s">
        <v>549</v>
      </c>
      <c r="C103" s="374">
        <v>76</v>
      </c>
      <c r="D103" s="374">
        <v>474</v>
      </c>
      <c r="E103" s="374">
        <v>0</v>
      </c>
      <c r="F103" s="374">
        <v>351</v>
      </c>
      <c r="G103" s="272">
        <f>58+205</f>
        <v>263</v>
      </c>
      <c r="H103" s="272">
        <v>12920</v>
      </c>
      <c r="I103" s="374">
        <v>0</v>
      </c>
      <c r="J103" s="374">
        <v>0</v>
      </c>
      <c r="K103" s="374">
        <v>0</v>
      </c>
      <c r="L103" s="374">
        <f t="shared" si="18"/>
        <v>4433.0596799999985</v>
      </c>
      <c r="M103" s="277">
        <f>15579+37.808*77.71</f>
        <v>18517.059679999998</v>
      </c>
      <c r="N103" s="277">
        <v>441</v>
      </c>
      <c r="O103" s="277">
        <v>880</v>
      </c>
      <c r="P103" s="277">
        <f t="shared" si="19"/>
        <v>1321</v>
      </c>
      <c r="Q103" s="277">
        <v>213</v>
      </c>
      <c r="R103" s="277">
        <v>91</v>
      </c>
      <c r="S103" s="277">
        <v>518</v>
      </c>
      <c r="T103" s="277">
        <v>852</v>
      </c>
      <c r="U103" s="277">
        <v>245</v>
      </c>
      <c r="V103" s="1819">
        <v>391</v>
      </c>
      <c r="W103" s="1819">
        <v>533</v>
      </c>
      <c r="X103" s="275">
        <v>610</v>
      </c>
      <c r="Y103" s="275">
        <v>3349</v>
      </c>
      <c r="Z103" s="277">
        <v>990</v>
      </c>
      <c r="AA103" s="275">
        <v>49</v>
      </c>
      <c r="AB103" s="277">
        <v>885</v>
      </c>
      <c r="AC103" s="275">
        <v>357</v>
      </c>
      <c r="AD103" s="275">
        <v>1124</v>
      </c>
      <c r="AE103" s="275">
        <v>1652</v>
      </c>
      <c r="AF103" s="275">
        <v>982</v>
      </c>
      <c r="AG103" s="275">
        <v>2219</v>
      </c>
      <c r="AH103" s="275">
        <v>371</v>
      </c>
      <c r="AI103" s="275">
        <v>1589</v>
      </c>
      <c r="AJ103" s="275">
        <v>1082</v>
      </c>
      <c r="AK103" s="277">
        <f>2933+2313+3785</f>
        <v>9031</v>
      </c>
      <c r="AL103" s="277">
        <f t="shared" si="20"/>
        <v>27133</v>
      </c>
      <c r="AM103" s="277">
        <f t="shared" si="21"/>
        <v>28454</v>
      </c>
      <c r="AN103" s="272">
        <f t="shared" si="22"/>
        <v>-9936.9403200000015</v>
      </c>
      <c r="AO103" s="437"/>
      <c r="AQ103" s="958"/>
      <c r="AR103" s="958"/>
    </row>
    <row r="104" spans="1:44" s="1933" customFormat="1" ht="11.45" customHeight="1" x14ac:dyDescent="0.2">
      <c r="A104" s="156" t="s">
        <v>978</v>
      </c>
      <c r="B104" s="482" t="s">
        <v>558</v>
      </c>
      <c r="C104" s="355">
        <v>87</v>
      </c>
      <c r="D104" s="355">
        <v>492</v>
      </c>
      <c r="E104" s="355">
        <v>5</v>
      </c>
      <c r="F104" s="355">
        <v>319</v>
      </c>
      <c r="G104" s="216">
        <f>53+131</f>
        <v>184</v>
      </c>
      <c r="H104" s="216">
        <v>12550</v>
      </c>
      <c r="I104" s="355">
        <v>0</v>
      </c>
      <c r="J104" s="355">
        <v>0</v>
      </c>
      <c r="K104" s="355">
        <v>0</v>
      </c>
      <c r="L104" s="355">
        <f t="shared" si="18"/>
        <v>4326.287519999998</v>
      </c>
      <c r="M104" s="356">
        <f>15193+35.672*77.66</f>
        <v>17963.287519999998</v>
      </c>
      <c r="N104" s="356">
        <v>436</v>
      </c>
      <c r="O104" s="356">
        <v>664</v>
      </c>
      <c r="P104" s="356">
        <f t="shared" si="19"/>
        <v>1100</v>
      </c>
      <c r="Q104" s="356">
        <v>151</v>
      </c>
      <c r="R104" s="356">
        <v>127</v>
      </c>
      <c r="S104" s="356">
        <v>204</v>
      </c>
      <c r="T104" s="356">
        <v>1329</v>
      </c>
      <c r="U104" s="356">
        <v>293</v>
      </c>
      <c r="V104" s="1423">
        <v>533</v>
      </c>
      <c r="W104" s="1423">
        <v>382</v>
      </c>
      <c r="X104" s="236">
        <v>881</v>
      </c>
      <c r="Y104" s="236">
        <v>2662</v>
      </c>
      <c r="Z104" s="356">
        <v>982</v>
      </c>
      <c r="AA104" s="236">
        <v>89</v>
      </c>
      <c r="AB104" s="356">
        <v>403</v>
      </c>
      <c r="AC104" s="236">
        <v>414</v>
      </c>
      <c r="AD104" s="236">
        <v>1275</v>
      </c>
      <c r="AE104" s="236">
        <v>2102</v>
      </c>
      <c r="AF104" s="236">
        <v>1034</v>
      </c>
      <c r="AG104" s="236">
        <v>2614</v>
      </c>
      <c r="AH104" s="236">
        <v>439</v>
      </c>
      <c r="AI104" s="236">
        <v>1734</v>
      </c>
      <c r="AJ104" s="236">
        <v>1870</v>
      </c>
      <c r="AK104" s="356">
        <f>3261+2399+2295</f>
        <v>7955</v>
      </c>
      <c r="AL104" s="356">
        <f t="shared" si="20"/>
        <v>27473</v>
      </c>
      <c r="AM104" s="356">
        <f t="shared" si="21"/>
        <v>28573</v>
      </c>
      <c r="AN104" s="216">
        <f t="shared" si="22"/>
        <v>-10609.712480000002</v>
      </c>
      <c r="AO104" s="437"/>
      <c r="AQ104" s="958"/>
      <c r="AR104" s="958"/>
    </row>
    <row r="105" spans="1:44" s="1933" customFormat="1" ht="11.45" customHeight="1" x14ac:dyDescent="0.2">
      <c r="A105" s="156" t="s">
        <v>978</v>
      </c>
      <c r="B105" s="1136" t="s">
        <v>559</v>
      </c>
      <c r="C105" s="374">
        <v>61</v>
      </c>
      <c r="D105" s="374">
        <v>474</v>
      </c>
      <c r="E105" s="374">
        <v>0</v>
      </c>
      <c r="F105" s="374">
        <v>335</v>
      </c>
      <c r="G105" s="272">
        <f>57+154</f>
        <v>211</v>
      </c>
      <c r="H105" s="272">
        <v>12559</v>
      </c>
      <c r="I105" s="374">
        <v>0</v>
      </c>
      <c r="J105" s="374">
        <v>0</v>
      </c>
      <c r="K105" s="374">
        <v>0</v>
      </c>
      <c r="L105" s="374">
        <f t="shared" si="18"/>
        <v>4621.9823600000018</v>
      </c>
      <c r="M105" s="277">
        <f>15040+41.499*77.64</f>
        <v>18261.982360000002</v>
      </c>
      <c r="N105" s="277">
        <v>225</v>
      </c>
      <c r="O105" s="277">
        <v>541</v>
      </c>
      <c r="P105" s="277">
        <f t="shared" si="19"/>
        <v>766</v>
      </c>
      <c r="Q105" s="277">
        <v>133</v>
      </c>
      <c r="R105" s="277">
        <v>132</v>
      </c>
      <c r="S105" s="277">
        <v>208</v>
      </c>
      <c r="T105" s="277">
        <v>992</v>
      </c>
      <c r="U105" s="277">
        <v>224</v>
      </c>
      <c r="V105" s="1819">
        <v>370</v>
      </c>
      <c r="W105" s="1819">
        <v>373</v>
      </c>
      <c r="X105" s="275">
        <v>1256</v>
      </c>
      <c r="Y105" s="275">
        <v>3555</v>
      </c>
      <c r="Z105" s="277">
        <v>1131</v>
      </c>
      <c r="AA105" s="275">
        <v>112</v>
      </c>
      <c r="AB105" s="277">
        <v>542</v>
      </c>
      <c r="AC105" s="275">
        <v>371</v>
      </c>
      <c r="AD105" s="275">
        <v>1247</v>
      </c>
      <c r="AE105" s="275">
        <v>1592</v>
      </c>
      <c r="AF105" s="275">
        <v>1061</v>
      </c>
      <c r="AG105" s="275">
        <v>2241</v>
      </c>
      <c r="AH105" s="275">
        <v>341</v>
      </c>
      <c r="AI105" s="275">
        <v>1638</v>
      </c>
      <c r="AJ105" s="275">
        <v>1549</v>
      </c>
      <c r="AK105" s="277">
        <f>3234+2138+2084</f>
        <v>7456</v>
      </c>
      <c r="AL105" s="277">
        <f t="shared" si="20"/>
        <v>26524</v>
      </c>
      <c r="AM105" s="277">
        <f t="shared" si="21"/>
        <v>27290</v>
      </c>
      <c r="AN105" s="272">
        <f t="shared" si="22"/>
        <v>-9028.0176399999982</v>
      </c>
      <c r="AO105" s="437"/>
      <c r="AQ105" s="958"/>
      <c r="AR105" s="958"/>
    </row>
    <row r="106" spans="1:44" s="1933" customFormat="1" ht="11.45" customHeight="1" x14ac:dyDescent="0.2">
      <c r="A106" s="156" t="s">
        <v>978</v>
      </c>
      <c r="B106" s="482" t="s">
        <v>550</v>
      </c>
      <c r="C106" s="355">
        <v>85</v>
      </c>
      <c r="D106" s="355">
        <v>406</v>
      </c>
      <c r="E106" s="355">
        <v>2</v>
      </c>
      <c r="F106" s="355">
        <v>268</v>
      </c>
      <c r="G106" s="216">
        <f>66+279</f>
        <v>345</v>
      </c>
      <c r="H106" s="216">
        <v>13056</v>
      </c>
      <c r="I106" s="355">
        <v>0</v>
      </c>
      <c r="J106" s="355">
        <v>0</v>
      </c>
      <c r="K106" s="355">
        <v>0</v>
      </c>
      <c r="L106" s="355">
        <f t="shared" si="18"/>
        <v>5401.8774799999992</v>
      </c>
      <c r="M106" s="356">
        <f>15869+47.596*77.63</f>
        <v>19563.877479999999</v>
      </c>
      <c r="N106" s="356">
        <v>200</v>
      </c>
      <c r="O106" s="356">
        <v>544</v>
      </c>
      <c r="P106" s="356">
        <f t="shared" si="19"/>
        <v>744</v>
      </c>
      <c r="Q106" s="356">
        <v>191</v>
      </c>
      <c r="R106" s="356">
        <v>146</v>
      </c>
      <c r="S106" s="356">
        <v>433</v>
      </c>
      <c r="T106" s="356">
        <v>1104</v>
      </c>
      <c r="U106" s="356">
        <v>283</v>
      </c>
      <c r="V106" s="1423">
        <v>564</v>
      </c>
      <c r="W106" s="1423">
        <v>382</v>
      </c>
      <c r="X106" s="236">
        <v>43</v>
      </c>
      <c r="Y106" s="236">
        <v>2805</v>
      </c>
      <c r="Z106" s="356">
        <v>1038</v>
      </c>
      <c r="AA106" s="236">
        <v>59</v>
      </c>
      <c r="AB106" s="356">
        <v>68</v>
      </c>
      <c r="AC106" s="236">
        <v>456</v>
      </c>
      <c r="AD106" s="236">
        <v>1622</v>
      </c>
      <c r="AE106" s="236">
        <v>1529</v>
      </c>
      <c r="AF106" s="236">
        <v>1044</v>
      </c>
      <c r="AG106" s="236">
        <v>2104</v>
      </c>
      <c r="AH106" s="236">
        <v>296</v>
      </c>
      <c r="AI106" s="236">
        <v>1819</v>
      </c>
      <c r="AJ106" s="236">
        <v>1233</v>
      </c>
      <c r="AK106" s="356">
        <f>3130+2301+1736</f>
        <v>7167</v>
      </c>
      <c r="AL106" s="356">
        <f t="shared" si="20"/>
        <v>24386</v>
      </c>
      <c r="AM106" s="356">
        <f t="shared" si="21"/>
        <v>25130</v>
      </c>
      <c r="AN106" s="216">
        <f t="shared" si="22"/>
        <v>-5566.1225200000008</v>
      </c>
      <c r="AO106" s="437"/>
      <c r="AQ106" s="958"/>
      <c r="AR106" s="958"/>
    </row>
    <row r="107" spans="1:44" s="1933" customFormat="1" ht="11.45" customHeight="1" x14ac:dyDescent="0.2">
      <c r="A107" s="156" t="s">
        <v>1029</v>
      </c>
      <c r="B107" s="1136" t="s">
        <v>552</v>
      </c>
      <c r="C107" s="355">
        <v>80</v>
      </c>
      <c r="D107" s="355">
        <v>363</v>
      </c>
      <c r="E107" s="355">
        <v>1</v>
      </c>
      <c r="F107" s="355">
        <v>281</v>
      </c>
      <c r="G107" s="216">
        <f>39+345</f>
        <v>384</v>
      </c>
      <c r="H107" s="216">
        <v>11776</v>
      </c>
      <c r="I107" s="355">
        <v>0</v>
      </c>
      <c r="J107" s="355">
        <v>0</v>
      </c>
      <c r="K107" s="355">
        <v>0</v>
      </c>
      <c r="L107" s="355">
        <f t="shared" si="18"/>
        <v>4705.3924899999984</v>
      </c>
      <c r="M107" s="356">
        <f>14323+42.111*77.59</f>
        <v>17590.392489999998</v>
      </c>
      <c r="N107" s="356">
        <v>190</v>
      </c>
      <c r="O107" s="356">
        <v>648</v>
      </c>
      <c r="P107" s="356">
        <f t="shared" si="19"/>
        <v>838</v>
      </c>
      <c r="Q107" s="356">
        <v>164</v>
      </c>
      <c r="R107" s="356">
        <v>154</v>
      </c>
      <c r="S107" s="356">
        <v>142</v>
      </c>
      <c r="T107" s="356">
        <v>1202</v>
      </c>
      <c r="U107" s="356">
        <v>185</v>
      </c>
      <c r="V107" s="1423">
        <v>395</v>
      </c>
      <c r="W107" s="1423">
        <v>402</v>
      </c>
      <c r="X107" s="236">
        <v>699</v>
      </c>
      <c r="Y107" s="236">
        <v>3723</v>
      </c>
      <c r="Z107" s="356">
        <v>888</v>
      </c>
      <c r="AA107" s="236">
        <v>78</v>
      </c>
      <c r="AB107" s="356">
        <v>313</v>
      </c>
      <c r="AC107" s="236">
        <v>420</v>
      </c>
      <c r="AD107" s="236">
        <v>1164</v>
      </c>
      <c r="AE107" s="236">
        <v>1324</v>
      </c>
      <c r="AF107" s="236">
        <v>969</v>
      </c>
      <c r="AG107" s="236">
        <v>2092</v>
      </c>
      <c r="AH107" s="236">
        <v>332</v>
      </c>
      <c r="AI107" s="236">
        <v>1198</v>
      </c>
      <c r="AJ107" s="236">
        <v>1406</v>
      </c>
      <c r="AK107" s="356">
        <f>2934+2101+1559</f>
        <v>6594</v>
      </c>
      <c r="AL107" s="356">
        <f t="shared" si="20"/>
        <v>23844</v>
      </c>
      <c r="AM107" s="356">
        <f t="shared" si="21"/>
        <v>24682</v>
      </c>
      <c r="AN107" s="216">
        <f t="shared" si="22"/>
        <v>-7091.6075100000016</v>
      </c>
      <c r="AO107" s="437"/>
      <c r="AQ107" s="958"/>
      <c r="AR107" s="958"/>
    </row>
    <row r="108" spans="1:44" s="1933" customFormat="1" ht="11.45" customHeight="1" x14ac:dyDescent="0.2">
      <c r="A108" s="156" t="s">
        <v>1029</v>
      </c>
      <c r="B108" s="482" t="s">
        <v>112</v>
      </c>
      <c r="C108" s="374">
        <v>64</v>
      </c>
      <c r="D108" s="374">
        <v>443</v>
      </c>
      <c r="E108" s="374">
        <v>1</v>
      </c>
      <c r="F108" s="374">
        <v>333</v>
      </c>
      <c r="G108" s="272">
        <f>37+392</f>
        <v>429</v>
      </c>
      <c r="H108" s="272">
        <v>14843</v>
      </c>
      <c r="I108" s="374">
        <v>130</v>
      </c>
      <c r="J108" s="374">
        <v>0</v>
      </c>
      <c r="K108" s="374">
        <v>0</v>
      </c>
      <c r="L108" s="374">
        <f t="shared" si="18"/>
        <v>4567.1996199999994</v>
      </c>
      <c r="M108" s="277">
        <f>17774+39.197*77.46</f>
        <v>20810.199619999999</v>
      </c>
      <c r="N108" s="277">
        <v>234</v>
      </c>
      <c r="O108" s="277">
        <v>512</v>
      </c>
      <c r="P108" s="277">
        <f t="shared" si="19"/>
        <v>746</v>
      </c>
      <c r="Q108" s="277">
        <v>258</v>
      </c>
      <c r="R108" s="277">
        <v>202</v>
      </c>
      <c r="S108" s="277">
        <v>104</v>
      </c>
      <c r="T108" s="277">
        <v>970</v>
      </c>
      <c r="U108" s="277">
        <v>165</v>
      </c>
      <c r="V108" s="1819">
        <v>941</v>
      </c>
      <c r="W108" s="1819">
        <v>397</v>
      </c>
      <c r="X108" s="275">
        <v>1314</v>
      </c>
      <c r="Y108" s="275">
        <v>3059</v>
      </c>
      <c r="Z108" s="277">
        <v>1088</v>
      </c>
      <c r="AA108" s="275">
        <v>79</v>
      </c>
      <c r="AB108" s="277">
        <v>470</v>
      </c>
      <c r="AC108" s="275">
        <v>453</v>
      </c>
      <c r="AD108" s="275">
        <v>1335</v>
      </c>
      <c r="AE108" s="275">
        <v>1732</v>
      </c>
      <c r="AF108" s="275">
        <v>1104</v>
      </c>
      <c r="AG108" s="275">
        <v>2490</v>
      </c>
      <c r="AH108" s="275">
        <v>307</v>
      </c>
      <c r="AI108" s="275">
        <v>1938</v>
      </c>
      <c r="AJ108" s="275">
        <v>1588</v>
      </c>
      <c r="AK108" s="277">
        <f>3250+2526+1967</f>
        <v>7743</v>
      </c>
      <c r="AL108" s="277">
        <f t="shared" si="20"/>
        <v>27737</v>
      </c>
      <c r="AM108" s="277">
        <f t="shared" si="21"/>
        <v>28483</v>
      </c>
      <c r="AN108" s="272">
        <f t="shared" si="22"/>
        <v>-7672.8003800000006</v>
      </c>
      <c r="AO108" s="437"/>
      <c r="AQ108" s="958"/>
      <c r="AR108" s="958"/>
    </row>
    <row r="109" spans="1:44" s="1933" customFormat="1" ht="11.45" customHeight="1" x14ac:dyDescent="0.2">
      <c r="A109" s="156" t="s">
        <v>1029</v>
      </c>
      <c r="B109" s="1136" t="s">
        <v>547</v>
      </c>
      <c r="C109" s="355">
        <v>58</v>
      </c>
      <c r="D109" s="355">
        <v>365</v>
      </c>
      <c r="E109" s="355">
        <v>1</v>
      </c>
      <c r="F109" s="355">
        <v>206</v>
      </c>
      <c r="G109" s="216">
        <f>39+360</f>
        <v>399</v>
      </c>
      <c r="H109" s="216">
        <v>12909</v>
      </c>
      <c r="I109" s="355">
        <v>1</v>
      </c>
      <c r="J109" s="355">
        <v>0</v>
      </c>
      <c r="K109" s="355">
        <v>0</v>
      </c>
      <c r="L109" s="355">
        <f t="shared" si="18"/>
        <v>5206.8456000000006</v>
      </c>
      <c r="M109" s="356">
        <f>15613+45.644*77.4</f>
        <v>19145.845600000001</v>
      </c>
      <c r="N109" s="356">
        <v>270</v>
      </c>
      <c r="O109" s="356">
        <v>578</v>
      </c>
      <c r="P109" s="356">
        <f t="shared" si="19"/>
        <v>848</v>
      </c>
      <c r="Q109" s="356">
        <v>300</v>
      </c>
      <c r="R109" s="356">
        <v>188</v>
      </c>
      <c r="S109" s="356">
        <v>192</v>
      </c>
      <c r="T109" s="356">
        <v>1213</v>
      </c>
      <c r="U109" s="356">
        <v>241</v>
      </c>
      <c r="V109" s="1423">
        <v>531</v>
      </c>
      <c r="W109" s="1423">
        <v>420</v>
      </c>
      <c r="X109" s="236">
        <v>669</v>
      </c>
      <c r="Y109" s="236">
        <v>2533</v>
      </c>
      <c r="Z109" s="356">
        <v>1090</v>
      </c>
      <c r="AA109" s="236">
        <v>76</v>
      </c>
      <c r="AB109" s="356">
        <v>366</v>
      </c>
      <c r="AC109" s="236">
        <v>372</v>
      </c>
      <c r="AD109" s="236">
        <v>1284</v>
      </c>
      <c r="AE109" s="236">
        <v>1850</v>
      </c>
      <c r="AF109" s="236">
        <v>1207</v>
      </c>
      <c r="AG109" s="236">
        <v>2301</v>
      </c>
      <c r="AH109" s="236">
        <v>282</v>
      </c>
      <c r="AI109" s="236">
        <v>1932</v>
      </c>
      <c r="AJ109" s="236">
        <v>1659</v>
      </c>
      <c r="AK109" s="356">
        <f>3462+2775+1955</f>
        <v>8192</v>
      </c>
      <c r="AL109" s="356">
        <f t="shared" si="20"/>
        <v>26898</v>
      </c>
      <c r="AM109" s="356">
        <f t="shared" si="21"/>
        <v>27746</v>
      </c>
      <c r="AN109" s="216">
        <f t="shared" si="22"/>
        <v>-8600.1543999999994</v>
      </c>
      <c r="AO109" s="437"/>
      <c r="AQ109" s="958"/>
      <c r="AR109" s="958"/>
    </row>
    <row r="110" spans="1:44" s="1933" customFormat="1" ht="11.45" customHeight="1" x14ac:dyDescent="0.2">
      <c r="A110" s="156" t="s">
        <v>1029</v>
      </c>
      <c r="B110" s="482" t="s">
        <v>554</v>
      </c>
      <c r="C110" s="374">
        <v>86</v>
      </c>
      <c r="D110" s="374">
        <v>448</v>
      </c>
      <c r="E110" s="374">
        <v>1</v>
      </c>
      <c r="F110" s="374">
        <v>293</v>
      </c>
      <c r="G110" s="272">
        <f>44+330</f>
        <v>374</v>
      </c>
      <c r="H110" s="272">
        <v>11989</v>
      </c>
      <c r="I110" s="374">
        <v>0</v>
      </c>
      <c r="J110" s="374">
        <v>0</v>
      </c>
      <c r="K110" s="374">
        <v>0</v>
      </c>
      <c r="L110" s="374">
        <f t="shared" si="18"/>
        <v>3511.0813999999991</v>
      </c>
      <c r="M110" s="277">
        <f>14654+26.461*77.4</f>
        <v>16702.081399999999</v>
      </c>
      <c r="N110" s="277">
        <v>325</v>
      </c>
      <c r="O110" s="277">
        <v>943</v>
      </c>
      <c r="P110" s="277">
        <f t="shared" si="19"/>
        <v>1268</v>
      </c>
      <c r="Q110" s="277">
        <v>205</v>
      </c>
      <c r="R110" s="277">
        <v>141</v>
      </c>
      <c r="S110" s="277">
        <v>447</v>
      </c>
      <c r="T110" s="277">
        <v>925</v>
      </c>
      <c r="U110" s="277">
        <v>261</v>
      </c>
      <c r="V110" s="1819">
        <v>426</v>
      </c>
      <c r="W110" s="1819">
        <v>354</v>
      </c>
      <c r="X110" s="275">
        <v>641</v>
      </c>
      <c r="Y110" s="275">
        <v>2365</v>
      </c>
      <c r="Z110" s="277">
        <v>1000</v>
      </c>
      <c r="AA110" s="275">
        <v>76</v>
      </c>
      <c r="AB110" s="277">
        <v>1042</v>
      </c>
      <c r="AC110" s="275">
        <v>386</v>
      </c>
      <c r="AD110" s="275">
        <v>1228</v>
      </c>
      <c r="AE110" s="275">
        <v>1288</v>
      </c>
      <c r="AF110" s="275">
        <v>1039</v>
      </c>
      <c r="AG110" s="275">
        <v>2182</v>
      </c>
      <c r="AH110" s="275">
        <v>344</v>
      </c>
      <c r="AI110" s="275">
        <v>2300</v>
      </c>
      <c r="AJ110" s="275">
        <v>1551</v>
      </c>
      <c r="AK110" s="277">
        <f>3471+2021+1862</f>
        <v>7354</v>
      </c>
      <c r="AL110" s="277">
        <f t="shared" si="20"/>
        <v>25555</v>
      </c>
      <c r="AM110" s="277">
        <f t="shared" si="21"/>
        <v>26823</v>
      </c>
      <c r="AN110" s="272">
        <f t="shared" si="22"/>
        <v>-10120.918600000001</v>
      </c>
      <c r="AO110" s="437"/>
      <c r="AQ110" s="958"/>
      <c r="AR110" s="958"/>
    </row>
    <row r="111" spans="1:44" s="1933" customFormat="1" ht="11.45" customHeight="1" x14ac:dyDescent="0.2">
      <c r="A111" s="156" t="s">
        <v>1029</v>
      </c>
      <c r="B111" s="1136" t="s">
        <v>555</v>
      </c>
      <c r="C111" s="355">
        <v>71</v>
      </c>
      <c r="D111" s="355">
        <v>482</v>
      </c>
      <c r="E111" s="355">
        <v>0</v>
      </c>
      <c r="F111" s="355">
        <v>291</v>
      </c>
      <c r="G111" s="216">
        <f>51+351</f>
        <v>402</v>
      </c>
      <c r="H111" s="216">
        <v>11699</v>
      </c>
      <c r="I111" s="355">
        <v>0</v>
      </c>
      <c r="J111" s="355">
        <v>0</v>
      </c>
      <c r="K111" s="355">
        <v>0</v>
      </c>
      <c r="L111" s="355">
        <f t="shared" si="18"/>
        <v>4854.2763400000003</v>
      </c>
      <c r="M111" s="356">
        <f>14766+39.134*77.51</f>
        <v>17799.27634</v>
      </c>
      <c r="N111" s="356">
        <v>511</v>
      </c>
      <c r="O111" s="356">
        <v>742</v>
      </c>
      <c r="P111" s="356">
        <f t="shared" si="19"/>
        <v>1253</v>
      </c>
      <c r="Q111" s="356">
        <v>157</v>
      </c>
      <c r="R111" s="356">
        <v>110</v>
      </c>
      <c r="S111" s="356">
        <v>135</v>
      </c>
      <c r="T111" s="356">
        <v>1036</v>
      </c>
      <c r="U111" s="356">
        <v>215</v>
      </c>
      <c r="V111" s="1423">
        <v>350</v>
      </c>
      <c r="W111" s="1423">
        <v>393</v>
      </c>
      <c r="X111" s="236">
        <v>590</v>
      </c>
      <c r="Y111" s="236">
        <v>1962</v>
      </c>
      <c r="Z111" s="356">
        <v>1077</v>
      </c>
      <c r="AA111" s="236">
        <v>79</v>
      </c>
      <c r="AB111" s="356">
        <v>876</v>
      </c>
      <c r="AC111" s="236">
        <v>333</v>
      </c>
      <c r="AD111" s="236">
        <v>1109</v>
      </c>
      <c r="AE111" s="236">
        <v>1215</v>
      </c>
      <c r="AF111" s="236">
        <v>1067</v>
      </c>
      <c r="AG111" s="236">
        <v>2283</v>
      </c>
      <c r="AH111" s="236">
        <v>346</v>
      </c>
      <c r="AI111" s="236">
        <v>1961</v>
      </c>
      <c r="AJ111" s="236">
        <v>1769</v>
      </c>
      <c r="AK111" s="356">
        <f>3114+2130+1981</f>
        <v>7225</v>
      </c>
      <c r="AL111" s="356">
        <f t="shared" si="20"/>
        <v>24288</v>
      </c>
      <c r="AM111" s="356">
        <f t="shared" si="21"/>
        <v>25541</v>
      </c>
      <c r="AN111" s="216">
        <f t="shared" si="22"/>
        <v>-7741.7236599999997</v>
      </c>
      <c r="AO111" s="437"/>
      <c r="AQ111" s="958"/>
      <c r="AR111" s="958"/>
    </row>
    <row r="112" spans="1:44" s="1933" customFormat="1" ht="11.45" customHeight="1" x14ac:dyDescent="0.2">
      <c r="A112" s="156" t="s">
        <v>1029</v>
      </c>
      <c r="B112" s="482" t="s">
        <v>548</v>
      </c>
      <c r="C112" s="374">
        <v>61</v>
      </c>
      <c r="D112" s="374">
        <v>460</v>
      </c>
      <c r="E112" s="374">
        <v>1</v>
      </c>
      <c r="F112" s="374">
        <v>273</v>
      </c>
      <c r="G112" s="272">
        <f>55+276</f>
        <v>331</v>
      </c>
      <c r="H112" s="272">
        <v>12339</v>
      </c>
      <c r="I112" s="374">
        <v>84</v>
      </c>
      <c r="J112" s="374">
        <v>0</v>
      </c>
      <c r="K112" s="374">
        <v>0</v>
      </c>
      <c r="L112" s="374">
        <f t="shared" si="18"/>
        <v>5016.3259599999983</v>
      </c>
      <c r="M112" s="277">
        <f>15016+45.586*77.86</f>
        <v>18565.325959999998</v>
      </c>
      <c r="N112" s="277">
        <v>463</v>
      </c>
      <c r="O112" s="277">
        <v>539</v>
      </c>
      <c r="P112" s="277">
        <f t="shared" si="19"/>
        <v>1002</v>
      </c>
      <c r="Q112" s="277">
        <v>184</v>
      </c>
      <c r="R112" s="277">
        <v>106</v>
      </c>
      <c r="S112" s="277">
        <v>478</v>
      </c>
      <c r="T112" s="277">
        <v>1265</v>
      </c>
      <c r="U112" s="277">
        <v>176</v>
      </c>
      <c r="V112" s="1819">
        <v>723</v>
      </c>
      <c r="W112" s="1819">
        <v>461</v>
      </c>
      <c r="X112" s="275">
        <v>481</v>
      </c>
      <c r="Y112" s="275">
        <v>1494</v>
      </c>
      <c r="Z112" s="277">
        <v>995</v>
      </c>
      <c r="AA112" s="275">
        <v>101</v>
      </c>
      <c r="AB112" s="277">
        <v>1651</v>
      </c>
      <c r="AC112" s="275">
        <v>373</v>
      </c>
      <c r="AD112" s="275">
        <v>1366</v>
      </c>
      <c r="AE112" s="275">
        <v>1803</v>
      </c>
      <c r="AF112" s="275">
        <v>1110</v>
      </c>
      <c r="AG112" s="275">
        <v>2132</v>
      </c>
      <c r="AH112" s="275">
        <v>329</v>
      </c>
      <c r="AI112" s="275">
        <v>1694</v>
      </c>
      <c r="AJ112" s="275">
        <v>1985</v>
      </c>
      <c r="AK112" s="277">
        <f>3982+2228+2073</f>
        <v>8283</v>
      </c>
      <c r="AL112" s="277">
        <f t="shared" si="20"/>
        <v>27190</v>
      </c>
      <c r="AM112" s="277">
        <f t="shared" si="21"/>
        <v>28192</v>
      </c>
      <c r="AN112" s="272">
        <f t="shared" si="22"/>
        <v>-9626.6740400000017</v>
      </c>
      <c r="AO112" s="437"/>
      <c r="AQ112" s="958"/>
      <c r="AR112" s="958"/>
    </row>
    <row r="113" spans="1:44" s="1933" customFormat="1" ht="11.45" customHeight="1" x14ac:dyDescent="0.2">
      <c r="A113" s="156" t="s">
        <v>1029</v>
      </c>
      <c r="B113" s="1136" t="s">
        <v>556</v>
      </c>
      <c r="C113" s="355">
        <v>87</v>
      </c>
      <c r="D113" s="355">
        <v>449</v>
      </c>
      <c r="E113" s="355">
        <v>9</v>
      </c>
      <c r="F113" s="355">
        <v>263</v>
      </c>
      <c r="G113" s="216">
        <f>57+352</f>
        <v>409</v>
      </c>
      <c r="H113" s="216">
        <v>13090</v>
      </c>
      <c r="I113" s="355">
        <v>0</v>
      </c>
      <c r="J113" s="355">
        <v>0</v>
      </c>
      <c r="K113" s="355">
        <v>0</v>
      </c>
      <c r="L113" s="355">
        <f t="shared" si="18"/>
        <v>4737.793099999999</v>
      </c>
      <c r="M113" s="356">
        <f>15842+41.13*77.87</f>
        <v>19044.793099999999</v>
      </c>
      <c r="N113" s="356">
        <v>447</v>
      </c>
      <c r="O113" s="356">
        <v>489</v>
      </c>
      <c r="P113" s="356">
        <f t="shared" si="19"/>
        <v>936</v>
      </c>
      <c r="Q113" s="356">
        <v>260</v>
      </c>
      <c r="R113" s="356">
        <v>109</v>
      </c>
      <c r="S113" s="356">
        <v>381</v>
      </c>
      <c r="T113" s="356">
        <v>1257</v>
      </c>
      <c r="U113" s="356">
        <v>385</v>
      </c>
      <c r="V113" s="1423">
        <v>326</v>
      </c>
      <c r="W113" s="1423">
        <v>286</v>
      </c>
      <c r="X113" s="236">
        <v>468</v>
      </c>
      <c r="Y113" s="236">
        <v>1344</v>
      </c>
      <c r="Z113" s="356">
        <v>1093</v>
      </c>
      <c r="AA113" s="236">
        <v>66</v>
      </c>
      <c r="AB113" s="356">
        <v>1276</v>
      </c>
      <c r="AC113" s="236">
        <v>323</v>
      </c>
      <c r="AD113" s="236">
        <v>1133</v>
      </c>
      <c r="AE113" s="236">
        <v>1328</v>
      </c>
      <c r="AF113" s="236">
        <v>979</v>
      </c>
      <c r="AG113" s="236">
        <v>2485</v>
      </c>
      <c r="AH113" s="236">
        <v>304</v>
      </c>
      <c r="AI113" s="236">
        <v>2175</v>
      </c>
      <c r="AJ113" s="236">
        <v>1691</v>
      </c>
      <c r="AK113" s="356">
        <f>2956+2251+1931</f>
        <v>7138</v>
      </c>
      <c r="AL113" s="356">
        <f t="shared" si="20"/>
        <v>24807</v>
      </c>
      <c r="AM113" s="356">
        <f t="shared" si="21"/>
        <v>25743</v>
      </c>
      <c r="AN113" s="216">
        <f t="shared" si="22"/>
        <v>-6698.206900000001</v>
      </c>
      <c r="AO113" s="437"/>
      <c r="AQ113" s="958"/>
      <c r="AR113" s="958"/>
    </row>
    <row r="114" spans="1:44" s="1933" customFormat="1" ht="11.45" customHeight="1" x14ac:dyDescent="0.2">
      <c r="A114" s="156" t="s">
        <v>1029</v>
      </c>
      <c r="B114" s="482" t="s">
        <v>557</v>
      </c>
      <c r="C114" s="374">
        <v>69</v>
      </c>
      <c r="D114" s="374">
        <v>479</v>
      </c>
      <c r="E114" s="374">
        <v>14</v>
      </c>
      <c r="F114" s="374">
        <v>238</v>
      </c>
      <c r="G114" s="272">
        <f>59+202</f>
        <v>261</v>
      </c>
      <c r="H114" s="272">
        <v>13646</v>
      </c>
      <c r="I114" s="374">
        <v>0</v>
      </c>
      <c r="J114" s="374">
        <v>0</v>
      </c>
      <c r="K114" s="374">
        <v>0</v>
      </c>
      <c r="L114" s="374">
        <f t="shared" si="18"/>
        <v>4486.8391999999985</v>
      </c>
      <c r="M114" s="277">
        <f>16178+38.764*77.8</f>
        <v>19193.839199999999</v>
      </c>
      <c r="N114" s="277">
        <v>419</v>
      </c>
      <c r="O114" s="277">
        <v>390</v>
      </c>
      <c r="P114" s="277">
        <f t="shared" si="19"/>
        <v>809</v>
      </c>
      <c r="Q114" s="277">
        <v>101</v>
      </c>
      <c r="R114" s="277">
        <v>116</v>
      </c>
      <c r="S114" s="277">
        <v>272</v>
      </c>
      <c r="T114" s="277">
        <v>1077</v>
      </c>
      <c r="U114" s="277">
        <v>241</v>
      </c>
      <c r="V114" s="1819">
        <v>440</v>
      </c>
      <c r="W114" s="1819">
        <v>359</v>
      </c>
      <c r="X114" s="275">
        <v>250</v>
      </c>
      <c r="Y114" s="275">
        <v>720</v>
      </c>
      <c r="Z114" s="277">
        <v>1066</v>
      </c>
      <c r="AA114" s="275">
        <v>68</v>
      </c>
      <c r="AB114" s="277">
        <v>1044</v>
      </c>
      <c r="AC114" s="275">
        <v>347</v>
      </c>
      <c r="AD114" s="275">
        <v>1059</v>
      </c>
      <c r="AE114" s="275">
        <v>1373</v>
      </c>
      <c r="AF114" s="275">
        <v>1035</v>
      </c>
      <c r="AG114" s="275">
        <v>2509</v>
      </c>
      <c r="AH114" s="275">
        <v>340</v>
      </c>
      <c r="AI114" s="275">
        <v>1412</v>
      </c>
      <c r="AJ114" s="275">
        <v>1782</v>
      </c>
      <c r="AK114" s="277">
        <f>2991+2145+2075</f>
        <v>7211</v>
      </c>
      <c r="AL114" s="277">
        <f t="shared" si="20"/>
        <v>22822</v>
      </c>
      <c r="AM114" s="277">
        <f t="shared" si="21"/>
        <v>23631</v>
      </c>
      <c r="AN114" s="272">
        <f t="shared" si="22"/>
        <v>-4437.1608000000015</v>
      </c>
      <c r="AO114" s="437"/>
      <c r="AQ114" s="958"/>
      <c r="AR114" s="958"/>
    </row>
    <row r="115" spans="1:44" s="1933" customFormat="1" ht="11.45" customHeight="1" x14ac:dyDescent="0.2">
      <c r="A115" s="156" t="s">
        <v>1029</v>
      </c>
      <c r="B115" s="1136" t="s">
        <v>549</v>
      </c>
      <c r="C115" s="355">
        <v>85</v>
      </c>
      <c r="D115" s="355">
        <v>442</v>
      </c>
      <c r="E115" s="355">
        <v>3</v>
      </c>
      <c r="F115" s="355">
        <v>206</v>
      </c>
      <c r="G115" s="216">
        <f>57+202</f>
        <v>259</v>
      </c>
      <c r="H115" s="216">
        <v>14635</v>
      </c>
      <c r="I115" s="355">
        <v>76</v>
      </c>
      <c r="J115" s="355">
        <v>0</v>
      </c>
      <c r="K115" s="355">
        <v>0</v>
      </c>
      <c r="L115" s="355">
        <f t="shared" si="18"/>
        <v>5085.4936000000016</v>
      </c>
      <c r="M115" s="356">
        <f>17274+45.212*77.8</f>
        <v>20791.493600000002</v>
      </c>
      <c r="N115" s="356">
        <v>531</v>
      </c>
      <c r="O115" s="356">
        <v>858</v>
      </c>
      <c r="P115" s="356">
        <f t="shared" si="19"/>
        <v>1389</v>
      </c>
      <c r="Q115" s="356">
        <v>239</v>
      </c>
      <c r="R115" s="356">
        <v>134</v>
      </c>
      <c r="S115" s="356">
        <v>119</v>
      </c>
      <c r="T115" s="356">
        <v>906</v>
      </c>
      <c r="U115" s="356">
        <v>266</v>
      </c>
      <c r="V115" s="1423">
        <v>628</v>
      </c>
      <c r="W115" s="1423">
        <v>356</v>
      </c>
      <c r="X115" s="236">
        <v>416</v>
      </c>
      <c r="Y115" s="236">
        <v>2915</v>
      </c>
      <c r="Z115" s="356">
        <v>972</v>
      </c>
      <c r="AA115" s="236">
        <v>63</v>
      </c>
      <c r="AB115" s="356">
        <v>1409</v>
      </c>
      <c r="AC115" s="236">
        <v>285</v>
      </c>
      <c r="AD115" s="236">
        <v>1206</v>
      </c>
      <c r="AE115" s="236">
        <v>1477</v>
      </c>
      <c r="AF115" s="236">
        <v>927</v>
      </c>
      <c r="AG115" s="236">
        <v>2462</v>
      </c>
      <c r="AH115" s="236">
        <v>397</v>
      </c>
      <c r="AI115" s="236">
        <v>1367</v>
      </c>
      <c r="AJ115" s="236">
        <v>2019</v>
      </c>
      <c r="AK115" s="356">
        <f>3009+2253+1733</f>
        <v>6995</v>
      </c>
      <c r="AL115" s="356">
        <f t="shared" si="20"/>
        <v>25558</v>
      </c>
      <c r="AM115" s="356">
        <f t="shared" si="21"/>
        <v>26947</v>
      </c>
      <c r="AN115" s="216">
        <f t="shared" si="22"/>
        <v>-6155.5063999999984</v>
      </c>
      <c r="AO115" s="437"/>
      <c r="AQ115" s="958"/>
      <c r="AR115" s="958"/>
    </row>
    <row r="116" spans="1:44" s="1933" customFormat="1" ht="11.45" customHeight="1" x14ac:dyDescent="0.2">
      <c r="A116" s="156" t="s">
        <v>1029</v>
      </c>
      <c r="B116" s="482" t="s">
        <v>558</v>
      </c>
      <c r="C116" s="374">
        <v>77</v>
      </c>
      <c r="D116" s="374">
        <v>509</v>
      </c>
      <c r="E116" s="374">
        <v>2</v>
      </c>
      <c r="F116" s="374">
        <v>242</v>
      </c>
      <c r="G116" s="272">
        <f>43+226</f>
        <v>269</v>
      </c>
      <c r="H116" s="272">
        <v>12723</v>
      </c>
      <c r="I116" s="374">
        <v>0</v>
      </c>
      <c r="J116" s="374">
        <v>0</v>
      </c>
      <c r="K116" s="374">
        <v>0</v>
      </c>
      <c r="L116" s="374">
        <f t="shared" si="18"/>
        <v>4216.3329999999987</v>
      </c>
      <c r="M116" s="277">
        <f>15122+37.485*77.8</f>
        <v>18038.332999999999</v>
      </c>
      <c r="N116" s="277">
        <v>410.6</v>
      </c>
      <c r="O116" s="277">
        <v>845.6</v>
      </c>
      <c r="P116" s="277">
        <f t="shared" si="19"/>
        <v>1256.2</v>
      </c>
      <c r="Q116" s="277">
        <v>201</v>
      </c>
      <c r="R116" s="277">
        <v>127</v>
      </c>
      <c r="S116" s="277">
        <v>155</v>
      </c>
      <c r="T116" s="277">
        <v>457</v>
      </c>
      <c r="U116" s="277">
        <v>349</v>
      </c>
      <c r="V116" s="1819">
        <v>295</v>
      </c>
      <c r="W116" s="1819">
        <v>348</v>
      </c>
      <c r="X116" s="275">
        <v>349</v>
      </c>
      <c r="Y116" s="275">
        <v>2128</v>
      </c>
      <c r="Z116" s="277">
        <v>898</v>
      </c>
      <c r="AA116" s="275">
        <v>56</v>
      </c>
      <c r="AB116" s="277">
        <v>640</v>
      </c>
      <c r="AC116" s="275">
        <v>322</v>
      </c>
      <c r="AD116" s="275">
        <v>1024</v>
      </c>
      <c r="AE116" s="275">
        <v>1476</v>
      </c>
      <c r="AF116" s="275">
        <v>952</v>
      </c>
      <c r="AG116" s="275">
        <v>2568</v>
      </c>
      <c r="AH116" s="275">
        <v>389</v>
      </c>
      <c r="AI116" s="275">
        <v>1879</v>
      </c>
      <c r="AJ116" s="275">
        <v>1675</v>
      </c>
      <c r="AK116" s="277">
        <f>2969+2479+2163</f>
        <v>7611</v>
      </c>
      <c r="AL116" s="277">
        <f t="shared" si="20"/>
        <v>23899</v>
      </c>
      <c r="AM116" s="277">
        <f t="shared" si="21"/>
        <v>25155.200000000001</v>
      </c>
      <c r="AN116" s="272">
        <f t="shared" si="22"/>
        <v>-7116.867000000002</v>
      </c>
      <c r="AO116" s="437"/>
      <c r="AQ116" s="958"/>
      <c r="AR116" s="958"/>
    </row>
    <row r="117" spans="1:44" s="1933" customFormat="1" ht="11.45" customHeight="1" x14ac:dyDescent="0.2">
      <c r="A117" s="156" t="s">
        <v>1029</v>
      </c>
      <c r="B117" s="1136" t="s">
        <v>559</v>
      </c>
      <c r="C117" s="355">
        <v>67</v>
      </c>
      <c r="D117" s="355">
        <v>485</v>
      </c>
      <c r="E117" s="355">
        <v>0</v>
      </c>
      <c r="F117" s="355">
        <v>256</v>
      </c>
      <c r="G117" s="216">
        <f>52+175</f>
        <v>227</v>
      </c>
      <c r="H117" s="216">
        <v>13167</v>
      </c>
      <c r="I117" s="355">
        <v>0</v>
      </c>
      <c r="J117" s="355">
        <v>0</v>
      </c>
      <c r="K117" s="355">
        <v>0</v>
      </c>
      <c r="L117" s="355">
        <f t="shared" si="18"/>
        <v>4841.273799999999</v>
      </c>
      <c r="M117" s="356">
        <f>15634+43.821*77.8</f>
        <v>19043.273799999999</v>
      </c>
      <c r="N117" s="356">
        <v>303</v>
      </c>
      <c r="O117" s="356">
        <v>759</v>
      </c>
      <c r="P117" s="356">
        <f t="shared" si="19"/>
        <v>1062</v>
      </c>
      <c r="Q117" s="356">
        <v>156</v>
      </c>
      <c r="R117" s="356">
        <v>139</v>
      </c>
      <c r="S117" s="356">
        <v>52</v>
      </c>
      <c r="T117" s="356">
        <v>1064</v>
      </c>
      <c r="U117" s="356">
        <v>294</v>
      </c>
      <c r="V117" s="1423">
        <v>267</v>
      </c>
      <c r="W117" s="1423">
        <v>444</v>
      </c>
      <c r="X117" s="236">
        <v>356</v>
      </c>
      <c r="Y117" s="236">
        <v>1715</v>
      </c>
      <c r="Z117" s="356">
        <v>969</v>
      </c>
      <c r="AA117" s="236">
        <v>52</v>
      </c>
      <c r="AB117" s="356">
        <v>442</v>
      </c>
      <c r="AC117" s="236">
        <v>361</v>
      </c>
      <c r="AD117" s="236">
        <v>1209</v>
      </c>
      <c r="AE117" s="236">
        <v>1498</v>
      </c>
      <c r="AF117" s="236">
        <v>961</v>
      </c>
      <c r="AG117" s="236">
        <v>2629</v>
      </c>
      <c r="AH117" s="236">
        <v>379</v>
      </c>
      <c r="AI117" s="236">
        <v>2712</v>
      </c>
      <c r="AJ117" s="236">
        <v>1541</v>
      </c>
      <c r="AK117" s="356">
        <f>3110+2360+2220</f>
        <v>7690</v>
      </c>
      <c r="AL117" s="356">
        <f t="shared" si="20"/>
        <v>24930</v>
      </c>
      <c r="AM117" s="356">
        <f t="shared" si="21"/>
        <v>25992</v>
      </c>
      <c r="AN117" s="216">
        <f t="shared" si="22"/>
        <v>-6948.726200000001</v>
      </c>
      <c r="AO117" s="437"/>
      <c r="AQ117" s="958"/>
      <c r="AR117" s="958"/>
    </row>
    <row r="118" spans="1:44" s="1933" customFormat="1" ht="11.45" customHeight="1" x14ac:dyDescent="0.2">
      <c r="A118" s="156" t="s">
        <v>1029</v>
      </c>
      <c r="B118" s="482" t="s">
        <v>550</v>
      </c>
      <c r="C118" s="374">
        <v>51</v>
      </c>
      <c r="D118" s="374">
        <v>426</v>
      </c>
      <c r="E118" s="374">
        <v>0</v>
      </c>
      <c r="F118" s="374">
        <v>199</v>
      </c>
      <c r="G118" s="272">
        <f>41+203</f>
        <v>244</v>
      </c>
      <c r="H118" s="272">
        <v>13229</v>
      </c>
      <c r="I118" s="374">
        <v>0</v>
      </c>
      <c r="J118" s="374">
        <v>0</v>
      </c>
      <c r="K118" s="374">
        <v>0</v>
      </c>
      <c r="L118" s="374">
        <f t="shared" si="18"/>
        <v>5612.0154468000001</v>
      </c>
      <c r="M118" s="277">
        <f>15775+51.234*77.8002</f>
        <v>19761.0154468</v>
      </c>
      <c r="N118" s="277">
        <v>206</v>
      </c>
      <c r="O118" s="277">
        <v>611</v>
      </c>
      <c r="P118" s="277">
        <f t="shared" si="19"/>
        <v>817</v>
      </c>
      <c r="Q118" s="277">
        <v>184</v>
      </c>
      <c r="R118" s="277">
        <v>142</v>
      </c>
      <c r="S118" s="277">
        <v>268</v>
      </c>
      <c r="T118" s="277">
        <v>851</v>
      </c>
      <c r="U118" s="277">
        <v>279</v>
      </c>
      <c r="V118" s="1819">
        <v>448</v>
      </c>
      <c r="W118" s="1819">
        <v>412</v>
      </c>
      <c r="X118" s="275">
        <v>396</v>
      </c>
      <c r="Y118" s="275">
        <v>2217</v>
      </c>
      <c r="Z118" s="277">
        <v>1056</v>
      </c>
      <c r="AA118" s="275">
        <v>81</v>
      </c>
      <c r="AB118" s="277">
        <v>118</v>
      </c>
      <c r="AC118" s="275">
        <v>337</v>
      </c>
      <c r="AD118" s="275">
        <v>1216</v>
      </c>
      <c r="AE118" s="275">
        <v>1308</v>
      </c>
      <c r="AF118" s="275">
        <v>1027</v>
      </c>
      <c r="AG118" s="275">
        <v>2436</v>
      </c>
      <c r="AH118" s="275">
        <v>329</v>
      </c>
      <c r="AI118" s="275">
        <v>2341</v>
      </c>
      <c r="AJ118" s="275">
        <v>1628</v>
      </c>
      <c r="AK118" s="277">
        <f>4050+2354+1955</f>
        <v>8359</v>
      </c>
      <c r="AL118" s="277">
        <f t="shared" si="20"/>
        <v>25433</v>
      </c>
      <c r="AM118" s="277">
        <f t="shared" si="21"/>
        <v>26250</v>
      </c>
      <c r="AN118" s="272">
        <f t="shared" si="22"/>
        <v>-6488.9845531999999</v>
      </c>
      <c r="AO118" s="437"/>
      <c r="AQ118" s="958"/>
      <c r="AR118" s="958"/>
    </row>
    <row r="119" spans="1:44" s="1933" customFormat="1" ht="11.45" customHeight="1" x14ac:dyDescent="0.2">
      <c r="A119" s="156" t="s">
        <v>1150</v>
      </c>
      <c r="B119" s="1933" t="s">
        <v>552</v>
      </c>
      <c r="C119" s="374">
        <v>111</v>
      </c>
      <c r="D119" s="374">
        <v>447</v>
      </c>
      <c r="E119" s="374">
        <v>3</v>
      </c>
      <c r="F119" s="374">
        <v>224</v>
      </c>
      <c r="G119" s="272">
        <v>235</v>
      </c>
      <c r="H119" s="272">
        <v>12930</v>
      </c>
      <c r="I119" s="374">
        <v>0</v>
      </c>
      <c r="J119" s="374">
        <v>0</v>
      </c>
      <c r="K119" s="374">
        <v>0</v>
      </c>
      <c r="L119" s="374">
        <f t="shared" ref="L119:L123" si="23">M119-SUM(C119:K119)</f>
        <v>4563.1464674000017</v>
      </c>
      <c r="M119" s="277">
        <f>15527+38.382*77.8007</f>
        <v>18513.146467400002</v>
      </c>
      <c r="N119" s="277">
        <v>109.5</v>
      </c>
      <c r="O119" s="277">
        <v>256.10000000000002</v>
      </c>
      <c r="P119" s="277">
        <f t="shared" ref="P119:P153" si="24">N119+O119</f>
        <v>365.6</v>
      </c>
      <c r="Q119" s="277">
        <v>145.1</v>
      </c>
      <c r="R119" s="277">
        <v>154</v>
      </c>
      <c r="S119" s="277">
        <v>347.7</v>
      </c>
      <c r="T119" s="277">
        <v>616.6</v>
      </c>
      <c r="U119" s="277">
        <v>160.30000000000001</v>
      </c>
      <c r="V119" s="777">
        <v>228.7</v>
      </c>
      <c r="W119" s="777">
        <v>233.6</v>
      </c>
      <c r="X119" s="277">
        <v>398.4</v>
      </c>
      <c r="Y119" s="277">
        <v>1626.7</v>
      </c>
      <c r="Z119" s="277">
        <v>973.2</v>
      </c>
      <c r="AA119" s="277">
        <v>75.8</v>
      </c>
      <c r="AB119" s="277">
        <v>270.39999999999998</v>
      </c>
      <c r="AC119" s="277">
        <v>370.3</v>
      </c>
      <c r="AD119" s="277">
        <v>1009.8</v>
      </c>
      <c r="AE119" s="275">
        <v>1218.7</v>
      </c>
      <c r="AF119" s="277">
        <v>967.9</v>
      </c>
      <c r="AG119" s="277">
        <v>2373.8000000000002</v>
      </c>
      <c r="AH119" s="277">
        <v>283.7</v>
      </c>
      <c r="AI119" s="277">
        <v>1431.6</v>
      </c>
      <c r="AJ119" s="277">
        <v>1823.9</v>
      </c>
      <c r="AK119" s="277">
        <f>3563.9+2205.6+1741.2</f>
        <v>7510.7</v>
      </c>
      <c r="AL119" s="277">
        <f t="shared" ref="AL119:AL150" si="25">SUM(Q119:U119)+SUM(V119:AK119)</f>
        <v>22220.9</v>
      </c>
      <c r="AM119" s="277">
        <f t="shared" ref="AM119:AM150" si="26">P119+AL119</f>
        <v>22586.5</v>
      </c>
      <c r="AN119" s="272">
        <f t="shared" ref="AN119:AN150" si="27">M119-AM119</f>
        <v>-4073.3535325999983</v>
      </c>
      <c r="AO119" s="437"/>
      <c r="AQ119" s="958"/>
      <c r="AR119" s="958"/>
    </row>
    <row r="120" spans="1:44" s="1933" customFormat="1" ht="11.45" customHeight="1" x14ac:dyDescent="0.2">
      <c r="A120" s="156" t="s">
        <v>1150</v>
      </c>
      <c r="B120" s="482" t="s">
        <v>112</v>
      </c>
      <c r="C120" s="355">
        <v>129</v>
      </c>
      <c r="D120" s="355">
        <v>425</v>
      </c>
      <c r="E120" s="355">
        <v>1</v>
      </c>
      <c r="F120" s="355">
        <v>294</v>
      </c>
      <c r="G120" s="216">
        <v>251</v>
      </c>
      <c r="H120" s="216">
        <v>15603</v>
      </c>
      <c r="I120" s="355">
        <v>0</v>
      </c>
      <c r="J120" s="355">
        <v>0</v>
      </c>
      <c r="K120" s="355">
        <v>0</v>
      </c>
      <c r="L120" s="355">
        <f t="shared" si="23"/>
        <v>5275.8858</v>
      </c>
      <c r="M120" s="356">
        <f>18372+46.361*77.8</f>
        <v>21978.8858</v>
      </c>
      <c r="N120" s="356">
        <v>87.2</v>
      </c>
      <c r="O120" s="356">
        <v>671.6</v>
      </c>
      <c r="P120" s="356">
        <f t="shared" si="24"/>
        <v>758.80000000000007</v>
      </c>
      <c r="Q120" s="356">
        <v>144.5</v>
      </c>
      <c r="R120" s="356">
        <v>149.80000000000001</v>
      </c>
      <c r="S120" s="356">
        <v>214.5</v>
      </c>
      <c r="T120" s="356">
        <v>695.1</v>
      </c>
      <c r="U120" s="356">
        <v>134.6</v>
      </c>
      <c r="V120" s="1958">
        <v>366.5</v>
      </c>
      <c r="W120" s="1958">
        <v>237.8</v>
      </c>
      <c r="X120" s="356">
        <v>306.89999999999998</v>
      </c>
      <c r="Y120" s="356">
        <v>1907.7</v>
      </c>
      <c r="Z120" s="356">
        <v>1050.5</v>
      </c>
      <c r="AA120" s="356">
        <v>65.8</v>
      </c>
      <c r="AB120" s="356">
        <v>704.8</v>
      </c>
      <c r="AC120" s="356">
        <v>348.6</v>
      </c>
      <c r="AD120" s="356">
        <v>1062.7</v>
      </c>
      <c r="AE120" s="356">
        <v>1176.7</v>
      </c>
      <c r="AF120" s="356">
        <v>1148.8</v>
      </c>
      <c r="AG120" s="356">
        <v>2651.6</v>
      </c>
      <c r="AH120" s="356">
        <v>430</v>
      </c>
      <c r="AI120" s="356">
        <v>2143.1999999999998</v>
      </c>
      <c r="AJ120" s="356">
        <v>1885.8</v>
      </c>
      <c r="AK120" s="356">
        <f>3405.7+2407.3+1917</f>
        <v>7730</v>
      </c>
      <c r="AL120" s="356">
        <f t="shared" si="25"/>
        <v>24555.899999999998</v>
      </c>
      <c r="AM120" s="356">
        <f t="shared" si="26"/>
        <v>25314.699999999997</v>
      </c>
      <c r="AN120" s="216">
        <f t="shared" si="27"/>
        <v>-3335.8141999999971</v>
      </c>
      <c r="AO120" s="437"/>
      <c r="AQ120" s="958"/>
      <c r="AR120" s="958"/>
    </row>
    <row r="121" spans="1:44" s="1933" customFormat="1" ht="11.45" customHeight="1" x14ac:dyDescent="0.2">
      <c r="A121" s="156" t="s">
        <v>1150</v>
      </c>
      <c r="B121" s="1136" t="s">
        <v>547</v>
      </c>
      <c r="C121" s="374">
        <v>133</v>
      </c>
      <c r="D121" s="374">
        <v>417</v>
      </c>
      <c r="E121" s="374">
        <v>0</v>
      </c>
      <c r="F121" s="374">
        <v>159</v>
      </c>
      <c r="G121" s="272">
        <v>265</v>
      </c>
      <c r="H121" s="272">
        <v>12709</v>
      </c>
      <c r="I121" s="374">
        <v>0</v>
      </c>
      <c r="J121" s="374">
        <v>0</v>
      </c>
      <c r="K121" s="374">
        <v>0</v>
      </c>
      <c r="L121" s="374">
        <f t="shared" si="23"/>
        <v>4348.893060800001</v>
      </c>
      <c r="M121" s="277">
        <f>15089+37.826*77.8008</f>
        <v>18031.893060800001</v>
      </c>
      <c r="N121" s="277">
        <v>107.4</v>
      </c>
      <c r="O121" s="277">
        <v>779.3</v>
      </c>
      <c r="P121" s="277">
        <f t="shared" si="24"/>
        <v>886.69999999999993</v>
      </c>
      <c r="Q121" s="277">
        <v>132.4</v>
      </c>
      <c r="R121" s="277">
        <v>183.5</v>
      </c>
      <c r="S121" s="277">
        <v>343.2</v>
      </c>
      <c r="T121" s="277">
        <v>1077.0999999999999</v>
      </c>
      <c r="U121" s="277">
        <v>330.8</v>
      </c>
      <c r="V121" s="777">
        <v>431.2</v>
      </c>
      <c r="W121" s="777">
        <v>208.3</v>
      </c>
      <c r="X121" s="277">
        <v>326</v>
      </c>
      <c r="Y121" s="277">
        <v>1425.3</v>
      </c>
      <c r="Z121" s="277">
        <v>1035.9000000000001</v>
      </c>
      <c r="AA121" s="277">
        <v>69.599999999999994</v>
      </c>
      <c r="AB121" s="277">
        <v>709.4</v>
      </c>
      <c r="AC121" s="277">
        <v>314</v>
      </c>
      <c r="AD121" s="277">
        <v>1200</v>
      </c>
      <c r="AE121" s="277">
        <v>1280.5</v>
      </c>
      <c r="AF121" s="277">
        <v>1036.7</v>
      </c>
      <c r="AG121" s="277">
        <v>2481.5</v>
      </c>
      <c r="AH121" s="277">
        <v>347.9</v>
      </c>
      <c r="AI121" s="277">
        <v>1830.2</v>
      </c>
      <c r="AJ121" s="277">
        <v>1334.9</v>
      </c>
      <c r="AK121" s="277">
        <f>3209.5+2286.7+1533.5</f>
        <v>7029.7</v>
      </c>
      <c r="AL121" s="277">
        <f t="shared" si="25"/>
        <v>23128.1</v>
      </c>
      <c r="AM121" s="277">
        <f t="shared" si="26"/>
        <v>24014.799999999999</v>
      </c>
      <c r="AN121" s="272">
        <f t="shared" si="27"/>
        <v>-5982.9069391999983</v>
      </c>
      <c r="AO121" s="437"/>
      <c r="AQ121" s="958"/>
      <c r="AR121" s="958"/>
    </row>
    <row r="122" spans="1:44" s="1933" customFormat="1" ht="11.45" customHeight="1" x14ac:dyDescent="0.2">
      <c r="A122" s="156" t="s">
        <v>1150</v>
      </c>
      <c r="B122" s="482" t="s">
        <v>554</v>
      </c>
      <c r="C122" s="355">
        <v>85</v>
      </c>
      <c r="D122" s="355">
        <v>555</v>
      </c>
      <c r="E122" s="355">
        <v>1</v>
      </c>
      <c r="F122" s="355">
        <v>144</v>
      </c>
      <c r="G122" s="216">
        <v>232</v>
      </c>
      <c r="H122" s="216">
        <v>13908</v>
      </c>
      <c r="I122" s="355">
        <v>0</v>
      </c>
      <c r="J122" s="355">
        <v>0</v>
      </c>
      <c r="K122" s="355">
        <v>0</v>
      </c>
      <c r="L122" s="355">
        <f t="shared" si="23"/>
        <v>4712.0895295000009</v>
      </c>
      <c r="M122" s="356">
        <f>16531+39.913*77.8215</f>
        <v>19637.089529500001</v>
      </c>
      <c r="N122" s="356">
        <v>192.3</v>
      </c>
      <c r="O122" s="356">
        <v>815</v>
      </c>
      <c r="P122" s="356">
        <f t="shared" si="24"/>
        <v>1007.3</v>
      </c>
      <c r="Q122" s="356">
        <v>95.8</v>
      </c>
      <c r="R122" s="356">
        <v>124.6</v>
      </c>
      <c r="S122" s="356">
        <v>704</v>
      </c>
      <c r="T122" s="356">
        <v>1219.2</v>
      </c>
      <c r="U122" s="356">
        <v>207.4</v>
      </c>
      <c r="V122" s="1958">
        <v>556.29999999999995</v>
      </c>
      <c r="W122" s="1958">
        <v>256.60000000000002</v>
      </c>
      <c r="X122" s="356">
        <v>279.39999999999998</v>
      </c>
      <c r="Y122" s="356">
        <v>1665.8</v>
      </c>
      <c r="Z122" s="356">
        <v>1028.5</v>
      </c>
      <c r="AA122" s="356">
        <v>88.1</v>
      </c>
      <c r="AB122" s="356">
        <v>1134.5</v>
      </c>
      <c r="AC122" s="356">
        <v>340.5</v>
      </c>
      <c r="AD122" s="356">
        <v>1031.0999999999999</v>
      </c>
      <c r="AE122" s="356">
        <v>1222.7</v>
      </c>
      <c r="AF122" s="356">
        <v>985.2</v>
      </c>
      <c r="AG122" s="356">
        <v>2393.1</v>
      </c>
      <c r="AH122" s="356">
        <v>407.8</v>
      </c>
      <c r="AI122" s="356">
        <v>1868.5</v>
      </c>
      <c r="AJ122" s="356">
        <v>1758.5</v>
      </c>
      <c r="AK122" s="356">
        <f>3448.8+2537.6+2314.4</f>
        <v>8300.7999999999993</v>
      </c>
      <c r="AL122" s="356">
        <f t="shared" si="25"/>
        <v>25668.399999999998</v>
      </c>
      <c r="AM122" s="356">
        <f t="shared" si="26"/>
        <v>26675.699999999997</v>
      </c>
      <c r="AN122" s="216">
        <f t="shared" si="27"/>
        <v>-7038.6104704999962</v>
      </c>
      <c r="AO122" s="437"/>
      <c r="AQ122" s="958"/>
      <c r="AR122" s="958"/>
    </row>
    <row r="123" spans="1:44" s="1933" customFormat="1" ht="11.45" customHeight="1" x14ac:dyDescent="0.2">
      <c r="A123" s="156" t="s">
        <v>1150</v>
      </c>
      <c r="B123" s="1136" t="s">
        <v>555</v>
      </c>
      <c r="C123" s="374">
        <v>108</v>
      </c>
      <c r="D123" s="374">
        <v>486</v>
      </c>
      <c r="E123" s="374">
        <v>1</v>
      </c>
      <c r="F123" s="374">
        <v>130</v>
      </c>
      <c r="G123" s="272">
        <v>338</v>
      </c>
      <c r="H123" s="272">
        <v>13111</v>
      </c>
      <c r="I123" s="374">
        <v>0</v>
      </c>
      <c r="J123" s="374">
        <v>0</v>
      </c>
      <c r="K123" s="374">
        <v>0</v>
      </c>
      <c r="L123" s="374">
        <f t="shared" si="23"/>
        <v>5039.3258397999998</v>
      </c>
      <c r="M123" s="277">
        <f>15756+44.027*78.5274</f>
        <v>19213.3258398</v>
      </c>
      <c r="N123" s="277">
        <v>160.4</v>
      </c>
      <c r="O123" s="277">
        <v>662.8</v>
      </c>
      <c r="P123" s="277">
        <f t="shared" si="24"/>
        <v>823.19999999999993</v>
      </c>
      <c r="Q123" s="277">
        <v>199.6</v>
      </c>
      <c r="R123" s="277">
        <v>112.5</v>
      </c>
      <c r="S123" s="277">
        <v>105.8</v>
      </c>
      <c r="T123" s="277">
        <v>843.3</v>
      </c>
      <c r="U123" s="277">
        <v>201.2</v>
      </c>
      <c r="V123" s="777">
        <v>470.5</v>
      </c>
      <c r="W123" s="777">
        <v>299</v>
      </c>
      <c r="X123" s="277">
        <v>0</v>
      </c>
      <c r="Y123" s="277">
        <v>2155.6</v>
      </c>
      <c r="Z123" s="277">
        <v>1116.7</v>
      </c>
      <c r="AA123" s="277">
        <v>112.5</v>
      </c>
      <c r="AB123" s="277">
        <v>828</v>
      </c>
      <c r="AC123" s="277">
        <v>359</v>
      </c>
      <c r="AD123" s="277">
        <v>1435.3</v>
      </c>
      <c r="AE123" s="277">
        <v>1143.7</v>
      </c>
      <c r="AF123" s="277">
        <v>1099.0999999999999</v>
      </c>
      <c r="AG123" s="277">
        <v>2495</v>
      </c>
      <c r="AH123" s="277">
        <v>379.3</v>
      </c>
      <c r="AI123" s="277">
        <v>2026</v>
      </c>
      <c r="AJ123" s="277">
        <v>1771.2</v>
      </c>
      <c r="AK123" s="277">
        <f>3957.1+2616.8+2148.5</f>
        <v>8722.4</v>
      </c>
      <c r="AL123" s="277">
        <f t="shared" si="25"/>
        <v>25875.7</v>
      </c>
      <c r="AM123" s="277">
        <f t="shared" si="26"/>
        <v>26698.9</v>
      </c>
      <c r="AN123" s="272">
        <f t="shared" si="27"/>
        <v>-7485.5741602000016</v>
      </c>
      <c r="AO123" s="437"/>
      <c r="AQ123" s="958"/>
      <c r="AR123" s="958"/>
    </row>
    <row r="124" spans="1:44" s="1933" customFormat="1" ht="11.45" customHeight="1" x14ac:dyDescent="0.2">
      <c r="A124" s="156" t="s">
        <v>1150</v>
      </c>
      <c r="B124" s="482" t="s">
        <v>548</v>
      </c>
      <c r="C124" s="355">
        <v>48</v>
      </c>
      <c r="D124" s="355">
        <v>511</v>
      </c>
      <c r="E124" s="355">
        <v>1</v>
      </c>
      <c r="F124" s="355">
        <v>200</v>
      </c>
      <c r="G124" s="216">
        <v>275</v>
      </c>
      <c r="H124" s="216">
        <v>12930</v>
      </c>
      <c r="I124" s="355">
        <v>0</v>
      </c>
      <c r="J124" s="355">
        <v>0</v>
      </c>
      <c r="K124" s="355">
        <v>0</v>
      </c>
      <c r="L124" s="355">
        <f t="shared" ref="L124:L130" si="28">M124-SUM(C124:K124)</f>
        <v>6042.8867605999985</v>
      </c>
      <c r="M124" s="356">
        <f>15746+54.099*78.7794</f>
        <v>20007.886760599999</v>
      </c>
      <c r="N124" s="356">
        <v>76</v>
      </c>
      <c r="O124" s="356">
        <v>438.7</v>
      </c>
      <c r="P124" s="356">
        <f t="shared" si="24"/>
        <v>514.70000000000005</v>
      </c>
      <c r="Q124" s="356">
        <v>180.4</v>
      </c>
      <c r="R124" s="356">
        <v>126.6</v>
      </c>
      <c r="S124" s="356">
        <v>373.6</v>
      </c>
      <c r="T124" s="356">
        <v>482.5</v>
      </c>
      <c r="U124" s="356">
        <v>300.2</v>
      </c>
      <c r="V124" s="1958">
        <v>634.4</v>
      </c>
      <c r="W124" s="1958">
        <v>304.60000000000002</v>
      </c>
      <c r="X124" s="356">
        <v>262.39999999999998</v>
      </c>
      <c r="Y124" s="356">
        <v>1848.7</v>
      </c>
      <c r="Z124" s="356">
        <v>1257.5999999999999</v>
      </c>
      <c r="AA124" s="356">
        <v>89.9</v>
      </c>
      <c r="AB124" s="356">
        <v>861.2</v>
      </c>
      <c r="AC124" s="356">
        <v>382</v>
      </c>
      <c r="AD124" s="356">
        <v>1340.7</v>
      </c>
      <c r="AE124" s="356">
        <v>1638.3</v>
      </c>
      <c r="AF124" s="356">
        <v>1071.0999999999999</v>
      </c>
      <c r="AG124" s="356">
        <v>3203.5</v>
      </c>
      <c r="AH124" s="356">
        <v>398.4</v>
      </c>
      <c r="AI124" s="356">
        <v>1720.2</v>
      </c>
      <c r="AJ124" s="356">
        <v>2058.6999999999998</v>
      </c>
      <c r="AK124" s="356">
        <f>4594+2965.9+2179</f>
        <v>9738.9</v>
      </c>
      <c r="AL124" s="356">
        <f t="shared" si="25"/>
        <v>28273.899999999998</v>
      </c>
      <c r="AM124" s="214">
        <f t="shared" si="26"/>
        <v>28788.6</v>
      </c>
      <c r="AN124" s="216">
        <f t="shared" si="27"/>
        <v>-8780.7132394</v>
      </c>
      <c r="AO124" s="437"/>
      <c r="AQ124" s="958"/>
      <c r="AR124" s="958"/>
    </row>
    <row r="125" spans="1:44" s="1933" customFormat="1" ht="11.45" customHeight="1" x14ac:dyDescent="0.2">
      <c r="A125" s="156" t="s">
        <v>1150</v>
      </c>
      <c r="B125" s="1136" t="s">
        <v>556</v>
      </c>
      <c r="C125" s="374">
        <v>16</v>
      </c>
      <c r="D125" s="374">
        <v>460</v>
      </c>
      <c r="E125" s="374">
        <v>1</v>
      </c>
      <c r="F125" s="374">
        <v>172</v>
      </c>
      <c r="G125" s="272">
        <v>262</v>
      </c>
      <c r="H125" s="272">
        <v>13295</v>
      </c>
      <c r="I125" s="374">
        <v>0</v>
      </c>
      <c r="J125" s="374">
        <v>0</v>
      </c>
      <c r="K125" s="374">
        <v>0</v>
      </c>
      <c r="L125" s="374">
        <f t="shared" si="28"/>
        <v>5169.8094203000001</v>
      </c>
      <c r="M125" s="277">
        <f>15684+47.029*78.5007</f>
        <v>19375.8094203</v>
      </c>
      <c r="N125" s="277">
        <v>49</v>
      </c>
      <c r="O125" s="277">
        <v>934</v>
      </c>
      <c r="P125" s="277">
        <f t="shared" si="24"/>
        <v>983</v>
      </c>
      <c r="Q125" s="277">
        <v>139.19999999999999</v>
      </c>
      <c r="R125" s="277">
        <v>94.4</v>
      </c>
      <c r="S125" s="277">
        <v>325.60000000000002</v>
      </c>
      <c r="T125" s="277">
        <v>777.7</v>
      </c>
      <c r="U125" s="277">
        <v>287.10000000000002</v>
      </c>
      <c r="V125" s="777">
        <v>514.20000000000005</v>
      </c>
      <c r="W125" s="777">
        <v>208.5</v>
      </c>
      <c r="X125" s="277">
        <v>0</v>
      </c>
      <c r="Y125" s="277">
        <v>1117.8</v>
      </c>
      <c r="Z125" s="277">
        <v>1173.0999999999999</v>
      </c>
      <c r="AA125" s="277">
        <v>43.5</v>
      </c>
      <c r="AB125" s="277">
        <v>1555.8</v>
      </c>
      <c r="AC125" s="277">
        <v>349.2</v>
      </c>
      <c r="AD125" s="277">
        <v>1130.5</v>
      </c>
      <c r="AE125" s="277">
        <v>1350.9</v>
      </c>
      <c r="AF125" s="277">
        <v>1086.4000000000001</v>
      </c>
      <c r="AG125" s="277">
        <v>2963.1</v>
      </c>
      <c r="AH125" s="277">
        <v>464.1</v>
      </c>
      <c r="AI125" s="277">
        <v>1603.5</v>
      </c>
      <c r="AJ125" s="277">
        <v>2033.5</v>
      </c>
      <c r="AK125" s="277">
        <f>4057.9+2609.8+2115.6</f>
        <v>8783.3000000000011</v>
      </c>
      <c r="AL125" s="277">
        <f t="shared" si="25"/>
        <v>26001.4</v>
      </c>
      <c r="AM125" s="277">
        <f t="shared" si="26"/>
        <v>26984.400000000001</v>
      </c>
      <c r="AN125" s="272">
        <f t="shared" si="27"/>
        <v>-7608.5905797000014</v>
      </c>
      <c r="AO125" s="437"/>
      <c r="AQ125" s="958"/>
      <c r="AR125" s="958"/>
    </row>
    <row r="126" spans="1:44" s="1933" customFormat="1" ht="11.45" customHeight="1" x14ac:dyDescent="0.2">
      <c r="A126" s="156" t="s">
        <v>1150</v>
      </c>
      <c r="B126" s="482" t="s">
        <v>557</v>
      </c>
      <c r="C126" s="355">
        <v>67</v>
      </c>
      <c r="D126" s="355">
        <v>425</v>
      </c>
      <c r="E126" s="355">
        <v>2</v>
      </c>
      <c r="F126" s="355">
        <v>143</v>
      </c>
      <c r="G126" s="216">
        <v>248</v>
      </c>
      <c r="H126" s="216">
        <v>13519</v>
      </c>
      <c r="I126" s="355">
        <v>0</v>
      </c>
      <c r="J126" s="355">
        <v>0</v>
      </c>
      <c r="K126" s="355">
        <v>0</v>
      </c>
      <c r="L126" s="355">
        <f t="shared" si="28"/>
        <v>4900.650072299999</v>
      </c>
      <c r="M126" s="356">
        <f>15949+42.719*78.5517</f>
        <v>19304.650072299999</v>
      </c>
      <c r="N126" s="356">
        <v>38.700000000000003</v>
      </c>
      <c r="O126" s="356">
        <v>429</v>
      </c>
      <c r="P126" s="356">
        <f t="shared" si="24"/>
        <v>467.7</v>
      </c>
      <c r="Q126" s="356">
        <v>127.8</v>
      </c>
      <c r="R126" s="356">
        <v>108.9</v>
      </c>
      <c r="S126" s="356">
        <v>194.7</v>
      </c>
      <c r="T126" s="356">
        <v>889.1</v>
      </c>
      <c r="U126" s="356">
        <v>223.7</v>
      </c>
      <c r="V126" s="1958">
        <v>324.60000000000002</v>
      </c>
      <c r="W126" s="1958">
        <v>344.1</v>
      </c>
      <c r="X126" s="356">
        <v>211.4</v>
      </c>
      <c r="Y126" s="356">
        <v>787.5</v>
      </c>
      <c r="Z126" s="356">
        <v>948.3</v>
      </c>
      <c r="AA126" s="356">
        <v>79.5</v>
      </c>
      <c r="AB126" s="356">
        <v>951.2</v>
      </c>
      <c r="AC126" s="356">
        <v>331.5</v>
      </c>
      <c r="AD126" s="356">
        <v>1136.5999999999999</v>
      </c>
      <c r="AE126" s="356">
        <v>1345.9</v>
      </c>
      <c r="AF126" s="356">
        <v>1071.3</v>
      </c>
      <c r="AG126" s="356">
        <v>2696.3</v>
      </c>
      <c r="AH126" s="356">
        <v>393.6</v>
      </c>
      <c r="AI126" s="356">
        <v>1840.4</v>
      </c>
      <c r="AJ126" s="356">
        <v>1879.1</v>
      </c>
      <c r="AK126" s="356">
        <f>3444.2+2416.2+1902.5</f>
        <v>7762.9</v>
      </c>
      <c r="AL126" s="356">
        <f t="shared" si="25"/>
        <v>23648.399999999998</v>
      </c>
      <c r="AM126" s="356">
        <f t="shared" si="26"/>
        <v>24116.1</v>
      </c>
      <c r="AN126" s="216">
        <f t="shared" si="27"/>
        <v>-4811.4499276999995</v>
      </c>
      <c r="AO126" s="437"/>
      <c r="AQ126" s="958"/>
      <c r="AR126" s="958"/>
    </row>
    <row r="127" spans="1:44" s="1933" customFormat="1" ht="11.45" customHeight="1" x14ac:dyDescent="0.2">
      <c r="A127" s="156" t="s">
        <v>1150</v>
      </c>
      <c r="B127" s="1136" t="s">
        <v>549</v>
      </c>
      <c r="C127" s="374">
        <v>74</v>
      </c>
      <c r="D127" s="374">
        <v>485</v>
      </c>
      <c r="E127" s="374">
        <v>1</v>
      </c>
      <c r="F127" s="374">
        <v>167</v>
      </c>
      <c r="G127" s="272">
        <v>240</v>
      </c>
      <c r="H127" s="272">
        <v>14553</v>
      </c>
      <c r="I127" s="374">
        <v>44</v>
      </c>
      <c r="J127" s="374">
        <v>0</v>
      </c>
      <c r="K127" s="374">
        <v>0</v>
      </c>
      <c r="L127" s="374">
        <f t="shared" si="28"/>
        <v>5463.2565945999995</v>
      </c>
      <c r="M127" s="277">
        <f>17289+47.674*78.4129</f>
        <v>21027.2565946</v>
      </c>
      <c r="N127" s="277">
        <v>30.8</v>
      </c>
      <c r="O127" s="277">
        <v>267.89999999999998</v>
      </c>
      <c r="P127" s="277">
        <f t="shared" si="24"/>
        <v>298.7</v>
      </c>
      <c r="Q127" s="277">
        <v>128.4</v>
      </c>
      <c r="R127" s="277">
        <v>105.9</v>
      </c>
      <c r="S127" s="277">
        <v>101</v>
      </c>
      <c r="T127" s="277">
        <v>991.4</v>
      </c>
      <c r="U127" s="277">
        <v>203.8</v>
      </c>
      <c r="V127" s="777">
        <v>850.4</v>
      </c>
      <c r="W127" s="777">
        <v>318.10000000000002</v>
      </c>
      <c r="X127" s="277">
        <v>168.6</v>
      </c>
      <c r="Y127" s="277">
        <v>1297.7</v>
      </c>
      <c r="Z127" s="277">
        <v>1207.9000000000001</v>
      </c>
      <c r="AA127" s="277">
        <v>88.7</v>
      </c>
      <c r="AB127" s="277">
        <v>434.5</v>
      </c>
      <c r="AC127" s="277">
        <v>375.5</v>
      </c>
      <c r="AD127" s="277">
        <v>1242.5</v>
      </c>
      <c r="AE127" s="277">
        <v>1894.9</v>
      </c>
      <c r="AF127" s="277">
        <v>1093.4000000000001</v>
      </c>
      <c r="AG127" s="277">
        <v>2788.1</v>
      </c>
      <c r="AH127" s="277">
        <v>452.7</v>
      </c>
      <c r="AI127" s="277">
        <v>1841.3</v>
      </c>
      <c r="AJ127" s="277">
        <v>2373.1999999999998</v>
      </c>
      <c r="AK127" s="277">
        <f>3597.8+2999+1994.8</f>
        <v>8591.6</v>
      </c>
      <c r="AL127" s="277">
        <f t="shared" si="25"/>
        <v>26549.599999999999</v>
      </c>
      <c r="AM127" s="277">
        <f t="shared" si="26"/>
        <v>26848.3</v>
      </c>
      <c r="AN127" s="272">
        <f t="shared" si="27"/>
        <v>-5821.0434053999998</v>
      </c>
      <c r="AO127" s="437"/>
      <c r="AQ127" s="958"/>
      <c r="AR127" s="958"/>
    </row>
    <row r="128" spans="1:44" s="1933" customFormat="1" ht="11.45" customHeight="1" x14ac:dyDescent="0.2">
      <c r="A128" s="156" t="s">
        <v>1150</v>
      </c>
      <c r="B128" s="482" t="s">
        <v>558</v>
      </c>
      <c r="C128" s="355">
        <v>78</v>
      </c>
      <c r="D128" s="355">
        <v>484</v>
      </c>
      <c r="E128" s="355">
        <v>2</v>
      </c>
      <c r="F128" s="355">
        <v>137</v>
      </c>
      <c r="G128" s="216">
        <v>199</v>
      </c>
      <c r="H128" s="216">
        <v>13324</v>
      </c>
      <c r="I128" s="355">
        <v>0</v>
      </c>
      <c r="J128" s="355">
        <v>0</v>
      </c>
      <c r="K128" s="355">
        <v>0</v>
      </c>
      <c r="L128" s="355">
        <f t="shared" si="28"/>
        <v>4521.9903999999988</v>
      </c>
      <c r="M128" s="356">
        <f>15684+39.056*78.4</f>
        <v>18745.990399999999</v>
      </c>
      <c r="N128" s="356">
        <v>21.2</v>
      </c>
      <c r="O128" s="356">
        <v>517.70000000000005</v>
      </c>
      <c r="P128" s="356">
        <f t="shared" si="24"/>
        <v>538.90000000000009</v>
      </c>
      <c r="Q128" s="356">
        <v>130.6</v>
      </c>
      <c r="R128" s="356">
        <v>110.6</v>
      </c>
      <c r="S128" s="356">
        <v>573.1</v>
      </c>
      <c r="T128" s="356">
        <v>818.6</v>
      </c>
      <c r="U128" s="356">
        <v>539.70000000000005</v>
      </c>
      <c r="V128" s="1958">
        <v>63.2</v>
      </c>
      <c r="W128" s="1958">
        <v>285.39999999999998</v>
      </c>
      <c r="X128" s="356">
        <v>318.89999999999998</v>
      </c>
      <c r="Y128" s="356">
        <v>1370</v>
      </c>
      <c r="Z128" s="356">
        <v>1050.7</v>
      </c>
      <c r="AA128" s="356">
        <v>71.400000000000006</v>
      </c>
      <c r="AB128" s="356">
        <v>286.3</v>
      </c>
      <c r="AC128" s="356">
        <v>352.2</v>
      </c>
      <c r="AD128" s="356">
        <v>1120.5</v>
      </c>
      <c r="AE128" s="356">
        <v>1309.0999999999999</v>
      </c>
      <c r="AF128" s="356">
        <v>967.4</v>
      </c>
      <c r="AG128" s="356">
        <v>2865.7</v>
      </c>
      <c r="AH128" s="356">
        <v>363.6</v>
      </c>
      <c r="AI128" s="356">
        <v>1478.7</v>
      </c>
      <c r="AJ128" s="356">
        <v>2496.1999999999998</v>
      </c>
      <c r="AK128" s="356">
        <f>3636.4+2655.7+2195.2</f>
        <v>8487.2999999999993</v>
      </c>
      <c r="AL128" s="356">
        <f t="shared" si="25"/>
        <v>25059.199999999997</v>
      </c>
      <c r="AM128" s="356">
        <f t="shared" si="26"/>
        <v>25598.1</v>
      </c>
      <c r="AN128" s="216">
        <f t="shared" si="27"/>
        <v>-6852.1095999999998</v>
      </c>
      <c r="AO128" s="437"/>
      <c r="AQ128" s="958"/>
      <c r="AR128" s="958"/>
    </row>
    <row r="129" spans="1:44" s="1933" customFormat="1" ht="11.45" customHeight="1" x14ac:dyDescent="0.2">
      <c r="A129" s="156" t="s">
        <v>1150</v>
      </c>
      <c r="B129" s="1136" t="s">
        <v>559</v>
      </c>
      <c r="C129" s="374">
        <v>158</v>
      </c>
      <c r="D129" s="374">
        <v>535</v>
      </c>
      <c r="E129" s="374">
        <v>1</v>
      </c>
      <c r="F129" s="374">
        <v>190</v>
      </c>
      <c r="G129" s="272">
        <v>205</v>
      </c>
      <c r="H129" s="272">
        <v>13593</v>
      </c>
      <c r="I129" s="374">
        <v>0</v>
      </c>
      <c r="J129" s="374">
        <v>0</v>
      </c>
      <c r="K129" s="374">
        <v>0</v>
      </c>
      <c r="L129" s="374">
        <f t="shared" si="28"/>
        <v>5093.3824000000022</v>
      </c>
      <c r="M129" s="277">
        <f>16174+45.936*78.4</f>
        <v>19775.382400000002</v>
      </c>
      <c r="N129" s="277">
        <v>30.5</v>
      </c>
      <c r="O129" s="277">
        <v>630.6</v>
      </c>
      <c r="P129" s="277">
        <f t="shared" si="24"/>
        <v>661.1</v>
      </c>
      <c r="Q129" s="277">
        <v>187.1</v>
      </c>
      <c r="R129" s="277">
        <v>148.69999999999999</v>
      </c>
      <c r="S129" s="277">
        <v>446.5</v>
      </c>
      <c r="T129" s="277">
        <v>1076.0999999999999</v>
      </c>
      <c r="U129" s="277">
        <v>614.29999999999995</v>
      </c>
      <c r="V129" s="777">
        <v>546.9</v>
      </c>
      <c r="W129" s="777">
        <v>437.9</v>
      </c>
      <c r="X129" s="277">
        <v>223.2</v>
      </c>
      <c r="Y129" s="277">
        <v>1278.0999999999999</v>
      </c>
      <c r="Z129" s="277">
        <v>1239.3</v>
      </c>
      <c r="AA129" s="277">
        <v>79.900000000000006</v>
      </c>
      <c r="AB129" s="277">
        <v>220.5</v>
      </c>
      <c r="AC129" s="277">
        <v>364.5</v>
      </c>
      <c r="AD129" s="277">
        <v>1322.1</v>
      </c>
      <c r="AE129" s="277">
        <v>1611.6</v>
      </c>
      <c r="AF129" s="277">
        <v>1260.2</v>
      </c>
      <c r="AG129" s="277">
        <v>2778.1</v>
      </c>
      <c r="AH129" s="277">
        <v>425.4</v>
      </c>
      <c r="AI129" s="277">
        <v>2081.6999999999998</v>
      </c>
      <c r="AJ129" s="277">
        <v>2266</v>
      </c>
      <c r="AK129" s="277">
        <f>4347.6+2876.3+2218.7</f>
        <v>9442.6</v>
      </c>
      <c r="AL129" s="277">
        <f t="shared" si="25"/>
        <v>28050.7</v>
      </c>
      <c r="AM129" s="277">
        <f t="shared" si="26"/>
        <v>28711.8</v>
      </c>
      <c r="AN129" s="272">
        <f t="shared" si="27"/>
        <v>-8936.417599999997</v>
      </c>
      <c r="AO129" s="437"/>
      <c r="AQ129" s="958"/>
      <c r="AR129" s="958"/>
    </row>
    <row r="130" spans="1:44" s="1933" customFormat="1" ht="11.45" customHeight="1" x14ac:dyDescent="0.2">
      <c r="A130" s="156" t="s">
        <v>1150</v>
      </c>
      <c r="B130" s="482" t="s">
        <v>550</v>
      </c>
      <c r="C130" s="355">
        <v>250</v>
      </c>
      <c r="D130" s="355">
        <v>470</v>
      </c>
      <c r="E130" s="355">
        <v>1</v>
      </c>
      <c r="F130" s="355">
        <v>173</v>
      </c>
      <c r="G130" s="216">
        <v>253</v>
      </c>
      <c r="H130" s="216">
        <v>13645</v>
      </c>
      <c r="I130" s="355">
        <v>57</v>
      </c>
      <c r="J130" s="355">
        <v>0</v>
      </c>
      <c r="K130" s="355">
        <v>0</v>
      </c>
      <c r="L130" s="355">
        <f t="shared" si="28"/>
        <v>6341.5792000000001</v>
      </c>
      <c r="M130" s="356">
        <f>16415+60.913*78.4</f>
        <v>21190.5792</v>
      </c>
      <c r="N130" s="356">
        <v>28.4</v>
      </c>
      <c r="O130" s="356">
        <v>756.4</v>
      </c>
      <c r="P130" s="356">
        <f t="shared" si="24"/>
        <v>784.8</v>
      </c>
      <c r="Q130" s="356">
        <v>155.30000000000001</v>
      </c>
      <c r="R130" s="356">
        <v>178.3</v>
      </c>
      <c r="S130" s="356">
        <v>353.5</v>
      </c>
      <c r="T130" s="356">
        <v>922.6</v>
      </c>
      <c r="U130" s="356">
        <v>422.1</v>
      </c>
      <c r="V130" s="1958">
        <v>184.5</v>
      </c>
      <c r="W130" s="1958">
        <v>333.5</v>
      </c>
      <c r="X130" s="356">
        <v>490</v>
      </c>
      <c r="Y130" s="356">
        <v>1345.7</v>
      </c>
      <c r="Z130" s="356">
        <v>1132.8</v>
      </c>
      <c r="AA130" s="356">
        <v>72.8</v>
      </c>
      <c r="AB130" s="356">
        <v>213.5</v>
      </c>
      <c r="AC130" s="356">
        <v>384.4</v>
      </c>
      <c r="AD130" s="356">
        <v>1201.3</v>
      </c>
      <c r="AE130" s="356">
        <v>1651</v>
      </c>
      <c r="AF130" s="356">
        <v>1097.2</v>
      </c>
      <c r="AG130" s="356">
        <v>2569.3000000000002</v>
      </c>
      <c r="AH130" s="356">
        <v>366.6</v>
      </c>
      <c r="AI130" s="356">
        <v>2059.6</v>
      </c>
      <c r="AJ130" s="356">
        <v>2239.3000000000002</v>
      </c>
      <c r="AK130" s="356">
        <f>4459.9+2770+2152.9</f>
        <v>9382.7999999999993</v>
      </c>
      <c r="AL130" s="356">
        <f t="shared" si="25"/>
        <v>26756.1</v>
      </c>
      <c r="AM130" s="356">
        <f t="shared" si="26"/>
        <v>27540.899999999998</v>
      </c>
      <c r="AN130" s="216">
        <f t="shared" si="27"/>
        <v>-6350.3207999999977</v>
      </c>
      <c r="AO130" s="437"/>
      <c r="AQ130" s="958"/>
      <c r="AR130" s="958"/>
    </row>
    <row r="131" spans="1:44" s="1933" customFormat="1" ht="11.45" customHeight="1" x14ac:dyDescent="0.2">
      <c r="A131" s="156" t="s">
        <v>1150</v>
      </c>
      <c r="B131" s="482" t="s">
        <v>112</v>
      </c>
      <c r="C131" s="355">
        <v>129</v>
      </c>
      <c r="D131" s="355">
        <v>425</v>
      </c>
      <c r="E131" s="355">
        <v>1</v>
      </c>
      <c r="F131" s="355">
        <v>294</v>
      </c>
      <c r="G131" s="216">
        <v>251</v>
      </c>
      <c r="H131" s="216">
        <v>15603</v>
      </c>
      <c r="I131" s="355">
        <v>0</v>
      </c>
      <c r="J131" s="355">
        <v>0</v>
      </c>
      <c r="K131" s="355">
        <v>0</v>
      </c>
      <c r="L131" s="355">
        <f t="shared" ref="L131:L134" si="29">M131-SUM(C131:K131)</f>
        <v>5275.8858</v>
      </c>
      <c r="M131" s="356">
        <f>18372+46.361*77.8</f>
        <v>21978.8858</v>
      </c>
      <c r="N131" s="356">
        <v>87.2</v>
      </c>
      <c r="O131" s="356">
        <v>671.6</v>
      </c>
      <c r="P131" s="356">
        <f t="shared" si="24"/>
        <v>758.80000000000007</v>
      </c>
      <c r="Q131" s="356">
        <v>144.5</v>
      </c>
      <c r="R131" s="356">
        <v>149.80000000000001</v>
      </c>
      <c r="S131" s="356">
        <v>214.5</v>
      </c>
      <c r="T131" s="356">
        <v>695.1</v>
      </c>
      <c r="U131" s="356">
        <v>134.6</v>
      </c>
      <c r="V131" s="1958">
        <v>366.5</v>
      </c>
      <c r="W131" s="1958">
        <v>237.8</v>
      </c>
      <c r="X131" s="356">
        <v>306.89999999999998</v>
      </c>
      <c r="Y131" s="356">
        <v>1907.7</v>
      </c>
      <c r="Z131" s="356">
        <v>1050.5</v>
      </c>
      <c r="AA131" s="356">
        <v>65.8</v>
      </c>
      <c r="AB131" s="356">
        <v>704.8</v>
      </c>
      <c r="AC131" s="356">
        <v>348.6</v>
      </c>
      <c r="AD131" s="356">
        <v>1062.7</v>
      </c>
      <c r="AE131" s="356">
        <v>1176.7</v>
      </c>
      <c r="AF131" s="356">
        <v>1148.8</v>
      </c>
      <c r="AG131" s="356">
        <v>2651.6</v>
      </c>
      <c r="AH131" s="356">
        <v>430</v>
      </c>
      <c r="AI131" s="356">
        <v>2143.1999999999998</v>
      </c>
      <c r="AJ131" s="356">
        <v>1885.8</v>
      </c>
      <c r="AK131" s="356">
        <f>3405.7+2407.3+1917</f>
        <v>7730</v>
      </c>
      <c r="AL131" s="356">
        <f t="shared" si="25"/>
        <v>24555.899999999998</v>
      </c>
      <c r="AM131" s="356">
        <f t="shared" si="26"/>
        <v>25314.699999999997</v>
      </c>
      <c r="AN131" s="216">
        <f t="shared" si="27"/>
        <v>-3335.8141999999971</v>
      </c>
      <c r="AO131" s="437"/>
      <c r="AQ131" s="958"/>
      <c r="AR131" s="958"/>
    </row>
    <row r="132" spans="1:44" s="1933" customFormat="1" ht="11.45" customHeight="1" x14ac:dyDescent="0.2">
      <c r="A132" s="156" t="s">
        <v>1150</v>
      </c>
      <c r="B132" s="1136" t="s">
        <v>547</v>
      </c>
      <c r="C132" s="374">
        <v>133</v>
      </c>
      <c r="D132" s="374">
        <v>417</v>
      </c>
      <c r="E132" s="374">
        <v>0</v>
      </c>
      <c r="F132" s="374">
        <v>159</v>
      </c>
      <c r="G132" s="272">
        <v>265</v>
      </c>
      <c r="H132" s="272">
        <v>12709</v>
      </c>
      <c r="I132" s="374">
        <v>0</v>
      </c>
      <c r="J132" s="374">
        <v>0</v>
      </c>
      <c r="K132" s="374">
        <v>0</v>
      </c>
      <c r="L132" s="374">
        <f t="shared" si="29"/>
        <v>4348.893060800001</v>
      </c>
      <c r="M132" s="277">
        <f>15089+37.826*77.8008</f>
        <v>18031.893060800001</v>
      </c>
      <c r="N132" s="277">
        <v>107.4</v>
      </c>
      <c r="O132" s="277">
        <v>779.3</v>
      </c>
      <c r="P132" s="277">
        <f t="shared" si="24"/>
        <v>886.69999999999993</v>
      </c>
      <c r="Q132" s="277">
        <v>132.4</v>
      </c>
      <c r="R132" s="277">
        <v>183.5</v>
      </c>
      <c r="S132" s="277">
        <v>343.2</v>
      </c>
      <c r="T132" s="277">
        <v>1077.0999999999999</v>
      </c>
      <c r="U132" s="277">
        <v>330.8</v>
      </c>
      <c r="V132" s="777">
        <v>431.2</v>
      </c>
      <c r="W132" s="777">
        <v>208.3</v>
      </c>
      <c r="X132" s="277">
        <v>326</v>
      </c>
      <c r="Y132" s="277">
        <v>1425.3</v>
      </c>
      <c r="Z132" s="277">
        <v>1035.9000000000001</v>
      </c>
      <c r="AA132" s="277">
        <v>69.599999999999994</v>
      </c>
      <c r="AB132" s="277">
        <v>709.4</v>
      </c>
      <c r="AC132" s="277">
        <v>314</v>
      </c>
      <c r="AD132" s="277">
        <v>1200</v>
      </c>
      <c r="AE132" s="277">
        <v>1280.5</v>
      </c>
      <c r="AF132" s="277">
        <v>1036.7</v>
      </c>
      <c r="AG132" s="277">
        <v>2481.5</v>
      </c>
      <c r="AH132" s="277">
        <v>347.9</v>
      </c>
      <c r="AI132" s="277">
        <v>1830.2</v>
      </c>
      <c r="AJ132" s="277">
        <v>1334.9</v>
      </c>
      <c r="AK132" s="277">
        <f>3209.5+2286.7+1533.5</f>
        <v>7029.7</v>
      </c>
      <c r="AL132" s="277">
        <f t="shared" si="25"/>
        <v>23128.1</v>
      </c>
      <c r="AM132" s="277">
        <f t="shared" si="26"/>
        <v>24014.799999999999</v>
      </c>
      <c r="AN132" s="272">
        <f t="shared" si="27"/>
        <v>-5982.9069391999983</v>
      </c>
      <c r="AO132" s="437"/>
      <c r="AQ132" s="958"/>
      <c r="AR132" s="958"/>
    </row>
    <row r="133" spans="1:44" s="1933" customFormat="1" ht="11.45" customHeight="1" x14ac:dyDescent="0.2">
      <c r="A133" s="156" t="s">
        <v>1150</v>
      </c>
      <c r="B133" s="482" t="s">
        <v>554</v>
      </c>
      <c r="C133" s="355">
        <v>85</v>
      </c>
      <c r="D133" s="355">
        <v>555</v>
      </c>
      <c r="E133" s="355">
        <v>1</v>
      </c>
      <c r="F133" s="355">
        <v>144</v>
      </c>
      <c r="G133" s="216">
        <v>232</v>
      </c>
      <c r="H133" s="216">
        <v>13908</v>
      </c>
      <c r="I133" s="355">
        <v>0</v>
      </c>
      <c r="J133" s="355">
        <v>0</v>
      </c>
      <c r="K133" s="355">
        <v>0</v>
      </c>
      <c r="L133" s="355">
        <f t="shared" si="29"/>
        <v>4712.0895295000009</v>
      </c>
      <c r="M133" s="356">
        <f>16531+39.913*77.8215</f>
        <v>19637.089529500001</v>
      </c>
      <c r="N133" s="356">
        <v>192.3</v>
      </c>
      <c r="O133" s="356">
        <v>815</v>
      </c>
      <c r="P133" s="356">
        <f t="shared" si="24"/>
        <v>1007.3</v>
      </c>
      <c r="Q133" s="356">
        <v>95.8</v>
      </c>
      <c r="R133" s="356">
        <v>124.6</v>
      </c>
      <c r="S133" s="356">
        <v>704</v>
      </c>
      <c r="T133" s="356">
        <v>1219.2</v>
      </c>
      <c r="U133" s="356">
        <v>207.4</v>
      </c>
      <c r="V133" s="1958">
        <v>556.29999999999995</v>
      </c>
      <c r="W133" s="1958">
        <v>256.60000000000002</v>
      </c>
      <c r="X133" s="356">
        <v>279.39999999999998</v>
      </c>
      <c r="Y133" s="356">
        <v>1665.8</v>
      </c>
      <c r="Z133" s="356">
        <v>1028.5</v>
      </c>
      <c r="AA133" s="356">
        <v>88.1</v>
      </c>
      <c r="AB133" s="356">
        <v>1134.5</v>
      </c>
      <c r="AC133" s="356">
        <v>340.5</v>
      </c>
      <c r="AD133" s="356">
        <v>1031.0999999999999</v>
      </c>
      <c r="AE133" s="356">
        <v>1222.7</v>
      </c>
      <c r="AF133" s="356">
        <v>985.2</v>
      </c>
      <c r="AG133" s="356">
        <v>2393.1</v>
      </c>
      <c r="AH133" s="356">
        <v>407.8</v>
      </c>
      <c r="AI133" s="356">
        <v>1868.5</v>
      </c>
      <c r="AJ133" s="356">
        <v>1758.5</v>
      </c>
      <c r="AK133" s="356">
        <f>3448.8+2537.6+2314.4</f>
        <v>8300.7999999999993</v>
      </c>
      <c r="AL133" s="356">
        <f t="shared" si="25"/>
        <v>25668.399999999998</v>
      </c>
      <c r="AM133" s="356">
        <f t="shared" si="26"/>
        <v>26675.699999999997</v>
      </c>
      <c r="AN133" s="216">
        <f t="shared" si="27"/>
        <v>-7038.6104704999962</v>
      </c>
      <c r="AO133" s="437"/>
      <c r="AQ133" s="958"/>
      <c r="AR133" s="958"/>
    </row>
    <row r="134" spans="1:44" s="1933" customFormat="1" ht="11.45" customHeight="1" x14ac:dyDescent="0.2">
      <c r="A134" s="156" t="s">
        <v>1150</v>
      </c>
      <c r="B134" s="1136" t="s">
        <v>555</v>
      </c>
      <c r="C134" s="374">
        <v>108</v>
      </c>
      <c r="D134" s="374">
        <v>486</v>
      </c>
      <c r="E134" s="374">
        <v>1</v>
      </c>
      <c r="F134" s="374">
        <v>130</v>
      </c>
      <c r="G134" s="272">
        <v>338</v>
      </c>
      <c r="H134" s="272">
        <v>13111</v>
      </c>
      <c r="I134" s="374">
        <v>0</v>
      </c>
      <c r="J134" s="374">
        <v>0</v>
      </c>
      <c r="K134" s="374">
        <v>0</v>
      </c>
      <c r="L134" s="374">
        <f t="shared" si="29"/>
        <v>5039.3258397999998</v>
      </c>
      <c r="M134" s="277">
        <f>15756+44.027*78.5274</f>
        <v>19213.3258398</v>
      </c>
      <c r="N134" s="277">
        <v>160.4</v>
      </c>
      <c r="O134" s="277">
        <v>662.8</v>
      </c>
      <c r="P134" s="277">
        <f t="shared" si="24"/>
        <v>823.19999999999993</v>
      </c>
      <c r="Q134" s="277">
        <v>199.6</v>
      </c>
      <c r="R134" s="277">
        <v>112.5</v>
      </c>
      <c r="S134" s="277">
        <v>105.8</v>
      </c>
      <c r="T134" s="277">
        <v>843.3</v>
      </c>
      <c r="U134" s="277">
        <v>201.2</v>
      </c>
      <c r="V134" s="777">
        <v>470.5</v>
      </c>
      <c r="W134" s="777">
        <v>299</v>
      </c>
      <c r="X134" s="277">
        <v>0</v>
      </c>
      <c r="Y134" s="277">
        <v>2155.6</v>
      </c>
      <c r="Z134" s="277">
        <v>1116.7</v>
      </c>
      <c r="AA134" s="277">
        <v>112.5</v>
      </c>
      <c r="AB134" s="277">
        <v>828</v>
      </c>
      <c r="AC134" s="277">
        <v>359</v>
      </c>
      <c r="AD134" s="277">
        <v>1435.3</v>
      </c>
      <c r="AE134" s="277">
        <v>1143.7</v>
      </c>
      <c r="AF134" s="277">
        <v>1099.0999999999999</v>
      </c>
      <c r="AG134" s="277">
        <v>2495</v>
      </c>
      <c r="AH134" s="277">
        <v>379.3</v>
      </c>
      <c r="AI134" s="277">
        <v>2026</v>
      </c>
      <c r="AJ134" s="277">
        <v>1771.2</v>
      </c>
      <c r="AK134" s="277">
        <f>3957.1+2616.8+2148.5</f>
        <v>8722.4</v>
      </c>
      <c r="AL134" s="277">
        <f t="shared" si="25"/>
        <v>25875.7</v>
      </c>
      <c r="AM134" s="277">
        <f t="shared" si="26"/>
        <v>26698.9</v>
      </c>
      <c r="AN134" s="272">
        <f t="shared" si="27"/>
        <v>-7485.5741602000016</v>
      </c>
      <c r="AO134" s="437"/>
      <c r="AQ134" s="958"/>
      <c r="AR134" s="958"/>
    </row>
    <row r="135" spans="1:44" s="1933" customFormat="1" ht="11.45" customHeight="1" x14ac:dyDescent="0.2">
      <c r="A135" s="156" t="s">
        <v>1150</v>
      </c>
      <c r="B135" s="482" t="s">
        <v>548</v>
      </c>
      <c r="C135" s="355">
        <v>48</v>
      </c>
      <c r="D135" s="355">
        <v>511</v>
      </c>
      <c r="E135" s="355">
        <v>1</v>
      </c>
      <c r="F135" s="355">
        <v>200</v>
      </c>
      <c r="G135" s="216">
        <v>275</v>
      </c>
      <c r="H135" s="216">
        <v>12930</v>
      </c>
      <c r="I135" s="355">
        <v>0</v>
      </c>
      <c r="J135" s="355">
        <v>0</v>
      </c>
      <c r="K135" s="355">
        <v>0</v>
      </c>
      <c r="L135" s="355">
        <f t="shared" ref="L135:L141" si="30">M135-SUM(C135:K135)</f>
        <v>6042.8867605999985</v>
      </c>
      <c r="M135" s="356">
        <f>15746+54.099*78.7794</f>
        <v>20007.886760599999</v>
      </c>
      <c r="N135" s="356">
        <v>76</v>
      </c>
      <c r="O135" s="356">
        <v>438.7</v>
      </c>
      <c r="P135" s="356">
        <f t="shared" si="24"/>
        <v>514.70000000000005</v>
      </c>
      <c r="Q135" s="356">
        <v>180.4</v>
      </c>
      <c r="R135" s="356">
        <v>126.6</v>
      </c>
      <c r="S135" s="356">
        <v>373.6</v>
      </c>
      <c r="T135" s="356">
        <v>482.5</v>
      </c>
      <c r="U135" s="356">
        <v>300.2</v>
      </c>
      <c r="V135" s="1958">
        <v>634.4</v>
      </c>
      <c r="W135" s="1958">
        <v>304.60000000000002</v>
      </c>
      <c r="X135" s="356">
        <v>262.39999999999998</v>
      </c>
      <c r="Y135" s="356">
        <v>1848.7</v>
      </c>
      <c r="Z135" s="356">
        <v>1257.5999999999999</v>
      </c>
      <c r="AA135" s="356">
        <v>89.9</v>
      </c>
      <c r="AB135" s="356">
        <v>861.2</v>
      </c>
      <c r="AC135" s="356">
        <v>382</v>
      </c>
      <c r="AD135" s="356">
        <v>1340.7</v>
      </c>
      <c r="AE135" s="356">
        <v>1638.3</v>
      </c>
      <c r="AF135" s="356">
        <v>1071.0999999999999</v>
      </c>
      <c r="AG135" s="356">
        <v>3203.5</v>
      </c>
      <c r="AH135" s="356">
        <v>398.4</v>
      </c>
      <c r="AI135" s="356">
        <v>1720.2</v>
      </c>
      <c r="AJ135" s="356">
        <v>2058.6999999999998</v>
      </c>
      <c r="AK135" s="356">
        <f>4594+2965.9+2179</f>
        <v>9738.9</v>
      </c>
      <c r="AL135" s="356">
        <f t="shared" si="25"/>
        <v>28273.899999999998</v>
      </c>
      <c r="AM135" s="214">
        <f t="shared" si="26"/>
        <v>28788.6</v>
      </c>
      <c r="AN135" s="216">
        <f t="shared" si="27"/>
        <v>-8780.7132394</v>
      </c>
      <c r="AO135" s="437"/>
      <c r="AQ135" s="958"/>
      <c r="AR135" s="958"/>
    </row>
    <row r="136" spans="1:44" s="1933" customFormat="1" ht="11.45" customHeight="1" x14ac:dyDescent="0.2">
      <c r="A136" s="156" t="s">
        <v>1150</v>
      </c>
      <c r="B136" s="1136" t="s">
        <v>556</v>
      </c>
      <c r="C136" s="374">
        <v>16</v>
      </c>
      <c r="D136" s="374">
        <v>460</v>
      </c>
      <c r="E136" s="374">
        <v>1</v>
      </c>
      <c r="F136" s="374">
        <v>172</v>
      </c>
      <c r="G136" s="272">
        <v>262</v>
      </c>
      <c r="H136" s="272">
        <v>13295</v>
      </c>
      <c r="I136" s="374">
        <v>0</v>
      </c>
      <c r="J136" s="374">
        <v>0</v>
      </c>
      <c r="K136" s="374">
        <v>0</v>
      </c>
      <c r="L136" s="374">
        <f t="shared" si="30"/>
        <v>5169.8094203000001</v>
      </c>
      <c r="M136" s="277">
        <f>15684+47.029*78.5007</f>
        <v>19375.8094203</v>
      </c>
      <c r="N136" s="277">
        <v>49</v>
      </c>
      <c r="O136" s="277">
        <v>934</v>
      </c>
      <c r="P136" s="277">
        <f t="shared" si="24"/>
        <v>983</v>
      </c>
      <c r="Q136" s="277">
        <v>139.19999999999999</v>
      </c>
      <c r="R136" s="277">
        <v>94.4</v>
      </c>
      <c r="S136" s="277">
        <v>325.60000000000002</v>
      </c>
      <c r="T136" s="277">
        <v>777.7</v>
      </c>
      <c r="U136" s="277">
        <v>287.10000000000002</v>
      </c>
      <c r="V136" s="777">
        <v>514.20000000000005</v>
      </c>
      <c r="W136" s="777">
        <v>208.5</v>
      </c>
      <c r="X136" s="277">
        <v>0</v>
      </c>
      <c r="Y136" s="277">
        <v>1117.8</v>
      </c>
      <c r="Z136" s="277">
        <v>1173.0999999999999</v>
      </c>
      <c r="AA136" s="277">
        <v>43.5</v>
      </c>
      <c r="AB136" s="277">
        <v>1555.8</v>
      </c>
      <c r="AC136" s="277">
        <v>349.2</v>
      </c>
      <c r="AD136" s="277">
        <v>1130.5</v>
      </c>
      <c r="AE136" s="277">
        <v>1350.9</v>
      </c>
      <c r="AF136" s="277">
        <v>1086.4000000000001</v>
      </c>
      <c r="AG136" s="277">
        <v>2963.1</v>
      </c>
      <c r="AH136" s="277">
        <v>464.1</v>
      </c>
      <c r="AI136" s="277">
        <v>1603.5</v>
      </c>
      <c r="AJ136" s="277">
        <v>2033.5</v>
      </c>
      <c r="AK136" s="277">
        <f>4057.9+2609.8+2115.6</f>
        <v>8783.3000000000011</v>
      </c>
      <c r="AL136" s="277">
        <f t="shared" si="25"/>
        <v>26001.4</v>
      </c>
      <c r="AM136" s="277">
        <f t="shared" si="26"/>
        <v>26984.400000000001</v>
      </c>
      <c r="AN136" s="272">
        <f t="shared" si="27"/>
        <v>-7608.5905797000014</v>
      </c>
      <c r="AO136" s="437"/>
      <c r="AQ136" s="958"/>
      <c r="AR136" s="958"/>
    </row>
    <row r="137" spans="1:44" s="1933" customFormat="1" ht="11.45" customHeight="1" x14ac:dyDescent="0.2">
      <c r="A137" s="156" t="s">
        <v>1150</v>
      </c>
      <c r="B137" s="482" t="s">
        <v>557</v>
      </c>
      <c r="C137" s="355">
        <v>67</v>
      </c>
      <c r="D137" s="355">
        <v>425</v>
      </c>
      <c r="E137" s="355">
        <v>2</v>
      </c>
      <c r="F137" s="355">
        <v>143</v>
      </c>
      <c r="G137" s="216">
        <v>248</v>
      </c>
      <c r="H137" s="216">
        <v>13519</v>
      </c>
      <c r="I137" s="355">
        <v>0</v>
      </c>
      <c r="J137" s="355">
        <v>0</v>
      </c>
      <c r="K137" s="355">
        <v>0</v>
      </c>
      <c r="L137" s="355">
        <f t="shared" si="30"/>
        <v>4900.650072299999</v>
      </c>
      <c r="M137" s="356">
        <f>15949+42.719*78.5517</f>
        <v>19304.650072299999</v>
      </c>
      <c r="N137" s="356">
        <v>38.700000000000003</v>
      </c>
      <c r="O137" s="356">
        <v>429</v>
      </c>
      <c r="P137" s="356">
        <f t="shared" si="24"/>
        <v>467.7</v>
      </c>
      <c r="Q137" s="356">
        <v>127.8</v>
      </c>
      <c r="R137" s="356">
        <v>108.9</v>
      </c>
      <c r="S137" s="356">
        <v>194.7</v>
      </c>
      <c r="T137" s="356">
        <v>889.1</v>
      </c>
      <c r="U137" s="356">
        <v>223.7</v>
      </c>
      <c r="V137" s="1958">
        <v>324.60000000000002</v>
      </c>
      <c r="W137" s="1958">
        <v>344.1</v>
      </c>
      <c r="X137" s="356">
        <v>211.4</v>
      </c>
      <c r="Y137" s="356">
        <v>787.5</v>
      </c>
      <c r="Z137" s="356">
        <v>948.3</v>
      </c>
      <c r="AA137" s="356">
        <v>79.5</v>
      </c>
      <c r="AB137" s="356">
        <v>951.2</v>
      </c>
      <c r="AC137" s="356">
        <v>331.5</v>
      </c>
      <c r="AD137" s="356">
        <v>1136.5999999999999</v>
      </c>
      <c r="AE137" s="356">
        <v>1345.9</v>
      </c>
      <c r="AF137" s="356">
        <v>1071.3</v>
      </c>
      <c r="AG137" s="356">
        <v>2696.3</v>
      </c>
      <c r="AH137" s="356">
        <v>393.6</v>
      </c>
      <c r="AI137" s="356">
        <v>1840.4</v>
      </c>
      <c r="AJ137" s="356">
        <v>1879.1</v>
      </c>
      <c r="AK137" s="356">
        <f>3444.2+2416.2+1902.5</f>
        <v>7762.9</v>
      </c>
      <c r="AL137" s="356">
        <f t="shared" si="25"/>
        <v>23648.399999999998</v>
      </c>
      <c r="AM137" s="356">
        <f t="shared" si="26"/>
        <v>24116.1</v>
      </c>
      <c r="AN137" s="216">
        <f t="shared" si="27"/>
        <v>-4811.4499276999995</v>
      </c>
      <c r="AO137" s="437"/>
      <c r="AQ137" s="958"/>
      <c r="AR137" s="958"/>
    </row>
    <row r="138" spans="1:44" s="1933" customFormat="1" ht="11.45" customHeight="1" x14ac:dyDescent="0.2">
      <c r="A138" s="156" t="s">
        <v>1150</v>
      </c>
      <c r="B138" s="1136" t="s">
        <v>549</v>
      </c>
      <c r="C138" s="374">
        <v>74</v>
      </c>
      <c r="D138" s="374">
        <v>485</v>
      </c>
      <c r="E138" s="374">
        <v>1</v>
      </c>
      <c r="F138" s="374">
        <v>167</v>
      </c>
      <c r="G138" s="272">
        <v>240</v>
      </c>
      <c r="H138" s="272">
        <v>14553</v>
      </c>
      <c r="I138" s="374">
        <v>44</v>
      </c>
      <c r="J138" s="374">
        <v>0</v>
      </c>
      <c r="K138" s="374">
        <v>0</v>
      </c>
      <c r="L138" s="374">
        <f t="shared" si="30"/>
        <v>5463.2565945999995</v>
      </c>
      <c r="M138" s="277">
        <f>17289+47.674*78.4129</f>
        <v>21027.2565946</v>
      </c>
      <c r="N138" s="277">
        <v>30.8</v>
      </c>
      <c r="O138" s="277">
        <v>267.89999999999998</v>
      </c>
      <c r="P138" s="277">
        <f t="shared" si="24"/>
        <v>298.7</v>
      </c>
      <c r="Q138" s="277">
        <v>128.4</v>
      </c>
      <c r="R138" s="277">
        <v>105.9</v>
      </c>
      <c r="S138" s="277">
        <v>101</v>
      </c>
      <c r="T138" s="277">
        <v>991.4</v>
      </c>
      <c r="U138" s="277">
        <v>203.8</v>
      </c>
      <c r="V138" s="777">
        <v>850.4</v>
      </c>
      <c r="W138" s="777">
        <v>318.10000000000002</v>
      </c>
      <c r="X138" s="277">
        <v>168.6</v>
      </c>
      <c r="Y138" s="277">
        <v>1297.7</v>
      </c>
      <c r="Z138" s="277">
        <v>1207.9000000000001</v>
      </c>
      <c r="AA138" s="277">
        <v>88.7</v>
      </c>
      <c r="AB138" s="277">
        <v>434.5</v>
      </c>
      <c r="AC138" s="277">
        <v>375.5</v>
      </c>
      <c r="AD138" s="277">
        <v>1242.5</v>
      </c>
      <c r="AE138" s="277">
        <v>1894.9</v>
      </c>
      <c r="AF138" s="277">
        <v>1093.4000000000001</v>
      </c>
      <c r="AG138" s="277">
        <v>2788.1</v>
      </c>
      <c r="AH138" s="277">
        <v>452.7</v>
      </c>
      <c r="AI138" s="277">
        <v>1841.3</v>
      </c>
      <c r="AJ138" s="277">
        <v>2373.1999999999998</v>
      </c>
      <c r="AK138" s="277">
        <f>3597.8+2999+1994.8</f>
        <v>8591.6</v>
      </c>
      <c r="AL138" s="277">
        <f t="shared" si="25"/>
        <v>26549.599999999999</v>
      </c>
      <c r="AM138" s="277">
        <f t="shared" si="26"/>
        <v>26848.3</v>
      </c>
      <c r="AN138" s="272">
        <f t="shared" si="27"/>
        <v>-5821.0434053999998</v>
      </c>
      <c r="AO138" s="437"/>
      <c r="AQ138" s="958"/>
      <c r="AR138" s="958"/>
    </row>
    <row r="139" spans="1:44" s="1933" customFormat="1" ht="11.45" customHeight="1" x14ac:dyDescent="0.2">
      <c r="A139" s="156" t="s">
        <v>1150</v>
      </c>
      <c r="B139" s="482" t="s">
        <v>558</v>
      </c>
      <c r="C139" s="355">
        <v>78</v>
      </c>
      <c r="D139" s="355">
        <v>484</v>
      </c>
      <c r="E139" s="355">
        <v>2</v>
      </c>
      <c r="F139" s="355">
        <v>137</v>
      </c>
      <c r="G139" s="216">
        <v>199</v>
      </c>
      <c r="H139" s="216">
        <v>13324</v>
      </c>
      <c r="I139" s="355">
        <v>0</v>
      </c>
      <c r="J139" s="355">
        <v>0</v>
      </c>
      <c r="K139" s="355">
        <v>0</v>
      </c>
      <c r="L139" s="355">
        <f t="shared" si="30"/>
        <v>4521.9903999999988</v>
      </c>
      <c r="M139" s="356">
        <f>15684+39.056*78.4</f>
        <v>18745.990399999999</v>
      </c>
      <c r="N139" s="356">
        <v>21.2</v>
      </c>
      <c r="O139" s="356">
        <v>517.70000000000005</v>
      </c>
      <c r="P139" s="356">
        <f t="shared" si="24"/>
        <v>538.90000000000009</v>
      </c>
      <c r="Q139" s="356">
        <v>130.6</v>
      </c>
      <c r="R139" s="356">
        <v>110.6</v>
      </c>
      <c r="S139" s="356">
        <v>573.1</v>
      </c>
      <c r="T139" s="356">
        <v>818.6</v>
      </c>
      <c r="U139" s="356">
        <v>539.70000000000005</v>
      </c>
      <c r="V139" s="1958">
        <v>63.2</v>
      </c>
      <c r="W139" s="1958">
        <v>285.39999999999998</v>
      </c>
      <c r="X139" s="356">
        <v>318.89999999999998</v>
      </c>
      <c r="Y139" s="356">
        <v>1370</v>
      </c>
      <c r="Z139" s="356">
        <v>1050.7</v>
      </c>
      <c r="AA139" s="356">
        <v>71.400000000000006</v>
      </c>
      <c r="AB139" s="356">
        <v>286.3</v>
      </c>
      <c r="AC139" s="356">
        <v>352.2</v>
      </c>
      <c r="AD139" s="356">
        <v>1120.5</v>
      </c>
      <c r="AE139" s="356">
        <v>1309.0999999999999</v>
      </c>
      <c r="AF139" s="356">
        <v>967.4</v>
      </c>
      <c r="AG139" s="356">
        <v>2865.7</v>
      </c>
      <c r="AH139" s="356">
        <v>363.6</v>
      </c>
      <c r="AI139" s="356">
        <v>1478.7</v>
      </c>
      <c r="AJ139" s="356">
        <v>2496.1999999999998</v>
      </c>
      <c r="AK139" s="356">
        <f>3636.4+2655.7+2195.2</f>
        <v>8487.2999999999993</v>
      </c>
      <c r="AL139" s="356">
        <f t="shared" si="25"/>
        <v>25059.199999999997</v>
      </c>
      <c r="AM139" s="356">
        <f t="shared" si="26"/>
        <v>25598.1</v>
      </c>
      <c r="AN139" s="216">
        <f t="shared" si="27"/>
        <v>-6852.1095999999998</v>
      </c>
      <c r="AO139" s="437"/>
      <c r="AQ139" s="958"/>
      <c r="AR139" s="958"/>
    </row>
    <row r="140" spans="1:44" s="1933" customFormat="1" ht="11.45" customHeight="1" x14ac:dyDescent="0.2">
      <c r="A140" s="156" t="s">
        <v>1150</v>
      </c>
      <c r="B140" s="1136" t="s">
        <v>559</v>
      </c>
      <c r="C140" s="374">
        <v>158</v>
      </c>
      <c r="D140" s="374">
        <v>535</v>
      </c>
      <c r="E140" s="374">
        <v>1</v>
      </c>
      <c r="F140" s="374">
        <v>190</v>
      </c>
      <c r="G140" s="272">
        <v>205</v>
      </c>
      <c r="H140" s="272">
        <v>13593</v>
      </c>
      <c r="I140" s="374">
        <v>0</v>
      </c>
      <c r="J140" s="374">
        <v>0</v>
      </c>
      <c r="K140" s="374">
        <v>0</v>
      </c>
      <c r="L140" s="374">
        <f t="shared" si="30"/>
        <v>5093.3824000000022</v>
      </c>
      <c r="M140" s="277">
        <f>16174+45.936*78.4</f>
        <v>19775.382400000002</v>
      </c>
      <c r="N140" s="277">
        <v>30.5</v>
      </c>
      <c r="O140" s="277">
        <v>630.6</v>
      </c>
      <c r="P140" s="277">
        <f t="shared" si="24"/>
        <v>661.1</v>
      </c>
      <c r="Q140" s="277">
        <v>187.1</v>
      </c>
      <c r="R140" s="277">
        <v>148.69999999999999</v>
      </c>
      <c r="S140" s="277">
        <v>446.5</v>
      </c>
      <c r="T140" s="277">
        <v>1076.0999999999999</v>
      </c>
      <c r="U140" s="277">
        <v>614.29999999999995</v>
      </c>
      <c r="V140" s="777">
        <v>546.9</v>
      </c>
      <c r="W140" s="777">
        <v>437.9</v>
      </c>
      <c r="X140" s="277">
        <v>223.2</v>
      </c>
      <c r="Y140" s="277">
        <v>1278.0999999999999</v>
      </c>
      <c r="Z140" s="277">
        <v>1239.3</v>
      </c>
      <c r="AA140" s="277">
        <v>79.900000000000006</v>
      </c>
      <c r="AB140" s="277">
        <v>220.5</v>
      </c>
      <c r="AC140" s="277">
        <v>364.5</v>
      </c>
      <c r="AD140" s="277">
        <v>1322.1</v>
      </c>
      <c r="AE140" s="277">
        <v>1611.6</v>
      </c>
      <c r="AF140" s="277">
        <v>1260.2</v>
      </c>
      <c r="AG140" s="277">
        <v>2778.1</v>
      </c>
      <c r="AH140" s="277">
        <v>425.4</v>
      </c>
      <c r="AI140" s="277">
        <v>2081.6999999999998</v>
      </c>
      <c r="AJ140" s="277">
        <v>2266</v>
      </c>
      <c r="AK140" s="277">
        <f>4347.6+2876.3+2218.7</f>
        <v>9442.6</v>
      </c>
      <c r="AL140" s="277">
        <f t="shared" si="25"/>
        <v>28050.7</v>
      </c>
      <c r="AM140" s="277">
        <f t="shared" si="26"/>
        <v>28711.8</v>
      </c>
      <c r="AN140" s="272">
        <f t="shared" si="27"/>
        <v>-8936.417599999997</v>
      </c>
      <c r="AO140" s="437"/>
      <c r="AQ140" s="958"/>
      <c r="AR140" s="958"/>
    </row>
    <row r="141" spans="1:44" s="1933" customFormat="1" ht="11.45" customHeight="1" x14ac:dyDescent="0.2">
      <c r="A141" s="156" t="s">
        <v>1150</v>
      </c>
      <c r="B141" s="482" t="s">
        <v>550</v>
      </c>
      <c r="C141" s="355">
        <v>250</v>
      </c>
      <c r="D141" s="355">
        <v>470</v>
      </c>
      <c r="E141" s="355">
        <v>1</v>
      </c>
      <c r="F141" s="355">
        <v>173</v>
      </c>
      <c r="G141" s="216">
        <v>253</v>
      </c>
      <c r="H141" s="216">
        <v>13645</v>
      </c>
      <c r="I141" s="355">
        <v>57</v>
      </c>
      <c r="J141" s="355">
        <v>0</v>
      </c>
      <c r="K141" s="355">
        <v>0</v>
      </c>
      <c r="L141" s="355">
        <f t="shared" si="30"/>
        <v>6341.5792000000001</v>
      </c>
      <c r="M141" s="356">
        <f>16415+60.913*78.4</f>
        <v>21190.5792</v>
      </c>
      <c r="N141" s="356">
        <v>28.4</v>
      </c>
      <c r="O141" s="356">
        <v>756.4</v>
      </c>
      <c r="P141" s="356">
        <f t="shared" si="24"/>
        <v>784.8</v>
      </c>
      <c r="Q141" s="356">
        <v>155.30000000000001</v>
      </c>
      <c r="R141" s="356">
        <v>178.3</v>
      </c>
      <c r="S141" s="356">
        <v>353.5</v>
      </c>
      <c r="T141" s="356">
        <v>922.6</v>
      </c>
      <c r="U141" s="356">
        <v>422.1</v>
      </c>
      <c r="V141" s="1958">
        <v>184.5</v>
      </c>
      <c r="W141" s="1958">
        <v>333.5</v>
      </c>
      <c r="X141" s="356">
        <v>490</v>
      </c>
      <c r="Y141" s="356">
        <v>1345.7</v>
      </c>
      <c r="Z141" s="356">
        <v>1132.8</v>
      </c>
      <c r="AA141" s="356">
        <v>72.8</v>
      </c>
      <c r="AB141" s="356">
        <v>213.5</v>
      </c>
      <c r="AC141" s="356">
        <v>384.4</v>
      </c>
      <c r="AD141" s="356">
        <v>1201.3</v>
      </c>
      <c r="AE141" s="356">
        <v>1651</v>
      </c>
      <c r="AF141" s="356">
        <v>1097.2</v>
      </c>
      <c r="AG141" s="356">
        <v>2569.3000000000002</v>
      </c>
      <c r="AH141" s="356">
        <v>366.6</v>
      </c>
      <c r="AI141" s="356">
        <v>2059.6</v>
      </c>
      <c r="AJ141" s="356">
        <v>2239.3000000000002</v>
      </c>
      <c r="AK141" s="356">
        <f>4459.9+2770+2152.9</f>
        <v>9382.7999999999993</v>
      </c>
      <c r="AL141" s="356">
        <f t="shared" si="25"/>
        <v>26756.1</v>
      </c>
      <c r="AM141" s="356">
        <f t="shared" si="26"/>
        <v>27540.899999999998</v>
      </c>
      <c r="AN141" s="216">
        <f t="shared" si="27"/>
        <v>-6350.3207999999977</v>
      </c>
      <c r="AO141" s="437"/>
      <c r="AQ141" s="958"/>
      <c r="AR141" s="958"/>
    </row>
    <row r="142" spans="1:44" s="1933" customFormat="1" ht="11.45" customHeight="1" x14ac:dyDescent="0.2">
      <c r="A142" s="156" t="s">
        <v>1174</v>
      </c>
      <c r="B142" s="1136" t="s">
        <v>552</v>
      </c>
      <c r="C142" s="355">
        <v>158</v>
      </c>
      <c r="D142" s="355">
        <v>471</v>
      </c>
      <c r="E142" s="355">
        <v>1</v>
      </c>
      <c r="F142" s="355">
        <v>108</v>
      </c>
      <c r="G142" s="216">
        <f>25+274</f>
        <v>299</v>
      </c>
      <c r="H142" s="216">
        <v>13232</v>
      </c>
      <c r="I142" s="355">
        <v>0</v>
      </c>
      <c r="J142" s="355">
        <v>0</v>
      </c>
      <c r="K142" s="355">
        <v>0</v>
      </c>
      <c r="L142" s="355">
        <f t="shared" ref="L142:L150" si="31">M142-SUM(C142:K142)</f>
        <v>3971.4079999999994</v>
      </c>
      <c r="M142" s="356">
        <f>15585+33.87*78.4</f>
        <v>18240.407999999999</v>
      </c>
      <c r="N142" s="356">
        <v>17.7</v>
      </c>
      <c r="O142" s="356">
        <v>454.59999999999997</v>
      </c>
      <c r="P142" s="356">
        <f t="shared" si="24"/>
        <v>472.29999999999995</v>
      </c>
      <c r="Q142" s="356">
        <v>150.5</v>
      </c>
      <c r="R142" s="356">
        <v>128.6</v>
      </c>
      <c r="S142" s="356">
        <v>383.3</v>
      </c>
      <c r="T142" s="356">
        <v>689.2</v>
      </c>
      <c r="U142" s="356">
        <v>210.8</v>
      </c>
      <c r="V142" s="1958">
        <v>566.29999999999995</v>
      </c>
      <c r="W142" s="1958">
        <v>234.7</v>
      </c>
      <c r="X142" s="356">
        <v>305.10000000000002</v>
      </c>
      <c r="Y142" s="356">
        <v>1331.8</v>
      </c>
      <c r="Z142" s="356">
        <v>1141.9000000000001</v>
      </c>
      <c r="AA142" s="356">
        <v>64.900000000000006</v>
      </c>
      <c r="AB142" s="356">
        <v>418</v>
      </c>
      <c r="AC142" s="356">
        <v>398.2</v>
      </c>
      <c r="AD142" s="356">
        <v>1033.3</v>
      </c>
      <c r="AE142" s="356">
        <v>1093.0999999999999</v>
      </c>
      <c r="AF142" s="356">
        <v>1130.4000000000001</v>
      </c>
      <c r="AG142" s="356">
        <v>2622.1</v>
      </c>
      <c r="AH142" s="356">
        <v>382.7</v>
      </c>
      <c r="AI142" s="356">
        <v>1631</v>
      </c>
      <c r="AJ142" s="356">
        <v>1988</v>
      </c>
      <c r="AK142" s="356">
        <v>6991.9000000000024</v>
      </c>
      <c r="AL142" s="356">
        <f t="shared" si="25"/>
        <v>22895.800000000003</v>
      </c>
      <c r="AM142" s="356">
        <f t="shared" si="26"/>
        <v>23368.100000000002</v>
      </c>
      <c r="AN142" s="216">
        <f t="shared" si="27"/>
        <v>-5127.6920000000027</v>
      </c>
      <c r="AO142" s="437"/>
      <c r="AQ142" s="958"/>
      <c r="AR142" s="958"/>
    </row>
    <row r="143" spans="1:44" s="1933" customFormat="1" ht="11.45" customHeight="1" x14ac:dyDescent="0.2">
      <c r="A143" s="156" t="s">
        <v>1174</v>
      </c>
      <c r="B143" s="482" t="s">
        <v>112</v>
      </c>
      <c r="C143" s="374">
        <v>143</v>
      </c>
      <c r="D143" s="374">
        <v>455</v>
      </c>
      <c r="E143" s="374">
        <v>1</v>
      </c>
      <c r="F143" s="374">
        <v>98</v>
      </c>
      <c r="G143" s="272">
        <f>33+340</f>
        <v>373</v>
      </c>
      <c r="H143" s="272">
        <v>15147</v>
      </c>
      <c r="I143" s="374">
        <v>0</v>
      </c>
      <c r="J143" s="374">
        <v>0</v>
      </c>
      <c r="K143" s="374">
        <v>44</v>
      </c>
      <c r="L143" s="374">
        <f t="shared" si="31"/>
        <v>5576.9392000000007</v>
      </c>
      <c r="M143" s="277">
        <f>17864+78.4*50.688</f>
        <v>21837.939200000001</v>
      </c>
      <c r="N143" s="277">
        <v>10</v>
      </c>
      <c r="O143" s="277">
        <v>509.29999999999995</v>
      </c>
      <c r="P143" s="277">
        <f t="shared" si="24"/>
        <v>519.29999999999995</v>
      </c>
      <c r="Q143" s="277">
        <v>139.30000000000001</v>
      </c>
      <c r="R143" s="277">
        <v>186</v>
      </c>
      <c r="S143" s="277">
        <v>126.7</v>
      </c>
      <c r="T143" s="277">
        <v>650.4</v>
      </c>
      <c r="U143" s="277">
        <v>234.89999999999998</v>
      </c>
      <c r="V143" s="777">
        <v>497.4</v>
      </c>
      <c r="W143" s="777">
        <v>338.6</v>
      </c>
      <c r="X143" s="277">
        <v>288.29999999999995</v>
      </c>
      <c r="Y143" s="277">
        <v>1584.1000000000001</v>
      </c>
      <c r="Z143" s="277">
        <v>1143.5</v>
      </c>
      <c r="AA143" s="277">
        <v>86.3</v>
      </c>
      <c r="AB143" s="277">
        <v>492.9</v>
      </c>
      <c r="AC143" s="277">
        <v>387</v>
      </c>
      <c r="AD143" s="277">
        <v>1155.5</v>
      </c>
      <c r="AE143" s="277">
        <v>1383.8000000000002</v>
      </c>
      <c r="AF143" s="277">
        <v>1298.5</v>
      </c>
      <c r="AG143" s="277">
        <v>3089.3999999999996</v>
      </c>
      <c r="AH143" s="277">
        <v>352.3</v>
      </c>
      <c r="AI143" s="277">
        <v>2003.6999999999998</v>
      </c>
      <c r="AJ143" s="277">
        <v>2032.5</v>
      </c>
      <c r="AK143" s="277">
        <v>9150.4999999999964</v>
      </c>
      <c r="AL143" s="277">
        <f t="shared" si="25"/>
        <v>26621.599999999995</v>
      </c>
      <c r="AM143" s="277">
        <f t="shared" si="26"/>
        <v>27140.899999999994</v>
      </c>
      <c r="AN143" s="272">
        <f t="shared" si="27"/>
        <v>-5302.9607999999935</v>
      </c>
      <c r="AO143" s="437"/>
      <c r="AQ143" s="958"/>
      <c r="AR143" s="958"/>
    </row>
    <row r="144" spans="1:44" s="1933" customFormat="1" ht="11.45" customHeight="1" x14ac:dyDescent="0.2">
      <c r="A144" s="156" t="s">
        <v>1174</v>
      </c>
      <c r="B144" s="1136" t="s">
        <v>547</v>
      </c>
      <c r="C144" s="355">
        <v>92</v>
      </c>
      <c r="D144" s="355">
        <v>463</v>
      </c>
      <c r="E144" s="355">
        <v>0</v>
      </c>
      <c r="F144" s="355">
        <v>142</v>
      </c>
      <c r="G144" s="216">
        <f>30+306</f>
        <v>336</v>
      </c>
      <c r="H144" s="216">
        <v>13712</v>
      </c>
      <c r="I144" s="355">
        <v>0</v>
      </c>
      <c r="J144" s="355">
        <v>0</v>
      </c>
      <c r="K144" s="355">
        <v>0</v>
      </c>
      <c r="L144" s="355">
        <f t="shared" si="31"/>
        <v>3944.2335999999996</v>
      </c>
      <c r="M144" s="356">
        <f>16235+78.4*31.304</f>
        <v>18689.2336</v>
      </c>
      <c r="N144" s="356">
        <v>7.8</v>
      </c>
      <c r="O144" s="356">
        <v>636.29999999999995</v>
      </c>
      <c r="P144" s="356">
        <f t="shared" si="24"/>
        <v>644.09999999999991</v>
      </c>
      <c r="Q144" s="356">
        <v>75.8</v>
      </c>
      <c r="R144" s="356">
        <v>169.3</v>
      </c>
      <c r="S144" s="356">
        <v>91.6</v>
      </c>
      <c r="T144" s="356">
        <v>897</v>
      </c>
      <c r="U144" s="356">
        <v>131.5</v>
      </c>
      <c r="V144" s="1958">
        <v>324.09999999999997</v>
      </c>
      <c r="W144" s="1958">
        <v>259.39999999999998</v>
      </c>
      <c r="X144" s="356">
        <v>260.39999999999998</v>
      </c>
      <c r="Y144" s="356">
        <v>1590.6</v>
      </c>
      <c r="Z144" s="356">
        <v>1073</v>
      </c>
      <c r="AA144" s="356">
        <v>84.9</v>
      </c>
      <c r="AB144" s="356">
        <v>585.29999999999995</v>
      </c>
      <c r="AC144" s="356">
        <v>310.89999999999998</v>
      </c>
      <c r="AD144" s="356">
        <v>1097.1999999999998</v>
      </c>
      <c r="AE144" s="356">
        <v>1426</v>
      </c>
      <c r="AF144" s="356">
        <v>1113.9000000000001</v>
      </c>
      <c r="AG144" s="356">
        <v>2675.9</v>
      </c>
      <c r="AH144" s="356">
        <v>388.6</v>
      </c>
      <c r="AI144" s="356">
        <v>2083.4</v>
      </c>
      <c r="AJ144" s="356">
        <v>2024.3</v>
      </c>
      <c r="AK144" s="356">
        <v>7720.8999999999987</v>
      </c>
      <c r="AL144" s="356">
        <f t="shared" si="25"/>
        <v>24383.999999999996</v>
      </c>
      <c r="AM144" s="356">
        <f t="shared" si="26"/>
        <v>25028.099999999995</v>
      </c>
      <c r="AN144" s="216">
        <f t="shared" si="27"/>
        <v>-6338.8663999999953</v>
      </c>
      <c r="AO144" s="437"/>
      <c r="AQ144" s="958"/>
      <c r="AR144" s="958"/>
    </row>
    <row r="145" spans="1:44" s="1933" customFormat="1" ht="11.45" customHeight="1" x14ac:dyDescent="0.2">
      <c r="A145" s="156" t="s">
        <v>1174</v>
      </c>
      <c r="B145" s="482" t="s">
        <v>554</v>
      </c>
      <c r="C145" s="374">
        <v>102</v>
      </c>
      <c r="D145" s="374">
        <v>493</v>
      </c>
      <c r="E145" s="374">
        <v>1</v>
      </c>
      <c r="F145" s="374">
        <v>118</v>
      </c>
      <c r="G145" s="374">
        <f>35+298</f>
        <v>333</v>
      </c>
      <c r="H145" s="374">
        <v>13710</v>
      </c>
      <c r="I145" s="374">
        <v>0</v>
      </c>
      <c r="J145" s="374">
        <v>0</v>
      </c>
      <c r="K145" s="374">
        <v>0</v>
      </c>
      <c r="L145" s="374">
        <f t="shared" si="31"/>
        <v>4635.3020047999998</v>
      </c>
      <c r="M145" s="374">
        <f>16295+78.4008*39.506</f>
        <v>19392.3020048</v>
      </c>
      <c r="N145" s="374">
        <v>18.100000000000001</v>
      </c>
      <c r="O145" s="374">
        <v>1403.9</v>
      </c>
      <c r="P145" s="374">
        <f t="shared" si="24"/>
        <v>1422</v>
      </c>
      <c r="Q145" s="272">
        <v>89.6</v>
      </c>
      <c r="R145" s="272">
        <v>141.19999999999999</v>
      </c>
      <c r="S145" s="272">
        <v>448.7</v>
      </c>
      <c r="T145" s="272">
        <v>919.6</v>
      </c>
      <c r="U145" s="272">
        <v>298.39999999999998</v>
      </c>
      <c r="V145" s="272">
        <v>606</v>
      </c>
      <c r="W145" s="272">
        <v>264.5</v>
      </c>
      <c r="X145" s="272">
        <v>520.70000000000005</v>
      </c>
      <c r="Y145" s="272">
        <v>1590.3</v>
      </c>
      <c r="Z145" s="272">
        <v>1147.8</v>
      </c>
      <c r="AA145" s="272">
        <v>75.800000000000011</v>
      </c>
      <c r="AB145" s="272">
        <v>711</v>
      </c>
      <c r="AC145" s="272">
        <v>373.6</v>
      </c>
      <c r="AD145" s="272">
        <v>1232.0999999999999</v>
      </c>
      <c r="AE145" s="272">
        <v>1286.5999999999999</v>
      </c>
      <c r="AF145" s="272">
        <v>1139.1999999999998</v>
      </c>
      <c r="AG145" s="272">
        <v>2482</v>
      </c>
      <c r="AH145" s="272">
        <v>377.40000000000003</v>
      </c>
      <c r="AI145" s="272">
        <v>1952.6</v>
      </c>
      <c r="AJ145" s="272">
        <v>2483.7999999999997</v>
      </c>
      <c r="AK145" s="272">
        <v>8559.3000000000011</v>
      </c>
      <c r="AL145" s="272">
        <f t="shared" si="25"/>
        <v>26700.200000000004</v>
      </c>
      <c r="AM145" s="272">
        <f t="shared" si="26"/>
        <v>28122.200000000004</v>
      </c>
      <c r="AN145" s="272">
        <f t="shared" si="27"/>
        <v>-8729.8979952000045</v>
      </c>
      <c r="AO145" s="437"/>
      <c r="AQ145" s="958"/>
      <c r="AR145" s="958"/>
    </row>
    <row r="146" spans="1:44" s="1933" customFormat="1" ht="11.45" customHeight="1" x14ac:dyDescent="0.2">
      <c r="A146" s="156" t="s">
        <v>1174</v>
      </c>
      <c r="B146" s="1136" t="s">
        <v>555</v>
      </c>
      <c r="C146" s="355">
        <v>139</v>
      </c>
      <c r="D146" s="355">
        <v>514</v>
      </c>
      <c r="E146" s="355">
        <v>1</v>
      </c>
      <c r="F146" s="355">
        <v>160</v>
      </c>
      <c r="G146" s="355">
        <f>49+346</f>
        <v>395</v>
      </c>
      <c r="H146" s="355">
        <v>14010</v>
      </c>
      <c r="I146" s="355">
        <v>0</v>
      </c>
      <c r="J146" s="355">
        <v>0</v>
      </c>
      <c r="K146" s="355">
        <v>0</v>
      </c>
      <c r="L146" s="355">
        <f t="shared" si="31"/>
        <v>4522.152646399998</v>
      </c>
      <c r="M146" s="355">
        <f>16832+78.5472*37.037</f>
        <v>19741.152646399998</v>
      </c>
      <c r="N146" s="355">
        <v>19.3</v>
      </c>
      <c r="O146" s="355">
        <v>591.5</v>
      </c>
      <c r="P146" s="355">
        <f t="shared" si="24"/>
        <v>610.79999999999995</v>
      </c>
      <c r="Q146" s="216">
        <v>143.80000000000001</v>
      </c>
      <c r="R146" s="216">
        <v>160.60000000000002</v>
      </c>
      <c r="S146" s="216">
        <v>299.39999999999998</v>
      </c>
      <c r="T146" s="216">
        <v>1189.4000000000001</v>
      </c>
      <c r="U146" s="216">
        <v>425.79999999999995</v>
      </c>
      <c r="V146" s="216">
        <v>366</v>
      </c>
      <c r="W146" s="216">
        <v>327.2</v>
      </c>
      <c r="X146" s="216">
        <v>299.3</v>
      </c>
      <c r="Y146" s="216">
        <v>2542.2999999999997</v>
      </c>
      <c r="Z146" s="216">
        <v>1308</v>
      </c>
      <c r="AA146" s="216">
        <v>107.9</v>
      </c>
      <c r="AB146" s="216">
        <v>605.9</v>
      </c>
      <c r="AC146" s="216">
        <v>409</v>
      </c>
      <c r="AD146" s="216">
        <v>1276.4000000000001</v>
      </c>
      <c r="AE146" s="216">
        <v>1248.6000000000001</v>
      </c>
      <c r="AF146" s="216">
        <v>1071.8999999999999</v>
      </c>
      <c r="AG146" s="216">
        <v>2800.2</v>
      </c>
      <c r="AH146" s="216">
        <v>387.5</v>
      </c>
      <c r="AI146" s="216">
        <v>2731.9</v>
      </c>
      <c r="AJ146" s="216">
        <v>3348.3</v>
      </c>
      <c r="AK146" s="216">
        <v>9900.5000000000036</v>
      </c>
      <c r="AL146" s="216">
        <f t="shared" si="25"/>
        <v>30949.9</v>
      </c>
      <c r="AM146" s="216">
        <f t="shared" si="26"/>
        <v>31560.7</v>
      </c>
      <c r="AN146" s="216">
        <f t="shared" si="27"/>
        <v>-11819.547353600003</v>
      </c>
      <c r="AO146" s="437"/>
      <c r="AQ146" s="958"/>
      <c r="AR146" s="958"/>
    </row>
    <row r="147" spans="1:44" s="1933" customFormat="1" ht="11.45" customHeight="1" x14ac:dyDescent="0.2">
      <c r="A147" s="156" t="s">
        <v>1174</v>
      </c>
      <c r="B147" s="482" t="s">
        <v>548</v>
      </c>
      <c r="C147" s="374">
        <v>142</v>
      </c>
      <c r="D147" s="374">
        <v>547</v>
      </c>
      <c r="E147" s="374">
        <v>2</v>
      </c>
      <c r="F147" s="374">
        <v>136</v>
      </c>
      <c r="G147" s="374">
        <f>37+232</f>
        <v>269</v>
      </c>
      <c r="H147" s="374">
        <v>12768</v>
      </c>
      <c r="I147" s="374">
        <v>55</v>
      </c>
      <c r="J147" s="374">
        <v>0</v>
      </c>
      <c r="K147" s="374">
        <v>0</v>
      </c>
      <c r="L147" s="374">
        <f t="shared" si="31"/>
        <v>5693.2291072000007</v>
      </c>
      <c r="M147" s="374">
        <f>15517+78.8029*51.968</f>
        <v>19612.229107200001</v>
      </c>
      <c r="N147" s="374">
        <v>14.7</v>
      </c>
      <c r="O147" s="374">
        <v>586.6</v>
      </c>
      <c r="P147" s="272">
        <f t="shared" si="24"/>
        <v>601.30000000000007</v>
      </c>
      <c r="Q147" s="272">
        <v>208.7</v>
      </c>
      <c r="R147" s="272">
        <v>127.3</v>
      </c>
      <c r="S147" s="272">
        <v>96.5</v>
      </c>
      <c r="T147" s="272">
        <v>1048.3000000000002</v>
      </c>
      <c r="U147" s="272">
        <v>263.89999999999998</v>
      </c>
      <c r="V147" s="272">
        <v>708.5</v>
      </c>
      <c r="W147" s="272">
        <v>290.89999999999998</v>
      </c>
      <c r="X147" s="272">
        <v>267.5</v>
      </c>
      <c r="Y147" s="272">
        <v>1256.7</v>
      </c>
      <c r="Z147" s="272">
        <v>1347.7</v>
      </c>
      <c r="AA147" s="272">
        <v>107.1</v>
      </c>
      <c r="AB147" s="272">
        <v>331.8</v>
      </c>
      <c r="AC147" s="272">
        <v>345.9</v>
      </c>
      <c r="AD147" s="272">
        <v>1288</v>
      </c>
      <c r="AE147" s="272">
        <v>1794.7</v>
      </c>
      <c r="AF147" s="272">
        <v>1024.8</v>
      </c>
      <c r="AG147" s="272">
        <v>2716.7</v>
      </c>
      <c r="AH147" s="272">
        <v>357.7</v>
      </c>
      <c r="AI147" s="272">
        <v>2279.9</v>
      </c>
      <c r="AJ147" s="272">
        <v>2573.2000000000003</v>
      </c>
      <c r="AK147" s="272">
        <v>9765</v>
      </c>
      <c r="AL147" s="272">
        <f t="shared" si="25"/>
        <v>28200.799999999999</v>
      </c>
      <c r="AM147" s="272">
        <f t="shared" si="26"/>
        <v>28802.1</v>
      </c>
      <c r="AN147" s="272">
        <f t="shared" si="27"/>
        <v>-9189.8708927999978</v>
      </c>
      <c r="AO147" s="437"/>
      <c r="AQ147" s="958"/>
      <c r="AR147" s="958"/>
    </row>
    <row r="148" spans="1:44" s="1933" customFormat="1" ht="11.45" customHeight="1" x14ac:dyDescent="0.2">
      <c r="A148" s="156" t="s">
        <v>1174</v>
      </c>
      <c r="B148" s="1136" t="s">
        <v>556</v>
      </c>
      <c r="C148" s="355">
        <v>125</v>
      </c>
      <c r="D148" s="355">
        <v>490</v>
      </c>
      <c r="E148" s="355">
        <v>1</v>
      </c>
      <c r="F148" s="355">
        <v>137</v>
      </c>
      <c r="G148" s="355">
        <f>50+299</f>
        <v>349</v>
      </c>
      <c r="H148" s="355">
        <v>14767</v>
      </c>
      <c r="I148" s="355">
        <v>0</v>
      </c>
      <c r="J148" s="355">
        <v>0</v>
      </c>
      <c r="K148" s="355">
        <v>0</v>
      </c>
      <c r="L148" s="355">
        <f t="shared" si="31"/>
        <v>5572.9334520000011</v>
      </c>
      <c r="M148" s="355">
        <f>17559+78.8573*49.24</f>
        <v>21441.933452000001</v>
      </c>
      <c r="N148" s="355">
        <v>48.7</v>
      </c>
      <c r="O148" s="355">
        <v>364.7</v>
      </c>
      <c r="P148" s="355">
        <f t="shared" si="24"/>
        <v>413.4</v>
      </c>
      <c r="Q148" s="216">
        <v>166.3</v>
      </c>
      <c r="R148" s="216">
        <v>175.5</v>
      </c>
      <c r="S148" s="216">
        <v>370.90000000000003</v>
      </c>
      <c r="T148" s="216">
        <v>1229.4000000000001</v>
      </c>
      <c r="U148" s="216">
        <v>518.4</v>
      </c>
      <c r="V148" s="216">
        <v>1192</v>
      </c>
      <c r="W148" s="216">
        <v>376.29999999999995</v>
      </c>
      <c r="X148" s="216">
        <v>324.89999999999998</v>
      </c>
      <c r="Y148" s="216">
        <v>1765.8</v>
      </c>
      <c r="Z148" s="216">
        <v>1284.5999999999999</v>
      </c>
      <c r="AA148" s="216">
        <v>91.800000000000011</v>
      </c>
      <c r="AB148" s="216">
        <v>712.1</v>
      </c>
      <c r="AC148" s="216">
        <v>377.40000000000003</v>
      </c>
      <c r="AD148" s="216">
        <v>1433.3000000000002</v>
      </c>
      <c r="AE148" s="216">
        <v>2025.8999999999999</v>
      </c>
      <c r="AF148" s="216">
        <v>1037.7</v>
      </c>
      <c r="AG148" s="216">
        <v>3068.9</v>
      </c>
      <c r="AH148" s="216">
        <v>432</v>
      </c>
      <c r="AI148" s="216">
        <v>2337.1999999999998</v>
      </c>
      <c r="AJ148" s="216">
        <v>2662.2</v>
      </c>
      <c r="AK148" s="216">
        <v>10820.899999999998</v>
      </c>
      <c r="AL148" s="216">
        <f t="shared" si="25"/>
        <v>32403.5</v>
      </c>
      <c r="AM148" s="216">
        <f t="shared" si="26"/>
        <v>32816.9</v>
      </c>
      <c r="AN148" s="216">
        <f t="shared" si="27"/>
        <v>-11374.966548</v>
      </c>
      <c r="AO148" s="437"/>
      <c r="AQ148" s="958"/>
      <c r="AR148" s="958"/>
    </row>
    <row r="149" spans="1:44" s="1933" customFormat="1" ht="11.45" customHeight="1" x14ac:dyDescent="0.2">
      <c r="A149" s="156" t="s">
        <v>1174</v>
      </c>
      <c r="B149" s="482" t="s">
        <v>557</v>
      </c>
      <c r="C149" s="374">
        <v>116</v>
      </c>
      <c r="D149" s="374">
        <v>530</v>
      </c>
      <c r="E149" s="374">
        <v>6</v>
      </c>
      <c r="F149" s="374">
        <v>93</v>
      </c>
      <c r="G149" s="374">
        <f>56+233</f>
        <v>289</v>
      </c>
      <c r="H149" s="374">
        <v>13367</v>
      </c>
      <c r="I149" s="374">
        <v>0</v>
      </c>
      <c r="J149" s="374">
        <v>0</v>
      </c>
      <c r="K149" s="374">
        <v>0</v>
      </c>
      <c r="L149" s="374">
        <f t="shared" si="31"/>
        <v>4678.6581215999977</v>
      </c>
      <c r="M149" s="374">
        <f>15857+79.2353*40.672</f>
        <v>19079.658121599998</v>
      </c>
      <c r="N149" s="374">
        <v>70.3</v>
      </c>
      <c r="O149" s="374">
        <v>868.40000000000009</v>
      </c>
      <c r="P149" s="374">
        <f t="shared" si="24"/>
        <v>938.7</v>
      </c>
      <c r="Q149" s="272">
        <v>188.3</v>
      </c>
      <c r="R149" s="272">
        <v>165.6</v>
      </c>
      <c r="S149" s="272">
        <v>92.9</v>
      </c>
      <c r="T149" s="272">
        <v>1247.3000000000002</v>
      </c>
      <c r="U149" s="272">
        <v>385.2</v>
      </c>
      <c r="V149" s="272">
        <v>540.59999999999991</v>
      </c>
      <c r="W149" s="272">
        <v>290.70000000000005</v>
      </c>
      <c r="X149" s="272">
        <v>322.2</v>
      </c>
      <c r="Y149" s="272">
        <v>1697.5</v>
      </c>
      <c r="Z149" s="272">
        <v>1254.6999999999998</v>
      </c>
      <c r="AA149" s="272">
        <v>166.10000000000002</v>
      </c>
      <c r="AB149" s="272">
        <v>317.09999999999997</v>
      </c>
      <c r="AC149" s="272">
        <v>328.9</v>
      </c>
      <c r="AD149" s="272">
        <v>1214.5</v>
      </c>
      <c r="AE149" s="272">
        <v>1899.4</v>
      </c>
      <c r="AF149" s="272">
        <v>1001.9</v>
      </c>
      <c r="AG149" s="272">
        <v>2564.5</v>
      </c>
      <c r="AH149" s="272">
        <v>381</v>
      </c>
      <c r="AI149" s="272">
        <v>2403.3000000000002</v>
      </c>
      <c r="AJ149" s="272">
        <v>2171.2999999999997</v>
      </c>
      <c r="AK149" s="272">
        <v>7742.4</v>
      </c>
      <c r="AL149" s="272">
        <f t="shared" si="25"/>
        <v>26375.399999999998</v>
      </c>
      <c r="AM149" s="272">
        <f t="shared" si="26"/>
        <v>27314.1</v>
      </c>
      <c r="AN149" s="272">
        <f t="shared" si="27"/>
        <v>-8234.4418784000009</v>
      </c>
      <c r="AO149" s="437"/>
      <c r="AQ149" s="958"/>
      <c r="AR149" s="958"/>
    </row>
    <row r="150" spans="1:44" s="1933" customFormat="1" ht="11.45" customHeight="1" x14ac:dyDescent="0.2">
      <c r="A150" s="156" t="s">
        <v>1174</v>
      </c>
      <c r="B150" s="1136" t="s">
        <v>549</v>
      </c>
      <c r="C150" s="355">
        <v>126</v>
      </c>
      <c r="D150" s="355">
        <v>560</v>
      </c>
      <c r="E150" s="355">
        <v>6</v>
      </c>
      <c r="F150" s="355">
        <v>156</v>
      </c>
      <c r="G150" s="355">
        <f>52+177</f>
        <v>229</v>
      </c>
      <c r="H150" s="355">
        <v>15070</v>
      </c>
      <c r="I150" s="355">
        <v>75</v>
      </c>
      <c r="J150" s="355">
        <v>0</v>
      </c>
      <c r="K150" s="355">
        <v>0</v>
      </c>
      <c r="L150" s="355">
        <f t="shared" si="31"/>
        <v>5389.9168687999991</v>
      </c>
      <c r="M150" s="355">
        <f>17885+79.5398*46.856</f>
        <v>21611.916868799999</v>
      </c>
      <c r="N150" s="355">
        <v>60.5</v>
      </c>
      <c r="O150" s="355">
        <v>723.3</v>
      </c>
      <c r="P150" s="355">
        <f t="shared" si="24"/>
        <v>783.8</v>
      </c>
      <c r="Q150" s="216">
        <v>212.7</v>
      </c>
      <c r="R150" s="216">
        <v>181.6</v>
      </c>
      <c r="S150" s="216">
        <v>220.7</v>
      </c>
      <c r="T150" s="216">
        <v>772.1</v>
      </c>
      <c r="U150" s="216">
        <v>595.6</v>
      </c>
      <c r="V150" s="216">
        <v>374</v>
      </c>
      <c r="W150" s="216">
        <v>420</v>
      </c>
      <c r="X150" s="216">
        <v>323.39999999999998</v>
      </c>
      <c r="Y150" s="216">
        <v>3058</v>
      </c>
      <c r="Z150" s="216">
        <v>1334.8</v>
      </c>
      <c r="AA150" s="216">
        <v>103.4</v>
      </c>
      <c r="AB150" s="216">
        <v>516.9</v>
      </c>
      <c r="AC150" s="216">
        <v>348.5</v>
      </c>
      <c r="AD150" s="216">
        <v>1436.1</v>
      </c>
      <c r="AE150" s="216">
        <v>2470.5</v>
      </c>
      <c r="AF150" s="216">
        <v>989.9</v>
      </c>
      <c r="AG150" s="216">
        <v>2900.2999999999997</v>
      </c>
      <c r="AH150" s="216">
        <v>450.59999999999997</v>
      </c>
      <c r="AI150" s="216">
        <v>2535.5</v>
      </c>
      <c r="AJ150" s="216">
        <v>2210.2000000000003</v>
      </c>
      <c r="AK150" s="216">
        <v>8990.2999999999993</v>
      </c>
      <c r="AL150" s="216">
        <f t="shared" si="25"/>
        <v>30445.1</v>
      </c>
      <c r="AM150" s="216">
        <f t="shared" si="26"/>
        <v>31228.899999999998</v>
      </c>
      <c r="AN150" s="216">
        <f t="shared" si="27"/>
        <v>-9616.9831311999988</v>
      </c>
      <c r="AO150" s="437"/>
      <c r="AQ150" s="958"/>
      <c r="AR150" s="958"/>
    </row>
    <row r="151" spans="1:44" s="1933" customFormat="1" ht="11.45" customHeight="1" x14ac:dyDescent="0.2">
      <c r="A151" s="156" t="s">
        <v>1174</v>
      </c>
      <c r="B151" s="482" t="s">
        <v>558</v>
      </c>
      <c r="C151" s="374">
        <v>108</v>
      </c>
      <c r="D151" s="374">
        <v>577</v>
      </c>
      <c r="E151" s="374">
        <v>5</v>
      </c>
      <c r="F151" s="374">
        <v>118</v>
      </c>
      <c r="G151" s="374">
        <f>38+196</f>
        <v>234</v>
      </c>
      <c r="H151" s="374">
        <v>13919</v>
      </c>
      <c r="I151" s="374">
        <v>0</v>
      </c>
      <c r="J151" s="374">
        <v>0</v>
      </c>
      <c r="K151" s="374">
        <v>0</v>
      </c>
      <c r="L151" s="374">
        <f t="shared" ref="L151:L153" si="32">M151-SUM(C151:K151)</f>
        <v>4848.3767775999986</v>
      </c>
      <c r="M151" s="374">
        <f>16514+79.8376*41.276</f>
        <v>19809.376777599999</v>
      </c>
      <c r="N151" s="374">
        <v>61.5</v>
      </c>
      <c r="O151" s="374">
        <v>594.20000000000005</v>
      </c>
      <c r="P151" s="374">
        <f t="shared" si="24"/>
        <v>655.7</v>
      </c>
      <c r="Q151" s="272">
        <v>247.10000000000002</v>
      </c>
      <c r="R151" s="272">
        <v>203</v>
      </c>
      <c r="S151" s="272">
        <v>244.5</v>
      </c>
      <c r="T151" s="272">
        <v>719</v>
      </c>
      <c r="U151" s="272">
        <v>701.6</v>
      </c>
      <c r="V151" s="272">
        <v>374.4</v>
      </c>
      <c r="W151" s="272">
        <v>301.3</v>
      </c>
      <c r="X151" s="272">
        <v>309.5</v>
      </c>
      <c r="Y151" s="272">
        <v>1989</v>
      </c>
      <c r="Z151" s="272">
        <v>1304.5</v>
      </c>
      <c r="AA151" s="272">
        <v>92.9</v>
      </c>
      <c r="AB151" s="272">
        <v>492.40000000000003</v>
      </c>
      <c r="AC151" s="272">
        <v>407.3</v>
      </c>
      <c r="AD151" s="272">
        <v>1560.1</v>
      </c>
      <c r="AE151" s="272">
        <v>2093.6</v>
      </c>
      <c r="AF151" s="272">
        <v>1086.6000000000001</v>
      </c>
      <c r="AG151" s="272">
        <v>2863.7</v>
      </c>
      <c r="AH151" s="272">
        <v>494.5</v>
      </c>
      <c r="AI151" s="272">
        <v>1999.6000000000001</v>
      </c>
      <c r="AJ151" s="272">
        <v>2410.8999999999996</v>
      </c>
      <c r="AK151" s="272">
        <v>10337.599999999997</v>
      </c>
      <c r="AL151" s="272">
        <f t="shared" ref="AL151:AL182" si="33">SUM(Q151:U151)+SUM(V151:AK151)</f>
        <v>30233.099999999995</v>
      </c>
      <c r="AM151" s="272">
        <f t="shared" ref="AM151:AM182" si="34">P151+AL151</f>
        <v>30888.799999999996</v>
      </c>
      <c r="AN151" s="272">
        <f t="shared" ref="AN151:AN182" si="35">M151-AM151</f>
        <v>-11079.423222399997</v>
      </c>
      <c r="AO151" s="437"/>
      <c r="AQ151" s="958"/>
      <c r="AR151" s="958"/>
    </row>
    <row r="152" spans="1:44" s="1933" customFormat="1" ht="11.45" customHeight="1" x14ac:dyDescent="0.2">
      <c r="A152" s="156" t="s">
        <v>1174</v>
      </c>
      <c r="B152" s="1136" t="s">
        <v>559</v>
      </c>
      <c r="C152" s="355">
        <v>71</v>
      </c>
      <c r="D152" s="355">
        <v>560</v>
      </c>
      <c r="E152" s="355">
        <v>5</v>
      </c>
      <c r="F152" s="355">
        <v>106</v>
      </c>
      <c r="G152" s="355">
        <f>52+227</f>
        <v>279</v>
      </c>
      <c r="H152" s="355">
        <v>14843</v>
      </c>
      <c r="I152" s="355">
        <v>0</v>
      </c>
      <c r="J152" s="355">
        <v>0</v>
      </c>
      <c r="K152" s="355">
        <v>0</v>
      </c>
      <c r="L152" s="355">
        <f t="shared" si="32"/>
        <v>5757.7281540049989</v>
      </c>
      <c r="M152" s="355">
        <f>17550+80.489615*50.587</f>
        <v>21621.728154004999</v>
      </c>
      <c r="N152" s="355">
        <v>77.2</v>
      </c>
      <c r="O152" s="355">
        <v>677.5</v>
      </c>
      <c r="P152" s="355">
        <f t="shared" si="24"/>
        <v>754.7</v>
      </c>
      <c r="Q152" s="216">
        <v>195.10000000000002</v>
      </c>
      <c r="R152" s="216">
        <v>222.79999999999998</v>
      </c>
      <c r="S152" s="216">
        <v>270.39999999999998</v>
      </c>
      <c r="T152" s="216">
        <v>1384.6</v>
      </c>
      <c r="U152" s="216">
        <v>640.29999999999995</v>
      </c>
      <c r="V152" s="216">
        <v>567.9</v>
      </c>
      <c r="W152" s="216">
        <v>438.5</v>
      </c>
      <c r="X152" s="216">
        <v>391.8</v>
      </c>
      <c r="Y152" s="216">
        <v>2028.8000000000002</v>
      </c>
      <c r="Z152" s="216">
        <v>1399.3000000000002</v>
      </c>
      <c r="AA152" s="216">
        <v>107.5</v>
      </c>
      <c r="AB152" s="216">
        <v>316.5</v>
      </c>
      <c r="AC152" s="216">
        <v>423.20000000000005</v>
      </c>
      <c r="AD152" s="216">
        <v>1498.2</v>
      </c>
      <c r="AE152" s="216">
        <v>2187</v>
      </c>
      <c r="AF152" s="216">
        <v>1205.0999999999999</v>
      </c>
      <c r="AG152" s="216">
        <v>2876.8</v>
      </c>
      <c r="AH152" s="216">
        <v>485</v>
      </c>
      <c r="AI152" s="216">
        <v>2191.9</v>
      </c>
      <c r="AJ152" s="216">
        <v>2493.3999999999996</v>
      </c>
      <c r="AK152" s="216">
        <v>9667.9999999999982</v>
      </c>
      <c r="AL152" s="216">
        <f t="shared" si="33"/>
        <v>30992.100000000002</v>
      </c>
      <c r="AM152" s="216">
        <f t="shared" si="34"/>
        <v>31746.800000000003</v>
      </c>
      <c r="AN152" s="216">
        <f t="shared" si="35"/>
        <v>-10125.071845995004</v>
      </c>
      <c r="AO152" s="437"/>
      <c r="AQ152" s="958"/>
      <c r="AR152" s="958"/>
    </row>
    <row r="153" spans="1:44" s="1933" customFormat="1" ht="11.45" customHeight="1" x14ac:dyDescent="0.2">
      <c r="A153" s="156" t="s">
        <v>1174</v>
      </c>
      <c r="B153" s="482" t="s">
        <v>550</v>
      </c>
      <c r="C153" s="374">
        <v>59</v>
      </c>
      <c r="D153" s="374">
        <v>457</v>
      </c>
      <c r="E153" s="374">
        <v>1</v>
      </c>
      <c r="F153" s="374">
        <v>91</v>
      </c>
      <c r="G153" s="374">
        <f>21+275</f>
        <v>296</v>
      </c>
      <c r="H153" s="374">
        <v>12217</v>
      </c>
      <c r="I153" s="374">
        <v>0</v>
      </c>
      <c r="J153" s="374">
        <v>0</v>
      </c>
      <c r="K153" s="374">
        <v>0</v>
      </c>
      <c r="L153" s="374">
        <f t="shared" si="32"/>
        <v>5457.6070899999977</v>
      </c>
      <c r="M153" s="374">
        <f>14682+80.585*48.354</f>
        <v>18578.607089999998</v>
      </c>
      <c r="N153" s="374">
        <v>198.3</v>
      </c>
      <c r="O153" s="374">
        <v>746.80000000000007</v>
      </c>
      <c r="P153" s="374">
        <f t="shared" si="24"/>
        <v>945.10000000000014</v>
      </c>
      <c r="Q153" s="272">
        <v>181.7</v>
      </c>
      <c r="R153" s="272">
        <v>189.6</v>
      </c>
      <c r="S153" s="272">
        <v>627.90000000000009</v>
      </c>
      <c r="T153" s="272">
        <v>1091.5</v>
      </c>
      <c r="U153" s="272">
        <v>263</v>
      </c>
      <c r="V153" s="272">
        <v>530.79999999999995</v>
      </c>
      <c r="W153" s="272">
        <v>222.1</v>
      </c>
      <c r="X153" s="272">
        <v>609</v>
      </c>
      <c r="Y153" s="272">
        <v>1545.3</v>
      </c>
      <c r="Z153" s="272">
        <v>1053.1000000000001</v>
      </c>
      <c r="AA153" s="272">
        <v>71.3</v>
      </c>
      <c r="AB153" s="272">
        <v>242.5</v>
      </c>
      <c r="AC153" s="272">
        <v>326.59999999999997</v>
      </c>
      <c r="AD153" s="272">
        <v>1105.4000000000001</v>
      </c>
      <c r="AE153" s="272">
        <v>1793.5</v>
      </c>
      <c r="AF153" s="272">
        <v>1081.3</v>
      </c>
      <c r="AG153" s="272">
        <v>2086.1999999999998</v>
      </c>
      <c r="AH153" s="272">
        <v>347.5</v>
      </c>
      <c r="AI153" s="272">
        <v>1704.7</v>
      </c>
      <c r="AJ153" s="272">
        <v>2227.6999999999998</v>
      </c>
      <c r="AK153" s="272">
        <v>8313.7000000000007</v>
      </c>
      <c r="AL153" s="272">
        <f t="shared" si="33"/>
        <v>25614.400000000001</v>
      </c>
      <c r="AM153" s="272">
        <f t="shared" si="34"/>
        <v>26559.5</v>
      </c>
      <c r="AN153" s="272">
        <f t="shared" si="35"/>
        <v>-7980.8929100000023</v>
      </c>
      <c r="AO153" s="437"/>
      <c r="AQ153" s="958"/>
      <c r="AR153" s="958"/>
    </row>
    <row r="154" spans="1:44" s="1933" customFormat="1" ht="11.45" customHeight="1" x14ac:dyDescent="0.2">
      <c r="A154" s="156" t="s">
        <v>1174</v>
      </c>
      <c r="B154" s="1136" t="s">
        <v>552</v>
      </c>
      <c r="C154" s="355">
        <v>158</v>
      </c>
      <c r="D154" s="355">
        <v>471</v>
      </c>
      <c r="E154" s="355">
        <v>1</v>
      </c>
      <c r="F154" s="355">
        <v>108</v>
      </c>
      <c r="G154" s="216">
        <f>25+274</f>
        <v>299</v>
      </c>
      <c r="H154" s="216">
        <v>13232</v>
      </c>
      <c r="I154" s="355">
        <v>0</v>
      </c>
      <c r="J154" s="355">
        <v>0</v>
      </c>
      <c r="K154" s="355">
        <v>0</v>
      </c>
      <c r="L154" s="355">
        <f t="shared" ref="L154:L162" si="36">M154-SUM(C154:K154)</f>
        <v>3971.4079999999994</v>
      </c>
      <c r="M154" s="356">
        <f>15585+33.87*78.4</f>
        <v>18240.407999999999</v>
      </c>
      <c r="N154" s="356">
        <v>17.7</v>
      </c>
      <c r="O154" s="356">
        <v>454.59999999999997</v>
      </c>
      <c r="P154" s="356">
        <f t="shared" ref="P154:P177" si="37">N154+O154</f>
        <v>472.29999999999995</v>
      </c>
      <c r="Q154" s="356">
        <v>150.5</v>
      </c>
      <c r="R154" s="356">
        <v>128.6</v>
      </c>
      <c r="S154" s="356">
        <v>383.3</v>
      </c>
      <c r="T154" s="356">
        <v>689.2</v>
      </c>
      <c r="U154" s="356">
        <v>210.8</v>
      </c>
      <c r="V154" s="1958">
        <v>566.29999999999995</v>
      </c>
      <c r="W154" s="1958">
        <v>234.7</v>
      </c>
      <c r="X154" s="356">
        <v>305.10000000000002</v>
      </c>
      <c r="Y154" s="356">
        <v>1331.8</v>
      </c>
      <c r="Z154" s="356">
        <v>1141.9000000000001</v>
      </c>
      <c r="AA154" s="356">
        <v>64.900000000000006</v>
      </c>
      <c r="AB154" s="356">
        <v>418</v>
      </c>
      <c r="AC154" s="356">
        <v>398.2</v>
      </c>
      <c r="AD154" s="356">
        <v>1033.3</v>
      </c>
      <c r="AE154" s="356">
        <v>1093.0999999999999</v>
      </c>
      <c r="AF154" s="356">
        <v>1130.4000000000001</v>
      </c>
      <c r="AG154" s="356">
        <v>2622.1</v>
      </c>
      <c r="AH154" s="356">
        <v>382.7</v>
      </c>
      <c r="AI154" s="356">
        <v>1631</v>
      </c>
      <c r="AJ154" s="356">
        <v>1988</v>
      </c>
      <c r="AK154" s="356">
        <v>6991.9000000000024</v>
      </c>
      <c r="AL154" s="356">
        <f t="shared" si="33"/>
        <v>22895.800000000003</v>
      </c>
      <c r="AM154" s="356">
        <f t="shared" si="34"/>
        <v>23368.100000000002</v>
      </c>
      <c r="AN154" s="216">
        <f t="shared" si="35"/>
        <v>-5127.6920000000027</v>
      </c>
      <c r="AO154" s="437"/>
      <c r="AQ154" s="958"/>
      <c r="AR154" s="958"/>
    </row>
    <row r="155" spans="1:44" s="1933" customFormat="1" ht="11.45" customHeight="1" x14ac:dyDescent="0.2">
      <c r="A155" s="156" t="s">
        <v>1174</v>
      </c>
      <c r="B155" s="482" t="s">
        <v>112</v>
      </c>
      <c r="C155" s="374">
        <v>143</v>
      </c>
      <c r="D155" s="374">
        <v>455</v>
      </c>
      <c r="E155" s="374">
        <v>1</v>
      </c>
      <c r="F155" s="374">
        <v>98</v>
      </c>
      <c r="G155" s="272">
        <f>33+340</f>
        <v>373</v>
      </c>
      <c r="H155" s="272">
        <v>15147</v>
      </c>
      <c r="I155" s="374">
        <v>0</v>
      </c>
      <c r="J155" s="374">
        <v>0</v>
      </c>
      <c r="K155" s="374">
        <v>44</v>
      </c>
      <c r="L155" s="374">
        <f t="shared" si="36"/>
        <v>5576.9392000000007</v>
      </c>
      <c r="M155" s="277">
        <f>17864+78.4*50.688</f>
        <v>21837.939200000001</v>
      </c>
      <c r="N155" s="277">
        <v>10</v>
      </c>
      <c r="O155" s="277">
        <v>509.29999999999995</v>
      </c>
      <c r="P155" s="277">
        <f t="shared" si="37"/>
        <v>519.29999999999995</v>
      </c>
      <c r="Q155" s="277">
        <v>139.30000000000001</v>
      </c>
      <c r="R155" s="277">
        <v>186</v>
      </c>
      <c r="S155" s="277">
        <v>126.7</v>
      </c>
      <c r="T155" s="277">
        <v>650.4</v>
      </c>
      <c r="U155" s="277">
        <v>234.89999999999998</v>
      </c>
      <c r="V155" s="777">
        <v>497.4</v>
      </c>
      <c r="W155" s="777">
        <v>338.6</v>
      </c>
      <c r="X155" s="277">
        <v>288.29999999999995</v>
      </c>
      <c r="Y155" s="277">
        <v>1584.1000000000001</v>
      </c>
      <c r="Z155" s="277">
        <v>1143.5</v>
      </c>
      <c r="AA155" s="277">
        <v>86.3</v>
      </c>
      <c r="AB155" s="277">
        <v>492.9</v>
      </c>
      <c r="AC155" s="277">
        <v>387</v>
      </c>
      <c r="AD155" s="277">
        <v>1155.5</v>
      </c>
      <c r="AE155" s="277">
        <v>1383.8000000000002</v>
      </c>
      <c r="AF155" s="277">
        <v>1298.5</v>
      </c>
      <c r="AG155" s="277">
        <v>3089.3999999999996</v>
      </c>
      <c r="AH155" s="277">
        <v>352.3</v>
      </c>
      <c r="AI155" s="277">
        <v>2003.6999999999998</v>
      </c>
      <c r="AJ155" s="277">
        <v>2032.5</v>
      </c>
      <c r="AK155" s="277">
        <v>9150.4999999999964</v>
      </c>
      <c r="AL155" s="277">
        <f t="shared" si="33"/>
        <v>26621.599999999995</v>
      </c>
      <c r="AM155" s="277">
        <f t="shared" si="34"/>
        <v>27140.899999999994</v>
      </c>
      <c r="AN155" s="272">
        <f t="shared" si="35"/>
        <v>-5302.9607999999935</v>
      </c>
      <c r="AO155" s="437"/>
      <c r="AQ155" s="958"/>
      <c r="AR155" s="958"/>
    </row>
    <row r="156" spans="1:44" s="1933" customFormat="1" ht="11.45" customHeight="1" x14ac:dyDescent="0.2">
      <c r="A156" s="156" t="s">
        <v>1174</v>
      </c>
      <c r="B156" s="1136" t="s">
        <v>547</v>
      </c>
      <c r="C156" s="355">
        <v>92</v>
      </c>
      <c r="D156" s="355">
        <v>463</v>
      </c>
      <c r="E156" s="355">
        <v>0</v>
      </c>
      <c r="F156" s="355">
        <v>142</v>
      </c>
      <c r="G156" s="216">
        <f>30+306</f>
        <v>336</v>
      </c>
      <c r="H156" s="216">
        <v>13712</v>
      </c>
      <c r="I156" s="355">
        <v>0</v>
      </c>
      <c r="J156" s="355">
        <v>0</v>
      </c>
      <c r="K156" s="355">
        <v>0</v>
      </c>
      <c r="L156" s="355">
        <f t="shared" si="36"/>
        <v>3944.2335999999996</v>
      </c>
      <c r="M156" s="356">
        <f>16235+78.4*31.304</f>
        <v>18689.2336</v>
      </c>
      <c r="N156" s="356">
        <v>7.8</v>
      </c>
      <c r="O156" s="356">
        <v>636.29999999999995</v>
      </c>
      <c r="P156" s="356">
        <f t="shared" si="37"/>
        <v>644.09999999999991</v>
      </c>
      <c r="Q156" s="356">
        <v>75.8</v>
      </c>
      <c r="R156" s="356">
        <v>169.3</v>
      </c>
      <c r="S156" s="356">
        <v>91.6</v>
      </c>
      <c r="T156" s="356">
        <v>897</v>
      </c>
      <c r="U156" s="356">
        <v>131.5</v>
      </c>
      <c r="V156" s="1958">
        <v>324.09999999999997</v>
      </c>
      <c r="W156" s="1958">
        <v>259.39999999999998</v>
      </c>
      <c r="X156" s="356">
        <v>260.39999999999998</v>
      </c>
      <c r="Y156" s="356">
        <v>1590.6</v>
      </c>
      <c r="Z156" s="356">
        <v>1073</v>
      </c>
      <c r="AA156" s="356">
        <v>84.9</v>
      </c>
      <c r="AB156" s="356">
        <v>585.29999999999995</v>
      </c>
      <c r="AC156" s="356">
        <v>310.89999999999998</v>
      </c>
      <c r="AD156" s="356">
        <v>1097.1999999999998</v>
      </c>
      <c r="AE156" s="356">
        <v>1426</v>
      </c>
      <c r="AF156" s="356">
        <v>1113.9000000000001</v>
      </c>
      <c r="AG156" s="356">
        <v>2675.9</v>
      </c>
      <c r="AH156" s="356">
        <v>388.6</v>
      </c>
      <c r="AI156" s="356">
        <v>2083.4</v>
      </c>
      <c r="AJ156" s="356">
        <v>2024.3</v>
      </c>
      <c r="AK156" s="356">
        <v>7720.8999999999987</v>
      </c>
      <c r="AL156" s="356">
        <f t="shared" si="33"/>
        <v>24383.999999999996</v>
      </c>
      <c r="AM156" s="356">
        <f t="shared" si="34"/>
        <v>25028.099999999995</v>
      </c>
      <c r="AN156" s="216">
        <f t="shared" si="35"/>
        <v>-6338.8663999999953</v>
      </c>
      <c r="AO156" s="437"/>
      <c r="AQ156" s="958"/>
      <c r="AR156" s="958"/>
    </row>
    <row r="157" spans="1:44" s="1933" customFormat="1" ht="11.45" customHeight="1" x14ac:dyDescent="0.2">
      <c r="A157" s="156" t="s">
        <v>1174</v>
      </c>
      <c r="B157" s="482" t="s">
        <v>554</v>
      </c>
      <c r="C157" s="374">
        <v>102</v>
      </c>
      <c r="D157" s="374">
        <v>493</v>
      </c>
      <c r="E157" s="374">
        <v>1</v>
      </c>
      <c r="F157" s="374">
        <v>118</v>
      </c>
      <c r="G157" s="374">
        <f>35+298</f>
        <v>333</v>
      </c>
      <c r="H157" s="374">
        <v>13710</v>
      </c>
      <c r="I157" s="374">
        <v>0</v>
      </c>
      <c r="J157" s="374">
        <v>0</v>
      </c>
      <c r="K157" s="374">
        <v>0</v>
      </c>
      <c r="L157" s="374">
        <f t="shared" si="36"/>
        <v>4635.3020047999998</v>
      </c>
      <c r="M157" s="374">
        <f>16295+78.4008*39.506</f>
        <v>19392.3020048</v>
      </c>
      <c r="N157" s="374">
        <v>18.100000000000001</v>
      </c>
      <c r="O157" s="374">
        <v>1403.9</v>
      </c>
      <c r="P157" s="374">
        <f t="shared" si="37"/>
        <v>1422</v>
      </c>
      <c r="Q157" s="272">
        <v>89.6</v>
      </c>
      <c r="R157" s="272">
        <v>141.19999999999999</v>
      </c>
      <c r="S157" s="272">
        <v>448.7</v>
      </c>
      <c r="T157" s="272">
        <v>919.6</v>
      </c>
      <c r="U157" s="272">
        <v>298.39999999999998</v>
      </c>
      <c r="V157" s="272">
        <v>606</v>
      </c>
      <c r="W157" s="272">
        <v>264.5</v>
      </c>
      <c r="X157" s="272">
        <v>520.70000000000005</v>
      </c>
      <c r="Y157" s="272">
        <v>1590.3</v>
      </c>
      <c r="Z157" s="272">
        <v>1147.8</v>
      </c>
      <c r="AA157" s="272">
        <v>75.800000000000011</v>
      </c>
      <c r="AB157" s="272">
        <v>711</v>
      </c>
      <c r="AC157" s="272">
        <v>373.6</v>
      </c>
      <c r="AD157" s="272">
        <v>1232.0999999999999</v>
      </c>
      <c r="AE157" s="272">
        <v>1286.5999999999999</v>
      </c>
      <c r="AF157" s="272">
        <v>1139.1999999999998</v>
      </c>
      <c r="AG157" s="272">
        <v>2482</v>
      </c>
      <c r="AH157" s="272">
        <v>377.40000000000003</v>
      </c>
      <c r="AI157" s="272">
        <v>1952.6</v>
      </c>
      <c r="AJ157" s="272">
        <v>2483.7999999999997</v>
      </c>
      <c r="AK157" s="272">
        <v>8559.3000000000011</v>
      </c>
      <c r="AL157" s="272">
        <f t="shared" si="33"/>
        <v>26700.200000000004</v>
      </c>
      <c r="AM157" s="272">
        <f t="shared" si="34"/>
        <v>28122.200000000004</v>
      </c>
      <c r="AN157" s="272">
        <f t="shared" si="35"/>
        <v>-8729.8979952000045</v>
      </c>
      <c r="AO157" s="437"/>
      <c r="AQ157" s="958"/>
      <c r="AR157" s="958"/>
    </row>
    <row r="158" spans="1:44" s="1933" customFormat="1" ht="11.45" customHeight="1" x14ac:dyDescent="0.2">
      <c r="A158" s="156" t="s">
        <v>1174</v>
      </c>
      <c r="B158" s="1136" t="s">
        <v>555</v>
      </c>
      <c r="C158" s="355">
        <v>139</v>
      </c>
      <c r="D158" s="355">
        <v>514</v>
      </c>
      <c r="E158" s="355">
        <v>1</v>
      </c>
      <c r="F158" s="355">
        <v>160</v>
      </c>
      <c r="G158" s="355">
        <f>49+346</f>
        <v>395</v>
      </c>
      <c r="H158" s="355">
        <v>14010</v>
      </c>
      <c r="I158" s="355">
        <v>0</v>
      </c>
      <c r="J158" s="355">
        <v>0</v>
      </c>
      <c r="K158" s="355">
        <v>0</v>
      </c>
      <c r="L158" s="355">
        <f t="shared" si="36"/>
        <v>4522.152646399998</v>
      </c>
      <c r="M158" s="355">
        <f>16832+78.5472*37.037</f>
        <v>19741.152646399998</v>
      </c>
      <c r="N158" s="355">
        <v>19.3</v>
      </c>
      <c r="O158" s="355">
        <v>591.5</v>
      </c>
      <c r="P158" s="355">
        <f t="shared" si="37"/>
        <v>610.79999999999995</v>
      </c>
      <c r="Q158" s="216">
        <v>143.80000000000001</v>
      </c>
      <c r="R158" s="216">
        <v>160.60000000000002</v>
      </c>
      <c r="S158" s="216">
        <v>299.39999999999998</v>
      </c>
      <c r="T158" s="216">
        <v>1189.4000000000001</v>
      </c>
      <c r="U158" s="216">
        <v>425.79999999999995</v>
      </c>
      <c r="V158" s="216">
        <v>366</v>
      </c>
      <c r="W158" s="216">
        <v>327.2</v>
      </c>
      <c r="X158" s="216">
        <v>299.3</v>
      </c>
      <c r="Y158" s="216">
        <v>2542.2999999999997</v>
      </c>
      <c r="Z158" s="216">
        <v>1308</v>
      </c>
      <c r="AA158" s="216">
        <v>107.9</v>
      </c>
      <c r="AB158" s="216">
        <v>605.9</v>
      </c>
      <c r="AC158" s="216">
        <v>409</v>
      </c>
      <c r="AD158" s="216">
        <v>1276.4000000000001</v>
      </c>
      <c r="AE158" s="216">
        <v>1248.6000000000001</v>
      </c>
      <c r="AF158" s="216">
        <v>1071.8999999999999</v>
      </c>
      <c r="AG158" s="216">
        <v>2800.2</v>
      </c>
      <c r="AH158" s="216">
        <v>387.5</v>
      </c>
      <c r="AI158" s="216">
        <v>2731.9</v>
      </c>
      <c r="AJ158" s="216">
        <v>3348.3</v>
      </c>
      <c r="AK158" s="216">
        <v>9900.5000000000036</v>
      </c>
      <c r="AL158" s="216">
        <f t="shared" si="33"/>
        <v>30949.9</v>
      </c>
      <c r="AM158" s="216">
        <f t="shared" si="34"/>
        <v>31560.7</v>
      </c>
      <c r="AN158" s="216">
        <f t="shared" si="35"/>
        <v>-11819.547353600003</v>
      </c>
      <c r="AO158" s="437"/>
      <c r="AQ158" s="958"/>
      <c r="AR158" s="958"/>
    </row>
    <row r="159" spans="1:44" s="1933" customFormat="1" ht="11.45" customHeight="1" x14ac:dyDescent="0.2">
      <c r="A159" s="156" t="s">
        <v>1174</v>
      </c>
      <c r="B159" s="482" t="s">
        <v>548</v>
      </c>
      <c r="C159" s="374">
        <v>142</v>
      </c>
      <c r="D159" s="374">
        <v>547</v>
      </c>
      <c r="E159" s="374">
        <v>2</v>
      </c>
      <c r="F159" s="374">
        <v>136</v>
      </c>
      <c r="G159" s="374">
        <f>37+232</f>
        <v>269</v>
      </c>
      <c r="H159" s="374">
        <v>12768</v>
      </c>
      <c r="I159" s="374">
        <v>55</v>
      </c>
      <c r="J159" s="374">
        <v>0</v>
      </c>
      <c r="K159" s="374">
        <v>0</v>
      </c>
      <c r="L159" s="374">
        <f t="shared" si="36"/>
        <v>5693.2291072000007</v>
      </c>
      <c r="M159" s="374">
        <f>15517+78.8029*51.968</f>
        <v>19612.229107200001</v>
      </c>
      <c r="N159" s="374">
        <v>14.7</v>
      </c>
      <c r="O159" s="374">
        <v>586.6</v>
      </c>
      <c r="P159" s="272">
        <f t="shared" si="37"/>
        <v>601.30000000000007</v>
      </c>
      <c r="Q159" s="272">
        <v>208.7</v>
      </c>
      <c r="R159" s="272">
        <v>127.3</v>
      </c>
      <c r="S159" s="272">
        <v>96.5</v>
      </c>
      <c r="T159" s="272">
        <v>1048.3000000000002</v>
      </c>
      <c r="U159" s="272">
        <v>263.89999999999998</v>
      </c>
      <c r="V159" s="272">
        <v>708.5</v>
      </c>
      <c r="W159" s="272">
        <v>290.89999999999998</v>
      </c>
      <c r="X159" s="272">
        <v>267.5</v>
      </c>
      <c r="Y159" s="272">
        <v>1256.7</v>
      </c>
      <c r="Z159" s="272">
        <v>1347.7</v>
      </c>
      <c r="AA159" s="272">
        <v>107.1</v>
      </c>
      <c r="AB159" s="272">
        <v>331.8</v>
      </c>
      <c r="AC159" s="272">
        <v>345.9</v>
      </c>
      <c r="AD159" s="272">
        <v>1288</v>
      </c>
      <c r="AE159" s="272">
        <v>1794.7</v>
      </c>
      <c r="AF159" s="272">
        <v>1024.8</v>
      </c>
      <c r="AG159" s="272">
        <v>2716.7</v>
      </c>
      <c r="AH159" s="272">
        <v>357.7</v>
      </c>
      <c r="AI159" s="272">
        <v>2279.9</v>
      </c>
      <c r="AJ159" s="272">
        <v>2573.2000000000003</v>
      </c>
      <c r="AK159" s="272">
        <v>9765</v>
      </c>
      <c r="AL159" s="272">
        <f t="shared" si="33"/>
        <v>28200.799999999999</v>
      </c>
      <c r="AM159" s="272">
        <f t="shared" si="34"/>
        <v>28802.1</v>
      </c>
      <c r="AN159" s="272">
        <f t="shared" si="35"/>
        <v>-9189.8708927999978</v>
      </c>
      <c r="AO159" s="437"/>
      <c r="AQ159" s="958"/>
      <c r="AR159" s="958"/>
    </row>
    <row r="160" spans="1:44" s="1933" customFormat="1" ht="11.45" customHeight="1" x14ac:dyDescent="0.2">
      <c r="A160" s="156" t="s">
        <v>1174</v>
      </c>
      <c r="B160" s="1136" t="s">
        <v>556</v>
      </c>
      <c r="C160" s="355">
        <v>125</v>
      </c>
      <c r="D160" s="355">
        <v>490</v>
      </c>
      <c r="E160" s="355">
        <v>1</v>
      </c>
      <c r="F160" s="355">
        <v>137</v>
      </c>
      <c r="G160" s="355">
        <f>50+299</f>
        <v>349</v>
      </c>
      <c r="H160" s="355">
        <v>14767</v>
      </c>
      <c r="I160" s="355">
        <v>0</v>
      </c>
      <c r="J160" s="355">
        <v>0</v>
      </c>
      <c r="K160" s="355">
        <v>0</v>
      </c>
      <c r="L160" s="355">
        <f t="shared" si="36"/>
        <v>5572.9334520000011</v>
      </c>
      <c r="M160" s="355">
        <f>17559+78.8573*49.24</f>
        <v>21441.933452000001</v>
      </c>
      <c r="N160" s="355">
        <v>48.7</v>
      </c>
      <c r="O160" s="355">
        <v>364.7</v>
      </c>
      <c r="P160" s="355">
        <f t="shared" si="37"/>
        <v>413.4</v>
      </c>
      <c r="Q160" s="216">
        <v>166.3</v>
      </c>
      <c r="R160" s="216">
        <v>175.5</v>
      </c>
      <c r="S160" s="216">
        <v>370.90000000000003</v>
      </c>
      <c r="T160" s="216">
        <v>1229.4000000000001</v>
      </c>
      <c r="U160" s="216">
        <v>518.4</v>
      </c>
      <c r="V160" s="216">
        <v>1192</v>
      </c>
      <c r="W160" s="216">
        <v>376.29999999999995</v>
      </c>
      <c r="X160" s="216">
        <v>324.89999999999998</v>
      </c>
      <c r="Y160" s="216">
        <v>1765.8</v>
      </c>
      <c r="Z160" s="216">
        <v>1284.5999999999999</v>
      </c>
      <c r="AA160" s="216">
        <v>91.800000000000011</v>
      </c>
      <c r="AB160" s="216">
        <v>712.1</v>
      </c>
      <c r="AC160" s="216">
        <v>377.40000000000003</v>
      </c>
      <c r="AD160" s="216">
        <v>1433.3000000000002</v>
      </c>
      <c r="AE160" s="216">
        <v>2025.8999999999999</v>
      </c>
      <c r="AF160" s="216">
        <v>1037.7</v>
      </c>
      <c r="AG160" s="216">
        <v>3068.9</v>
      </c>
      <c r="AH160" s="216">
        <v>432</v>
      </c>
      <c r="AI160" s="216">
        <v>2337.1999999999998</v>
      </c>
      <c r="AJ160" s="216">
        <v>2662.2</v>
      </c>
      <c r="AK160" s="216">
        <v>10820.899999999998</v>
      </c>
      <c r="AL160" s="216">
        <f t="shared" si="33"/>
        <v>32403.5</v>
      </c>
      <c r="AM160" s="216">
        <f t="shared" si="34"/>
        <v>32816.9</v>
      </c>
      <c r="AN160" s="216">
        <f t="shared" si="35"/>
        <v>-11374.966548</v>
      </c>
      <c r="AO160" s="437"/>
      <c r="AQ160" s="958"/>
      <c r="AR160" s="958"/>
    </row>
    <row r="161" spans="1:44" s="1933" customFormat="1" ht="11.45" customHeight="1" x14ac:dyDescent="0.2">
      <c r="A161" s="156" t="s">
        <v>1174</v>
      </c>
      <c r="B161" s="482" t="s">
        <v>557</v>
      </c>
      <c r="C161" s="374">
        <v>116</v>
      </c>
      <c r="D161" s="374">
        <v>530</v>
      </c>
      <c r="E161" s="374">
        <v>6</v>
      </c>
      <c r="F161" s="374">
        <v>93</v>
      </c>
      <c r="G161" s="374">
        <f>56+233</f>
        <v>289</v>
      </c>
      <c r="H161" s="374">
        <v>13367</v>
      </c>
      <c r="I161" s="374">
        <v>0</v>
      </c>
      <c r="J161" s="374">
        <v>0</v>
      </c>
      <c r="K161" s="374">
        <v>0</v>
      </c>
      <c r="L161" s="374">
        <f t="shared" si="36"/>
        <v>4678.6581215999977</v>
      </c>
      <c r="M161" s="374">
        <f>15857+79.2353*40.672</f>
        <v>19079.658121599998</v>
      </c>
      <c r="N161" s="374">
        <v>70.3</v>
      </c>
      <c r="O161" s="374">
        <v>868.40000000000009</v>
      </c>
      <c r="P161" s="374">
        <f t="shared" si="37"/>
        <v>938.7</v>
      </c>
      <c r="Q161" s="272">
        <v>188.3</v>
      </c>
      <c r="R161" s="272">
        <v>165.6</v>
      </c>
      <c r="S161" s="272">
        <v>92.9</v>
      </c>
      <c r="T161" s="272">
        <v>1247.3000000000002</v>
      </c>
      <c r="U161" s="272">
        <v>385.2</v>
      </c>
      <c r="V161" s="272">
        <v>540.59999999999991</v>
      </c>
      <c r="W161" s="272">
        <v>290.70000000000005</v>
      </c>
      <c r="X161" s="272">
        <v>322.2</v>
      </c>
      <c r="Y161" s="272">
        <v>1697.5</v>
      </c>
      <c r="Z161" s="272">
        <v>1254.6999999999998</v>
      </c>
      <c r="AA161" s="272">
        <v>166.10000000000002</v>
      </c>
      <c r="AB161" s="272">
        <v>317.09999999999997</v>
      </c>
      <c r="AC161" s="272">
        <v>328.9</v>
      </c>
      <c r="AD161" s="272">
        <v>1214.5</v>
      </c>
      <c r="AE161" s="272">
        <v>1899.4</v>
      </c>
      <c r="AF161" s="272">
        <v>1001.9</v>
      </c>
      <c r="AG161" s="272">
        <v>2564.5</v>
      </c>
      <c r="AH161" s="272">
        <v>381</v>
      </c>
      <c r="AI161" s="272">
        <v>2403.3000000000002</v>
      </c>
      <c r="AJ161" s="272">
        <v>2171.2999999999997</v>
      </c>
      <c r="AK161" s="272">
        <v>7742.4</v>
      </c>
      <c r="AL161" s="272">
        <f t="shared" si="33"/>
        <v>26375.399999999998</v>
      </c>
      <c r="AM161" s="272">
        <f t="shared" si="34"/>
        <v>27314.1</v>
      </c>
      <c r="AN161" s="272">
        <f t="shared" si="35"/>
        <v>-8234.4418784000009</v>
      </c>
      <c r="AO161" s="437"/>
      <c r="AQ161" s="958"/>
      <c r="AR161" s="958"/>
    </row>
    <row r="162" spans="1:44" s="1933" customFormat="1" ht="11.45" customHeight="1" x14ac:dyDescent="0.2">
      <c r="A162" s="156" t="s">
        <v>1174</v>
      </c>
      <c r="B162" s="1136" t="s">
        <v>549</v>
      </c>
      <c r="C162" s="355">
        <v>126</v>
      </c>
      <c r="D162" s="355">
        <v>560</v>
      </c>
      <c r="E162" s="355">
        <v>6</v>
      </c>
      <c r="F162" s="355">
        <v>156</v>
      </c>
      <c r="G162" s="355">
        <f>52+177</f>
        <v>229</v>
      </c>
      <c r="H162" s="355">
        <v>15070</v>
      </c>
      <c r="I162" s="355">
        <v>75</v>
      </c>
      <c r="J162" s="355">
        <v>0</v>
      </c>
      <c r="K162" s="355">
        <v>0</v>
      </c>
      <c r="L162" s="355">
        <f t="shared" si="36"/>
        <v>5389.9168687999991</v>
      </c>
      <c r="M162" s="355">
        <f>17885+79.5398*46.856</f>
        <v>21611.916868799999</v>
      </c>
      <c r="N162" s="355">
        <v>60.5</v>
      </c>
      <c r="O162" s="355">
        <v>723.3</v>
      </c>
      <c r="P162" s="355">
        <f t="shared" si="37"/>
        <v>783.8</v>
      </c>
      <c r="Q162" s="216">
        <v>212.7</v>
      </c>
      <c r="R162" s="216">
        <v>181.6</v>
      </c>
      <c r="S162" s="216">
        <v>220.7</v>
      </c>
      <c r="T162" s="216">
        <v>772.1</v>
      </c>
      <c r="U162" s="216">
        <v>595.6</v>
      </c>
      <c r="V162" s="216">
        <v>374</v>
      </c>
      <c r="W162" s="216">
        <v>420</v>
      </c>
      <c r="X162" s="216">
        <v>323.39999999999998</v>
      </c>
      <c r="Y162" s="216">
        <v>3058</v>
      </c>
      <c r="Z162" s="216">
        <v>1334.8</v>
      </c>
      <c r="AA162" s="216">
        <v>103.4</v>
      </c>
      <c r="AB162" s="216">
        <v>516.9</v>
      </c>
      <c r="AC162" s="216">
        <v>348.5</v>
      </c>
      <c r="AD162" s="216">
        <v>1436.1</v>
      </c>
      <c r="AE162" s="216">
        <v>2470.5</v>
      </c>
      <c r="AF162" s="216">
        <v>989.9</v>
      </c>
      <c r="AG162" s="216">
        <v>2900.2999999999997</v>
      </c>
      <c r="AH162" s="216">
        <v>450.59999999999997</v>
      </c>
      <c r="AI162" s="216">
        <v>2535.5</v>
      </c>
      <c r="AJ162" s="216">
        <v>2210.2000000000003</v>
      </c>
      <c r="AK162" s="216">
        <v>8990.2999999999993</v>
      </c>
      <c r="AL162" s="216">
        <f t="shared" si="33"/>
        <v>30445.1</v>
      </c>
      <c r="AM162" s="216">
        <f t="shared" si="34"/>
        <v>31228.899999999998</v>
      </c>
      <c r="AN162" s="216">
        <f t="shared" si="35"/>
        <v>-9616.9831311999988</v>
      </c>
      <c r="AO162" s="437"/>
      <c r="AQ162" s="958"/>
      <c r="AR162" s="958"/>
    </row>
    <row r="163" spans="1:44" s="1933" customFormat="1" ht="11.45" customHeight="1" x14ac:dyDescent="0.2">
      <c r="A163" s="156" t="s">
        <v>1174</v>
      </c>
      <c r="B163" s="482" t="s">
        <v>558</v>
      </c>
      <c r="C163" s="374">
        <v>108</v>
      </c>
      <c r="D163" s="374">
        <v>577</v>
      </c>
      <c r="E163" s="374">
        <v>5</v>
      </c>
      <c r="F163" s="374">
        <v>118</v>
      </c>
      <c r="G163" s="374">
        <f>38+196</f>
        <v>234</v>
      </c>
      <c r="H163" s="374">
        <v>13919</v>
      </c>
      <c r="I163" s="374">
        <v>0</v>
      </c>
      <c r="J163" s="374">
        <v>0</v>
      </c>
      <c r="K163" s="374">
        <v>0</v>
      </c>
      <c r="L163" s="374">
        <f t="shared" ref="L163:L177" si="38">M163-SUM(C163:K163)</f>
        <v>4848.3767775999986</v>
      </c>
      <c r="M163" s="374">
        <f>16514+79.8376*41.276</f>
        <v>19809.376777599999</v>
      </c>
      <c r="N163" s="374">
        <v>61.5</v>
      </c>
      <c r="O163" s="374">
        <v>594.20000000000005</v>
      </c>
      <c r="P163" s="374">
        <f t="shared" si="37"/>
        <v>655.7</v>
      </c>
      <c r="Q163" s="272">
        <v>247.10000000000002</v>
      </c>
      <c r="R163" s="272">
        <v>203</v>
      </c>
      <c r="S163" s="272">
        <v>244.5</v>
      </c>
      <c r="T163" s="272">
        <v>719</v>
      </c>
      <c r="U163" s="272">
        <v>701.6</v>
      </c>
      <c r="V163" s="272">
        <v>374.4</v>
      </c>
      <c r="W163" s="272">
        <v>301.3</v>
      </c>
      <c r="X163" s="272">
        <v>309.5</v>
      </c>
      <c r="Y163" s="272">
        <v>1989</v>
      </c>
      <c r="Z163" s="272">
        <v>1304.5</v>
      </c>
      <c r="AA163" s="272">
        <v>92.9</v>
      </c>
      <c r="AB163" s="272">
        <v>492.40000000000003</v>
      </c>
      <c r="AC163" s="272">
        <v>407.3</v>
      </c>
      <c r="AD163" s="272">
        <v>1560.1</v>
      </c>
      <c r="AE163" s="272">
        <v>2093.6</v>
      </c>
      <c r="AF163" s="272">
        <v>1086.6000000000001</v>
      </c>
      <c r="AG163" s="272">
        <v>2863.7</v>
      </c>
      <c r="AH163" s="272">
        <v>494.5</v>
      </c>
      <c r="AI163" s="272">
        <v>1999.6000000000001</v>
      </c>
      <c r="AJ163" s="272">
        <v>2410.8999999999996</v>
      </c>
      <c r="AK163" s="272">
        <v>10337.599999999997</v>
      </c>
      <c r="AL163" s="272">
        <f t="shared" si="33"/>
        <v>30233.099999999995</v>
      </c>
      <c r="AM163" s="272">
        <f t="shared" si="34"/>
        <v>30888.799999999996</v>
      </c>
      <c r="AN163" s="272">
        <f t="shared" si="35"/>
        <v>-11079.423222399997</v>
      </c>
      <c r="AO163" s="437"/>
      <c r="AQ163" s="958"/>
      <c r="AR163" s="958"/>
    </row>
    <row r="164" spans="1:44" s="1933" customFormat="1" ht="11.45" customHeight="1" x14ac:dyDescent="0.2">
      <c r="A164" s="156" t="s">
        <v>1174</v>
      </c>
      <c r="B164" s="1136" t="s">
        <v>559</v>
      </c>
      <c r="C164" s="355">
        <v>71</v>
      </c>
      <c r="D164" s="355">
        <v>560</v>
      </c>
      <c r="E164" s="355">
        <v>5</v>
      </c>
      <c r="F164" s="355">
        <v>106</v>
      </c>
      <c r="G164" s="355">
        <f>52+227</f>
        <v>279</v>
      </c>
      <c r="H164" s="355">
        <v>14843</v>
      </c>
      <c r="I164" s="355">
        <v>0</v>
      </c>
      <c r="J164" s="355">
        <v>0</v>
      </c>
      <c r="K164" s="355">
        <v>0</v>
      </c>
      <c r="L164" s="355">
        <f t="shared" si="38"/>
        <v>5757.7281540049989</v>
      </c>
      <c r="M164" s="355">
        <f>17550+80.489615*50.587</f>
        <v>21621.728154004999</v>
      </c>
      <c r="N164" s="355">
        <v>77.2</v>
      </c>
      <c r="O164" s="355">
        <v>677.5</v>
      </c>
      <c r="P164" s="355">
        <f t="shared" si="37"/>
        <v>754.7</v>
      </c>
      <c r="Q164" s="216">
        <v>195.10000000000002</v>
      </c>
      <c r="R164" s="216">
        <v>222.79999999999998</v>
      </c>
      <c r="S164" s="216">
        <v>270.39999999999998</v>
      </c>
      <c r="T164" s="216">
        <v>1384.6</v>
      </c>
      <c r="U164" s="216">
        <v>640.29999999999995</v>
      </c>
      <c r="V164" s="216">
        <v>567.9</v>
      </c>
      <c r="W164" s="216">
        <v>438.5</v>
      </c>
      <c r="X164" s="216">
        <v>391.8</v>
      </c>
      <c r="Y164" s="216">
        <v>2028.8000000000002</v>
      </c>
      <c r="Z164" s="216">
        <v>1399.3000000000002</v>
      </c>
      <c r="AA164" s="216">
        <v>107.5</v>
      </c>
      <c r="AB164" s="216">
        <v>316.5</v>
      </c>
      <c r="AC164" s="216">
        <v>423.20000000000005</v>
      </c>
      <c r="AD164" s="216">
        <v>1498.2</v>
      </c>
      <c r="AE164" s="216">
        <v>2187</v>
      </c>
      <c r="AF164" s="216">
        <v>1205.0999999999999</v>
      </c>
      <c r="AG164" s="216">
        <v>2876.8</v>
      </c>
      <c r="AH164" s="216">
        <v>485</v>
      </c>
      <c r="AI164" s="216">
        <v>2191.9</v>
      </c>
      <c r="AJ164" s="216">
        <v>2493.3999999999996</v>
      </c>
      <c r="AK164" s="216">
        <v>9667.9999999999982</v>
      </c>
      <c r="AL164" s="216">
        <f t="shared" si="33"/>
        <v>30992.100000000002</v>
      </c>
      <c r="AM164" s="216">
        <f t="shared" si="34"/>
        <v>31746.800000000003</v>
      </c>
      <c r="AN164" s="216">
        <f t="shared" si="35"/>
        <v>-10125.071845995004</v>
      </c>
      <c r="AO164" s="437"/>
      <c r="AQ164" s="958"/>
      <c r="AR164" s="958"/>
    </row>
    <row r="165" spans="1:44" s="1933" customFormat="1" ht="11.45" customHeight="1" x14ac:dyDescent="0.2">
      <c r="A165" s="156" t="s">
        <v>1174</v>
      </c>
      <c r="B165" s="482" t="s">
        <v>550</v>
      </c>
      <c r="C165" s="374">
        <v>59</v>
      </c>
      <c r="D165" s="374">
        <v>457</v>
      </c>
      <c r="E165" s="374">
        <v>1</v>
      </c>
      <c r="F165" s="374">
        <v>91</v>
      </c>
      <c r="G165" s="374">
        <f>21+275</f>
        <v>296</v>
      </c>
      <c r="H165" s="374">
        <v>12217</v>
      </c>
      <c r="I165" s="374">
        <v>0</v>
      </c>
      <c r="J165" s="374">
        <v>0</v>
      </c>
      <c r="K165" s="374">
        <v>0</v>
      </c>
      <c r="L165" s="374">
        <f t="shared" si="38"/>
        <v>5457.6070899999977</v>
      </c>
      <c r="M165" s="374">
        <f>14682+80.585*48.354</f>
        <v>18578.607089999998</v>
      </c>
      <c r="N165" s="374">
        <v>198.3</v>
      </c>
      <c r="O165" s="374">
        <v>746.80000000000007</v>
      </c>
      <c r="P165" s="374">
        <f t="shared" si="37"/>
        <v>945.10000000000014</v>
      </c>
      <c r="Q165" s="272">
        <v>181.7</v>
      </c>
      <c r="R165" s="272">
        <v>189.6</v>
      </c>
      <c r="S165" s="272">
        <v>627.90000000000009</v>
      </c>
      <c r="T165" s="272">
        <v>1091.5</v>
      </c>
      <c r="U165" s="272">
        <v>263</v>
      </c>
      <c r="V165" s="272">
        <v>530.79999999999995</v>
      </c>
      <c r="W165" s="272">
        <v>222.1</v>
      </c>
      <c r="X165" s="272">
        <v>609</v>
      </c>
      <c r="Y165" s="272">
        <v>1545.3</v>
      </c>
      <c r="Z165" s="272">
        <v>1053.1000000000001</v>
      </c>
      <c r="AA165" s="272">
        <v>71.3</v>
      </c>
      <c r="AB165" s="272">
        <v>242.5</v>
      </c>
      <c r="AC165" s="272">
        <v>326.59999999999997</v>
      </c>
      <c r="AD165" s="272">
        <v>1105.4000000000001</v>
      </c>
      <c r="AE165" s="272">
        <v>1793.5</v>
      </c>
      <c r="AF165" s="272">
        <v>1081.3</v>
      </c>
      <c r="AG165" s="272">
        <v>2086.1999999999998</v>
      </c>
      <c r="AH165" s="272">
        <v>347.5</v>
      </c>
      <c r="AI165" s="272">
        <v>1704.7</v>
      </c>
      <c r="AJ165" s="272">
        <v>2227.6999999999998</v>
      </c>
      <c r="AK165" s="272">
        <v>8313.7000000000007</v>
      </c>
      <c r="AL165" s="272">
        <f t="shared" si="33"/>
        <v>25614.400000000001</v>
      </c>
      <c r="AM165" s="272">
        <f t="shared" si="34"/>
        <v>26559.5</v>
      </c>
      <c r="AN165" s="272">
        <f t="shared" si="35"/>
        <v>-7980.8929100000023</v>
      </c>
      <c r="AO165" s="437"/>
      <c r="AQ165" s="958"/>
      <c r="AR165" s="958"/>
    </row>
    <row r="166" spans="1:44" s="1933" customFormat="1" ht="11.45" customHeight="1" x14ac:dyDescent="0.2">
      <c r="A166" s="156" t="s">
        <v>1296</v>
      </c>
      <c r="B166" s="1136" t="s">
        <v>552</v>
      </c>
      <c r="C166" s="374">
        <v>64</v>
      </c>
      <c r="D166" s="374">
        <v>469</v>
      </c>
      <c r="E166" s="374">
        <v>1</v>
      </c>
      <c r="F166" s="374">
        <v>120</v>
      </c>
      <c r="G166" s="374">
        <f>36+349</f>
        <v>385</v>
      </c>
      <c r="H166" s="374">
        <v>15963</v>
      </c>
      <c r="I166" s="374">
        <v>0</v>
      </c>
      <c r="J166" s="374">
        <v>0</v>
      </c>
      <c r="K166" s="374">
        <v>0</v>
      </c>
      <c r="L166" s="374">
        <f t="shared" si="38"/>
        <v>6178.6473564000007</v>
      </c>
      <c r="M166" s="374">
        <f>19075+80.6262*50.922</f>
        <v>23180.647356400001</v>
      </c>
      <c r="N166" s="374">
        <v>586.29999999999995</v>
      </c>
      <c r="O166" s="374">
        <v>539</v>
      </c>
      <c r="P166" s="374">
        <f t="shared" si="37"/>
        <v>1125.3</v>
      </c>
      <c r="Q166" s="272">
        <v>99.8</v>
      </c>
      <c r="R166" s="272">
        <v>212.1</v>
      </c>
      <c r="S166" s="272">
        <v>243.8</v>
      </c>
      <c r="T166" s="272">
        <v>1153.5</v>
      </c>
      <c r="U166" s="272">
        <v>208.1</v>
      </c>
      <c r="V166" s="272">
        <v>909.4</v>
      </c>
      <c r="W166" s="272">
        <v>321</v>
      </c>
      <c r="X166" s="272">
        <v>276.8</v>
      </c>
      <c r="Y166" s="272">
        <v>1697.9</v>
      </c>
      <c r="Z166" s="272">
        <v>1420</v>
      </c>
      <c r="AA166" s="272">
        <v>128.80000000000001</v>
      </c>
      <c r="AB166" s="272">
        <v>262.60000000000002</v>
      </c>
      <c r="AC166" s="272">
        <v>454</v>
      </c>
      <c r="AD166" s="272">
        <v>1420.4</v>
      </c>
      <c r="AE166" s="272">
        <v>2011.7</v>
      </c>
      <c r="AF166" s="272">
        <v>1371.7</v>
      </c>
      <c r="AG166" s="272">
        <v>3537.6</v>
      </c>
      <c r="AH166" s="272">
        <v>420.5</v>
      </c>
      <c r="AI166" s="272">
        <v>2422.8000000000002</v>
      </c>
      <c r="AJ166" s="272">
        <v>2766.2</v>
      </c>
      <c r="AK166" s="272">
        <f>4341.3+3253.8+2168.8</f>
        <v>9763.9000000000015</v>
      </c>
      <c r="AL166" s="272">
        <f t="shared" si="33"/>
        <v>31102.600000000006</v>
      </c>
      <c r="AM166" s="272">
        <f t="shared" si="34"/>
        <v>32227.900000000005</v>
      </c>
      <c r="AN166" s="272">
        <f t="shared" si="35"/>
        <v>-9047.2526436000044</v>
      </c>
      <c r="AO166" s="437"/>
      <c r="AQ166" s="958"/>
      <c r="AR166" s="958"/>
    </row>
    <row r="167" spans="1:44" s="1933" customFormat="1" ht="11.45" customHeight="1" x14ac:dyDescent="0.2">
      <c r="A167" s="156" t="s">
        <v>1296</v>
      </c>
      <c r="B167" s="482" t="s">
        <v>112</v>
      </c>
      <c r="C167" s="355">
        <v>63</v>
      </c>
      <c r="D167" s="355">
        <v>499</v>
      </c>
      <c r="E167" s="355">
        <v>2</v>
      </c>
      <c r="F167" s="355">
        <v>179</v>
      </c>
      <c r="G167" s="355">
        <f>31+478</f>
        <v>509</v>
      </c>
      <c r="H167" s="355">
        <v>16317</v>
      </c>
      <c r="I167" s="355">
        <v>0</v>
      </c>
      <c r="J167" s="355">
        <v>0</v>
      </c>
      <c r="K167" s="355">
        <v>0</v>
      </c>
      <c r="L167" s="355">
        <f t="shared" si="38"/>
        <v>6453.0601239200005</v>
      </c>
      <c r="M167" s="355">
        <f>19525+80.693704*55.73</f>
        <v>24022.06012392</v>
      </c>
      <c r="N167" s="355">
        <v>1051.2</v>
      </c>
      <c r="O167" s="355">
        <v>574.9</v>
      </c>
      <c r="P167" s="355">
        <f t="shared" si="37"/>
        <v>1626.1</v>
      </c>
      <c r="Q167" s="216">
        <v>110.4</v>
      </c>
      <c r="R167" s="216">
        <v>242.6</v>
      </c>
      <c r="S167" s="216">
        <v>510.4</v>
      </c>
      <c r="T167" s="216">
        <v>1063.5999999999999</v>
      </c>
      <c r="U167" s="216">
        <v>200.8</v>
      </c>
      <c r="V167" s="216">
        <v>775.8</v>
      </c>
      <c r="W167" s="216">
        <v>310.39999999999998</v>
      </c>
      <c r="X167" s="216">
        <v>278.39999999999998</v>
      </c>
      <c r="Y167" s="216">
        <v>2405.6</v>
      </c>
      <c r="Z167" s="216">
        <v>1486.8</v>
      </c>
      <c r="AA167" s="216">
        <v>110.7</v>
      </c>
      <c r="AB167" s="216">
        <v>356.6</v>
      </c>
      <c r="AC167" s="216">
        <v>402.6</v>
      </c>
      <c r="AD167" s="216">
        <v>1395.5</v>
      </c>
      <c r="AE167" s="216">
        <v>1820.5</v>
      </c>
      <c r="AF167" s="216">
        <v>1336.3</v>
      </c>
      <c r="AG167" s="216">
        <v>3130.5</v>
      </c>
      <c r="AH167" s="216">
        <v>406.2</v>
      </c>
      <c r="AI167" s="216">
        <v>2528.1999999999998</v>
      </c>
      <c r="AJ167" s="216">
        <v>2691.9</v>
      </c>
      <c r="AK167" s="216">
        <f>4081.9+3213.1+2160.2</f>
        <v>9455.2000000000007</v>
      </c>
      <c r="AL167" s="216">
        <f t="shared" si="33"/>
        <v>31019.000000000004</v>
      </c>
      <c r="AM167" s="216">
        <f t="shared" si="34"/>
        <v>32645.100000000002</v>
      </c>
      <c r="AN167" s="216">
        <f t="shared" si="35"/>
        <v>-8623.0398760800017</v>
      </c>
      <c r="AO167" s="437"/>
      <c r="AQ167" s="958"/>
      <c r="AR167" s="958"/>
    </row>
    <row r="168" spans="1:44" s="1933" customFormat="1" ht="11.45" customHeight="1" x14ac:dyDescent="0.2">
      <c r="A168" s="156" t="s">
        <v>1296</v>
      </c>
      <c r="B168" s="1136" t="s">
        <v>547</v>
      </c>
      <c r="C168" s="374">
        <v>71</v>
      </c>
      <c r="D168" s="374">
        <v>473</v>
      </c>
      <c r="E168" s="374">
        <v>1</v>
      </c>
      <c r="F168" s="374">
        <v>86</v>
      </c>
      <c r="G168" s="374">
        <f>36+359</f>
        <v>395</v>
      </c>
      <c r="H168" s="374">
        <v>13869</v>
      </c>
      <c r="I168" s="374">
        <v>0</v>
      </c>
      <c r="J168" s="374">
        <v>0</v>
      </c>
      <c r="K168" s="374">
        <v>0</v>
      </c>
      <c r="L168" s="374">
        <f t="shared" si="38"/>
        <v>4068.5959579999981</v>
      </c>
      <c r="M168" s="374">
        <f>16439+80.7354*31.27</f>
        <v>18963.595957999998</v>
      </c>
      <c r="N168" s="374">
        <v>1272</v>
      </c>
      <c r="O168" s="374">
        <v>1074.7</v>
      </c>
      <c r="P168" s="374">
        <f t="shared" si="37"/>
        <v>2346.6999999999998</v>
      </c>
      <c r="Q168" s="272">
        <v>123.6</v>
      </c>
      <c r="R168" s="272">
        <v>126.2</v>
      </c>
      <c r="S168" s="272">
        <v>223.5</v>
      </c>
      <c r="T168" s="272">
        <v>1123.0999999999999</v>
      </c>
      <c r="U168" s="272">
        <v>145.19999999999999</v>
      </c>
      <c r="V168" s="272">
        <v>843</v>
      </c>
      <c r="W168" s="272">
        <v>199.4</v>
      </c>
      <c r="X168" s="272">
        <v>302.8</v>
      </c>
      <c r="Y168" s="272">
        <v>1954.5</v>
      </c>
      <c r="Z168" s="272">
        <v>1173.8</v>
      </c>
      <c r="AA168" s="272">
        <v>72.900000000000006</v>
      </c>
      <c r="AB168" s="272">
        <v>421.3</v>
      </c>
      <c r="AC168" s="272">
        <v>342.4</v>
      </c>
      <c r="AD168" s="272">
        <v>1252.5</v>
      </c>
      <c r="AE168" s="272">
        <v>1659.4</v>
      </c>
      <c r="AF168" s="272">
        <v>1176.2</v>
      </c>
      <c r="AG168" s="272">
        <v>2621.4</v>
      </c>
      <c r="AH168" s="272">
        <v>351.4</v>
      </c>
      <c r="AI168" s="272">
        <v>2294.8000000000002</v>
      </c>
      <c r="AJ168" s="272">
        <v>2152.4</v>
      </c>
      <c r="AK168" s="272">
        <f>4794.2+3367.2+2002.2</f>
        <v>10163.6</v>
      </c>
      <c r="AL168" s="272">
        <f t="shared" si="33"/>
        <v>28723.4</v>
      </c>
      <c r="AM168" s="272">
        <f t="shared" si="34"/>
        <v>31070.100000000002</v>
      </c>
      <c r="AN168" s="272">
        <f t="shared" si="35"/>
        <v>-12106.504042000004</v>
      </c>
      <c r="AO168" s="437"/>
      <c r="AQ168" s="958"/>
      <c r="AR168" s="958"/>
    </row>
    <row r="169" spans="1:44" s="1933" customFormat="1" ht="11.45" customHeight="1" x14ac:dyDescent="0.2">
      <c r="A169" s="156" t="s">
        <v>1296</v>
      </c>
      <c r="B169" s="482" t="s">
        <v>554</v>
      </c>
      <c r="C169" s="355">
        <v>89</v>
      </c>
      <c r="D169" s="355">
        <v>587</v>
      </c>
      <c r="E169" s="355">
        <v>1</v>
      </c>
      <c r="F169" s="355">
        <v>106</v>
      </c>
      <c r="G169" s="355">
        <f>45+426</f>
        <v>471</v>
      </c>
      <c r="H169" s="355">
        <v>15365</v>
      </c>
      <c r="I169" s="355">
        <v>72</v>
      </c>
      <c r="J169" s="355">
        <v>0</v>
      </c>
      <c r="K169" s="355">
        <v>0</v>
      </c>
      <c r="L169" s="355">
        <f t="shared" si="38"/>
        <v>5536.336658764998</v>
      </c>
      <c r="M169" s="355">
        <f>18698+80.820185*43.669</f>
        <v>22227.336658764998</v>
      </c>
      <c r="N169" s="355">
        <v>1484.3999999999999</v>
      </c>
      <c r="O169" s="355">
        <v>1089.2</v>
      </c>
      <c r="P169" s="355">
        <f t="shared" si="37"/>
        <v>2573.6</v>
      </c>
      <c r="Q169" s="216">
        <v>219.9</v>
      </c>
      <c r="R169" s="216">
        <v>141.80000000000001</v>
      </c>
      <c r="S169" s="216">
        <v>403.6</v>
      </c>
      <c r="T169" s="216">
        <v>1553.9</v>
      </c>
      <c r="U169" s="216">
        <v>218.5</v>
      </c>
      <c r="V169" s="216">
        <v>959.1</v>
      </c>
      <c r="W169" s="216">
        <v>314</v>
      </c>
      <c r="X169" s="216">
        <v>0</v>
      </c>
      <c r="Y169" s="216">
        <v>2857.7</v>
      </c>
      <c r="Z169" s="216">
        <v>1371.9</v>
      </c>
      <c r="AA169" s="216">
        <v>85.8</v>
      </c>
      <c r="AB169" s="216">
        <v>977.59999999999991</v>
      </c>
      <c r="AC169" s="216">
        <v>458.9</v>
      </c>
      <c r="AD169" s="216">
        <v>1449.9</v>
      </c>
      <c r="AE169" s="216">
        <v>1674.3</v>
      </c>
      <c r="AF169" s="216">
        <v>1288.2</v>
      </c>
      <c r="AG169" s="216">
        <v>2750.3</v>
      </c>
      <c r="AH169" s="216">
        <v>369</v>
      </c>
      <c r="AI169" s="216">
        <v>2298.9</v>
      </c>
      <c r="AJ169" s="216">
        <v>2908.5</v>
      </c>
      <c r="AK169" s="216">
        <f>4745.2+3623.6+2318.7</f>
        <v>10687.5</v>
      </c>
      <c r="AL169" s="216">
        <f t="shared" si="33"/>
        <v>32989.299999999996</v>
      </c>
      <c r="AM169" s="216">
        <f t="shared" si="34"/>
        <v>35562.899999999994</v>
      </c>
      <c r="AN169" s="216">
        <f t="shared" si="35"/>
        <v>-13335.563341234996</v>
      </c>
      <c r="AO169" s="437"/>
      <c r="AQ169" s="958"/>
      <c r="AR169" s="958"/>
    </row>
    <row r="170" spans="1:44" s="1933" customFormat="1" ht="11.45" customHeight="1" x14ac:dyDescent="0.2">
      <c r="A170" s="156" t="s">
        <v>1296</v>
      </c>
      <c r="B170" s="1136" t="s">
        <v>555</v>
      </c>
      <c r="C170" s="374">
        <v>139</v>
      </c>
      <c r="D170" s="374">
        <v>615</v>
      </c>
      <c r="E170" s="374">
        <v>3</v>
      </c>
      <c r="F170" s="374">
        <v>102</v>
      </c>
      <c r="G170" s="374">
        <f>39+300</f>
        <v>339</v>
      </c>
      <c r="H170" s="374">
        <v>14715</v>
      </c>
      <c r="I170" s="374">
        <v>0</v>
      </c>
      <c r="J170" s="374">
        <v>0</v>
      </c>
      <c r="K170" s="374">
        <v>0</v>
      </c>
      <c r="L170" s="374">
        <f t="shared" si="38"/>
        <v>5867.8601950000011</v>
      </c>
      <c r="M170" s="374">
        <f>17654+81.255*50.789</f>
        <v>21780.860195000001</v>
      </c>
      <c r="N170" s="374">
        <v>1765.9</v>
      </c>
      <c r="O170" s="374">
        <v>1238.8</v>
      </c>
      <c r="P170" s="374">
        <f t="shared" si="37"/>
        <v>3004.7</v>
      </c>
      <c r="Q170" s="272">
        <v>267.10000000000002</v>
      </c>
      <c r="R170" s="272">
        <v>176.7</v>
      </c>
      <c r="S170" s="272">
        <v>409.8</v>
      </c>
      <c r="T170" s="272">
        <v>1634.2</v>
      </c>
      <c r="U170" s="272">
        <v>121.8</v>
      </c>
      <c r="V170" s="272">
        <v>1182.4000000000001</v>
      </c>
      <c r="W170" s="272">
        <v>258.8</v>
      </c>
      <c r="X170" s="272">
        <v>0</v>
      </c>
      <c r="Y170" s="272">
        <v>2707.9</v>
      </c>
      <c r="Z170" s="272">
        <v>1488.5</v>
      </c>
      <c r="AA170" s="272">
        <v>109.4</v>
      </c>
      <c r="AB170" s="272">
        <v>842.7</v>
      </c>
      <c r="AC170" s="272">
        <v>406.8</v>
      </c>
      <c r="AD170" s="272">
        <v>1500.4</v>
      </c>
      <c r="AE170" s="272">
        <v>1471.2</v>
      </c>
      <c r="AF170" s="272">
        <v>1259.5999999999999</v>
      </c>
      <c r="AG170" s="272">
        <v>2933.4</v>
      </c>
      <c r="AH170" s="272">
        <v>406.2</v>
      </c>
      <c r="AI170" s="272">
        <v>2562.6</v>
      </c>
      <c r="AJ170" s="272">
        <v>2811.2</v>
      </c>
      <c r="AK170" s="272">
        <f>4500.2+3572.7+2517.3</f>
        <v>10590.2</v>
      </c>
      <c r="AL170" s="272">
        <f t="shared" si="33"/>
        <v>33140.9</v>
      </c>
      <c r="AM170" s="272">
        <f t="shared" si="34"/>
        <v>36145.599999999999</v>
      </c>
      <c r="AN170" s="272">
        <f t="shared" si="35"/>
        <v>-14364.739804999997</v>
      </c>
      <c r="AO170" s="437"/>
      <c r="AQ170" s="958"/>
      <c r="AR170" s="958"/>
    </row>
    <row r="171" spans="1:44" s="1933" customFormat="1" ht="11.45" customHeight="1" x14ac:dyDescent="0.2">
      <c r="A171" s="156" t="s">
        <v>1296</v>
      </c>
      <c r="B171" s="482" t="s">
        <v>548</v>
      </c>
      <c r="C171" s="355">
        <v>93</v>
      </c>
      <c r="D171" s="355">
        <v>529</v>
      </c>
      <c r="E171" s="355">
        <v>2</v>
      </c>
      <c r="F171" s="355">
        <v>101</v>
      </c>
      <c r="G171" s="355">
        <f>56+299</f>
        <v>355</v>
      </c>
      <c r="H171" s="355">
        <v>13336</v>
      </c>
      <c r="I171" s="355">
        <v>0</v>
      </c>
      <c r="J171" s="355">
        <v>0</v>
      </c>
      <c r="K171" s="355">
        <v>0</v>
      </c>
      <c r="L171" s="355">
        <f t="shared" si="38"/>
        <v>5746.1156800000026</v>
      </c>
      <c r="M171" s="355">
        <f>16089+82.552*49.34</f>
        <v>20162.115680000003</v>
      </c>
      <c r="N171" s="355">
        <v>1468.3</v>
      </c>
      <c r="O171" s="355">
        <v>1209</v>
      </c>
      <c r="P171" s="355">
        <f t="shared" si="37"/>
        <v>2677.3</v>
      </c>
      <c r="Q171" s="216">
        <v>211.9</v>
      </c>
      <c r="R171" s="216">
        <v>129.6</v>
      </c>
      <c r="S171" s="216">
        <v>66.5</v>
      </c>
      <c r="T171" s="216">
        <v>987.2</v>
      </c>
      <c r="U171" s="216">
        <v>187</v>
      </c>
      <c r="V171" s="216">
        <v>288.39999999999998</v>
      </c>
      <c r="W171" s="216">
        <v>301.7</v>
      </c>
      <c r="X171" s="216">
        <v>370.1</v>
      </c>
      <c r="Y171" s="216">
        <v>2585.9</v>
      </c>
      <c r="Z171" s="216">
        <v>1325.1</v>
      </c>
      <c r="AA171" s="216">
        <v>126.3</v>
      </c>
      <c r="AB171" s="216">
        <v>658.3</v>
      </c>
      <c r="AC171" s="216">
        <v>412.8</v>
      </c>
      <c r="AD171" s="216">
        <v>1374</v>
      </c>
      <c r="AE171" s="216">
        <v>1660.6</v>
      </c>
      <c r="AF171" s="216">
        <v>1090.5999999999999</v>
      </c>
      <c r="AG171" s="216">
        <v>2775.7</v>
      </c>
      <c r="AH171" s="216">
        <v>473.9</v>
      </c>
      <c r="AI171" s="216">
        <v>2690.6</v>
      </c>
      <c r="AJ171" s="216">
        <v>3049.6</v>
      </c>
      <c r="AK171" s="216">
        <f>5159.1+3386+2451</f>
        <v>10996.1</v>
      </c>
      <c r="AL171" s="216">
        <f t="shared" si="33"/>
        <v>31761.899999999998</v>
      </c>
      <c r="AM171" s="216">
        <f t="shared" si="34"/>
        <v>34439.199999999997</v>
      </c>
      <c r="AN171" s="216">
        <f t="shared" si="35"/>
        <v>-14277.084319999994</v>
      </c>
      <c r="AO171" s="437"/>
      <c r="AQ171" s="958"/>
      <c r="AR171" s="958"/>
    </row>
    <row r="172" spans="1:44" s="1933" customFormat="1" ht="11.45" customHeight="1" x14ac:dyDescent="0.2">
      <c r="A172" s="156" t="s">
        <v>1296</v>
      </c>
      <c r="B172" s="1136" t="s">
        <v>556</v>
      </c>
      <c r="C172" s="374">
        <v>119</v>
      </c>
      <c r="D172" s="374">
        <v>581</v>
      </c>
      <c r="E172" s="374">
        <v>3</v>
      </c>
      <c r="F172" s="374">
        <v>100</v>
      </c>
      <c r="G172" s="374">
        <f>49+356</f>
        <v>405</v>
      </c>
      <c r="H172" s="374">
        <v>16323</v>
      </c>
      <c r="I172" s="374">
        <v>0</v>
      </c>
      <c r="J172" s="374">
        <v>0</v>
      </c>
      <c r="K172" s="374">
        <v>0</v>
      </c>
      <c r="L172" s="374">
        <f t="shared" si="38"/>
        <v>6354.1537700000008</v>
      </c>
      <c r="M172" s="374">
        <f>19516+82.815*52.758</f>
        <v>23885.153770000001</v>
      </c>
      <c r="N172" s="374">
        <v>1998.3000000000002</v>
      </c>
      <c r="O172" s="374">
        <v>1078.0999999999999</v>
      </c>
      <c r="P172" s="374">
        <f t="shared" si="37"/>
        <v>3076.4</v>
      </c>
      <c r="Q172" s="272">
        <v>163</v>
      </c>
      <c r="R172" s="272">
        <v>344.3</v>
      </c>
      <c r="S172" s="272">
        <v>313.5</v>
      </c>
      <c r="T172" s="272">
        <v>912.5</v>
      </c>
      <c r="U172" s="272">
        <v>337.6</v>
      </c>
      <c r="V172" s="272">
        <v>600.70000000000005</v>
      </c>
      <c r="W172" s="272">
        <v>404.9</v>
      </c>
      <c r="X172" s="272">
        <v>785.8</v>
      </c>
      <c r="Y172" s="272">
        <v>2588.7000000000003</v>
      </c>
      <c r="Z172" s="272">
        <v>1625.9</v>
      </c>
      <c r="AA172" s="272">
        <v>92.9</v>
      </c>
      <c r="AB172" s="272">
        <v>534.6</v>
      </c>
      <c r="AC172" s="272">
        <v>471.1</v>
      </c>
      <c r="AD172" s="272">
        <v>1588.6</v>
      </c>
      <c r="AE172" s="272">
        <v>2250.5</v>
      </c>
      <c r="AF172" s="272">
        <v>1317</v>
      </c>
      <c r="AG172" s="272">
        <v>3900.8</v>
      </c>
      <c r="AH172" s="272">
        <v>554.70000000000005</v>
      </c>
      <c r="AI172" s="272">
        <v>2785.1</v>
      </c>
      <c r="AJ172" s="272">
        <v>3783.6</v>
      </c>
      <c r="AK172" s="272">
        <f>6290+4322.2+2814.1</f>
        <v>13426.300000000001</v>
      </c>
      <c r="AL172" s="272">
        <f t="shared" si="33"/>
        <v>38782.1</v>
      </c>
      <c r="AM172" s="272">
        <f t="shared" si="34"/>
        <v>41858.5</v>
      </c>
      <c r="AN172" s="272">
        <f t="shared" si="35"/>
        <v>-17973.346229999999</v>
      </c>
      <c r="AO172" s="437"/>
      <c r="AQ172" s="958"/>
      <c r="AR172" s="958"/>
    </row>
    <row r="173" spans="1:44" s="1933" customFormat="1" ht="11.45" customHeight="1" x14ac:dyDescent="0.2">
      <c r="A173" s="156" t="s">
        <v>1296</v>
      </c>
      <c r="B173" s="482" t="s">
        <v>557</v>
      </c>
      <c r="C173" s="355">
        <v>92</v>
      </c>
      <c r="D173" s="355">
        <v>471</v>
      </c>
      <c r="E173" s="355">
        <v>2</v>
      </c>
      <c r="F173" s="355">
        <v>63</v>
      </c>
      <c r="G173" s="355">
        <f>60+195</f>
        <v>255</v>
      </c>
      <c r="H173" s="355">
        <v>14991</v>
      </c>
      <c r="I173" s="355">
        <v>0</v>
      </c>
      <c r="J173" s="355">
        <v>0</v>
      </c>
      <c r="K173" s="355">
        <v>0</v>
      </c>
      <c r="L173" s="355">
        <f t="shared" si="38"/>
        <v>5327.0531378968008</v>
      </c>
      <c r="M173" s="355">
        <f>17444+82.919583*45.3096</f>
        <v>21201.053137896801</v>
      </c>
      <c r="N173" s="355">
        <v>1431.7</v>
      </c>
      <c r="O173" s="355">
        <v>683.7</v>
      </c>
      <c r="P173" s="355">
        <f t="shared" si="37"/>
        <v>2115.4</v>
      </c>
      <c r="Q173" s="216">
        <v>215.6</v>
      </c>
      <c r="R173" s="216">
        <v>148.80000000000001</v>
      </c>
      <c r="S173" s="216">
        <v>231.60000000000002</v>
      </c>
      <c r="T173" s="216">
        <v>1229.9000000000001</v>
      </c>
      <c r="U173" s="216">
        <v>199.3</v>
      </c>
      <c r="V173" s="216">
        <v>334.1</v>
      </c>
      <c r="W173" s="216">
        <v>368.1</v>
      </c>
      <c r="X173" s="216">
        <v>412.9</v>
      </c>
      <c r="Y173" s="216">
        <v>2973.1</v>
      </c>
      <c r="Z173" s="216">
        <v>1526.9</v>
      </c>
      <c r="AA173" s="216">
        <v>104.8</v>
      </c>
      <c r="AB173" s="216">
        <v>664.5</v>
      </c>
      <c r="AC173" s="216">
        <v>404.29999999999995</v>
      </c>
      <c r="AD173" s="216">
        <v>1291.0999999999999</v>
      </c>
      <c r="AE173" s="216">
        <v>2224</v>
      </c>
      <c r="AF173" s="216">
        <v>1306.3999999999999</v>
      </c>
      <c r="AG173" s="216">
        <v>3122</v>
      </c>
      <c r="AH173" s="216">
        <v>532.6</v>
      </c>
      <c r="AI173" s="216">
        <v>2255.1000000000004</v>
      </c>
      <c r="AJ173" s="216">
        <v>3099.6</v>
      </c>
      <c r="AK173" s="216">
        <f>5564.4+3189.8+2717.3</f>
        <v>11471.5</v>
      </c>
      <c r="AL173" s="216">
        <f t="shared" si="33"/>
        <v>34116.199999999997</v>
      </c>
      <c r="AM173" s="216">
        <f t="shared" si="34"/>
        <v>36231.599999999999</v>
      </c>
      <c r="AN173" s="216">
        <f t="shared" si="35"/>
        <v>-15030.546862103198</v>
      </c>
      <c r="AO173" s="437"/>
      <c r="AQ173" s="958"/>
      <c r="AR173" s="958"/>
    </row>
    <row r="174" spans="1:44" s="1933" customFormat="1" ht="11.45" customHeight="1" x14ac:dyDescent="0.2">
      <c r="A174" s="156" t="s">
        <v>1296</v>
      </c>
      <c r="B174" s="1136" t="s">
        <v>549</v>
      </c>
      <c r="C174" s="374">
        <v>103</v>
      </c>
      <c r="D174" s="374">
        <v>480</v>
      </c>
      <c r="E174" s="374">
        <v>1</v>
      </c>
      <c r="F174" s="374">
        <v>104</v>
      </c>
      <c r="G174" s="374">
        <f>57+170</f>
        <v>227</v>
      </c>
      <c r="H174" s="374">
        <v>16505</v>
      </c>
      <c r="I174" s="374">
        <v>0</v>
      </c>
      <c r="J174" s="374">
        <v>2</v>
      </c>
      <c r="K174" s="374">
        <v>0</v>
      </c>
      <c r="L174" s="374">
        <f t="shared" si="38"/>
        <v>5736.3449599999985</v>
      </c>
      <c r="M174" s="374">
        <f>19087+82.96*49.076</f>
        <v>23158.344959999999</v>
      </c>
      <c r="N174" s="374">
        <v>1147.9000000000001</v>
      </c>
      <c r="O174" s="374">
        <v>626.9</v>
      </c>
      <c r="P174" s="374">
        <f t="shared" si="37"/>
        <v>1774.8000000000002</v>
      </c>
      <c r="Q174" s="272">
        <v>291.10000000000002</v>
      </c>
      <c r="R174" s="272">
        <v>185.9</v>
      </c>
      <c r="S174" s="272">
        <v>261.3</v>
      </c>
      <c r="T174" s="272">
        <v>1116.4000000000001</v>
      </c>
      <c r="U174" s="272">
        <v>473</v>
      </c>
      <c r="V174" s="272">
        <v>477.1</v>
      </c>
      <c r="W174" s="272">
        <v>366</v>
      </c>
      <c r="X174" s="272">
        <v>392.6</v>
      </c>
      <c r="Y174" s="272">
        <v>3089.3</v>
      </c>
      <c r="Z174" s="272">
        <v>1478.7</v>
      </c>
      <c r="AA174" s="272">
        <v>118.1</v>
      </c>
      <c r="AB174" s="272">
        <v>853.8</v>
      </c>
      <c r="AC174" s="272">
        <v>407.9</v>
      </c>
      <c r="AD174" s="272">
        <v>1560.2</v>
      </c>
      <c r="AE174" s="272">
        <v>2597.1999999999998</v>
      </c>
      <c r="AF174" s="272">
        <v>1203.4000000000001</v>
      </c>
      <c r="AG174" s="272">
        <v>3059.7</v>
      </c>
      <c r="AH174" s="272">
        <v>560.1</v>
      </c>
      <c r="AI174" s="272">
        <v>2427.1</v>
      </c>
      <c r="AJ174" s="272">
        <v>3053.2</v>
      </c>
      <c r="AK174" s="272">
        <f>5536.9+3470+2242.4</f>
        <v>11249.3</v>
      </c>
      <c r="AL174" s="272">
        <f t="shared" si="33"/>
        <v>35221.399999999994</v>
      </c>
      <c r="AM174" s="272">
        <f t="shared" si="34"/>
        <v>36996.199999999997</v>
      </c>
      <c r="AN174" s="272">
        <f t="shared" si="35"/>
        <v>-13837.855039999999</v>
      </c>
      <c r="AO174" s="437"/>
      <c r="AQ174" s="958"/>
      <c r="AR174" s="958"/>
    </row>
    <row r="175" spans="1:44" s="1933" customFormat="1" ht="11.45" customHeight="1" x14ac:dyDescent="0.2">
      <c r="A175" s="156" t="s">
        <v>1296</v>
      </c>
      <c r="B175" s="482" t="s">
        <v>558</v>
      </c>
      <c r="C175" s="355">
        <v>147</v>
      </c>
      <c r="D175" s="355">
        <v>650</v>
      </c>
      <c r="E175" s="355">
        <v>3</v>
      </c>
      <c r="F175" s="355">
        <v>121</v>
      </c>
      <c r="G175" s="355">
        <f>48+190</f>
        <v>238</v>
      </c>
      <c r="H175" s="355">
        <v>16143</v>
      </c>
      <c r="I175" s="355">
        <v>0</v>
      </c>
      <c r="J175" s="355">
        <v>1</v>
      </c>
      <c r="K175" s="355">
        <v>0</v>
      </c>
      <c r="L175" s="355">
        <f t="shared" si="38"/>
        <v>5768.2403247149996</v>
      </c>
      <c r="M175" s="355">
        <f>18944+82.974615*49.741</f>
        <v>23071.240324715</v>
      </c>
      <c r="N175" s="355">
        <v>985.6</v>
      </c>
      <c r="O175" s="355">
        <v>696.9</v>
      </c>
      <c r="P175" s="355">
        <f t="shared" si="37"/>
        <v>1682.5</v>
      </c>
      <c r="Q175" s="216">
        <v>212</v>
      </c>
      <c r="R175" s="216">
        <v>230.5</v>
      </c>
      <c r="S175" s="216">
        <v>783.7</v>
      </c>
      <c r="T175" s="216">
        <v>1388.6999999999998</v>
      </c>
      <c r="U175" s="216">
        <v>483.7</v>
      </c>
      <c r="V175" s="216">
        <v>728.4</v>
      </c>
      <c r="W175" s="216">
        <v>490.90000000000003</v>
      </c>
      <c r="X175" s="216">
        <v>419.5</v>
      </c>
      <c r="Y175" s="216">
        <v>2840.2999999999997</v>
      </c>
      <c r="Z175" s="216">
        <v>1849.7</v>
      </c>
      <c r="AA175" s="216">
        <v>95.100000000000009</v>
      </c>
      <c r="AB175" s="216">
        <v>826.5</v>
      </c>
      <c r="AC175" s="216">
        <v>444.3</v>
      </c>
      <c r="AD175" s="216">
        <v>1671.3</v>
      </c>
      <c r="AE175" s="216">
        <v>2238.3000000000002</v>
      </c>
      <c r="AF175" s="216">
        <v>1432.7</v>
      </c>
      <c r="AG175" s="216">
        <v>3139.7</v>
      </c>
      <c r="AH175" s="216">
        <v>526.6</v>
      </c>
      <c r="AI175" s="216">
        <v>3039.1</v>
      </c>
      <c r="AJ175" s="216">
        <v>4146.1000000000004</v>
      </c>
      <c r="AK175" s="216">
        <f>5209.4+3704.7+2827.8</f>
        <v>11741.899999999998</v>
      </c>
      <c r="AL175" s="216">
        <f t="shared" si="33"/>
        <v>38728.999999999993</v>
      </c>
      <c r="AM175" s="216">
        <f t="shared" si="34"/>
        <v>40411.499999999993</v>
      </c>
      <c r="AN175" s="216">
        <f t="shared" si="35"/>
        <v>-17340.259675284993</v>
      </c>
      <c r="AO175" s="437"/>
      <c r="AQ175" s="958"/>
      <c r="AR175" s="958"/>
    </row>
    <row r="176" spans="1:44" s="1933" customFormat="1" ht="11.45" customHeight="1" x14ac:dyDescent="0.2">
      <c r="A176" s="156" t="s">
        <v>1296</v>
      </c>
      <c r="B176" s="1136" t="s">
        <v>559</v>
      </c>
      <c r="C176" s="374">
        <v>97</v>
      </c>
      <c r="D176" s="374">
        <v>531</v>
      </c>
      <c r="E176" s="374">
        <v>2</v>
      </c>
      <c r="F176" s="374">
        <v>108</v>
      </c>
      <c r="G176" s="374">
        <f>55+203</f>
        <v>258</v>
      </c>
      <c r="H176" s="374">
        <v>16893</v>
      </c>
      <c r="I176" s="374">
        <v>0</v>
      </c>
      <c r="J176" s="374">
        <v>7</v>
      </c>
      <c r="K176" s="374">
        <v>0</v>
      </c>
      <c r="L176" s="374">
        <f t="shared" si="38"/>
        <v>6442.5867479549997</v>
      </c>
      <c r="M176" s="374">
        <f>19726+83.384615*55.317</f>
        <v>24338.586747955</v>
      </c>
      <c r="N176" s="374">
        <v>731</v>
      </c>
      <c r="O176" s="374">
        <v>899.6</v>
      </c>
      <c r="P176" s="374">
        <f t="shared" si="37"/>
        <v>1630.6</v>
      </c>
      <c r="Q176" s="272">
        <v>260.8</v>
      </c>
      <c r="R176" s="272">
        <v>241.1</v>
      </c>
      <c r="S176" s="272">
        <v>382.6</v>
      </c>
      <c r="T176" s="272">
        <v>1596.7</v>
      </c>
      <c r="U176" s="272">
        <v>605.5</v>
      </c>
      <c r="V176" s="272">
        <v>428.4</v>
      </c>
      <c r="W176" s="272">
        <v>502.8</v>
      </c>
      <c r="X176" s="272">
        <v>861.1</v>
      </c>
      <c r="Y176" s="272">
        <v>4271.2</v>
      </c>
      <c r="Z176" s="272">
        <v>1528.2</v>
      </c>
      <c r="AA176" s="272">
        <v>118.3</v>
      </c>
      <c r="AB176" s="272">
        <v>615.29999999999995</v>
      </c>
      <c r="AC176" s="272">
        <v>479.2</v>
      </c>
      <c r="AD176" s="272">
        <v>1877.3</v>
      </c>
      <c r="AE176" s="272">
        <v>2644.9</v>
      </c>
      <c r="AF176" s="272">
        <v>1606.4</v>
      </c>
      <c r="AG176" s="272">
        <v>3742.1</v>
      </c>
      <c r="AH176" s="272">
        <v>613.6</v>
      </c>
      <c r="AI176" s="272">
        <v>3265.4</v>
      </c>
      <c r="AJ176" s="272">
        <v>4653.3</v>
      </c>
      <c r="AK176" s="272">
        <f>6605.9+3882.4+2907.6</f>
        <v>13395.9</v>
      </c>
      <c r="AL176" s="272">
        <f t="shared" si="33"/>
        <v>43690.099999999991</v>
      </c>
      <c r="AM176" s="272">
        <f t="shared" si="34"/>
        <v>45320.69999999999</v>
      </c>
      <c r="AN176" s="272">
        <f t="shared" si="35"/>
        <v>-20982.11325204499</v>
      </c>
      <c r="AO176" s="437"/>
      <c r="AQ176" s="958"/>
      <c r="AR176" s="958"/>
    </row>
    <row r="177" spans="1:44" s="1933" customFormat="1" ht="11.45" customHeight="1" x14ac:dyDescent="0.2">
      <c r="A177" s="156" t="s">
        <v>1296</v>
      </c>
      <c r="B177" s="482" t="s">
        <v>550</v>
      </c>
      <c r="C177" s="355">
        <v>84</v>
      </c>
      <c r="D177" s="355">
        <v>390</v>
      </c>
      <c r="E177" s="355">
        <v>0</v>
      </c>
      <c r="F177" s="355">
        <v>92</v>
      </c>
      <c r="G177" s="355">
        <f>49+203</f>
        <v>252</v>
      </c>
      <c r="H177" s="355">
        <v>14993</v>
      </c>
      <c r="I177" s="355">
        <v>0</v>
      </c>
      <c r="J177" s="355">
        <v>3</v>
      </c>
      <c r="K177" s="355">
        <v>0</v>
      </c>
      <c r="L177" s="355">
        <f t="shared" si="38"/>
        <v>5373.3175763260006</v>
      </c>
      <c r="M177" s="355">
        <f>17454+83.701042*44.603</f>
        <v>21187.317576326001</v>
      </c>
      <c r="N177" s="355">
        <v>396.4</v>
      </c>
      <c r="O177" s="355">
        <v>353.7</v>
      </c>
      <c r="P177" s="355">
        <f t="shared" si="37"/>
        <v>750.09999999999991</v>
      </c>
      <c r="Q177" s="216">
        <v>196.2</v>
      </c>
      <c r="R177" s="216">
        <v>182.8</v>
      </c>
      <c r="S177" s="216">
        <v>346</v>
      </c>
      <c r="T177" s="216">
        <v>688.1</v>
      </c>
      <c r="U177" s="216">
        <v>168.5</v>
      </c>
      <c r="V177" s="216">
        <v>239.6</v>
      </c>
      <c r="W177" s="216">
        <v>426</v>
      </c>
      <c r="X177" s="216">
        <v>477.5</v>
      </c>
      <c r="Y177" s="216">
        <v>4150.7</v>
      </c>
      <c r="Z177" s="216">
        <v>1272.5</v>
      </c>
      <c r="AA177" s="216">
        <v>88.7</v>
      </c>
      <c r="AB177" s="216">
        <v>128.1</v>
      </c>
      <c r="AC177" s="216">
        <v>393.79999999999995</v>
      </c>
      <c r="AD177" s="216">
        <v>1391.5</v>
      </c>
      <c r="AE177" s="216">
        <v>1997.1999999999998</v>
      </c>
      <c r="AF177" s="216">
        <v>1275.5999999999999</v>
      </c>
      <c r="AG177" s="216">
        <v>2795.9</v>
      </c>
      <c r="AH177" s="216">
        <v>467.2</v>
      </c>
      <c r="AI177" s="216">
        <v>2889.3</v>
      </c>
      <c r="AJ177" s="216">
        <v>2596.8000000000002</v>
      </c>
      <c r="AK177" s="216">
        <f>4220.7+2893.8+2095</f>
        <v>9209.5</v>
      </c>
      <c r="AL177" s="216">
        <f t="shared" si="33"/>
        <v>31381.499999999996</v>
      </c>
      <c r="AM177" s="216">
        <f t="shared" si="34"/>
        <v>32131.599999999995</v>
      </c>
      <c r="AN177" s="216">
        <f t="shared" si="35"/>
        <v>-10944.282423673994</v>
      </c>
      <c r="AO177" s="437"/>
      <c r="AQ177" s="958"/>
      <c r="AR177" s="958"/>
    </row>
    <row r="178" spans="1:44" s="1933" customFormat="1" ht="11.45" customHeight="1" x14ac:dyDescent="0.2">
      <c r="A178" s="156" t="s">
        <v>1404</v>
      </c>
      <c r="B178" s="1136" t="s">
        <v>552</v>
      </c>
      <c r="C178" s="355">
        <v>111</v>
      </c>
      <c r="D178" s="355">
        <v>439</v>
      </c>
      <c r="E178" s="355">
        <v>0</v>
      </c>
      <c r="F178" s="216">
        <v>89</v>
      </c>
      <c r="G178" s="355">
        <f>49+222</f>
        <v>271</v>
      </c>
      <c r="H178" s="355">
        <v>18426</v>
      </c>
      <c r="I178" s="355">
        <v>99</v>
      </c>
      <c r="J178" s="355">
        <v>4</v>
      </c>
      <c r="K178" s="355">
        <v>0</v>
      </c>
      <c r="L178" s="355">
        <f t="shared" ref="L178:L199" si="39">M178-SUM(C178:K178)</f>
        <v>7058.0165647039976</v>
      </c>
      <c r="M178" s="355">
        <f>21570+83.747222*58.832</f>
        <v>26497.016564703998</v>
      </c>
      <c r="N178" s="355">
        <v>284.8</v>
      </c>
      <c r="O178" s="355">
        <v>974.8</v>
      </c>
      <c r="P178" s="355">
        <f t="shared" ref="P178:P213" si="40">N178+O178</f>
        <v>1259.5999999999999</v>
      </c>
      <c r="Q178" s="216">
        <v>287</v>
      </c>
      <c r="R178" s="216">
        <v>249.8</v>
      </c>
      <c r="S178" s="216">
        <v>187.9</v>
      </c>
      <c r="T178" s="216">
        <v>1080.4000000000001</v>
      </c>
      <c r="U178" s="216">
        <v>107.7</v>
      </c>
      <c r="V178" s="216">
        <v>276.90000000000003</v>
      </c>
      <c r="W178" s="216">
        <v>359.1</v>
      </c>
      <c r="X178" s="216">
        <v>458.7</v>
      </c>
      <c r="Y178" s="216">
        <v>3266.2</v>
      </c>
      <c r="Z178" s="216">
        <v>1671.1</v>
      </c>
      <c r="AA178" s="216">
        <v>114.9</v>
      </c>
      <c r="AB178" s="216">
        <v>346.1</v>
      </c>
      <c r="AC178" s="216">
        <v>513.70000000000005</v>
      </c>
      <c r="AD178" s="216">
        <v>1773.1</v>
      </c>
      <c r="AE178" s="216">
        <v>2524.8000000000002</v>
      </c>
      <c r="AF178" s="216">
        <v>1678.7</v>
      </c>
      <c r="AG178" s="216">
        <v>3610.7000000000003</v>
      </c>
      <c r="AH178" s="216">
        <v>597.4</v>
      </c>
      <c r="AI178" s="216">
        <v>3394.7</v>
      </c>
      <c r="AJ178" s="216">
        <v>3424.7</v>
      </c>
      <c r="AK178" s="216">
        <v>11080.800000000003</v>
      </c>
      <c r="AL178" s="216">
        <f t="shared" si="33"/>
        <v>37004.400000000009</v>
      </c>
      <c r="AM178" s="216">
        <f t="shared" si="34"/>
        <v>38264.000000000007</v>
      </c>
      <c r="AN178" s="216">
        <f t="shared" si="35"/>
        <v>-11766.98343529601</v>
      </c>
      <c r="AO178" s="437"/>
      <c r="AQ178" s="958"/>
      <c r="AR178" s="958"/>
    </row>
    <row r="179" spans="1:44" s="1933" customFormat="1" ht="11.45" customHeight="1" x14ac:dyDescent="0.2">
      <c r="A179" s="156" t="s">
        <v>1404</v>
      </c>
      <c r="B179" s="482" t="s">
        <v>112</v>
      </c>
      <c r="C179" s="374">
        <v>85</v>
      </c>
      <c r="D179" s="374">
        <v>405</v>
      </c>
      <c r="E179" s="374">
        <v>0</v>
      </c>
      <c r="F179" s="272">
        <v>109</v>
      </c>
      <c r="G179" s="374">
        <f>32+278</f>
        <v>310</v>
      </c>
      <c r="H179" s="374">
        <v>15451</v>
      </c>
      <c r="I179" s="374">
        <v>0</v>
      </c>
      <c r="J179" s="374">
        <v>0</v>
      </c>
      <c r="K179" s="374">
        <v>0</v>
      </c>
      <c r="L179" s="374">
        <f t="shared" si="39"/>
        <v>5171.7324999999983</v>
      </c>
      <c r="M179" s="374">
        <f>18001+83.75*42.158</f>
        <v>21531.732499999998</v>
      </c>
      <c r="N179" s="374">
        <v>113.9</v>
      </c>
      <c r="O179" s="374">
        <v>327.10000000000002</v>
      </c>
      <c r="P179" s="374">
        <f t="shared" si="40"/>
        <v>441</v>
      </c>
      <c r="Q179" s="272">
        <v>133.4</v>
      </c>
      <c r="R179" s="272">
        <v>296.09999999999997</v>
      </c>
      <c r="S179" s="272">
        <v>591.79999999999995</v>
      </c>
      <c r="T179" s="272">
        <v>1035.8</v>
      </c>
      <c r="U179" s="272">
        <v>180.8</v>
      </c>
      <c r="V179" s="272">
        <v>396.5</v>
      </c>
      <c r="W179" s="272">
        <v>290.60000000000002</v>
      </c>
      <c r="X179" s="272">
        <v>958</v>
      </c>
      <c r="Y179" s="272">
        <v>3349.5</v>
      </c>
      <c r="Z179" s="272">
        <v>1345.9</v>
      </c>
      <c r="AA179" s="272">
        <v>74.900000000000006</v>
      </c>
      <c r="AB179" s="272">
        <v>164.1</v>
      </c>
      <c r="AC179" s="272">
        <v>405.8</v>
      </c>
      <c r="AD179" s="272">
        <v>1454.1</v>
      </c>
      <c r="AE179" s="272">
        <v>1824.3000000000002</v>
      </c>
      <c r="AF179" s="272">
        <v>1420.9</v>
      </c>
      <c r="AG179" s="272">
        <v>3079.5</v>
      </c>
      <c r="AH179" s="272">
        <v>502</v>
      </c>
      <c r="AI179" s="272">
        <v>2268.3000000000002</v>
      </c>
      <c r="AJ179" s="272">
        <v>3239.7999999999997</v>
      </c>
      <c r="AK179" s="272">
        <v>9750.3999999999978</v>
      </c>
      <c r="AL179" s="272">
        <f t="shared" si="33"/>
        <v>32762.5</v>
      </c>
      <c r="AM179" s="272">
        <f t="shared" si="34"/>
        <v>33203.5</v>
      </c>
      <c r="AN179" s="272">
        <f t="shared" si="35"/>
        <v>-11671.767500000002</v>
      </c>
      <c r="AO179" s="437"/>
      <c r="AQ179" s="958"/>
      <c r="AR179" s="958"/>
    </row>
    <row r="180" spans="1:44" s="1933" customFormat="1" ht="11.45" customHeight="1" x14ac:dyDescent="0.2">
      <c r="A180" s="156" t="s">
        <v>1404</v>
      </c>
      <c r="B180" s="1136" t="s">
        <v>547</v>
      </c>
      <c r="C180" s="355">
        <v>91</v>
      </c>
      <c r="D180" s="355">
        <v>471</v>
      </c>
      <c r="E180" s="355">
        <v>1</v>
      </c>
      <c r="F180" s="216">
        <v>135</v>
      </c>
      <c r="G180" s="355">
        <v>351</v>
      </c>
      <c r="H180" s="355">
        <v>18373</v>
      </c>
      <c r="I180" s="355">
        <v>0</v>
      </c>
      <c r="J180" s="355">
        <v>6</v>
      </c>
      <c r="K180" s="355">
        <v>0</v>
      </c>
      <c r="L180" s="355">
        <f t="shared" si="39"/>
        <v>5727.0662499999999</v>
      </c>
      <c r="M180" s="355">
        <f>21507+83.75*43.559</f>
        <v>25155.06625</v>
      </c>
      <c r="N180" s="355">
        <v>102.4</v>
      </c>
      <c r="O180" s="355">
        <v>865.7</v>
      </c>
      <c r="P180" s="355">
        <f t="shared" si="40"/>
        <v>968.1</v>
      </c>
      <c r="Q180" s="216">
        <v>172.4</v>
      </c>
      <c r="R180" s="216">
        <v>197.4</v>
      </c>
      <c r="S180" s="216">
        <v>308.7</v>
      </c>
      <c r="T180" s="216">
        <v>1153.9000000000001</v>
      </c>
      <c r="U180" s="216">
        <v>215.5</v>
      </c>
      <c r="V180" s="216">
        <v>212.8</v>
      </c>
      <c r="W180" s="216">
        <v>457.70000000000005</v>
      </c>
      <c r="X180" s="216">
        <v>453.4</v>
      </c>
      <c r="Y180" s="216">
        <v>3569.2</v>
      </c>
      <c r="Z180" s="216">
        <v>1670.2</v>
      </c>
      <c r="AA180" s="216">
        <v>140.1</v>
      </c>
      <c r="AB180" s="216">
        <v>630.40000000000009</v>
      </c>
      <c r="AC180" s="216">
        <v>519.5</v>
      </c>
      <c r="AD180" s="216">
        <v>1710.6999999999998</v>
      </c>
      <c r="AE180" s="216">
        <v>2048.6999999999998</v>
      </c>
      <c r="AF180" s="216">
        <v>1711.1999999999998</v>
      </c>
      <c r="AG180" s="216">
        <v>3787.9</v>
      </c>
      <c r="AH180" s="216">
        <v>598.1</v>
      </c>
      <c r="AI180" s="216">
        <v>2592.1999999999998</v>
      </c>
      <c r="AJ180" s="216">
        <v>3858.9800000000005</v>
      </c>
      <c r="AK180" s="216">
        <v>12817.099999999993</v>
      </c>
      <c r="AL180" s="216">
        <f t="shared" si="33"/>
        <v>38826.079999999994</v>
      </c>
      <c r="AM180" s="216">
        <f t="shared" si="34"/>
        <v>39794.179999999993</v>
      </c>
      <c r="AN180" s="216">
        <f t="shared" si="35"/>
        <v>-14639.113749999993</v>
      </c>
      <c r="AO180" s="437"/>
      <c r="AQ180" s="958"/>
      <c r="AR180" s="958"/>
    </row>
    <row r="181" spans="1:44" s="1933" customFormat="1" ht="11.45" customHeight="1" x14ac:dyDescent="0.2">
      <c r="A181" s="156" t="s">
        <v>1404</v>
      </c>
      <c r="B181" s="482" t="s">
        <v>554</v>
      </c>
      <c r="C181" s="374">
        <v>71</v>
      </c>
      <c r="D181" s="374">
        <v>503</v>
      </c>
      <c r="E181" s="374">
        <v>2</v>
      </c>
      <c r="F181" s="272">
        <v>117</v>
      </c>
      <c r="G181" s="374">
        <v>359</v>
      </c>
      <c r="H181" s="374">
        <v>18056</v>
      </c>
      <c r="I181" s="374">
        <v>0</v>
      </c>
      <c r="J181" s="374">
        <v>4</v>
      </c>
      <c r="K181" s="374">
        <v>0</v>
      </c>
      <c r="L181" s="374">
        <f t="shared" si="39"/>
        <v>6202.8272990000005</v>
      </c>
      <c r="M181" s="374">
        <f>21229+83.817*48.747</f>
        <v>25314.827299</v>
      </c>
      <c r="N181" s="374">
        <v>82.5</v>
      </c>
      <c r="O181" s="374">
        <v>914.5</v>
      </c>
      <c r="P181" s="374">
        <f t="shared" si="40"/>
        <v>997</v>
      </c>
      <c r="Q181" s="272">
        <v>228.10000000000002</v>
      </c>
      <c r="R181" s="272">
        <v>187.2</v>
      </c>
      <c r="S181" s="272">
        <v>288</v>
      </c>
      <c r="T181" s="272">
        <v>1474.7</v>
      </c>
      <c r="U181" s="272">
        <v>283.3</v>
      </c>
      <c r="V181" s="272">
        <v>592.1</v>
      </c>
      <c r="W181" s="272">
        <v>556.20000000000005</v>
      </c>
      <c r="X181" s="272">
        <v>969.3</v>
      </c>
      <c r="Y181" s="272">
        <v>4377.6000000000004</v>
      </c>
      <c r="Z181" s="272">
        <v>1673.2</v>
      </c>
      <c r="AA181" s="272">
        <v>115.5</v>
      </c>
      <c r="AB181" s="272">
        <v>700.09999999999991</v>
      </c>
      <c r="AC181" s="272">
        <v>514.79999999999995</v>
      </c>
      <c r="AD181" s="272">
        <v>1719.1000000000001</v>
      </c>
      <c r="AE181" s="272">
        <v>2125.3000000000002</v>
      </c>
      <c r="AF181" s="272">
        <v>1536.2</v>
      </c>
      <c r="AG181" s="272">
        <v>3599.6</v>
      </c>
      <c r="AH181" s="272">
        <v>567.9</v>
      </c>
      <c r="AI181" s="272">
        <v>3156</v>
      </c>
      <c r="AJ181" s="272">
        <v>3503.1</v>
      </c>
      <c r="AK181" s="272">
        <v>13468.400000000001</v>
      </c>
      <c r="AL181" s="272">
        <f t="shared" si="33"/>
        <v>41635.700000000004</v>
      </c>
      <c r="AM181" s="272">
        <f t="shared" si="34"/>
        <v>42632.700000000004</v>
      </c>
      <c r="AN181" s="272">
        <f t="shared" si="35"/>
        <v>-17317.872701000004</v>
      </c>
      <c r="AO181" s="437"/>
      <c r="AQ181" s="958"/>
      <c r="AR181" s="958"/>
    </row>
    <row r="182" spans="1:44" s="1933" customFormat="1" ht="11.45" customHeight="1" x14ac:dyDescent="0.2">
      <c r="A182" s="156" t="s">
        <v>1404</v>
      </c>
      <c r="B182" s="1136" t="s">
        <v>555</v>
      </c>
      <c r="C182" s="355">
        <v>79</v>
      </c>
      <c r="D182" s="216">
        <v>384</v>
      </c>
      <c r="E182" s="355">
        <v>3</v>
      </c>
      <c r="F182" s="216">
        <v>102</v>
      </c>
      <c r="G182" s="355">
        <f>41+291</f>
        <v>332</v>
      </c>
      <c r="H182" s="355">
        <v>15887</v>
      </c>
      <c r="I182" s="355">
        <v>0</v>
      </c>
      <c r="J182" s="355">
        <v>5</v>
      </c>
      <c r="K182" s="355">
        <v>0</v>
      </c>
      <c r="L182" s="355">
        <f t="shared" si="39"/>
        <v>5775.1984008479994</v>
      </c>
      <c r="M182" s="355">
        <f>18499+83.873462*48.504</f>
        <v>22567.198400847999</v>
      </c>
      <c r="N182" s="355">
        <v>54.3</v>
      </c>
      <c r="O182" s="355">
        <v>835.5</v>
      </c>
      <c r="P182" s="355">
        <f t="shared" si="40"/>
        <v>889.8</v>
      </c>
      <c r="Q182" s="216">
        <v>232.6</v>
      </c>
      <c r="R182" s="216">
        <v>169.39999999999998</v>
      </c>
      <c r="S182" s="216">
        <v>667.59999999999991</v>
      </c>
      <c r="T182" s="216">
        <v>1532.2</v>
      </c>
      <c r="U182" s="216">
        <v>200.5</v>
      </c>
      <c r="V182" s="216">
        <v>204.2</v>
      </c>
      <c r="W182" s="216">
        <v>527.1</v>
      </c>
      <c r="X182" s="216">
        <v>497.8</v>
      </c>
      <c r="Y182" s="216">
        <v>5221.1000000000004</v>
      </c>
      <c r="Z182" s="216">
        <v>1415.6</v>
      </c>
      <c r="AA182" s="216">
        <v>90.300000000000011</v>
      </c>
      <c r="AB182" s="216">
        <v>1251.9000000000001</v>
      </c>
      <c r="AC182" s="216">
        <v>443.9</v>
      </c>
      <c r="AD182" s="216">
        <v>1563.6</v>
      </c>
      <c r="AE182" s="216">
        <v>1739</v>
      </c>
      <c r="AF182" s="216">
        <v>1332.4</v>
      </c>
      <c r="AG182" s="216">
        <v>3238.5</v>
      </c>
      <c r="AH182" s="216">
        <v>551.70000000000005</v>
      </c>
      <c r="AI182" s="216">
        <v>2580</v>
      </c>
      <c r="AJ182" s="216">
        <v>2994</v>
      </c>
      <c r="AK182" s="216">
        <v>10070.799999999997</v>
      </c>
      <c r="AL182" s="216">
        <f t="shared" si="33"/>
        <v>36524.200000000004</v>
      </c>
      <c r="AM182" s="216">
        <f t="shared" si="34"/>
        <v>37414.000000000007</v>
      </c>
      <c r="AN182" s="216">
        <f t="shared" si="35"/>
        <v>-14846.801599152008</v>
      </c>
      <c r="AO182" s="437"/>
      <c r="AQ182" s="958"/>
      <c r="AR182" s="958"/>
    </row>
    <row r="183" spans="1:44" s="1933" customFormat="1" ht="11.45" customHeight="1" x14ac:dyDescent="0.2">
      <c r="A183" s="156" t="s">
        <v>1404</v>
      </c>
      <c r="B183" s="482" t="s">
        <v>548</v>
      </c>
      <c r="C183" s="374">
        <v>78</v>
      </c>
      <c r="D183" s="374">
        <v>405</v>
      </c>
      <c r="E183" s="374">
        <v>3</v>
      </c>
      <c r="F183" s="272">
        <v>86</v>
      </c>
      <c r="G183" s="374">
        <v>283</v>
      </c>
      <c r="H183" s="374">
        <v>15793</v>
      </c>
      <c r="I183" s="374">
        <v>0</v>
      </c>
      <c r="J183" s="374">
        <v>1</v>
      </c>
      <c r="K183" s="374">
        <v>0</v>
      </c>
      <c r="L183" s="374">
        <f t="shared" si="39"/>
        <v>6183.7632000000012</v>
      </c>
      <c r="M183" s="374">
        <f>18278+54.288*83.9</f>
        <v>22832.763200000001</v>
      </c>
      <c r="N183" s="374">
        <v>39</v>
      </c>
      <c r="O183" s="374">
        <v>621.80000000000007</v>
      </c>
      <c r="P183" s="374">
        <f t="shared" si="40"/>
        <v>660.80000000000007</v>
      </c>
      <c r="Q183" s="272">
        <v>240.7</v>
      </c>
      <c r="R183" s="272">
        <v>173.1</v>
      </c>
      <c r="S183" s="272">
        <v>141.30000000000001</v>
      </c>
      <c r="T183" s="272">
        <v>903.69999999999993</v>
      </c>
      <c r="U183" s="272">
        <v>155</v>
      </c>
      <c r="V183" s="272">
        <v>836.90000000000009</v>
      </c>
      <c r="W183" s="272">
        <v>444.20000000000005</v>
      </c>
      <c r="X183" s="272">
        <v>0</v>
      </c>
      <c r="Y183" s="272">
        <v>3171.4</v>
      </c>
      <c r="Z183" s="272">
        <v>1476.2</v>
      </c>
      <c r="AA183" s="272">
        <v>85.6</v>
      </c>
      <c r="AB183" s="272">
        <v>1104</v>
      </c>
      <c r="AC183" s="272">
        <v>518.70000000000005</v>
      </c>
      <c r="AD183" s="272">
        <v>1601</v>
      </c>
      <c r="AE183" s="272">
        <v>1806</v>
      </c>
      <c r="AF183" s="272">
        <v>1547.1</v>
      </c>
      <c r="AG183" s="272">
        <v>3413.4</v>
      </c>
      <c r="AH183" s="272">
        <v>594.5</v>
      </c>
      <c r="AI183" s="272">
        <v>2971.1</v>
      </c>
      <c r="AJ183" s="272">
        <v>4317.6000000000004</v>
      </c>
      <c r="AK183" s="272">
        <v>11661.000000000004</v>
      </c>
      <c r="AL183" s="272">
        <f t="shared" ref="AL183:AL201" si="41">SUM(Q183:U183)+SUM(V183:AK183)</f>
        <v>37162.5</v>
      </c>
      <c r="AM183" s="272">
        <f t="shared" ref="AM183:AM201" si="42">P183+AL183</f>
        <v>37823.300000000003</v>
      </c>
      <c r="AN183" s="272">
        <f t="shared" ref="AN183:AN201" si="43">M183-AM183</f>
        <v>-14990.536800000002</v>
      </c>
      <c r="AO183" s="437"/>
      <c r="AQ183" s="958"/>
      <c r="AR183" s="958"/>
    </row>
    <row r="184" spans="1:44" s="1933" customFormat="1" ht="11.45" customHeight="1" x14ac:dyDescent="0.2">
      <c r="A184" s="156" t="s">
        <v>1404</v>
      </c>
      <c r="B184" s="1136" t="s">
        <v>556</v>
      </c>
      <c r="C184" s="355">
        <v>90</v>
      </c>
      <c r="D184" s="355">
        <v>508</v>
      </c>
      <c r="E184" s="355">
        <v>3</v>
      </c>
      <c r="F184" s="216">
        <v>93</v>
      </c>
      <c r="G184" s="355">
        <f>74+322</f>
        <v>396</v>
      </c>
      <c r="H184" s="355">
        <v>19483</v>
      </c>
      <c r="I184" s="355">
        <v>0</v>
      </c>
      <c r="J184" s="355">
        <v>0</v>
      </c>
      <c r="K184" s="355">
        <v>0</v>
      </c>
      <c r="L184" s="355">
        <f t="shared" si="39"/>
        <v>6620.2515182200004</v>
      </c>
      <c r="M184" s="355">
        <f>22605+54.66*83.941667</f>
        <v>27193.25151822</v>
      </c>
      <c r="N184" s="355">
        <v>75.400000000000006</v>
      </c>
      <c r="O184" s="355">
        <v>1044.5999999999999</v>
      </c>
      <c r="P184" s="355">
        <f t="shared" si="40"/>
        <v>1120</v>
      </c>
      <c r="Q184" s="216">
        <v>286.2</v>
      </c>
      <c r="R184" s="216">
        <v>200.8</v>
      </c>
      <c r="S184" s="216">
        <v>459.29999999999995</v>
      </c>
      <c r="T184" s="216">
        <v>1245.2</v>
      </c>
      <c r="U184" s="216">
        <v>311.89999999999998</v>
      </c>
      <c r="V184" s="216">
        <v>643.4</v>
      </c>
      <c r="W184" s="216">
        <v>531.90000000000009</v>
      </c>
      <c r="X184" s="216">
        <v>416.3</v>
      </c>
      <c r="Y184" s="216">
        <v>4239.3999999999996</v>
      </c>
      <c r="Z184" s="216">
        <v>1825.2</v>
      </c>
      <c r="AA184" s="216">
        <v>115.5</v>
      </c>
      <c r="AB184" s="216">
        <v>1809.1</v>
      </c>
      <c r="AC184" s="216">
        <v>530.29999999999995</v>
      </c>
      <c r="AD184" s="216">
        <v>1690.3999999999999</v>
      </c>
      <c r="AE184" s="216">
        <v>2347.6999999999998</v>
      </c>
      <c r="AF184" s="216">
        <v>1651.3000000000002</v>
      </c>
      <c r="AG184" s="216">
        <v>4370.8999999999996</v>
      </c>
      <c r="AH184" s="216">
        <v>614.9</v>
      </c>
      <c r="AI184" s="216">
        <v>3141.3</v>
      </c>
      <c r="AJ184" s="216">
        <v>5289.7999999999993</v>
      </c>
      <c r="AK184" s="216">
        <v>13689.599999999997</v>
      </c>
      <c r="AL184" s="216">
        <f t="shared" si="41"/>
        <v>45410.399999999994</v>
      </c>
      <c r="AM184" s="216">
        <f t="shared" si="42"/>
        <v>46530.399999999994</v>
      </c>
      <c r="AN184" s="216">
        <f t="shared" si="43"/>
        <v>-19337.148481779994</v>
      </c>
      <c r="AO184" s="437"/>
      <c r="AQ184" s="958"/>
      <c r="AR184" s="958"/>
    </row>
    <row r="185" spans="1:44" s="1933" customFormat="1" ht="11.45" customHeight="1" x14ac:dyDescent="0.2">
      <c r="A185" s="156" t="s">
        <v>1404</v>
      </c>
      <c r="B185" s="482" t="s">
        <v>557</v>
      </c>
      <c r="C185" s="374">
        <v>76</v>
      </c>
      <c r="D185" s="374">
        <v>402</v>
      </c>
      <c r="E185" s="374">
        <v>1</v>
      </c>
      <c r="F185" s="272">
        <v>66</v>
      </c>
      <c r="G185" s="374">
        <f>70+213</f>
        <v>283</v>
      </c>
      <c r="H185" s="374">
        <v>16942</v>
      </c>
      <c r="I185" s="374">
        <v>0</v>
      </c>
      <c r="J185" s="374">
        <v>0</v>
      </c>
      <c r="K185" s="374">
        <v>0</v>
      </c>
      <c r="L185" s="374">
        <f t="shared" si="39"/>
        <v>5470.65126513</v>
      </c>
      <c r="M185" s="374">
        <f>19426+45.39*84.041667</f>
        <v>23240.65126513</v>
      </c>
      <c r="N185" s="374">
        <v>74.099999999999994</v>
      </c>
      <c r="O185" s="374">
        <v>800.5</v>
      </c>
      <c r="P185" s="374">
        <f t="shared" si="40"/>
        <v>874.6</v>
      </c>
      <c r="Q185" s="272">
        <v>246.2</v>
      </c>
      <c r="R185" s="272">
        <v>185.3</v>
      </c>
      <c r="S185" s="272">
        <v>368.2</v>
      </c>
      <c r="T185" s="272">
        <v>1006.5</v>
      </c>
      <c r="U185" s="272">
        <v>242.8</v>
      </c>
      <c r="V185" s="272">
        <v>414.9</v>
      </c>
      <c r="W185" s="272">
        <v>426.7</v>
      </c>
      <c r="X185" s="272">
        <v>1094</v>
      </c>
      <c r="Y185" s="272">
        <v>2614.3000000000002</v>
      </c>
      <c r="Z185" s="272">
        <v>1303.6000000000001</v>
      </c>
      <c r="AA185" s="272">
        <v>67.099999999999994</v>
      </c>
      <c r="AB185" s="272">
        <v>1277.3</v>
      </c>
      <c r="AC185" s="272">
        <v>389.8</v>
      </c>
      <c r="AD185" s="272">
        <v>1323.6</v>
      </c>
      <c r="AE185" s="272">
        <v>1727.3</v>
      </c>
      <c r="AF185" s="272">
        <v>1287.8999999999999</v>
      </c>
      <c r="AG185" s="272">
        <v>3352.4</v>
      </c>
      <c r="AH185" s="272">
        <v>441.7</v>
      </c>
      <c r="AI185" s="272">
        <v>2267.5</v>
      </c>
      <c r="AJ185" s="272">
        <v>3615.5</v>
      </c>
      <c r="AK185" s="272">
        <v>10113.5</v>
      </c>
      <c r="AL185" s="272">
        <f t="shared" si="41"/>
        <v>33766.1</v>
      </c>
      <c r="AM185" s="272">
        <f t="shared" si="42"/>
        <v>34640.699999999997</v>
      </c>
      <c r="AN185" s="272">
        <f t="shared" si="43"/>
        <v>-11400.048734869997</v>
      </c>
      <c r="AO185" s="437"/>
      <c r="AQ185" s="958"/>
      <c r="AR185" s="958"/>
    </row>
    <row r="186" spans="1:44" s="1933" customFormat="1" ht="11.45" customHeight="1" x14ac:dyDescent="0.2">
      <c r="A186" s="156" t="s">
        <v>1404</v>
      </c>
      <c r="B186" s="1136" t="s">
        <v>549</v>
      </c>
      <c r="C186" s="355">
        <v>106</v>
      </c>
      <c r="D186" s="355">
        <v>460</v>
      </c>
      <c r="E186" s="355">
        <v>1</v>
      </c>
      <c r="F186" s="216">
        <v>115</v>
      </c>
      <c r="G186" s="355">
        <f>223+65</f>
        <v>288</v>
      </c>
      <c r="H186" s="355">
        <v>19970</v>
      </c>
      <c r="I186" s="355">
        <v>0</v>
      </c>
      <c r="J186" s="355">
        <v>0</v>
      </c>
      <c r="K186" s="355">
        <v>0</v>
      </c>
      <c r="L186" s="355">
        <f t="shared" si="39"/>
        <v>6223.7455947919989</v>
      </c>
      <c r="M186" s="355">
        <f>22760+52.296*84.208077</f>
        <v>27163.745594791999</v>
      </c>
      <c r="N186" s="355">
        <v>74.099999999999994</v>
      </c>
      <c r="O186" s="355">
        <v>942.5</v>
      </c>
      <c r="P186" s="355">
        <f t="shared" si="40"/>
        <v>1016.6</v>
      </c>
      <c r="Q186" s="216">
        <v>249.7</v>
      </c>
      <c r="R186" s="216">
        <v>208</v>
      </c>
      <c r="S186" s="216">
        <v>708.3</v>
      </c>
      <c r="T186" s="216">
        <v>1056</v>
      </c>
      <c r="U186" s="216">
        <v>685.6</v>
      </c>
      <c r="V186" s="216">
        <v>722.2</v>
      </c>
      <c r="W186" s="216">
        <v>711.1</v>
      </c>
      <c r="X186" s="216">
        <v>815.8</v>
      </c>
      <c r="Y186" s="216">
        <v>4032</v>
      </c>
      <c r="Z186" s="216">
        <v>1500.8000000000002</v>
      </c>
      <c r="AA186" s="216">
        <v>120.30000000000001</v>
      </c>
      <c r="AB186" s="216">
        <v>1336.8</v>
      </c>
      <c r="AC186" s="216">
        <v>465.4</v>
      </c>
      <c r="AD186" s="216">
        <v>1760</v>
      </c>
      <c r="AE186" s="216">
        <v>2523.6</v>
      </c>
      <c r="AF186" s="216">
        <v>1469</v>
      </c>
      <c r="AG186" s="216">
        <v>3400.8</v>
      </c>
      <c r="AH186" s="216">
        <v>554.5</v>
      </c>
      <c r="AI186" s="216">
        <v>3335.3</v>
      </c>
      <c r="AJ186" s="216">
        <v>3521.4</v>
      </c>
      <c r="AK186" s="216">
        <v>11533.000000000002</v>
      </c>
      <c r="AL186" s="216">
        <f t="shared" si="41"/>
        <v>40709.599999999999</v>
      </c>
      <c r="AM186" s="216">
        <f t="shared" si="42"/>
        <v>41726.199999999997</v>
      </c>
      <c r="AN186" s="216">
        <f t="shared" si="43"/>
        <v>-14562.454405207998</v>
      </c>
      <c r="AO186" s="437"/>
      <c r="AQ186" s="958"/>
      <c r="AR186" s="958"/>
    </row>
    <row r="187" spans="1:44" s="1933" customFormat="1" ht="11.45" customHeight="1" x14ac:dyDescent="0.2">
      <c r="A187" s="156" t="s">
        <v>1404</v>
      </c>
      <c r="B187" s="482" t="s">
        <v>558</v>
      </c>
      <c r="C187" s="374">
        <v>83</v>
      </c>
      <c r="D187" s="374">
        <v>508</v>
      </c>
      <c r="E187" s="374">
        <v>3</v>
      </c>
      <c r="F187" s="272">
        <v>111</v>
      </c>
      <c r="G187" s="374">
        <f>58+184</f>
        <v>242</v>
      </c>
      <c r="H187" s="374">
        <v>18452</v>
      </c>
      <c r="I187" s="374">
        <v>0</v>
      </c>
      <c r="J187" s="374">
        <v>0</v>
      </c>
      <c r="K187" s="374">
        <v>0</v>
      </c>
      <c r="L187" s="374">
        <f t="shared" si="39"/>
        <v>5800.9034490839986</v>
      </c>
      <c r="M187" s="374">
        <f>21221+47.182*84.330962</f>
        <v>25199.903449083999</v>
      </c>
      <c r="N187" s="374">
        <v>61.4</v>
      </c>
      <c r="O187" s="374">
        <v>988.1</v>
      </c>
      <c r="P187" s="374">
        <f t="shared" si="40"/>
        <v>1049.5</v>
      </c>
      <c r="Q187" s="272">
        <v>182</v>
      </c>
      <c r="R187" s="272">
        <v>286.90000000000003</v>
      </c>
      <c r="S187" s="272">
        <v>454.7</v>
      </c>
      <c r="T187" s="272">
        <v>2219.2999999999997</v>
      </c>
      <c r="U187" s="272">
        <v>507.7</v>
      </c>
      <c r="V187" s="272">
        <v>549.79999999999995</v>
      </c>
      <c r="W187" s="272">
        <v>668.7</v>
      </c>
      <c r="X187" s="272">
        <v>845.8</v>
      </c>
      <c r="Y187" s="272">
        <v>4824.7</v>
      </c>
      <c r="Z187" s="272">
        <v>1725.5</v>
      </c>
      <c r="AA187" s="272">
        <v>88</v>
      </c>
      <c r="AB187" s="272">
        <v>325.89999999999998</v>
      </c>
      <c r="AC187" s="272">
        <v>492.9</v>
      </c>
      <c r="AD187" s="272">
        <v>1817.6</v>
      </c>
      <c r="AE187" s="272">
        <v>2260.8000000000002</v>
      </c>
      <c r="AF187" s="272">
        <v>1464.6</v>
      </c>
      <c r="AG187" s="272">
        <v>3764.6</v>
      </c>
      <c r="AH187" s="272">
        <v>646.4</v>
      </c>
      <c r="AI187" s="272">
        <v>3279.8999999999996</v>
      </c>
      <c r="AJ187" s="272">
        <v>3043.7</v>
      </c>
      <c r="AK187" s="272">
        <v>12373.000000000005</v>
      </c>
      <c r="AL187" s="272">
        <f t="shared" si="41"/>
        <v>41822.500000000007</v>
      </c>
      <c r="AM187" s="272">
        <f t="shared" si="42"/>
        <v>42872.000000000007</v>
      </c>
      <c r="AN187" s="272">
        <f t="shared" si="43"/>
        <v>-17672.096550916009</v>
      </c>
      <c r="AO187" s="437"/>
      <c r="AQ187" s="958"/>
      <c r="AR187" s="958"/>
    </row>
    <row r="188" spans="1:44" s="1933" customFormat="1" ht="11.45" customHeight="1" x14ac:dyDescent="0.2">
      <c r="A188" s="156" t="s">
        <v>1404</v>
      </c>
      <c r="B188" s="1136" t="s">
        <v>559</v>
      </c>
      <c r="C188" s="355">
        <v>54</v>
      </c>
      <c r="D188" s="355">
        <v>544</v>
      </c>
      <c r="E188" s="355">
        <v>2</v>
      </c>
      <c r="F188" s="216">
        <v>87</v>
      </c>
      <c r="G188" s="355">
        <f>57+176</f>
        <v>233</v>
      </c>
      <c r="H188" s="355">
        <v>18393</v>
      </c>
      <c r="I188" s="355">
        <v>0</v>
      </c>
      <c r="J188" s="355">
        <v>3</v>
      </c>
      <c r="K188" s="355">
        <v>0</v>
      </c>
      <c r="L188" s="355">
        <f t="shared" si="39"/>
        <v>7572.0323279000004</v>
      </c>
      <c r="M188" s="355">
        <f>21339+65.675*84.492308</f>
        <v>26888.0323279</v>
      </c>
      <c r="N188" s="355">
        <v>54.800000000000004</v>
      </c>
      <c r="O188" s="355">
        <v>715.59999999999991</v>
      </c>
      <c r="P188" s="355">
        <f t="shared" si="40"/>
        <v>770.39999999999986</v>
      </c>
      <c r="Q188" s="216">
        <v>323.20000000000005</v>
      </c>
      <c r="R188" s="216">
        <v>279</v>
      </c>
      <c r="S188" s="216">
        <v>820.1</v>
      </c>
      <c r="T188" s="216">
        <v>1204.9000000000001</v>
      </c>
      <c r="U188" s="216">
        <v>343.8</v>
      </c>
      <c r="V188" s="216">
        <v>220.2</v>
      </c>
      <c r="W188" s="216">
        <v>574.20000000000005</v>
      </c>
      <c r="X188" s="216">
        <v>0</v>
      </c>
      <c r="Y188" s="216">
        <v>5097.8999999999996</v>
      </c>
      <c r="Z188" s="216">
        <v>1719</v>
      </c>
      <c r="AA188" s="216">
        <v>108.19999999999999</v>
      </c>
      <c r="AB188" s="216">
        <v>253.60000000000002</v>
      </c>
      <c r="AC188" s="216">
        <v>580.5</v>
      </c>
      <c r="AD188" s="216">
        <v>1967.4</v>
      </c>
      <c r="AE188" s="216">
        <v>1770.2</v>
      </c>
      <c r="AF188" s="216">
        <v>1458.9</v>
      </c>
      <c r="AG188" s="216">
        <v>3577.7</v>
      </c>
      <c r="AH188" s="216">
        <v>655.7</v>
      </c>
      <c r="AI188" s="216">
        <v>4290.1000000000004</v>
      </c>
      <c r="AJ188" s="216">
        <v>3570.1000000000004</v>
      </c>
      <c r="AK188" s="216">
        <v>12507.200000000003</v>
      </c>
      <c r="AL188" s="216">
        <f t="shared" si="41"/>
        <v>41321.9</v>
      </c>
      <c r="AM188" s="216">
        <f t="shared" si="42"/>
        <v>42092.3</v>
      </c>
      <c r="AN188" s="216">
        <f t="shared" si="43"/>
        <v>-15204.267672100003</v>
      </c>
      <c r="AO188" s="437"/>
      <c r="AQ188" s="958"/>
      <c r="AR188" s="958"/>
    </row>
    <row r="189" spans="1:44" s="1933" customFormat="1" ht="11.45" customHeight="1" x14ac:dyDescent="0.2">
      <c r="A189" s="156" t="s">
        <v>1404</v>
      </c>
      <c r="B189" s="482" t="s">
        <v>550</v>
      </c>
      <c r="C189" s="374">
        <v>40</v>
      </c>
      <c r="D189" s="374">
        <v>439</v>
      </c>
      <c r="E189" s="374">
        <v>2</v>
      </c>
      <c r="F189" s="272">
        <v>83</v>
      </c>
      <c r="G189" s="374">
        <f>45+163</f>
        <v>208</v>
      </c>
      <c r="H189" s="374">
        <v>17131</v>
      </c>
      <c r="I189" s="374">
        <v>82</v>
      </c>
      <c r="J189" s="374">
        <v>0</v>
      </c>
      <c r="K189" s="374">
        <v>0</v>
      </c>
      <c r="L189" s="374">
        <f t="shared" si="39"/>
        <v>5416.4385000000002</v>
      </c>
      <c r="M189" s="374">
        <f>19875+41.733*84.5</f>
        <v>23401.4385</v>
      </c>
      <c r="N189" s="374">
        <v>27.2</v>
      </c>
      <c r="O189" s="374">
        <v>610.90000000000009</v>
      </c>
      <c r="P189" s="374">
        <f t="shared" si="40"/>
        <v>638.10000000000014</v>
      </c>
      <c r="Q189" s="272">
        <v>239.2</v>
      </c>
      <c r="R189" s="272">
        <v>212.2</v>
      </c>
      <c r="S189" s="272">
        <v>495.7</v>
      </c>
      <c r="T189" s="272">
        <v>518.90000000000009</v>
      </c>
      <c r="U189" s="272">
        <v>222.3</v>
      </c>
      <c r="V189" s="272">
        <v>361.7</v>
      </c>
      <c r="W189" s="272">
        <v>473.2</v>
      </c>
      <c r="X189" s="272">
        <v>1307.5</v>
      </c>
      <c r="Y189" s="272">
        <v>4404</v>
      </c>
      <c r="Z189" s="272">
        <v>1341.9</v>
      </c>
      <c r="AA189" s="272">
        <v>110.8</v>
      </c>
      <c r="AB189" s="272">
        <v>202.9</v>
      </c>
      <c r="AC189" s="272">
        <v>449.2</v>
      </c>
      <c r="AD189" s="272">
        <v>1650.0944000000002</v>
      </c>
      <c r="AE189" s="272">
        <v>1940.6</v>
      </c>
      <c r="AF189" s="272">
        <v>1192.3</v>
      </c>
      <c r="AG189" s="272">
        <v>2685.9</v>
      </c>
      <c r="AH189" s="272">
        <v>492.9</v>
      </c>
      <c r="AI189" s="272">
        <v>3086.7999999999997</v>
      </c>
      <c r="AJ189" s="272">
        <v>2863.7999999999997</v>
      </c>
      <c r="AK189" s="272">
        <v>9194.3056000000015</v>
      </c>
      <c r="AL189" s="272">
        <f t="shared" si="41"/>
        <v>33446.200000000004</v>
      </c>
      <c r="AM189" s="272">
        <f t="shared" si="42"/>
        <v>34084.300000000003</v>
      </c>
      <c r="AN189" s="272">
        <f t="shared" si="43"/>
        <v>-10682.861500000003</v>
      </c>
      <c r="AO189" s="437"/>
      <c r="AQ189" s="958"/>
      <c r="AR189" s="958"/>
    </row>
    <row r="190" spans="1:44" s="1696" customFormat="1" ht="11.45" customHeight="1" x14ac:dyDescent="0.2">
      <c r="A190" s="156" t="s">
        <v>1484</v>
      </c>
      <c r="B190" s="1136" t="s">
        <v>552</v>
      </c>
      <c r="C190" s="374">
        <v>49</v>
      </c>
      <c r="D190" s="374">
        <v>455</v>
      </c>
      <c r="E190" s="374">
        <v>0</v>
      </c>
      <c r="F190" s="374">
        <v>73</v>
      </c>
      <c r="G190" s="374">
        <f>54+196</f>
        <v>250</v>
      </c>
      <c r="H190" s="374">
        <v>19862</v>
      </c>
      <c r="I190" s="374">
        <v>0</v>
      </c>
      <c r="J190" s="374">
        <v>0</v>
      </c>
      <c r="K190" s="374">
        <v>0</v>
      </c>
      <c r="L190" s="374">
        <f t="shared" si="39"/>
        <v>7293.242663099998</v>
      </c>
      <c r="M190" s="374">
        <f>22881+60.37*84.49963</f>
        <v>27982.242663099998</v>
      </c>
      <c r="N190" s="374">
        <v>22.5</v>
      </c>
      <c r="O190" s="374">
        <v>789.7</v>
      </c>
      <c r="P190" s="374">
        <f t="shared" si="40"/>
        <v>812.2</v>
      </c>
      <c r="Q190" s="272">
        <v>196.3</v>
      </c>
      <c r="R190" s="272">
        <v>309.5</v>
      </c>
      <c r="S190" s="272">
        <v>451.29999999999995</v>
      </c>
      <c r="T190" s="272">
        <v>622.9</v>
      </c>
      <c r="U190" s="272">
        <v>534.70000000000005</v>
      </c>
      <c r="V190" s="272">
        <v>382</v>
      </c>
      <c r="W190" s="272">
        <v>534</v>
      </c>
      <c r="X190" s="272">
        <v>0</v>
      </c>
      <c r="Y190" s="272">
        <v>4149</v>
      </c>
      <c r="Z190" s="272">
        <v>1840</v>
      </c>
      <c r="AA190" s="272">
        <v>115.3</v>
      </c>
      <c r="AB190" s="272">
        <v>261.8</v>
      </c>
      <c r="AC190" s="272">
        <v>518.9</v>
      </c>
      <c r="AD190" s="272">
        <v>1961.9</v>
      </c>
      <c r="AE190" s="272">
        <v>2088.6</v>
      </c>
      <c r="AF190" s="272">
        <v>1460.3</v>
      </c>
      <c r="AG190" s="272">
        <v>3514.6</v>
      </c>
      <c r="AH190" s="272">
        <v>614.6</v>
      </c>
      <c r="AI190" s="272">
        <v>3618.9</v>
      </c>
      <c r="AJ190" s="272">
        <v>3941.1000000000004</v>
      </c>
      <c r="AK190" s="272">
        <v>10367.900000000001</v>
      </c>
      <c r="AL190" s="272">
        <f t="shared" si="41"/>
        <v>37483.599999999999</v>
      </c>
      <c r="AM190" s="272">
        <f t="shared" si="42"/>
        <v>38295.799999999996</v>
      </c>
      <c r="AN190" s="272">
        <f t="shared" si="43"/>
        <v>-10313.557336899998</v>
      </c>
      <c r="AO190" s="437"/>
      <c r="AQ190" s="958"/>
      <c r="AR190" s="958"/>
    </row>
    <row r="191" spans="1:44" s="1696" customFormat="1" ht="11.45" customHeight="1" x14ac:dyDescent="0.2">
      <c r="A191" s="156" t="s">
        <v>1484</v>
      </c>
      <c r="B191" s="482" t="s">
        <v>112</v>
      </c>
      <c r="C191" s="355">
        <v>49</v>
      </c>
      <c r="D191" s="355">
        <v>445</v>
      </c>
      <c r="E191" s="355">
        <v>1</v>
      </c>
      <c r="F191" s="355">
        <v>66</v>
      </c>
      <c r="G191" s="355">
        <f>41+220</f>
        <v>261</v>
      </c>
      <c r="H191" s="355">
        <v>16539</v>
      </c>
      <c r="I191" s="355">
        <v>0</v>
      </c>
      <c r="J191" s="355">
        <v>0</v>
      </c>
      <c r="K191" s="355">
        <v>0</v>
      </c>
      <c r="L191" s="355">
        <f t="shared" si="39"/>
        <v>4931.4049999999988</v>
      </c>
      <c r="M191" s="355">
        <f>19209+36.49*84.5</f>
        <v>22292.404999999999</v>
      </c>
      <c r="N191" s="355">
        <v>2.2000000000000002</v>
      </c>
      <c r="O191" s="355">
        <v>676.1</v>
      </c>
      <c r="P191" s="1956">
        <f t="shared" si="40"/>
        <v>678.30000000000007</v>
      </c>
      <c r="Q191" s="216">
        <v>204.89999999999998</v>
      </c>
      <c r="R191" s="216">
        <v>247.1</v>
      </c>
      <c r="S191" s="216">
        <v>645.40000000000009</v>
      </c>
      <c r="T191" s="216">
        <v>877.5</v>
      </c>
      <c r="U191" s="216">
        <v>191.10000000000002</v>
      </c>
      <c r="V191" s="216">
        <v>281.29999999999995</v>
      </c>
      <c r="W191" s="216">
        <v>365.4</v>
      </c>
      <c r="X191" s="216">
        <v>389.5</v>
      </c>
      <c r="Y191" s="216">
        <v>3882.3</v>
      </c>
      <c r="Z191" s="216">
        <v>1381.7</v>
      </c>
      <c r="AA191" s="216">
        <v>82</v>
      </c>
      <c r="AB191" s="216">
        <v>661.4</v>
      </c>
      <c r="AC191" s="216">
        <v>450</v>
      </c>
      <c r="AD191" s="216">
        <v>1620.6</v>
      </c>
      <c r="AE191" s="216">
        <v>1939.6</v>
      </c>
      <c r="AF191" s="216">
        <v>1229.5</v>
      </c>
      <c r="AG191" s="216">
        <v>2931</v>
      </c>
      <c r="AH191" s="216">
        <v>508.5</v>
      </c>
      <c r="AI191" s="216">
        <v>2820.7</v>
      </c>
      <c r="AJ191" s="216">
        <v>2570.6999999999998</v>
      </c>
      <c r="AK191" s="216">
        <v>8872</v>
      </c>
      <c r="AL191" s="216">
        <f t="shared" si="41"/>
        <v>32152.2</v>
      </c>
      <c r="AM191" s="216">
        <f t="shared" si="42"/>
        <v>32830.5</v>
      </c>
      <c r="AN191" s="216">
        <f t="shared" si="43"/>
        <v>-10538.095000000001</v>
      </c>
      <c r="AO191" s="437"/>
      <c r="AQ191" s="958"/>
      <c r="AR191" s="958"/>
    </row>
    <row r="192" spans="1:44" s="1710" customFormat="1" ht="11.45" customHeight="1" x14ac:dyDescent="0.2">
      <c r="A192" s="156" t="s">
        <v>1484</v>
      </c>
      <c r="B192" s="1136" t="s">
        <v>547</v>
      </c>
      <c r="C192" s="374">
        <v>99</v>
      </c>
      <c r="D192" s="374">
        <v>563</v>
      </c>
      <c r="E192" s="374">
        <v>1</v>
      </c>
      <c r="F192" s="374">
        <v>71</v>
      </c>
      <c r="G192" s="374">
        <f>54+288</f>
        <v>342</v>
      </c>
      <c r="H192" s="374">
        <v>18866</v>
      </c>
      <c r="I192" s="374">
        <v>0</v>
      </c>
      <c r="J192" s="374">
        <v>0</v>
      </c>
      <c r="K192" s="374">
        <v>0</v>
      </c>
      <c r="L192" s="374">
        <f t="shared" si="39"/>
        <v>6078.1699999999983</v>
      </c>
      <c r="M192" s="374">
        <f>22145+45.86*84.5</f>
        <v>26020.17</v>
      </c>
      <c r="N192" s="374">
        <v>5.2</v>
      </c>
      <c r="O192" s="374">
        <v>660</v>
      </c>
      <c r="P192" s="374">
        <f t="shared" si="40"/>
        <v>665.2</v>
      </c>
      <c r="Q192" s="272">
        <v>213.3</v>
      </c>
      <c r="R192" s="272">
        <v>198.2</v>
      </c>
      <c r="S192" s="272">
        <v>257.60000000000002</v>
      </c>
      <c r="T192" s="272">
        <v>581.20000000000005</v>
      </c>
      <c r="U192" s="272">
        <v>200.6</v>
      </c>
      <c r="V192" s="272">
        <v>274.39999999999998</v>
      </c>
      <c r="W192" s="272">
        <v>512</v>
      </c>
      <c r="X192" s="272">
        <v>381.6</v>
      </c>
      <c r="Y192" s="272">
        <v>4156.5999999999995</v>
      </c>
      <c r="Z192" s="272">
        <v>1808</v>
      </c>
      <c r="AA192" s="272">
        <v>146.4</v>
      </c>
      <c r="AB192" s="272">
        <v>534.6</v>
      </c>
      <c r="AC192" s="272">
        <v>489.9</v>
      </c>
      <c r="AD192" s="272">
        <v>1797.6</v>
      </c>
      <c r="AE192" s="272">
        <v>2234.1</v>
      </c>
      <c r="AF192" s="272">
        <v>1271.1999999999998</v>
      </c>
      <c r="AG192" s="272">
        <v>3398.8999999999996</v>
      </c>
      <c r="AH192" s="272">
        <v>547.6</v>
      </c>
      <c r="AI192" s="272">
        <v>3005.1</v>
      </c>
      <c r="AJ192" s="272">
        <v>2989.2</v>
      </c>
      <c r="AK192" s="272">
        <v>10018.500000000004</v>
      </c>
      <c r="AL192" s="272">
        <f t="shared" si="41"/>
        <v>35016.600000000006</v>
      </c>
      <c r="AM192" s="272">
        <f t="shared" si="42"/>
        <v>35681.800000000003</v>
      </c>
      <c r="AN192" s="272">
        <f t="shared" si="43"/>
        <v>-9661.6300000000047</v>
      </c>
      <c r="AO192" s="437"/>
      <c r="AQ192" s="958"/>
      <c r="AR192" s="958"/>
    </row>
    <row r="193" spans="1:44" s="1710" customFormat="1" ht="11.45" customHeight="1" x14ac:dyDescent="0.2">
      <c r="A193" s="156" t="s">
        <v>1484</v>
      </c>
      <c r="B193" s="482" t="s">
        <v>554</v>
      </c>
      <c r="C193" s="355">
        <v>112</v>
      </c>
      <c r="D193" s="355">
        <v>622</v>
      </c>
      <c r="E193" s="355">
        <v>2</v>
      </c>
      <c r="F193" s="355">
        <v>75</v>
      </c>
      <c r="G193" s="355">
        <f>62+295</f>
        <v>357</v>
      </c>
      <c r="H193" s="355">
        <v>18627</v>
      </c>
      <c r="I193" s="355">
        <v>0</v>
      </c>
      <c r="J193" s="355">
        <v>0</v>
      </c>
      <c r="K193" s="355">
        <v>0</v>
      </c>
      <c r="L193" s="355">
        <f t="shared" si="39"/>
        <v>5802.849934580001</v>
      </c>
      <c r="M193" s="355">
        <f>21765+45.268*84.670185</f>
        <v>25597.849934580001</v>
      </c>
      <c r="N193" s="355">
        <v>13.7</v>
      </c>
      <c r="O193" s="355">
        <v>1717.9648999999999</v>
      </c>
      <c r="P193" s="355">
        <f t="shared" si="40"/>
        <v>1731.6649</v>
      </c>
      <c r="Q193" s="216">
        <v>341.70029999999997</v>
      </c>
      <c r="R193" s="216">
        <v>195.6045</v>
      </c>
      <c r="S193" s="216">
        <v>707.93889999999999</v>
      </c>
      <c r="T193" s="216">
        <v>982.44079999999997</v>
      </c>
      <c r="U193" s="216">
        <v>179.46770000000001</v>
      </c>
      <c r="V193" s="216">
        <v>404.09800000000001</v>
      </c>
      <c r="W193" s="216">
        <v>581.72670000000005</v>
      </c>
      <c r="X193" s="216">
        <v>407.4</v>
      </c>
      <c r="Y193" s="216">
        <v>4838.9958999999999</v>
      </c>
      <c r="Z193" s="216">
        <v>1701.6714999999999</v>
      </c>
      <c r="AA193" s="216">
        <v>139.4025</v>
      </c>
      <c r="AB193" s="216">
        <v>1100.1325000000002</v>
      </c>
      <c r="AC193" s="216">
        <v>512.11919999999998</v>
      </c>
      <c r="AD193" s="216">
        <v>1849.9455</v>
      </c>
      <c r="AE193" s="216">
        <v>1704.9942000000001</v>
      </c>
      <c r="AF193" s="216">
        <v>1288.8682000000001</v>
      </c>
      <c r="AG193" s="216">
        <v>3199.8670000000002</v>
      </c>
      <c r="AH193" s="216">
        <v>550.74749999999995</v>
      </c>
      <c r="AI193" s="216">
        <v>3570.1766000000002</v>
      </c>
      <c r="AJ193" s="216">
        <v>3923.6674000000003</v>
      </c>
      <c r="AK193" s="216">
        <v>12677.6584</v>
      </c>
      <c r="AL193" s="216">
        <f t="shared" si="41"/>
        <v>40858.623299999999</v>
      </c>
      <c r="AM193" s="216">
        <f t="shared" si="42"/>
        <v>42590.288200000003</v>
      </c>
      <c r="AN193" s="216">
        <f t="shared" si="43"/>
        <v>-16992.438265420002</v>
      </c>
      <c r="AO193" s="437"/>
      <c r="AQ193" s="958"/>
      <c r="AR193" s="958"/>
    </row>
    <row r="194" spans="1:44" s="1710" customFormat="1" ht="11.45" customHeight="1" x14ac:dyDescent="0.2">
      <c r="A194" s="156" t="s">
        <v>1484</v>
      </c>
      <c r="B194" s="1136" t="s">
        <v>555</v>
      </c>
      <c r="C194" s="374">
        <v>137</v>
      </c>
      <c r="D194" s="374">
        <v>570</v>
      </c>
      <c r="E194" s="374">
        <v>3</v>
      </c>
      <c r="F194" s="374">
        <v>80</v>
      </c>
      <c r="G194" s="374">
        <f>63+242</f>
        <v>305</v>
      </c>
      <c r="H194" s="374">
        <v>16346</v>
      </c>
      <c r="I194" s="374">
        <v>0</v>
      </c>
      <c r="J194" s="374">
        <v>0</v>
      </c>
      <c r="K194" s="374">
        <v>0</v>
      </c>
      <c r="L194" s="374">
        <f t="shared" si="39"/>
        <v>5835.3524419999994</v>
      </c>
      <c r="M194" s="374">
        <f>19166+48.482*84.781</f>
        <v>23276.352441999999</v>
      </c>
      <c r="N194" s="374">
        <v>20.8476</v>
      </c>
      <c r="O194" s="374">
        <v>907.82039999999995</v>
      </c>
      <c r="P194" s="374">
        <f t="shared" si="40"/>
        <v>928.66799999999989</v>
      </c>
      <c r="Q194" s="272">
        <v>268.36270000000002</v>
      </c>
      <c r="R194" s="272">
        <v>192.60040000000001</v>
      </c>
      <c r="S194" s="272">
        <v>431.43240000000003</v>
      </c>
      <c r="T194" s="272">
        <v>842.09019999999998</v>
      </c>
      <c r="U194" s="272">
        <v>305.512</v>
      </c>
      <c r="V194" s="272">
        <v>795.39690000000007</v>
      </c>
      <c r="W194" s="272">
        <v>374.63720000000001</v>
      </c>
      <c r="X194" s="272">
        <v>388.1</v>
      </c>
      <c r="Y194" s="272">
        <v>3467.9028000000003</v>
      </c>
      <c r="Z194" s="272">
        <v>1588.0738999999999</v>
      </c>
      <c r="AA194" s="272">
        <v>96.826300000000003</v>
      </c>
      <c r="AB194" s="272">
        <v>881.62519999999995</v>
      </c>
      <c r="AC194" s="272">
        <v>435.7364</v>
      </c>
      <c r="AD194" s="272">
        <v>1640.6179999999999</v>
      </c>
      <c r="AE194" s="272">
        <v>1404.6559999999999</v>
      </c>
      <c r="AF194" s="272">
        <v>1085.2395000000001</v>
      </c>
      <c r="AG194" s="272">
        <v>2926.3954999999996</v>
      </c>
      <c r="AH194" s="272">
        <v>419.55200000000002</v>
      </c>
      <c r="AI194" s="272">
        <v>3006.5102999999999</v>
      </c>
      <c r="AJ194" s="272">
        <v>2152.6064999999999</v>
      </c>
      <c r="AK194" s="272">
        <v>10165.311099999999</v>
      </c>
      <c r="AL194" s="272">
        <f t="shared" si="41"/>
        <v>32869.185299999997</v>
      </c>
      <c r="AM194" s="272">
        <f t="shared" si="42"/>
        <v>33797.853299999995</v>
      </c>
      <c r="AN194" s="272">
        <f t="shared" si="43"/>
        <v>-10521.500857999996</v>
      </c>
      <c r="AO194" s="437"/>
      <c r="AQ194" s="958"/>
      <c r="AR194" s="958"/>
    </row>
    <row r="195" spans="1:44" s="1710" customFormat="1" ht="11.45" customHeight="1" x14ac:dyDescent="0.2">
      <c r="A195" s="156" t="s">
        <v>1484</v>
      </c>
      <c r="B195" s="482" t="s">
        <v>548</v>
      </c>
      <c r="C195" s="216">
        <v>130</v>
      </c>
      <c r="D195" s="355">
        <v>624</v>
      </c>
      <c r="E195" s="355">
        <v>1</v>
      </c>
      <c r="F195" s="355">
        <v>96</v>
      </c>
      <c r="G195" s="355">
        <f>112+301</f>
        <v>413</v>
      </c>
      <c r="H195" s="355">
        <v>17080</v>
      </c>
      <c r="I195" s="355">
        <v>0</v>
      </c>
      <c r="J195" s="355">
        <v>0</v>
      </c>
      <c r="K195" s="355">
        <v>0</v>
      </c>
      <c r="L195" s="355">
        <f t="shared" si="39"/>
        <v>6729.7634479999979</v>
      </c>
      <c r="M195" s="355">
        <f>20322+55.97*84.8984</f>
        <v>25073.763447999998</v>
      </c>
      <c r="N195" s="355">
        <v>29.106300000000001</v>
      </c>
      <c r="O195" s="355">
        <v>1511.5315000000001</v>
      </c>
      <c r="P195" s="355">
        <f t="shared" si="40"/>
        <v>1540.6378</v>
      </c>
      <c r="Q195" s="216">
        <v>236.08330000000001</v>
      </c>
      <c r="R195" s="216">
        <v>189.44720000000001</v>
      </c>
      <c r="S195" s="216">
        <v>545.41779999999994</v>
      </c>
      <c r="T195" s="216">
        <v>1135.6775</v>
      </c>
      <c r="U195" s="216">
        <v>375.83769999999998</v>
      </c>
      <c r="V195" s="216">
        <v>388.77080000000001</v>
      </c>
      <c r="W195" s="216">
        <v>512.39099999999996</v>
      </c>
      <c r="X195" s="216">
        <v>0</v>
      </c>
      <c r="Y195" s="216">
        <v>2626.9901999999997</v>
      </c>
      <c r="Z195" s="216">
        <v>1813.2124000000001</v>
      </c>
      <c r="AA195" s="216">
        <v>129.84789999999998</v>
      </c>
      <c r="AB195" s="216">
        <v>1483.1792</v>
      </c>
      <c r="AC195" s="216">
        <v>494.2088</v>
      </c>
      <c r="AD195" s="216">
        <v>1687.0641000000001</v>
      </c>
      <c r="AE195" s="216">
        <v>2086.1819999999998</v>
      </c>
      <c r="AF195" s="216">
        <v>1283.9189000000001</v>
      </c>
      <c r="AG195" s="216">
        <v>3545.1907000000001</v>
      </c>
      <c r="AH195" s="216">
        <v>587.56190000000004</v>
      </c>
      <c r="AI195" s="216">
        <v>3086.4665</v>
      </c>
      <c r="AJ195" s="216">
        <v>3125.9609</v>
      </c>
      <c r="AK195" s="216">
        <v>12578.2</v>
      </c>
      <c r="AL195" s="216">
        <f t="shared" si="41"/>
        <v>37911.608800000002</v>
      </c>
      <c r="AM195" s="216">
        <f t="shared" si="42"/>
        <v>39452.246599999999</v>
      </c>
      <c r="AN195" s="216">
        <f t="shared" si="43"/>
        <v>-14378.483152000001</v>
      </c>
      <c r="AO195" s="437"/>
      <c r="AQ195" s="958"/>
      <c r="AR195" s="958"/>
    </row>
    <row r="196" spans="1:44" s="1710" customFormat="1" ht="11.45" customHeight="1" x14ac:dyDescent="0.2">
      <c r="A196" s="156" t="s">
        <v>1484</v>
      </c>
      <c r="B196" s="1136" t="s">
        <v>556</v>
      </c>
      <c r="C196" s="272">
        <v>125</v>
      </c>
      <c r="D196" s="374">
        <v>611</v>
      </c>
      <c r="E196" s="374">
        <v>2</v>
      </c>
      <c r="F196" s="374">
        <v>70</v>
      </c>
      <c r="G196" s="374">
        <f>84+301</f>
        <v>385</v>
      </c>
      <c r="H196" s="374">
        <v>18704</v>
      </c>
      <c r="I196" s="374">
        <v>0</v>
      </c>
      <c r="J196" s="374">
        <v>0</v>
      </c>
      <c r="K196" s="374">
        <v>0</v>
      </c>
      <c r="L196" s="374">
        <f t="shared" si="39"/>
        <v>6541.0443999999989</v>
      </c>
      <c r="M196" s="374">
        <f>22010+52.156*84.9</f>
        <v>26438.044399999999</v>
      </c>
      <c r="N196" s="374">
        <v>6.6</v>
      </c>
      <c r="O196" s="374">
        <v>1269.9814000000001</v>
      </c>
      <c r="P196" s="374">
        <f t="shared" si="40"/>
        <v>1276.5814</v>
      </c>
      <c r="Q196" s="272">
        <v>278.2217</v>
      </c>
      <c r="R196" s="272">
        <v>245.03029999999998</v>
      </c>
      <c r="S196" s="272">
        <v>1492.6089999999999</v>
      </c>
      <c r="T196" s="272">
        <v>1109.3696</v>
      </c>
      <c r="U196" s="272">
        <v>348.7115</v>
      </c>
      <c r="V196" s="272">
        <v>293.83109999999999</v>
      </c>
      <c r="W196" s="272">
        <v>540.30129999999997</v>
      </c>
      <c r="X196" s="272">
        <v>0</v>
      </c>
      <c r="Y196" s="272">
        <v>2658.4202999999998</v>
      </c>
      <c r="Z196" s="272">
        <v>1627.1156000000001</v>
      </c>
      <c r="AA196" s="272">
        <v>109.919</v>
      </c>
      <c r="AB196" s="272">
        <v>1335.6433</v>
      </c>
      <c r="AC196" s="272">
        <v>567.79660000000001</v>
      </c>
      <c r="AD196" s="272">
        <v>1828.6329000000001</v>
      </c>
      <c r="AE196" s="272">
        <v>2445.7340999999997</v>
      </c>
      <c r="AF196" s="272">
        <v>1325.0041000000001</v>
      </c>
      <c r="AG196" s="272">
        <v>3977.8616999999999</v>
      </c>
      <c r="AH196" s="272">
        <v>607.86630000000002</v>
      </c>
      <c r="AI196" s="272">
        <v>2619.9103</v>
      </c>
      <c r="AJ196" s="272">
        <v>2787.5757000000003</v>
      </c>
      <c r="AK196" s="272">
        <v>12528.581400000003</v>
      </c>
      <c r="AL196" s="272">
        <f t="shared" si="41"/>
        <v>38728.135800000004</v>
      </c>
      <c r="AM196" s="272">
        <f t="shared" si="42"/>
        <v>40004.717200000006</v>
      </c>
      <c r="AN196" s="272">
        <f t="shared" si="43"/>
        <v>-13566.672800000008</v>
      </c>
      <c r="AO196" s="437"/>
      <c r="AQ196" s="958"/>
      <c r="AR196" s="958"/>
    </row>
    <row r="197" spans="1:44" s="1710" customFormat="1" ht="11.45" customHeight="1" x14ac:dyDescent="0.2">
      <c r="A197" s="156" t="s">
        <v>1484</v>
      </c>
      <c r="B197" s="482" t="s">
        <v>557</v>
      </c>
      <c r="C197" s="216">
        <v>115</v>
      </c>
      <c r="D197" s="355">
        <v>597</v>
      </c>
      <c r="E197" s="355">
        <v>3</v>
      </c>
      <c r="F197" s="355">
        <v>58</v>
      </c>
      <c r="G197" s="355">
        <v>319</v>
      </c>
      <c r="H197" s="355">
        <v>18855</v>
      </c>
      <c r="I197" s="355">
        <v>0</v>
      </c>
      <c r="J197" s="355">
        <v>0</v>
      </c>
      <c r="K197" s="355">
        <v>0</v>
      </c>
      <c r="L197" s="355">
        <f t="shared" si="39"/>
        <v>6253.2304499999991</v>
      </c>
      <c r="M197" s="355">
        <f>21945+50.091*84.95</f>
        <v>26200.230449999999</v>
      </c>
      <c r="N197" s="355">
        <v>7</v>
      </c>
      <c r="O197" s="355">
        <v>1820</v>
      </c>
      <c r="P197" s="355">
        <f t="shared" si="40"/>
        <v>1827</v>
      </c>
      <c r="Q197" s="216">
        <v>260</v>
      </c>
      <c r="R197" s="216">
        <v>266</v>
      </c>
      <c r="S197" s="216">
        <v>737</v>
      </c>
      <c r="T197" s="216">
        <v>1349</v>
      </c>
      <c r="U197" s="216">
        <v>336</v>
      </c>
      <c r="V197" s="216">
        <v>623</v>
      </c>
      <c r="W197" s="216">
        <v>536</v>
      </c>
      <c r="X197" s="216">
        <v>427</v>
      </c>
      <c r="Y197" s="216">
        <v>5756</v>
      </c>
      <c r="Z197" s="216">
        <v>1291</v>
      </c>
      <c r="AA197" s="216">
        <v>72</v>
      </c>
      <c r="AB197" s="216">
        <v>649</v>
      </c>
      <c r="AC197" s="216">
        <v>441</v>
      </c>
      <c r="AD197" s="216">
        <v>1511</v>
      </c>
      <c r="AE197" s="216">
        <v>2544</v>
      </c>
      <c r="AF197" s="216">
        <v>1226</v>
      </c>
      <c r="AG197" s="216">
        <v>3128</v>
      </c>
      <c r="AH197" s="216">
        <v>514</v>
      </c>
      <c r="AI197" s="216">
        <v>2320</v>
      </c>
      <c r="AJ197" s="216">
        <v>2463</v>
      </c>
      <c r="AK197" s="216">
        <v>9261</v>
      </c>
      <c r="AL197" s="216">
        <f t="shared" si="41"/>
        <v>35710</v>
      </c>
      <c r="AM197" s="216">
        <f t="shared" si="42"/>
        <v>37537</v>
      </c>
      <c r="AN197" s="216">
        <f t="shared" si="43"/>
        <v>-11336.769550000001</v>
      </c>
      <c r="AO197" s="437"/>
      <c r="AQ197" s="958"/>
      <c r="AR197" s="958"/>
    </row>
    <row r="198" spans="1:44" s="1710" customFormat="1" ht="11.45" customHeight="1" x14ac:dyDescent="0.2">
      <c r="A198" s="156" t="s">
        <v>1484</v>
      </c>
      <c r="B198" s="1136" t="s">
        <v>549</v>
      </c>
      <c r="C198" s="272">
        <v>94</v>
      </c>
      <c r="D198" s="374">
        <v>521</v>
      </c>
      <c r="E198" s="374">
        <v>2</v>
      </c>
      <c r="F198" s="374">
        <v>47</v>
      </c>
      <c r="G198" s="374">
        <f>54+228</f>
        <v>282</v>
      </c>
      <c r="H198" s="374">
        <v>15994</v>
      </c>
      <c r="I198" s="374">
        <v>0</v>
      </c>
      <c r="J198" s="374">
        <v>0</v>
      </c>
      <c r="K198" s="374">
        <v>0</v>
      </c>
      <c r="L198" s="374">
        <f t="shared" si="39"/>
        <v>5371.6376999999993</v>
      </c>
      <c r="M198" s="374">
        <f>18451+45.446*84.95</f>
        <v>22311.637699999999</v>
      </c>
      <c r="N198" s="374">
        <v>13</v>
      </c>
      <c r="O198" s="374">
        <v>1175</v>
      </c>
      <c r="P198" s="374">
        <f t="shared" si="40"/>
        <v>1188</v>
      </c>
      <c r="Q198" s="272">
        <v>314</v>
      </c>
      <c r="R198" s="272">
        <v>301</v>
      </c>
      <c r="S198" s="272">
        <v>842</v>
      </c>
      <c r="T198" s="272">
        <v>991</v>
      </c>
      <c r="U198" s="272">
        <v>643</v>
      </c>
      <c r="V198" s="272">
        <v>797</v>
      </c>
      <c r="W198" s="272">
        <v>617</v>
      </c>
      <c r="X198" s="272">
        <v>35</v>
      </c>
      <c r="Y198" s="272">
        <v>5118</v>
      </c>
      <c r="Z198" s="272">
        <v>1420</v>
      </c>
      <c r="AA198" s="272">
        <v>99</v>
      </c>
      <c r="AB198" s="272">
        <v>313</v>
      </c>
      <c r="AC198" s="272">
        <v>383</v>
      </c>
      <c r="AD198" s="272">
        <v>1713</v>
      </c>
      <c r="AE198" s="272">
        <v>1927</v>
      </c>
      <c r="AF198" s="272">
        <v>1175</v>
      </c>
      <c r="AG198" s="272">
        <v>2821</v>
      </c>
      <c r="AH198" s="272">
        <v>496</v>
      </c>
      <c r="AI198" s="272">
        <v>2467</v>
      </c>
      <c r="AJ198" s="272">
        <v>2530</v>
      </c>
      <c r="AK198" s="272">
        <v>8820</v>
      </c>
      <c r="AL198" s="272">
        <f t="shared" si="41"/>
        <v>33822</v>
      </c>
      <c r="AM198" s="272">
        <f t="shared" si="42"/>
        <v>35010</v>
      </c>
      <c r="AN198" s="272">
        <f t="shared" si="43"/>
        <v>-12698.362300000001</v>
      </c>
      <c r="AO198" s="437"/>
      <c r="AQ198" s="958"/>
      <c r="AR198" s="958"/>
    </row>
    <row r="199" spans="1:44" s="1710" customFormat="1" ht="11.45" customHeight="1" x14ac:dyDescent="0.2">
      <c r="A199" s="156" t="s">
        <v>1484</v>
      </c>
      <c r="B199" s="482" t="s">
        <v>558</v>
      </c>
      <c r="C199" s="216">
        <v>31</v>
      </c>
      <c r="D199" s="355">
        <v>278</v>
      </c>
      <c r="E199" s="355">
        <v>3</v>
      </c>
      <c r="F199" s="355">
        <v>31</v>
      </c>
      <c r="G199" s="355">
        <v>132</v>
      </c>
      <c r="H199" s="355">
        <v>8037</v>
      </c>
      <c r="I199" s="355">
        <v>0</v>
      </c>
      <c r="J199" s="355">
        <v>0</v>
      </c>
      <c r="K199" s="355">
        <v>0</v>
      </c>
      <c r="L199" s="355">
        <f t="shared" si="39"/>
        <v>1467.7934000000005</v>
      </c>
      <c r="M199" s="355">
        <f>9255+8.532*84.95</f>
        <v>9979.7934000000005</v>
      </c>
      <c r="N199" s="355">
        <v>1.2</v>
      </c>
      <c r="O199" s="355">
        <v>451.4</v>
      </c>
      <c r="P199" s="355">
        <f t="shared" si="40"/>
        <v>452.59999999999997</v>
      </c>
      <c r="Q199" s="216">
        <v>214.39999999999998</v>
      </c>
      <c r="R199" s="216">
        <v>118.39999999999999</v>
      </c>
      <c r="S199" s="216">
        <v>511.5</v>
      </c>
      <c r="T199" s="216">
        <v>1606.2</v>
      </c>
      <c r="U199" s="216">
        <v>414.1</v>
      </c>
      <c r="V199" s="216">
        <v>372.5</v>
      </c>
      <c r="W199" s="216">
        <v>385.3</v>
      </c>
      <c r="X199" s="216">
        <v>0</v>
      </c>
      <c r="Y199" s="216">
        <v>3075.9</v>
      </c>
      <c r="Z199" s="216">
        <v>955.59999999999991</v>
      </c>
      <c r="AA199" s="216">
        <v>59.199999999999996</v>
      </c>
      <c r="AB199" s="216">
        <v>386.5</v>
      </c>
      <c r="AC199" s="216">
        <v>206.2</v>
      </c>
      <c r="AD199" s="216">
        <v>980.5</v>
      </c>
      <c r="AE199" s="216">
        <v>950.5</v>
      </c>
      <c r="AF199" s="216">
        <v>537.4</v>
      </c>
      <c r="AG199" s="216">
        <v>1393.4</v>
      </c>
      <c r="AH199" s="216">
        <v>325.3</v>
      </c>
      <c r="AI199" s="216">
        <v>1429.8</v>
      </c>
      <c r="AJ199" s="216">
        <v>1589.73</v>
      </c>
      <c r="AK199" s="216">
        <v>5172.5</v>
      </c>
      <c r="AL199" s="216">
        <f t="shared" si="41"/>
        <v>20684.929999999993</v>
      </c>
      <c r="AM199" s="216">
        <f t="shared" si="42"/>
        <v>21137.529999999992</v>
      </c>
      <c r="AN199" s="216">
        <f t="shared" si="43"/>
        <v>-11157.736599999991</v>
      </c>
      <c r="AO199" s="437"/>
      <c r="AQ199" s="958"/>
      <c r="AR199" s="958"/>
    </row>
    <row r="200" spans="1:44" s="1710" customFormat="1" ht="11.45" customHeight="1" x14ac:dyDescent="0.2">
      <c r="A200" s="156" t="s">
        <v>1484</v>
      </c>
      <c r="B200" s="1136" t="s">
        <v>559</v>
      </c>
      <c r="C200" s="272">
        <v>40</v>
      </c>
      <c r="D200" s="272">
        <v>357</v>
      </c>
      <c r="E200" s="272">
        <v>2</v>
      </c>
      <c r="F200" s="272">
        <v>29</v>
      </c>
      <c r="G200" s="272">
        <f>39+96</f>
        <v>135</v>
      </c>
      <c r="H200" s="272">
        <v>8726</v>
      </c>
      <c r="I200" s="272">
        <v>0</v>
      </c>
      <c r="J200" s="272">
        <v>0</v>
      </c>
      <c r="K200" s="272">
        <v>0</v>
      </c>
      <c r="L200" s="272">
        <f>M200-SUM(C200:K200)</f>
        <v>1098.76685</v>
      </c>
      <c r="M200" s="272">
        <f>10238+1.763*84.95</f>
        <v>10387.76685</v>
      </c>
      <c r="N200" s="272">
        <v>2</v>
      </c>
      <c r="O200" s="272">
        <v>643</v>
      </c>
      <c r="P200" s="272">
        <f t="shared" si="40"/>
        <v>645</v>
      </c>
      <c r="Q200" s="272">
        <v>190</v>
      </c>
      <c r="R200" s="272">
        <v>164</v>
      </c>
      <c r="S200" s="272">
        <v>563</v>
      </c>
      <c r="T200" s="272">
        <v>866</v>
      </c>
      <c r="U200" s="272">
        <v>501</v>
      </c>
      <c r="V200" s="272">
        <v>192</v>
      </c>
      <c r="W200" s="272">
        <v>285</v>
      </c>
      <c r="X200" s="272">
        <v>0</v>
      </c>
      <c r="Y200" s="272">
        <v>1244</v>
      </c>
      <c r="Z200" s="272">
        <v>1175</v>
      </c>
      <c r="AA200" s="272">
        <v>65</v>
      </c>
      <c r="AB200" s="272">
        <v>2</v>
      </c>
      <c r="AC200" s="272">
        <v>283</v>
      </c>
      <c r="AD200" s="272">
        <v>1226</v>
      </c>
      <c r="AE200" s="272">
        <v>1421</v>
      </c>
      <c r="AF200" s="272">
        <v>912</v>
      </c>
      <c r="AG200" s="272">
        <v>2103</v>
      </c>
      <c r="AH200" s="272">
        <v>443</v>
      </c>
      <c r="AI200" s="272">
        <v>3291</v>
      </c>
      <c r="AJ200" s="272">
        <v>1222</v>
      </c>
      <c r="AK200" s="272">
        <v>4718</v>
      </c>
      <c r="AL200" s="272">
        <f t="shared" si="41"/>
        <v>20866</v>
      </c>
      <c r="AM200" s="272">
        <f t="shared" si="42"/>
        <v>21511</v>
      </c>
      <c r="AN200" s="272">
        <f t="shared" si="43"/>
        <v>-11123.23315</v>
      </c>
      <c r="AO200" s="437"/>
      <c r="AQ200" s="958"/>
      <c r="AR200" s="958"/>
    </row>
    <row r="201" spans="1:44" s="1710" customFormat="1" ht="11.45" customHeight="1" x14ac:dyDescent="0.2">
      <c r="A201" s="156" t="s">
        <v>1484</v>
      </c>
      <c r="B201" s="482" t="s">
        <v>550</v>
      </c>
      <c r="C201" s="216">
        <v>60</v>
      </c>
      <c r="D201" s="216">
        <v>505</v>
      </c>
      <c r="E201" s="216">
        <v>1</v>
      </c>
      <c r="F201" s="216">
        <v>55</v>
      </c>
      <c r="G201" s="216">
        <f>100+164</f>
        <v>264</v>
      </c>
      <c r="H201" s="216">
        <v>13104</v>
      </c>
      <c r="I201" s="216">
        <v>0</v>
      </c>
      <c r="J201" s="216">
        <v>0</v>
      </c>
      <c r="K201" s="216">
        <v>0</v>
      </c>
      <c r="L201" s="216">
        <f>M201-SUM(C201:K201)</f>
        <v>5758.7304999999978</v>
      </c>
      <c r="M201" s="216">
        <f>16016.8+43.945*84.9</f>
        <v>19747.730499999998</v>
      </c>
      <c r="N201" s="216">
        <v>5.0999999999999996</v>
      </c>
      <c r="O201" s="216">
        <v>1005.5</v>
      </c>
      <c r="P201" s="216">
        <f t="shared" si="40"/>
        <v>1010.6</v>
      </c>
      <c r="Q201" s="216">
        <v>215.6</v>
      </c>
      <c r="R201" s="216">
        <v>346.2</v>
      </c>
      <c r="S201" s="216">
        <v>1023.3000000000001</v>
      </c>
      <c r="T201" s="216">
        <v>1320.8</v>
      </c>
      <c r="U201" s="216">
        <v>968.1</v>
      </c>
      <c r="V201" s="216">
        <v>536.90000000000009</v>
      </c>
      <c r="W201" s="216">
        <v>352.4</v>
      </c>
      <c r="X201" s="216">
        <v>263.39999999999998</v>
      </c>
      <c r="Y201" s="216">
        <v>1464.7</v>
      </c>
      <c r="Z201" s="216">
        <v>2132.1</v>
      </c>
      <c r="AA201" s="216">
        <v>156.99999999999997</v>
      </c>
      <c r="AB201" s="216">
        <v>471.6</v>
      </c>
      <c r="AC201" s="216">
        <v>436.20000000000005</v>
      </c>
      <c r="AD201" s="216">
        <v>1888.8999999999999</v>
      </c>
      <c r="AE201" s="216">
        <v>1629.8</v>
      </c>
      <c r="AF201" s="216">
        <v>1408.3999999999999</v>
      </c>
      <c r="AG201" s="216">
        <v>3130.8</v>
      </c>
      <c r="AH201" s="216">
        <v>506.1</v>
      </c>
      <c r="AI201" s="216">
        <v>2774.2</v>
      </c>
      <c r="AJ201" s="216">
        <v>2250.14</v>
      </c>
      <c r="AK201" s="216">
        <v>9179.3000000000011</v>
      </c>
      <c r="AL201" s="216">
        <f t="shared" si="41"/>
        <v>32455.940000000002</v>
      </c>
      <c r="AM201" s="216">
        <f t="shared" si="42"/>
        <v>33466.54</v>
      </c>
      <c r="AN201" s="216">
        <f t="shared" si="43"/>
        <v>-13718.809500000003</v>
      </c>
      <c r="AO201" s="437"/>
      <c r="AQ201" s="958"/>
      <c r="AR201" s="958"/>
    </row>
    <row r="202" spans="1:44" s="1710" customFormat="1" ht="11.45" customHeight="1" x14ac:dyDescent="0.2">
      <c r="A202" s="156" t="s">
        <v>1536</v>
      </c>
      <c r="B202" s="482" t="s">
        <v>552</v>
      </c>
      <c r="C202" s="216">
        <v>54</v>
      </c>
      <c r="D202" s="216">
        <v>557</v>
      </c>
      <c r="E202" s="216">
        <v>4</v>
      </c>
      <c r="F202" s="216">
        <v>49</v>
      </c>
      <c r="G202" s="216">
        <f>85+187</f>
        <v>272</v>
      </c>
      <c r="H202" s="216">
        <v>15580</v>
      </c>
      <c r="I202" s="216">
        <v>0</v>
      </c>
      <c r="J202" s="216">
        <v>0</v>
      </c>
      <c r="K202" s="216">
        <v>0</v>
      </c>
      <c r="L202" s="216">
        <f t="shared" ref="L202:L213" si="44">M202-SUM(C202:K202)</f>
        <v>6583.5839999999989</v>
      </c>
      <c r="M202" s="216">
        <f>18609+52.955*84.8</f>
        <v>23099.583999999999</v>
      </c>
      <c r="N202" s="216">
        <v>23.1</v>
      </c>
      <c r="O202" s="216">
        <v>502.4</v>
      </c>
      <c r="P202" s="216">
        <f t="shared" si="40"/>
        <v>525.5</v>
      </c>
      <c r="Q202" s="216">
        <v>117.7</v>
      </c>
      <c r="R202" s="216">
        <v>514.4</v>
      </c>
      <c r="S202" s="216">
        <v>831.5</v>
      </c>
      <c r="T202" s="216">
        <v>1000.7</v>
      </c>
      <c r="U202" s="216">
        <v>438.59999999999997</v>
      </c>
      <c r="V202" s="195" t="s">
        <v>552</v>
      </c>
      <c r="W202" s="153" t="s">
        <v>552</v>
      </c>
      <c r="X202" s="216">
        <v>210.5</v>
      </c>
      <c r="Y202" s="216">
        <v>335.5</v>
      </c>
      <c r="Z202" s="216">
        <v>188.6</v>
      </c>
      <c r="AA202" s="216">
        <v>1971.1</v>
      </c>
      <c r="AB202" s="216">
        <v>2020.9</v>
      </c>
      <c r="AC202" s="216">
        <v>132.1</v>
      </c>
      <c r="AD202" s="216">
        <v>299.20000000000005</v>
      </c>
      <c r="AE202" s="216">
        <v>479.09999999999997</v>
      </c>
      <c r="AF202" s="216">
        <v>1446.3999999999999</v>
      </c>
      <c r="AG202" s="216">
        <v>1606.6999999999998</v>
      </c>
      <c r="AH202" s="216">
        <v>1657.2</v>
      </c>
      <c r="AI202" s="216">
        <v>2857</v>
      </c>
      <c r="AJ202" s="216">
        <v>549.4</v>
      </c>
      <c r="AK202" s="216">
        <v>2029</v>
      </c>
      <c r="AL202" s="216">
        <v>1727.9900000000002</v>
      </c>
      <c r="AM202" s="216">
        <v>7863.0000000000009</v>
      </c>
      <c r="AN202" s="216">
        <f t="shared" ref="AN202:AN213" si="45">SUM(Q202:U202)+SUM(X202:AM202)</f>
        <v>28276.590000000004</v>
      </c>
      <c r="AO202" s="216">
        <f t="shared" ref="AO202:AO213" si="46">P202+AN202</f>
        <v>28802.090000000004</v>
      </c>
      <c r="AP202" s="216">
        <f t="shared" ref="AP202:AP213" si="47">M202-AO202</f>
        <v>-5702.5060000000049</v>
      </c>
      <c r="AQ202" s="958"/>
      <c r="AR202" s="958"/>
    </row>
    <row r="203" spans="1:44" s="1710" customFormat="1" ht="11.45" customHeight="1" x14ac:dyDescent="0.2">
      <c r="A203" s="156" t="s">
        <v>1536</v>
      </c>
      <c r="B203" s="1136" t="s">
        <v>112</v>
      </c>
      <c r="C203" s="272">
        <v>90</v>
      </c>
      <c r="D203" s="272">
        <v>620</v>
      </c>
      <c r="E203" s="272">
        <v>3</v>
      </c>
      <c r="F203" s="272">
        <v>49</v>
      </c>
      <c r="G203" s="272">
        <f>45+243</f>
        <v>288</v>
      </c>
      <c r="H203" s="272">
        <v>15501</v>
      </c>
      <c r="I203" s="272">
        <v>0</v>
      </c>
      <c r="J203" s="272">
        <v>0</v>
      </c>
      <c r="K203" s="272">
        <v>0</v>
      </c>
      <c r="L203" s="272">
        <f t="shared" si="44"/>
        <v>5205.1531747999979</v>
      </c>
      <c r="M203" s="272">
        <f>18671+36.369*84.8292</f>
        <v>21756.153174799998</v>
      </c>
      <c r="N203" s="272">
        <v>1.1000000000000001</v>
      </c>
      <c r="O203" s="272">
        <v>595</v>
      </c>
      <c r="P203" s="272">
        <f t="shared" si="40"/>
        <v>596.1</v>
      </c>
      <c r="Q203" s="272">
        <v>195.5</v>
      </c>
      <c r="R203" s="272">
        <v>337.4</v>
      </c>
      <c r="S203" s="272">
        <v>802.2</v>
      </c>
      <c r="T203" s="272">
        <v>541.5</v>
      </c>
      <c r="U203" s="272">
        <v>274.2</v>
      </c>
      <c r="V203" s="286" t="s">
        <v>112</v>
      </c>
      <c r="W203" s="285" t="s">
        <v>112</v>
      </c>
      <c r="X203" s="272">
        <v>645.20000000000005</v>
      </c>
      <c r="Y203" s="272">
        <v>385</v>
      </c>
      <c r="Z203" s="272">
        <v>270.8</v>
      </c>
      <c r="AA203" s="272">
        <v>4126</v>
      </c>
      <c r="AB203" s="272">
        <v>1868.9</v>
      </c>
      <c r="AC203" s="272">
        <v>93</v>
      </c>
      <c r="AD203" s="272">
        <v>547</v>
      </c>
      <c r="AE203" s="272">
        <v>416.9</v>
      </c>
      <c r="AF203" s="272">
        <v>1556.8</v>
      </c>
      <c r="AG203" s="272">
        <v>1567.8999999999999</v>
      </c>
      <c r="AH203" s="272">
        <v>1345.8</v>
      </c>
      <c r="AI203" s="272">
        <v>2418.4</v>
      </c>
      <c r="AJ203" s="272">
        <v>366</v>
      </c>
      <c r="AK203" s="272">
        <v>2204.6</v>
      </c>
      <c r="AL203" s="272">
        <v>2068.09</v>
      </c>
      <c r="AM203" s="272">
        <v>8038.2</v>
      </c>
      <c r="AN203" s="1957">
        <f t="shared" si="45"/>
        <v>30069.389999999996</v>
      </c>
      <c r="AO203" s="272">
        <f t="shared" si="46"/>
        <v>30665.489999999994</v>
      </c>
      <c r="AP203" s="272">
        <f t="shared" si="47"/>
        <v>-8909.3368251999964</v>
      </c>
      <c r="AQ203" s="958"/>
      <c r="AR203" s="958"/>
    </row>
    <row r="204" spans="1:44" s="1710" customFormat="1" ht="11.45" customHeight="1" x14ac:dyDescent="0.2">
      <c r="A204" s="156" t="s">
        <v>1536</v>
      </c>
      <c r="B204" s="482" t="s">
        <v>547</v>
      </c>
      <c r="C204" s="216">
        <v>146</v>
      </c>
      <c r="D204" s="216">
        <v>693</v>
      </c>
      <c r="E204" s="216">
        <v>2</v>
      </c>
      <c r="F204" s="216">
        <v>37</v>
      </c>
      <c r="G204" s="216">
        <f>83+236</f>
        <v>319</v>
      </c>
      <c r="H204" s="216">
        <v>19258</v>
      </c>
      <c r="I204" s="216">
        <v>0</v>
      </c>
      <c r="J204" s="216">
        <v>0</v>
      </c>
      <c r="K204" s="216">
        <v>0</v>
      </c>
      <c r="L204" s="216">
        <f t="shared" si="44"/>
        <v>5567.5191640000012</v>
      </c>
      <c r="M204" s="216">
        <f>22714+38.999*84.836</f>
        <v>26022.519164000001</v>
      </c>
      <c r="N204" s="216">
        <v>15.1</v>
      </c>
      <c r="O204" s="216">
        <v>1951.3000000000002</v>
      </c>
      <c r="P204" s="216">
        <f t="shared" si="40"/>
        <v>1966.4</v>
      </c>
      <c r="Q204" s="216">
        <v>150.4</v>
      </c>
      <c r="R204" s="216">
        <v>317.89999999999998</v>
      </c>
      <c r="S204" s="216">
        <v>539.20000000000005</v>
      </c>
      <c r="T204" s="216">
        <v>783</v>
      </c>
      <c r="U204" s="216">
        <v>292.20000000000005</v>
      </c>
      <c r="V204" s="195" t="s">
        <v>547</v>
      </c>
      <c r="W204" s="153" t="s">
        <v>547</v>
      </c>
      <c r="X204" s="216">
        <v>685.3</v>
      </c>
      <c r="Y204" s="216">
        <v>515.5</v>
      </c>
      <c r="Z204" s="216">
        <v>258.39999999999998</v>
      </c>
      <c r="AA204" s="216">
        <v>2778.3</v>
      </c>
      <c r="AB204" s="216">
        <v>1936</v>
      </c>
      <c r="AC204" s="216">
        <v>147.30000000000001</v>
      </c>
      <c r="AD204" s="216">
        <v>478.9</v>
      </c>
      <c r="AE204" s="216">
        <v>474.6</v>
      </c>
      <c r="AF204" s="216">
        <v>1805.3</v>
      </c>
      <c r="AG204" s="216">
        <v>1961.8999999999999</v>
      </c>
      <c r="AH204" s="216">
        <v>1386.3</v>
      </c>
      <c r="AI204" s="216">
        <v>2874.4</v>
      </c>
      <c r="AJ204" s="216">
        <v>403.2</v>
      </c>
      <c r="AK204" s="216">
        <v>2682.1</v>
      </c>
      <c r="AL204" s="216">
        <v>1578.79</v>
      </c>
      <c r="AM204" s="216">
        <v>9840.5999999999985</v>
      </c>
      <c r="AN204" s="216">
        <f t="shared" si="45"/>
        <v>31889.59</v>
      </c>
      <c r="AO204" s="216">
        <f t="shared" si="46"/>
        <v>33855.99</v>
      </c>
      <c r="AP204" s="216">
        <f t="shared" si="47"/>
        <v>-7833.4708359999968</v>
      </c>
      <c r="AQ204" s="958"/>
      <c r="AR204" s="958"/>
    </row>
    <row r="205" spans="1:44" s="1710" customFormat="1" ht="11.45" customHeight="1" x14ac:dyDescent="0.2">
      <c r="A205" s="156" t="s">
        <v>1536</v>
      </c>
      <c r="B205" s="1136" t="s">
        <v>2810</v>
      </c>
      <c r="C205" s="272">
        <v>104</v>
      </c>
      <c r="D205" s="272">
        <v>724</v>
      </c>
      <c r="E205" s="272">
        <v>3</v>
      </c>
      <c r="F205" s="272">
        <v>62</v>
      </c>
      <c r="G205" s="272">
        <f>113+277</f>
        <v>390</v>
      </c>
      <c r="H205" s="272">
        <v>17582</v>
      </c>
      <c r="I205" s="272">
        <v>0</v>
      </c>
      <c r="J205" s="272">
        <v>0</v>
      </c>
      <c r="K205" s="272">
        <v>0</v>
      </c>
      <c r="L205" s="272">
        <f t="shared" si="44"/>
        <v>5392.5998093000017</v>
      </c>
      <c r="M205" s="272">
        <f>21197+84.8023*36.091</f>
        <v>24257.599809300002</v>
      </c>
      <c r="N205" s="272">
        <v>15.1</v>
      </c>
      <c r="O205" s="272">
        <v>1238.5999999999999</v>
      </c>
      <c r="P205" s="272">
        <f t="shared" si="40"/>
        <v>1253.6999999999998</v>
      </c>
      <c r="Q205" s="272">
        <v>133.69999999999999</v>
      </c>
      <c r="R205" s="272">
        <v>235.1</v>
      </c>
      <c r="S205" s="272">
        <v>770.8</v>
      </c>
      <c r="T205" s="272">
        <v>938.40000000000009</v>
      </c>
      <c r="U205" s="272">
        <v>147.79999999999998</v>
      </c>
      <c r="V205" s="286" t="s">
        <v>554</v>
      </c>
      <c r="W205" s="285" t="s">
        <v>554</v>
      </c>
      <c r="X205" s="272">
        <v>590.5</v>
      </c>
      <c r="Y205" s="272">
        <v>452.6</v>
      </c>
      <c r="Z205" s="272">
        <v>407.4</v>
      </c>
      <c r="AA205" s="272">
        <v>2882.6</v>
      </c>
      <c r="AB205" s="272">
        <v>1719.9</v>
      </c>
      <c r="AC205" s="272">
        <v>157.30000000000001</v>
      </c>
      <c r="AD205" s="272">
        <v>515.5</v>
      </c>
      <c r="AE205" s="272">
        <v>514</v>
      </c>
      <c r="AF205" s="272">
        <v>1695</v>
      </c>
      <c r="AG205" s="272">
        <v>1688.8</v>
      </c>
      <c r="AH205" s="272">
        <v>1189.5</v>
      </c>
      <c r="AI205" s="272">
        <v>2721.5</v>
      </c>
      <c r="AJ205" s="272">
        <v>356.3</v>
      </c>
      <c r="AK205" s="272">
        <v>2088</v>
      </c>
      <c r="AL205" s="272">
        <v>1785.1</v>
      </c>
      <c r="AM205" s="272">
        <v>9741.3999999999978</v>
      </c>
      <c r="AN205" s="272">
        <f t="shared" si="45"/>
        <v>30731.199999999993</v>
      </c>
      <c r="AO205" s="272">
        <f t="shared" si="46"/>
        <v>31984.899999999994</v>
      </c>
      <c r="AP205" s="272">
        <f t="shared" si="47"/>
        <v>-7727.3001906999925</v>
      </c>
      <c r="AQ205" s="958"/>
      <c r="AR205" s="958"/>
    </row>
    <row r="206" spans="1:44" s="1710" customFormat="1" ht="11.45" customHeight="1" x14ac:dyDescent="0.2">
      <c r="A206" s="156" t="s">
        <v>1536</v>
      </c>
      <c r="B206" s="482" t="s">
        <v>555</v>
      </c>
      <c r="C206" s="216">
        <v>103</v>
      </c>
      <c r="D206" s="216">
        <v>712</v>
      </c>
      <c r="E206" s="216">
        <v>3</v>
      </c>
      <c r="F206" s="216">
        <v>58</v>
      </c>
      <c r="G206" s="216">
        <f>110+290</f>
        <v>400</v>
      </c>
      <c r="H206" s="216">
        <v>17399</v>
      </c>
      <c r="I206" s="216">
        <v>0</v>
      </c>
      <c r="J206" s="216">
        <v>0</v>
      </c>
      <c r="K206" s="216">
        <v>0</v>
      </c>
      <c r="L206" s="216">
        <f t="shared" si="44"/>
        <v>5886.9605144999987</v>
      </c>
      <c r="M206" s="216">
        <f>20947+42.629*84.8005</f>
        <v>24561.960514499999</v>
      </c>
      <c r="N206" s="216">
        <v>18.600000000000001</v>
      </c>
      <c r="O206" s="216">
        <v>648.9</v>
      </c>
      <c r="P206" s="216">
        <f t="shared" si="40"/>
        <v>667.5</v>
      </c>
      <c r="Q206" s="216">
        <v>167.6</v>
      </c>
      <c r="R206" s="216">
        <v>252.4</v>
      </c>
      <c r="S206" s="216">
        <v>447.7</v>
      </c>
      <c r="T206" s="216">
        <v>1149.9000000000001</v>
      </c>
      <c r="U206" s="216">
        <v>339.1</v>
      </c>
      <c r="V206" s="195" t="s">
        <v>555</v>
      </c>
      <c r="W206" s="153" t="s">
        <v>555</v>
      </c>
      <c r="X206" s="216">
        <v>575.6</v>
      </c>
      <c r="Y206" s="216">
        <v>458</v>
      </c>
      <c r="Z206" s="216">
        <v>765.9</v>
      </c>
      <c r="AA206" s="216">
        <v>2758.3</v>
      </c>
      <c r="AB206" s="216">
        <v>1845.3</v>
      </c>
      <c r="AC206" s="216">
        <v>110.1</v>
      </c>
      <c r="AD206" s="216">
        <v>996</v>
      </c>
      <c r="AE206" s="216">
        <v>552.5</v>
      </c>
      <c r="AF206" s="216">
        <v>1983.1</v>
      </c>
      <c r="AG206" s="216">
        <v>1657</v>
      </c>
      <c r="AH206" s="216">
        <v>1362.1</v>
      </c>
      <c r="AI206" s="216">
        <v>2880.7</v>
      </c>
      <c r="AJ206" s="216">
        <v>430.3</v>
      </c>
      <c r="AK206" s="216">
        <v>3153.5</v>
      </c>
      <c r="AL206" s="216">
        <v>2174.5</v>
      </c>
      <c r="AM206" s="216">
        <v>10446.200000000001</v>
      </c>
      <c r="AN206" s="216">
        <f t="shared" si="45"/>
        <v>34505.800000000003</v>
      </c>
      <c r="AO206" s="216">
        <f t="shared" si="46"/>
        <v>35173.300000000003</v>
      </c>
      <c r="AP206" s="216">
        <f t="shared" si="47"/>
        <v>-10611.339485500004</v>
      </c>
      <c r="AQ206" s="958"/>
      <c r="AR206" s="958"/>
    </row>
    <row r="207" spans="1:44" s="1710" customFormat="1" ht="11.45" customHeight="1" x14ac:dyDescent="0.2">
      <c r="A207" s="156" t="s">
        <v>1536</v>
      </c>
      <c r="B207" s="1136" t="s">
        <v>548</v>
      </c>
      <c r="C207" s="272">
        <v>113</v>
      </c>
      <c r="D207" s="272">
        <v>688</v>
      </c>
      <c r="E207" s="272">
        <v>1</v>
      </c>
      <c r="F207" s="272">
        <v>77</v>
      </c>
      <c r="G207" s="272">
        <f>103+238</f>
        <v>341</v>
      </c>
      <c r="H207" s="272">
        <v>18407</v>
      </c>
      <c r="I207" s="272">
        <v>0</v>
      </c>
      <c r="J207" s="272">
        <v>0</v>
      </c>
      <c r="K207" s="272">
        <v>0</v>
      </c>
      <c r="L207" s="272">
        <f t="shared" si="44"/>
        <v>6710.7729073999981</v>
      </c>
      <c r="M207" s="272">
        <f>22237+48.358*84.8003</f>
        <v>26337.772907399998</v>
      </c>
      <c r="N207" s="272">
        <v>21</v>
      </c>
      <c r="O207" s="272">
        <v>1241.5</v>
      </c>
      <c r="P207" s="272">
        <f t="shared" si="40"/>
        <v>1262.5</v>
      </c>
      <c r="Q207" s="272">
        <v>304.39999999999998</v>
      </c>
      <c r="R207" s="272">
        <v>227.79999999999998</v>
      </c>
      <c r="S207" s="272">
        <v>1040.6999999999998</v>
      </c>
      <c r="T207" s="272">
        <v>1102.2</v>
      </c>
      <c r="U207" s="272">
        <v>529.29999999999995</v>
      </c>
      <c r="V207" s="286" t="s">
        <v>548</v>
      </c>
      <c r="W207" s="285" t="s">
        <v>548</v>
      </c>
      <c r="X207" s="272">
        <v>633.59999999999991</v>
      </c>
      <c r="Y207" s="272">
        <v>529.70000000000005</v>
      </c>
      <c r="Z207" s="272">
        <v>717.8</v>
      </c>
      <c r="AA207" s="272">
        <v>2937.6000000000004</v>
      </c>
      <c r="AB207" s="272">
        <v>1921.8</v>
      </c>
      <c r="AC207" s="272">
        <v>137.80000000000001</v>
      </c>
      <c r="AD207" s="272">
        <v>1469.1000000000001</v>
      </c>
      <c r="AE207" s="272">
        <v>564.29999999999995</v>
      </c>
      <c r="AF207" s="272">
        <v>2004.3</v>
      </c>
      <c r="AG207" s="272">
        <v>1824.3000000000002</v>
      </c>
      <c r="AH207" s="272">
        <v>1340.6</v>
      </c>
      <c r="AI207" s="272">
        <v>2994.9</v>
      </c>
      <c r="AJ207" s="272">
        <v>454.8</v>
      </c>
      <c r="AK207" s="272">
        <v>2917.2</v>
      </c>
      <c r="AL207" s="272">
        <v>1982.1</v>
      </c>
      <c r="AM207" s="272">
        <v>12452.8</v>
      </c>
      <c r="AN207" s="272">
        <f t="shared" si="45"/>
        <v>38087.1</v>
      </c>
      <c r="AO207" s="272">
        <f t="shared" si="46"/>
        <v>39349.599999999999</v>
      </c>
      <c r="AP207" s="272">
        <f t="shared" si="47"/>
        <v>-13011.8270926</v>
      </c>
      <c r="AQ207" s="958"/>
      <c r="AR207" s="958"/>
    </row>
    <row r="208" spans="1:44" s="1710" customFormat="1" ht="11.45" customHeight="1" x14ac:dyDescent="0.2">
      <c r="A208" s="156" t="s">
        <v>1536</v>
      </c>
      <c r="B208" s="482" t="s">
        <v>556</v>
      </c>
      <c r="C208" s="216">
        <v>99</v>
      </c>
      <c r="D208" s="216">
        <v>916</v>
      </c>
      <c r="E208" s="216">
        <v>2</v>
      </c>
      <c r="F208" s="216">
        <v>76</v>
      </c>
      <c r="G208" s="216">
        <f>120+188</f>
        <v>308</v>
      </c>
      <c r="H208" s="216">
        <v>17359</v>
      </c>
      <c r="I208" s="216">
        <v>0</v>
      </c>
      <c r="J208" s="216">
        <v>0</v>
      </c>
      <c r="K208" s="216">
        <v>0</v>
      </c>
      <c r="L208" s="216">
        <f t="shared" si="44"/>
        <v>5771.7368434000018</v>
      </c>
      <c r="M208" s="216">
        <f>21013+41.494*84.8011</f>
        <v>24531.736843400002</v>
      </c>
      <c r="N208" s="216">
        <v>34.9</v>
      </c>
      <c r="O208" s="216">
        <v>700.3</v>
      </c>
      <c r="P208" s="216">
        <f t="shared" si="40"/>
        <v>735.19999999999993</v>
      </c>
      <c r="Q208" s="216">
        <v>255.8</v>
      </c>
      <c r="R208" s="216">
        <v>215</v>
      </c>
      <c r="S208" s="216">
        <v>1217.0999999999999</v>
      </c>
      <c r="T208" s="216">
        <v>1144.8</v>
      </c>
      <c r="U208" s="216">
        <v>273.10000000000002</v>
      </c>
      <c r="V208" s="195" t="s">
        <v>556</v>
      </c>
      <c r="W208" s="153" t="s">
        <v>556</v>
      </c>
      <c r="X208" s="216">
        <v>503.4</v>
      </c>
      <c r="Y208" s="216">
        <v>778.8</v>
      </c>
      <c r="Z208" s="216">
        <v>556.70000000000005</v>
      </c>
      <c r="AA208" s="216">
        <v>3014.2</v>
      </c>
      <c r="AB208" s="216">
        <v>1917.8</v>
      </c>
      <c r="AC208" s="216">
        <v>637.6</v>
      </c>
      <c r="AD208" s="216">
        <v>979.1</v>
      </c>
      <c r="AE208" s="216">
        <v>505.1</v>
      </c>
      <c r="AF208" s="216">
        <v>2404.1</v>
      </c>
      <c r="AG208" s="216">
        <v>2238.4</v>
      </c>
      <c r="AH208" s="216">
        <v>1342.4</v>
      </c>
      <c r="AI208" s="216">
        <v>3051.8</v>
      </c>
      <c r="AJ208" s="216">
        <v>562</v>
      </c>
      <c r="AK208" s="216">
        <v>2797.2</v>
      </c>
      <c r="AL208" s="216">
        <v>1948.35</v>
      </c>
      <c r="AM208" s="216">
        <v>11669.7</v>
      </c>
      <c r="AN208" s="216">
        <f t="shared" si="45"/>
        <v>38012.450000000004</v>
      </c>
      <c r="AO208" s="216">
        <f t="shared" si="46"/>
        <v>38747.65</v>
      </c>
      <c r="AP208" s="216">
        <f t="shared" si="47"/>
        <v>-14215.9131566</v>
      </c>
      <c r="AQ208" s="958"/>
      <c r="AR208" s="958"/>
    </row>
    <row r="209" spans="1:44" s="1710" customFormat="1" ht="11.45" customHeight="1" x14ac:dyDescent="0.2">
      <c r="A209" s="156" t="s">
        <v>1536</v>
      </c>
      <c r="B209" s="1136" t="s">
        <v>557</v>
      </c>
      <c r="C209" s="272">
        <v>95</v>
      </c>
      <c r="D209" s="272">
        <v>728</v>
      </c>
      <c r="E209" s="272">
        <v>1</v>
      </c>
      <c r="F209" s="272">
        <v>54</v>
      </c>
      <c r="G209" s="272">
        <f>84+117</f>
        <v>201</v>
      </c>
      <c r="H209" s="272">
        <v>16168</v>
      </c>
      <c r="I209" s="272">
        <v>0</v>
      </c>
      <c r="J209" s="272">
        <v>0</v>
      </c>
      <c r="K209" s="272">
        <v>0</v>
      </c>
      <c r="L209" s="272">
        <f t="shared" si="44"/>
        <v>5578.6341326000002</v>
      </c>
      <c r="M209" s="272">
        <f>19466+39.618*84.8007</f>
        <v>22825.6341326</v>
      </c>
      <c r="N209" s="272">
        <v>370.9</v>
      </c>
      <c r="O209" s="272">
        <v>1547.9</v>
      </c>
      <c r="P209" s="272">
        <f t="shared" si="40"/>
        <v>1918.8000000000002</v>
      </c>
      <c r="Q209" s="272">
        <v>261.29999999999995</v>
      </c>
      <c r="R209" s="272">
        <v>208.1</v>
      </c>
      <c r="S209" s="272">
        <v>776.2</v>
      </c>
      <c r="T209" s="272">
        <v>1130.5</v>
      </c>
      <c r="U209" s="272">
        <v>719.5</v>
      </c>
      <c r="V209" s="286" t="s">
        <v>557</v>
      </c>
      <c r="W209" s="285" t="s">
        <v>557</v>
      </c>
      <c r="X209" s="272">
        <v>558.20000000000005</v>
      </c>
      <c r="Y209" s="272">
        <v>377.8</v>
      </c>
      <c r="Z209" s="272">
        <v>735.5</v>
      </c>
      <c r="AA209" s="272">
        <v>2732.3</v>
      </c>
      <c r="AB209" s="272">
        <v>1658.1</v>
      </c>
      <c r="AC209" s="272">
        <v>88.100000000000009</v>
      </c>
      <c r="AD209" s="272">
        <v>694.9</v>
      </c>
      <c r="AE209" s="272">
        <v>518.69999999999993</v>
      </c>
      <c r="AF209" s="272">
        <v>2132.1000000000004</v>
      </c>
      <c r="AG209" s="272">
        <v>2452.9</v>
      </c>
      <c r="AH209" s="272">
        <v>1294.1999999999998</v>
      </c>
      <c r="AI209" s="272">
        <v>2919.2999999999997</v>
      </c>
      <c r="AJ209" s="272">
        <v>575</v>
      </c>
      <c r="AK209" s="272">
        <v>2419.1999999999998</v>
      </c>
      <c r="AL209" s="272">
        <v>3773.7200000000003</v>
      </c>
      <c r="AM209" s="272">
        <v>11889.399999999998</v>
      </c>
      <c r="AN209" s="272">
        <f t="shared" si="45"/>
        <v>37915.019999999997</v>
      </c>
      <c r="AO209" s="272">
        <f t="shared" si="46"/>
        <v>39833.82</v>
      </c>
      <c r="AP209" s="272">
        <f t="shared" si="47"/>
        <v>-17008.1858674</v>
      </c>
      <c r="AQ209" s="958"/>
      <c r="AR209" s="958"/>
    </row>
    <row r="210" spans="1:44" s="1710" customFormat="1" ht="11.45" customHeight="1" x14ac:dyDescent="0.2">
      <c r="A210" s="156" t="s">
        <v>1536</v>
      </c>
      <c r="B210" s="482" t="s">
        <v>549</v>
      </c>
      <c r="C210" s="216">
        <v>75</v>
      </c>
      <c r="D210" s="216">
        <v>696</v>
      </c>
      <c r="E210" s="216">
        <v>3</v>
      </c>
      <c r="F210" s="216">
        <v>85</v>
      </c>
      <c r="G210" s="216">
        <f>83+157</f>
        <v>240</v>
      </c>
      <c r="H210" s="216">
        <v>20158</v>
      </c>
      <c r="I210" s="216">
        <v>87</v>
      </c>
      <c r="J210" s="216">
        <v>1</v>
      </c>
      <c r="K210" s="216">
        <v>0</v>
      </c>
      <c r="L210" s="216">
        <f t="shared" si="44"/>
        <v>6561.7251930999992</v>
      </c>
      <c r="M210" s="216">
        <f>23950+46.659*84.8009</f>
        <v>27906.725193099999</v>
      </c>
      <c r="N210" s="216">
        <v>891.9</v>
      </c>
      <c r="O210" s="216">
        <v>1596.7</v>
      </c>
      <c r="P210" s="216">
        <f t="shared" si="40"/>
        <v>2488.6</v>
      </c>
      <c r="Q210" s="216">
        <v>241.29999999999998</v>
      </c>
      <c r="R210" s="216">
        <v>289</v>
      </c>
      <c r="S210" s="216">
        <v>1286.5</v>
      </c>
      <c r="T210" s="216">
        <v>2277.5</v>
      </c>
      <c r="U210" s="216">
        <v>1073.5</v>
      </c>
      <c r="V210" s="195" t="s">
        <v>549</v>
      </c>
      <c r="W210" s="153" t="s">
        <v>549</v>
      </c>
      <c r="X210" s="216">
        <v>513.29999999999995</v>
      </c>
      <c r="Y210" s="216">
        <v>715.8</v>
      </c>
      <c r="Z210" s="216">
        <v>1066.5</v>
      </c>
      <c r="AA210" s="216">
        <v>4578.8</v>
      </c>
      <c r="AB210" s="216">
        <v>1947.2</v>
      </c>
      <c r="AC210" s="216">
        <v>139</v>
      </c>
      <c r="AD210" s="216">
        <v>783.9</v>
      </c>
      <c r="AE210" s="216">
        <v>556.9</v>
      </c>
      <c r="AF210" s="216">
        <v>2643.8</v>
      </c>
      <c r="AG210" s="216">
        <v>3206.2000000000003</v>
      </c>
      <c r="AH210" s="216">
        <v>1464.2</v>
      </c>
      <c r="AI210" s="216">
        <v>3179.1</v>
      </c>
      <c r="AJ210" s="216">
        <v>630.5</v>
      </c>
      <c r="AK210" s="216">
        <v>3576</v>
      </c>
      <c r="AL210" s="216">
        <v>1840.39</v>
      </c>
      <c r="AM210" s="216">
        <v>12001.999999999993</v>
      </c>
      <c r="AN210" s="216">
        <f t="shared" si="45"/>
        <v>44011.39</v>
      </c>
      <c r="AO210" s="216">
        <f t="shared" si="46"/>
        <v>46499.99</v>
      </c>
      <c r="AP210" s="216">
        <f t="shared" si="47"/>
        <v>-18593.264806899999</v>
      </c>
      <c r="AQ210" s="958"/>
      <c r="AR210" s="958"/>
    </row>
    <row r="211" spans="1:44" s="1710" customFormat="1" ht="11.45" customHeight="1" x14ac:dyDescent="0.2">
      <c r="A211" s="156" t="s">
        <v>1536</v>
      </c>
      <c r="B211" s="1136" t="s">
        <v>558</v>
      </c>
      <c r="C211" s="272">
        <v>48</v>
      </c>
      <c r="D211" s="272">
        <v>562</v>
      </c>
      <c r="E211" s="272">
        <v>3</v>
      </c>
      <c r="F211" s="272">
        <v>74</v>
      </c>
      <c r="G211" s="272">
        <f>49+135</f>
        <v>184</v>
      </c>
      <c r="H211" s="272">
        <v>16426</v>
      </c>
      <c r="I211" s="272">
        <v>0</v>
      </c>
      <c r="J211" s="272">
        <v>0</v>
      </c>
      <c r="K211" s="272">
        <v>0</v>
      </c>
      <c r="L211" s="272">
        <f t="shared" si="44"/>
        <v>6473.877206000001</v>
      </c>
      <c r="M211" s="272">
        <f>19666+84.801*48.406</f>
        <v>23770.877206000001</v>
      </c>
      <c r="N211" s="272">
        <v>773</v>
      </c>
      <c r="O211" s="272">
        <v>954</v>
      </c>
      <c r="P211" s="272">
        <f t="shared" si="40"/>
        <v>1727</v>
      </c>
      <c r="Q211" s="272">
        <v>267</v>
      </c>
      <c r="R211" s="272">
        <v>241</v>
      </c>
      <c r="S211" s="272">
        <v>699</v>
      </c>
      <c r="T211" s="272">
        <v>1734</v>
      </c>
      <c r="U211" s="272">
        <v>212</v>
      </c>
      <c r="V211" s="286" t="s">
        <v>558</v>
      </c>
      <c r="W211" s="285" t="s">
        <v>558</v>
      </c>
      <c r="X211" s="272">
        <v>1219</v>
      </c>
      <c r="Y211" s="272">
        <v>690</v>
      </c>
      <c r="Z211" s="272">
        <v>810</v>
      </c>
      <c r="AA211" s="272">
        <v>4334</v>
      </c>
      <c r="AB211" s="272">
        <v>1992</v>
      </c>
      <c r="AC211" s="272">
        <v>132</v>
      </c>
      <c r="AD211" s="272">
        <v>228</v>
      </c>
      <c r="AE211" s="272">
        <v>525</v>
      </c>
      <c r="AF211" s="272">
        <v>2324</v>
      </c>
      <c r="AG211" s="272">
        <v>3119</v>
      </c>
      <c r="AH211" s="272">
        <v>1559</v>
      </c>
      <c r="AI211" s="272">
        <v>2884</v>
      </c>
      <c r="AJ211" s="272">
        <v>669</v>
      </c>
      <c r="AK211" s="272">
        <v>3051</v>
      </c>
      <c r="AL211" s="272">
        <v>1628.98</v>
      </c>
      <c r="AM211" s="272">
        <v>12026.100000000006</v>
      </c>
      <c r="AN211" s="272">
        <f t="shared" si="45"/>
        <v>40344.080000000002</v>
      </c>
      <c r="AO211" s="272">
        <f t="shared" si="46"/>
        <v>42071.08</v>
      </c>
      <c r="AP211" s="272">
        <f t="shared" si="47"/>
        <v>-18300.202794000001</v>
      </c>
      <c r="AQ211" s="958"/>
      <c r="AR211" s="958"/>
    </row>
    <row r="212" spans="1:44" s="1710" customFormat="1" ht="11.45" customHeight="1" x14ac:dyDescent="0.2">
      <c r="A212" s="156" t="s">
        <v>1536</v>
      </c>
      <c r="B212" s="482" t="s">
        <v>559</v>
      </c>
      <c r="C212" s="216">
        <v>51</v>
      </c>
      <c r="D212" s="216">
        <v>606</v>
      </c>
      <c r="E212" s="216">
        <v>2</v>
      </c>
      <c r="F212" s="216">
        <v>91</v>
      </c>
      <c r="G212" s="216">
        <f>54+167</f>
        <v>221</v>
      </c>
      <c r="H212" s="216">
        <v>17513</v>
      </c>
      <c r="I212" s="216">
        <v>0</v>
      </c>
      <c r="J212" s="216">
        <v>0</v>
      </c>
      <c r="K212" s="216">
        <v>0</v>
      </c>
      <c r="L212" s="216">
        <f t="shared" si="44"/>
        <v>5997.1338976000006</v>
      </c>
      <c r="M212" s="216">
        <f>21005+40.992*84.8003</f>
        <v>24481.133897600001</v>
      </c>
      <c r="N212" s="216">
        <v>580.20000000000005</v>
      </c>
      <c r="O212" s="216">
        <v>980.09999999999991</v>
      </c>
      <c r="P212" s="216">
        <f t="shared" si="40"/>
        <v>1560.3</v>
      </c>
      <c r="Q212" s="216">
        <v>260.8</v>
      </c>
      <c r="R212" s="216">
        <v>275.39999999999998</v>
      </c>
      <c r="S212" s="216">
        <v>967.3</v>
      </c>
      <c r="T212" s="216">
        <v>1412.9</v>
      </c>
      <c r="U212" s="216">
        <v>363.1</v>
      </c>
      <c r="V212" s="195" t="s">
        <v>559</v>
      </c>
      <c r="W212" s="153" t="s">
        <v>559</v>
      </c>
      <c r="X212" s="216">
        <v>553</v>
      </c>
      <c r="Y212" s="216">
        <v>742.6</v>
      </c>
      <c r="Z212" s="216">
        <v>399.8</v>
      </c>
      <c r="AA212" s="216">
        <v>4270.2</v>
      </c>
      <c r="AB212" s="216">
        <v>1838.9</v>
      </c>
      <c r="AC212" s="216">
        <v>125</v>
      </c>
      <c r="AD212" s="216">
        <v>371.8</v>
      </c>
      <c r="AE212" s="216">
        <v>542.80000000000007</v>
      </c>
      <c r="AF212" s="216">
        <v>2622.5</v>
      </c>
      <c r="AG212" s="216">
        <v>2564.8000000000002</v>
      </c>
      <c r="AH212" s="216">
        <v>1763.7</v>
      </c>
      <c r="AI212" s="216">
        <v>3283.2999999999997</v>
      </c>
      <c r="AJ212" s="216">
        <v>593.79999999999995</v>
      </c>
      <c r="AK212" s="216">
        <v>3855.6</v>
      </c>
      <c r="AL212" s="216">
        <v>2286.1400000000003</v>
      </c>
      <c r="AM212" s="216">
        <v>11468.099999999999</v>
      </c>
      <c r="AN212" s="216">
        <f t="shared" si="45"/>
        <v>40561.539999999994</v>
      </c>
      <c r="AO212" s="216">
        <f t="shared" si="46"/>
        <v>42121.84</v>
      </c>
      <c r="AP212" s="216">
        <f t="shared" si="47"/>
        <v>-17640.706102399996</v>
      </c>
      <c r="AQ212" s="958"/>
      <c r="AR212" s="958"/>
    </row>
    <row r="213" spans="1:44" s="1710" customFormat="1" ht="11.45" customHeight="1" x14ac:dyDescent="0.2">
      <c r="A213" s="156" t="s">
        <v>1536</v>
      </c>
      <c r="B213" s="1136" t="s">
        <v>550</v>
      </c>
      <c r="C213" s="272">
        <v>71</v>
      </c>
      <c r="D213" s="272">
        <v>593</v>
      </c>
      <c r="E213" s="272">
        <v>1</v>
      </c>
      <c r="F213" s="272">
        <v>85</v>
      </c>
      <c r="G213" s="272">
        <f>97+225</f>
        <v>322</v>
      </c>
      <c r="H213" s="272">
        <v>20750</v>
      </c>
      <c r="I213" s="272">
        <v>0</v>
      </c>
      <c r="J213" s="272">
        <v>0</v>
      </c>
      <c r="K213" s="272">
        <v>0</v>
      </c>
      <c r="L213" s="272">
        <f t="shared" si="44"/>
        <v>7990.8028440000016</v>
      </c>
      <c r="M213" s="272">
        <f>24891+58.03*84.8148</f>
        <v>29812.802844000002</v>
      </c>
      <c r="N213" s="272">
        <v>415.3</v>
      </c>
      <c r="O213" s="272">
        <v>1254.9000000000001</v>
      </c>
      <c r="P213" s="272">
        <f t="shared" si="40"/>
        <v>1670.2</v>
      </c>
      <c r="Q213" s="272">
        <v>279.2</v>
      </c>
      <c r="R213" s="272">
        <v>276.60000000000002</v>
      </c>
      <c r="S213" s="272">
        <v>1538.1</v>
      </c>
      <c r="T213" s="272">
        <v>1778</v>
      </c>
      <c r="U213" s="272">
        <v>913.4</v>
      </c>
      <c r="V213" s="286" t="s">
        <v>550</v>
      </c>
      <c r="W213" s="285" t="s">
        <v>550</v>
      </c>
      <c r="X213" s="272">
        <v>444.3</v>
      </c>
      <c r="Y213" s="272">
        <v>584.20000000000005</v>
      </c>
      <c r="Z213" s="272">
        <v>814.2</v>
      </c>
      <c r="AA213" s="272">
        <v>5503.5</v>
      </c>
      <c r="AB213" s="272">
        <v>2299.1999999999998</v>
      </c>
      <c r="AC213" s="272">
        <v>523.29999999999995</v>
      </c>
      <c r="AD213" s="272">
        <v>896.69999999999993</v>
      </c>
      <c r="AE213" s="272">
        <v>679.8</v>
      </c>
      <c r="AF213" s="272">
        <v>2928.1</v>
      </c>
      <c r="AG213" s="272">
        <v>2740.1000000000004</v>
      </c>
      <c r="AH213" s="272">
        <v>2374.3000000000002</v>
      </c>
      <c r="AI213" s="272">
        <v>3621.7999999999997</v>
      </c>
      <c r="AJ213" s="272">
        <v>561.1</v>
      </c>
      <c r="AK213" s="272">
        <v>4650.2</v>
      </c>
      <c r="AL213" s="272">
        <v>2621.67</v>
      </c>
      <c r="AM213" s="272">
        <v>13961.2</v>
      </c>
      <c r="AN213" s="272">
        <f t="shared" si="45"/>
        <v>49988.97</v>
      </c>
      <c r="AO213" s="272">
        <f t="shared" si="46"/>
        <v>51659.17</v>
      </c>
      <c r="AP213" s="272">
        <f t="shared" si="47"/>
        <v>-21846.367155999997</v>
      </c>
      <c r="AQ213" s="958"/>
      <c r="AR213" s="958"/>
    </row>
    <row r="214" spans="1:44" s="1710" customFormat="1" ht="11.45" customHeight="1" x14ac:dyDescent="0.2">
      <c r="A214" s="156" t="s">
        <v>1817</v>
      </c>
      <c r="B214" s="1136" t="s">
        <v>552</v>
      </c>
      <c r="C214" s="272">
        <v>67.5</v>
      </c>
      <c r="D214" s="272">
        <v>422.1</v>
      </c>
      <c r="E214" s="272">
        <v>0.7</v>
      </c>
      <c r="F214" s="272">
        <v>619.1</v>
      </c>
      <c r="G214" s="272">
        <v>304.60000000000002</v>
      </c>
      <c r="H214" s="272">
        <v>17428.900000000001</v>
      </c>
      <c r="I214" s="272">
        <v>0.1</v>
      </c>
      <c r="J214" s="272">
        <v>0.1</v>
      </c>
      <c r="K214" s="272">
        <v>0.1</v>
      </c>
      <c r="L214" s="272">
        <f>M214-SUM(C214:K214)</f>
        <v>2156.0000000000036</v>
      </c>
      <c r="M214" s="272">
        <v>20999.200000000001</v>
      </c>
      <c r="N214" s="272">
        <v>56.5</v>
      </c>
      <c r="O214" s="272">
        <v>1009.3</v>
      </c>
      <c r="P214" s="272">
        <f>N214+O214</f>
        <v>1065.8</v>
      </c>
      <c r="Q214" s="272">
        <v>226.6</v>
      </c>
      <c r="R214" s="272">
        <v>247.4</v>
      </c>
      <c r="S214" s="272">
        <v>1344.2</v>
      </c>
      <c r="T214" s="272">
        <v>842.4</v>
      </c>
      <c r="U214" s="272">
        <v>324.3</v>
      </c>
      <c r="V214" s="272">
        <v>587.29999999999995</v>
      </c>
      <c r="W214" s="272">
        <v>361.5</v>
      </c>
      <c r="X214" s="272">
        <v>455</v>
      </c>
      <c r="Y214" s="272">
        <v>4624.1000000000004</v>
      </c>
      <c r="Z214" s="272">
        <v>1841.2</v>
      </c>
      <c r="AA214" s="272">
        <v>400.6</v>
      </c>
      <c r="AB214" s="272">
        <v>419.9</v>
      </c>
      <c r="AC214" s="272">
        <v>529.29999999999995</v>
      </c>
      <c r="AD214" s="272">
        <v>2427</v>
      </c>
      <c r="AE214" s="272">
        <v>2335</v>
      </c>
      <c r="AF214" s="272">
        <v>2130.5</v>
      </c>
      <c r="AG214" s="272">
        <v>3475.2</v>
      </c>
      <c r="AH214" s="272">
        <v>609.70000000000005</v>
      </c>
      <c r="AI214" s="272">
        <v>2787.6</v>
      </c>
      <c r="AJ214" s="272">
        <v>2797.6</v>
      </c>
      <c r="AK214" s="272">
        <v>7974.7</v>
      </c>
      <c r="AL214" s="272">
        <v>36741.1</v>
      </c>
      <c r="AM214" s="272">
        <v>37806.9</v>
      </c>
      <c r="AN214" s="272">
        <f t="shared" ref="AN214:AN245" si="48">M214-AM214</f>
        <v>-16807.7</v>
      </c>
      <c r="AO214" s="286" t="s">
        <v>552</v>
      </c>
      <c r="AQ214" s="958"/>
      <c r="AR214" s="958"/>
    </row>
    <row r="215" spans="1:44" s="1710" customFormat="1" ht="11.45" customHeight="1" x14ac:dyDescent="0.2">
      <c r="A215" s="156" t="s">
        <v>1817</v>
      </c>
      <c r="B215" s="482" t="s">
        <v>112</v>
      </c>
      <c r="C215" s="216">
        <v>65.8</v>
      </c>
      <c r="D215" s="216">
        <v>595.1</v>
      </c>
      <c r="E215" s="216">
        <v>1.4</v>
      </c>
      <c r="F215" s="216">
        <v>915.5</v>
      </c>
      <c r="G215" s="216">
        <v>416.3</v>
      </c>
      <c r="H215" s="216">
        <v>24126</v>
      </c>
      <c r="I215" s="216">
        <v>0.1</v>
      </c>
      <c r="J215" s="216">
        <v>0.1</v>
      </c>
      <c r="K215" s="216">
        <v>114.9</v>
      </c>
      <c r="L215" s="216">
        <f t="shared" ref="L215:L236" si="49">M215-SUM(C215:K215)</f>
        <v>3147.1000000000022</v>
      </c>
      <c r="M215" s="216">
        <v>29382.3</v>
      </c>
      <c r="N215" s="216">
        <v>492.6</v>
      </c>
      <c r="O215" s="216">
        <v>956.4</v>
      </c>
      <c r="P215" s="216">
        <f t="shared" ref="P215:P225" si="50">N215+O215</f>
        <v>1449</v>
      </c>
      <c r="Q215" s="216">
        <v>309.89999999999998</v>
      </c>
      <c r="R215" s="216">
        <v>258.2</v>
      </c>
      <c r="S215" s="216">
        <v>871.7</v>
      </c>
      <c r="T215" s="216">
        <v>1269.7</v>
      </c>
      <c r="U215" s="216">
        <v>422.7</v>
      </c>
      <c r="V215" s="216">
        <v>479.9</v>
      </c>
      <c r="W215" s="216">
        <v>490.9</v>
      </c>
      <c r="X215" s="216">
        <v>346.7</v>
      </c>
      <c r="Y215" s="216">
        <v>6237</v>
      </c>
      <c r="Z215" s="216">
        <v>2127</v>
      </c>
      <c r="AA215" s="216">
        <v>692.7</v>
      </c>
      <c r="AB215" s="216">
        <v>989</v>
      </c>
      <c r="AC215" s="216">
        <v>671.3</v>
      </c>
      <c r="AD215" s="216">
        <v>2901.9</v>
      </c>
      <c r="AE215" s="216">
        <v>2763.9</v>
      </c>
      <c r="AF215" s="216">
        <v>3078.1</v>
      </c>
      <c r="AG215" s="216">
        <v>5127.1000000000004</v>
      </c>
      <c r="AH215" s="216">
        <v>767.1</v>
      </c>
      <c r="AI215" s="216">
        <v>3405.4</v>
      </c>
      <c r="AJ215" s="216">
        <v>2393.1</v>
      </c>
      <c r="AK215" s="216">
        <v>10370.700000000001</v>
      </c>
      <c r="AL215" s="216">
        <v>45974</v>
      </c>
      <c r="AM215" s="216">
        <v>47423</v>
      </c>
      <c r="AN215" s="216">
        <f t="shared" si="48"/>
        <v>-18040.7</v>
      </c>
      <c r="AO215" s="195" t="s">
        <v>112</v>
      </c>
      <c r="AQ215" s="958"/>
      <c r="AR215" s="958"/>
    </row>
    <row r="216" spans="1:44" s="1710" customFormat="1" ht="11.45" customHeight="1" x14ac:dyDescent="0.2">
      <c r="A216" s="156" t="s">
        <v>1817</v>
      </c>
      <c r="B216" s="1136" t="s">
        <v>547</v>
      </c>
      <c r="C216" s="272">
        <v>104.3</v>
      </c>
      <c r="D216" s="272">
        <v>541.6</v>
      </c>
      <c r="E216" s="272">
        <v>3.4</v>
      </c>
      <c r="F216" s="272">
        <v>766.5</v>
      </c>
      <c r="G216" s="272">
        <v>377.3</v>
      </c>
      <c r="H216" s="272">
        <v>25179.1</v>
      </c>
      <c r="I216" s="272">
        <v>0.1</v>
      </c>
      <c r="J216" s="272">
        <v>0.1</v>
      </c>
      <c r="K216" s="272">
        <v>0.1</v>
      </c>
      <c r="L216" s="272">
        <f t="shared" si="49"/>
        <v>3216.6000000000058</v>
      </c>
      <c r="M216" s="272">
        <v>30189.1</v>
      </c>
      <c r="N216" s="272">
        <v>436.9</v>
      </c>
      <c r="O216" s="272">
        <v>1054.7</v>
      </c>
      <c r="P216" s="272">
        <f t="shared" si="50"/>
        <v>1491.6</v>
      </c>
      <c r="Q216" s="272">
        <v>289.5</v>
      </c>
      <c r="R216" s="272">
        <v>210.5</v>
      </c>
      <c r="S216" s="272">
        <v>649.1</v>
      </c>
      <c r="T216" s="272">
        <v>1801.7</v>
      </c>
      <c r="U216" s="272">
        <v>364.3</v>
      </c>
      <c r="V216" s="272">
        <v>403.1</v>
      </c>
      <c r="W216" s="272">
        <v>399.3</v>
      </c>
      <c r="X216" s="272">
        <v>0</v>
      </c>
      <c r="Y216" s="272">
        <v>4557</v>
      </c>
      <c r="Z216" s="272">
        <v>2307.1</v>
      </c>
      <c r="AA216" s="272">
        <v>2714.5</v>
      </c>
      <c r="AB216" s="272">
        <v>3600.5</v>
      </c>
      <c r="AC216" s="272">
        <v>673.2</v>
      </c>
      <c r="AD216" s="272">
        <v>2745</v>
      </c>
      <c r="AE216" s="272">
        <v>2524</v>
      </c>
      <c r="AF216" s="272">
        <v>3482.5</v>
      </c>
      <c r="AG216" s="272">
        <v>5345</v>
      </c>
      <c r="AH216" s="272">
        <v>769.6</v>
      </c>
      <c r="AI216" s="272">
        <v>3750.5</v>
      </c>
      <c r="AJ216" s="272">
        <v>9321.2000000000007</v>
      </c>
      <c r="AK216" s="272">
        <v>10683.1</v>
      </c>
      <c r="AL216" s="272">
        <v>56590.700000000004</v>
      </c>
      <c r="AM216" s="272">
        <v>58082.3</v>
      </c>
      <c r="AN216" s="272">
        <f t="shared" si="48"/>
        <v>-27893.200000000004</v>
      </c>
      <c r="AO216" s="286" t="s">
        <v>547</v>
      </c>
      <c r="AQ216" s="958"/>
      <c r="AR216" s="958"/>
    </row>
    <row r="217" spans="1:44" s="1710" customFormat="1" ht="11.45" customHeight="1" x14ac:dyDescent="0.2">
      <c r="A217" s="156" t="s">
        <v>1817</v>
      </c>
      <c r="B217" s="482" t="s">
        <v>554</v>
      </c>
      <c r="C217" s="216">
        <v>167.8</v>
      </c>
      <c r="D217" s="216">
        <v>560.20000000000005</v>
      </c>
      <c r="E217" s="216">
        <v>1.8</v>
      </c>
      <c r="F217" s="216">
        <v>731.8</v>
      </c>
      <c r="G217" s="216">
        <v>442.1</v>
      </c>
      <c r="H217" s="216">
        <v>24122.6</v>
      </c>
      <c r="I217" s="216">
        <v>0.1</v>
      </c>
      <c r="J217" s="216">
        <v>0.1</v>
      </c>
      <c r="K217" s="216">
        <v>0.1</v>
      </c>
      <c r="L217" s="216">
        <f t="shared" si="49"/>
        <v>2955.6000000000058</v>
      </c>
      <c r="M217" s="216">
        <v>28982.2</v>
      </c>
      <c r="N217" s="216">
        <v>1183.9000000000001</v>
      </c>
      <c r="O217" s="216">
        <v>1831</v>
      </c>
      <c r="P217" s="216">
        <f t="shared" si="50"/>
        <v>3014.9</v>
      </c>
      <c r="Q217" s="216">
        <v>127.8</v>
      </c>
      <c r="R217" s="216">
        <v>173.5</v>
      </c>
      <c r="S217" s="216">
        <v>628.79999999999995</v>
      </c>
      <c r="T217" s="216">
        <v>2317.1</v>
      </c>
      <c r="U217" s="216">
        <v>341.8</v>
      </c>
      <c r="V217" s="216">
        <v>878.2</v>
      </c>
      <c r="W217" s="216">
        <v>482.5</v>
      </c>
      <c r="X217" s="216">
        <v>944.5</v>
      </c>
      <c r="Y217" s="216">
        <v>7301.8</v>
      </c>
      <c r="Z217" s="216">
        <v>2147.3000000000002</v>
      </c>
      <c r="AA217" s="216">
        <v>916.6</v>
      </c>
      <c r="AB217" s="216">
        <v>1859.6</v>
      </c>
      <c r="AC217" s="216">
        <v>582.6</v>
      </c>
      <c r="AD217" s="216">
        <v>2808.8</v>
      </c>
      <c r="AE217" s="216">
        <v>2100.1999999999998</v>
      </c>
      <c r="AF217" s="216">
        <v>3242.6</v>
      </c>
      <c r="AG217" s="216">
        <v>4612</v>
      </c>
      <c r="AH217" s="216">
        <v>710.7</v>
      </c>
      <c r="AI217" s="216">
        <v>3258.4</v>
      </c>
      <c r="AJ217" s="216">
        <v>2622</v>
      </c>
      <c r="AK217" s="216">
        <v>10335.200000000001</v>
      </c>
      <c r="AL217" s="216">
        <v>48392</v>
      </c>
      <c r="AM217" s="216">
        <v>51406.9</v>
      </c>
      <c r="AN217" s="216">
        <f t="shared" si="48"/>
        <v>-22424.7</v>
      </c>
      <c r="AO217" s="195" t="s">
        <v>554</v>
      </c>
      <c r="AQ217" s="958"/>
      <c r="AR217" s="958"/>
    </row>
    <row r="218" spans="1:44" s="1710" customFormat="1" ht="11.45" customHeight="1" x14ac:dyDescent="0.2">
      <c r="A218" s="156" t="s">
        <v>1817</v>
      </c>
      <c r="B218" s="1136" t="s">
        <v>555</v>
      </c>
      <c r="C218" s="272">
        <v>191</v>
      </c>
      <c r="D218" s="272">
        <v>600.70000000000005</v>
      </c>
      <c r="E218" s="272">
        <v>1.2</v>
      </c>
      <c r="F218" s="272">
        <v>757.9</v>
      </c>
      <c r="G218" s="272">
        <v>478.5</v>
      </c>
      <c r="H218" s="272">
        <v>23775.4</v>
      </c>
      <c r="I218" s="272">
        <v>0.1</v>
      </c>
      <c r="J218" s="272">
        <v>0.1</v>
      </c>
      <c r="K218" s="272">
        <v>0.1</v>
      </c>
      <c r="L218" s="272">
        <f t="shared" si="49"/>
        <v>3351.3000000000029</v>
      </c>
      <c r="M218" s="272">
        <v>29156.3</v>
      </c>
      <c r="N218" s="272">
        <v>648.6</v>
      </c>
      <c r="O218" s="272">
        <v>1649.5</v>
      </c>
      <c r="P218" s="272">
        <f t="shared" si="50"/>
        <v>2298.1</v>
      </c>
      <c r="Q218" s="272">
        <v>293.3</v>
      </c>
      <c r="R218" s="272">
        <v>198.1</v>
      </c>
      <c r="S218" s="272">
        <v>1648</v>
      </c>
      <c r="T218" s="272">
        <v>2337.3000000000002</v>
      </c>
      <c r="U218" s="272">
        <v>598.79999999999995</v>
      </c>
      <c r="V218" s="272">
        <v>667.7</v>
      </c>
      <c r="W218" s="272">
        <v>469.7</v>
      </c>
      <c r="X218" s="272">
        <v>448.7</v>
      </c>
      <c r="Y218" s="272">
        <v>10483.200000000001</v>
      </c>
      <c r="Z218" s="272">
        <v>2187.1</v>
      </c>
      <c r="AA218" s="272">
        <v>175.4</v>
      </c>
      <c r="AB218" s="272">
        <v>1487</v>
      </c>
      <c r="AC218" s="272">
        <v>612.29999999999995</v>
      </c>
      <c r="AD218" s="272">
        <v>2601.6</v>
      </c>
      <c r="AE218" s="272">
        <v>2399</v>
      </c>
      <c r="AF218" s="272">
        <v>3151</v>
      </c>
      <c r="AG218" s="272">
        <v>5215.8</v>
      </c>
      <c r="AH218" s="272">
        <v>793.3</v>
      </c>
      <c r="AI218" s="272">
        <v>4270.7</v>
      </c>
      <c r="AJ218" s="272">
        <v>3562</v>
      </c>
      <c r="AK218" s="272">
        <v>11888.6</v>
      </c>
      <c r="AL218" s="272">
        <v>55488.6</v>
      </c>
      <c r="AM218" s="272">
        <v>57786.7</v>
      </c>
      <c r="AN218" s="272">
        <f t="shared" si="48"/>
        <v>-28630.399999999998</v>
      </c>
      <c r="AO218" s="286" t="s">
        <v>555</v>
      </c>
      <c r="AQ218" s="958"/>
      <c r="AR218" s="958"/>
    </row>
    <row r="219" spans="1:44" s="1710" customFormat="1" ht="11.45" customHeight="1" x14ac:dyDescent="0.2">
      <c r="A219" s="156" t="s">
        <v>1817</v>
      </c>
      <c r="B219" s="482" t="s">
        <v>548</v>
      </c>
      <c r="C219" s="216">
        <v>238.1</v>
      </c>
      <c r="D219" s="216">
        <v>758.4</v>
      </c>
      <c r="E219" s="216">
        <v>1.2</v>
      </c>
      <c r="F219" s="216">
        <v>919.6</v>
      </c>
      <c r="G219" s="216">
        <v>422.7</v>
      </c>
      <c r="H219" s="216">
        <v>28410</v>
      </c>
      <c r="I219" s="216">
        <v>0.1</v>
      </c>
      <c r="J219" s="216">
        <v>0.1</v>
      </c>
      <c r="K219" s="216">
        <v>0.1</v>
      </c>
      <c r="L219" s="216">
        <f t="shared" si="49"/>
        <v>3709.2000000000044</v>
      </c>
      <c r="M219" s="216">
        <v>34459.5</v>
      </c>
      <c r="N219" s="216">
        <v>951.9</v>
      </c>
      <c r="O219" s="216">
        <v>2279.9</v>
      </c>
      <c r="P219" s="216">
        <f t="shared" si="50"/>
        <v>3231.8</v>
      </c>
      <c r="Q219" s="216">
        <v>262</v>
      </c>
      <c r="R219" s="216">
        <v>210.4</v>
      </c>
      <c r="S219" s="216">
        <v>1907.3</v>
      </c>
      <c r="T219" s="216">
        <v>1815.5</v>
      </c>
      <c r="U219" s="216">
        <v>239.5</v>
      </c>
      <c r="V219" s="216">
        <v>1179.4000000000001</v>
      </c>
      <c r="W219" s="216">
        <v>568.4</v>
      </c>
      <c r="X219" s="216">
        <v>0</v>
      </c>
      <c r="Y219" s="216">
        <v>6914.6</v>
      </c>
      <c r="Z219" s="216">
        <v>2523.5</v>
      </c>
      <c r="AA219" s="216">
        <v>115.5</v>
      </c>
      <c r="AB219" s="216">
        <v>1870.5</v>
      </c>
      <c r="AC219" s="216">
        <v>747.3</v>
      </c>
      <c r="AD219" s="216">
        <v>3057.4</v>
      </c>
      <c r="AE219" s="216">
        <v>3051.3</v>
      </c>
      <c r="AF219" s="216">
        <v>3487.4</v>
      </c>
      <c r="AG219" s="216">
        <v>6020.4</v>
      </c>
      <c r="AH219" s="216">
        <v>998.6</v>
      </c>
      <c r="AI219" s="216">
        <v>5136.3999999999996</v>
      </c>
      <c r="AJ219" s="216">
        <v>5011.8</v>
      </c>
      <c r="AK219" s="216">
        <v>15992.1</v>
      </c>
      <c r="AL219" s="216">
        <v>61109.3</v>
      </c>
      <c r="AM219" s="216">
        <v>64341.100000000006</v>
      </c>
      <c r="AN219" s="216">
        <f t="shared" si="48"/>
        <v>-29881.600000000006</v>
      </c>
      <c r="AO219" s="195" t="s">
        <v>548</v>
      </c>
      <c r="AQ219" s="958"/>
      <c r="AR219" s="958"/>
    </row>
    <row r="220" spans="1:44" s="1710" customFormat="1" ht="11.45" customHeight="1" x14ac:dyDescent="0.2">
      <c r="A220" s="156" t="s">
        <v>1817</v>
      </c>
      <c r="B220" s="1136" t="s">
        <v>556</v>
      </c>
      <c r="C220" s="272">
        <v>165.9</v>
      </c>
      <c r="D220" s="272">
        <v>792.6</v>
      </c>
      <c r="E220" s="272">
        <v>1.5</v>
      </c>
      <c r="F220" s="272">
        <v>958.9</v>
      </c>
      <c r="G220" s="272">
        <v>371.6</v>
      </c>
      <c r="H220" s="272">
        <v>26356.3</v>
      </c>
      <c r="I220" s="272">
        <v>0.1</v>
      </c>
      <c r="J220" s="272">
        <v>0.1</v>
      </c>
      <c r="K220" s="272">
        <v>0.1</v>
      </c>
      <c r="L220" s="272">
        <f t="shared" si="49"/>
        <v>2940.6000000000058</v>
      </c>
      <c r="M220" s="272">
        <v>31587.7</v>
      </c>
      <c r="N220" s="272">
        <v>249.6</v>
      </c>
      <c r="O220" s="272">
        <v>1483.4</v>
      </c>
      <c r="P220" s="272">
        <f t="shared" si="50"/>
        <v>1733</v>
      </c>
      <c r="Q220" s="272">
        <v>272.8</v>
      </c>
      <c r="R220" s="272">
        <v>223.9</v>
      </c>
      <c r="S220" s="272">
        <v>712.6</v>
      </c>
      <c r="T220" s="272">
        <v>1502.2</v>
      </c>
      <c r="U220" s="272">
        <v>741.6</v>
      </c>
      <c r="V220" s="272">
        <v>893.3</v>
      </c>
      <c r="W220" s="272">
        <v>592.6</v>
      </c>
      <c r="X220" s="272">
        <v>967.7</v>
      </c>
      <c r="Y220" s="272">
        <v>3871.7</v>
      </c>
      <c r="Z220" s="272">
        <v>2401.6</v>
      </c>
      <c r="AA220" s="272">
        <v>183.2</v>
      </c>
      <c r="AB220" s="272">
        <v>6067.9</v>
      </c>
      <c r="AC220" s="272">
        <v>727.2</v>
      </c>
      <c r="AD220" s="272">
        <v>2757.7</v>
      </c>
      <c r="AE220" s="272">
        <v>3426.8</v>
      </c>
      <c r="AF220" s="272">
        <v>3979</v>
      </c>
      <c r="AG220" s="272">
        <v>6280.7</v>
      </c>
      <c r="AH220" s="272">
        <v>989.9</v>
      </c>
      <c r="AI220" s="272">
        <v>4305.1000000000004</v>
      </c>
      <c r="AJ220" s="272">
        <v>2945.2</v>
      </c>
      <c r="AK220" s="272">
        <v>11758.2</v>
      </c>
      <c r="AL220" s="272">
        <v>55600.899999999994</v>
      </c>
      <c r="AM220" s="272">
        <v>57333.899999999994</v>
      </c>
      <c r="AN220" s="272">
        <f t="shared" si="48"/>
        <v>-25746.199999999993</v>
      </c>
      <c r="AO220" s="286" t="s">
        <v>556</v>
      </c>
      <c r="AQ220" s="958"/>
      <c r="AR220" s="958"/>
    </row>
    <row r="221" spans="1:44" s="1710" customFormat="1" ht="11.45" customHeight="1" x14ac:dyDescent="0.2">
      <c r="A221" s="156" t="s">
        <v>1817</v>
      </c>
      <c r="B221" s="482" t="s">
        <v>557</v>
      </c>
      <c r="C221" s="216">
        <v>90.2</v>
      </c>
      <c r="D221" s="216">
        <v>645.9</v>
      </c>
      <c r="E221" s="216">
        <v>0.9</v>
      </c>
      <c r="F221" s="216">
        <v>812</v>
      </c>
      <c r="G221" s="216">
        <v>260.2</v>
      </c>
      <c r="H221" s="216">
        <v>25741.8</v>
      </c>
      <c r="I221" s="216">
        <v>0.1</v>
      </c>
      <c r="J221" s="216">
        <v>0.1</v>
      </c>
      <c r="K221" s="216">
        <v>0.1</v>
      </c>
      <c r="L221" s="216">
        <f t="shared" si="49"/>
        <v>2638.3000000000029</v>
      </c>
      <c r="M221" s="216">
        <v>30189.599999999999</v>
      </c>
      <c r="N221" s="216">
        <v>210.1</v>
      </c>
      <c r="O221" s="216">
        <v>1826</v>
      </c>
      <c r="P221" s="216">
        <f t="shared" si="50"/>
        <v>2036.1</v>
      </c>
      <c r="Q221" s="216">
        <v>242.1</v>
      </c>
      <c r="R221" s="216">
        <v>204.9</v>
      </c>
      <c r="S221" s="216">
        <v>804.8</v>
      </c>
      <c r="T221" s="216">
        <v>1722.7</v>
      </c>
      <c r="U221" s="216">
        <v>932</v>
      </c>
      <c r="V221" s="216">
        <v>1602.4</v>
      </c>
      <c r="W221" s="216">
        <v>727.1</v>
      </c>
      <c r="X221" s="216">
        <v>1080.8</v>
      </c>
      <c r="Y221" s="216">
        <v>5305.6</v>
      </c>
      <c r="Z221" s="216">
        <v>2155.9</v>
      </c>
      <c r="AA221" s="216">
        <v>104.7</v>
      </c>
      <c r="AB221" s="216">
        <v>2300.1999999999998</v>
      </c>
      <c r="AC221" s="216">
        <v>662.8</v>
      </c>
      <c r="AD221" s="216">
        <v>2515.3000000000002</v>
      </c>
      <c r="AE221" s="216">
        <v>3682.9</v>
      </c>
      <c r="AF221" s="216">
        <v>3549.7</v>
      </c>
      <c r="AG221" s="216">
        <v>5959.2</v>
      </c>
      <c r="AH221" s="216">
        <v>916.3</v>
      </c>
      <c r="AI221" s="216">
        <v>4625.7</v>
      </c>
      <c r="AJ221" s="216">
        <v>2393.5</v>
      </c>
      <c r="AK221" s="216">
        <v>11408.6</v>
      </c>
      <c r="AL221" s="216">
        <v>52897.2</v>
      </c>
      <c r="AM221" s="216">
        <v>54933.299999999996</v>
      </c>
      <c r="AN221" s="216">
        <f t="shared" si="48"/>
        <v>-24743.699999999997</v>
      </c>
      <c r="AO221" s="195" t="s">
        <v>557</v>
      </c>
      <c r="AQ221" s="958"/>
      <c r="AR221" s="958"/>
    </row>
    <row r="222" spans="1:44" s="1710" customFormat="1" ht="11.45" customHeight="1" x14ac:dyDescent="0.2">
      <c r="A222" s="156" t="s">
        <v>1817</v>
      </c>
      <c r="B222" s="1136" t="s">
        <v>549</v>
      </c>
      <c r="C222" s="272">
        <v>112.4</v>
      </c>
      <c r="D222" s="272">
        <v>781.3</v>
      </c>
      <c r="E222" s="272">
        <v>1.4</v>
      </c>
      <c r="F222" s="272">
        <v>908.5</v>
      </c>
      <c r="G222" s="272">
        <v>218.7</v>
      </c>
      <c r="H222" s="272">
        <v>30415.599999999999</v>
      </c>
      <c r="I222" s="272">
        <v>0.1</v>
      </c>
      <c r="J222" s="272">
        <v>0.1</v>
      </c>
      <c r="K222" s="272">
        <v>0.1</v>
      </c>
      <c r="L222" s="272">
        <f t="shared" si="49"/>
        <v>3313.200000000008</v>
      </c>
      <c r="M222" s="272">
        <v>35751.4</v>
      </c>
      <c r="N222" s="272">
        <v>234.9</v>
      </c>
      <c r="O222" s="272">
        <v>1924.8</v>
      </c>
      <c r="P222" s="272">
        <f t="shared" si="50"/>
        <v>2159.6999999999998</v>
      </c>
      <c r="Q222" s="272">
        <v>317</v>
      </c>
      <c r="R222" s="272">
        <v>276.60000000000002</v>
      </c>
      <c r="S222" s="272">
        <v>1252</v>
      </c>
      <c r="T222" s="272">
        <v>2593.1</v>
      </c>
      <c r="U222" s="272">
        <v>692.3</v>
      </c>
      <c r="V222" s="272">
        <v>877.8</v>
      </c>
      <c r="W222" s="272">
        <v>608.6</v>
      </c>
      <c r="X222" s="272">
        <v>485.7</v>
      </c>
      <c r="Y222" s="272">
        <v>10983.5</v>
      </c>
      <c r="Z222" s="272">
        <v>2803.3</v>
      </c>
      <c r="AA222" s="272">
        <v>151.30000000000001</v>
      </c>
      <c r="AB222" s="272">
        <v>1578.1</v>
      </c>
      <c r="AC222" s="272">
        <v>787.7</v>
      </c>
      <c r="AD222" s="272">
        <v>3171.6</v>
      </c>
      <c r="AE222" s="272">
        <v>4238.2</v>
      </c>
      <c r="AF222" s="272">
        <v>3745.7</v>
      </c>
      <c r="AG222" s="272">
        <v>6423.2</v>
      </c>
      <c r="AH222" s="272">
        <v>1163.8</v>
      </c>
      <c r="AI222" s="272">
        <v>5215.2</v>
      </c>
      <c r="AJ222" s="272">
        <v>2636</v>
      </c>
      <c r="AK222" s="272">
        <v>12616.9</v>
      </c>
      <c r="AL222" s="272">
        <v>62617.599999999991</v>
      </c>
      <c r="AM222" s="272">
        <v>64777.299999999988</v>
      </c>
      <c r="AN222" s="272">
        <f t="shared" si="48"/>
        <v>-29025.899999999987</v>
      </c>
      <c r="AO222" s="286" t="s">
        <v>549</v>
      </c>
      <c r="AQ222" s="958"/>
      <c r="AR222" s="958"/>
    </row>
    <row r="223" spans="1:44" s="1710" customFormat="1" ht="11.45" customHeight="1" x14ac:dyDescent="0.2">
      <c r="A223" s="156" t="s">
        <v>1817</v>
      </c>
      <c r="B223" s="482" t="s">
        <v>558</v>
      </c>
      <c r="C223" s="216">
        <v>104.3</v>
      </c>
      <c r="D223" s="216">
        <v>563.9</v>
      </c>
      <c r="E223" s="216">
        <v>1.3</v>
      </c>
      <c r="F223" s="216">
        <v>902.7</v>
      </c>
      <c r="G223" s="216">
        <v>229.9</v>
      </c>
      <c r="H223" s="216">
        <v>27145.599999999999</v>
      </c>
      <c r="I223" s="216">
        <v>0.1</v>
      </c>
      <c r="J223" s="216">
        <v>0.1</v>
      </c>
      <c r="K223" s="216">
        <v>0.1</v>
      </c>
      <c r="L223" s="216">
        <f t="shared" si="49"/>
        <v>3339.4000000000087</v>
      </c>
      <c r="M223" s="216">
        <v>32287.4</v>
      </c>
      <c r="N223" s="216">
        <v>108.9</v>
      </c>
      <c r="O223" s="216">
        <v>1426.8</v>
      </c>
      <c r="P223" s="216">
        <f t="shared" si="50"/>
        <v>1535.7</v>
      </c>
      <c r="Q223" s="216">
        <v>334.2</v>
      </c>
      <c r="R223" s="216">
        <v>276.7</v>
      </c>
      <c r="S223" s="216">
        <v>657.7</v>
      </c>
      <c r="T223" s="216">
        <v>1770.8</v>
      </c>
      <c r="U223" s="216">
        <v>619.4</v>
      </c>
      <c r="V223" s="216">
        <v>546.20000000000005</v>
      </c>
      <c r="W223" s="216">
        <v>760.5</v>
      </c>
      <c r="X223" s="216">
        <v>719.5</v>
      </c>
      <c r="Y223" s="216">
        <v>13232.9</v>
      </c>
      <c r="Z223" s="216">
        <v>2462.5</v>
      </c>
      <c r="AA223" s="216">
        <v>132.9</v>
      </c>
      <c r="AB223" s="216">
        <v>1053.8</v>
      </c>
      <c r="AC223" s="216">
        <v>729.7</v>
      </c>
      <c r="AD223" s="216">
        <v>2935.2</v>
      </c>
      <c r="AE223" s="216">
        <v>3126.9</v>
      </c>
      <c r="AF223" s="216">
        <v>3337.6</v>
      </c>
      <c r="AG223" s="216">
        <v>5829.1</v>
      </c>
      <c r="AH223" s="216">
        <v>1069.0999999999999</v>
      </c>
      <c r="AI223" s="216">
        <v>4359.3</v>
      </c>
      <c r="AJ223" s="216">
        <v>2800.2</v>
      </c>
      <c r="AK223" s="216">
        <v>10685.9</v>
      </c>
      <c r="AL223" s="216">
        <v>57440.100000000006</v>
      </c>
      <c r="AM223" s="216">
        <v>58975.8</v>
      </c>
      <c r="AN223" s="216">
        <f t="shared" si="48"/>
        <v>-26688.400000000001</v>
      </c>
      <c r="AO223" s="195" t="s">
        <v>558</v>
      </c>
      <c r="AQ223" s="958"/>
      <c r="AR223" s="958"/>
    </row>
    <row r="224" spans="1:44" s="1710" customFormat="1" ht="11.45" customHeight="1" x14ac:dyDescent="0.2">
      <c r="A224" s="156" t="s">
        <v>1817</v>
      </c>
      <c r="B224" s="1136" t="s">
        <v>559</v>
      </c>
      <c r="C224" s="272">
        <v>128.30000000000001</v>
      </c>
      <c r="D224" s="272">
        <v>497.5</v>
      </c>
      <c r="E224" s="272">
        <v>1.4</v>
      </c>
      <c r="F224" s="272">
        <v>888.5</v>
      </c>
      <c r="G224" s="272">
        <v>191.3</v>
      </c>
      <c r="H224" s="272">
        <v>28813.1</v>
      </c>
      <c r="I224" s="272">
        <v>0.1</v>
      </c>
      <c r="J224" s="272">
        <v>0.1</v>
      </c>
      <c r="K224" s="272">
        <v>0.1</v>
      </c>
      <c r="L224" s="272">
        <f t="shared" si="49"/>
        <v>2950.1000000000058</v>
      </c>
      <c r="M224" s="272">
        <v>33470.5</v>
      </c>
      <c r="N224" s="272">
        <v>83.5</v>
      </c>
      <c r="O224" s="272">
        <v>1268.9000000000001</v>
      </c>
      <c r="P224" s="272">
        <f t="shared" si="50"/>
        <v>1352.4</v>
      </c>
      <c r="Q224" s="272">
        <v>380.3</v>
      </c>
      <c r="R224" s="272">
        <v>278</v>
      </c>
      <c r="S224" s="272">
        <v>1128.2</v>
      </c>
      <c r="T224" s="272">
        <v>2151.1</v>
      </c>
      <c r="U224" s="272">
        <v>527</v>
      </c>
      <c r="V224" s="272">
        <v>1515.3</v>
      </c>
      <c r="W224" s="272">
        <v>563.20000000000005</v>
      </c>
      <c r="X224" s="272">
        <v>0</v>
      </c>
      <c r="Y224" s="272">
        <v>11478.7</v>
      </c>
      <c r="Z224" s="272">
        <v>2361.6999999999998</v>
      </c>
      <c r="AA224" s="272">
        <v>125.2</v>
      </c>
      <c r="AB224" s="272">
        <v>1422.9</v>
      </c>
      <c r="AC224" s="272">
        <v>755.8</v>
      </c>
      <c r="AD224" s="272">
        <v>3061.5</v>
      </c>
      <c r="AE224" s="272">
        <v>2942.4</v>
      </c>
      <c r="AF224" s="272">
        <v>3660.6</v>
      </c>
      <c r="AG224" s="272">
        <v>6391.2</v>
      </c>
      <c r="AH224" s="272">
        <v>1033.0999999999999</v>
      </c>
      <c r="AI224" s="272">
        <v>4842.5</v>
      </c>
      <c r="AJ224" s="272">
        <v>2614.4</v>
      </c>
      <c r="AK224" s="272">
        <v>10481.700000000001</v>
      </c>
      <c r="AL224" s="272">
        <v>57714.8</v>
      </c>
      <c r="AM224" s="272">
        <v>59067.200000000004</v>
      </c>
      <c r="AN224" s="272">
        <f t="shared" si="48"/>
        <v>-25596.700000000004</v>
      </c>
      <c r="AO224" s="286" t="s">
        <v>559</v>
      </c>
      <c r="AQ224" s="958"/>
      <c r="AR224" s="958"/>
    </row>
    <row r="225" spans="1:56" s="1710" customFormat="1" ht="11.45" customHeight="1" x14ac:dyDescent="0.2">
      <c r="A225" s="156" t="s">
        <v>1817</v>
      </c>
      <c r="B225" s="482" t="s">
        <v>550</v>
      </c>
      <c r="C225" s="216">
        <v>135.6</v>
      </c>
      <c r="D225" s="216">
        <v>608</v>
      </c>
      <c r="E225" s="216">
        <v>2.2000000000000002</v>
      </c>
      <c r="F225" s="216">
        <v>1077.3</v>
      </c>
      <c r="G225" s="216">
        <v>299.89999999999998</v>
      </c>
      <c r="H225" s="216">
        <v>34444</v>
      </c>
      <c r="I225" s="216">
        <v>0.1</v>
      </c>
      <c r="J225" s="216">
        <v>0.1</v>
      </c>
      <c r="K225" s="216">
        <v>0.1</v>
      </c>
      <c r="L225" s="216">
        <f t="shared" si="49"/>
        <v>3953.7000000000044</v>
      </c>
      <c r="M225" s="216">
        <v>40521</v>
      </c>
      <c r="N225" s="216">
        <v>22.6</v>
      </c>
      <c r="O225" s="216">
        <v>1086.3</v>
      </c>
      <c r="P225" s="216">
        <f t="shared" si="50"/>
        <v>1108.8999999999999</v>
      </c>
      <c r="Q225" s="216">
        <v>237.7</v>
      </c>
      <c r="R225" s="216">
        <v>352.5</v>
      </c>
      <c r="S225" s="216">
        <v>2249.6999999999998</v>
      </c>
      <c r="T225" s="216">
        <v>1882.7</v>
      </c>
      <c r="U225" s="216">
        <v>380.8</v>
      </c>
      <c r="V225" s="216">
        <v>606.5</v>
      </c>
      <c r="W225" s="216">
        <v>603.1</v>
      </c>
      <c r="X225" s="216">
        <v>2150.6</v>
      </c>
      <c r="Y225" s="216">
        <v>11966.6</v>
      </c>
      <c r="Z225" s="216">
        <v>2989.9</v>
      </c>
      <c r="AA225" s="216">
        <v>168.9</v>
      </c>
      <c r="AB225" s="216">
        <v>2323.9</v>
      </c>
      <c r="AC225" s="216">
        <v>835.4</v>
      </c>
      <c r="AD225" s="216">
        <v>3471.5</v>
      </c>
      <c r="AE225" s="216">
        <v>3181.3</v>
      </c>
      <c r="AF225" s="216">
        <v>3595</v>
      </c>
      <c r="AG225" s="216">
        <v>6705.9</v>
      </c>
      <c r="AH225" s="216">
        <v>1054.5999999999999</v>
      </c>
      <c r="AI225" s="216">
        <v>5932.9</v>
      </c>
      <c r="AJ225" s="216">
        <v>3627.8</v>
      </c>
      <c r="AK225" s="216">
        <v>15033.8</v>
      </c>
      <c r="AL225" s="216">
        <v>69351.100000000006</v>
      </c>
      <c r="AM225" s="216">
        <v>70460</v>
      </c>
      <c r="AN225" s="216">
        <f t="shared" si="48"/>
        <v>-29939</v>
      </c>
      <c r="AO225" s="195" t="s">
        <v>550</v>
      </c>
      <c r="AQ225" s="958"/>
      <c r="AR225" s="958"/>
    </row>
    <row r="226" spans="1:56" s="1710" customFormat="1" ht="11.45" customHeight="1" x14ac:dyDescent="0.2">
      <c r="A226" s="156" t="s">
        <v>2066</v>
      </c>
      <c r="B226" s="482" t="s">
        <v>552</v>
      </c>
      <c r="C226" s="216">
        <v>210.3</v>
      </c>
      <c r="D226" s="216">
        <v>466.2</v>
      </c>
      <c r="E226" s="216">
        <v>3.7</v>
      </c>
      <c r="F226" s="216">
        <v>1061</v>
      </c>
      <c r="G226" s="216">
        <v>256.10000000000002</v>
      </c>
      <c r="H226" s="216">
        <v>29610.9</v>
      </c>
      <c r="I226" s="216">
        <v>0.1</v>
      </c>
      <c r="J226" s="216">
        <v>0.1</v>
      </c>
      <c r="K226" s="216">
        <v>0.1</v>
      </c>
      <c r="L226" s="216">
        <f t="shared" si="49"/>
        <v>3720.9000000000051</v>
      </c>
      <c r="M226" s="216">
        <v>35329.4</v>
      </c>
      <c r="N226" s="216">
        <v>129.5</v>
      </c>
      <c r="O226" s="216">
        <v>881.5</v>
      </c>
      <c r="P226" s="216">
        <f>N226+O226</f>
        <v>1011</v>
      </c>
      <c r="Q226" s="216">
        <v>299.3</v>
      </c>
      <c r="R226" s="216">
        <v>313.89999999999998</v>
      </c>
      <c r="S226" s="216">
        <v>2604.6999999999998</v>
      </c>
      <c r="T226" s="216">
        <v>4220.8</v>
      </c>
      <c r="U226" s="216">
        <v>512.29999999999995</v>
      </c>
      <c r="V226" s="216">
        <v>524.1</v>
      </c>
      <c r="W226" s="216">
        <v>591.9</v>
      </c>
      <c r="X226" s="216">
        <v>1213</v>
      </c>
      <c r="Y226" s="216">
        <v>14375.6</v>
      </c>
      <c r="Z226" s="216">
        <v>2802.7</v>
      </c>
      <c r="AA226" s="216">
        <v>129.30000000000001</v>
      </c>
      <c r="AB226" s="216">
        <v>1171.5</v>
      </c>
      <c r="AC226" s="216">
        <v>755.5</v>
      </c>
      <c r="AD226" s="216">
        <v>2904.6</v>
      </c>
      <c r="AE226" s="216">
        <v>3742.2</v>
      </c>
      <c r="AF226" s="216">
        <v>3242</v>
      </c>
      <c r="AG226" s="216">
        <v>5845.3</v>
      </c>
      <c r="AH226" s="216">
        <v>996.8</v>
      </c>
      <c r="AI226" s="216">
        <v>4737</v>
      </c>
      <c r="AJ226" s="216">
        <v>2914.1</v>
      </c>
      <c r="AK226" s="216">
        <v>11910.2</v>
      </c>
      <c r="AL226" s="216">
        <v>65806.8</v>
      </c>
      <c r="AM226" s="216">
        <f t="shared" ref="AM226:AM269" si="51">P226+AL226</f>
        <v>66817.8</v>
      </c>
      <c r="AN226" s="216">
        <f t="shared" si="48"/>
        <v>-31488.400000000001</v>
      </c>
      <c r="AO226" s="195" t="s">
        <v>552</v>
      </c>
      <c r="AQ226" s="958"/>
      <c r="AR226" s="958"/>
    </row>
    <row r="227" spans="1:56" s="1710" customFormat="1" ht="11.45" customHeight="1" x14ac:dyDescent="0.2">
      <c r="A227" s="156" t="s">
        <v>2066</v>
      </c>
      <c r="B227" s="1136" t="s">
        <v>112</v>
      </c>
      <c r="C227" s="272">
        <v>189.8</v>
      </c>
      <c r="D227" s="272">
        <v>584.5</v>
      </c>
      <c r="E227" s="272">
        <v>1.6</v>
      </c>
      <c r="F227" s="272">
        <v>1548.7</v>
      </c>
      <c r="G227" s="272">
        <v>346.6</v>
      </c>
      <c r="H227" s="272">
        <v>35570.6</v>
      </c>
      <c r="I227" s="272">
        <v>0.1</v>
      </c>
      <c r="J227" s="272">
        <v>0.1</v>
      </c>
      <c r="K227" s="272">
        <v>0.1</v>
      </c>
      <c r="L227" s="272">
        <f t="shared" si="49"/>
        <v>3481.3000000000102</v>
      </c>
      <c r="M227" s="272">
        <v>41723.4</v>
      </c>
      <c r="N227" s="272">
        <v>191.5</v>
      </c>
      <c r="O227" s="272">
        <v>621.6</v>
      </c>
      <c r="P227" s="272">
        <f t="shared" ref="P227:P237" si="52">N227+O227</f>
        <v>813.1</v>
      </c>
      <c r="Q227" s="272">
        <v>237.7</v>
      </c>
      <c r="R227" s="272">
        <v>229.2</v>
      </c>
      <c r="S227" s="272">
        <v>1402.4</v>
      </c>
      <c r="T227" s="272">
        <v>3339.4</v>
      </c>
      <c r="U227" s="272">
        <v>824.2</v>
      </c>
      <c r="V227" s="272">
        <v>704.9</v>
      </c>
      <c r="W227" s="272">
        <v>563</v>
      </c>
      <c r="X227" s="272">
        <v>780.5</v>
      </c>
      <c r="Y227" s="272">
        <v>11215.7</v>
      </c>
      <c r="Z227" s="272">
        <v>2795.6</v>
      </c>
      <c r="AA227" s="272">
        <v>164.1</v>
      </c>
      <c r="AB227" s="272">
        <v>5448.8</v>
      </c>
      <c r="AC227" s="272">
        <v>822.1</v>
      </c>
      <c r="AD227" s="272">
        <v>3043.5</v>
      </c>
      <c r="AE227" s="272">
        <v>4298.2</v>
      </c>
      <c r="AF227" s="272">
        <v>3276</v>
      </c>
      <c r="AG227" s="272">
        <v>6748.5</v>
      </c>
      <c r="AH227" s="272">
        <v>1116.4000000000001</v>
      </c>
      <c r="AI227" s="272">
        <v>5456.2</v>
      </c>
      <c r="AJ227" s="272">
        <v>3162.4</v>
      </c>
      <c r="AK227" s="272">
        <v>12378.2</v>
      </c>
      <c r="AL227" s="272">
        <v>68007</v>
      </c>
      <c r="AM227" s="272">
        <f t="shared" si="51"/>
        <v>68820.100000000006</v>
      </c>
      <c r="AN227" s="272">
        <f t="shared" si="48"/>
        <v>-27096.700000000004</v>
      </c>
      <c r="AO227" s="286" t="s">
        <v>112</v>
      </c>
      <c r="AQ227" s="958"/>
      <c r="AR227" s="958"/>
    </row>
    <row r="228" spans="1:56" s="1710" customFormat="1" ht="11.45" customHeight="1" x14ac:dyDescent="0.2">
      <c r="A228" s="156" t="s">
        <v>2066</v>
      </c>
      <c r="B228" s="482" t="s">
        <v>547</v>
      </c>
      <c r="C228" s="216">
        <v>143.4</v>
      </c>
      <c r="D228" s="216">
        <v>676.4</v>
      </c>
      <c r="E228" s="216">
        <v>0.2</v>
      </c>
      <c r="F228" s="216">
        <v>1296</v>
      </c>
      <c r="G228" s="216">
        <v>333.4</v>
      </c>
      <c r="H228" s="216">
        <v>34001.300000000003</v>
      </c>
      <c r="I228" s="216">
        <v>0.1</v>
      </c>
      <c r="J228" s="216">
        <v>0.1</v>
      </c>
      <c r="K228" s="216">
        <v>0.1</v>
      </c>
      <c r="L228" s="216">
        <f t="shared" si="49"/>
        <v>3309.1999999999971</v>
      </c>
      <c r="M228" s="216">
        <v>39760.199999999997</v>
      </c>
      <c r="N228" s="216">
        <v>400.6</v>
      </c>
      <c r="O228" s="216">
        <v>1145.8</v>
      </c>
      <c r="P228" s="216">
        <f t="shared" si="52"/>
        <v>1546.4</v>
      </c>
      <c r="Q228" s="216">
        <v>396.7</v>
      </c>
      <c r="R228" s="216">
        <v>186.8</v>
      </c>
      <c r="S228" s="216">
        <v>923.2</v>
      </c>
      <c r="T228" s="216">
        <v>2600.9</v>
      </c>
      <c r="U228" s="216">
        <v>131.4</v>
      </c>
      <c r="V228" s="216">
        <v>367.7</v>
      </c>
      <c r="W228" s="216">
        <v>807.3</v>
      </c>
      <c r="X228" s="216">
        <v>742.2</v>
      </c>
      <c r="Y228" s="216">
        <v>9261.7999999999993</v>
      </c>
      <c r="Z228" s="216">
        <v>2318</v>
      </c>
      <c r="AA228" s="216">
        <v>146.6</v>
      </c>
      <c r="AB228" s="216">
        <v>6009.4</v>
      </c>
      <c r="AC228" s="216">
        <v>684.3</v>
      </c>
      <c r="AD228" s="216">
        <v>2654.2</v>
      </c>
      <c r="AE228" s="216">
        <v>4587.3</v>
      </c>
      <c r="AF228" s="216">
        <v>2775</v>
      </c>
      <c r="AG228" s="216">
        <v>6302.7</v>
      </c>
      <c r="AH228" s="216">
        <v>1019.6</v>
      </c>
      <c r="AI228" s="216">
        <v>4633</v>
      </c>
      <c r="AJ228" s="216">
        <v>3017.6</v>
      </c>
      <c r="AK228" s="216">
        <v>11557.6</v>
      </c>
      <c r="AL228" s="216">
        <v>61123.299999999996</v>
      </c>
      <c r="AM228" s="216">
        <f t="shared" si="51"/>
        <v>62669.7</v>
      </c>
      <c r="AN228" s="216">
        <f t="shared" si="48"/>
        <v>-22909.5</v>
      </c>
      <c r="AO228" s="195" t="s">
        <v>547</v>
      </c>
      <c r="AQ228" s="958"/>
      <c r="AR228" s="958"/>
    </row>
    <row r="229" spans="1:56" s="1710" customFormat="1" ht="11.45" customHeight="1" x14ac:dyDescent="0.2">
      <c r="A229" s="156" t="s">
        <v>2066</v>
      </c>
      <c r="B229" s="1136" t="s">
        <v>2810</v>
      </c>
      <c r="C229" s="272">
        <v>152.69999999999999</v>
      </c>
      <c r="D229" s="272">
        <v>710</v>
      </c>
      <c r="E229" s="272">
        <v>1.3</v>
      </c>
      <c r="F229" s="272">
        <v>1161.0999999999999</v>
      </c>
      <c r="G229" s="272">
        <v>365.3</v>
      </c>
      <c r="H229" s="272">
        <v>32038</v>
      </c>
      <c r="I229" s="272">
        <v>0.1</v>
      </c>
      <c r="J229" s="272">
        <v>0.1</v>
      </c>
      <c r="K229" s="272">
        <v>0.1</v>
      </c>
      <c r="L229" s="272">
        <f t="shared" si="49"/>
        <v>3426.1000000000058</v>
      </c>
      <c r="M229" s="272">
        <v>37854.800000000003</v>
      </c>
      <c r="N229" s="272">
        <v>486.8</v>
      </c>
      <c r="O229" s="272">
        <v>1427.9</v>
      </c>
      <c r="P229" s="272">
        <f t="shared" si="52"/>
        <v>1914.7</v>
      </c>
      <c r="Q229" s="272">
        <v>342.2</v>
      </c>
      <c r="R229" s="272">
        <v>232.1</v>
      </c>
      <c r="S229" s="272">
        <v>595.20000000000005</v>
      </c>
      <c r="T229" s="272">
        <v>3320.8</v>
      </c>
      <c r="U229" s="272">
        <v>869</v>
      </c>
      <c r="V229" s="272">
        <v>402.1</v>
      </c>
      <c r="W229" s="272">
        <v>830.8</v>
      </c>
      <c r="X229" s="272">
        <v>1469</v>
      </c>
      <c r="Y229" s="272">
        <v>10464.6</v>
      </c>
      <c r="Z229" s="272">
        <v>2737.6</v>
      </c>
      <c r="AA229" s="272">
        <v>148.6</v>
      </c>
      <c r="AB229" s="272">
        <v>4577.2</v>
      </c>
      <c r="AC229" s="272">
        <v>656.2</v>
      </c>
      <c r="AD229" s="272">
        <v>2348.8000000000002</v>
      </c>
      <c r="AE229" s="272">
        <v>4137.3999999999996</v>
      </c>
      <c r="AF229" s="272">
        <v>2370.1</v>
      </c>
      <c r="AG229" s="272">
        <v>5737.1</v>
      </c>
      <c r="AH229" s="272">
        <v>866</v>
      </c>
      <c r="AI229" s="272">
        <v>4102.6000000000004</v>
      </c>
      <c r="AJ229" s="272">
        <v>3203.8</v>
      </c>
      <c r="AK229" s="272">
        <v>10815.5</v>
      </c>
      <c r="AL229" s="272">
        <v>60226.7</v>
      </c>
      <c r="AM229" s="272">
        <f t="shared" si="51"/>
        <v>62141.399999999994</v>
      </c>
      <c r="AN229" s="272">
        <f t="shared" si="48"/>
        <v>-24286.599999999991</v>
      </c>
      <c r="AO229" s="286" t="s">
        <v>554</v>
      </c>
      <c r="AQ229" s="958"/>
      <c r="AR229" s="958"/>
    </row>
    <row r="230" spans="1:56" s="1710" customFormat="1" ht="11.45" customHeight="1" x14ac:dyDescent="0.2">
      <c r="A230" s="156" t="s">
        <v>2066</v>
      </c>
      <c r="B230" s="482" t="s">
        <v>555</v>
      </c>
      <c r="C230" s="216">
        <v>156.1</v>
      </c>
      <c r="D230" s="216">
        <v>710.2</v>
      </c>
      <c r="E230" s="216">
        <v>0.5</v>
      </c>
      <c r="F230" s="216">
        <v>997.1</v>
      </c>
      <c r="G230" s="216">
        <v>366.7</v>
      </c>
      <c r="H230" s="216">
        <v>30739.5</v>
      </c>
      <c r="I230" s="216">
        <v>0.1</v>
      </c>
      <c r="J230" s="216">
        <v>0.1</v>
      </c>
      <c r="K230" s="216">
        <v>0.1</v>
      </c>
      <c r="L230" s="216">
        <f t="shared" si="49"/>
        <v>3196.6000000000058</v>
      </c>
      <c r="M230" s="216">
        <v>36167</v>
      </c>
      <c r="N230" s="216">
        <v>747.7</v>
      </c>
      <c r="O230" s="216">
        <v>1634.3</v>
      </c>
      <c r="P230" s="216">
        <f t="shared" si="52"/>
        <v>2382</v>
      </c>
      <c r="Q230" s="216">
        <v>299.39999999999998</v>
      </c>
      <c r="R230" s="216">
        <v>228.3</v>
      </c>
      <c r="S230" s="216">
        <v>822.2</v>
      </c>
      <c r="T230" s="216">
        <v>1989.3</v>
      </c>
      <c r="U230" s="216">
        <v>462.1</v>
      </c>
      <c r="V230" s="216">
        <v>614.29999999999995</v>
      </c>
      <c r="W230" s="216">
        <v>802</v>
      </c>
      <c r="X230" s="216">
        <v>722.6</v>
      </c>
      <c r="Y230" s="216">
        <v>9106.2999999999993</v>
      </c>
      <c r="Z230" s="216">
        <v>2420.1</v>
      </c>
      <c r="AA230" s="216">
        <v>163.69999999999999</v>
      </c>
      <c r="AB230" s="216">
        <v>5000.3</v>
      </c>
      <c r="AC230" s="216">
        <v>576.20000000000005</v>
      </c>
      <c r="AD230" s="216">
        <v>2412.1</v>
      </c>
      <c r="AE230" s="216">
        <v>3925.1</v>
      </c>
      <c r="AF230" s="216">
        <v>2340.8000000000002</v>
      </c>
      <c r="AG230" s="216">
        <v>6019</v>
      </c>
      <c r="AH230" s="216">
        <v>983</v>
      </c>
      <c r="AI230" s="216">
        <v>3715.8</v>
      </c>
      <c r="AJ230" s="216">
        <v>2752.7</v>
      </c>
      <c r="AK230" s="216">
        <v>9895.2000000000007</v>
      </c>
      <c r="AL230" s="216">
        <v>55250.5</v>
      </c>
      <c r="AM230" s="216">
        <f t="shared" si="51"/>
        <v>57632.5</v>
      </c>
      <c r="AN230" s="216">
        <f t="shared" si="48"/>
        <v>-21465.5</v>
      </c>
      <c r="AO230" s="195" t="s">
        <v>555</v>
      </c>
      <c r="AQ230" s="958"/>
      <c r="AR230" s="958"/>
    </row>
    <row r="231" spans="1:56" s="1710" customFormat="1" ht="11.45" customHeight="1" x14ac:dyDescent="0.2">
      <c r="A231" s="156" t="s">
        <v>2066</v>
      </c>
      <c r="B231" s="1136" t="s">
        <v>548</v>
      </c>
      <c r="C231" s="272">
        <v>150.80000000000001</v>
      </c>
      <c r="D231" s="272">
        <v>656.6</v>
      </c>
      <c r="E231" s="272">
        <v>4.5999999999999996</v>
      </c>
      <c r="F231" s="272">
        <v>1044.9000000000001</v>
      </c>
      <c r="G231" s="272">
        <v>357.8</v>
      </c>
      <c r="H231" s="272">
        <v>32266.400000000001</v>
      </c>
      <c r="I231" s="272">
        <v>0.1</v>
      </c>
      <c r="J231" s="272">
        <v>0.1</v>
      </c>
      <c r="K231" s="272">
        <v>0.1</v>
      </c>
      <c r="L231" s="272">
        <f>M231-SUM(C231:K231)</f>
        <v>3269.9000000000087</v>
      </c>
      <c r="M231" s="272">
        <v>37751.300000000003</v>
      </c>
      <c r="N231" s="272">
        <v>814.3</v>
      </c>
      <c r="O231" s="272">
        <v>1882.6</v>
      </c>
      <c r="P231" s="272">
        <f t="shared" si="52"/>
        <v>2696.8999999999996</v>
      </c>
      <c r="Q231" s="272">
        <v>341.2</v>
      </c>
      <c r="R231" s="272">
        <v>232.4</v>
      </c>
      <c r="S231" s="272">
        <v>379.9</v>
      </c>
      <c r="T231" s="272">
        <v>1596.5</v>
      </c>
      <c r="U231" s="272">
        <v>459.2</v>
      </c>
      <c r="V231" s="272">
        <v>503.6</v>
      </c>
      <c r="W231" s="272">
        <v>549.9</v>
      </c>
      <c r="X231" s="272">
        <v>661.8</v>
      </c>
      <c r="Y231" s="272">
        <v>7962.4</v>
      </c>
      <c r="Z231" s="272">
        <v>2226.5</v>
      </c>
      <c r="AA231" s="272">
        <v>128.30000000000001</v>
      </c>
      <c r="AB231" s="272">
        <v>3738.2</v>
      </c>
      <c r="AC231" s="272">
        <v>648.6</v>
      </c>
      <c r="AD231" s="272">
        <v>2090.1999999999998</v>
      </c>
      <c r="AE231" s="272">
        <v>2811.3</v>
      </c>
      <c r="AF231" s="272">
        <v>1819.1</v>
      </c>
      <c r="AG231" s="272">
        <v>5609.4</v>
      </c>
      <c r="AH231" s="272">
        <v>948.5</v>
      </c>
      <c r="AI231" s="272">
        <v>3061.7</v>
      </c>
      <c r="AJ231" s="272">
        <v>3471</v>
      </c>
      <c r="AK231" s="272">
        <v>10395.5</v>
      </c>
      <c r="AL231" s="272">
        <v>49635.19999999999</v>
      </c>
      <c r="AM231" s="272">
        <f t="shared" si="51"/>
        <v>52332.099999999991</v>
      </c>
      <c r="AN231" s="272">
        <f t="shared" si="48"/>
        <v>-14580.799999999988</v>
      </c>
      <c r="AO231" s="286" t="s">
        <v>548</v>
      </c>
      <c r="AQ231" s="958"/>
      <c r="AR231" s="958"/>
    </row>
    <row r="232" spans="1:56" s="1710" customFormat="1" ht="11.45" customHeight="1" x14ac:dyDescent="0.2">
      <c r="A232" s="156" t="s">
        <v>2066</v>
      </c>
      <c r="B232" s="482" t="s">
        <v>556</v>
      </c>
      <c r="C232" s="216">
        <v>133.19999999999999</v>
      </c>
      <c r="D232" s="216">
        <v>564</v>
      </c>
      <c r="E232" s="216">
        <v>2.2000000000000002</v>
      </c>
      <c r="F232" s="216">
        <v>974.6</v>
      </c>
      <c r="G232" s="216">
        <v>307.5</v>
      </c>
      <c r="H232" s="216">
        <v>32242.3</v>
      </c>
      <c r="I232" s="216">
        <v>0.1</v>
      </c>
      <c r="J232" s="216">
        <v>0.1</v>
      </c>
      <c r="K232" s="216">
        <v>0.1</v>
      </c>
      <c r="L232" s="216">
        <f t="shared" si="49"/>
        <v>3356.4000000000015</v>
      </c>
      <c r="M232" s="216">
        <v>37580.5</v>
      </c>
      <c r="N232" s="216">
        <v>778.1</v>
      </c>
      <c r="O232" s="216">
        <v>1352.9</v>
      </c>
      <c r="P232" s="216">
        <f t="shared" si="52"/>
        <v>2131</v>
      </c>
      <c r="Q232" s="216">
        <v>351.5</v>
      </c>
      <c r="R232" s="216">
        <v>242.9</v>
      </c>
      <c r="S232" s="216">
        <v>1097.9000000000001</v>
      </c>
      <c r="T232" s="216">
        <v>1984.4</v>
      </c>
      <c r="U232" s="216">
        <v>432.4</v>
      </c>
      <c r="V232" s="216">
        <v>701.5</v>
      </c>
      <c r="W232" s="216">
        <v>674.6</v>
      </c>
      <c r="X232" s="216">
        <v>1584</v>
      </c>
      <c r="Y232" s="216">
        <v>5787.4</v>
      </c>
      <c r="Z232" s="216">
        <v>2775.8</v>
      </c>
      <c r="AA232" s="216">
        <v>138.6</v>
      </c>
      <c r="AB232" s="216">
        <v>3128.3</v>
      </c>
      <c r="AC232" s="216">
        <v>625</v>
      </c>
      <c r="AD232" s="216">
        <v>2230.6999999999998</v>
      </c>
      <c r="AE232" s="216">
        <v>2513.6</v>
      </c>
      <c r="AF232" s="216">
        <v>1956.7</v>
      </c>
      <c r="AG232" s="216">
        <v>6515.5</v>
      </c>
      <c r="AH232" s="216">
        <v>1199.5999999999999</v>
      </c>
      <c r="AI232" s="216">
        <v>2963</v>
      </c>
      <c r="AJ232" s="216">
        <v>3336.3</v>
      </c>
      <c r="AK232" s="216">
        <v>12124.5</v>
      </c>
      <c r="AL232" s="216">
        <v>52364.200000000004</v>
      </c>
      <c r="AM232" s="216">
        <f t="shared" si="51"/>
        <v>54495.200000000004</v>
      </c>
      <c r="AN232" s="216">
        <f t="shared" si="48"/>
        <v>-16914.700000000004</v>
      </c>
      <c r="AO232" s="195" t="s">
        <v>556</v>
      </c>
      <c r="AQ232" s="958"/>
      <c r="AR232" s="958"/>
    </row>
    <row r="233" spans="1:56" s="1710" customFormat="1" ht="11.45" customHeight="1" x14ac:dyDescent="0.2">
      <c r="A233" s="156" t="s">
        <v>2066</v>
      </c>
      <c r="B233" s="1136" t="s">
        <v>557</v>
      </c>
      <c r="C233" s="272">
        <v>117.1</v>
      </c>
      <c r="D233" s="272">
        <v>483.7</v>
      </c>
      <c r="E233" s="272">
        <v>2.8</v>
      </c>
      <c r="F233" s="272">
        <v>843.6</v>
      </c>
      <c r="G233" s="272">
        <v>291.5</v>
      </c>
      <c r="H233" s="272">
        <v>28792.1</v>
      </c>
      <c r="I233" s="272">
        <v>0.1</v>
      </c>
      <c r="J233" s="272">
        <v>0.1</v>
      </c>
      <c r="K233" s="272">
        <v>0.1</v>
      </c>
      <c r="L233" s="272">
        <f t="shared" si="49"/>
        <v>3177.1000000000022</v>
      </c>
      <c r="M233" s="272">
        <v>33708.199999999997</v>
      </c>
      <c r="N233" s="272">
        <v>660.5</v>
      </c>
      <c r="O233" s="272">
        <v>1209</v>
      </c>
      <c r="P233" s="272">
        <f t="shared" si="52"/>
        <v>1869.5</v>
      </c>
      <c r="Q233" s="272">
        <v>282.60000000000002</v>
      </c>
      <c r="R233" s="272">
        <v>320.5</v>
      </c>
      <c r="S233" s="272">
        <v>1015.5</v>
      </c>
      <c r="T233" s="272">
        <v>1375.6</v>
      </c>
      <c r="U233" s="272">
        <v>659.3</v>
      </c>
      <c r="V233" s="272">
        <v>1535.9</v>
      </c>
      <c r="W233" s="272">
        <v>609.29999999999995</v>
      </c>
      <c r="X233" s="272">
        <v>625.6</v>
      </c>
      <c r="Y233" s="272">
        <v>6898.9</v>
      </c>
      <c r="Z233" s="272">
        <v>2005.5</v>
      </c>
      <c r="AA233" s="272">
        <v>140.6</v>
      </c>
      <c r="AB233" s="272">
        <v>1396</v>
      </c>
      <c r="AC233" s="272">
        <v>480.3</v>
      </c>
      <c r="AD233" s="272">
        <v>1985.6</v>
      </c>
      <c r="AE233" s="272">
        <v>2283.9</v>
      </c>
      <c r="AF233" s="272">
        <v>1699.5</v>
      </c>
      <c r="AG233" s="272">
        <v>4921.5</v>
      </c>
      <c r="AH233" s="272">
        <v>875.2</v>
      </c>
      <c r="AI233" s="272">
        <v>2340.8000000000002</v>
      </c>
      <c r="AJ233" s="272">
        <v>2215.9</v>
      </c>
      <c r="AK233" s="272">
        <v>9168.5</v>
      </c>
      <c r="AL233" s="272">
        <v>42836.5</v>
      </c>
      <c r="AM233" s="272">
        <f t="shared" si="51"/>
        <v>44706</v>
      </c>
      <c r="AN233" s="272">
        <f t="shared" si="48"/>
        <v>-10997.800000000003</v>
      </c>
      <c r="AO233" s="286" t="s">
        <v>557</v>
      </c>
      <c r="AQ233" s="958"/>
      <c r="AR233" s="958"/>
    </row>
    <row r="234" spans="1:56" s="1710" customFormat="1" ht="11.45" customHeight="1" x14ac:dyDescent="0.2">
      <c r="A234" s="156" t="s">
        <v>2066</v>
      </c>
      <c r="B234" s="482" t="s">
        <v>549</v>
      </c>
      <c r="C234" s="216">
        <v>206.1</v>
      </c>
      <c r="D234" s="216">
        <v>536.29999999999995</v>
      </c>
      <c r="E234" s="216">
        <v>2.2000000000000002</v>
      </c>
      <c r="F234" s="216">
        <v>1096.0999999999999</v>
      </c>
      <c r="G234" s="216">
        <v>279.8</v>
      </c>
      <c r="H234" s="216">
        <v>30011</v>
      </c>
      <c r="I234" s="216">
        <v>0.1</v>
      </c>
      <c r="J234" s="216">
        <v>0.1</v>
      </c>
      <c r="K234" s="216">
        <v>0.1</v>
      </c>
      <c r="L234" s="216">
        <f t="shared" si="49"/>
        <v>3604.5000000000073</v>
      </c>
      <c r="M234" s="216">
        <v>35736.300000000003</v>
      </c>
      <c r="N234" s="216">
        <v>634.29999999999995</v>
      </c>
      <c r="O234" s="216">
        <v>2141.8000000000002</v>
      </c>
      <c r="P234" s="216">
        <f t="shared" si="52"/>
        <v>2776.1000000000004</v>
      </c>
      <c r="Q234" s="216">
        <v>314.39999999999998</v>
      </c>
      <c r="R234" s="216">
        <v>390.2</v>
      </c>
      <c r="S234" s="216">
        <v>993.7</v>
      </c>
      <c r="T234" s="216">
        <v>2426.1</v>
      </c>
      <c r="U234" s="216">
        <v>1002.4</v>
      </c>
      <c r="V234" s="216">
        <v>721.2</v>
      </c>
      <c r="W234" s="216">
        <v>828.3</v>
      </c>
      <c r="X234" s="216">
        <v>1187.3</v>
      </c>
      <c r="Y234" s="216">
        <v>8595.9</v>
      </c>
      <c r="Z234" s="216">
        <v>2717.3</v>
      </c>
      <c r="AA234" s="216">
        <v>130.69999999999999</v>
      </c>
      <c r="AB234" s="216">
        <v>503.8</v>
      </c>
      <c r="AC234" s="216">
        <v>572.79999999999995</v>
      </c>
      <c r="AD234" s="216">
        <v>2458</v>
      </c>
      <c r="AE234" s="216">
        <v>2536.9</v>
      </c>
      <c r="AF234" s="216">
        <v>1840.6</v>
      </c>
      <c r="AG234" s="216">
        <v>5449.7</v>
      </c>
      <c r="AH234" s="216">
        <v>1222.0999999999999</v>
      </c>
      <c r="AI234" s="216">
        <v>3404.2</v>
      </c>
      <c r="AJ234" s="216">
        <v>2886</v>
      </c>
      <c r="AK234" s="216">
        <v>11256.5</v>
      </c>
      <c r="AL234" s="216">
        <v>51438.1</v>
      </c>
      <c r="AM234" s="216">
        <f t="shared" si="51"/>
        <v>54214.2</v>
      </c>
      <c r="AN234" s="216">
        <f t="shared" si="48"/>
        <v>-18477.899999999994</v>
      </c>
      <c r="AO234" s="195" t="s">
        <v>549</v>
      </c>
      <c r="AQ234" s="958"/>
      <c r="AR234" s="958"/>
    </row>
    <row r="235" spans="1:56" s="1710" customFormat="1" ht="11.45" customHeight="1" x14ac:dyDescent="0.2">
      <c r="A235" s="156" t="s">
        <v>2066</v>
      </c>
      <c r="B235" s="1136" t="s">
        <v>558</v>
      </c>
      <c r="C235" s="272">
        <v>193.4</v>
      </c>
      <c r="D235" s="272">
        <v>574.9</v>
      </c>
      <c r="E235" s="272">
        <v>2</v>
      </c>
      <c r="F235" s="272">
        <v>866.8</v>
      </c>
      <c r="G235" s="272">
        <v>252.1</v>
      </c>
      <c r="H235" s="272">
        <v>24827.8</v>
      </c>
      <c r="I235" s="272">
        <v>0.1</v>
      </c>
      <c r="J235" s="272">
        <v>0.1</v>
      </c>
      <c r="K235" s="272">
        <v>0.1</v>
      </c>
      <c r="L235" s="272">
        <f t="shared" si="49"/>
        <v>2967.5000000000036</v>
      </c>
      <c r="M235" s="272">
        <v>29684.799999999999</v>
      </c>
      <c r="N235" s="272">
        <v>161.5</v>
      </c>
      <c r="O235" s="272">
        <v>1447.5</v>
      </c>
      <c r="P235" s="272">
        <f t="shared" si="52"/>
        <v>1609</v>
      </c>
      <c r="Q235" s="272">
        <v>373.9</v>
      </c>
      <c r="R235" s="272">
        <v>402.7</v>
      </c>
      <c r="S235" s="272">
        <v>267.8</v>
      </c>
      <c r="T235" s="272">
        <v>2494</v>
      </c>
      <c r="U235" s="272">
        <v>1277</v>
      </c>
      <c r="V235" s="272">
        <v>822.4</v>
      </c>
      <c r="W235" s="272">
        <v>849.9</v>
      </c>
      <c r="X235" s="272">
        <v>605.5</v>
      </c>
      <c r="Y235" s="272">
        <v>6868.1</v>
      </c>
      <c r="Z235" s="272">
        <v>2516.5</v>
      </c>
      <c r="AA235" s="272">
        <v>157.9</v>
      </c>
      <c r="AB235" s="272">
        <v>363.2</v>
      </c>
      <c r="AC235" s="272">
        <v>575.29999999999995</v>
      </c>
      <c r="AD235" s="272">
        <v>2348.6</v>
      </c>
      <c r="AE235" s="272">
        <v>2284.6999999999998</v>
      </c>
      <c r="AF235" s="272">
        <v>1739.2</v>
      </c>
      <c r="AG235" s="272">
        <v>4919.7</v>
      </c>
      <c r="AH235" s="272">
        <v>1068.0999999999999</v>
      </c>
      <c r="AI235" s="272">
        <v>3390.9</v>
      </c>
      <c r="AJ235" s="272">
        <v>2796.2999999999997</v>
      </c>
      <c r="AK235" s="272">
        <v>10656.3</v>
      </c>
      <c r="AL235" s="272">
        <v>46778</v>
      </c>
      <c r="AM235" s="272">
        <f t="shared" si="51"/>
        <v>48387</v>
      </c>
      <c r="AN235" s="272">
        <f t="shared" si="48"/>
        <v>-18702.2</v>
      </c>
      <c r="AO235" s="286" t="s">
        <v>558</v>
      </c>
      <c r="AQ235" s="958"/>
      <c r="AR235" s="958"/>
    </row>
    <row r="236" spans="1:56" s="1710" customFormat="1" ht="11.45" customHeight="1" x14ac:dyDescent="0.2">
      <c r="A236" s="156" t="s">
        <v>2066</v>
      </c>
      <c r="B236" s="482" t="s">
        <v>559</v>
      </c>
      <c r="C236" s="216">
        <v>164</v>
      </c>
      <c r="D236" s="216">
        <v>621.4</v>
      </c>
      <c r="E236" s="216">
        <v>3.8</v>
      </c>
      <c r="F236" s="216">
        <v>942.9</v>
      </c>
      <c r="G236" s="216">
        <v>279.5</v>
      </c>
      <c r="H236" s="216">
        <v>28920.6</v>
      </c>
      <c r="I236" s="216">
        <v>0.1</v>
      </c>
      <c r="J236" s="216">
        <v>0.1</v>
      </c>
      <c r="K236" s="216">
        <v>0.1</v>
      </c>
      <c r="L236" s="216">
        <f t="shared" si="49"/>
        <v>3231.3000000000102</v>
      </c>
      <c r="M236" s="216">
        <v>34163.800000000003</v>
      </c>
      <c r="N236" s="216">
        <v>61.5</v>
      </c>
      <c r="O236" s="216">
        <v>1901.1</v>
      </c>
      <c r="P236" s="216">
        <f t="shared" si="52"/>
        <v>1962.6</v>
      </c>
      <c r="Q236" s="216">
        <v>395.1</v>
      </c>
      <c r="R236" s="216">
        <v>399.5</v>
      </c>
      <c r="S236" s="216">
        <v>1470.4</v>
      </c>
      <c r="T236" s="216">
        <v>1998.9</v>
      </c>
      <c r="U236" s="216">
        <v>721.6</v>
      </c>
      <c r="V236" s="216">
        <v>1360.5</v>
      </c>
      <c r="W236" s="216">
        <v>733.6</v>
      </c>
      <c r="X236" s="216">
        <v>1507.4</v>
      </c>
      <c r="Y236" s="216">
        <v>7407.9</v>
      </c>
      <c r="Z236" s="216">
        <v>3040.9</v>
      </c>
      <c r="AA236" s="216">
        <v>167.8</v>
      </c>
      <c r="AB236" s="216">
        <v>1194.2</v>
      </c>
      <c r="AC236" s="216">
        <v>761.7</v>
      </c>
      <c r="AD236" s="216">
        <v>2809.7</v>
      </c>
      <c r="AE236" s="216">
        <v>2857.8</v>
      </c>
      <c r="AF236" s="216">
        <v>2280.5</v>
      </c>
      <c r="AG236" s="216">
        <v>6047.4</v>
      </c>
      <c r="AH236" s="216">
        <v>1083.3</v>
      </c>
      <c r="AI236" s="216">
        <v>5234.2</v>
      </c>
      <c r="AJ236" s="216">
        <v>2678.7</v>
      </c>
      <c r="AK236" s="216">
        <v>12644.8</v>
      </c>
      <c r="AL236" s="216">
        <v>56795.899999999994</v>
      </c>
      <c r="AM236" s="216">
        <f t="shared" si="51"/>
        <v>58758.499999999993</v>
      </c>
      <c r="AN236" s="216">
        <f t="shared" si="48"/>
        <v>-24594.69999999999</v>
      </c>
      <c r="AO236" s="195" t="s">
        <v>559</v>
      </c>
      <c r="AQ236" s="958"/>
      <c r="AR236" s="958"/>
    </row>
    <row r="237" spans="1:56" s="1710" customFormat="1" ht="11.45" customHeight="1" x14ac:dyDescent="0.2">
      <c r="A237" s="156" t="s">
        <v>2066</v>
      </c>
      <c r="B237" s="1136" t="s">
        <v>550</v>
      </c>
      <c r="C237" s="272">
        <v>152</v>
      </c>
      <c r="D237" s="272">
        <v>524.29999999999995</v>
      </c>
      <c r="E237" s="272">
        <v>0.5</v>
      </c>
      <c r="F237" s="272">
        <v>1097.0999999999999</v>
      </c>
      <c r="G237" s="272">
        <v>248.3</v>
      </c>
      <c r="H237" s="272">
        <v>27159.9</v>
      </c>
      <c r="I237" s="272">
        <v>0.1</v>
      </c>
      <c r="J237" s="272">
        <v>0.1</v>
      </c>
      <c r="K237" s="272">
        <v>0.1</v>
      </c>
      <c r="L237" s="272">
        <f>M237-SUM(C237:K237)</f>
        <v>3100.2000000000007</v>
      </c>
      <c r="M237" s="272">
        <v>32282.6</v>
      </c>
      <c r="N237" s="272">
        <v>15.3</v>
      </c>
      <c r="O237" s="272">
        <v>898.4</v>
      </c>
      <c r="P237" s="272">
        <f t="shared" si="52"/>
        <v>913.69999999999993</v>
      </c>
      <c r="Q237" s="272">
        <v>346.4</v>
      </c>
      <c r="R237" s="272">
        <v>403.3</v>
      </c>
      <c r="S237" s="272">
        <v>914.7</v>
      </c>
      <c r="T237" s="272">
        <v>1414.9</v>
      </c>
      <c r="U237" s="272">
        <v>815</v>
      </c>
      <c r="V237" s="272">
        <v>880.4</v>
      </c>
      <c r="W237" s="272">
        <v>624.9</v>
      </c>
      <c r="X237" s="272">
        <v>960.8</v>
      </c>
      <c r="Y237" s="272">
        <v>6576.5</v>
      </c>
      <c r="Z237" s="272">
        <v>2217.6</v>
      </c>
      <c r="AA237" s="272">
        <v>143</v>
      </c>
      <c r="AB237" s="272">
        <v>1161.3</v>
      </c>
      <c r="AC237" s="272">
        <v>606.29999999999995</v>
      </c>
      <c r="AD237" s="272">
        <v>2239.3000000000002</v>
      </c>
      <c r="AE237" s="272">
        <v>2985.5</v>
      </c>
      <c r="AF237" s="272">
        <v>1895.5</v>
      </c>
      <c r="AG237" s="272">
        <v>4739.1000000000004</v>
      </c>
      <c r="AH237" s="272">
        <v>983.1</v>
      </c>
      <c r="AI237" s="272">
        <v>3988</v>
      </c>
      <c r="AJ237" s="272">
        <v>2501.4</v>
      </c>
      <c r="AK237" s="272">
        <v>10518.9</v>
      </c>
      <c r="AL237" s="272">
        <v>46915.9</v>
      </c>
      <c r="AM237" s="272">
        <f t="shared" si="51"/>
        <v>47829.599999999999</v>
      </c>
      <c r="AN237" s="272">
        <f t="shared" si="48"/>
        <v>-15547</v>
      </c>
      <c r="AO237" s="286" t="s">
        <v>550</v>
      </c>
      <c r="AQ237" s="958"/>
      <c r="AR237" s="958"/>
    </row>
    <row r="238" spans="1:56" s="244" customFormat="1" ht="11.45" customHeight="1" x14ac:dyDescent="0.2">
      <c r="A238" s="156" t="s">
        <v>2206</v>
      </c>
      <c r="B238" s="1136" t="s">
        <v>552</v>
      </c>
      <c r="C238" s="272">
        <f>216.38+0</f>
        <v>216.38</v>
      </c>
      <c r="D238" s="272">
        <f>658.01+21.14</f>
        <v>679.15</v>
      </c>
      <c r="E238" s="272">
        <f>2+0</f>
        <v>2</v>
      </c>
      <c r="F238" s="272">
        <f>794.44+349.39</f>
        <v>1143.83</v>
      </c>
      <c r="G238" s="272">
        <f>86.25+191.6+0+0</f>
        <v>277.85000000000002</v>
      </c>
      <c r="H238" s="272">
        <f>30106.26+3516.25</f>
        <v>33622.509999999995</v>
      </c>
      <c r="I238" s="272">
        <v>0.1</v>
      </c>
      <c r="J238" s="272">
        <v>0.1</v>
      </c>
      <c r="K238" s="272">
        <v>0.1</v>
      </c>
      <c r="L238" s="272">
        <f t="shared" ref="L238:L242" si="53">M238-SUM(C238:K238)</f>
        <v>3329.4000000000087</v>
      </c>
      <c r="M238" s="272">
        <f>34753.74+4517.68</f>
        <v>39271.42</v>
      </c>
      <c r="N238" s="272">
        <v>18.433499999999999</v>
      </c>
      <c r="O238" s="272">
        <v>1917.3198000000002</v>
      </c>
      <c r="P238" s="272">
        <f t="shared" ref="P238:P247" si="54">N238+O238</f>
        <v>1935.7533000000003</v>
      </c>
      <c r="Q238" s="272">
        <v>318.9341</v>
      </c>
      <c r="R238" s="272">
        <v>531.11860000000001</v>
      </c>
      <c r="S238" s="272">
        <v>1179.9813999999999</v>
      </c>
      <c r="T238" s="272">
        <v>2083.6</v>
      </c>
      <c r="U238" s="272">
        <v>300.19889999999998</v>
      </c>
      <c r="V238" s="272">
        <v>1292.3577</v>
      </c>
      <c r="W238" s="272">
        <v>713.45060000000001</v>
      </c>
      <c r="X238" s="272">
        <v>1599.3253999999999</v>
      </c>
      <c r="Y238" s="272">
        <v>9660.9384000000009</v>
      </c>
      <c r="Z238" s="272">
        <v>3124.2489999999998</v>
      </c>
      <c r="AA238" s="272">
        <v>192.96600000000001</v>
      </c>
      <c r="AB238" s="272">
        <v>2674.1</v>
      </c>
      <c r="AC238" s="272">
        <v>837.29340000000002</v>
      </c>
      <c r="AD238" s="272">
        <v>2650.8531999999996</v>
      </c>
      <c r="AE238" s="272">
        <v>3560.1931999999997</v>
      </c>
      <c r="AF238" s="272">
        <v>2393.7023999999997</v>
      </c>
      <c r="AG238" s="272">
        <v>5725.1583000000001</v>
      </c>
      <c r="AH238" s="272">
        <v>1172.8110999999999</v>
      </c>
      <c r="AI238" s="272">
        <v>5553.0511999999999</v>
      </c>
      <c r="AJ238" s="272">
        <v>3430.1240885386928</v>
      </c>
      <c r="AK238" s="272">
        <v>14116.8963</v>
      </c>
      <c r="AL238" s="272">
        <f t="shared" ref="AL238:AL269" si="55">SUM(Q238:U238)+SUM(V238:AK238)</f>
        <v>63111.303288538693</v>
      </c>
      <c r="AM238" s="272">
        <f t="shared" si="51"/>
        <v>65047.05658853869</v>
      </c>
      <c r="AN238" s="272">
        <f t="shared" si="48"/>
        <v>-25775.636588538691</v>
      </c>
      <c r="AO238" s="1199" t="s">
        <v>552</v>
      </c>
      <c r="AP238" s="1636"/>
      <c r="AQ238" s="958"/>
      <c r="AR238" s="958"/>
      <c r="AS238" s="1636"/>
      <c r="AT238" s="1636"/>
      <c r="AU238" s="1636"/>
      <c r="AV238" s="958"/>
      <c r="AW238" s="958"/>
      <c r="AX238" s="958"/>
      <c r="AY238" s="958"/>
      <c r="AZ238" s="1636"/>
      <c r="BA238" s="1636"/>
      <c r="BB238" s="1636"/>
      <c r="BC238" s="1636"/>
      <c r="BD238" s="1636"/>
    </row>
    <row r="239" spans="1:56" s="244" customFormat="1" ht="11.45" customHeight="1" x14ac:dyDescent="0.2">
      <c r="A239" s="156" t="s">
        <v>2206</v>
      </c>
      <c r="B239" s="482" t="s">
        <v>112</v>
      </c>
      <c r="C239" s="216">
        <f>163.96+0</f>
        <v>163.96</v>
      </c>
      <c r="D239" s="216">
        <f>620.46+12.06</f>
        <v>632.52</v>
      </c>
      <c r="E239" s="216">
        <f>0+3</f>
        <v>3</v>
      </c>
      <c r="F239" s="216">
        <f>669.96+446.28</f>
        <v>1116.24</v>
      </c>
      <c r="G239" s="216">
        <f>100.11+187.75+0+0</f>
        <v>287.86</v>
      </c>
      <c r="H239" s="216">
        <f>29379.17+3736.899</f>
        <v>33116.068999999996</v>
      </c>
      <c r="I239" s="216">
        <v>0.1</v>
      </c>
      <c r="J239" s="216">
        <v>0.1</v>
      </c>
      <c r="K239" s="216">
        <v>0.1</v>
      </c>
      <c r="L239" s="216">
        <f t="shared" si="53"/>
        <v>3291.3410000000076</v>
      </c>
      <c r="M239" s="216">
        <f>33852.94+4758.35</f>
        <v>38611.29</v>
      </c>
      <c r="N239" s="216">
        <v>6.1</v>
      </c>
      <c r="O239" s="216">
        <v>1108.8440000000001</v>
      </c>
      <c r="P239" s="216">
        <f t="shared" si="54"/>
        <v>1114.944</v>
      </c>
      <c r="Q239" s="216">
        <v>350.4622</v>
      </c>
      <c r="R239" s="216">
        <v>454.65260000000001</v>
      </c>
      <c r="S239" s="216">
        <v>776.8546</v>
      </c>
      <c r="T239" s="216">
        <v>2462.5187000000001</v>
      </c>
      <c r="U239" s="216">
        <v>468.29640000000001</v>
      </c>
      <c r="V239" s="216">
        <v>1767.6775</v>
      </c>
      <c r="W239" s="216">
        <v>664.78539999999998</v>
      </c>
      <c r="X239" s="216">
        <v>213.8852</v>
      </c>
      <c r="Y239" s="216">
        <v>9822.4071000000004</v>
      </c>
      <c r="Z239" s="216">
        <v>2879.7632000000003</v>
      </c>
      <c r="AA239" s="216">
        <v>194.1808</v>
      </c>
      <c r="AB239" s="216">
        <v>1086.5346999999999</v>
      </c>
      <c r="AC239" s="216">
        <v>701.91330000000005</v>
      </c>
      <c r="AD239" s="216">
        <v>2794.4663999999998</v>
      </c>
      <c r="AE239" s="216">
        <v>2929.9914000000003</v>
      </c>
      <c r="AF239" s="216">
        <v>2505.0515999999998</v>
      </c>
      <c r="AG239" s="216">
        <v>5943.4759999999997</v>
      </c>
      <c r="AH239" s="216">
        <v>1129.759</v>
      </c>
      <c r="AI239" s="216">
        <v>5025.6528999999991</v>
      </c>
      <c r="AJ239" s="216">
        <v>2880.9335514622871</v>
      </c>
      <c r="AK239" s="216">
        <v>12878.784799999998</v>
      </c>
      <c r="AL239" s="216">
        <f t="shared" si="55"/>
        <v>57932.047351462279</v>
      </c>
      <c r="AM239" s="216">
        <f t="shared" si="51"/>
        <v>59046.991351462282</v>
      </c>
      <c r="AN239" s="216">
        <f t="shared" si="48"/>
        <v>-20435.701351462281</v>
      </c>
      <c r="AO239" s="1203" t="s">
        <v>112</v>
      </c>
      <c r="AP239" s="1636"/>
      <c r="AQ239" s="958"/>
      <c r="AR239" s="958"/>
      <c r="AS239" s="1636"/>
      <c r="AT239" s="1636"/>
      <c r="AU239" s="958"/>
      <c r="AV239" s="958"/>
      <c r="AW239" s="958"/>
      <c r="AX239" s="958"/>
      <c r="AY239" s="958"/>
    </row>
    <row r="240" spans="1:56" s="244" customFormat="1" ht="11.45" customHeight="1" x14ac:dyDescent="0.2">
      <c r="A240" s="156" t="s">
        <v>2206</v>
      </c>
      <c r="B240" s="1136" t="s">
        <v>547</v>
      </c>
      <c r="C240" s="272">
        <f>114.46+0</f>
        <v>114.46</v>
      </c>
      <c r="D240" s="272">
        <f>543.45+12.1</f>
        <v>555.55000000000007</v>
      </c>
      <c r="E240" s="272">
        <f>2+0</f>
        <v>2</v>
      </c>
      <c r="F240" s="272">
        <f>560.89+439.48</f>
        <v>1000.37</v>
      </c>
      <c r="G240" s="272">
        <f>85.88+140.47+0+0</f>
        <v>226.35</v>
      </c>
      <c r="H240" s="272">
        <f>23949.58+2771.89</f>
        <v>26721.47</v>
      </c>
      <c r="I240" s="272">
        <v>0.1</v>
      </c>
      <c r="J240" s="272">
        <v>0.1</v>
      </c>
      <c r="K240" s="272">
        <v>0.1</v>
      </c>
      <c r="L240" s="272">
        <f t="shared" si="53"/>
        <v>2726.7700000000041</v>
      </c>
      <c r="M240" s="272">
        <f>27697.3+3649.97</f>
        <v>31347.27</v>
      </c>
      <c r="N240" s="272">
        <v>3.6</v>
      </c>
      <c r="O240" s="272">
        <v>1478.7912000000001</v>
      </c>
      <c r="P240" s="272">
        <f t="shared" si="54"/>
        <v>1482.3912</v>
      </c>
      <c r="Q240" s="272">
        <v>279.73929999999996</v>
      </c>
      <c r="R240" s="272">
        <v>296.3621</v>
      </c>
      <c r="S240" s="272">
        <v>982.15790000000004</v>
      </c>
      <c r="T240" s="272">
        <v>1174.4279999999999</v>
      </c>
      <c r="U240" s="272">
        <v>425.26159999999999</v>
      </c>
      <c r="V240" s="272">
        <v>883.65249999999992</v>
      </c>
      <c r="W240" s="272">
        <v>497.31989999999996</v>
      </c>
      <c r="X240" s="272">
        <v>1678.7599</v>
      </c>
      <c r="Y240" s="272">
        <v>7764.6232</v>
      </c>
      <c r="Z240" s="272">
        <v>2470.5254999999997</v>
      </c>
      <c r="AA240" s="272">
        <v>133.9605</v>
      </c>
      <c r="AB240" s="272">
        <v>785.21180000000004</v>
      </c>
      <c r="AC240" s="272">
        <v>645.55560000000003</v>
      </c>
      <c r="AD240" s="272">
        <v>2382.2614000000003</v>
      </c>
      <c r="AE240" s="272">
        <v>2172.5488999999998</v>
      </c>
      <c r="AF240" s="272">
        <v>2304.0367999999999</v>
      </c>
      <c r="AG240" s="272">
        <v>5097.4663</v>
      </c>
      <c r="AH240" s="272">
        <v>867.4076</v>
      </c>
      <c r="AI240" s="272">
        <v>3891.1774999999998</v>
      </c>
      <c r="AJ240" s="272">
        <v>2136.8460460658134</v>
      </c>
      <c r="AK240" s="272">
        <v>11236.400299999998</v>
      </c>
      <c r="AL240" s="272">
        <f t="shared" si="55"/>
        <v>48105.702646065809</v>
      </c>
      <c r="AM240" s="272">
        <f t="shared" si="51"/>
        <v>49588.093846065807</v>
      </c>
      <c r="AN240" s="272">
        <f t="shared" si="48"/>
        <v>-18240.823846065807</v>
      </c>
      <c r="AO240" s="1199" t="s">
        <v>547</v>
      </c>
      <c r="AP240" s="1636"/>
      <c r="AQ240" s="958"/>
      <c r="AR240" s="958"/>
      <c r="AS240" s="958"/>
      <c r="AU240" s="958"/>
      <c r="AV240" s="958"/>
      <c r="AW240" s="958"/>
      <c r="AX240" s="958"/>
      <c r="AY240" s="958"/>
    </row>
    <row r="241" spans="1:56" s="244" customFormat="1" ht="11.45" customHeight="1" x14ac:dyDescent="0.2">
      <c r="A241" s="156" t="s">
        <v>2206</v>
      </c>
      <c r="B241" s="482" t="s">
        <v>554</v>
      </c>
      <c r="C241" s="216">
        <f>106.89+0</f>
        <v>106.89</v>
      </c>
      <c r="D241" s="216">
        <f>730.41+13.61</f>
        <v>744.02</v>
      </c>
      <c r="E241" s="216">
        <f>2+0</f>
        <v>2</v>
      </c>
      <c r="F241" s="216">
        <f>644.42+343.63</f>
        <v>988.05</v>
      </c>
      <c r="G241" s="216">
        <f>109.54+201+0+0</f>
        <v>310.54000000000002</v>
      </c>
      <c r="H241" s="216">
        <f>26779.67+4213.6</f>
        <v>30993.269999999997</v>
      </c>
      <c r="I241" s="216">
        <v>0.1</v>
      </c>
      <c r="J241" s="216">
        <v>0.1</v>
      </c>
      <c r="K241" s="216">
        <v>0.1</v>
      </c>
      <c r="L241" s="216">
        <f t="shared" si="53"/>
        <v>3237.0900000000038</v>
      </c>
      <c r="M241" s="216">
        <f>31371.78+5010.38</f>
        <v>36382.159999999996</v>
      </c>
      <c r="N241" s="216">
        <v>38.843000000000004</v>
      </c>
      <c r="O241" s="216">
        <v>1109.0405000000001</v>
      </c>
      <c r="P241" s="216">
        <f t="shared" si="54"/>
        <v>1147.8835000000001</v>
      </c>
      <c r="Q241" s="216">
        <v>318.36009999999999</v>
      </c>
      <c r="R241" s="216">
        <v>338.81099999999998</v>
      </c>
      <c r="S241" s="216">
        <v>557.70139999999992</v>
      </c>
      <c r="T241" s="216">
        <v>2748.3301000000001</v>
      </c>
      <c r="U241" s="216">
        <v>392.983</v>
      </c>
      <c r="V241" s="216">
        <v>996.52059999999994</v>
      </c>
      <c r="W241" s="216">
        <v>726.58249999999998</v>
      </c>
      <c r="X241" s="216">
        <v>1056.7507000000001</v>
      </c>
      <c r="Y241" s="216">
        <v>9729.2060999999994</v>
      </c>
      <c r="Z241" s="216">
        <v>3139.0866000000001</v>
      </c>
      <c r="AA241" s="216">
        <v>187.96600000000001</v>
      </c>
      <c r="AB241" s="216">
        <v>1170.8016000000002</v>
      </c>
      <c r="AC241" s="216">
        <v>708.92370000000005</v>
      </c>
      <c r="AD241" s="216">
        <v>2724.8159999999998</v>
      </c>
      <c r="AE241" s="216">
        <v>2726.8759</v>
      </c>
      <c r="AF241" s="216">
        <v>2673.4403999999995</v>
      </c>
      <c r="AG241" s="216">
        <v>5681.6071000000011</v>
      </c>
      <c r="AH241" s="216">
        <v>928.7349999999999</v>
      </c>
      <c r="AI241" s="216">
        <v>5315.9098000000004</v>
      </c>
      <c r="AJ241" s="216">
        <v>2832.8114620514525</v>
      </c>
      <c r="AK241" s="216">
        <v>13243.091700000004</v>
      </c>
      <c r="AL241" s="216">
        <f t="shared" si="55"/>
        <v>58199.310762051457</v>
      </c>
      <c r="AM241" s="216">
        <f t="shared" si="51"/>
        <v>59347.19426205146</v>
      </c>
      <c r="AN241" s="216">
        <f t="shared" si="48"/>
        <v>-22965.034262051464</v>
      </c>
      <c r="AO241" s="1203" t="s">
        <v>554</v>
      </c>
      <c r="AP241" s="1636"/>
      <c r="AQ241" s="958"/>
      <c r="AR241" s="958"/>
      <c r="AS241" s="958"/>
      <c r="AU241" s="958"/>
      <c r="AV241" s="958"/>
      <c r="AW241" s="958"/>
      <c r="AX241" s="958"/>
      <c r="AY241" s="958"/>
    </row>
    <row r="242" spans="1:56" s="244" customFormat="1" ht="11.45" customHeight="1" x14ac:dyDescent="0.2">
      <c r="A242" s="156" t="s">
        <v>2206</v>
      </c>
      <c r="B242" s="1136" t="s">
        <v>555</v>
      </c>
      <c r="C242" s="272">
        <f>102.01+0</f>
        <v>102.01</v>
      </c>
      <c r="D242" s="272">
        <f>700.4+13.48</f>
        <v>713.88</v>
      </c>
      <c r="E242" s="272">
        <f>0.797+0</f>
        <v>0.79700000000000004</v>
      </c>
      <c r="F242" s="272">
        <f>690.69+385.85</f>
        <v>1076.54</v>
      </c>
      <c r="G242" s="272">
        <f>90.05+239.38+0+0</f>
        <v>329.43</v>
      </c>
      <c r="H242" s="272">
        <f>24059.23+3071.09</f>
        <v>27130.32</v>
      </c>
      <c r="I242" s="272">
        <v>0.1</v>
      </c>
      <c r="J242" s="272">
        <v>0.1</v>
      </c>
      <c r="K242" s="272">
        <v>0.1</v>
      </c>
      <c r="L242" s="272">
        <f t="shared" si="53"/>
        <v>3045.9230000000061</v>
      </c>
      <c r="M242" s="272">
        <f>28402.41+3996.79</f>
        <v>32399.200000000001</v>
      </c>
      <c r="N242" s="272">
        <v>16.543700000000001</v>
      </c>
      <c r="O242" s="272">
        <v>1428.8142</v>
      </c>
      <c r="P242" s="272">
        <f t="shared" si="54"/>
        <v>1445.3579</v>
      </c>
      <c r="Q242" s="272">
        <v>427.49810000000002</v>
      </c>
      <c r="R242" s="272">
        <v>335.12199999999996</v>
      </c>
      <c r="S242" s="272">
        <v>1085.6035999999999</v>
      </c>
      <c r="T242" s="272">
        <v>2517.174</v>
      </c>
      <c r="U242" s="272">
        <v>508.72349999999994</v>
      </c>
      <c r="V242" s="272">
        <v>1133.463</v>
      </c>
      <c r="W242" s="272">
        <v>606.45119999999997</v>
      </c>
      <c r="X242" s="272">
        <v>609.73109999999997</v>
      </c>
      <c r="Y242" s="272">
        <v>11432.552</v>
      </c>
      <c r="Z242" s="272">
        <v>2952.5421000000001</v>
      </c>
      <c r="AA242" s="272">
        <v>171.94629999999998</v>
      </c>
      <c r="AB242" s="272">
        <v>2596.5011999999997</v>
      </c>
      <c r="AC242" s="272">
        <v>671.5304000000001</v>
      </c>
      <c r="AD242" s="272">
        <v>2908.9395999999997</v>
      </c>
      <c r="AE242" s="272">
        <v>3185.2846</v>
      </c>
      <c r="AF242" s="272">
        <v>2690.1749999999997</v>
      </c>
      <c r="AG242" s="272">
        <v>5827.1295000000009</v>
      </c>
      <c r="AH242" s="272">
        <v>1058.0346999999999</v>
      </c>
      <c r="AI242" s="272">
        <v>5024.8924999999999</v>
      </c>
      <c r="AJ242" s="272">
        <v>2932.6674825069499</v>
      </c>
      <c r="AK242" s="272">
        <v>13188.008800000001</v>
      </c>
      <c r="AL242" s="272">
        <f t="shared" si="55"/>
        <v>61863.970682506944</v>
      </c>
      <c r="AM242" s="272">
        <f t="shared" si="51"/>
        <v>63309.328582506947</v>
      </c>
      <c r="AN242" s="272">
        <f t="shared" si="48"/>
        <v>-30910.128582506946</v>
      </c>
      <c r="AO242" s="1199" t="s">
        <v>555</v>
      </c>
      <c r="AP242" s="1636"/>
      <c r="AQ242" s="958"/>
      <c r="AR242" s="958"/>
      <c r="AS242" s="958"/>
      <c r="AU242" s="958"/>
      <c r="AV242" s="958"/>
      <c r="AW242" s="958"/>
      <c r="AX242" s="958"/>
      <c r="AY242" s="958"/>
    </row>
    <row r="243" spans="1:56" s="244" customFormat="1" ht="11.45" customHeight="1" x14ac:dyDescent="0.2">
      <c r="A243" s="156" t="s">
        <v>2206</v>
      </c>
      <c r="B243" s="482" t="s">
        <v>548</v>
      </c>
      <c r="C243" s="216">
        <f>123.76+0.43</f>
        <v>124.19000000000001</v>
      </c>
      <c r="D243" s="216">
        <f>641.57+16.09</f>
        <v>657.66000000000008</v>
      </c>
      <c r="E243" s="216">
        <f>3+0</f>
        <v>3</v>
      </c>
      <c r="F243" s="216">
        <f>602.02+388.69</f>
        <v>990.71</v>
      </c>
      <c r="G243" s="216">
        <f>91.78+211.91+0+0</f>
        <v>303.69</v>
      </c>
      <c r="H243" s="216">
        <f>23673.63+3213.52</f>
        <v>26887.15</v>
      </c>
      <c r="I243" s="216">
        <v>0.1</v>
      </c>
      <c r="J243" s="216">
        <v>0.1</v>
      </c>
      <c r="K243" s="216">
        <v>0.1</v>
      </c>
      <c r="L243" s="216">
        <f>M243-SUM(C243:K243)</f>
        <v>3248.25</v>
      </c>
      <c r="M243" s="216">
        <f>28082.92+4132.03</f>
        <v>32214.949999999997</v>
      </c>
      <c r="N243" s="216">
        <v>16.5</v>
      </c>
      <c r="O243" s="216">
        <v>1106.4308000000001</v>
      </c>
      <c r="P243" s="216">
        <f t="shared" si="54"/>
        <v>1122.9308000000001</v>
      </c>
      <c r="Q243" s="216">
        <v>332.49610000000001</v>
      </c>
      <c r="R243" s="216">
        <v>298.60880000000003</v>
      </c>
      <c r="S243" s="216">
        <v>1272.3896999999999</v>
      </c>
      <c r="T243" s="216">
        <v>1725.5778</v>
      </c>
      <c r="U243" s="216">
        <v>482.19899999999996</v>
      </c>
      <c r="V243" s="216">
        <v>764.7559</v>
      </c>
      <c r="W243" s="216">
        <v>562.36660000000006</v>
      </c>
      <c r="X243" s="216">
        <v>596.91030000000001</v>
      </c>
      <c r="Y243" s="216">
        <v>7878.2924999999996</v>
      </c>
      <c r="Z243" s="216">
        <v>2592.1014</v>
      </c>
      <c r="AA243" s="216">
        <v>114.51570000000001</v>
      </c>
      <c r="AB243" s="216">
        <v>1896.7918</v>
      </c>
      <c r="AC243" s="216">
        <v>639.61360000000002</v>
      </c>
      <c r="AD243" s="216">
        <v>2302.8721999999998</v>
      </c>
      <c r="AE243" s="216">
        <v>3070.7285999999995</v>
      </c>
      <c r="AF243" s="216">
        <v>2358.0033000000003</v>
      </c>
      <c r="AG243" s="216">
        <v>5511.2779</v>
      </c>
      <c r="AH243" s="216">
        <v>984.06080000000009</v>
      </c>
      <c r="AI243" s="216">
        <v>4895.1581000000006</v>
      </c>
      <c r="AJ243" s="216">
        <v>4378.5273344090165</v>
      </c>
      <c r="AK243" s="216">
        <v>11396.120299999995</v>
      </c>
      <c r="AL243" s="216">
        <f t="shared" si="55"/>
        <v>54053.36773440901</v>
      </c>
      <c r="AM243" s="216">
        <f t="shared" si="51"/>
        <v>55176.298534409012</v>
      </c>
      <c r="AN243" s="216">
        <f t="shared" si="48"/>
        <v>-22961.348534409015</v>
      </c>
      <c r="AO243" s="1203" t="s">
        <v>548</v>
      </c>
      <c r="AP243" s="1563"/>
      <c r="AQ243" s="958"/>
      <c r="AR243" s="958"/>
      <c r="AS243" s="958"/>
      <c r="AU243" s="958"/>
      <c r="AV243" s="958"/>
      <c r="AW243" s="958"/>
      <c r="AX243" s="958"/>
      <c r="AY243" s="958"/>
    </row>
    <row r="244" spans="1:56" s="244" customFormat="1" ht="11.45" customHeight="1" x14ac:dyDescent="0.2">
      <c r="A244" s="156" t="s">
        <v>2206</v>
      </c>
      <c r="B244" s="1136" t="s">
        <v>556</v>
      </c>
      <c r="C244" s="272">
        <f>118+0</f>
        <v>118</v>
      </c>
      <c r="D244" s="272">
        <f>609.41+8.47</f>
        <v>617.88</v>
      </c>
      <c r="E244" s="272">
        <f>1+0</f>
        <v>1</v>
      </c>
      <c r="F244" s="272">
        <f>707.41+278.35</f>
        <v>985.76</v>
      </c>
      <c r="G244" s="272">
        <f>92.4+242.71+0+0</f>
        <v>335.11</v>
      </c>
      <c r="H244" s="272">
        <f>28555.39+3595.7</f>
        <v>32151.09</v>
      </c>
      <c r="I244" s="272">
        <v>0</v>
      </c>
      <c r="J244" s="272">
        <v>0</v>
      </c>
      <c r="K244" s="272">
        <v>0</v>
      </c>
      <c r="L244" s="272">
        <f>M244-SUM(C244:K244)</f>
        <v>3217.1900000000096</v>
      </c>
      <c r="M244" s="272">
        <f>33014.98+4411.05</f>
        <v>37426.030000000006</v>
      </c>
      <c r="N244" s="272">
        <v>30.3</v>
      </c>
      <c r="O244" s="272">
        <v>1670.3949</v>
      </c>
      <c r="P244" s="272">
        <f t="shared" si="54"/>
        <v>1700.6949</v>
      </c>
      <c r="Q244" s="272">
        <v>322.50710000000004</v>
      </c>
      <c r="R244" s="272">
        <v>439.33660000000003</v>
      </c>
      <c r="S244" s="272">
        <v>1220.0185000000001</v>
      </c>
      <c r="T244" s="272">
        <v>1826.3262</v>
      </c>
      <c r="U244" s="272">
        <v>994.12699999999995</v>
      </c>
      <c r="V244" s="272">
        <v>741.00919999999996</v>
      </c>
      <c r="W244" s="272">
        <v>609.40639999999996</v>
      </c>
      <c r="X244" s="272">
        <v>2012.4019999999998</v>
      </c>
      <c r="Y244" s="272">
        <v>8650.9637999999995</v>
      </c>
      <c r="Z244" s="272">
        <v>3037.5902000000001</v>
      </c>
      <c r="AA244" s="272">
        <v>188.9641</v>
      </c>
      <c r="AB244" s="272">
        <v>2786.0089000000003</v>
      </c>
      <c r="AC244" s="272">
        <v>745.98249999999996</v>
      </c>
      <c r="AD244" s="272">
        <v>2747.1990000000001</v>
      </c>
      <c r="AE244" s="272">
        <v>3032.8914</v>
      </c>
      <c r="AF244" s="272">
        <v>2993.6629000000003</v>
      </c>
      <c r="AG244" s="272">
        <v>6425.3505000000005</v>
      </c>
      <c r="AH244" s="272">
        <v>1223.6033</v>
      </c>
      <c r="AI244" s="272">
        <v>4356.7973999999995</v>
      </c>
      <c r="AJ244" s="272">
        <v>2841.5213032212832</v>
      </c>
      <c r="AK244" s="272">
        <v>13431.990299999998</v>
      </c>
      <c r="AL244" s="272">
        <f t="shared" si="55"/>
        <v>60627.658603221287</v>
      </c>
      <c r="AM244" s="272">
        <f t="shared" si="51"/>
        <v>62328.353503221289</v>
      </c>
      <c r="AN244" s="272">
        <f t="shared" si="48"/>
        <v>-24902.323503221283</v>
      </c>
      <c r="AO244" s="1199" t="s">
        <v>556</v>
      </c>
      <c r="AP244" s="958"/>
      <c r="AQ244" s="958"/>
      <c r="AR244" s="958"/>
      <c r="AS244" s="958"/>
      <c r="AU244" s="958"/>
      <c r="AV244" s="958"/>
      <c r="AW244" s="958"/>
      <c r="AX244" s="958"/>
      <c r="AY244" s="958"/>
    </row>
    <row r="245" spans="1:56" s="244" customFormat="1" ht="11.45" customHeight="1" x14ac:dyDescent="0.2">
      <c r="A245" s="156" t="s">
        <v>2206</v>
      </c>
      <c r="B245" s="482" t="s">
        <v>557</v>
      </c>
      <c r="C245" s="216">
        <v>138.96</v>
      </c>
      <c r="D245" s="216">
        <f>543.93+17.33</f>
        <v>561.26</v>
      </c>
      <c r="E245" s="216">
        <v>1.7</v>
      </c>
      <c r="F245" s="216">
        <f>614.37+346.69</f>
        <v>961.06</v>
      </c>
      <c r="G245" s="216">
        <f>138.96+193.12</f>
        <v>332.08000000000004</v>
      </c>
      <c r="H245" s="216">
        <f>26164.15+3175.67</f>
        <v>29339.82</v>
      </c>
      <c r="I245" s="216">
        <v>0</v>
      </c>
      <c r="J245" s="216">
        <v>0</v>
      </c>
      <c r="K245" s="216">
        <v>0.1</v>
      </c>
      <c r="L245" s="216">
        <f t="shared" ref="L245:L249" si="56">M245-SUM(C245:K245)</f>
        <v>2732.5600000000013</v>
      </c>
      <c r="M245" s="216">
        <f>29904.79+4162.75</f>
        <v>34067.54</v>
      </c>
      <c r="N245" s="216">
        <v>21.805999999999997</v>
      </c>
      <c r="O245" s="216">
        <v>1552.6215999999999</v>
      </c>
      <c r="P245" s="216">
        <f t="shared" si="54"/>
        <v>1574.4276</v>
      </c>
      <c r="Q245" s="216">
        <v>253.02880000000002</v>
      </c>
      <c r="R245" s="216">
        <v>408.73570000000001</v>
      </c>
      <c r="S245" s="216">
        <v>664.56090000000006</v>
      </c>
      <c r="T245" s="216">
        <v>1737.8710999999998</v>
      </c>
      <c r="U245" s="216">
        <v>466.56359999999995</v>
      </c>
      <c r="V245" s="216">
        <v>1234.4953999999998</v>
      </c>
      <c r="W245" s="216">
        <v>485.12380000000002</v>
      </c>
      <c r="X245" s="216">
        <v>203.64049999999997</v>
      </c>
      <c r="Y245" s="216">
        <v>5574.0397000000003</v>
      </c>
      <c r="Z245" s="216">
        <v>2537.7527</v>
      </c>
      <c r="AA245" s="216">
        <v>195.0795</v>
      </c>
      <c r="AB245" s="216">
        <v>1320.6242</v>
      </c>
      <c r="AC245" s="216">
        <v>631.55840000000001</v>
      </c>
      <c r="AD245" s="216">
        <v>2201.0261</v>
      </c>
      <c r="AE245" s="216">
        <v>3171.7404999999999</v>
      </c>
      <c r="AF245" s="216">
        <v>2804.3330999999998</v>
      </c>
      <c r="AG245" s="216">
        <v>6162.0634999999993</v>
      </c>
      <c r="AH245" s="216">
        <v>1177.3253</v>
      </c>
      <c r="AI245" s="216">
        <v>3504.6022000000003</v>
      </c>
      <c r="AJ245" s="216">
        <v>2165.4278564616802</v>
      </c>
      <c r="AK245" s="216">
        <v>10903.268999999997</v>
      </c>
      <c r="AL245" s="216">
        <f t="shared" si="55"/>
        <v>47802.861856461677</v>
      </c>
      <c r="AM245" s="216">
        <f t="shared" si="51"/>
        <v>49377.28945646168</v>
      </c>
      <c r="AN245" s="216">
        <f t="shared" si="48"/>
        <v>-15309.749456461679</v>
      </c>
      <c r="AO245" s="1203" t="s">
        <v>557</v>
      </c>
      <c r="AP245" s="958"/>
      <c r="AQ245" s="958"/>
      <c r="AR245" s="958"/>
      <c r="AS245" s="958"/>
      <c r="AU245" s="958"/>
      <c r="AV245" s="958"/>
      <c r="AW245" s="958"/>
      <c r="AX245" s="958"/>
      <c r="AY245" s="958"/>
    </row>
    <row r="246" spans="1:56" s="244" customFormat="1" ht="11.45" customHeight="1" x14ac:dyDescent="0.2">
      <c r="A246" s="156" t="s">
        <v>2206</v>
      </c>
      <c r="B246" s="1136" t="s">
        <v>549</v>
      </c>
      <c r="C246" s="272">
        <f>159.83+0</f>
        <v>159.83000000000001</v>
      </c>
      <c r="D246" s="272">
        <f>639.64+14.46</f>
        <v>654.1</v>
      </c>
      <c r="E246" s="272">
        <v>3.2252999999999998</v>
      </c>
      <c r="F246" s="272">
        <f>599.85+274.37</f>
        <v>874.22</v>
      </c>
      <c r="G246" s="272">
        <f>101.58+147.28+0+0</f>
        <v>248.86</v>
      </c>
      <c r="H246" s="272">
        <f>29426.63+3561.74</f>
        <v>32988.370000000003</v>
      </c>
      <c r="I246" s="272">
        <v>0</v>
      </c>
      <c r="J246" s="272">
        <v>0</v>
      </c>
      <c r="K246" s="272">
        <v>0</v>
      </c>
      <c r="L246" s="272">
        <f t="shared" si="56"/>
        <v>3566.6346999999951</v>
      </c>
      <c r="M246" s="272">
        <f>34026.21+4469.03</f>
        <v>38495.24</v>
      </c>
      <c r="N246" s="272">
        <v>18.6829</v>
      </c>
      <c r="O246" s="272">
        <v>1820.9451000000001</v>
      </c>
      <c r="P246" s="272">
        <f t="shared" si="54"/>
        <v>1839.6280000000002</v>
      </c>
      <c r="Q246" s="272">
        <v>369.7364</v>
      </c>
      <c r="R246" s="272">
        <v>501.01509999999996</v>
      </c>
      <c r="S246" s="272">
        <v>978.15789999999993</v>
      </c>
      <c r="T246" s="272">
        <v>1239.8487</v>
      </c>
      <c r="U246" s="272">
        <v>528.85270000000003</v>
      </c>
      <c r="V246" s="272">
        <v>871.98320000000001</v>
      </c>
      <c r="W246" s="272">
        <v>683.5945999999999</v>
      </c>
      <c r="X246" s="272">
        <v>805.5806</v>
      </c>
      <c r="Y246" s="272">
        <v>8788.7296999999999</v>
      </c>
      <c r="Z246" s="272">
        <v>2620.9857000000002</v>
      </c>
      <c r="AA246" s="272">
        <v>197.37559999999999</v>
      </c>
      <c r="AB246" s="272">
        <v>1138.0176000000001</v>
      </c>
      <c r="AC246" s="272">
        <v>780.58600000000001</v>
      </c>
      <c r="AD246" s="272">
        <v>2598.0637000000002</v>
      </c>
      <c r="AE246" s="272">
        <v>3935.6956</v>
      </c>
      <c r="AF246" s="272">
        <v>2995.3303000000001</v>
      </c>
      <c r="AG246" s="272">
        <v>6156.133600000001</v>
      </c>
      <c r="AH246" s="272">
        <v>1313.8481999999999</v>
      </c>
      <c r="AI246" s="272">
        <v>4518.4665000000005</v>
      </c>
      <c r="AJ246" s="272">
        <v>2021.2383779903912</v>
      </c>
      <c r="AK246" s="272">
        <v>11932.732799999994</v>
      </c>
      <c r="AL246" s="272">
        <f t="shared" si="55"/>
        <v>54975.972877990389</v>
      </c>
      <c r="AM246" s="272">
        <f t="shared" si="51"/>
        <v>56815.600877990386</v>
      </c>
      <c r="AN246" s="272">
        <f t="shared" ref="AN246:AN269" si="57">M246-AM246</f>
        <v>-18320.360877990388</v>
      </c>
      <c r="AO246" s="1199" t="s">
        <v>549</v>
      </c>
      <c r="AP246" s="958"/>
      <c r="AQ246" s="958"/>
      <c r="AR246" s="958"/>
      <c r="AS246" s="958"/>
      <c r="AU246" s="958"/>
      <c r="AV246" s="958"/>
      <c r="AW246" s="958"/>
      <c r="AX246" s="958"/>
      <c r="AY246" s="958"/>
    </row>
    <row r="247" spans="1:56" s="244" customFormat="1" ht="11.45" customHeight="1" x14ac:dyDescent="0.2">
      <c r="A247" s="156" t="s">
        <v>2206</v>
      </c>
      <c r="B247" s="482" t="s">
        <v>558</v>
      </c>
      <c r="C247" s="216">
        <f>166+0</f>
        <v>166</v>
      </c>
      <c r="D247" s="216">
        <f>585.74+11.55</f>
        <v>597.29</v>
      </c>
      <c r="E247" s="216">
        <f>6</f>
        <v>6</v>
      </c>
      <c r="F247" s="216">
        <f>626.2+209.2</f>
        <v>835.40000000000009</v>
      </c>
      <c r="G247" s="216">
        <f>100.93+133.54+0+0</f>
        <v>234.47</v>
      </c>
      <c r="H247" s="216">
        <f>26522.69+3186.63</f>
        <v>29709.32</v>
      </c>
      <c r="I247" s="216">
        <v>0</v>
      </c>
      <c r="J247" s="216">
        <v>0</v>
      </c>
      <c r="K247" s="216">
        <v>0</v>
      </c>
      <c r="L247" s="216">
        <f t="shared" si="56"/>
        <v>2932.6400000000031</v>
      </c>
      <c r="M247" s="216">
        <f>30501.88+3979.24</f>
        <v>34481.120000000003</v>
      </c>
      <c r="N247" s="216">
        <v>10.529</v>
      </c>
      <c r="O247" s="216">
        <v>2620.2873</v>
      </c>
      <c r="P247" s="216">
        <f t="shared" si="54"/>
        <v>2630.8163</v>
      </c>
      <c r="Q247" s="216">
        <v>404.73849999999993</v>
      </c>
      <c r="R247" s="216">
        <v>529.32929999999999</v>
      </c>
      <c r="S247" s="216">
        <v>848.77160000000003</v>
      </c>
      <c r="T247" s="216">
        <v>2405.8128000000002</v>
      </c>
      <c r="U247" s="216">
        <v>1291.9983</v>
      </c>
      <c r="V247" s="216">
        <v>1584.0472</v>
      </c>
      <c r="W247" s="216">
        <v>638.55459999999994</v>
      </c>
      <c r="X247" s="216">
        <v>153.00360000000001</v>
      </c>
      <c r="Y247" s="216">
        <v>9645.7895000000008</v>
      </c>
      <c r="Z247" s="216">
        <v>2929.8935999999999</v>
      </c>
      <c r="AA247" s="216">
        <v>131.09569999999999</v>
      </c>
      <c r="AB247" s="216">
        <v>932.1893</v>
      </c>
      <c r="AC247" s="216">
        <v>692.18090000000007</v>
      </c>
      <c r="AD247" s="216">
        <v>2783.5914000000002</v>
      </c>
      <c r="AE247" s="216">
        <v>3857.6780000000003</v>
      </c>
      <c r="AF247" s="216">
        <v>2862.0955999999996</v>
      </c>
      <c r="AG247" s="216">
        <v>5819.9853000000003</v>
      </c>
      <c r="AH247" s="216">
        <v>1240.8736000000001</v>
      </c>
      <c r="AI247" s="216">
        <v>5004.4654999999993</v>
      </c>
      <c r="AJ247" s="216">
        <v>2255.3823342850651</v>
      </c>
      <c r="AK247" s="216">
        <v>11388.210099999997</v>
      </c>
      <c r="AL247" s="216">
        <f t="shared" si="55"/>
        <v>57399.686734285067</v>
      </c>
      <c r="AM247" s="216">
        <f t="shared" si="51"/>
        <v>60030.503034285066</v>
      </c>
      <c r="AN247" s="216">
        <f t="shared" si="57"/>
        <v>-25549.383034285063</v>
      </c>
      <c r="AO247" s="1203" t="s">
        <v>558</v>
      </c>
      <c r="AP247" s="958"/>
      <c r="AQ247" s="958"/>
      <c r="AR247" s="958"/>
      <c r="AS247" s="958"/>
      <c r="AU247" s="958"/>
      <c r="AV247" s="958"/>
      <c r="AW247" s="958"/>
      <c r="AX247" s="958"/>
      <c r="AY247" s="958"/>
    </row>
    <row r="248" spans="1:56" s="244" customFormat="1" ht="11.45" customHeight="1" x14ac:dyDescent="0.2">
      <c r="A248" s="156" t="s">
        <v>2206</v>
      </c>
      <c r="B248" s="1136" t="s">
        <v>559</v>
      </c>
      <c r="C248" s="272">
        <f>189.8979+0</f>
        <v>189.89789999999999</v>
      </c>
      <c r="D248" s="272">
        <f>659.45+5.54</f>
        <v>664.99</v>
      </c>
      <c r="E248" s="272">
        <f>3.292+0</f>
        <v>3.2919999999999998</v>
      </c>
      <c r="F248" s="272">
        <f>832.35+282.64</f>
        <v>1114.99</v>
      </c>
      <c r="G248" s="272">
        <f>124.07+109.64+0+0</f>
        <v>233.70999999999998</v>
      </c>
      <c r="H248" s="272">
        <f>29633.15+3174.99</f>
        <v>32808.14</v>
      </c>
      <c r="I248" s="272">
        <v>0</v>
      </c>
      <c r="J248" s="272">
        <v>0</v>
      </c>
      <c r="K248" s="272">
        <v>0</v>
      </c>
      <c r="L248" s="272">
        <f t="shared" si="56"/>
        <v>3850.7100999999966</v>
      </c>
      <c r="M248" s="272">
        <f>34650.52+4215.21</f>
        <v>38865.729999999996</v>
      </c>
      <c r="N248" s="272">
        <v>8.7456999999999994</v>
      </c>
      <c r="O248" s="272">
        <v>1907.6895</v>
      </c>
      <c r="P248" s="272">
        <f>N248+O248</f>
        <v>1916.4351999999999</v>
      </c>
      <c r="Q248" s="272">
        <v>612.00909999999999</v>
      </c>
      <c r="R248" s="272">
        <v>593.34929999999997</v>
      </c>
      <c r="S248" s="272">
        <v>1701.9507000000001</v>
      </c>
      <c r="T248" s="272">
        <v>2143.9584</v>
      </c>
      <c r="U248" s="272">
        <v>939.91520000000003</v>
      </c>
      <c r="V248" s="272">
        <v>567.39609999999993</v>
      </c>
      <c r="W248" s="272">
        <v>733.5485000000001</v>
      </c>
      <c r="X248" s="272">
        <v>1180.4289000000001</v>
      </c>
      <c r="Y248" s="272">
        <v>7521.0784000000003</v>
      </c>
      <c r="Z248" s="272">
        <v>3357.3568999999998</v>
      </c>
      <c r="AA248" s="272">
        <v>147.6114</v>
      </c>
      <c r="AB248" s="272">
        <v>789.20640000000003</v>
      </c>
      <c r="AC248" s="272">
        <v>816.32050000000004</v>
      </c>
      <c r="AD248" s="272">
        <v>2985.7354999999998</v>
      </c>
      <c r="AE248" s="272">
        <v>3782.2629999999999</v>
      </c>
      <c r="AF248" s="272">
        <v>3077.3618000000001</v>
      </c>
      <c r="AG248" s="272">
        <v>6980.9767999999995</v>
      </c>
      <c r="AH248" s="272">
        <v>1271.3511000000001</v>
      </c>
      <c r="AI248" s="272">
        <v>4935.8645000000006</v>
      </c>
      <c r="AJ248" s="272">
        <v>2489.1632303740553</v>
      </c>
      <c r="AK248" s="272">
        <v>13196.69850000001</v>
      </c>
      <c r="AL248" s="272">
        <f t="shared" si="55"/>
        <v>59823.544230374064</v>
      </c>
      <c r="AM248" s="272">
        <f t="shared" si="51"/>
        <v>61739.979430374064</v>
      </c>
      <c r="AN248" s="272">
        <f t="shared" si="57"/>
        <v>-22874.249430374068</v>
      </c>
      <c r="AO248" s="1199" t="s">
        <v>559</v>
      </c>
      <c r="AP248" s="958"/>
      <c r="AQ248" s="958"/>
      <c r="AR248" s="958"/>
      <c r="AS248" s="958"/>
      <c r="AU248" s="958"/>
      <c r="AV248" s="958"/>
      <c r="AW248" s="958"/>
      <c r="AX248" s="958"/>
      <c r="AY248" s="958"/>
    </row>
    <row r="249" spans="1:56" s="244" customFormat="1" ht="11.45" customHeight="1" x14ac:dyDescent="0.2">
      <c r="A249" s="156" t="s">
        <v>2206</v>
      </c>
      <c r="B249" s="482" t="s">
        <v>550</v>
      </c>
      <c r="C249" s="216">
        <f>149+0</f>
        <v>149</v>
      </c>
      <c r="D249" s="216">
        <f>549.4+15.26</f>
        <v>564.66</v>
      </c>
      <c r="E249" s="216">
        <f>2+0</f>
        <v>2</v>
      </c>
      <c r="F249" s="216">
        <f>786.62+284.42</f>
        <v>1071.04</v>
      </c>
      <c r="G249" s="216">
        <f>108.98+160.58+0+0</f>
        <v>269.56</v>
      </c>
      <c r="H249" s="216">
        <f>30515.75+3195.12</f>
        <v>33710.870000000003</v>
      </c>
      <c r="I249" s="216">
        <v>0</v>
      </c>
      <c r="J249" s="216">
        <v>0</v>
      </c>
      <c r="K249" s="216">
        <v>0</v>
      </c>
      <c r="L249" s="216">
        <f t="shared" si="56"/>
        <v>3800.7299999999959</v>
      </c>
      <c r="M249" s="216">
        <f>35371.79+4196.07</f>
        <v>39567.86</v>
      </c>
      <c r="N249" s="216">
        <v>16.421800000000001</v>
      </c>
      <c r="O249" s="216">
        <v>1837.1255999999998</v>
      </c>
      <c r="P249" s="216">
        <f>N249+O249</f>
        <v>1853.5473999999999</v>
      </c>
      <c r="Q249" s="216">
        <v>381.78640000000001</v>
      </c>
      <c r="R249" s="216">
        <v>598.18729999999994</v>
      </c>
      <c r="S249" s="216">
        <v>1093.7872</v>
      </c>
      <c r="T249" s="216">
        <v>2069.6053999999999</v>
      </c>
      <c r="U249" s="216">
        <v>981.44889999999998</v>
      </c>
      <c r="V249" s="216">
        <v>741.51099999999997</v>
      </c>
      <c r="W249" s="216">
        <v>594.01929999999993</v>
      </c>
      <c r="X249" s="216">
        <v>1972.1111999999998</v>
      </c>
      <c r="Y249" s="216">
        <v>7706.8305</v>
      </c>
      <c r="Z249" s="216">
        <v>2835.3438000000001</v>
      </c>
      <c r="AA249" s="216">
        <v>174.9024</v>
      </c>
      <c r="AB249" s="216">
        <v>1218.2411999999999</v>
      </c>
      <c r="AC249" s="216">
        <v>706.06029999999998</v>
      </c>
      <c r="AD249" s="216">
        <v>2781.3923</v>
      </c>
      <c r="AE249" s="216">
        <v>3800.9758000000002</v>
      </c>
      <c r="AF249" s="216">
        <v>2949.3834000000002</v>
      </c>
      <c r="AG249" s="216">
        <v>6093.6231000000007</v>
      </c>
      <c r="AH249" s="216">
        <v>1093.8304000000001</v>
      </c>
      <c r="AI249" s="216">
        <v>4946.2313000000004</v>
      </c>
      <c r="AJ249" s="216">
        <v>2259.205018724655</v>
      </c>
      <c r="AK249" s="216">
        <v>13571.759399999999</v>
      </c>
      <c r="AL249" s="216">
        <f t="shared" si="55"/>
        <v>58570.235618724648</v>
      </c>
      <c r="AM249" s="216">
        <f t="shared" si="51"/>
        <v>60423.783018724651</v>
      </c>
      <c r="AN249" s="216">
        <f t="shared" si="57"/>
        <v>-20855.92301872465</v>
      </c>
      <c r="AO249" s="1203" t="s">
        <v>550</v>
      </c>
      <c r="AP249" s="958"/>
      <c r="AQ249" s="958"/>
      <c r="AR249" s="958"/>
      <c r="AS249" s="958"/>
      <c r="AU249" s="958"/>
      <c r="AV249" s="958"/>
      <c r="AW249" s="958"/>
      <c r="AX249" s="958"/>
      <c r="AY249" s="958"/>
    </row>
    <row r="250" spans="1:56" s="244" customFormat="1" ht="11.45" customHeight="1" x14ac:dyDescent="0.2">
      <c r="A250" s="1976" t="s">
        <v>3091</v>
      </c>
      <c r="B250" s="482" t="s">
        <v>552</v>
      </c>
      <c r="C250" s="216">
        <f>107.2264+0</f>
        <v>107.2264</v>
      </c>
      <c r="D250" s="216">
        <f>600.9536+12.2849</f>
        <v>613.23850000000004</v>
      </c>
      <c r="E250" s="216">
        <f>4.3516+0</f>
        <v>4.3516000000000004</v>
      </c>
      <c r="F250" s="216">
        <f>801.3941+351.1035</f>
        <v>1152.4975999999999</v>
      </c>
      <c r="G250" s="216">
        <f>187.8432+117.0838+0+0</f>
        <v>304.92700000000002</v>
      </c>
      <c r="H250" s="216">
        <f>29412.1578+3673.5328</f>
        <v>33085.690600000002</v>
      </c>
      <c r="I250" s="216">
        <v>0.1</v>
      </c>
      <c r="J250" s="216">
        <v>0.1</v>
      </c>
      <c r="K250" s="216">
        <v>0.1</v>
      </c>
      <c r="L250" s="216">
        <f t="shared" ref="L250:L254" si="58">M250-SUM(C250:K250)</f>
        <v>3456.1910000000062</v>
      </c>
      <c r="M250" s="216">
        <f>33999.4107+4725.012</f>
        <v>38724.422700000003</v>
      </c>
      <c r="N250" s="216">
        <v>9.8000000000000007</v>
      </c>
      <c r="O250" s="216">
        <v>702.6</v>
      </c>
      <c r="P250" s="216">
        <f t="shared" ref="P250:P261" si="59">N250+O250</f>
        <v>712.4</v>
      </c>
      <c r="Q250" s="216">
        <v>350.5</v>
      </c>
      <c r="R250" s="216">
        <v>506.5</v>
      </c>
      <c r="S250" s="216">
        <v>1272.5999999999999</v>
      </c>
      <c r="T250" s="216">
        <v>1598.4</v>
      </c>
      <c r="U250" s="216">
        <v>1002.6999999999999</v>
      </c>
      <c r="V250" s="216">
        <v>817.6</v>
      </c>
      <c r="W250" s="216">
        <v>626.20000000000005</v>
      </c>
      <c r="X250" s="216">
        <v>1305.7</v>
      </c>
      <c r="Y250" s="216">
        <v>6972.5999999999995</v>
      </c>
      <c r="Z250" s="216">
        <v>3106.8</v>
      </c>
      <c r="AA250" s="216">
        <v>178.8</v>
      </c>
      <c r="AB250" s="216">
        <v>1453.3000000000002</v>
      </c>
      <c r="AC250" s="216">
        <v>858.2</v>
      </c>
      <c r="AD250" s="216">
        <v>2868.9999999999995</v>
      </c>
      <c r="AE250" s="216">
        <v>3492.6</v>
      </c>
      <c r="AF250" s="216">
        <v>3342.6</v>
      </c>
      <c r="AG250" s="216">
        <v>6306.9000000000005</v>
      </c>
      <c r="AH250" s="216">
        <v>1116.8</v>
      </c>
      <c r="AI250" s="216">
        <v>4795.6000000000004</v>
      </c>
      <c r="AJ250" s="216">
        <v>2306.9379258159202</v>
      </c>
      <c r="AK250" s="216">
        <v>13461.180000000004</v>
      </c>
      <c r="AL250" s="216">
        <f t="shared" si="55"/>
        <v>57741.517925815919</v>
      </c>
      <c r="AM250" s="216">
        <f t="shared" si="51"/>
        <v>58453.91792581592</v>
      </c>
      <c r="AN250" s="216">
        <f t="shared" si="57"/>
        <v>-19729.495225815917</v>
      </c>
      <c r="AO250" s="1203" t="s">
        <v>552</v>
      </c>
      <c r="AP250" s="958"/>
      <c r="AQ250" s="958"/>
      <c r="AR250" s="958"/>
      <c r="AS250" s="958"/>
      <c r="AU250" s="958"/>
      <c r="AV250" s="958"/>
      <c r="AW250" s="958"/>
      <c r="AX250" s="958"/>
      <c r="AY250" s="958"/>
    </row>
    <row r="251" spans="1:56" s="244" customFormat="1" ht="11.45" customHeight="1" x14ac:dyDescent="0.2">
      <c r="A251" s="1976" t="s">
        <v>3091</v>
      </c>
      <c r="B251" s="1136" t="s">
        <v>112</v>
      </c>
      <c r="C251" s="272">
        <f>120.0516+0</f>
        <v>120.05159999999999</v>
      </c>
      <c r="D251" s="272">
        <f>583.267+7.7735</f>
        <v>591.04050000000007</v>
      </c>
      <c r="E251" s="272">
        <f>1.8638+0</f>
        <v>1.8637999999999999</v>
      </c>
      <c r="F251" s="272">
        <f>869.5009+296.2184</f>
        <v>1165.7193</v>
      </c>
      <c r="G251" s="272">
        <f>85.4071+212.8385+0+0</f>
        <v>298.24560000000002</v>
      </c>
      <c r="H251" s="272">
        <f>29890.2163+3463.7976</f>
        <v>33354.013899999998</v>
      </c>
      <c r="I251" s="272">
        <v>0.1</v>
      </c>
      <c r="J251" s="272">
        <v>0.1</v>
      </c>
      <c r="K251" s="272">
        <v>0.1</v>
      </c>
      <c r="L251" s="272">
        <f t="shared" si="58"/>
        <v>3403.3868000000002</v>
      </c>
      <c r="M251" s="272">
        <f>34601.1706+4333.4509</f>
        <v>38934.621499999994</v>
      </c>
      <c r="N251" s="272">
        <v>4.7</v>
      </c>
      <c r="O251" s="272">
        <v>1444.1</v>
      </c>
      <c r="P251" s="272">
        <f t="shared" si="59"/>
        <v>1448.8</v>
      </c>
      <c r="Q251" s="272">
        <v>348.5</v>
      </c>
      <c r="R251" s="272">
        <v>511.9</v>
      </c>
      <c r="S251" s="272">
        <v>559.4</v>
      </c>
      <c r="T251" s="272">
        <v>1669.1</v>
      </c>
      <c r="U251" s="272">
        <v>532.4</v>
      </c>
      <c r="V251" s="272">
        <v>539.20000000000005</v>
      </c>
      <c r="W251" s="272">
        <v>488</v>
      </c>
      <c r="X251" s="272">
        <v>1026.5</v>
      </c>
      <c r="Y251" s="272">
        <v>8677.7999999999993</v>
      </c>
      <c r="Z251" s="272">
        <v>3577</v>
      </c>
      <c r="AA251" s="272">
        <v>170</v>
      </c>
      <c r="AB251" s="272">
        <v>988.6</v>
      </c>
      <c r="AC251" s="272">
        <v>907.7</v>
      </c>
      <c r="AD251" s="272">
        <v>3013.3999999999996</v>
      </c>
      <c r="AE251" s="272">
        <v>3507.4</v>
      </c>
      <c r="AF251" s="272">
        <v>3399.6000000000004</v>
      </c>
      <c r="AG251" s="272">
        <v>7282.2</v>
      </c>
      <c r="AH251" s="272">
        <v>1246</v>
      </c>
      <c r="AI251" s="272">
        <v>4740.5</v>
      </c>
      <c r="AJ251" s="272">
        <v>2486.75</v>
      </c>
      <c r="AK251" s="272">
        <v>14133.5</v>
      </c>
      <c r="AL251" s="272">
        <f t="shared" si="55"/>
        <v>59805.450000000004</v>
      </c>
      <c r="AM251" s="272">
        <f t="shared" si="51"/>
        <v>61254.250000000007</v>
      </c>
      <c r="AN251" s="272">
        <f t="shared" si="57"/>
        <v>-22319.628500000013</v>
      </c>
      <c r="AO251" s="1199" t="s">
        <v>112</v>
      </c>
      <c r="AP251" s="249"/>
      <c r="AQ251" s="958"/>
      <c r="AR251" s="958"/>
      <c r="AS251" s="249"/>
      <c r="AT251" s="249"/>
      <c r="AU251" s="249"/>
      <c r="AV251" s="958"/>
      <c r="AW251" s="958"/>
      <c r="AX251" s="958"/>
      <c r="AY251" s="958"/>
      <c r="AZ251" s="249"/>
      <c r="BA251" s="249"/>
      <c r="BB251" s="249"/>
      <c r="BC251" s="249"/>
      <c r="BD251" s="249"/>
    </row>
    <row r="252" spans="1:56" s="244" customFormat="1" ht="11.45" customHeight="1" x14ac:dyDescent="0.2">
      <c r="A252" s="1976" t="s">
        <v>3091</v>
      </c>
      <c r="B252" s="482" t="s">
        <v>547</v>
      </c>
      <c r="C252" s="216">
        <f>201.7033+0</f>
        <v>201.70330000000001</v>
      </c>
      <c r="D252" s="216">
        <f>684.3396+15.7527</f>
        <v>700.09230000000002</v>
      </c>
      <c r="E252" s="216">
        <f>1.8765+0</f>
        <v>1.8765000000000001</v>
      </c>
      <c r="F252" s="216">
        <f>950.4449+279.6946</f>
        <v>1230.1395</v>
      </c>
      <c r="G252" s="216">
        <f>226.6693+107.0026+0+0</f>
        <v>333.67189999999999</v>
      </c>
      <c r="H252" s="216">
        <f>35666.7958+4925.8185</f>
        <v>40592.614300000001</v>
      </c>
      <c r="I252" s="216">
        <v>0.1</v>
      </c>
      <c r="J252" s="216">
        <v>0.1</v>
      </c>
      <c r="K252" s="216">
        <v>0.1</v>
      </c>
      <c r="L252" s="216">
        <f t="shared" si="58"/>
        <v>4277.1533000000054</v>
      </c>
      <c r="M252" s="216">
        <f>41463.3029+5874.2482</f>
        <v>47337.551100000004</v>
      </c>
      <c r="N252" s="216">
        <v>21.8</v>
      </c>
      <c r="O252" s="216">
        <v>1725.5</v>
      </c>
      <c r="P252" s="216">
        <f t="shared" si="59"/>
        <v>1747.3</v>
      </c>
      <c r="Q252" s="216">
        <v>294.70000000000005</v>
      </c>
      <c r="R252" s="216">
        <v>415.9</v>
      </c>
      <c r="S252" s="216">
        <v>1041.4000000000001</v>
      </c>
      <c r="T252" s="216">
        <v>1870.2</v>
      </c>
      <c r="U252" s="216">
        <v>806.9</v>
      </c>
      <c r="V252" s="216">
        <v>625.5</v>
      </c>
      <c r="W252" s="216">
        <v>584.9</v>
      </c>
      <c r="X252" s="216">
        <v>1216.6000000000001</v>
      </c>
      <c r="Y252" s="216">
        <v>10941.199999999999</v>
      </c>
      <c r="Z252" s="216">
        <v>3243.5</v>
      </c>
      <c r="AA252" s="216">
        <v>222.1</v>
      </c>
      <c r="AB252" s="216">
        <v>2798.7</v>
      </c>
      <c r="AC252" s="216">
        <v>799.5</v>
      </c>
      <c r="AD252" s="216">
        <v>3106.9</v>
      </c>
      <c r="AE252" s="216">
        <v>3148.4</v>
      </c>
      <c r="AF252" s="216">
        <v>3527.8</v>
      </c>
      <c r="AG252" s="216">
        <v>7651</v>
      </c>
      <c r="AH252" s="216">
        <v>1142</v>
      </c>
      <c r="AI252" s="216">
        <v>5647.5</v>
      </c>
      <c r="AJ252" s="216">
        <v>2526.63</v>
      </c>
      <c r="AK252" s="216">
        <v>14402.239999999996</v>
      </c>
      <c r="AL252" s="216">
        <f t="shared" si="55"/>
        <v>66013.569999999992</v>
      </c>
      <c r="AM252" s="216">
        <f t="shared" si="51"/>
        <v>67760.87</v>
      </c>
      <c r="AN252" s="216">
        <f t="shared" si="57"/>
        <v>-20423.318899999991</v>
      </c>
      <c r="AO252" s="1203" t="s">
        <v>547</v>
      </c>
      <c r="AP252" s="958"/>
      <c r="AQ252" s="958"/>
      <c r="AR252" s="958"/>
      <c r="AS252" s="958"/>
      <c r="AU252" s="958"/>
      <c r="AV252" s="958"/>
      <c r="AW252" s="958"/>
      <c r="AX252" s="958"/>
      <c r="AY252" s="958"/>
    </row>
    <row r="253" spans="1:56" s="244" customFormat="1" ht="11.45" customHeight="1" x14ac:dyDescent="0.2">
      <c r="A253" s="1976" t="s">
        <v>3091</v>
      </c>
      <c r="B253" s="1136" t="s">
        <v>2810</v>
      </c>
      <c r="C253" s="272">
        <f>186.6061+0</f>
        <v>186.6061</v>
      </c>
      <c r="D253" s="272">
        <f>712.0818+10.9262</f>
        <v>723.00800000000004</v>
      </c>
      <c r="E253" s="272">
        <f>5.2053+0</f>
        <v>5.2053000000000003</v>
      </c>
      <c r="F253" s="272">
        <f>835.7653+351.2122</f>
        <v>1186.9775</v>
      </c>
      <c r="G253" s="272">
        <f>123.4458+257.3447+0+0</f>
        <v>380.79050000000001</v>
      </c>
      <c r="H253" s="272">
        <f>34272.5311+4806.9884</f>
        <v>39079.519500000002</v>
      </c>
      <c r="I253" s="272">
        <v>0.1</v>
      </c>
      <c r="J253" s="272">
        <v>0.1</v>
      </c>
      <c r="K253" s="272">
        <v>0.1</v>
      </c>
      <c r="L253" s="272">
        <f t="shared" si="58"/>
        <v>4354.9635000000053</v>
      </c>
      <c r="M253" s="272">
        <f>40098.6574+5818.713</f>
        <v>45917.3704</v>
      </c>
      <c r="N253" s="272">
        <v>39.700000000000003</v>
      </c>
      <c r="O253" s="272">
        <v>1341.1000000000001</v>
      </c>
      <c r="P253" s="272">
        <f t="shared" si="59"/>
        <v>1380.8000000000002</v>
      </c>
      <c r="Q253" s="272">
        <v>299.89999999999998</v>
      </c>
      <c r="R253" s="272">
        <v>392.5</v>
      </c>
      <c r="S253" s="272">
        <v>640.70000000000005</v>
      </c>
      <c r="T253" s="272">
        <v>2037.1</v>
      </c>
      <c r="U253" s="272">
        <v>851.7</v>
      </c>
      <c r="V253" s="272">
        <v>801</v>
      </c>
      <c r="W253" s="272">
        <v>544.1</v>
      </c>
      <c r="X253" s="272">
        <v>1836.9</v>
      </c>
      <c r="Y253" s="272">
        <v>10960.2</v>
      </c>
      <c r="Z253" s="272">
        <v>3533.5</v>
      </c>
      <c r="AA253" s="272">
        <v>209.9</v>
      </c>
      <c r="AB253" s="272">
        <v>1444</v>
      </c>
      <c r="AC253" s="272">
        <v>872.5</v>
      </c>
      <c r="AD253" s="272">
        <v>3592.5</v>
      </c>
      <c r="AE253" s="272">
        <v>3255.3</v>
      </c>
      <c r="AF253" s="272">
        <v>3578.2999999999997</v>
      </c>
      <c r="AG253" s="272">
        <v>7412.3</v>
      </c>
      <c r="AH253" s="272">
        <v>1330.4</v>
      </c>
      <c r="AI253" s="272">
        <v>5545.3</v>
      </c>
      <c r="AJ253" s="272">
        <v>2973.39</v>
      </c>
      <c r="AK253" s="272">
        <v>16632.689999999988</v>
      </c>
      <c r="AL253" s="272">
        <f t="shared" si="55"/>
        <v>68744.179999999993</v>
      </c>
      <c r="AM253" s="272">
        <f t="shared" si="51"/>
        <v>70124.98</v>
      </c>
      <c r="AN253" s="272">
        <f t="shared" si="57"/>
        <v>-24207.609599999996</v>
      </c>
      <c r="AO253" s="1199" t="s">
        <v>554</v>
      </c>
      <c r="AP253" s="249"/>
      <c r="AQ253" s="958"/>
      <c r="AR253" s="958"/>
      <c r="AS253" s="249"/>
      <c r="AT253" s="249"/>
      <c r="AU253" s="958"/>
      <c r="AV253" s="958"/>
      <c r="AW253" s="958"/>
      <c r="AX253" s="958"/>
      <c r="AY253" s="958"/>
    </row>
    <row r="254" spans="1:56" s="244" customFormat="1" ht="11.45" customHeight="1" x14ac:dyDescent="0.2">
      <c r="A254" s="1976" t="s">
        <v>3091</v>
      </c>
      <c r="B254" s="482" t="s">
        <v>555</v>
      </c>
      <c r="C254" s="216">
        <f>179.5605+0</f>
        <v>179.56049999999999</v>
      </c>
      <c r="D254" s="216">
        <f>714.8367+21.6978</f>
        <v>736.53449999999998</v>
      </c>
      <c r="E254" s="216">
        <f>3.828+0</f>
        <v>3.8279999999999998</v>
      </c>
      <c r="F254" s="216">
        <f>690.2183+261.0947</f>
        <v>951.31299999999999</v>
      </c>
      <c r="G254" s="216">
        <f>110.1884+313.8749+0+0</f>
        <v>424.06330000000003</v>
      </c>
      <c r="H254" s="216">
        <f>30468.3414+3958.2398</f>
        <v>34426.581200000001</v>
      </c>
      <c r="I254" s="216">
        <v>0.1</v>
      </c>
      <c r="J254" s="216">
        <v>0.1</v>
      </c>
      <c r="K254" s="216">
        <v>5.3999999999999999E-2</v>
      </c>
      <c r="L254" s="216">
        <f t="shared" si="58"/>
        <v>3910.7908000000098</v>
      </c>
      <c r="M254" s="216">
        <f>35835.5301+4797.3952</f>
        <v>40632.925300000003</v>
      </c>
      <c r="N254" s="216">
        <v>73.5</v>
      </c>
      <c r="O254" s="216">
        <v>1056.8</v>
      </c>
      <c r="P254" s="216">
        <f t="shared" si="59"/>
        <v>1130.3</v>
      </c>
      <c r="Q254" s="216">
        <v>398.5</v>
      </c>
      <c r="R254" s="216">
        <v>438</v>
      </c>
      <c r="S254" s="216">
        <v>771.09999999999991</v>
      </c>
      <c r="T254" s="216">
        <v>2229.3000000000002</v>
      </c>
      <c r="U254" s="216">
        <v>530.29999999999995</v>
      </c>
      <c r="V254" s="216">
        <v>1312.6</v>
      </c>
      <c r="W254" s="216">
        <v>528.70000000000005</v>
      </c>
      <c r="X254" s="216">
        <v>706.5</v>
      </c>
      <c r="Y254" s="216">
        <v>8941</v>
      </c>
      <c r="Z254" s="216">
        <v>3248</v>
      </c>
      <c r="AA254" s="216">
        <v>199.9</v>
      </c>
      <c r="AB254" s="216">
        <v>2034.5</v>
      </c>
      <c r="AC254" s="216">
        <v>748.1</v>
      </c>
      <c r="AD254" s="216">
        <v>2715.2999999999997</v>
      </c>
      <c r="AE254" s="216">
        <v>3099.7000000000003</v>
      </c>
      <c r="AF254" s="216">
        <v>3376.7999999999997</v>
      </c>
      <c r="AG254" s="216">
        <v>7391.5</v>
      </c>
      <c r="AH254" s="216">
        <v>1122.1000000000001</v>
      </c>
      <c r="AI254" s="216">
        <v>4719.7</v>
      </c>
      <c r="AJ254" s="216">
        <v>2854.5699999999997</v>
      </c>
      <c r="AK254" s="216">
        <v>13027.589999999997</v>
      </c>
      <c r="AL254" s="216">
        <f t="shared" si="55"/>
        <v>60393.75999999998</v>
      </c>
      <c r="AM254" s="216">
        <f t="shared" si="51"/>
        <v>61524.059999999983</v>
      </c>
      <c r="AN254" s="216">
        <f t="shared" si="57"/>
        <v>-20891.134699999981</v>
      </c>
      <c r="AO254" s="1203" t="s">
        <v>555</v>
      </c>
      <c r="AP254" s="958"/>
      <c r="AQ254" s="958"/>
      <c r="AR254" s="958"/>
      <c r="AS254" s="958"/>
      <c r="AU254" s="958"/>
      <c r="AV254" s="958"/>
      <c r="AW254" s="958"/>
      <c r="AX254" s="958"/>
      <c r="AY254" s="958"/>
    </row>
    <row r="255" spans="1:56" s="244" customFormat="1" ht="11.45" customHeight="1" x14ac:dyDescent="0.2">
      <c r="A255" s="1976" t="s">
        <v>3091</v>
      </c>
      <c r="B255" s="1136" t="s">
        <v>548</v>
      </c>
      <c r="C255" s="272">
        <f>165.3824+0</f>
        <v>165.38239999999999</v>
      </c>
      <c r="D255" s="272">
        <f>727.128+12.0529</f>
        <v>739.18090000000007</v>
      </c>
      <c r="E255" s="272">
        <f>5.2426+0</f>
        <v>5.2426000000000004</v>
      </c>
      <c r="F255" s="272">
        <f>895.2094+410.6374</f>
        <v>1305.8468</v>
      </c>
      <c r="G255" s="272">
        <f>121.8836+289.4957+0+0</f>
        <v>411.3793</v>
      </c>
      <c r="H255" s="272">
        <f>33947.389+4582.348</f>
        <v>38529.737000000001</v>
      </c>
      <c r="I255" s="272">
        <v>0.1</v>
      </c>
      <c r="J255" s="272">
        <v>0.1</v>
      </c>
      <c r="K255" s="272">
        <v>0.1</v>
      </c>
      <c r="L255" s="272">
        <f>M255-SUM(C255:K255)</f>
        <v>4364.2286000000095</v>
      </c>
      <c r="M255" s="272">
        <f>39892.3308+5628.9668</f>
        <v>45521.297600000005</v>
      </c>
      <c r="N255" s="272">
        <v>427.7</v>
      </c>
      <c r="O255" s="272">
        <v>2380.9</v>
      </c>
      <c r="P255" s="272">
        <f t="shared" si="59"/>
        <v>2808.6</v>
      </c>
      <c r="Q255" s="272">
        <v>483.2</v>
      </c>
      <c r="R255" s="272">
        <v>450</v>
      </c>
      <c r="S255" s="272">
        <v>1880.8000000000002</v>
      </c>
      <c r="T255" s="272">
        <v>2769.4</v>
      </c>
      <c r="U255" s="272">
        <v>556.29999999999995</v>
      </c>
      <c r="V255" s="272">
        <v>967.69999999999993</v>
      </c>
      <c r="W255" s="272">
        <v>564.20000000000005</v>
      </c>
      <c r="X255" s="272">
        <v>1000.3</v>
      </c>
      <c r="Y255" s="272">
        <v>8708.2000000000007</v>
      </c>
      <c r="Z255" s="272">
        <v>3549.7</v>
      </c>
      <c r="AA255" s="272">
        <v>216.7</v>
      </c>
      <c r="AB255" s="272">
        <v>2908.6</v>
      </c>
      <c r="AC255" s="272">
        <v>874.9</v>
      </c>
      <c r="AD255" s="272">
        <v>3259.8</v>
      </c>
      <c r="AE255" s="272">
        <v>3470.9</v>
      </c>
      <c r="AF255" s="272">
        <v>3650.1</v>
      </c>
      <c r="AG255" s="272">
        <v>8126.9</v>
      </c>
      <c r="AH255" s="272">
        <v>1456.3999999999999</v>
      </c>
      <c r="AI255" s="272">
        <v>4632.2</v>
      </c>
      <c r="AJ255" s="272">
        <v>5373.88</v>
      </c>
      <c r="AK255" s="272">
        <v>15568.649999999994</v>
      </c>
      <c r="AL255" s="272">
        <f t="shared" si="55"/>
        <v>70468.829999999987</v>
      </c>
      <c r="AM255" s="272">
        <f t="shared" si="51"/>
        <v>73277.429999999993</v>
      </c>
      <c r="AN255" s="272">
        <f t="shared" si="57"/>
        <v>-27756.132399999988</v>
      </c>
      <c r="AO255" s="1199" t="s">
        <v>548</v>
      </c>
      <c r="AP255" s="249"/>
      <c r="AQ255" s="958"/>
      <c r="AR255" s="958"/>
      <c r="AS255" s="958"/>
      <c r="AU255" s="958"/>
      <c r="AV255" s="958"/>
      <c r="AW255" s="958"/>
      <c r="AX255" s="958"/>
      <c r="AY255" s="958"/>
    </row>
    <row r="256" spans="1:56" s="244" customFormat="1" ht="11.45" customHeight="1" x14ac:dyDescent="0.2">
      <c r="A256" s="1976" t="s">
        <v>3091</v>
      </c>
      <c r="B256" s="482" t="s">
        <v>556</v>
      </c>
      <c r="C256" s="216">
        <f>144.0463+0.1398</f>
        <v>144.18610000000001</v>
      </c>
      <c r="D256" s="216">
        <f>747.0709+16.2916</f>
        <v>763.36250000000007</v>
      </c>
      <c r="E256" s="216">
        <f>3.1373+0</f>
        <v>3.1373000000000002</v>
      </c>
      <c r="F256" s="216">
        <f>971.8879+308.8057</f>
        <v>1280.6936000000001</v>
      </c>
      <c r="G256" s="216">
        <f>146.9118+343.0989+0+0</f>
        <v>490.01070000000004</v>
      </c>
      <c r="H256" s="216">
        <f>36715.8448+5120.6478</f>
        <v>41836.492599999998</v>
      </c>
      <c r="I256" s="216">
        <v>0</v>
      </c>
      <c r="J256" s="216">
        <v>0</v>
      </c>
      <c r="K256" s="216">
        <v>0</v>
      </c>
      <c r="L256" s="216">
        <f>M256-SUM(C256:K256)</f>
        <v>4142.7122000000018</v>
      </c>
      <c r="M256" s="216">
        <f>42591.18+6069.415</f>
        <v>48660.595000000001</v>
      </c>
      <c r="N256" s="216">
        <v>697.19999999999993</v>
      </c>
      <c r="O256" s="216">
        <v>1426.5</v>
      </c>
      <c r="P256" s="216">
        <f t="shared" si="59"/>
        <v>2123.6999999999998</v>
      </c>
      <c r="Q256" s="216">
        <v>571.59999999999991</v>
      </c>
      <c r="R256" s="216">
        <v>463.9</v>
      </c>
      <c r="S256" s="216">
        <v>950.1</v>
      </c>
      <c r="T256" s="216">
        <v>2824</v>
      </c>
      <c r="U256" s="216">
        <v>2001.2</v>
      </c>
      <c r="V256" s="216">
        <v>789.69999999999993</v>
      </c>
      <c r="W256" s="216">
        <v>671.5</v>
      </c>
      <c r="X256" s="216">
        <v>1343.5</v>
      </c>
      <c r="Y256" s="216">
        <v>7265.8</v>
      </c>
      <c r="Z256" s="216">
        <v>3556.9</v>
      </c>
      <c r="AA256" s="216">
        <v>243.2</v>
      </c>
      <c r="AB256" s="216">
        <v>2673.2</v>
      </c>
      <c r="AC256" s="216">
        <v>954.90000000000009</v>
      </c>
      <c r="AD256" s="216">
        <v>3329.6000000000004</v>
      </c>
      <c r="AE256" s="216">
        <v>3367.7000000000003</v>
      </c>
      <c r="AF256" s="216">
        <v>3910.4</v>
      </c>
      <c r="AG256" s="216">
        <v>9309.9</v>
      </c>
      <c r="AH256" s="216">
        <v>1703.2</v>
      </c>
      <c r="AI256" s="216">
        <v>4489.5</v>
      </c>
      <c r="AJ256" s="216">
        <v>3092.3</v>
      </c>
      <c r="AK256" s="216">
        <v>16565.829999999998</v>
      </c>
      <c r="AL256" s="216">
        <f t="shared" si="55"/>
        <v>70077.930000000008</v>
      </c>
      <c r="AM256" s="216">
        <f t="shared" si="51"/>
        <v>72201.63</v>
      </c>
      <c r="AN256" s="216">
        <f t="shared" si="57"/>
        <v>-23541.035000000003</v>
      </c>
      <c r="AO256" s="1203" t="s">
        <v>556</v>
      </c>
      <c r="AP256" s="958"/>
      <c r="AQ256" s="958"/>
      <c r="AR256" s="958"/>
      <c r="AS256" s="958"/>
      <c r="AU256" s="958"/>
      <c r="AV256" s="958"/>
      <c r="AW256" s="958"/>
      <c r="AX256" s="958"/>
      <c r="AY256" s="958"/>
    </row>
    <row r="257" spans="1:56" s="258" customFormat="1" ht="11.45" customHeight="1" x14ac:dyDescent="0.2">
      <c r="A257" s="1976" t="s">
        <v>3091</v>
      </c>
      <c r="B257" s="1136" t="s">
        <v>557</v>
      </c>
      <c r="C257" s="272">
        <f>127.7172+0</f>
        <v>127.71720000000001</v>
      </c>
      <c r="D257" s="272">
        <f>587.6181+10.7624</f>
        <v>598.38049999999998</v>
      </c>
      <c r="E257" s="272">
        <f>4.9316+0</f>
        <v>4.9316000000000004</v>
      </c>
      <c r="F257" s="272">
        <f>811.3941+373.1235</f>
        <v>1184.5175999999999</v>
      </c>
      <c r="G257" s="272">
        <f>117.5993+242.2345+0+0</f>
        <v>359.8338</v>
      </c>
      <c r="H257" s="272">
        <f>33995.7321+4152.3112</f>
        <v>38148.043300000005</v>
      </c>
      <c r="I257" s="272">
        <v>0</v>
      </c>
      <c r="J257" s="272">
        <v>0</v>
      </c>
      <c r="K257" s="272">
        <v>0.25190000000000001</v>
      </c>
      <c r="L257" s="272">
        <f t="shared" ref="L257:L261" si="60">M257-SUM(C257:K257)</f>
        <v>3768.1491999999926</v>
      </c>
      <c r="M257" s="272">
        <f>39068.6654+5123.1597</f>
        <v>44191.825100000002</v>
      </c>
      <c r="N257" s="272">
        <v>1105.8999999999999</v>
      </c>
      <c r="O257" s="272">
        <v>1152.3999999999999</v>
      </c>
      <c r="P257" s="272">
        <f t="shared" si="59"/>
        <v>2258.2999999999997</v>
      </c>
      <c r="Q257" s="272">
        <v>502.4</v>
      </c>
      <c r="R257" s="272">
        <v>442.70000000000005</v>
      </c>
      <c r="S257" s="272">
        <v>1703.1</v>
      </c>
      <c r="T257" s="272">
        <v>3613.1000000000004</v>
      </c>
      <c r="U257" s="272">
        <v>1639.4</v>
      </c>
      <c r="V257" s="272">
        <v>1713</v>
      </c>
      <c r="W257" s="272">
        <v>591.20000000000005</v>
      </c>
      <c r="X257" s="272">
        <v>1179.5999999999999</v>
      </c>
      <c r="Y257" s="272">
        <v>8133.9000000000005</v>
      </c>
      <c r="Z257" s="272">
        <v>2761.1000000000004</v>
      </c>
      <c r="AA257" s="272">
        <v>186.70000000000002</v>
      </c>
      <c r="AB257" s="272">
        <v>1630.2</v>
      </c>
      <c r="AC257" s="272">
        <v>781.10000000000014</v>
      </c>
      <c r="AD257" s="272">
        <v>2705.5</v>
      </c>
      <c r="AE257" s="272">
        <v>3603.8</v>
      </c>
      <c r="AF257" s="272">
        <v>3127.5</v>
      </c>
      <c r="AG257" s="272">
        <v>8092.5</v>
      </c>
      <c r="AH257" s="272">
        <v>1548.3</v>
      </c>
      <c r="AI257" s="272">
        <v>3834.9</v>
      </c>
      <c r="AJ257" s="272">
        <v>2163.2199999999998</v>
      </c>
      <c r="AK257" s="272">
        <v>14841.469999999998</v>
      </c>
      <c r="AL257" s="272">
        <f t="shared" si="55"/>
        <v>64794.69</v>
      </c>
      <c r="AM257" s="272">
        <f t="shared" si="51"/>
        <v>67052.990000000005</v>
      </c>
      <c r="AN257" s="272">
        <f t="shared" si="57"/>
        <v>-22861.164900000003</v>
      </c>
      <c r="AO257" s="1199" t="s">
        <v>557</v>
      </c>
      <c r="AP257" s="249"/>
      <c r="AQ257" s="958"/>
      <c r="AR257" s="958"/>
      <c r="AS257" s="958"/>
      <c r="AT257" s="244"/>
      <c r="AU257" s="958"/>
      <c r="AV257" s="958"/>
      <c r="AW257" s="958"/>
      <c r="AX257" s="958"/>
      <c r="AY257" s="958"/>
      <c r="AZ257" s="244"/>
      <c r="BA257" s="244"/>
      <c r="BB257" s="244"/>
      <c r="BC257" s="244"/>
      <c r="BD257" s="244"/>
    </row>
    <row r="258" spans="1:56" s="258" customFormat="1" ht="11.45" customHeight="1" x14ac:dyDescent="0.2">
      <c r="A258" s="1976" t="s">
        <v>3091</v>
      </c>
      <c r="B258" s="482" t="s">
        <v>549</v>
      </c>
      <c r="C258" s="216">
        <f>125.4589+0</f>
        <v>125.4589</v>
      </c>
      <c r="D258" s="216">
        <f>723.8392+18.0446</f>
        <v>741.88379999999995</v>
      </c>
      <c r="E258" s="216">
        <f>0.6186+0</f>
        <v>0.61860000000000004</v>
      </c>
      <c r="F258" s="216">
        <f>896.2482+316.0141</f>
        <v>1212.2622999999999</v>
      </c>
      <c r="G258" s="216">
        <f>135.5657+168.5789+0+0</f>
        <v>304.14459999999997</v>
      </c>
      <c r="H258" s="216">
        <f>35402.9599+4489.7223</f>
        <v>39892.682200000003</v>
      </c>
      <c r="I258" s="216">
        <v>0</v>
      </c>
      <c r="J258" s="216">
        <v>0</v>
      </c>
      <c r="K258" s="216">
        <v>0</v>
      </c>
      <c r="L258" s="216">
        <f t="shared" si="60"/>
        <v>4049.2698999999993</v>
      </c>
      <c r="M258" s="216">
        <f>40691.6458+5634.6745</f>
        <v>46326.320299999999</v>
      </c>
      <c r="N258" s="216">
        <v>1482.1</v>
      </c>
      <c r="O258" s="216">
        <v>1501</v>
      </c>
      <c r="P258" s="216">
        <f t="shared" si="59"/>
        <v>2983.1</v>
      </c>
      <c r="Q258" s="216">
        <v>589.4</v>
      </c>
      <c r="R258" s="216">
        <v>493.6</v>
      </c>
      <c r="S258" s="216">
        <v>1323.3000000000002</v>
      </c>
      <c r="T258" s="216">
        <v>3862.8</v>
      </c>
      <c r="U258" s="216">
        <v>1154.0999999999999</v>
      </c>
      <c r="V258" s="216">
        <v>1450.3</v>
      </c>
      <c r="W258" s="216">
        <v>542.79999999999995</v>
      </c>
      <c r="X258" s="216">
        <v>318.10000000000002</v>
      </c>
      <c r="Y258" s="216">
        <v>13368.300000000001</v>
      </c>
      <c r="Z258" s="216">
        <v>3439.7</v>
      </c>
      <c r="AA258" s="216">
        <v>271.2</v>
      </c>
      <c r="AB258" s="216">
        <v>2169.9</v>
      </c>
      <c r="AC258" s="216">
        <v>844.3</v>
      </c>
      <c r="AD258" s="216">
        <v>3153.9</v>
      </c>
      <c r="AE258" s="216">
        <v>3565.8</v>
      </c>
      <c r="AF258" s="216">
        <v>3454.7</v>
      </c>
      <c r="AG258" s="216">
        <v>8114</v>
      </c>
      <c r="AH258" s="216">
        <v>1643.3999999999999</v>
      </c>
      <c r="AI258" s="216">
        <v>4704.7</v>
      </c>
      <c r="AJ258" s="216">
        <v>2831.2518867255772</v>
      </c>
      <c r="AK258" s="216">
        <v>14674.899999999996</v>
      </c>
      <c r="AL258" s="216">
        <f t="shared" si="55"/>
        <v>71970.451886725568</v>
      </c>
      <c r="AM258" s="216">
        <f t="shared" si="51"/>
        <v>74953.551886725574</v>
      </c>
      <c r="AN258" s="216">
        <f t="shared" si="57"/>
        <v>-28627.231586725575</v>
      </c>
      <c r="AO258" s="1203" t="s">
        <v>549</v>
      </c>
      <c r="AP258" s="958"/>
      <c r="AQ258" s="958"/>
      <c r="AR258" s="958"/>
      <c r="AS258" s="958"/>
      <c r="AT258" s="244"/>
      <c r="AU258" s="958"/>
      <c r="AV258" s="958"/>
      <c r="AW258" s="958"/>
      <c r="AX258" s="958"/>
      <c r="AY258" s="958"/>
      <c r="AZ258" s="244"/>
      <c r="BA258" s="244"/>
      <c r="BB258" s="244"/>
      <c r="BC258" s="244"/>
      <c r="BD258" s="244"/>
    </row>
    <row r="259" spans="1:56" s="258" customFormat="1" ht="11.45" customHeight="1" x14ac:dyDescent="0.2">
      <c r="A259" s="1976" t="s">
        <v>3091</v>
      </c>
      <c r="B259" s="1136" t="s">
        <v>558</v>
      </c>
      <c r="C259" s="272">
        <f>154.0464+0</f>
        <v>154.04640000000001</v>
      </c>
      <c r="D259" s="272">
        <f>826.4705+21.4691</f>
        <v>847.93960000000004</v>
      </c>
      <c r="E259" s="272">
        <f>2.7525+0</f>
        <v>2.7524999999999999</v>
      </c>
      <c r="F259" s="272">
        <f>789.1757+376.1371</f>
        <v>1165.3127999999999</v>
      </c>
      <c r="G259" s="272">
        <f>124.0665+155.322+0+0</f>
        <v>279.38850000000002</v>
      </c>
      <c r="H259" s="272">
        <f>35052.769+4044.2588</f>
        <v>39097.027800000003</v>
      </c>
      <c r="I259" s="272">
        <v>0</v>
      </c>
      <c r="J259" s="272">
        <v>0</v>
      </c>
      <c r="K259" s="272">
        <v>0</v>
      </c>
      <c r="L259" s="272">
        <f t="shared" si="60"/>
        <v>4453.6989999999932</v>
      </c>
      <c r="M259" s="272">
        <f>40760.0389+5240.1277</f>
        <v>46000.166599999997</v>
      </c>
      <c r="N259" s="272">
        <v>2153.6</v>
      </c>
      <c r="O259" s="272">
        <v>1549.5</v>
      </c>
      <c r="P259" s="272">
        <f t="shared" si="59"/>
        <v>3703.1</v>
      </c>
      <c r="Q259" s="272">
        <v>365.1</v>
      </c>
      <c r="R259" s="272">
        <v>425.3</v>
      </c>
      <c r="S259" s="272">
        <v>1173.9000000000001</v>
      </c>
      <c r="T259" s="272">
        <v>3041.6</v>
      </c>
      <c r="U259" s="272">
        <v>631.80000000000007</v>
      </c>
      <c r="V259" s="272">
        <v>1151.8</v>
      </c>
      <c r="W259" s="272">
        <v>816.6</v>
      </c>
      <c r="X259" s="272">
        <v>1013.2</v>
      </c>
      <c r="Y259" s="272">
        <v>12305.000000000002</v>
      </c>
      <c r="Z259" s="272">
        <v>3229.7</v>
      </c>
      <c r="AA259" s="272">
        <v>188</v>
      </c>
      <c r="AB259" s="272">
        <v>1158.0999999999999</v>
      </c>
      <c r="AC259" s="272">
        <v>828.59999999999991</v>
      </c>
      <c r="AD259" s="272">
        <v>3566.6</v>
      </c>
      <c r="AE259" s="272">
        <v>4178.5</v>
      </c>
      <c r="AF259" s="272">
        <v>3684.2999999999997</v>
      </c>
      <c r="AG259" s="272">
        <v>8816.2000000000007</v>
      </c>
      <c r="AH259" s="272">
        <v>1621.1</v>
      </c>
      <c r="AI259" s="272">
        <v>5531.8000000000011</v>
      </c>
      <c r="AJ259" s="272">
        <v>4867.51</v>
      </c>
      <c r="AK259" s="272">
        <v>15719.210000000003</v>
      </c>
      <c r="AL259" s="272">
        <f t="shared" si="55"/>
        <v>74313.919999999998</v>
      </c>
      <c r="AM259" s="272">
        <f t="shared" si="51"/>
        <v>78017.02</v>
      </c>
      <c r="AN259" s="272">
        <f t="shared" si="57"/>
        <v>-32016.853400000007</v>
      </c>
      <c r="AO259" s="1199" t="s">
        <v>558</v>
      </c>
      <c r="AP259" s="249"/>
      <c r="AQ259" s="958"/>
      <c r="AR259" s="958"/>
      <c r="AS259" s="958"/>
      <c r="AT259" s="244"/>
      <c r="AU259" s="958"/>
      <c r="AV259" s="958"/>
      <c r="AW259" s="958"/>
      <c r="AX259" s="958"/>
      <c r="AY259" s="958"/>
    </row>
    <row r="260" spans="1:56" s="258" customFormat="1" ht="11.45" customHeight="1" x14ac:dyDescent="0.2">
      <c r="A260" s="1976" t="s">
        <v>3091</v>
      </c>
      <c r="B260" s="482" t="s">
        <v>559</v>
      </c>
      <c r="C260" s="216">
        <f>163.138+0</f>
        <v>163.13800000000001</v>
      </c>
      <c r="D260" s="216">
        <f>688.2866+13.187</f>
        <v>701.47360000000003</v>
      </c>
      <c r="E260" s="216">
        <f>3.1983+0</f>
        <v>3.1983000000000001</v>
      </c>
      <c r="F260" s="216">
        <f>832.35+282.64</f>
        <v>1114.99</v>
      </c>
      <c r="G260" s="216">
        <f>139.9204+212.906+0+0</f>
        <v>352.82640000000004</v>
      </c>
      <c r="H260" s="216">
        <f>32549.5158999999+4234.3088</f>
        <v>36783.824699999903</v>
      </c>
      <c r="I260" s="216">
        <v>0</v>
      </c>
      <c r="J260" s="216">
        <v>0</v>
      </c>
      <c r="K260" s="216">
        <v>0</v>
      </c>
      <c r="L260" s="216">
        <f t="shared" si="60"/>
        <v>4228.5308000001023</v>
      </c>
      <c r="M260" s="216">
        <f>37662.1051+5685.8767</f>
        <v>43347.981800000001</v>
      </c>
      <c r="N260" s="216">
        <v>464.3</v>
      </c>
      <c r="O260" s="216">
        <v>1651</v>
      </c>
      <c r="P260" s="216">
        <f t="shared" si="59"/>
        <v>2115.3000000000002</v>
      </c>
      <c r="Q260" s="216">
        <v>565.20000000000005</v>
      </c>
      <c r="R260" s="216">
        <v>516.80000000000007</v>
      </c>
      <c r="S260" s="216">
        <v>923.8</v>
      </c>
      <c r="T260" s="216">
        <v>2709.6</v>
      </c>
      <c r="U260" s="216">
        <v>407.29999999999995</v>
      </c>
      <c r="V260" s="216">
        <v>880.4</v>
      </c>
      <c r="W260" s="216">
        <v>722.4</v>
      </c>
      <c r="X260" s="216">
        <v>2238.9</v>
      </c>
      <c r="Y260" s="216">
        <v>9851.2000000000007</v>
      </c>
      <c r="Z260" s="216">
        <v>3706.7</v>
      </c>
      <c r="AA260" s="216">
        <v>264.7</v>
      </c>
      <c r="AB260" s="216">
        <v>1065.0999999999999</v>
      </c>
      <c r="AC260" s="216">
        <v>807.4</v>
      </c>
      <c r="AD260" s="216">
        <v>3329.5</v>
      </c>
      <c r="AE260" s="216">
        <v>3719.8999999999996</v>
      </c>
      <c r="AF260" s="216">
        <v>3821.8</v>
      </c>
      <c r="AG260" s="216">
        <v>8286.1</v>
      </c>
      <c r="AH260" s="216">
        <v>1279.6000000000001</v>
      </c>
      <c r="AI260" s="216">
        <v>6151.9000000000005</v>
      </c>
      <c r="AJ260" s="216">
        <v>2783.32</v>
      </c>
      <c r="AK260" s="216">
        <v>14697.900000000005</v>
      </c>
      <c r="AL260" s="216">
        <f t="shared" si="55"/>
        <v>68729.52</v>
      </c>
      <c r="AM260" s="216">
        <f t="shared" si="51"/>
        <v>70844.820000000007</v>
      </c>
      <c r="AN260" s="216">
        <f t="shared" si="57"/>
        <v>-27496.838200000006</v>
      </c>
      <c r="AO260" s="1203" t="s">
        <v>559</v>
      </c>
      <c r="AP260" s="958"/>
      <c r="AQ260" s="958"/>
      <c r="AR260" s="958"/>
      <c r="AS260" s="958"/>
      <c r="AT260" s="244"/>
      <c r="AU260" s="958"/>
      <c r="AV260" s="958"/>
      <c r="AW260" s="958"/>
      <c r="AX260" s="958"/>
      <c r="AY260" s="958"/>
    </row>
    <row r="261" spans="1:56" s="258" customFormat="1" ht="11.45" customHeight="1" x14ac:dyDescent="0.2">
      <c r="A261" s="1976" t="s">
        <v>3091</v>
      </c>
      <c r="B261" s="1136" t="s">
        <v>550</v>
      </c>
      <c r="C261" s="272">
        <f>166.4732+0</f>
        <v>166.47319999999999</v>
      </c>
      <c r="D261" s="272">
        <f>605.8492+11.8998</f>
        <v>617.74900000000002</v>
      </c>
      <c r="E261" s="272">
        <f>1.6219+0</f>
        <v>1.6218999999999999</v>
      </c>
      <c r="F261" s="272">
        <f>915.6054+418.2677</f>
        <v>1333.8731</v>
      </c>
      <c r="G261" s="272">
        <f>97.9565+241.9573+0+0</f>
        <v>339.91380000000004</v>
      </c>
      <c r="H261" s="272">
        <f>31294.8383+3656.0312</f>
        <v>34950.869500000001</v>
      </c>
      <c r="I261" s="272">
        <v>0</v>
      </c>
      <c r="J261" s="272">
        <v>0</v>
      </c>
      <c r="K261" s="272">
        <v>0</v>
      </c>
      <c r="L261" s="272">
        <f t="shared" si="60"/>
        <v>3396.7638999999981</v>
      </c>
      <c r="M261" s="272">
        <f>36128.0201+4679.2443</f>
        <v>40807.2644</v>
      </c>
      <c r="N261" s="272">
        <v>529.29999999999995</v>
      </c>
      <c r="O261" s="272">
        <v>1606.1</v>
      </c>
      <c r="P261" s="272">
        <f t="shared" si="59"/>
        <v>2135.3999999999996</v>
      </c>
      <c r="Q261" s="272">
        <v>608.40000000000009</v>
      </c>
      <c r="R261" s="272">
        <v>433.2</v>
      </c>
      <c r="S261" s="272">
        <v>794.5</v>
      </c>
      <c r="T261" s="272">
        <v>2380.5</v>
      </c>
      <c r="U261" s="272">
        <v>256.7</v>
      </c>
      <c r="V261" s="272">
        <v>1190.4000000000001</v>
      </c>
      <c r="W261" s="272">
        <v>657.2</v>
      </c>
      <c r="X261" s="272">
        <v>194</v>
      </c>
      <c r="Y261" s="272">
        <v>8686.7000000000007</v>
      </c>
      <c r="Z261" s="272">
        <v>3007.6</v>
      </c>
      <c r="AA261" s="272">
        <v>194.1</v>
      </c>
      <c r="AB261" s="272">
        <v>1818.2</v>
      </c>
      <c r="AC261" s="272">
        <v>833.09999999999991</v>
      </c>
      <c r="AD261" s="272">
        <v>2831.1000000000004</v>
      </c>
      <c r="AE261" s="272">
        <v>2687.7</v>
      </c>
      <c r="AF261" s="272">
        <v>3434.8</v>
      </c>
      <c r="AG261" s="272">
        <v>6551.9</v>
      </c>
      <c r="AH261" s="272">
        <v>1197.1000000000001</v>
      </c>
      <c r="AI261" s="272">
        <v>4964.8</v>
      </c>
      <c r="AJ261" s="272">
        <v>2690.03</v>
      </c>
      <c r="AK261" s="272">
        <v>12377.929999999997</v>
      </c>
      <c r="AL261" s="272">
        <f t="shared" si="55"/>
        <v>57789.960000000006</v>
      </c>
      <c r="AM261" s="272">
        <f t="shared" si="51"/>
        <v>59925.360000000008</v>
      </c>
      <c r="AN261" s="272">
        <f t="shared" si="57"/>
        <v>-19118.095600000008</v>
      </c>
      <c r="AO261" s="1199" t="s">
        <v>550</v>
      </c>
      <c r="AP261" s="1564"/>
      <c r="AQ261" s="958"/>
      <c r="AR261" s="958"/>
      <c r="AS261" s="958"/>
      <c r="AU261" s="958"/>
      <c r="AV261" s="958"/>
      <c r="AW261" s="958"/>
      <c r="AX261" s="958"/>
      <c r="AY261" s="958"/>
    </row>
    <row r="262" spans="1:56" s="258" customFormat="1" ht="11.45" customHeight="1" x14ac:dyDescent="0.2">
      <c r="A262" s="156" t="s">
        <v>3092</v>
      </c>
      <c r="B262" s="1136" t="s">
        <v>552</v>
      </c>
      <c r="C262" s="272">
        <f>101.8442+0</f>
        <v>101.8442</v>
      </c>
      <c r="D262" s="272">
        <f>722.5624+17.4346</f>
        <v>739.99700000000007</v>
      </c>
      <c r="E262" s="272">
        <f>3.5214+0</f>
        <v>3.5213999999999999</v>
      </c>
      <c r="F262" s="272">
        <f>852.398+379.174</f>
        <v>1231.5720000000001</v>
      </c>
      <c r="G262" s="272">
        <f>301.0734+158.6468+0+0</f>
        <v>459.72019999999998</v>
      </c>
      <c r="H262" s="272">
        <f>36912.4843+4957.885</f>
        <v>41870.369299999998</v>
      </c>
      <c r="I262" s="272">
        <v>0</v>
      </c>
      <c r="J262" s="272">
        <v>0</v>
      </c>
      <c r="K262" s="272">
        <v>0</v>
      </c>
      <c r="L262" s="272">
        <f>M262-SUM(C262:K262)</f>
        <v>4066.3267000000051</v>
      </c>
      <c r="M262" s="272">
        <f>42320.7174+6152.6334</f>
        <v>48473.3508</v>
      </c>
      <c r="N262" s="272">
        <v>317.8</v>
      </c>
      <c r="O262" s="272">
        <v>1195.4000000000001</v>
      </c>
      <c r="P262" s="272">
        <f t="shared" ref="P262:P269" si="61">N262+O262</f>
        <v>1513.2</v>
      </c>
      <c r="Q262" s="272">
        <v>762.3</v>
      </c>
      <c r="R262" s="272">
        <v>412.2</v>
      </c>
      <c r="S262" s="272">
        <v>897.7</v>
      </c>
      <c r="T262" s="272">
        <v>2247</v>
      </c>
      <c r="U262" s="272">
        <v>663.3</v>
      </c>
      <c r="V262" s="272">
        <v>664.3</v>
      </c>
      <c r="W262" s="272">
        <v>831.40000000000009</v>
      </c>
      <c r="X262" s="272">
        <v>1623.7</v>
      </c>
      <c r="Y262" s="272">
        <v>9799.2999999999993</v>
      </c>
      <c r="Z262" s="272">
        <v>4218.8</v>
      </c>
      <c r="AA262" s="272">
        <v>289</v>
      </c>
      <c r="AB262" s="272">
        <v>1635</v>
      </c>
      <c r="AC262" s="272">
        <v>888.4</v>
      </c>
      <c r="AD262" s="272">
        <v>3487</v>
      </c>
      <c r="AE262" s="272">
        <v>3610.3</v>
      </c>
      <c r="AF262" s="272">
        <v>3859.6</v>
      </c>
      <c r="AG262" s="272">
        <v>8197.7999999999993</v>
      </c>
      <c r="AH262" s="272">
        <v>1259.3</v>
      </c>
      <c r="AI262" s="272">
        <v>5728</v>
      </c>
      <c r="AJ262" s="272">
        <v>5443.6719451307654</v>
      </c>
      <c r="AK262" s="272">
        <v>14502.560083577066</v>
      </c>
      <c r="AL262" s="272">
        <f t="shared" si="55"/>
        <v>71020.632028707827</v>
      </c>
      <c r="AM262" s="272">
        <f t="shared" si="51"/>
        <v>72533.832028707824</v>
      </c>
      <c r="AN262" s="272">
        <f t="shared" si="57"/>
        <v>-24060.481228707824</v>
      </c>
      <c r="AO262" s="1199" t="s">
        <v>552</v>
      </c>
      <c r="AP262" s="958"/>
      <c r="AQ262" s="958"/>
      <c r="AR262" s="958"/>
      <c r="AS262" s="958"/>
      <c r="AU262" s="958"/>
      <c r="AV262" s="958"/>
      <c r="AW262" s="958"/>
      <c r="AX262" s="958"/>
      <c r="AY262" s="958"/>
    </row>
    <row r="263" spans="1:56" s="258" customFormat="1" ht="11.45" customHeight="1" x14ac:dyDescent="0.2">
      <c r="A263" s="156" t="s">
        <v>3092</v>
      </c>
      <c r="B263" s="482" t="s">
        <v>112</v>
      </c>
      <c r="C263" s="216">
        <f>123.705+0</f>
        <v>123.705</v>
      </c>
      <c r="D263" s="216">
        <f>657.7631+19.4673</f>
        <v>677.23040000000003</v>
      </c>
      <c r="E263" s="216">
        <v>1.0553999999999999</v>
      </c>
      <c r="F263" s="216">
        <f>943.4499+384.06</f>
        <v>1327.5099</v>
      </c>
      <c r="G263" s="216">
        <f>162.5836+260.4098+0+0</f>
        <v>422.99340000000001</v>
      </c>
      <c r="H263" s="216">
        <f>35350.1834+4422.8029</f>
        <v>39772.986300000004</v>
      </c>
      <c r="I263" s="216">
        <v>0</v>
      </c>
      <c r="J263" s="216">
        <v>0</v>
      </c>
      <c r="K263" s="216">
        <v>0</v>
      </c>
      <c r="L263" s="216">
        <f>M263-SUM(C263:K263)</f>
        <v>3909.2163</v>
      </c>
      <c r="M263" s="216">
        <f>40662.5856+5572.1111</f>
        <v>46234.6967</v>
      </c>
      <c r="N263" s="216">
        <v>200.3</v>
      </c>
      <c r="O263" s="216">
        <v>800.40000000000009</v>
      </c>
      <c r="P263" s="216">
        <f t="shared" si="61"/>
        <v>1000.7</v>
      </c>
      <c r="Q263" s="216">
        <v>360.20000000000005</v>
      </c>
      <c r="R263" s="216">
        <v>366.40000000000003</v>
      </c>
      <c r="S263" s="216">
        <v>490.6</v>
      </c>
      <c r="T263" s="216">
        <v>2214.5</v>
      </c>
      <c r="U263" s="216">
        <v>277</v>
      </c>
      <c r="V263" s="216">
        <v>1281.0999999999999</v>
      </c>
      <c r="W263" s="216">
        <v>499.3</v>
      </c>
      <c r="X263" s="216">
        <v>1191.5999999999999</v>
      </c>
      <c r="Y263" s="216">
        <v>8118</v>
      </c>
      <c r="Z263" s="216">
        <v>3042.7</v>
      </c>
      <c r="AA263" s="216">
        <v>233.5</v>
      </c>
      <c r="AB263" s="216">
        <v>1775.4</v>
      </c>
      <c r="AC263" s="216">
        <v>726.9</v>
      </c>
      <c r="AD263" s="216">
        <v>2886.5</v>
      </c>
      <c r="AE263" s="216">
        <v>2842</v>
      </c>
      <c r="AF263" s="216">
        <v>3314.1</v>
      </c>
      <c r="AG263" s="216">
        <v>7268.7999999999993</v>
      </c>
      <c r="AH263" s="216">
        <v>1143.4000000000001</v>
      </c>
      <c r="AI263" s="216">
        <v>4844.8</v>
      </c>
      <c r="AJ263" s="216">
        <v>2593.6824149004315</v>
      </c>
      <c r="AK263" s="216">
        <v>11980.219154550337</v>
      </c>
      <c r="AL263" s="216">
        <f t="shared" si="55"/>
        <v>57450.701569450765</v>
      </c>
      <c r="AM263" s="216">
        <f t="shared" si="51"/>
        <v>58451.401569450762</v>
      </c>
      <c r="AN263" s="216">
        <f t="shared" si="57"/>
        <v>-12216.704869450761</v>
      </c>
      <c r="AO263" s="1203" t="s">
        <v>112</v>
      </c>
      <c r="AP263" s="958"/>
      <c r="AQ263" s="958"/>
      <c r="AR263" s="958"/>
      <c r="AS263" s="958"/>
      <c r="AU263" s="958"/>
      <c r="AV263" s="958"/>
      <c r="AW263" s="958"/>
      <c r="AX263" s="958"/>
      <c r="AY263" s="958"/>
    </row>
    <row r="264" spans="1:56" s="258" customFormat="1" ht="11.45" customHeight="1" x14ac:dyDescent="0.2">
      <c r="A264" s="156" t="s">
        <v>3092</v>
      </c>
      <c r="B264" s="1136" t="s">
        <v>547</v>
      </c>
      <c r="C264" s="272">
        <f>203.0964+0.3119</f>
        <v>203.4083</v>
      </c>
      <c r="D264" s="272">
        <f>666.9236+25.1864</f>
        <v>692.11</v>
      </c>
      <c r="E264" s="272">
        <f>2.375+0</f>
        <v>2.375</v>
      </c>
      <c r="F264" s="272">
        <f>920.1397+458.8919</f>
        <v>1379.0316</v>
      </c>
      <c r="G264" s="272">
        <f>295.0223+164.4473+0+0</f>
        <v>459.46960000000001</v>
      </c>
      <c r="H264" s="272">
        <f>33567.2198+4251.2548</f>
        <v>37818.474600000001</v>
      </c>
      <c r="I264" s="272">
        <v>0</v>
      </c>
      <c r="J264" s="272">
        <v>5.1999999999999998E-2</v>
      </c>
      <c r="K264" s="272">
        <v>0</v>
      </c>
      <c r="L264" s="272">
        <f>M264-SUM(C264:K264)</f>
        <v>4166.2296999999962</v>
      </c>
      <c r="M264" s="272">
        <f>39320.1226+5401.0282</f>
        <v>44721.150800000003</v>
      </c>
      <c r="N264" s="272">
        <v>981.8</v>
      </c>
      <c r="O264" s="272">
        <v>826.90000000000009</v>
      </c>
      <c r="P264" s="272">
        <f t="shared" si="61"/>
        <v>1808.7</v>
      </c>
      <c r="Q264" s="272">
        <v>459.9</v>
      </c>
      <c r="R264" s="272">
        <v>378.5</v>
      </c>
      <c r="S264" s="272">
        <v>1043.4000000000001</v>
      </c>
      <c r="T264" s="272">
        <v>1924</v>
      </c>
      <c r="U264" s="272">
        <v>282.10000000000002</v>
      </c>
      <c r="V264" s="272">
        <v>473.4</v>
      </c>
      <c r="W264" s="272">
        <v>612.70000000000005</v>
      </c>
      <c r="X264" s="272">
        <v>1575.6999999999998</v>
      </c>
      <c r="Y264" s="272">
        <v>9231.8000000000011</v>
      </c>
      <c r="Z264" s="272">
        <v>3519.1000000000004</v>
      </c>
      <c r="AA264" s="272">
        <v>245.8</v>
      </c>
      <c r="AB264" s="272">
        <v>2928.7</v>
      </c>
      <c r="AC264" s="272">
        <v>820.69999999999993</v>
      </c>
      <c r="AD264" s="272">
        <v>3078.3999999999996</v>
      </c>
      <c r="AE264" s="272">
        <v>2844.8</v>
      </c>
      <c r="AF264" s="272">
        <v>3588.7</v>
      </c>
      <c r="AG264" s="272">
        <v>7658.4</v>
      </c>
      <c r="AH264" s="272">
        <v>1249.3999999999999</v>
      </c>
      <c r="AI264" s="272">
        <v>5050.3999999999996</v>
      </c>
      <c r="AJ264" s="272">
        <v>3032.0021093544201</v>
      </c>
      <c r="AK264" s="272">
        <v>14428.881801355401</v>
      </c>
      <c r="AL264" s="272">
        <f t="shared" si="55"/>
        <v>64426.783910709833</v>
      </c>
      <c r="AM264" s="272">
        <f t="shared" si="51"/>
        <v>66235.483910709838</v>
      </c>
      <c r="AN264" s="272">
        <f t="shared" si="57"/>
        <v>-21514.333110709835</v>
      </c>
      <c r="AO264" s="1199" t="s">
        <v>547</v>
      </c>
      <c r="AQ264" s="958"/>
      <c r="AR264" s="958"/>
      <c r="AV264" s="958"/>
      <c r="AW264" s="958"/>
      <c r="AX264" s="958"/>
      <c r="AY264" s="958"/>
    </row>
    <row r="265" spans="1:56" s="258" customFormat="1" ht="11.45" customHeight="1" x14ac:dyDescent="0.2">
      <c r="A265" s="156" t="s">
        <v>3092</v>
      </c>
      <c r="B265" s="482" t="s">
        <v>554</v>
      </c>
      <c r="C265" s="216">
        <v>65.008300000000006</v>
      </c>
      <c r="D265" s="216">
        <v>671.11680000000001</v>
      </c>
      <c r="E265" s="216">
        <v>4.5335999999999999</v>
      </c>
      <c r="F265" s="216">
        <v>1225.1213</v>
      </c>
      <c r="G265" s="216">
        <v>399.82500000000005</v>
      </c>
      <c r="H265" s="216">
        <v>35585.334999999999</v>
      </c>
      <c r="I265" s="216">
        <v>0</v>
      </c>
      <c r="J265" s="216">
        <v>0</v>
      </c>
      <c r="K265" s="216">
        <v>0</v>
      </c>
      <c r="L265" s="216">
        <f t="shared" ref="L265:L267" si="62">M265-SUM(C265:K265)</f>
        <v>4086.0598000000027</v>
      </c>
      <c r="M265" s="216">
        <v>42036.999800000005</v>
      </c>
      <c r="N265" s="216">
        <v>743.9</v>
      </c>
      <c r="O265" s="216">
        <v>2223.1999999999998</v>
      </c>
      <c r="P265" s="216">
        <f t="shared" si="61"/>
        <v>2967.1</v>
      </c>
      <c r="Q265" s="216">
        <v>311.2</v>
      </c>
      <c r="R265" s="216">
        <v>352.59999999999997</v>
      </c>
      <c r="S265" s="216">
        <v>1322.1</v>
      </c>
      <c r="T265" s="216">
        <v>2389.5</v>
      </c>
      <c r="U265" s="216">
        <v>643.29999999999995</v>
      </c>
      <c r="V265" s="216">
        <v>564.20000000000005</v>
      </c>
      <c r="W265" s="216">
        <v>496.2</v>
      </c>
      <c r="X265" s="216">
        <v>1006.5999999999999</v>
      </c>
      <c r="Y265" s="216">
        <v>9366.4999999999982</v>
      </c>
      <c r="Z265" s="216">
        <v>3134.3999999999996</v>
      </c>
      <c r="AA265" s="216">
        <v>158.9</v>
      </c>
      <c r="AB265" s="216">
        <v>3100</v>
      </c>
      <c r="AC265" s="216">
        <v>771.2</v>
      </c>
      <c r="AD265" s="216">
        <v>2840.4999999999995</v>
      </c>
      <c r="AE265" s="216">
        <v>2672.6</v>
      </c>
      <c r="AF265" s="216">
        <v>3412.1000000000004</v>
      </c>
      <c r="AG265" s="216">
        <v>6894.1</v>
      </c>
      <c r="AH265" s="216">
        <v>1127.5</v>
      </c>
      <c r="AI265" s="216">
        <v>4204.7</v>
      </c>
      <c r="AJ265" s="216">
        <v>2687.8872543085085</v>
      </c>
      <c r="AK265" s="216">
        <v>14340.748290847867</v>
      </c>
      <c r="AL265" s="216">
        <f t="shared" si="55"/>
        <v>61796.835545156369</v>
      </c>
      <c r="AM265" s="216">
        <f t="shared" si="51"/>
        <v>64763.935545156368</v>
      </c>
      <c r="AN265" s="216">
        <f t="shared" si="57"/>
        <v>-22726.935745156363</v>
      </c>
      <c r="AO265" s="1203" t="s">
        <v>554</v>
      </c>
      <c r="AP265" s="958"/>
      <c r="AQ265" s="958"/>
      <c r="AR265" s="958"/>
      <c r="AS265" s="958"/>
      <c r="AU265" s="958"/>
      <c r="AV265" s="958"/>
      <c r="AW265" s="958"/>
      <c r="AX265" s="958"/>
      <c r="AY265" s="958"/>
    </row>
    <row r="266" spans="1:56" s="34" customFormat="1" ht="11.25" customHeight="1" x14ac:dyDescent="0.2">
      <c r="A266" s="156" t="s">
        <v>3092</v>
      </c>
      <c r="B266" s="1136" t="s">
        <v>555</v>
      </c>
      <c r="C266" s="272">
        <f>60.2485+0</f>
        <v>60.2485</v>
      </c>
      <c r="D266" s="272">
        <f>862.7409+17.9741</f>
        <v>880.71500000000003</v>
      </c>
      <c r="E266" s="272">
        <f>3.8956+0</f>
        <v>3.8956</v>
      </c>
      <c r="F266" s="272">
        <f>915.3418+354.0521</f>
        <v>1269.3939</v>
      </c>
      <c r="G266" s="272">
        <f>170.2541+297.304+0</f>
        <v>467.55809999999997</v>
      </c>
      <c r="H266" s="272">
        <f>31113.0843+3706.9254</f>
        <v>34820.009699999995</v>
      </c>
      <c r="I266" s="272">
        <v>0</v>
      </c>
      <c r="J266" s="272">
        <v>0</v>
      </c>
      <c r="K266" s="272">
        <v>6.6100000000000006E-2</v>
      </c>
      <c r="L266" s="272">
        <f t="shared" si="62"/>
        <v>4382.354900000013</v>
      </c>
      <c r="M266" s="272">
        <f>37147.5965+4736.6453</f>
        <v>41884.241800000003</v>
      </c>
      <c r="N266" s="272">
        <v>535</v>
      </c>
      <c r="O266" s="272">
        <v>2528</v>
      </c>
      <c r="P266" s="272">
        <f t="shared" si="61"/>
        <v>3063</v>
      </c>
      <c r="Q266" s="272">
        <v>471.79999999999995</v>
      </c>
      <c r="R266" s="272">
        <v>393.2</v>
      </c>
      <c r="S266" s="272">
        <v>1384.5</v>
      </c>
      <c r="T266" s="272">
        <v>2732.8999999999996</v>
      </c>
      <c r="U266" s="272">
        <v>476.6</v>
      </c>
      <c r="V266" s="272">
        <v>772.09999999999991</v>
      </c>
      <c r="W266" s="272">
        <v>459.8</v>
      </c>
      <c r="X266" s="272">
        <v>777.09999999999991</v>
      </c>
      <c r="Y266" s="272">
        <v>7305.2</v>
      </c>
      <c r="Z266" s="272">
        <v>3758.2000000000003</v>
      </c>
      <c r="AA266" s="272">
        <v>190.7</v>
      </c>
      <c r="AB266" s="272">
        <v>7259.0999999999995</v>
      </c>
      <c r="AC266" s="272">
        <v>723.1</v>
      </c>
      <c r="AD266" s="272">
        <v>2698.1</v>
      </c>
      <c r="AE266" s="272">
        <v>2637.3</v>
      </c>
      <c r="AF266" s="272">
        <v>3110.1000000000004</v>
      </c>
      <c r="AG266" s="272">
        <v>6852.4</v>
      </c>
      <c r="AH266" s="272">
        <v>967.9</v>
      </c>
      <c r="AI266" s="272">
        <v>3738.4</v>
      </c>
      <c r="AJ266" s="272">
        <v>2638.7502910663916</v>
      </c>
      <c r="AK266" s="272">
        <v>13890.936986508699</v>
      </c>
      <c r="AL266" s="272">
        <f t="shared" si="55"/>
        <v>63238.187277575089</v>
      </c>
      <c r="AM266" s="272">
        <f t="shared" si="51"/>
        <v>66301.187277575082</v>
      </c>
      <c r="AN266" s="272">
        <f t="shared" si="57"/>
        <v>-24416.945477575078</v>
      </c>
      <c r="AO266" s="1199" t="s">
        <v>555</v>
      </c>
      <c r="AP266" s="958"/>
      <c r="AQ266" s="958"/>
      <c r="AR266" s="958"/>
      <c r="AS266" s="958"/>
      <c r="AT266" s="258"/>
      <c r="AU266" s="958"/>
      <c r="AV266" s="958"/>
      <c r="AW266" s="958"/>
      <c r="AX266" s="958"/>
      <c r="AY266" s="958"/>
      <c r="AZ266" s="258"/>
      <c r="BA266" s="258"/>
      <c r="BB266" s="258"/>
      <c r="BC266" s="258"/>
      <c r="BD266" s="258"/>
    </row>
    <row r="267" spans="1:56" s="258" customFormat="1" ht="11.45" customHeight="1" x14ac:dyDescent="0.2">
      <c r="A267" s="156" t="s">
        <v>3092</v>
      </c>
      <c r="B267" s="482" t="s">
        <v>548</v>
      </c>
      <c r="C267" s="216">
        <f>45+0</f>
        <v>45</v>
      </c>
      <c r="D267" s="216">
        <f>890+15</f>
        <v>905</v>
      </c>
      <c r="E267" s="216">
        <f>0+2</f>
        <v>2</v>
      </c>
      <c r="F267" s="216">
        <f>522+898</f>
        <v>1420</v>
      </c>
      <c r="G267" s="216">
        <f>164+270+0+0</f>
        <v>434</v>
      </c>
      <c r="H267" s="216">
        <f>5468+31109</f>
        <v>36577</v>
      </c>
      <c r="I267" s="216">
        <v>0</v>
      </c>
      <c r="J267" s="216">
        <v>0</v>
      </c>
      <c r="K267" s="216">
        <v>0</v>
      </c>
      <c r="L267" s="216">
        <f t="shared" si="62"/>
        <v>4063</v>
      </c>
      <c r="M267" s="216">
        <f>6662+36784</f>
        <v>43446</v>
      </c>
      <c r="N267" s="216">
        <v>528</v>
      </c>
      <c r="O267" s="216">
        <v>1813.8</v>
      </c>
      <c r="P267" s="216">
        <f t="shared" si="61"/>
        <v>2341.8000000000002</v>
      </c>
      <c r="Q267" s="216">
        <v>555.5</v>
      </c>
      <c r="R267" s="216">
        <v>410.7</v>
      </c>
      <c r="S267" s="216">
        <v>2152.4</v>
      </c>
      <c r="T267" s="216">
        <v>2322.6999999999998</v>
      </c>
      <c r="U267" s="216">
        <v>738</v>
      </c>
      <c r="V267" s="216">
        <v>1506.4</v>
      </c>
      <c r="W267" s="216">
        <v>578.20000000000005</v>
      </c>
      <c r="X267" s="216">
        <v>785.10000000000014</v>
      </c>
      <c r="Y267" s="216">
        <v>7935.2</v>
      </c>
      <c r="Z267" s="216">
        <v>3747.3999999999996</v>
      </c>
      <c r="AA267" s="216">
        <v>253</v>
      </c>
      <c r="AB267" s="216">
        <v>5248.3</v>
      </c>
      <c r="AC267" s="216">
        <v>816.40000000000009</v>
      </c>
      <c r="AD267" s="216">
        <v>3033.3</v>
      </c>
      <c r="AE267" s="216">
        <v>3176.2</v>
      </c>
      <c r="AF267" s="216">
        <v>3242.7</v>
      </c>
      <c r="AG267" s="216">
        <v>8077.5</v>
      </c>
      <c r="AH267" s="216">
        <v>1048.0999999999999</v>
      </c>
      <c r="AI267" s="216">
        <v>5789.49</v>
      </c>
      <c r="AJ267" s="216">
        <v>2787.3397498170552</v>
      </c>
      <c r="AK267" s="216">
        <v>15285.047087522329</v>
      </c>
      <c r="AL267" s="216">
        <f t="shared" si="55"/>
        <v>69488.976837339389</v>
      </c>
      <c r="AM267" s="216">
        <f t="shared" si="51"/>
        <v>71830.776837339392</v>
      </c>
      <c r="AN267" s="216">
        <f t="shared" si="57"/>
        <v>-28384.776837339392</v>
      </c>
      <c r="AO267" s="1203" t="s">
        <v>548</v>
      </c>
      <c r="AP267" s="958"/>
      <c r="AQ267" s="958"/>
      <c r="AR267" s="958"/>
      <c r="AS267" s="958"/>
      <c r="AU267" s="958"/>
      <c r="AV267" s="958"/>
      <c r="AW267" s="958"/>
      <c r="AX267" s="958"/>
      <c r="AY267" s="958"/>
    </row>
    <row r="268" spans="1:56" s="34" customFormat="1" ht="11.25" customHeight="1" x14ac:dyDescent="0.2">
      <c r="A268" s="156" t="s">
        <v>3092</v>
      </c>
      <c r="B268" s="1136" t="s">
        <v>556</v>
      </c>
      <c r="C268" s="272">
        <f>35.25+0</f>
        <v>35.25</v>
      </c>
      <c r="D268" s="272">
        <f>808.72+21.66</f>
        <v>830.38</v>
      </c>
      <c r="E268" s="272">
        <f>3.38+0</f>
        <v>3.38</v>
      </c>
      <c r="F268" s="272">
        <f>863.42+318.7</f>
        <v>1182.1199999999999</v>
      </c>
      <c r="G268" s="272">
        <f>176.46+275.77+0+0</f>
        <v>452.23</v>
      </c>
      <c r="H268" s="272">
        <f>33254.87+4680.52</f>
        <v>37935.39</v>
      </c>
      <c r="I268" s="272">
        <v>0</v>
      </c>
      <c r="J268" s="272">
        <v>0</v>
      </c>
      <c r="K268" s="272">
        <v>0</v>
      </c>
      <c r="L268" s="272">
        <f>M268-SUM(C268:K268)</f>
        <v>4064.2000000000044</v>
      </c>
      <c r="M268" s="272">
        <f>38642.3+5860.65</f>
        <v>44502.950000000004</v>
      </c>
      <c r="N268" s="272">
        <v>697.2</v>
      </c>
      <c r="O268" s="272">
        <v>1426.5</v>
      </c>
      <c r="P268" s="272">
        <f t="shared" si="61"/>
        <v>2123.6999999999998</v>
      </c>
      <c r="Q268" s="272">
        <v>571.59999999999991</v>
      </c>
      <c r="R268" s="272">
        <v>463.9</v>
      </c>
      <c r="S268" s="272">
        <v>950.1</v>
      </c>
      <c r="T268" s="272">
        <v>2824</v>
      </c>
      <c r="U268" s="272">
        <v>2001.2</v>
      </c>
      <c r="V268" s="272">
        <v>789.69999999999993</v>
      </c>
      <c r="W268" s="272">
        <v>671.5</v>
      </c>
      <c r="X268" s="272">
        <v>1343.5</v>
      </c>
      <c r="Y268" s="272">
        <v>7265.8</v>
      </c>
      <c r="Z268" s="272">
        <v>3556.9</v>
      </c>
      <c r="AA268" s="272">
        <v>243.2</v>
      </c>
      <c r="AB268" s="272">
        <v>2673.2</v>
      </c>
      <c r="AC268" s="272">
        <v>954.90000000000009</v>
      </c>
      <c r="AD268" s="272">
        <v>3329.6000000000004</v>
      </c>
      <c r="AE268" s="272">
        <v>3367.7000000000003</v>
      </c>
      <c r="AF268" s="272">
        <v>3910.4</v>
      </c>
      <c r="AG268" s="272">
        <v>9309.9</v>
      </c>
      <c r="AH268" s="272">
        <v>1703.2</v>
      </c>
      <c r="AI268" s="272">
        <v>4489.5</v>
      </c>
      <c r="AJ268" s="272">
        <v>3092.3</v>
      </c>
      <c r="AK268" s="272">
        <v>16565.829999999998</v>
      </c>
      <c r="AL268" s="272">
        <f t="shared" si="55"/>
        <v>70077.930000000008</v>
      </c>
      <c r="AM268" s="272">
        <f t="shared" si="51"/>
        <v>72201.63</v>
      </c>
      <c r="AN268" s="272">
        <f t="shared" si="57"/>
        <v>-27698.68</v>
      </c>
      <c r="AO268" s="1199" t="s">
        <v>556</v>
      </c>
      <c r="AP268" s="958"/>
      <c r="AQ268" s="958"/>
      <c r="AR268" s="958"/>
      <c r="AS268" s="958"/>
      <c r="AT268" s="258"/>
      <c r="AU268" s="958"/>
      <c r="AV268" s="958"/>
      <c r="AW268" s="958"/>
      <c r="AX268" s="958"/>
      <c r="AY268" s="958"/>
      <c r="AZ268" s="258"/>
      <c r="BA268" s="258"/>
      <c r="BB268" s="258"/>
      <c r="BC268" s="258"/>
      <c r="BD268" s="258"/>
    </row>
    <row r="269" spans="1:56" s="258" customFormat="1" ht="11.45" customHeight="1" thickBot="1" x14ac:dyDescent="0.25">
      <c r="A269" s="156" t="s">
        <v>3092</v>
      </c>
      <c r="B269" s="1650" t="s">
        <v>557</v>
      </c>
      <c r="C269" s="1651">
        <f>61.9+0</f>
        <v>61.9</v>
      </c>
      <c r="D269" s="1651">
        <f>685.71+10.58</f>
        <v>696.29000000000008</v>
      </c>
      <c r="E269" s="1651">
        <f>2.48+0</f>
        <v>2.48</v>
      </c>
      <c r="F269" s="1651">
        <f>734.21+252.55</f>
        <v>986.76</v>
      </c>
      <c r="G269" s="1651">
        <f>143.6+0+260.75+0</f>
        <v>404.35</v>
      </c>
      <c r="H269" s="1651">
        <f>29711.88+3085.35</f>
        <v>32797.230000000003</v>
      </c>
      <c r="I269" s="1651">
        <v>0</v>
      </c>
      <c r="J269" s="1651">
        <v>0</v>
      </c>
      <c r="K269" s="1651">
        <v>0</v>
      </c>
      <c r="L269" s="1651">
        <f>M269-SUM(C269:K269)</f>
        <v>3550.4799999999959</v>
      </c>
      <c r="M269" s="1651">
        <f>34481.63+4017.86</f>
        <v>38499.49</v>
      </c>
      <c r="N269" s="1651">
        <v>443.25940000000003</v>
      </c>
      <c r="O269" s="1651">
        <v>2885.7426</v>
      </c>
      <c r="P269" s="1651">
        <f t="shared" si="61"/>
        <v>3329.002</v>
      </c>
      <c r="Q269" s="1651">
        <v>330.19</v>
      </c>
      <c r="R269" s="1651">
        <v>424.1284</v>
      </c>
      <c r="S269" s="1651">
        <v>550.17629999999997</v>
      </c>
      <c r="T269" s="1651">
        <v>3576.4312</v>
      </c>
      <c r="U269" s="1651">
        <v>991.56909999999993</v>
      </c>
      <c r="V269" s="1651">
        <v>1183.8535999999999</v>
      </c>
      <c r="W269" s="1651">
        <v>685.13429999999994</v>
      </c>
      <c r="X269" s="1651">
        <v>246.23380000000003</v>
      </c>
      <c r="Y269" s="1651">
        <v>5409.8222999999998</v>
      </c>
      <c r="Z269" s="1651">
        <v>3129.0654</v>
      </c>
      <c r="AA269" s="1651">
        <v>166.35079999999999</v>
      </c>
      <c r="AB269" s="1651">
        <v>1213.8782999999999</v>
      </c>
      <c r="AC269" s="1651">
        <v>686.06939999999997</v>
      </c>
      <c r="AD269" s="1651">
        <v>2896.7105000000001</v>
      </c>
      <c r="AE269" s="1651">
        <v>2356.7961</v>
      </c>
      <c r="AF269" s="1651">
        <v>2567.5855000000001</v>
      </c>
      <c r="AG269" s="1651">
        <v>7680.6404000000002</v>
      </c>
      <c r="AH269" s="1651">
        <v>1224.2239</v>
      </c>
      <c r="AI269" s="1651">
        <v>3425.1849999999999</v>
      </c>
      <c r="AJ269" s="1651">
        <v>2297.567</v>
      </c>
      <c r="AK269" s="1651">
        <v>13917.748813057751</v>
      </c>
      <c r="AL269" s="1651">
        <f t="shared" si="55"/>
        <v>54959.360113057752</v>
      </c>
      <c r="AM269" s="1651">
        <f t="shared" si="51"/>
        <v>58288.362113057752</v>
      </c>
      <c r="AN269" s="1651">
        <f t="shared" si="57"/>
        <v>-19788.872113057754</v>
      </c>
      <c r="AO269" s="1652" t="s">
        <v>557</v>
      </c>
      <c r="AP269" s="958"/>
      <c r="AQ269" s="958"/>
      <c r="AR269" s="958"/>
      <c r="AS269" s="958"/>
      <c r="AU269" s="958"/>
      <c r="AV269" s="958"/>
      <c r="AW269" s="958"/>
      <c r="AX269" s="958"/>
      <c r="AY269" s="958"/>
    </row>
    <row r="270" spans="1:56" s="258" customFormat="1" ht="11.45" customHeight="1" thickBot="1" x14ac:dyDescent="0.25">
      <c r="A270" s="156" t="s">
        <v>2730</v>
      </c>
      <c r="B270" s="1977" t="s">
        <v>549</v>
      </c>
      <c r="C270" s="1978">
        <f>76.8+0</f>
        <v>76.8</v>
      </c>
      <c r="D270" s="1978">
        <f>727.14+16.44</f>
        <v>743.58</v>
      </c>
      <c r="E270" s="1978">
        <f>4.5+0</f>
        <v>4.5</v>
      </c>
      <c r="F270" s="1978">
        <f>811.8+375.32</f>
        <v>1187.1199999999999</v>
      </c>
      <c r="G270" s="1978">
        <f>208.12+114.6</f>
        <v>322.72000000000003</v>
      </c>
      <c r="H270" s="1978">
        <f>32756.41+4436.13</f>
        <v>37192.54</v>
      </c>
      <c r="I270" s="1978">
        <v>0</v>
      </c>
      <c r="J270" s="1978">
        <v>0</v>
      </c>
      <c r="K270" s="1978">
        <v>0</v>
      </c>
      <c r="L270" s="1978">
        <f>M270-SUM(C270:K270)</f>
        <v>4339.6299999999974</v>
      </c>
      <c r="M270" s="1978">
        <f>38228.04+5638.85</f>
        <v>43866.89</v>
      </c>
      <c r="N270" s="1978">
        <v>725.87689999999998</v>
      </c>
      <c r="O270" s="1978">
        <v>2400.8984</v>
      </c>
      <c r="P270" s="1978">
        <f>N270+O270</f>
        <v>3126.7753000000002</v>
      </c>
      <c r="Q270" s="1978">
        <v>250.2713</v>
      </c>
      <c r="R270" s="1978">
        <v>540.71029999999996</v>
      </c>
      <c r="S270" s="1978">
        <v>622.38210000000004</v>
      </c>
      <c r="T270" s="1978">
        <v>2652.9022</v>
      </c>
      <c r="U270" s="1978">
        <v>483.59429999999998</v>
      </c>
      <c r="V270" s="1978">
        <v>1209.4485</v>
      </c>
      <c r="W270" s="1978">
        <v>570.72250000000008</v>
      </c>
      <c r="X270" s="1978">
        <v>1336.2494000000002</v>
      </c>
      <c r="Y270" s="1978">
        <v>9395.1260999999995</v>
      </c>
      <c r="Z270" s="1978">
        <v>3440.6124000000004</v>
      </c>
      <c r="AA270" s="1978">
        <v>221.71360000000001</v>
      </c>
      <c r="AB270" s="1978">
        <v>949.83730000000003</v>
      </c>
      <c r="AC270" s="1978">
        <v>698.46979999999996</v>
      </c>
      <c r="AD270" s="1978">
        <v>2992.9274</v>
      </c>
      <c r="AE270" s="1978">
        <v>2534.2150000000001</v>
      </c>
      <c r="AF270" s="1978">
        <v>2574.1035000000002</v>
      </c>
      <c r="AG270" s="1978">
        <v>7531.7587999999996</v>
      </c>
      <c r="AH270" s="1978">
        <v>1366.9621000000002</v>
      </c>
      <c r="AI270" s="1978">
        <v>3931.8062000000004</v>
      </c>
      <c r="AJ270" s="1978">
        <v>3931.8062000000004</v>
      </c>
      <c r="AK270" s="1978">
        <v>14582.679269386765</v>
      </c>
      <c r="AL270" s="1978">
        <f>SUM(Q270:U270)+SUM(V270:AK270)</f>
        <v>61818.29826938676</v>
      </c>
      <c r="AM270" s="1978">
        <f>P270+AL270</f>
        <v>64945.073569386761</v>
      </c>
      <c r="AN270" s="1978">
        <f>M270-AM270</f>
        <v>-21078.183569386762</v>
      </c>
      <c r="AO270" s="1203"/>
      <c r="AP270" s="958"/>
      <c r="AQ270" s="958"/>
      <c r="AR270" s="958"/>
      <c r="AS270" s="958"/>
      <c r="AU270" s="958"/>
      <c r="AV270" s="958"/>
      <c r="AW270" s="958"/>
      <c r="AX270" s="958"/>
      <c r="AY270" s="958"/>
    </row>
    <row r="271" spans="1:56" s="258" customFormat="1" ht="11.45" customHeight="1" x14ac:dyDescent="0.2">
      <c r="A271" s="156"/>
      <c r="B271" s="482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  <c r="AD271" s="216"/>
      <c r="AE271" s="216"/>
      <c r="AF271" s="216"/>
      <c r="AG271" s="216"/>
      <c r="AH271" s="216"/>
      <c r="AI271" s="216"/>
      <c r="AJ271" s="216"/>
      <c r="AK271" s="216"/>
      <c r="AL271" s="216"/>
      <c r="AM271" s="216"/>
      <c r="AN271" s="216"/>
      <c r="AO271" s="1203"/>
      <c r="AP271" s="958"/>
      <c r="AQ271" s="958"/>
      <c r="AR271" s="958"/>
      <c r="AS271" s="958"/>
      <c r="AU271" s="958"/>
      <c r="AV271" s="958"/>
      <c r="AW271" s="958"/>
      <c r="AX271" s="958"/>
      <c r="AY271" s="958"/>
    </row>
    <row r="272" spans="1:56" s="258" customFormat="1" ht="11.45" customHeight="1" x14ac:dyDescent="0.2">
      <c r="A272" s="156"/>
      <c r="B272" s="482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  <c r="AD272" s="216"/>
      <c r="AE272" s="216"/>
      <c r="AF272" s="216"/>
      <c r="AG272" s="216"/>
      <c r="AH272" s="216"/>
      <c r="AI272" s="216"/>
      <c r="AJ272" s="216"/>
      <c r="AK272" s="216"/>
      <c r="AL272" s="216"/>
      <c r="AM272" s="216"/>
      <c r="AN272" s="216"/>
      <c r="AO272" s="1203"/>
      <c r="AP272" s="958"/>
      <c r="AQ272" s="958"/>
      <c r="AR272" s="958"/>
      <c r="AS272" s="958"/>
      <c r="AU272" s="958"/>
      <c r="AV272" s="958"/>
      <c r="AW272" s="958"/>
      <c r="AX272" s="958"/>
      <c r="AY272" s="958"/>
    </row>
    <row r="273" spans="1:51" s="258" customFormat="1" ht="11.45" customHeight="1" x14ac:dyDescent="0.2">
      <c r="A273" s="156"/>
      <c r="B273" s="482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  <c r="AD273" s="216"/>
      <c r="AE273" s="216"/>
      <c r="AF273" s="216"/>
      <c r="AG273" s="216"/>
      <c r="AH273" s="216"/>
      <c r="AI273" s="216"/>
      <c r="AJ273" s="216"/>
      <c r="AK273" s="216"/>
      <c r="AL273" s="216"/>
      <c r="AM273" s="216"/>
      <c r="AN273" s="216"/>
      <c r="AO273" s="1203"/>
      <c r="AP273" s="958"/>
      <c r="AQ273" s="958"/>
      <c r="AR273" s="958"/>
      <c r="AS273" s="958"/>
      <c r="AU273" s="958"/>
      <c r="AV273" s="958"/>
      <c r="AW273" s="958"/>
      <c r="AX273" s="958"/>
      <c r="AY273" s="958"/>
    </row>
    <row r="274" spans="1:51" s="258" customFormat="1" ht="11.45" customHeight="1" x14ac:dyDescent="0.2">
      <c r="A274" s="156"/>
      <c r="B274" s="482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  <c r="AD274" s="216"/>
      <c r="AE274" s="216"/>
      <c r="AF274" s="216"/>
      <c r="AG274" s="216"/>
      <c r="AH274" s="216"/>
      <c r="AI274" s="216"/>
      <c r="AJ274" s="216"/>
      <c r="AK274" s="216"/>
      <c r="AL274" s="216"/>
      <c r="AM274" s="216"/>
      <c r="AN274" s="216"/>
      <c r="AO274" s="1203"/>
      <c r="AP274" s="958"/>
      <c r="AQ274" s="958"/>
      <c r="AR274" s="958"/>
      <c r="AS274" s="958"/>
      <c r="AU274" s="958"/>
      <c r="AV274" s="958"/>
      <c r="AW274" s="958"/>
      <c r="AX274" s="958"/>
      <c r="AY274" s="958"/>
    </row>
    <row r="275" spans="1:51" s="258" customFormat="1" ht="11.45" customHeight="1" x14ac:dyDescent="0.2">
      <c r="A275" s="156"/>
      <c r="B275" s="482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  <c r="AG275" s="216"/>
      <c r="AH275" s="216"/>
      <c r="AI275" s="216"/>
      <c r="AJ275" s="216"/>
      <c r="AK275" s="216"/>
      <c r="AL275" s="216"/>
      <c r="AM275" s="216"/>
      <c r="AN275" s="216"/>
      <c r="AO275" s="1203"/>
      <c r="AP275" s="958"/>
      <c r="AQ275" s="958"/>
      <c r="AR275" s="958"/>
      <c r="AS275" s="958"/>
      <c r="AU275" s="958"/>
      <c r="AV275" s="958"/>
      <c r="AW275" s="958"/>
      <c r="AX275" s="958"/>
      <c r="AY275" s="958"/>
    </row>
    <row r="276" spans="1:51" s="34" customFormat="1" ht="9" customHeight="1" x14ac:dyDescent="0.2">
      <c r="A276" s="1403" t="s">
        <v>695</v>
      </c>
      <c r="B276" s="1213"/>
      <c r="C276" s="2625" t="s">
        <v>2695</v>
      </c>
      <c r="D276" s="2625"/>
      <c r="E276" s="2625"/>
      <c r="F276" s="2625"/>
      <c r="G276" s="2625"/>
      <c r="H276" s="2625"/>
      <c r="I276" s="2625"/>
      <c r="J276" s="2625"/>
      <c r="K276" s="2625"/>
      <c r="L276" s="2625"/>
      <c r="N276" s="1213" t="s">
        <v>1104</v>
      </c>
      <c r="O276" s="2625" t="s">
        <v>2287</v>
      </c>
      <c r="P276" s="2625"/>
      <c r="Q276" s="2625"/>
      <c r="R276" s="2625"/>
      <c r="S276" s="2625"/>
      <c r="T276" s="2625"/>
      <c r="U276" s="43"/>
      <c r="V276" s="2625" t="s">
        <v>1209</v>
      </c>
      <c r="W276" s="2625"/>
      <c r="X276" s="2625"/>
      <c r="Y276" s="2625"/>
      <c r="Z276" s="187"/>
      <c r="AA276" s="187"/>
      <c r="AB276" s="2626" t="s">
        <v>1294</v>
      </c>
      <c r="AC276" s="2626"/>
      <c r="AD276" s="38"/>
      <c r="AE276" s="186"/>
      <c r="AF276" s="186"/>
      <c r="AG276" s="127"/>
      <c r="AH276" s="127"/>
      <c r="AI276" s="127"/>
      <c r="AJ276" s="127"/>
      <c r="AK276" s="127"/>
      <c r="AL276" s="356"/>
      <c r="AM276" s="1099"/>
      <c r="AN276" s="186"/>
      <c r="AO276" s="193"/>
    </row>
    <row r="277" spans="1:51" ht="9" customHeight="1" x14ac:dyDescent="0.2">
      <c r="A277" s="129"/>
      <c r="B277" s="104"/>
      <c r="C277" s="2629" t="s">
        <v>2979</v>
      </c>
      <c r="D277" s="2629"/>
      <c r="E277" s="2629"/>
      <c r="F277" s="2629"/>
      <c r="G277" s="2629"/>
      <c r="H277" s="2629"/>
      <c r="I277" s="2629"/>
      <c r="J277" s="2629"/>
      <c r="K277" s="2629"/>
      <c r="L277" s="2629"/>
      <c r="M277" s="2629"/>
      <c r="N277" s="1215"/>
      <c r="O277" s="2625" t="s">
        <v>2288</v>
      </c>
      <c r="P277" s="2625"/>
      <c r="Q277" s="2625"/>
      <c r="R277" s="2625"/>
      <c r="S277" s="2625"/>
      <c r="T277" s="2625"/>
      <c r="U277" s="2625"/>
      <c r="V277" s="1214"/>
      <c r="W277" s="1214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818"/>
      <c r="AL277" s="818"/>
      <c r="AM277" s="818"/>
      <c r="AN277" s="818"/>
      <c r="AO277" s="193"/>
      <c r="AQ277" s="558"/>
    </row>
    <row r="278" spans="1:51" ht="9" customHeight="1" x14ac:dyDescent="0.2">
      <c r="A278" s="1403" t="s">
        <v>1104</v>
      </c>
      <c r="B278" s="1213"/>
      <c r="C278" s="2630" t="s">
        <v>2289</v>
      </c>
      <c r="D278" s="2630"/>
      <c r="E278" s="2630"/>
      <c r="F278" s="2630"/>
      <c r="G278" s="2630"/>
      <c r="H278" s="2630"/>
      <c r="I278" s="2630"/>
      <c r="J278" s="1400"/>
      <c r="K278" s="1400"/>
      <c r="L278" s="1400"/>
      <c r="M278" s="1400"/>
      <c r="N278" s="1216"/>
      <c r="O278" s="2625"/>
      <c r="P278" s="2625"/>
      <c r="Q278" s="2625"/>
      <c r="R278" s="2625"/>
      <c r="S278" s="2625"/>
      <c r="T278" s="2625"/>
      <c r="U278" s="2625"/>
      <c r="V278" s="1214"/>
      <c r="W278" s="1214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193"/>
    </row>
    <row r="279" spans="1:51" ht="9.75" customHeight="1" x14ac:dyDescent="0.2">
      <c r="J279" s="558"/>
      <c r="L279" s="1108"/>
      <c r="N279" s="192"/>
      <c r="O279" s="1217"/>
      <c r="P279" s="1217"/>
      <c r="Q279" s="1639"/>
      <c r="R279" s="1218"/>
      <c r="S279" s="1218"/>
      <c r="T279" s="1218"/>
      <c r="U279" s="1219"/>
      <c r="V279" s="1220"/>
      <c r="W279" s="1221"/>
      <c r="AM279" s="558"/>
      <c r="AN279" s="558"/>
    </row>
    <row r="280" spans="1:51" x14ac:dyDescent="0.2">
      <c r="C280" s="61"/>
      <c r="D280" s="61"/>
      <c r="E280" s="61"/>
      <c r="F280" s="968"/>
      <c r="G280" s="61"/>
      <c r="H280" s="968"/>
      <c r="I280" s="968"/>
      <c r="J280" s="61"/>
      <c r="K280" s="61"/>
      <c r="L280" s="61"/>
      <c r="P280" s="1222"/>
      <c r="Q280" s="192"/>
      <c r="R280" s="192"/>
      <c r="S280" s="192"/>
      <c r="T280" s="192"/>
      <c r="U280" s="192"/>
      <c r="V280" s="192"/>
      <c r="W280" s="192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1"/>
      <c r="AL280" s="61"/>
      <c r="AM280" s="61"/>
      <c r="AN280" s="61"/>
    </row>
    <row r="281" spans="1:51" x14ac:dyDescent="0.2">
      <c r="D281" s="558"/>
      <c r="F281" s="558"/>
      <c r="G281" s="723"/>
      <c r="H281" s="558"/>
      <c r="I281" s="558"/>
      <c r="J281" s="870"/>
      <c r="M281" s="61"/>
      <c r="P281" s="558"/>
      <c r="V281" s="558"/>
      <c r="W281" s="558"/>
      <c r="X281" s="558"/>
      <c r="Y281" s="558"/>
      <c r="Z281" s="558"/>
      <c r="AA281" s="558"/>
      <c r="AB281" s="558"/>
      <c r="AC281" s="558"/>
      <c r="AD281" s="558"/>
      <c r="AE281" s="558"/>
      <c r="AF281" s="558"/>
      <c r="AG281" s="558"/>
      <c r="AH281" s="558"/>
      <c r="AI281" s="558"/>
    </row>
    <row r="282" spans="1:51" x14ac:dyDescent="0.2"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1222"/>
      <c r="O282" s="192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58"/>
      <c r="AB282" s="558"/>
      <c r="AC282" s="558"/>
      <c r="AD282" s="558"/>
      <c r="AE282" s="558"/>
      <c r="AF282" s="558"/>
      <c r="AG282" s="558"/>
      <c r="AH282" s="558"/>
      <c r="AI282" s="558"/>
      <c r="AJ282" s="558"/>
      <c r="AK282" s="558"/>
      <c r="AL282" s="558"/>
      <c r="AM282" s="558"/>
      <c r="AN282" s="558"/>
      <c r="AO282" s="558"/>
    </row>
    <row r="283" spans="1:51" x14ac:dyDescent="0.2">
      <c r="D283" s="558"/>
      <c r="H283" s="558"/>
      <c r="I283" s="558"/>
      <c r="K283" s="558"/>
      <c r="L283" s="558"/>
      <c r="M283" s="823"/>
      <c r="V283" s="558"/>
    </row>
    <row r="284" spans="1:51" x14ac:dyDescent="0.2">
      <c r="K284" s="558"/>
      <c r="L284" s="558"/>
      <c r="N284" s="558"/>
      <c r="O284" s="558"/>
      <c r="P284" s="558"/>
      <c r="Q284" s="558"/>
      <c r="R284" s="558"/>
      <c r="S284" s="558"/>
      <c r="T284" s="558"/>
      <c r="U284" s="558"/>
      <c r="V284" s="968"/>
      <c r="W284" s="968"/>
      <c r="X284" s="968"/>
      <c r="Y284" s="968"/>
      <c r="Z284" s="968"/>
      <c r="AA284" s="968"/>
      <c r="AB284" s="968"/>
      <c r="AC284" s="968"/>
      <c r="AD284" s="968"/>
      <c r="AE284" s="968"/>
      <c r="AF284" s="968"/>
      <c r="AG284" s="968"/>
      <c r="AH284" s="968"/>
      <c r="AI284" s="968"/>
      <c r="AJ284" s="968"/>
    </row>
    <row r="285" spans="1:51" x14ac:dyDescent="0.2">
      <c r="H285" s="558"/>
      <c r="K285" s="558"/>
      <c r="O285" s="558"/>
      <c r="P285" s="558"/>
      <c r="Q285" s="558"/>
      <c r="R285" s="558"/>
      <c r="S285" s="558"/>
      <c r="T285" s="558"/>
      <c r="U285" s="558"/>
      <c r="V285" s="968"/>
      <c r="W285" s="968"/>
      <c r="X285" s="968"/>
      <c r="Y285" s="968"/>
      <c r="Z285" s="968"/>
      <c r="AA285" s="968"/>
      <c r="AB285" s="968"/>
      <c r="AC285" s="968"/>
      <c r="AD285" s="968"/>
      <c r="AE285" s="968"/>
      <c r="AF285" s="968"/>
      <c r="AG285" s="968"/>
      <c r="AH285" s="968"/>
      <c r="AI285" s="968"/>
    </row>
    <row r="286" spans="1:51" x14ac:dyDescent="0.2">
      <c r="K286" s="558"/>
      <c r="V286" s="558"/>
    </row>
    <row r="287" spans="1:51" x14ac:dyDescent="0.2">
      <c r="K287" s="558"/>
    </row>
    <row r="288" spans="1:51" x14ac:dyDescent="0.2">
      <c r="N288" s="558"/>
      <c r="O288" s="558"/>
      <c r="P288" s="558"/>
      <c r="Q288" s="558"/>
      <c r="R288" s="558"/>
      <c r="S288" s="558"/>
      <c r="T288" s="558"/>
      <c r="U288" s="558"/>
      <c r="V288" s="558"/>
      <c r="W288" s="558"/>
      <c r="X288" s="558"/>
      <c r="Y288" s="558"/>
      <c r="Z288" s="558"/>
      <c r="AA288" s="558"/>
      <c r="AB288" s="558"/>
      <c r="AC288" s="558"/>
      <c r="AD288" s="558"/>
      <c r="AE288" s="558"/>
      <c r="AF288" s="558"/>
      <c r="AG288" s="558"/>
      <c r="AH288" s="558"/>
      <c r="AI288" s="558"/>
      <c r="AJ288" s="558"/>
      <c r="AK288" s="558"/>
      <c r="AL288" s="558"/>
      <c r="AM288" s="558"/>
      <c r="AN288" s="558"/>
    </row>
    <row r="289" spans="3:40" x14ac:dyDescent="0.2">
      <c r="C289" s="558"/>
      <c r="D289" s="558"/>
      <c r="E289" s="558"/>
      <c r="F289" s="558"/>
      <c r="G289" s="558"/>
      <c r="H289" s="558"/>
      <c r="I289" s="558"/>
      <c r="J289" s="558"/>
      <c r="K289" s="558"/>
      <c r="L289" s="558"/>
      <c r="N289" s="558"/>
      <c r="O289" s="558"/>
      <c r="P289" s="558"/>
      <c r="Q289" s="558"/>
      <c r="R289" s="558"/>
      <c r="S289" s="558"/>
      <c r="T289" s="558"/>
      <c r="U289" s="558"/>
      <c r="V289" s="558"/>
      <c r="W289" s="558"/>
      <c r="X289" s="558"/>
      <c r="Y289" s="558"/>
      <c r="Z289" s="558"/>
      <c r="AA289" s="558"/>
      <c r="AB289" s="558"/>
      <c r="AC289" s="558"/>
      <c r="AD289" s="558"/>
      <c r="AE289" s="558"/>
      <c r="AF289" s="558"/>
      <c r="AG289" s="558"/>
      <c r="AH289" s="558"/>
      <c r="AI289" s="558"/>
      <c r="AJ289" s="558"/>
      <c r="AK289" s="558"/>
      <c r="AL289" s="558"/>
      <c r="AM289" s="558"/>
      <c r="AN289" s="558"/>
    </row>
    <row r="290" spans="3:40" x14ac:dyDescent="0.2"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N290" s="558"/>
      <c r="O290" s="558"/>
      <c r="P290" s="558"/>
      <c r="Q290" s="558"/>
      <c r="R290" s="558"/>
      <c r="S290" s="558"/>
      <c r="T290" s="558"/>
      <c r="U290" s="558"/>
      <c r="V290" s="558"/>
      <c r="W290" s="558"/>
      <c r="X290" s="558"/>
      <c r="Y290" s="558"/>
      <c r="Z290" s="558"/>
      <c r="AA290" s="558"/>
      <c r="AB290" s="558"/>
      <c r="AC290" s="558"/>
      <c r="AD290" s="558"/>
      <c r="AE290" s="558"/>
      <c r="AF290" s="558"/>
      <c r="AG290" s="558"/>
      <c r="AH290" s="558"/>
      <c r="AI290" s="558"/>
      <c r="AJ290" s="558"/>
      <c r="AK290" s="558"/>
      <c r="AL290" s="558"/>
      <c r="AM290" s="558"/>
      <c r="AN290" s="558"/>
    </row>
    <row r="291" spans="3:40" x14ac:dyDescent="0.2"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N291" s="558"/>
      <c r="O291" s="558"/>
      <c r="P291" s="558"/>
      <c r="Q291" s="558"/>
      <c r="R291" s="558"/>
      <c r="S291" s="558"/>
      <c r="T291" s="558"/>
      <c r="U291" s="558"/>
      <c r="V291" s="558"/>
      <c r="W291" s="558"/>
      <c r="X291" s="558"/>
      <c r="Y291" s="558"/>
      <c r="Z291" s="558"/>
      <c r="AA291" s="558"/>
      <c r="AB291" s="558"/>
      <c r="AC291" s="558"/>
      <c r="AD291" s="558"/>
      <c r="AE291" s="558"/>
      <c r="AF291" s="558"/>
      <c r="AG291" s="558"/>
      <c r="AH291" s="558"/>
      <c r="AI291" s="558"/>
      <c r="AJ291" s="558"/>
      <c r="AK291" s="558"/>
      <c r="AL291" s="558"/>
      <c r="AM291" s="558"/>
      <c r="AN291" s="558"/>
    </row>
    <row r="292" spans="3:40" x14ac:dyDescent="0.2"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58"/>
      <c r="AB292" s="558"/>
      <c r="AC292" s="558"/>
      <c r="AD292" s="558"/>
      <c r="AE292" s="558"/>
      <c r="AF292" s="558"/>
      <c r="AG292" s="558"/>
      <c r="AH292" s="558"/>
      <c r="AI292" s="558"/>
      <c r="AJ292" s="558"/>
      <c r="AK292" s="558"/>
      <c r="AL292" s="558"/>
      <c r="AM292" s="558"/>
      <c r="AN292" s="558"/>
    </row>
    <row r="293" spans="3:40" x14ac:dyDescent="0.2"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58"/>
      <c r="AB293" s="558"/>
      <c r="AC293" s="558"/>
      <c r="AD293" s="558"/>
      <c r="AE293" s="558"/>
      <c r="AF293" s="558"/>
      <c r="AG293" s="558"/>
      <c r="AH293" s="558"/>
      <c r="AI293" s="558"/>
      <c r="AJ293" s="558"/>
      <c r="AK293" s="558"/>
      <c r="AL293" s="558"/>
      <c r="AM293" s="558"/>
      <c r="AN293" s="558"/>
    </row>
    <row r="294" spans="3:40" x14ac:dyDescent="0.2">
      <c r="C294" s="558"/>
      <c r="D294" s="558"/>
      <c r="E294" s="558"/>
      <c r="F294" s="558"/>
      <c r="G294" s="558"/>
      <c r="H294" s="558"/>
      <c r="I294" s="558"/>
      <c r="J294" s="558"/>
      <c r="K294" s="558"/>
      <c r="L294" s="558"/>
      <c r="V294" s="558"/>
    </row>
    <row r="295" spans="3:40" x14ac:dyDescent="0.2">
      <c r="C295" s="558"/>
      <c r="D295" s="558"/>
      <c r="E295" s="558"/>
      <c r="F295" s="558"/>
      <c r="G295" s="558"/>
      <c r="H295" s="558"/>
      <c r="I295" s="558"/>
      <c r="J295" s="558"/>
      <c r="K295" s="558"/>
      <c r="L295" s="558"/>
      <c r="V295" s="558"/>
    </row>
  </sheetData>
  <customSheetViews>
    <customSheetView guid="{A374FC54-96E3-45F0-9C12-8450400C12DF}" scale="140">
      <pane xSplit="1" ySplit="6" topLeftCell="AC39" activePane="bottomRight" state="frozen"/>
      <selection pane="bottomRight" activeCell="AH52" sqref="AH52"/>
      <pageMargins left="0.62992125984252001" right="0.511811023622047" top="0.511811023622047" bottom="0.511811023622047" header="0" footer="0.39370078740157499"/>
      <pageSetup paperSize="132" firstPageNumber="32" orientation="portrait" useFirstPageNumber="1" r:id="rId1"/>
      <headerFooter alignWithMargins="0">
        <oddFooter>&amp;C&amp;"Times New Roman,Regular"&amp;8&amp;P</oddFooter>
      </headerFooter>
    </customSheetView>
  </customSheetViews>
  <mergeCells count="37">
    <mergeCell ref="C277:M277"/>
    <mergeCell ref="O277:U278"/>
    <mergeCell ref="C278:I278"/>
    <mergeCell ref="G4:G5"/>
    <mergeCell ref="C276:L276"/>
    <mergeCell ref="O276:T276"/>
    <mergeCell ref="F4:F5"/>
    <mergeCell ref="J4:J5"/>
    <mergeCell ref="V276:Y276"/>
    <mergeCell ref="AB276:AC276"/>
    <mergeCell ref="AG3:AL3"/>
    <mergeCell ref="AD1:AE1"/>
    <mergeCell ref="C4:C5"/>
    <mergeCell ref="D4:D5"/>
    <mergeCell ref="A1:E1"/>
    <mergeCell ref="E4:E5"/>
    <mergeCell ref="N3:U3"/>
    <mergeCell ref="Q4:U4"/>
    <mergeCell ref="A3:A6"/>
    <mergeCell ref="V4:AL4"/>
    <mergeCell ref="I4:I5"/>
    <mergeCell ref="C3:M3"/>
    <mergeCell ref="AM3:AM5"/>
    <mergeCell ref="H4:H5"/>
    <mergeCell ref="AO3:AO6"/>
    <mergeCell ref="AM1:AO1"/>
    <mergeCell ref="T1:U1"/>
    <mergeCell ref="K1:M1"/>
    <mergeCell ref="N4:P4"/>
    <mergeCell ref="AN3:AN5"/>
    <mergeCell ref="M4:M5"/>
    <mergeCell ref="K4:K5"/>
    <mergeCell ref="L4:L5"/>
    <mergeCell ref="N1:O1"/>
    <mergeCell ref="AN2:AO2"/>
    <mergeCell ref="V3:AF3"/>
    <mergeCell ref="AF1:AH1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D52"/>
  <sheetViews>
    <sheetView zoomScale="140" zoomScaleNormal="140" workbookViewId="0">
      <pane xSplit="1" ySplit="6" topLeftCell="Y32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AB32" sqref="AB32"/>
    </sheetView>
  </sheetViews>
  <sheetFormatPr defaultColWidth="9.140625" defaultRowHeight="12.75" x14ac:dyDescent="0.2"/>
  <cols>
    <col min="1" max="1" width="9.85546875" style="2" customWidth="1"/>
    <col min="2" max="2" width="10.7109375" style="2" customWidth="1"/>
    <col min="3" max="3" width="10.28515625" style="2" customWidth="1"/>
    <col min="4" max="5" width="11" style="2" customWidth="1"/>
    <col min="6" max="6" width="11.140625" style="2" customWidth="1"/>
    <col min="7" max="7" width="10.85546875" style="2" customWidth="1"/>
    <col min="8" max="8" width="12.7109375" style="2" customWidth="1"/>
    <col min="9" max="10" width="10.7109375" style="2" customWidth="1"/>
    <col min="11" max="11" width="10.28515625" style="2" customWidth="1"/>
    <col min="12" max="12" width="11.140625" style="2" customWidth="1"/>
    <col min="13" max="13" width="11" style="2" customWidth="1"/>
    <col min="14" max="14" width="9.85546875" style="2" customWidth="1"/>
    <col min="15" max="15" width="9.7109375" style="2" customWidth="1"/>
    <col min="16" max="16" width="11.7109375" style="2" customWidth="1"/>
    <col min="17" max="17" width="10.85546875" style="2" customWidth="1"/>
    <col min="18" max="18" width="11.140625" style="2" customWidth="1"/>
    <col min="19" max="19" width="10.85546875" style="2" customWidth="1"/>
    <col min="20" max="20" width="11.140625" style="2" customWidth="1"/>
    <col min="21" max="21" width="10.85546875" style="2" customWidth="1"/>
    <col min="22" max="22" width="11.42578125" style="2" customWidth="1"/>
    <col min="23" max="23" width="11" style="2" customWidth="1"/>
    <col min="24" max="24" width="11.42578125" style="2" customWidth="1"/>
    <col min="25" max="25" width="10.85546875" style="2" customWidth="1"/>
    <col min="26" max="26" width="11.5703125" style="2" customWidth="1"/>
    <col min="27" max="27" width="11" style="2" customWidth="1"/>
    <col min="28" max="28" width="12" style="2" customWidth="1"/>
    <col min="29" max="29" width="9.28515625" style="2" bestFit="1" customWidth="1"/>
    <col min="30" max="16384" width="9.140625" style="2"/>
  </cols>
  <sheetData>
    <row r="1" spans="1:29" s="21" customFormat="1" ht="15.75" customHeight="1" x14ac:dyDescent="0.25">
      <c r="A1" s="2635" t="s">
        <v>118</v>
      </c>
      <c r="B1" s="2635"/>
      <c r="C1" s="2635"/>
      <c r="D1" s="2635"/>
      <c r="E1" s="2635"/>
      <c r="F1" s="2635"/>
      <c r="G1" s="2635"/>
      <c r="H1" s="2632" t="s">
        <v>119</v>
      </c>
      <c r="I1" s="2632"/>
      <c r="J1" s="2632"/>
      <c r="K1" s="2632"/>
      <c r="M1" s="2635" t="s">
        <v>224</v>
      </c>
      <c r="N1" s="2635"/>
      <c r="O1" s="2635" t="s">
        <v>118</v>
      </c>
      <c r="P1" s="2635"/>
      <c r="Q1" s="2635"/>
      <c r="R1" s="2635"/>
      <c r="S1" s="2635"/>
      <c r="T1" s="2635"/>
      <c r="U1" s="2635"/>
      <c r="V1" s="2632" t="s">
        <v>119</v>
      </c>
      <c r="W1" s="2632"/>
      <c r="X1" s="2632"/>
      <c r="Y1" s="2632"/>
      <c r="Z1" s="22"/>
      <c r="AA1" s="2639" t="s">
        <v>283</v>
      </c>
      <c r="AB1" s="2639"/>
      <c r="AC1" s="22"/>
    </row>
    <row r="2" spans="1:29" s="19" customFormat="1" ht="13.5" customHeight="1" x14ac:dyDescent="0.2">
      <c r="A2" s="70"/>
      <c r="P2" s="71"/>
      <c r="Q2" s="71"/>
      <c r="R2" s="71"/>
      <c r="S2" s="71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29" s="107" customFormat="1" ht="20.25" customHeight="1" x14ac:dyDescent="0.2">
      <c r="A3" s="2636" t="s">
        <v>474</v>
      </c>
      <c r="B3" s="2633" t="s">
        <v>172</v>
      </c>
      <c r="C3" s="2634"/>
      <c r="D3" s="2633" t="s">
        <v>173</v>
      </c>
      <c r="E3" s="2634"/>
      <c r="F3" s="2633" t="s">
        <v>174</v>
      </c>
      <c r="G3" s="2634"/>
      <c r="H3" s="2633" t="s">
        <v>486</v>
      </c>
      <c r="I3" s="2634"/>
      <c r="J3" s="2633" t="s">
        <v>281</v>
      </c>
      <c r="K3" s="2634"/>
      <c r="L3" s="2633" t="s">
        <v>282</v>
      </c>
      <c r="M3" s="2634"/>
      <c r="N3" s="2636" t="s">
        <v>474</v>
      </c>
      <c r="O3" s="2636" t="s">
        <v>474</v>
      </c>
      <c r="P3" s="2633" t="s">
        <v>284</v>
      </c>
      <c r="Q3" s="2634"/>
      <c r="R3" s="2633" t="s">
        <v>285</v>
      </c>
      <c r="S3" s="2634"/>
      <c r="T3" s="2633" t="s">
        <v>286</v>
      </c>
      <c r="U3" s="2634"/>
      <c r="V3" s="2633" t="s">
        <v>111</v>
      </c>
      <c r="W3" s="2634"/>
      <c r="X3" s="2633" t="s">
        <v>287</v>
      </c>
      <c r="Y3" s="2634"/>
      <c r="Z3" s="2633" t="s">
        <v>114</v>
      </c>
      <c r="AA3" s="2634"/>
      <c r="AB3" s="2636" t="s">
        <v>474</v>
      </c>
    </row>
    <row r="4" spans="1:29" s="564" customFormat="1" ht="23.25" customHeight="1" x14ac:dyDescent="0.2">
      <c r="A4" s="2637"/>
      <c r="B4" s="2631" t="s">
        <v>1513</v>
      </c>
      <c r="C4" s="2631" t="s">
        <v>1516</v>
      </c>
      <c r="D4" s="2631" t="s">
        <v>1513</v>
      </c>
      <c r="E4" s="2631" t="s">
        <v>1775</v>
      </c>
      <c r="F4" s="2631" t="s">
        <v>1513</v>
      </c>
      <c r="G4" s="2631" t="s">
        <v>1775</v>
      </c>
      <c r="H4" s="2631" t="s">
        <v>1795</v>
      </c>
      <c r="I4" s="2631" t="s">
        <v>774</v>
      </c>
      <c r="J4" s="2631" t="s">
        <v>1794</v>
      </c>
      <c r="K4" s="2631" t="s">
        <v>774</v>
      </c>
      <c r="L4" s="2631" t="s">
        <v>1513</v>
      </c>
      <c r="M4" s="2631" t="s">
        <v>1515</v>
      </c>
      <c r="N4" s="2637"/>
      <c r="O4" s="2637"/>
      <c r="P4" s="2631" t="s">
        <v>1513</v>
      </c>
      <c r="Q4" s="2631" t="s">
        <v>774</v>
      </c>
      <c r="R4" s="2631" t="s">
        <v>1513</v>
      </c>
      <c r="S4" s="2631" t="s">
        <v>774</v>
      </c>
      <c r="T4" s="2631" t="s">
        <v>1513</v>
      </c>
      <c r="U4" s="2631" t="s">
        <v>774</v>
      </c>
      <c r="V4" s="2631" t="s">
        <v>1513</v>
      </c>
      <c r="W4" s="2631" t="s">
        <v>774</v>
      </c>
      <c r="X4" s="2631" t="s">
        <v>1514</v>
      </c>
      <c r="Y4" s="2631" t="s">
        <v>774</v>
      </c>
      <c r="Z4" s="2631" t="s">
        <v>1513</v>
      </c>
      <c r="AA4" s="2631" t="s">
        <v>774</v>
      </c>
      <c r="AB4" s="2637"/>
    </row>
    <row r="5" spans="1:29" s="564" customFormat="1" ht="21" customHeight="1" x14ac:dyDescent="0.2">
      <c r="A5" s="2638"/>
      <c r="B5" s="2467"/>
      <c r="C5" s="2467"/>
      <c r="D5" s="2467"/>
      <c r="E5" s="2467"/>
      <c r="F5" s="2467"/>
      <c r="G5" s="2467"/>
      <c r="H5" s="2467"/>
      <c r="I5" s="2467"/>
      <c r="J5" s="2467"/>
      <c r="K5" s="2467"/>
      <c r="L5" s="2467"/>
      <c r="M5" s="2467"/>
      <c r="N5" s="2638"/>
      <c r="O5" s="2638"/>
      <c r="P5" s="2467"/>
      <c r="Q5" s="2467"/>
      <c r="R5" s="2467"/>
      <c r="S5" s="2467"/>
      <c r="T5" s="2467"/>
      <c r="U5" s="2467"/>
      <c r="V5" s="2467"/>
      <c r="W5" s="2467"/>
      <c r="X5" s="2467"/>
      <c r="Y5" s="2467"/>
      <c r="Z5" s="2467"/>
      <c r="AA5" s="2467"/>
      <c r="AB5" s="2638"/>
    </row>
    <row r="6" spans="1:29" x14ac:dyDescent="0.2">
      <c r="A6" s="63"/>
      <c r="B6" s="64"/>
      <c r="C6" s="65"/>
      <c r="D6" s="64"/>
      <c r="E6" s="64"/>
      <c r="F6" s="64"/>
      <c r="G6" s="64"/>
      <c r="H6" s="64"/>
      <c r="I6" s="64"/>
      <c r="J6" s="64"/>
      <c r="K6" s="64"/>
      <c r="L6" s="64"/>
      <c r="M6" s="67"/>
      <c r="N6" s="64"/>
      <c r="O6" s="65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8"/>
    </row>
    <row r="7" spans="1:29" s="8" customFormat="1" ht="16.5" customHeight="1" x14ac:dyDescent="0.2">
      <c r="A7" s="527" t="s">
        <v>536</v>
      </c>
      <c r="B7" s="641">
        <v>1791</v>
      </c>
      <c r="C7" s="641">
        <v>4111</v>
      </c>
      <c r="D7" s="641">
        <v>8509</v>
      </c>
      <c r="E7" s="641">
        <v>13824</v>
      </c>
      <c r="F7" s="641">
        <v>6538</v>
      </c>
      <c r="G7" s="641">
        <v>6582</v>
      </c>
      <c r="H7" s="641">
        <v>1245</v>
      </c>
      <c r="I7" s="641">
        <v>1580</v>
      </c>
      <c r="J7" s="641">
        <v>7446</v>
      </c>
      <c r="K7" s="641">
        <v>445</v>
      </c>
      <c r="L7" s="641">
        <v>245</v>
      </c>
      <c r="M7" s="641">
        <v>833</v>
      </c>
      <c r="N7" s="500" t="s">
        <v>536</v>
      </c>
      <c r="O7" s="982" t="s">
        <v>536</v>
      </c>
      <c r="P7" s="641">
        <v>32</v>
      </c>
      <c r="Q7" s="641">
        <v>133</v>
      </c>
      <c r="R7" s="641">
        <v>168</v>
      </c>
      <c r="S7" s="641">
        <v>512</v>
      </c>
      <c r="T7" s="641">
        <v>38</v>
      </c>
      <c r="U7" s="641">
        <v>89</v>
      </c>
      <c r="V7" s="641">
        <v>52</v>
      </c>
      <c r="W7" s="641">
        <v>118</v>
      </c>
      <c r="X7" s="641">
        <v>964</v>
      </c>
      <c r="Y7" s="641">
        <v>1383</v>
      </c>
      <c r="Z7" s="641">
        <v>13</v>
      </c>
      <c r="AA7" s="641">
        <v>86</v>
      </c>
      <c r="AB7" s="303" t="s">
        <v>536</v>
      </c>
    </row>
    <row r="8" spans="1:29" s="8" customFormat="1" ht="16.5" customHeight="1" x14ac:dyDescent="0.2">
      <c r="A8" s="226" t="s">
        <v>537</v>
      </c>
      <c r="B8" s="65">
        <v>1676</v>
      </c>
      <c r="C8" s="65">
        <v>3840</v>
      </c>
      <c r="D8" s="65">
        <v>8790</v>
      </c>
      <c r="E8" s="65">
        <v>13953</v>
      </c>
      <c r="F8" s="65">
        <v>7221</v>
      </c>
      <c r="G8" s="65">
        <v>6804</v>
      </c>
      <c r="H8" s="65">
        <v>1369</v>
      </c>
      <c r="I8" s="65">
        <v>1732</v>
      </c>
      <c r="J8" s="65">
        <v>7165</v>
      </c>
      <c r="K8" s="65">
        <v>431</v>
      </c>
      <c r="L8" s="65">
        <v>246</v>
      </c>
      <c r="M8" s="65">
        <v>830</v>
      </c>
      <c r="N8" s="557" t="s">
        <v>537</v>
      </c>
      <c r="O8" s="226" t="s">
        <v>537</v>
      </c>
      <c r="P8" s="65">
        <v>32</v>
      </c>
      <c r="Q8" s="65">
        <v>136</v>
      </c>
      <c r="R8" s="65">
        <v>170</v>
      </c>
      <c r="S8" s="65">
        <v>509</v>
      </c>
      <c r="T8" s="65">
        <v>39</v>
      </c>
      <c r="U8" s="65">
        <v>90</v>
      </c>
      <c r="V8" s="65">
        <v>48</v>
      </c>
      <c r="W8" s="65">
        <v>119</v>
      </c>
      <c r="X8" s="65">
        <v>739</v>
      </c>
      <c r="Y8" s="65">
        <v>1133</v>
      </c>
      <c r="Z8" s="65">
        <v>13</v>
      </c>
      <c r="AA8" s="65">
        <v>86</v>
      </c>
      <c r="AB8" s="557" t="s">
        <v>537</v>
      </c>
    </row>
    <row r="9" spans="1:29" s="8" customFormat="1" ht="16.5" customHeight="1" x14ac:dyDescent="0.2">
      <c r="A9" s="982" t="s">
        <v>538</v>
      </c>
      <c r="B9" s="641">
        <v>1871</v>
      </c>
      <c r="C9" s="641">
        <v>3935</v>
      </c>
      <c r="D9" s="641">
        <v>9552</v>
      </c>
      <c r="E9" s="641">
        <v>14399</v>
      </c>
      <c r="F9" s="641">
        <v>7460</v>
      </c>
      <c r="G9" s="641">
        <v>6876</v>
      </c>
      <c r="H9" s="641">
        <v>1454</v>
      </c>
      <c r="I9" s="641">
        <v>1749</v>
      </c>
      <c r="J9" s="641">
        <v>7520</v>
      </c>
      <c r="K9" s="641">
        <v>434</v>
      </c>
      <c r="L9" s="641">
        <v>249</v>
      </c>
      <c r="M9" s="641">
        <v>831</v>
      </c>
      <c r="N9" s="303" t="s">
        <v>538</v>
      </c>
      <c r="O9" s="982" t="s">
        <v>538</v>
      </c>
      <c r="P9" s="641">
        <v>34</v>
      </c>
      <c r="Q9" s="641">
        <v>136</v>
      </c>
      <c r="R9" s="641">
        <v>171</v>
      </c>
      <c r="S9" s="641">
        <v>510</v>
      </c>
      <c r="T9" s="641">
        <v>38</v>
      </c>
      <c r="U9" s="641">
        <v>86</v>
      </c>
      <c r="V9" s="641">
        <v>53</v>
      </c>
      <c r="W9" s="641">
        <v>119</v>
      </c>
      <c r="X9" s="641">
        <v>883</v>
      </c>
      <c r="Y9" s="641">
        <v>1253</v>
      </c>
      <c r="Z9" s="641">
        <v>14</v>
      </c>
      <c r="AA9" s="641">
        <v>91</v>
      </c>
      <c r="AB9" s="303" t="s">
        <v>538</v>
      </c>
    </row>
    <row r="10" spans="1:29" s="8" customFormat="1" ht="16.5" customHeight="1" x14ac:dyDescent="0.2">
      <c r="A10" s="226" t="s">
        <v>539</v>
      </c>
      <c r="B10" s="65">
        <v>1875</v>
      </c>
      <c r="C10" s="65">
        <v>3868</v>
      </c>
      <c r="D10" s="65">
        <v>8850</v>
      </c>
      <c r="E10" s="65">
        <v>14353</v>
      </c>
      <c r="F10" s="65">
        <v>8137</v>
      </c>
      <c r="G10" s="65">
        <v>7138</v>
      </c>
      <c r="H10" s="65">
        <v>1803</v>
      </c>
      <c r="I10" s="65">
        <v>1988</v>
      </c>
      <c r="J10" s="65">
        <v>7379</v>
      </c>
      <c r="K10" s="65">
        <v>433</v>
      </c>
      <c r="L10" s="65">
        <v>254</v>
      </c>
      <c r="M10" s="65">
        <v>849</v>
      </c>
      <c r="N10" s="557" t="s">
        <v>539</v>
      </c>
      <c r="O10" s="226" t="s">
        <v>539</v>
      </c>
      <c r="P10" s="65">
        <v>34</v>
      </c>
      <c r="Q10" s="65">
        <v>135</v>
      </c>
      <c r="R10" s="65">
        <v>163</v>
      </c>
      <c r="S10" s="65">
        <v>508</v>
      </c>
      <c r="T10" s="65">
        <v>37</v>
      </c>
      <c r="U10" s="65">
        <v>81</v>
      </c>
      <c r="V10" s="65">
        <v>51</v>
      </c>
      <c r="W10" s="65">
        <v>120</v>
      </c>
      <c r="X10" s="65">
        <v>1057</v>
      </c>
      <c r="Y10" s="65">
        <v>1427</v>
      </c>
      <c r="Z10" s="65">
        <v>14</v>
      </c>
      <c r="AA10" s="65">
        <v>86</v>
      </c>
      <c r="AB10" s="557" t="s">
        <v>539</v>
      </c>
    </row>
    <row r="11" spans="1:29" s="8" customFormat="1" ht="16.5" customHeight="1" x14ac:dyDescent="0.2">
      <c r="A11" s="982" t="s">
        <v>540</v>
      </c>
      <c r="B11" s="641">
        <v>1617</v>
      </c>
      <c r="C11" s="641">
        <v>3519</v>
      </c>
      <c r="D11" s="641">
        <v>7736</v>
      </c>
      <c r="E11" s="641">
        <v>12762</v>
      </c>
      <c r="F11" s="641">
        <v>10552</v>
      </c>
      <c r="G11" s="641">
        <v>8715</v>
      </c>
      <c r="H11" s="641">
        <v>1988</v>
      </c>
      <c r="I11" s="641">
        <v>2180</v>
      </c>
      <c r="J11" s="641">
        <v>6951</v>
      </c>
      <c r="K11" s="641">
        <v>430</v>
      </c>
      <c r="L11" s="641">
        <v>253</v>
      </c>
      <c r="M11" s="641">
        <v>850</v>
      </c>
      <c r="N11" s="303" t="s">
        <v>540</v>
      </c>
      <c r="O11" s="982" t="s">
        <v>540</v>
      </c>
      <c r="P11" s="641">
        <v>34</v>
      </c>
      <c r="Q11" s="641">
        <v>137</v>
      </c>
      <c r="R11" s="641">
        <v>165</v>
      </c>
      <c r="S11" s="641">
        <v>508</v>
      </c>
      <c r="T11" s="641">
        <v>29</v>
      </c>
      <c r="U11" s="641">
        <v>78</v>
      </c>
      <c r="V11" s="641">
        <v>56</v>
      </c>
      <c r="W11" s="641">
        <v>120</v>
      </c>
      <c r="X11" s="641">
        <v>812</v>
      </c>
      <c r="Y11" s="641">
        <v>1181</v>
      </c>
      <c r="Z11" s="641" t="s">
        <v>572</v>
      </c>
      <c r="AA11" s="641" t="s">
        <v>572</v>
      </c>
      <c r="AB11" s="303" t="s">
        <v>540</v>
      </c>
    </row>
    <row r="12" spans="1:29" s="8" customFormat="1" ht="16.5" customHeight="1" x14ac:dyDescent="0.2">
      <c r="A12" s="226" t="s">
        <v>541</v>
      </c>
      <c r="B12" s="65">
        <v>1734</v>
      </c>
      <c r="C12" s="65">
        <v>3339</v>
      </c>
      <c r="D12" s="65">
        <v>10305</v>
      </c>
      <c r="E12" s="65">
        <v>14097</v>
      </c>
      <c r="F12" s="65">
        <v>11027</v>
      </c>
      <c r="G12" s="65">
        <v>9024</v>
      </c>
      <c r="H12" s="65">
        <v>1840</v>
      </c>
      <c r="I12" s="65">
        <v>2057</v>
      </c>
      <c r="J12" s="65">
        <v>6910</v>
      </c>
      <c r="K12" s="65">
        <v>421</v>
      </c>
      <c r="L12" s="65">
        <v>249</v>
      </c>
      <c r="M12" s="65">
        <v>812</v>
      </c>
      <c r="N12" s="557" t="s">
        <v>541</v>
      </c>
      <c r="O12" s="226" t="s">
        <v>541</v>
      </c>
      <c r="P12" s="65">
        <v>36</v>
      </c>
      <c r="Q12" s="65">
        <v>136</v>
      </c>
      <c r="R12" s="65">
        <v>128</v>
      </c>
      <c r="S12" s="65">
        <v>412</v>
      </c>
      <c r="T12" s="65">
        <v>35</v>
      </c>
      <c r="U12" s="65">
        <v>88</v>
      </c>
      <c r="V12" s="65">
        <v>46</v>
      </c>
      <c r="W12" s="65">
        <v>120</v>
      </c>
      <c r="X12" s="65">
        <v>711</v>
      </c>
      <c r="Y12" s="65">
        <v>1008</v>
      </c>
      <c r="Z12" s="65" t="s">
        <v>572</v>
      </c>
      <c r="AA12" s="65" t="s">
        <v>572</v>
      </c>
      <c r="AB12" s="557" t="s">
        <v>541</v>
      </c>
    </row>
    <row r="13" spans="1:29" s="8" customFormat="1" ht="16.5" customHeight="1" x14ac:dyDescent="0.2">
      <c r="A13" s="982" t="s">
        <v>542</v>
      </c>
      <c r="B13" s="641">
        <v>1916</v>
      </c>
      <c r="C13" s="641">
        <v>3275</v>
      </c>
      <c r="D13" s="641">
        <v>11249</v>
      </c>
      <c r="E13" s="641">
        <v>14110</v>
      </c>
      <c r="F13" s="641">
        <v>11921</v>
      </c>
      <c r="G13" s="641">
        <v>9296</v>
      </c>
      <c r="H13" s="641">
        <v>1673</v>
      </c>
      <c r="I13" s="641">
        <v>1909</v>
      </c>
      <c r="J13" s="641">
        <v>6742</v>
      </c>
      <c r="K13" s="641">
        <v>417</v>
      </c>
      <c r="L13" s="641">
        <v>238</v>
      </c>
      <c r="M13" s="641">
        <v>785</v>
      </c>
      <c r="N13" s="303" t="s">
        <v>542</v>
      </c>
      <c r="O13" s="982" t="s">
        <v>542</v>
      </c>
      <c r="P13" s="641">
        <v>34</v>
      </c>
      <c r="Q13" s="641">
        <v>130</v>
      </c>
      <c r="R13" s="641">
        <v>126</v>
      </c>
      <c r="S13" s="641">
        <v>406</v>
      </c>
      <c r="T13" s="641">
        <v>37</v>
      </c>
      <c r="U13" s="641">
        <v>74</v>
      </c>
      <c r="V13" s="641">
        <v>52</v>
      </c>
      <c r="W13" s="641">
        <v>120</v>
      </c>
      <c r="X13" s="641">
        <v>821</v>
      </c>
      <c r="Y13" s="641">
        <v>1107</v>
      </c>
      <c r="Z13" s="641">
        <v>27</v>
      </c>
      <c r="AA13" s="641">
        <v>40</v>
      </c>
      <c r="AB13" s="303" t="s">
        <v>542</v>
      </c>
    </row>
    <row r="14" spans="1:29" s="8" customFormat="1" ht="16.5" customHeight="1" x14ac:dyDescent="0.2">
      <c r="A14" s="226" t="s">
        <v>543</v>
      </c>
      <c r="B14" s="65">
        <v>1808</v>
      </c>
      <c r="C14" s="65">
        <v>3069</v>
      </c>
      <c r="D14" s="65">
        <v>10726</v>
      </c>
      <c r="E14" s="65">
        <v>13955</v>
      </c>
      <c r="F14" s="65">
        <v>11766</v>
      </c>
      <c r="G14" s="65">
        <v>9319</v>
      </c>
      <c r="H14" s="65">
        <v>1606</v>
      </c>
      <c r="I14" s="65">
        <v>1833</v>
      </c>
      <c r="J14" s="65">
        <v>6502</v>
      </c>
      <c r="K14" s="65">
        <v>402</v>
      </c>
      <c r="L14" s="65">
        <v>233</v>
      </c>
      <c r="M14" s="65">
        <v>749</v>
      </c>
      <c r="N14" s="557" t="s">
        <v>543</v>
      </c>
      <c r="O14" s="226" t="s">
        <v>543</v>
      </c>
      <c r="P14" s="65">
        <v>34</v>
      </c>
      <c r="Q14" s="65">
        <v>112</v>
      </c>
      <c r="R14" s="65">
        <v>115</v>
      </c>
      <c r="S14" s="65">
        <v>388</v>
      </c>
      <c r="T14" s="65">
        <v>38</v>
      </c>
      <c r="U14" s="65">
        <v>75</v>
      </c>
      <c r="V14" s="65">
        <v>52</v>
      </c>
      <c r="W14" s="65">
        <v>122</v>
      </c>
      <c r="X14" s="65">
        <v>859</v>
      </c>
      <c r="Y14" s="65">
        <v>1128</v>
      </c>
      <c r="Z14" s="65">
        <v>30</v>
      </c>
      <c r="AA14" s="65">
        <v>42</v>
      </c>
      <c r="AB14" s="557" t="s">
        <v>543</v>
      </c>
    </row>
    <row r="15" spans="1:29" s="8" customFormat="1" ht="16.5" customHeight="1" x14ac:dyDescent="0.2">
      <c r="A15" s="982" t="s">
        <v>544</v>
      </c>
      <c r="B15" s="641">
        <v>1850</v>
      </c>
      <c r="C15" s="641">
        <v>3073</v>
      </c>
      <c r="D15" s="641">
        <v>11115</v>
      </c>
      <c r="E15" s="641">
        <v>14041</v>
      </c>
      <c r="F15" s="641">
        <v>12222</v>
      </c>
      <c r="G15" s="641">
        <v>9501</v>
      </c>
      <c r="H15" s="641">
        <v>1507</v>
      </c>
      <c r="I15" s="641">
        <v>1746</v>
      </c>
      <c r="J15" s="641">
        <v>6838</v>
      </c>
      <c r="K15" s="641">
        <v>410</v>
      </c>
      <c r="L15" s="641">
        <v>218</v>
      </c>
      <c r="M15" s="641">
        <v>735</v>
      </c>
      <c r="N15" s="303" t="s">
        <v>544</v>
      </c>
      <c r="O15" s="982" t="s">
        <v>544</v>
      </c>
      <c r="P15" s="641">
        <v>30</v>
      </c>
      <c r="Q15" s="641">
        <v>109</v>
      </c>
      <c r="R15" s="641">
        <v>116</v>
      </c>
      <c r="S15" s="641">
        <v>381</v>
      </c>
      <c r="T15" s="641">
        <v>38</v>
      </c>
      <c r="U15" s="641">
        <v>75</v>
      </c>
      <c r="V15" s="641">
        <v>58</v>
      </c>
      <c r="W15" s="641">
        <v>126</v>
      </c>
      <c r="X15" s="641">
        <v>800</v>
      </c>
      <c r="Y15" s="641">
        <v>1079</v>
      </c>
      <c r="Z15" s="641">
        <v>24</v>
      </c>
      <c r="AA15" s="641">
        <v>38</v>
      </c>
      <c r="AB15" s="303" t="s">
        <v>544</v>
      </c>
    </row>
    <row r="16" spans="1:29" s="8" customFormat="1" ht="16.5" customHeight="1" x14ac:dyDescent="0.2">
      <c r="A16" s="226" t="s">
        <v>545</v>
      </c>
      <c r="B16" s="65">
        <v>1832</v>
      </c>
      <c r="C16" s="65">
        <v>2971</v>
      </c>
      <c r="D16" s="65">
        <v>11521</v>
      </c>
      <c r="E16" s="65">
        <v>14030</v>
      </c>
      <c r="F16" s="65">
        <v>12837</v>
      </c>
      <c r="G16" s="65">
        <v>9745</v>
      </c>
      <c r="H16" s="65">
        <v>1253</v>
      </c>
      <c r="I16" s="65">
        <v>1586</v>
      </c>
      <c r="J16" s="65">
        <v>6484</v>
      </c>
      <c r="K16" s="65">
        <v>404</v>
      </c>
      <c r="L16" s="65">
        <v>211</v>
      </c>
      <c r="M16" s="65">
        <v>690</v>
      </c>
      <c r="N16" s="557" t="s">
        <v>545</v>
      </c>
      <c r="O16" s="226" t="s">
        <v>545</v>
      </c>
      <c r="P16" s="65">
        <v>30</v>
      </c>
      <c r="Q16" s="65">
        <v>108</v>
      </c>
      <c r="R16" s="65">
        <v>122</v>
      </c>
      <c r="S16" s="65">
        <v>382</v>
      </c>
      <c r="T16" s="65">
        <v>39</v>
      </c>
      <c r="U16" s="65">
        <v>75</v>
      </c>
      <c r="V16" s="65">
        <v>57</v>
      </c>
      <c r="W16" s="65">
        <v>126</v>
      </c>
      <c r="X16" s="65">
        <v>794</v>
      </c>
      <c r="Y16" s="65">
        <v>1008</v>
      </c>
      <c r="Z16" s="65">
        <v>78</v>
      </c>
      <c r="AA16" s="65">
        <v>38</v>
      </c>
      <c r="AB16" s="557" t="s">
        <v>545</v>
      </c>
    </row>
    <row r="17" spans="1:30" s="8" customFormat="1" ht="16.5" customHeight="1" x14ac:dyDescent="0.2">
      <c r="A17" s="982" t="s">
        <v>546</v>
      </c>
      <c r="B17" s="641">
        <v>1500</v>
      </c>
      <c r="C17" s="641">
        <v>2532</v>
      </c>
      <c r="D17" s="641">
        <v>9820</v>
      </c>
      <c r="E17" s="641">
        <v>13047</v>
      </c>
      <c r="F17" s="641">
        <v>13837</v>
      </c>
      <c r="G17" s="641">
        <v>10042</v>
      </c>
      <c r="H17" s="641">
        <v>976</v>
      </c>
      <c r="I17" s="641">
        <v>1380</v>
      </c>
      <c r="J17" s="641">
        <v>6423</v>
      </c>
      <c r="K17" s="641">
        <v>388</v>
      </c>
      <c r="L17" s="641">
        <v>191</v>
      </c>
      <c r="M17" s="641">
        <v>597</v>
      </c>
      <c r="N17" s="303" t="s">
        <v>546</v>
      </c>
      <c r="O17" s="982" t="s">
        <v>546</v>
      </c>
      <c r="P17" s="641">
        <v>18</v>
      </c>
      <c r="Q17" s="641">
        <v>60</v>
      </c>
      <c r="R17" s="641">
        <v>121</v>
      </c>
      <c r="S17" s="641">
        <v>380</v>
      </c>
      <c r="T17" s="641">
        <v>38</v>
      </c>
      <c r="U17" s="641">
        <v>78</v>
      </c>
      <c r="V17" s="641">
        <v>58</v>
      </c>
      <c r="W17" s="641">
        <v>132</v>
      </c>
      <c r="X17" s="641">
        <v>1035</v>
      </c>
      <c r="Y17" s="641">
        <v>965</v>
      </c>
      <c r="Z17" s="641">
        <v>3</v>
      </c>
      <c r="AA17" s="641">
        <v>4</v>
      </c>
      <c r="AB17" s="303" t="s">
        <v>546</v>
      </c>
    </row>
    <row r="18" spans="1:30" s="8" customFormat="1" ht="16.5" customHeight="1" x14ac:dyDescent="0.2">
      <c r="A18" s="226" t="s">
        <v>551</v>
      </c>
      <c r="B18" s="65">
        <v>1754</v>
      </c>
      <c r="C18" s="65">
        <v>2556</v>
      </c>
      <c r="D18" s="65">
        <v>10810</v>
      </c>
      <c r="E18" s="65">
        <v>13416</v>
      </c>
      <c r="F18" s="65">
        <v>13975</v>
      </c>
      <c r="G18" s="65">
        <v>10047</v>
      </c>
      <c r="H18" s="65">
        <v>735</v>
      </c>
      <c r="I18" s="65">
        <v>1184</v>
      </c>
      <c r="J18" s="65">
        <v>5511</v>
      </c>
      <c r="K18" s="65">
        <v>377</v>
      </c>
      <c r="L18" s="65">
        <v>183</v>
      </c>
      <c r="M18" s="65">
        <v>536</v>
      </c>
      <c r="N18" s="557" t="s">
        <v>551</v>
      </c>
      <c r="O18" s="981" t="s">
        <v>551</v>
      </c>
      <c r="P18" s="203">
        <v>17</v>
      </c>
      <c r="Q18" s="203">
        <v>55</v>
      </c>
      <c r="R18" s="203">
        <v>115</v>
      </c>
      <c r="S18" s="203">
        <v>333</v>
      </c>
      <c r="T18" s="203">
        <v>43</v>
      </c>
      <c r="U18" s="203">
        <v>78</v>
      </c>
      <c r="V18" s="203">
        <v>58</v>
      </c>
      <c r="W18" s="203">
        <v>130</v>
      </c>
      <c r="X18" s="204">
        <v>838</v>
      </c>
      <c r="Y18" s="204">
        <v>993</v>
      </c>
      <c r="Z18" s="203">
        <v>18</v>
      </c>
      <c r="AA18" s="203">
        <v>26</v>
      </c>
      <c r="AB18" s="239" t="s">
        <v>551</v>
      </c>
    </row>
    <row r="19" spans="1:30" s="8" customFormat="1" ht="16.5" customHeight="1" x14ac:dyDescent="0.2">
      <c r="A19" s="982" t="s">
        <v>560</v>
      </c>
      <c r="B19" s="641">
        <v>1512</v>
      </c>
      <c r="C19" s="641">
        <v>2238</v>
      </c>
      <c r="D19" s="641">
        <v>10841</v>
      </c>
      <c r="E19" s="641">
        <v>13382</v>
      </c>
      <c r="F19" s="641">
        <v>14965</v>
      </c>
      <c r="G19" s="641">
        <v>10522</v>
      </c>
      <c r="H19" s="641">
        <v>737</v>
      </c>
      <c r="I19" s="641">
        <v>988</v>
      </c>
      <c r="J19" s="641">
        <v>5770</v>
      </c>
      <c r="K19" s="641">
        <v>371</v>
      </c>
      <c r="L19" s="641">
        <v>189</v>
      </c>
      <c r="M19" s="641">
        <v>520</v>
      </c>
      <c r="N19" s="303" t="s">
        <v>560</v>
      </c>
      <c r="O19" s="982" t="s">
        <v>560</v>
      </c>
      <c r="P19" s="641">
        <v>19</v>
      </c>
      <c r="Q19" s="641">
        <v>60</v>
      </c>
      <c r="R19" s="641">
        <v>117</v>
      </c>
      <c r="S19" s="641">
        <v>340</v>
      </c>
      <c r="T19" s="641">
        <v>39</v>
      </c>
      <c r="U19" s="641">
        <v>76</v>
      </c>
      <c r="V19" s="275">
        <v>58</v>
      </c>
      <c r="W19" s="275">
        <v>129</v>
      </c>
      <c r="X19" s="641">
        <v>879</v>
      </c>
      <c r="Y19" s="641">
        <v>1034</v>
      </c>
      <c r="Z19" s="641">
        <v>18</v>
      </c>
      <c r="AA19" s="641">
        <v>25</v>
      </c>
      <c r="AB19" s="303" t="s">
        <v>560</v>
      </c>
    </row>
    <row r="20" spans="1:30" s="9" customFormat="1" ht="16.5" customHeight="1" x14ac:dyDescent="0.2">
      <c r="A20" s="981" t="s">
        <v>325</v>
      </c>
      <c r="B20" s="203">
        <v>1507</v>
      </c>
      <c r="C20" s="203">
        <v>2270</v>
      </c>
      <c r="D20" s="203">
        <v>9662</v>
      </c>
      <c r="E20" s="203">
        <v>12474</v>
      </c>
      <c r="F20" s="203">
        <v>17762</v>
      </c>
      <c r="G20" s="203">
        <v>11386</v>
      </c>
      <c r="H20" s="203">
        <v>844</v>
      </c>
      <c r="I20" s="203">
        <v>958</v>
      </c>
      <c r="J20" s="203">
        <v>4984</v>
      </c>
      <c r="K20" s="203">
        <v>320</v>
      </c>
      <c r="L20" s="204">
        <v>228</v>
      </c>
      <c r="M20" s="204">
        <v>577</v>
      </c>
      <c r="N20" s="239" t="s">
        <v>325</v>
      </c>
      <c r="O20" s="981" t="s">
        <v>325</v>
      </c>
      <c r="P20" s="203">
        <v>21</v>
      </c>
      <c r="Q20" s="203">
        <v>60</v>
      </c>
      <c r="R20" s="204">
        <v>72</v>
      </c>
      <c r="S20" s="204">
        <v>179</v>
      </c>
      <c r="T20" s="203">
        <v>40</v>
      </c>
      <c r="U20" s="203">
        <v>72</v>
      </c>
      <c r="V20" s="204">
        <v>59</v>
      </c>
      <c r="W20" s="204">
        <v>133</v>
      </c>
      <c r="X20" s="203">
        <v>832</v>
      </c>
      <c r="Y20" s="203">
        <v>1089</v>
      </c>
      <c r="Z20" s="204">
        <v>15</v>
      </c>
      <c r="AA20" s="204">
        <v>22</v>
      </c>
      <c r="AB20" s="239" t="s">
        <v>325</v>
      </c>
    </row>
    <row r="21" spans="1:30" s="9" customFormat="1" ht="16.5" customHeight="1" x14ac:dyDescent="0.2">
      <c r="A21" s="982" t="s">
        <v>85</v>
      </c>
      <c r="B21" s="641">
        <v>1895</v>
      </c>
      <c r="C21" s="641">
        <v>2633</v>
      </c>
      <c r="D21" s="641">
        <v>11613</v>
      </c>
      <c r="E21" s="641">
        <v>13585</v>
      </c>
      <c r="F21" s="641">
        <v>17809</v>
      </c>
      <c r="G21" s="641">
        <v>11654</v>
      </c>
      <c r="H21" s="641">
        <v>849</v>
      </c>
      <c r="I21" s="641">
        <v>975</v>
      </c>
      <c r="J21" s="641">
        <v>5232</v>
      </c>
      <c r="K21" s="641">
        <v>312</v>
      </c>
      <c r="L21" s="641">
        <v>228</v>
      </c>
      <c r="M21" s="641">
        <v>578</v>
      </c>
      <c r="N21" s="303" t="s">
        <v>85</v>
      </c>
      <c r="O21" s="982" t="s">
        <v>85</v>
      </c>
      <c r="P21" s="641">
        <v>18</v>
      </c>
      <c r="Q21" s="641">
        <v>54</v>
      </c>
      <c r="R21" s="641">
        <v>61</v>
      </c>
      <c r="S21" s="641">
        <v>175</v>
      </c>
      <c r="T21" s="641">
        <v>40</v>
      </c>
      <c r="U21" s="641">
        <v>74</v>
      </c>
      <c r="V21" s="641">
        <v>59</v>
      </c>
      <c r="W21" s="641">
        <v>134</v>
      </c>
      <c r="X21" s="641">
        <v>842</v>
      </c>
      <c r="Y21" s="641">
        <v>1039</v>
      </c>
      <c r="Z21" s="641">
        <v>12</v>
      </c>
      <c r="AA21" s="641">
        <v>18</v>
      </c>
      <c r="AB21" s="303" t="s">
        <v>85</v>
      </c>
    </row>
    <row r="22" spans="1:30" s="9" customFormat="1" ht="16.5" customHeight="1" x14ac:dyDescent="0.2">
      <c r="A22" s="981" t="s">
        <v>81</v>
      </c>
      <c r="B22" s="203">
        <v>1709</v>
      </c>
      <c r="C22" s="203">
        <v>2431</v>
      </c>
      <c r="D22" s="203">
        <v>12207</v>
      </c>
      <c r="E22" s="203">
        <v>13993</v>
      </c>
      <c r="F22" s="203">
        <v>18059</v>
      </c>
      <c r="G22" s="203">
        <v>11631</v>
      </c>
      <c r="H22" s="203">
        <v>901</v>
      </c>
      <c r="I22" s="203">
        <v>930</v>
      </c>
      <c r="J22" s="203">
        <v>4491</v>
      </c>
      <c r="K22" s="203">
        <v>290</v>
      </c>
      <c r="L22" s="203">
        <v>222</v>
      </c>
      <c r="M22" s="203">
        <v>608</v>
      </c>
      <c r="N22" s="239" t="s">
        <v>81</v>
      </c>
      <c r="O22" s="981" t="s">
        <v>81</v>
      </c>
      <c r="P22" s="203">
        <v>20</v>
      </c>
      <c r="Q22" s="203">
        <v>57</v>
      </c>
      <c r="R22" s="203">
        <v>71</v>
      </c>
      <c r="S22" s="203">
        <v>191</v>
      </c>
      <c r="T22" s="203">
        <v>55</v>
      </c>
      <c r="U22" s="203">
        <v>95</v>
      </c>
      <c r="V22" s="203">
        <v>68</v>
      </c>
      <c r="W22" s="203">
        <v>136</v>
      </c>
      <c r="X22" s="203">
        <v>916</v>
      </c>
      <c r="Y22" s="203">
        <v>1029</v>
      </c>
      <c r="Z22" s="203">
        <v>20</v>
      </c>
      <c r="AA22" s="203">
        <v>24</v>
      </c>
      <c r="AB22" s="239" t="s">
        <v>81</v>
      </c>
    </row>
    <row r="23" spans="1:30" s="8" customFormat="1" ht="16.5" customHeight="1" x14ac:dyDescent="0.2">
      <c r="A23" s="982" t="s">
        <v>189</v>
      </c>
      <c r="B23" s="641">
        <v>2133</v>
      </c>
      <c r="C23" s="641">
        <v>2750</v>
      </c>
      <c r="D23" s="275">
        <v>12792</v>
      </c>
      <c r="E23" s="275">
        <v>13951</v>
      </c>
      <c r="F23" s="275">
        <v>18617</v>
      </c>
      <c r="G23" s="275">
        <v>11788</v>
      </c>
      <c r="H23" s="275">
        <v>972</v>
      </c>
      <c r="I23" s="275">
        <v>923</v>
      </c>
      <c r="J23" s="275">
        <v>4671</v>
      </c>
      <c r="K23" s="275">
        <v>287</v>
      </c>
      <c r="L23" s="275">
        <v>246</v>
      </c>
      <c r="M23" s="275">
        <v>623</v>
      </c>
      <c r="N23" s="332" t="s">
        <v>189</v>
      </c>
      <c r="O23" s="304" t="s">
        <v>189</v>
      </c>
      <c r="P23" s="275">
        <v>19</v>
      </c>
      <c r="Q23" s="275">
        <v>68</v>
      </c>
      <c r="R23" s="275">
        <v>80</v>
      </c>
      <c r="S23" s="275">
        <v>205</v>
      </c>
      <c r="T23" s="275">
        <v>79</v>
      </c>
      <c r="U23" s="275">
        <v>121</v>
      </c>
      <c r="V23" s="275">
        <v>61</v>
      </c>
      <c r="W23" s="275">
        <v>140</v>
      </c>
      <c r="X23" s="275">
        <v>1511</v>
      </c>
      <c r="Y23" s="275">
        <v>1751</v>
      </c>
      <c r="Z23" s="275">
        <v>14</v>
      </c>
      <c r="AA23" s="275">
        <v>24</v>
      </c>
      <c r="AB23" s="332" t="s">
        <v>189</v>
      </c>
    </row>
    <row r="24" spans="1:30" s="8" customFormat="1" ht="16.5" customHeight="1" x14ac:dyDescent="0.2">
      <c r="A24" s="981" t="s">
        <v>696</v>
      </c>
      <c r="B24" s="203">
        <v>2332</v>
      </c>
      <c r="C24" s="203">
        <v>2812</v>
      </c>
      <c r="D24" s="236">
        <v>12798</v>
      </c>
      <c r="E24" s="236">
        <v>13789</v>
      </c>
      <c r="F24" s="236">
        <v>18759</v>
      </c>
      <c r="G24" s="236">
        <v>11886</v>
      </c>
      <c r="H24" s="236">
        <v>995</v>
      </c>
      <c r="I24" s="236">
        <v>885</v>
      </c>
      <c r="J24" s="236">
        <v>4603</v>
      </c>
      <c r="K24" s="236">
        <v>279</v>
      </c>
      <c r="L24" s="236">
        <v>262</v>
      </c>
      <c r="M24" s="236">
        <v>682</v>
      </c>
      <c r="N24" s="354" t="s">
        <v>696</v>
      </c>
      <c r="O24" s="234" t="s">
        <v>696</v>
      </c>
      <c r="P24" s="236">
        <v>26</v>
      </c>
      <c r="Q24" s="236">
        <v>91</v>
      </c>
      <c r="R24" s="236">
        <v>80</v>
      </c>
      <c r="S24" s="236">
        <v>213</v>
      </c>
      <c r="T24" s="236">
        <v>85</v>
      </c>
      <c r="U24" s="236">
        <v>126</v>
      </c>
      <c r="V24" s="236">
        <v>61</v>
      </c>
      <c r="W24" s="236">
        <v>143</v>
      </c>
      <c r="X24" s="236">
        <v>1441</v>
      </c>
      <c r="Y24" s="236">
        <v>1878</v>
      </c>
      <c r="Z24" s="236">
        <v>16</v>
      </c>
      <c r="AA24" s="236">
        <v>25</v>
      </c>
      <c r="AB24" s="354" t="s">
        <v>696</v>
      </c>
    </row>
    <row r="25" spans="1:30" s="8" customFormat="1" ht="16.5" customHeight="1" x14ac:dyDescent="0.2">
      <c r="A25" s="982" t="s">
        <v>804</v>
      </c>
      <c r="B25" s="641">
        <v>2158</v>
      </c>
      <c r="C25" s="641">
        <v>2602</v>
      </c>
      <c r="D25" s="275">
        <v>12897</v>
      </c>
      <c r="E25" s="275">
        <v>13863</v>
      </c>
      <c r="F25" s="275">
        <v>18778</v>
      </c>
      <c r="G25" s="275">
        <v>11763</v>
      </c>
      <c r="H25" s="275">
        <v>1255</v>
      </c>
      <c r="I25" s="275">
        <v>1029</v>
      </c>
      <c r="J25" s="275">
        <v>4469</v>
      </c>
      <c r="K25" s="275">
        <v>270</v>
      </c>
      <c r="L25" s="275">
        <v>294</v>
      </c>
      <c r="M25" s="275">
        <v>728</v>
      </c>
      <c r="N25" s="332" t="s">
        <v>804</v>
      </c>
      <c r="O25" s="304" t="s">
        <v>804</v>
      </c>
      <c r="P25" s="275">
        <v>25</v>
      </c>
      <c r="Q25" s="275">
        <v>87</v>
      </c>
      <c r="R25" s="275">
        <v>93</v>
      </c>
      <c r="S25" s="275">
        <v>222</v>
      </c>
      <c r="T25" s="275">
        <v>79</v>
      </c>
      <c r="U25" s="275">
        <v>119</v>
      </c>
      <c r="V25" s="275">
        <v>63</v>
      </c>
      <c r="W25" s="275">
        <v>144</v>
      </c>
      <c r="X25" s="275">
        <v>1370</v>
      </c>
      <c r="Y25" s="275">
        <v>1683</v>
      </c>
      <c r="Z25" s="275">
        <v>20</v>
      </c>
      <c r="AA25" s="275">
        <v>31</v>
      </c>
      <c r="AB25" s="332" t="s">
        <v>804</v>
      </c>
    </row>
    <row r="26" spans="1:30" s="8" customFormat="1" ht="16.5" customHeight="1" x14ac:dyDescent="0.2">
      <c r="A26" s="981" t="s">
        <v>978</v>
      </c>
      <c r="B26" s="203">
        <v>2326</v>
      </c>
      <c r="C26" s="203">
        <v>2598</v>
      </c>
      <c r="D26" s="236">
        <v>13023</v>
      </c>
      <c r="E26" s="236">
        <v>13666</v>
      </c>
      <c r="F26" s="236">
        <v>19007</v>
      </c>
      <c r="G26" s="236">
        <v>11837</v>
      </c>
      <c r="H26" s="236">
        <v>1303</v>
      </c>
      <c r="I26" s="236">
        <v>1062</v>
      </c>
      <c r="J26" s="236">
        <v>4508</v>
      </c>
      <c r="K26" s="236">
        <v>265</v>
      </c>
      <c r="L26" s="236">
        <v>296</v>
      </c>
      <c r="M26" s="236">
        <v>724</v>
      </c>
      <c r="N26" s="354" t="s">
        <v>978</v>
      </c>
      <c r="O26" s="234" t="s">
        <v>978</v>
      </c>
      <c r="P26" s="236">
        <v>32</v>
      </c>
      <c r="Q26" s="236">
        <v>97</v>
      </c>
      <c r="R26" s="236">
        <v>157</v>
      </c>
      <c r="S26" s="236">
        <v>308</v>
      </c>
      <c r="T26" s="236">
        <v>85</v>
      </c>
      <c r="U26" s="236">
        <v>124</v>
      </c>
      <c r="V26" s="236">
        <v>67</v>
      </c>
      <c r="W26" s="236">
        <v>148</v>
      </c>
      <c r="X26" s="236">
        <v>1338</v>
      </c>
      <c r="Y26" s="236">
        <v>1645</v>
      </c>
      <c r="Z26" s="236">
        <v>19</v>
      </c>
      <c r="AA26" s="236">
        <v>28</v>
      </c>
      <c r="AB26" s="354" t="s">
        <v>978</v>
      </c>
    </row>
    <row r="27" spans="1:30" s="8" customFormat="1" ht="16.5" customHeight="1" x14ac:dyDescent="0.2">
      <c r="A27" s="982" t="s">
        <v>1029</v>
      </c>
      <c r="B27" s="641">
        <v>2328</v>
      </c>
      <c r="C27" s="641">
        <v>2583</v>
      </c>
      <c r="D27" s="275">
        <v>13190</v>
      </c>
      <c r="E27" s="275">
        <v>13665</v>
      </c>
      <c r="F27" s="275">
        <v>19192</v>
      </c>
      <c r="G27" s="275">
        <v>11961</v>
      </c>
      <c r="H27" s="275">
        <v>1348</v>
      </c>
      <c r="I27" s="275">
        <v>1079</v>
      </c>
      <c r="J27" s="275">
        <v>4434</v>
      </c>
      <c r="K27" s="275">
        <v>257</v>
      </c>
      <c r="L27" s="275">
        <v>359</v>
      </c>
      <c r="M27" s="275">
        <v>803</v>
      </c>
      <c r="N27" s="303" t="s">
        <v>1029</v>
      </c>
      <c r="O27" s="982" t="s">
        <v>1029</v>
      </c>
      <c r="P27" s="275">
        <v>33</v>
      </c>
      <c r="Q27" s="275">
        <v>96</v>
      </c>
      <c r="R27" s="275">
        <v>167</v>
      </c>
      <c r="S27" s="275">
        <v>359</v>
      </c>
      <c r="T27" s="275">
        <v>94</v>
      </c>
      <c r="U27" s="275">
        <v>127</v>
      </c>
      <c r="V27" s="275">
        <v>66</v>
      </c>
      <c r="W27" s="275">
        <v>149</v>
      </c>
      <c r="X27" s="275">
        <v>1350</v>
      </c>
      <c r="Y27" s="275">
        <v>1662</v>
      </c>
      <c r="Z27" s="275">
        <v>30</v>
      </c>
      <c r="AA27" s="275">
        <v>33</v>
      </c>
      <c r="AB27" s="303" t="s">
        <v>1029</v>
      </c>
    </row>
    <row r="28" spans="1:30" s="8" customFormat="1" ht="16.5" customHeight="1" x14ac:dyDescent="0.2">
      <c r="A28" s="981" t="s">
        <v>1150</v>
      </c>
      <c r="B28" s="203">
        <v>2289</v>
      </c>
      <c r="C28" s="203">
        <v>2516</v>
      </c>
      <c r="D28" s="236">
        <v>13483</v>
      </c>
      <c r="E28" s="236">
        <v>13814</v>
      </c>
      <c r="F28" s="236">
        <v>18938</v>
      </c>
      <c r="G28" s="236">
        <v>11794</v>
      </c>
      <c r="H28" s="236">
        <v>1348</v>
      </c>
      <c r="I28" s="236">
        <v>1099</v>
      </c>
      <c r="J28" s="203">
        <v>4207</v>
      </c>
      <c r="K28" s="203">
        <v>243</v>
      </c>
      <c r="L28" s="203">
        <v>362</v>
      </c>
      <c r="M28" s="203">
        <v>787</v>
      </c>
      <c r="N28" s="239" t="s">
        <v>1150</v>
      </c>
      <c r="O28" s="981" t="s">
        <v>1150</v>
      </c>
      <c r="P28" s="203">
        <v>37</v>
      </c>
      <c r="Q28" s="203">
        <v>101</v>
      </c>
      <c r="R28" s="203">
        <v>158</v>
      </c>
      <c r="S28" s="203">
        <v>382</v>
      </c>
      <c r="T28" s="203">
        <v>88</v>
      </c>
      <c r="U28" s="203">
        <v>115</v>
      </c>
      <c r="V28" s="203">
        <v>64</v>
      </c>
      <c r="W28" s="203">
        <v>148</v>
      </c>
      <c r="X28" s="236">
        <v>1361</v>
      </c>
      <c r="Y28" s="236">
        <v>1675</v>
      </c>
      <c r="Z28" s="203">
        <v>33</v>
      </c>
      <c r="AA28" s="203">
        <v>34</v>
      </c>
      <c r="AB28" s="239" t="s">
        <v>1150</v>
      </c>
    </row>
    <row r="29" spans="1:30" s="8" customFormat="1" ht="16.5" customHeight="1" x14ac:dyDescent="0.2">
      <c r="A29" s="982" t="s">
        <v>1174</v>
      </c>
      <c r="B29" s="641">
        <v>2134</v>
      </c>
      <c r="C29" s="641">
        <v>2327</v>
      </c>
      <c r="D29" s="275">
        <v>13656</v>
      </c>
      <c r="E29" s="275">
        <v>13797</v>
      </c>
      <c r="F29" s="275">
        <v>18014</v>
      </c>
      <c r="G29" s="275">
        <v>11060</v>
      </c>
      <c r="H29" s="275">
        <v>1311</v>
      </c>
      <c r="I29" s="275">
        <v>1026</v>
      </c>
      <c r="J29" s="641">
        <v>3862</v>
      </c>
      <c r="K29" s="641">
        <v>227</v>
      </c>
      <c r="L29" s="641">
        <v>363</v>
      </c>
      <c r="M29" s="641">
        <v>831</v>
      </c>
      <c r="N29" s="303" t="s">
        <v>1174</v>
      </c>
      <c r="O29" s="982" t="s">
        <v>1174</v>
      </c>
      <c r="P29" s="641">
        <v>35</v>
      </c>
      <c r="Q29" s="641">
        <v>102</v>
      </c>
      <c r="R29" s="641">
        <v>169</v>
      </c>
      <c r="S29" s="641">
        <v>382</v>
      </c>
      <c r="T29" s="641">
        <v>91</v>
      </c>
      <c r="U29" s="641">
        <v>113</v>
      </c>
      <c r="V29" s="641">
        <v>82</v>
      </c>
      <c r="W29" s="641">
        <v>133</v>
      </c>
      <c r="X29" s="275">
        <v>1484</v>
      </c>
      <c r="Y29" s="275">
        <v>1823</v>
      </c>
      <c r="Z29" s="641">
        <v>31</v>
      </c>
      <c r="AA29" s="641">
        <v>32</v>
      </c>
      <c r="AB29" s="303" t="s">
        <v>1174</v>
      </c>
    </row>
    <row r="30" spans="1:30" s="154" customFormat="1" ht="16.5" customHeight="1" x14ac:dyDescent="0.2">
      <c r="A30" s="981" t="s">
        <v>1296</v>
      </c>
      <c r="B30" s="203">
        <v>2710</v>
      </c>
      <c r="C30" s="203">
        <v>2657</v>
      </c>
      <c r="D30" s="236">
        <v>13993</v>
      </c>
      <c r="E30" s="236">
        <v>14035</v>
      </c>
      <c r="F30" s="236">
        <v>19576</v>
      </c>
      <c r="G30" s="236">
        <v>12008</v>
      </c>
      <c r="H30" s="236">
        <v>1099</v>
      </c>
      <c r="I30" s="236">
        <v>868</v>
      </c>
      <c r="J30" s="203">
        <v>3639</v>
      </c>
      <c r="K30" s="203">
        <v>223</v>
      </c>
      <c r="L30" s="203">
        <v>352</v>
      </c>
      <c r="M30" s="203">
        <v>760</v>
      </c>
      <c r="N30" s="239" t="s">
        <v>1296</v>
      </c>
      <c r="O30" s="981" t="s">
        <v>1296</v>
      </c>
      <c r="P30" s="203">
        <v>34</v>
      </c>
      <c r="Q30" s="203">
        <v>93</v>
      </c>
      <c r="R30" s="203">
        <v>177</v>
      </c>
      <c r="S30" s="203">
        <v>386</v>
      </c>
      <c r="T30" s="203">
        <v>89</v>
      </c>
      <c r="U30" s="203">
        <v>105</v>
      </c>
      <c r="V30" s="203">
        <v>78</v>
      </c>
      <c r="W30" s="203">
        <v>133</v>
      </c>
      <c r="X30" s="236">
        <v>1601</v>
      </c>
      <c r="Y30" s="236">
        <v>1874</v>
      </c>
      <c r="Z30" s="203">
        <v>31</v>
      </c>
      <c r="AA30" s="203">
        <v>32</v>
      </c>
      <c r="AB30" s="239" t="s">
        <v>1296</v>
      </c>
    </row>
    <row r="31" spans="1:30" s="154" customFormat="1" ht="16.5" customHeight="1" x14ac:dyDescent="0.2">
      <c r="A31" s="982" t="s">
        <v>1404</v>
      </c>
      <c r="B31" s="641">
        <v>2775</v>
      </c>
      <c r="C31" s="641">
        <v>2731</v>
      </c>
      <c r="D31" s="275">
        <v>14055</v>
      </c>
      <c r="E31" s="275">
        <v>13892</v>
      </c>
      <c r="F31" s="275">
        <v>19561</v>
      </c>
      <c r="G31" s="275">
        <v>11832</v>
      </c>
      <c r="H31" s="275">
        <v>1017</v>
      </c>
      <c r="I31" s="275">
        <v>816</v>
      </c>
      <c r="J31" s="641">
        <v>3142</v>
      </c>
      <c r="K31" s="641">
        <v>200</v>
      </c>
      <c r="L31" s="641">
        <v>312</v>
      </c>
      <c r="M31" s="641">
        <v>667</v>
      </c>
      <c r="N31" s="303" t="s">
        <v>1404</v>
      </c>
      <c r="O31" s="982" t="s">
        <v>1404</v>
      </c>
      <c r="P31" s="641">
        <v>34</v>
      </c>
      <c r="Q31" s="641">
        <v>102</v>
      </c>
      <c r="R31" s="641">
        <v>175</v>
      </c>
      <c r="S31" s="641">
        <v>352</v>
      </c>
      <c r="T31" s="641">
        <v>129</v>
      </c>
      <c r="U31" s="641">
        <v>147</v>
      </c>
      <c r="V31" s="641">
        <v>91</v>
      </c>
      <c r="W31" s="641">
        <v>133</v>
      </c>
      <c r="X31" s="275">
        <v>1544</v>
      </c>
      <c r="Y31" s="275">
        <v>1852</v>
      </c>
      <c r="Z31" s="641">
        <v>100</v>
      </c>
      <c r="AA31" s="641">
        <v>31</v>
      </c>
      <c r="AB31" s="303" t="s">
        <v>1404</v>
      </c>
    </row>
    <row r="32" spans="1:30" s="154" customFormat="1" ht="16.5" customHeight="1" x14ac:dyDescent="0.2">
      <c r="A32" s="981" t="s">
        <v>1484</v>
      </c>
      <c r="B32" s="203">
        <v>2755</v>
      </c>
      <c r="C32" s="203">
        <v>2706</v>
      </c>
      <c r="D32" s="236">
        <v>14203</v>
      </c>
      <c r="E32" s="236">
        <v>13739</v>
      </c>
      <c r="F32" s="236">
        <v>19646</v>
      </c>
      <c r="G32" s="236">
        <v>11767</v>
      </c>
      <c r="H32" s="236">
        <v>1029</v>
      </c>
      <c r="I32" s="236">
        <v>821</v>
      </c>
      <c r="J32" s="203">
        <v>3683</v>
      </c>
      <c r="K32" s="203">
        <v>213</v>
      </c>
      <c r="L32" s="203">
        <v>358</v>
      </c>
      <c r="M32" s="203">
        <v>763</v>
      </c>
      <c r="N32" s="239" t="s">
        <v>1484</v>
      </c>
      <c r="O32" s="981" t="s">
        <v>1484</v>
      </c>
      <c r="P32" s="203">
        <v>37</v>
      </c>
      <c r="Q32" s="203">
        <v>109</v>
      </c>
      <c r="R32" s="203">
        <v>177</v>
      </c>
      <c r="S32" s="203">
        <v>349</v>
      </c>
      <c r="T32" s="203">
        <v>86</v>
      </c>
      <c r="U32" s="203">
        <v>100</v>
      </c>
      <c r="V32" s="203">
        <v>90</v>
      </c>
      <c r="W32" s="203">
        <v>147</v>
      </c>
      <c r="X32" s="236">
        <v>1448</v>
      </c>
      <c r="Y32" s="236">
        <v>1679</v>
      </c>
      <c r="Z32" s="203">
        <v>98</v>
      </c>
      <c r="AA32" s="203">
        <v>30</v>
      </c>
      <c r="AB32" s="239" t="s">
        <v>1484</v>
      </c>
      <c r="AD32" s="724"/>
    </row>
    <row r="33" spans="1:30" s="154" customFormat="1" ht="16.5" customHeight="1" x14ac:dyDescent="0.2">
      <c r="A33" s="985" t="s">
        <v>1536</v>
      </c>
      <c r="B33" s="641">
        <v>3285</v>
      </c>
      <c r="C33" s="641">
        <v>3225</v>
      </c>
      <c r="D33" s="275">
        <v>14438</v>
      </c>
      <c r="E33" s="275">
        <v>13854</v>
      </c>
      <c r="F33" s="275">
        <v>19885</v>
      </c>
      <c r="G33" s="275">
        <v>11828</v>
      </c>
      <c r="H33" s="275">
        <v>1085</v>
      </c>
      <c r="I33" s="275">
        <v>813</v>
      </c>
      <c r="J33" s="641">
        <v>3333</v>
      </c>
      <c r="K33" s="641">
        <v>192</v>
      </c>
      <c r="L33" s="641">
        <v>397</v>
      </c>
      <c r="M33" s="641">
        <v>814</v>
      </c>
      <c r="N33" s="303" t="s">
        <v>1536</v>
      </c>
      <c r="O33" s="985" t="s">
        <v>1536</v>
      </c>
      <c r="P33" s="641">
        <v>41</v>
      </c>
      <c r="Q33" s="641">
        <v>109</v>
      </c>
      <c r="R33" s="641">
        <v>186</v>
      </c>
      <c r="S33" s="641">
        <v>361</v>
      </c>
      <c r="T33" s="641">
        <v>89</v>
      </c>
      <c r="U33" s="641">
        <v>100</v>
      </c>
      <c r="V33" s="641">
        <v>90</v>
      </c>
      <c r="W33" s="641">
        <v>136</v>
      </c>
      <c r="X33" s="275">
        <v>1391</v>
      </c>
      <c r="Y33" s="275">
        <v>1686</v>
      </c>
      <c r="Z33" s="641">
        <v>72</v>
      </c>
      <c r="AA33" s="641">
        <v>31</v>
      </c>
      <c r="AB33" s="303" t="s">
        <v>1536</v>
      </c>
      <c r="AC33" s="724"/>
    </row>
    <row r="34" spans="1:30" s="154" customFormat="1" ht="16.5" customHeight="1" x14ac:dyDescent="0.2">
      <c r="A34" s="1205" t="s">
        <v>1817</v>
      </c>
      <c r="B34" s="203">
        <v>3001</v>
      </c>
      <c r="C34" s="203">
        <v>2864</v>
      </c>
      <c r="D34" s="236">
        <v>14958</v>
      </c>
      <c r="E34" s="236">
        <v>14132</v>
      </c>
      <c r="F34" s="236">
        <v>20186</v>
      </c>
      <c r="G34" s="236">
        <v>11896</v>
      </c>
      <c r="H34" s="236">
        <v>1086</v>
      </c>
      <c r="I34" s="236">
        <v>778</v>
      </c>
      <c r="J34" s="203">
        <v>3087</v>
      </c>
      <c r="K34" s="203">
        <v>179</v>
      </c>
      <c r="L34" s="203">
        <v>410</v>
      </c>
      <c r="M34" s="203">
        <v>817</v>
      </c>
      <c r="N34" s="239" t="s">
        <v>1817</v>
      </c>
      <c r="O34" s="1205" t="s">
        <v>1817</v>
      </c>
      <c r="P34" s="203">
        <v>42</v>
      </c>
      <c r="Q34" s="203">
        <v>114</v>
      </c>
      <c r="R34" s="203">
        <v>191</v>
      </c>
      <c r="S34" s="203">
        <v>357</v>
      </c>
      <c r="T34" s="203">
        <v>92</v>
      </c>
      <c r="U34" s="203">
        <v>100</v>
      </c>
      <c r="V34" s="203">
        <v>98</v>
      </c>
      <c r="W34" s="203">
        <v>140</v>
      </c>
      <c r="X34" s="236">
        <v>1518</v>
      </c>
      <c r="Y34" s="236">
        <v>1783</v>
      </c>
      <c r="Z34" s="203">
        <v>71</v>
      </c>
      <c r="AA34" s="203">
        <v>30</v>
      </c>
      <c r="AB34" s="239" t="s">
        <v>1817</v>
      </c>
      <c r="AC34" s="724"/>
    </row>
    <row r="35" spans="1:30" s="154" customFormat="1" ht="16.5" customHeight="1" x14ac:dyDescent="0.2">
      <c r="A35" s="1288" t="s">
        <v>2066</v>
      </c>
      <c r="B35" s="641">
        <v>2901</v>
      </c>
      <c r="C35" s="641">
        <v>2622</v>
      </c>
      <c r="D35" s="275">
        <v>15426</v>
      </c>
      <c r="E35" s="275">
        <v>14143</v>
      </c>
      <c r="F35" s="275">
        <v>20768</v>
      </c>
      <c r="G35" s="275">
        <v>11989</v>
      </c>
      <c r="H35" s="275">
        <v>1170</v>
      </c>
      <c r="I35" s="275">
        <v>783</v>
      </c>
      <c r="J35" s="641">
        <v>2983</v>
      </c>
      <c r="K35" s="641">
        <v>172</v>
      </c>
      <c r="L35" s="641">
        <v>547</v>
      </c>
      <c r="M35" s="641">
        <v>947</v>
      </c>
      <c r="N35" s="303" t="s">
        <v>2066</v>
      </c>
      <c r="O35" s="1288" t="s">
        <v>2066</v>
      </c>
      <c r="P35" s="641">
        <v>46</v>
      </c>
      <c r="Q35" s="641">
        <v>113</v>
      </c>
      <c r="R35" s="641">
        <v>197</v>
      </c>
      <c r="S35" s="641">
        <v>334</v>
      </c>
      <c r="T35" s="641">
        <v>87</v>
      </c>
      <c r="U35" s="641">
        <v>93</v>
      </c>
      <c r="V35" s="641">
        <v>93</v>
      </c>
      <c r="W35" s="641">
        <v>141</v>
      </c>
      <c r="X35" s="275">
        <v>1522</v>
      </c>
      <c r="Y35" s="275">
        <v>1804</v>
      </c>
      <c r="Z35" s="641">
        <v>66</v>
      </c>
      <c r="AA35" s="641">
        <v>29</v>
      </c>
      <c r="AB35" s="303" t="s">
        <v>2066</v>
      </c>
      <c r="AC35" s="724"/>
    </row>
    <row r="36" spans="1:30" s="154" customFormat="1" ht="16.5" customHeight="1" x14ac:dyDescent="0.2">
      <c r="A36" s="1548" t="s">
        <v>2206</v>
      </c>
      <c r="B36" s="203">
        <v>2973</v>
      </c>
      <c r="C36" s="203">
        <v>2557</v>
      </c>
      <c r="D36" s="236">
        <v>16656</v>
      </c>
      <c r="E36" s="236">
        <v>14210</v>
      </c>
      <c r="F36" s="236">
        <v>21068</v>
      </c>
      <c r="G36" s="236">
        <v>12053</v>
      </c>
      <c r="H36" s="236">
        <v>1172</v>
      </c>
      <c r="I36" s="236">
        <v>770</v>
      </c>
      <c r="J36" s="203">
        <v>2934</v>
      </c>
      <c r="K36" s="203">
        <v>167</v>
      </c>
      <c r="L36" s="203">
        <v>638</v>
      </c>
      <c r="M36" s="203">
        <v>1144</v>
      </c>
      <c r="N36" s="239" t="s">
        <v>2206</v>
      </c>
      <c r="O36" s="1548" t="s">
        <v>2206</v>
      </c>
      <c r="P36" s="203">
        <v>45</v>
      </c>
      <c r="Q36" s="203">
        <v>121</v>
      </c>
      <c r="R36" s="203">
        <v>185</v>
      </c>
      <c r="S36" s="203">
        <v>309</v>
      </c>
      <c r="T36" s="203">
        <v>98</v>
      </c>
      <c r="U36" s="203">
        <v>101</v>
      </c>
      <c r="V36" s="203">
        <v>101</v>
      </c>
      <c r="W36" s="203">
        <v>145</v>
      </c>
      <c r="X36" s="236">
        <v>1725</v>
      </c>
      <c r="Y36" s="236">
        <v>1788</v>
      </c>
      <c r="Z36" s="203">
        <v>67</v>
      </c>
      <c r="AA36" s="203">
        <v>29</v>
      </c>
      <c r="AB36" s="239" t="s">
        <v>2206</v>
      </c>
      <c r="AC36" s="724"/>
    </row>
    <row r="37" spans="1:30" ht="12.75" customHeight="1" thickBot="1" x14ac:dyDescent="0.25">
      <c r="A37" s="844" t="s">
        <v>2850</v>
      </c>
      <c r="B37" s="1525">
        <v>2794</v>
      </c>
      <c r="C37" s="1525">
        <v>2370</v>
      </c>
      <c r="D37" s="706">
        <v>16514</v>
      </c>
      <c r="E37" s="706">
        <v>13867</v>
      </c>
      <c r="F37" s="706">
        <v>21322</v>
      </c>
      <c r="G37" s="706">
        <v>12081</v>
      </c>
      <c r="H37" s="706">
        <v>1041</v>
      </c>
      <c r="I37" s="706">
        <v>694</v>
      </c>
      <c r="J37" s="1525">
        <v>2923</v>
      </c>
      <c r="K37" s="1525">
        <v>165</v>
      </c>
      <c r="L37" s="1525">
        <v>644</v>
      </c>
      <c r="M37" s="1525">
        <v>1126</v>
      </c>
      <c r="N37" s="1526" t="s">
        <v>2850</v>
      </c>
      <c r="O37" s="844" t="s">
        <v>2850</v>
      </c>
      <c r="P37" s="1525">
        <v>138</v>
      </c>
      <c r="Q37" s="1525">
        <v>311</v>
      </c>
      <c r="R37" s="1525">
        <v>168</v>
      </c>
      <c r="S37" s="1525">
        <v>299</v>
      </c>
      <c r="T37" s="1525">
        <v>104</v>
      </c>
      <c r="U37" s="1525">
        <v>107</v>
      </c>
      <c r="V37" s="1525">
        <v>91</v>
      </c>
      <c r="W37" s="1525">
        <v>148</v>
      </c>
      <c r="X37" s="706">
        <v>1612</v>
      </c>
      <c r="Y37" s="706">
        <v>1715</v>
      </c>
      <c r="Z37" s="1525">
        <v>72</v>
      </c>
      <c r="AA37" s="1525">
        <v>27</v>
      </c>
      <c r="AB37" s="1526" t="s">
        <v>2850</v>
      </c>
      <c r="AD37" s="811"/>
    </row>
    <row r="38" spans="1:30" x14ac:dyDescent="0.2">
      <c r="A38" s="2641" t="s">
        <v>1210</v>
      </c>
      <c r="B38" s="2641"/>
      <c r="C38" s="2641"/>
      <c r="D38" s="2641"/>
      <c r="E38" s="2641"/>
      <c r="F38" s="2642"/>
      <c r="G38" s="2642"/>
      <c r="H38" s="2642" t="s">
        <v>1780</v>
      </c>
      <c r="I38" s="2642"/>
      <c r="J38" s="2642"/>
      <c r="K38" s="2642"/>
      <c r="L38" s="2642"/>
      <c r="M38" s="2642"/>
      <c r="O38" s="2640" t="s">
        <v>1211</v>
      </c>
      <c r="P38" s="2640"/>
      <c r="Q38" s="2640"/>
      <c r="R38" s="2640"/>
      <c r="S38" s="2640"/>
      <c r="T38" s="2640"/>
      <c r="U38" s="2640"/>
      <c r="V38" s="2640" t="s">
        <v>1780</v>
      </c>
      <c r="W38" s="2640"/>
      <c r="X38" s="2640"/>
      <c r="Y38" s="2640"/>
      <c r="Z38" s="2640"/>
      <c r="AA38" s="2640"/>
    </row>
    <row r="39" spans="1:30" ht="12.75" hidden="1" customHeight="1" x14ac:dyDescent="0.2">
      <c r="A39" s="225"/>
      <c r="B39" s="7" t="s">
        <v>1540</v>
      </c>
      <c r="C39" s="7"/>
      <c r="E39" s="987"/>
      <c r="F39" s="811"/>
      <c r="H39" s="811"/>
      <c r="R39" s="811"/>
      <c r="S39" s="811"/>
      <c r="T39" s="811"/>
      <c r="U39" s="896"/>
      <c r="W39" s="811"/>
    </row>
    <row r="40" spans="1:30" ht="12.75" hidden="1" customHeight="1" x14ac:dyDescent="0.2"/>
    <row r="41" spans="1:30" ht="12.75" hidden="1" customHeight="1" x14ac:dyDescent="0.2">
      <c r="X41" s="2">
        <v>7501011</v>
      </c>
    </row>
    <row r="42" spans="1:30" ht="12.75" hidden="1" customHeight="1" x14ac:dyDescent="0.2">
      <c r="X42" s="2">
        <v>7558934</v>
      </c>
    </row>
    <row r="43" spans="1:30" ht="12.75" hidden="1" customHeight="1" x14ac:dyDescent="0.2"/>
    <row r="44" spans="1:30" ht="12.75" hidden="1" customHeight="1" x14ac:dyDescent="0.2"/>
    <row r="45" spans="1:30" ht="12.75" hidden="1" customHeight="1" x14ac:dyDescent="0.2"/>
    <row r="46" spans="1:30" ht="12.75" hidden="1" customHeight="1" x14ac:dyDescent="0.2"/>
    <row r="48" spans="1:30" x14ac:dyDescent="0.2">
      <c r="B48" s="50"/>
      <c r="F48" s="811"/>
      <c r="G48" s="811"/>
      <c r="P48" s="811"/>
      <c r="Q48" s="811"/>
      <c r="R48" s="811"/>
      <c r="S48" s="811"/>
      <c r="T48" s="811"/>
      <c r="U48" s="811"/>
      <c r="V48" s="811"/>
      <c r="W48" s="811"/>
      <c r="AA48" s="811"/>
      <c r="AB48" s="811"/>
    </row>
    <row r="49" spans="3:28" x14ac:dyDescent="0.2">
      <c r="F49" s="811"/>
      <c r="H49" s="811"/>
      <c r="I49" s="811"/>
      <c r="K49" s="811"/>
      <c r="M49" s="811"/>
      <c r="P49" s="811"/>
      <c r="Q49" s="811"/>
      <c r="T49" s="811"/>
      <c r="W49" s="811"/>
      <c r="Y49" s="811"/>
    </row>
    <row r="50" spans="3:28" x14ac:dyDescent="0.2">
      <c r="C50" s="811"/>
      <c r="E50" s="811"/>
    </row>
    <row r="52" spans="3:28" x14ac:dyDescent="0.2">
      <c r="AB52" s="811"/>
    </row>
  </sheetData>
  <customSheetViews>
    <customSheetView guid="{A374FC54-96E3-45F0-9C12-8450400C12DF}" scale="140" hiddenRows="1">
      <pane xSplit="1" ySplit="6" topLeftCell="T28" activePane="bottomRight" state="frozen"/>
      <selection pane="bottomRight" activeCell="AA36" sqref="AA36"/>
      <pageMargins left="0.62992125984252001" right="0.511811023622047" top="0.511811023622047" bottom="0.511811023622047" header="0" footer="0.74803149606299202"/>
      <pageSetup paperSize="132" firstPageNumber="36" orientation="portrait" useFirstPageNumber="1" r:id="rId1"/>
      <headerFooter alignWithMargins="0">
        <oddFooter>&amp;C&amp;"Times New Roman,Regular"&amp;8&amp;P</oddFooter>
      </headerFooter>
    </customSheetView>
  </customSheetViews>
  <mergeCells count="52">
    <mergeCell ref="V38:AA38"/>
    <mergeCell ref="A38:E38"/>
    <mergeCell ref="F38:G38"/>
    <mergeCell ref="H38:J38"/>
    <mergeCell ref="K38:M38"/>
    <mergeCell ref="O38:U38"/>
    <mergeCell ref="I4:I5"/>
    <mergeCell ref="X4:X5"/>
    <mergeCell ref="Y4:Y5"/>
    <mergeCell ref="Z4:Z5"/>
    <mergeCell ref="V4:V5"/>
    <mergeCell ref="R4:R5"/>
    <mergeCell ref="S4:S5"/>
    <mergeCell ref="T4:T5"/>
    <mergeCell ref="U4:U5"/>
    <mergeCell ref="K4:K5"/>
    <mergeCell ref="L4:L5"/>
    <mergeCell ref="M4:M5"/>
    <mergeCell ref="P4:P5"/>
    <mergeCell ref="J4:J5"/>
    <mergeCell ref="AA1:AB1"/>
    <mergeCell ref="O1:U1"/>
    <mergeCell ref="V1:Y1"/>
    <mergeCell ref="AB3:AB5"/>
    <mergeCell ref="T3:U3"/>
    <mergeCell ref="V3:W3"/>
    <mergeCell ref="X3:Y3"/>
    <mergeCell ref="Z3:AA3"/>
    <mergeCell ref="W4:W5"/>
    <mergeCell ref="H1:K1"/>
    <mergeCell ref="AA4:AA5"/>
    <mergeCell ref="Q4:Q5"/>
    <mergeCell ref="B3:C3"/>
    <mergeCell ref="D3:E3"/>
    <mergeCell ref="H3:I3"/>
    <mergeCell ref="J3:K3"/>
    <mergeCell ref="M1:N1"/>
    <mergeCell ref="A1:G1"/>
    <mergeCell ref="F3:G3"/>
    <mergeCell ref="N3:N5"/>
    <mergeCell ref="L3:M3"/>
    <mergeCell ref="R3:S3"/>
    <mergeCell ref="O3:O5"/>
    <mergeCell ref="A3:A5"/>
    <mergeCell ref="P3:Q3"/>
    <mergeCell ref="B4:B5"/>
    <mergeCell ref="H4:H5"/>
    <mergeCell ref="C4:C5"/>
    <mergeCell ref="D4:D5"/>
    <mergeCell ref="E4:E5"/>
    <mergeCell ref="F4:F5"/>
    <mergeCell ref="G4:G5"/>
  </mergeCells>
  <phoneticPr fontId="5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136"/>
  <sheetViews>
    <sheetView zoomScale="160" zoomScaleNormal="160" zoomScaleSheetLayoutView="200" workbookViewId="0">
      <pane xSplit="2" ySplit="5" topLeftCell="C117" activePane="bottomRight" state="frozen"/>
      <selection pane="topRight" activeCell="C1" sqref="C1"/>
      <selection pane="bottomLeft" activeCell="A6" sqref="A6"/>
      <selection pane="bottomRight" activeCell="B124" sqref="B124"/>
    </sheetView>
  </sheetViews>
  <sheetFormatPr defaultColWidth="5.85546875" defaultRowHeight="9" x14ac:dyDescent="0.15"/>
  <cols>
    <col min="1" max="2" width="7" style="208" customWidth="1"/>
    <col min="3" max="3" width="8.5703125" style="208" customWidth="1"/>
    <col min="4" max="4" width="6.140625" style="208" customWidth="1"/>
    <col min="5" max="5" width="6.85546875" style="208" customWidth="1"/>
    <col min="6" max="6" width="8.85546875" style="208" bestFit="1" customWidth="1"/>
    <col min="7" max="7" width="7.42578125" style="208" customWidth="1"/>
    <col min="8" max="8" width="7.5703125" style="208" bestFit="1" customWidth="1"/>
    <col min="9" max="9" width="6.5703125" style="208" customWidth="1"/>
    <col min="10" max="10" width="6.85546875" style="208" customWidth="1"/>
    <col min="11" max="11" width="7.5703125" style="208" customWidth="1"/>
    <col min="12" max="12" width="8.5703125" style="208" bestFit="1" customWidth="1"/>
    <col min="13" max="18" width="5.85546875" style="208"/>
    <col min="19" max="19" width="6.140625" style="208" bestFit="1" customWidth="1"/>
    <col min="20" max="16384" width="5.85546875" style="208"/>
  </cols>
  <sheetData>
    <row r="1" spans="1:12" s="155" customFormat="1" ht="14.25" customHeight="1" x14ac:dyDescent="0.25">
      <c r="A1" s="2644" t="s">
        <v>2174</v>
      </c>
      <c r="B1" s="2644"/>
      <c r="C1" s="2644"/>
      <c r="D1" s="2644"/>
      <c r="E1" s="2644"/>
      <c r="F1" s="2644"/>
      <c r="G1" s="2644"/>
      <c r="H1" s="2644"/>
      <c r="I1" s="2644"/>
      <c r="J1" s="2644"/>
      <c r="K1" s="2645" t="s">
        <v>2165</v>
      </c>
      <c r="L1" s="2645"/>
    </row>
    <row r="2" spans="1:12" s="157" customFormat="1" ht="12.75" customHeight="1" x14ac:dyDescent="0.2">
      <c r="A2" s="1382"/>
      <c r="B2" s="1382"/>
      <c r="C2" s="1382"/>
      <c r="D2" s="2648" t="s">
        <v>2173</v>
      </c>
      <c r="E2" s="2648"/>
      <c r="F2" s="2648"/>
      <c r="G2" s="1486"/>
      <c r="H2" s="2646"/>
      <c r="I2" s="2646"/>
      <c r="J2" s="2646"/>
    </row>
    <row r="3" spans="1:12" s="159" customFormat="1" ht="26.25" customHeight="1" x14ac:dyDescent="0.2">
      <c r="A3" s="2647" t="s">
        <v>474</v>
      </c>
      <c r="B3" s="2647" t="s">
        <v>3067</v>
      </c>
      <c r="C3" s="1728" t="s">
        <v>565</v>
      </c>
      <c r="D3" s="1728" t="s">
        <v>566</v>
      </c>
      <c r="E3" s="1723" t="s">
        <v>489</v>
      </c>
      <c r="F3" s="1723" t="s">
        <v>490</v>
      </c>
      <c r="G3" s="1728" t="s">
        <v>240</v>
      </c>
      <c r="H3" s="1728" t="s">
        <v>239</v>
      </c>
      <c r="I3" s="1723" t="s">
        <v>577</v>
      </c>
      <c r="J3" s="1723" t="s">
        <v>567</v>
      </c>
      <c r="K3" s="1728" t="s">
        <v>2129</v>
      </c>
      <c r="L3" s="1723" t="s">
        <v>492</v>
      </c>
    </row>
    <row r="4" spans="1:12" s="159" customFormat="1" ht="25.5" customHeight="1" x14ac:dyDescent="0.2">
      <c r="A4" s="2647"/>
      <c r="B4" s="2647"/>
      <c r="C4" s="1728" t="s">
        <v>903</v>
      </c>
      <c r="D4" s="1728" t="s">
        <v>902</v>
      </c>
      <c r="E4" s="1728" t="s">
        <v>904</v>
      </c>
      <c r="F4" s="1728" t="s">
        <v>905</v>
      </c>
      <c r="G4" s="1728" t="s">
        <v>906</v>
      </c>
      <c r="H4" s="1728" t="s">
        <v>908</v>
      </c>
      <c r="I4" s="1728" t="s">
        <v>906</v>
      </c>
      <c r="J4" s="1728" t="s">
        <v>906</v>
      </c>
      <c r="K4" s="1729" t="s">
        <v>228</v>
      </c>
      <c r="L4" s="1728" t="s">
        <v>907</v>
      </c>
    </row>
    <row r="5" spans="1:12" s="159" customFormat="1" ht="25.5" customHeight="1" x14ac:dyDescent="0.2">
      <c r="A5" s="1723"/>
      <c r="B5" s="1723"/>
      <c r="C5" s="1728">
        <v>1</v>
      </c>
      <c r="D5" s="1728">
        <v>2</v>
      </c>
      <c r="E5" s="1728">
        <v>3</v>
      </c>
      <c r="F5" s="1728">
        <v>4</v>
      </c>
      <c r="G5" s="1728">
        <v>5</v>
      </c>
      <c r="H5" s="1728">
        <v>6</v>
      </c>
      <c r="I5" s="1728">
        <v>7</v>
      </c>
      <c r="J5" s="1728">
        <v>8</v>
      </c>
      <c r="K5" s="1729">
        <v>9</v>
      </c>
      <c r="L5" s="1728">
        <v>10</v>
      </c>
    </row>
    <row r="6" spans="1:12" s="154" customFormat="1" ht="11.45" customHeight="1" x14ac:dyDescent="0.2">
      <c r="A6" s="153" t="s">
        <v>81</v>
      </c>
      <c r="B6" s="153"/>
      <c r="C6" s="134">
        <v>1006.35</v>
      </c>
      <c r="D6" s="24">
        <v>52975</v>
      </c>
      <c r="E6" s="24">
        <v>18676</v>
      </c>
      <c r="F6" s="24">
        <v>236790</v>
      </c>
      <c r="G6" s="24">
        <v>76918</v>
      </c>
      <c r="H6" s="236">
        <v>156528</v>
      </c>
      <c r="I6" s="236">
        <v>62203</v>
      </c>
      <c r="J6" s="236">
        <v>1138644</v>
      </c>
      <c r="K6" s="236">
        <v>2021</v>
      </c>
      <c r="L6" s="236">
        <v>13330</v>
      </c>
    </row>
    <row r="7" spans="1:12" s="153" customFormat="1" ht="11.45" customHeight="1" x14ac:dyDescent="0.2">
      <c r="A7" s="285" t="s">
        <v>189</v>
      </c>
      <c r="B7" s="285"/>
      <c r="C7" s="282">
        <v>1030</v>
      </c>
      <c r="D7" s="282">
        <v>56181</v>
      </c>
      <c r="E7" s="282">
        <v>20241</v>
      </c>
      <c r="F7" s="282">
        <v>234510</v>
      </c>
      <c r="G7" s="282">
        <v>76970</v>
      </c>
      <c r="H7" s="277">
        <v>154384</v>
      </c>
      <c r="I7" s="277">
        <v>100963</v>
      </c>
      <c r="J7" s="277">
        <v>1011941</v>
      </c>
      <c r="K7" s="277">
        <v>1898</v>
      </c>
      <c r="L7" s="277">
        <v>14143</v>
      </c>
    </row>
    <row r="8" spans="1:12" s="153" customFormat="1" ht="11.45" customHeight="1" x14ac:dyDescent="0.2">
      <c r="A8" s="153" t="s">
        <v>696</v>
      </c>
      <c r="C8" s="134">
        <v>955.09444444444443</v>
      </c>
      <c r="D8" s="134">
        <v>56546</v>
      </c>
      <c r="E8" s="134">
        <v>20740</v>
      </c>
      <c r="F8" s="134">
        <v>315050</v>
      </c>
      <c r="G8" s="134">
        <v>113765</v>
      </c>
      <c r="H8" s="356">
        <v>162407</v>
      </c>
      <c r="I8" s="356">
        <v>63309</v>
      </c>
      <c r="J8" s="356">
        <v>1036947</v>
      </c>
      <c r="K8" s="356">
        <v>1442</v>
      </c>
      <c r="L8" s="356">
        <v>18148</v>
      </c>
    </row>
    <row r="9" spans="1:12" s="153" customFormat="1" ht="11.45" customHeight="1" x14ac:dyDescent="0.2">
      <c r="A9" s="285" t="s">
        <v>804</v>
      </c>
      <c r="B9" s="285"/>
      <c r="C9" s="282">
        <v>970.12777777777774</v>
      </c>
      <c r="D9" s="282">
        <v>56949</v>
      </c>
      <c r="E9" s="282">
        <v>17774</v>
      </c>
      <c r="F9" s="282">
        <v>262620</v>
      </c>
      <c r="G9" s="282">
        <v>313265</v>
      </c>
      <c r="H9" s="277">
        <v>194048</v>
      </c>
      <c r="I9" s="277">
        <v>107133</v>
      </c>
      <c r="J9" s="277">
        <v>1074791</v>
      </c>
      <c r="K9" s="277">
        <v>2364</v>
      </c>
      <c r="L9" s="277">
        <v>20989</v>
      </c>
    </row>
    <row r="10" spans="1:12" s="153" customFormat="1" ht="11.45" customHeight="1" x14ac:dyDescent="0.2">
      <c r="A10" s="153" t="s">
        <v>978</v>
      </c>
      <c r="C10" s="134">
        <v>974.33888888888885</v>
      </c>
      <c r="D10" s="134">
        <v>57386</v>
      </c>
      <c r="E10" s="134">
        <v>13098</v>
      </c>
      <c r="F10" s="134">
        <v>283130</v>
      </c>
      <c r="G10" s="134">
        <v>352115</v>
      </c>
      <c r="H10" s="356">
        <v>209106</v>
      </c>
      <c r="I10" s="356">
        <v>128268</v>
      </c>
      <c r="J10" s="356">
        <v>976691</v>
      </c>
      <c r="K10" s="356">
        <v>2009</v>
      </c>
      <c r="L10" s="356">
        <v>20813</v>
      </c>
    </row>
    <row r="11" spans="1:12" s="153" customFormat="1" ht="11.45" customHeight="1" x14ac:dyDescent="0.2">
      <c r="A11" s="285" t="s">
        <v>1029</v>
      </c>
      <c r="B11" s="285"/>
      <c r="C11" s="277">
        <v>780.2166666666667</v>
      </c>
      <c r="D11" s="277">
        <v>44692</v>
      </c>
      <c r="E11" s="277">
        <v>12660</v>
      </c>
      <c r="F11" s="277">
        <v>264850</v>
      </c>
      <c r="G11" s="277">
        <v>609045</v>
      </c>
      <c r="H11" s="277">
        <v>298939</v>
      </c>
      <c r="I11" s="277">
        <v>77450</v>
      </c>
      <c r="J11" s="277">
        <v>1028157</v>
      </c>
      <c r="K11" s="277">
        <v>1529</v>
      </c>
      <c r="L11" s="277">
        <v>18935</v>
      </c>
    </row>
    <row r="12" spans="1:12" s="153" customFormat="1" ht="11.45" customHeight="1" x14ac:dyDescent="0.2">
      <c r="A12" s="153" t="s">
        <v>1150</v>
      </c>
      <c r="C12" s="356">
        <v>892</v>
      </c>
      <c r="D12" s="356">
        <v>47444</v>
      </c>
      <c r="E12" s="356">
        <v>10577</v>
      </c>
      <c r="F12" s="356">
        <v>224210</v>
      </c>
      <c r="G12" s="356">
        <v>728260</v>
      </c>
      <c r="H12" s="356">
        <v>278952</v>
      </c>
      <c r="I12" s="356">
        <v>58219.3</v>
      </c>
      <c r="J12" s="356">
        <v>1010446</v>
      </c>
      <c r="K12" s="356">
        <v>1363</v>
      </c>
      <c r="L12" s="356">
        <v>19506</v>
      </c>
    </row>
    <row r="13" spans="1:12" s="153" customFormat="1" ht="11.45" customHeight="1" x14ac:dyDescent="0.2">
      <c r="A13" s="285" t="s">
        <v>1174</v>
      </c>
      <c r="B13" s="285"/>
      <c r="C13" s="277">
        <v>898</v>
      </c>
      <c r="D13" s="277">
        <v>47060</v>
      </c>
      <c r="E13" s="277">
        <v>6777</v>
      </c>
      <c r="F13" s="277">
        <v>175730</v>
      </c>
      <c r="G13" s="277">
        <v>657966</v>
      </c>
      <c r="H13" s="277">
        <v>348931</v>
      </c>
      <c r="I13" s="277">
        <v>59984.55</v>
      </c>
      <c r="J13" s="277">
        <v>1089418.05</v>
      </c>
      <c r="K13" s="277">
        <v>1333</v>
      </c>
      <c r="L13" s="277">
        <v>22827</v>
      </c>
    </row>
    <row r="14" spans="1:12" s="153" customFormat="1" ht="11.45" customHeight="1" x14ac:dyDescent="0.2">
      <c r="A14" s="153" t="s">
        <v>1296</v>
      </c>
      <c r="C14" s="356">
        <v>932</v>
      </c>
      <c r="D14" s="356">
        <v>42447</v>
      </c>
      <c r="E14" s="356">
        <v>3182</v>
      </c>
      <c r="F14" s="356">
        <v>156600</v>
      </c>
      <c r="G14" s="356">
        <v>1001358</v>
      </c>
      <c r="H14" s="356">
        <v>408516</v>
      </c>
      <c r="I14" s="356">
        <v>68602.5</v>
      </c>
      <c r="J14" s="356">
        <v>913965</v>
      </c>
      <c r="K14" s="356">
        <v>1629</v>
      </c>
      <c r="L14" s="356">
        <v>25124</v>
      </c>
    </row>
    <row r="15" spans="1:12" s="153" customFormat="1" ht="11.45" customHeight="1" x14ac:dyDescent="0.2">
      <c r="A15" s="285" t="s">
        <v>1404</v>
      </c>
      <c r="B15" s="285"/>
      <c r="C15" s="277">
        <v>1004</v>
      </c>
      <c r="D15" s="277">
        <v>41744</v>
      </c>
      <c r="E15" s="277">
        <v>5635</v>
      </c>
      <c r="F15" s="277">
        <v>152810</v>
      </c>
      <c r="G15" s="277">
        <v>1082720</v>
      </c>
      <c r="H15" s="277">
        <v>359883</v>
      </c>
      <c r="I15" s="277">
        <v>68953.100000000006</v>
      </c>
      <c r="J15" s="277">
        <v>923425</v>
      </c>
      <c r="K15" s="277">
        <v>1431</v>
      </c>
      <c r="L15" s="277">
        <v>34653</v>
      </c>
    </row>
    <row r="16" spans="1:12" s="153" customFormat="1" ht="11.45" customHeight="1" x14ac:dyDescent="0.2">
      <c r="A16" s="153" t="s">
        <v>1484</v>
      </c>
      <c r="C16" s="356">
        <v>1241</v>
      </c>
      <c r="D16" s="356">
        <v>35782</v>
      </c>
      <c r="E16" s="356">
        <v>7220</v>
      </c>
      <c r="F16" s="356">
        <v>161860</v>
      </c>
      <c r="G16" s="356">
        <v>1088705</v>
      </c>
      <c r="H16" s="356">
        <v>430242</v>
      </c>
      <c r="I16" s="356">
        <v>82140.45</v>
      </c>
      <c r="J16" s="356">
        <v>1100799</v>
      </c>
      <c r="K16" s="356">
        <v>1021</v>
      </c>
      <c r="L16" s="356">
        <v>44264</v>
      </c>
    </row>
    <row r="17" spans="1:12" s="153" customFormat="1" ht="11.45" customHeight="1" x14ac:dyDescent="0.2">
      <c r="A17" s="285" t="s">
        <v>1536</v>
      </c>
      <c r="B17" s="285"/>
      <c r="C17" s="277">
        <v>1472</v>
      </c>
      <c r="D17" s="277">
        <v>39495</v>
      </c>
      <c r="E17" s="275">
        <v>6027</v>
      </c>
      <c r="F17" s="277">
        <v>154030</v>
      </c>
      <c r="G17" s="277">
        <v>987319</v>
      </c>
      <c r="H17" s="277">
        <v>332939</v>
      </c>
      <c r="I17" s="277">
        <v>48134</v>
      </c>
      <c r="J17" s="277">
        <v>1205833</v>
      </c>
      <c r="K17" s="275">
        <v>100</v>
      </c>
      <c r="L17" s="277">
        <v>45323</v>
      </c>
    </row>
    <row r="18" spans="1:12" s="153" customFormat="1" ht="11.45" customHeight="1" x14ac:dyDescent="0.2">
      <c r="A18" s="153" t="s">
        <v>1817</v>
      </c>
      <c r="C18" s="356">
        <v>1479</v>
      </c>
      <c r="D18" s="356">
        <v>51854</v>
      </c>
      <c r="E18" s="236">
        <v>2277</v>
      </c>
      <c r="F18" s="356">
        <v>149500</v>
      </c>
      <c r="G18" s="356">
        <v>888610</v>
      </c>
      <c r="H18" s="356">
        <v>429542</v>
      </c>
      <c r="I18" s="356">
        <v>21486</v>
      </c>
      <c r="J18" s="356">
        <v>1197117</v>
      </c>
      <c r="K18" s="236">
        <v>1368</v>
      </c>
      <c r="L18" s="356">
        <v>41441</v>
      </c>
    </row>
    <row r="19" spans="1:12" s="153" customFormat="1" ht="11.45" customHeight="1" x14ac:dyDescent="0.2">
      <c r="A19" s="287" t="s">
        <v>2066</v>
      </c>
      <c r="B19" s="287"/>
      <c r="C19" s="453">
        <v>1449.1173547777778</v>
      </c>
      <c r="D19" s="453">
        <v>17419.431326802038</v>
      </c>
      <c r="E19" s="453">
        <v>1541</v>
      </c>
      <c r="F19" s="453">
        <v>6546866.4124000007</v>
      </c>
      <c r="G19" s="453">
        <v>4145117.8317926526</v>
      </c>
      <c r="H19" s="453">
        <v>113367.93831088001</v>
      </c>
      <c r="I19" s="453">
        <v>20753.25</v>
      </c>
      <c r="J19" s="453">
        <v>947827.05</v>
      </c>
      <c r="K19" s="453">
        <v>1257</v>
      </c>
      <c r="L19" s="453">
        <v>52526.531239999997</v>
      </c>
    </row>
    <row r="20" spans="1:12" s="153" customFormat="1" ht="11.45" customHeight="1" x14ac:dyDescent="0.2">
      <c r="A20" s="178" t="s">
        <v>2206</v>
      </c>
      <c r="B20" s="178"/>
      <c r="C20" s="323">
        <f t="shared" ref="C20:L20" si="0">SUM(C96:C107)</f>
        <v>1450.0592955318409</v>
      </c>
      <c r="D20" s="323">
        <f t="shared" si="0"/>
        <v>19194.115441284597</v>
      </c>
      <c r="E20" s="323">
        <f t="shared" si="0"/>
        <v>2509.77</v>
      </c>
      <c r="F20" s="323">
        <f t="shared" si="0"/>
        <v>7121421.9889320862</v>
      </c>
      <c r="G20" s="323">
        <f t="shared" si="0"/>
        <v>3963435.8664715746</v>
      </c>
      <c r="H20" s="323">
        <f t="shared" si="0"/>
        <v>92987.88413691087</v>
      </c>
      <c r="I20" s="323">
        <f t="shared" si="0"/>
        <v>30819</v>
      </c>
      <c r="J20" s="323">
        <f t="shared" si="0"/>
        <v>663247.75</v>
      </c>
      <c r="K20" s="458">
        <f t="shared" si="0"/>
        <v>53</v>
      </c>
      <c r="L20" s="323">
        <f t="shared" si="0"/>
        <v>56424.042765559592</v>
      </c>
    </row>
    <row r="21" spans="1:12" s="153" customFormat="1" ht="11.45" customHeight="1" x14ac:dyDescent="0.2">
      <c r="A21" s="287" t="s">
        <v>2479</v>
      </c>
      <c r="B21" s="287"/>
      <c r="C21" s="453">
        <f t="shared" ref="C21:L21" si="1">SUM(C108:C119)</f>
        <v>1509.770236806602</v>
      </c>
      <c r="D21" s="453">
        <f t="shared" si="1"/>
        <v>18282.20293308602</v>
      </c>
      <c r="E21" s="453">
        <f t="shared" si="1"/>
        <v>1618.91</v>
      </c>
      <c r="F21" s="453">
        <f t="shared" si="1"/>
        <v>7407439.0144781107</v>
      </c>
      <c r="G21" s="453">
        <f t="shared" si="1"/>
        <v>3896942.0674752626</v>
      </c>
      <c r="H21" s="453">
        <f t="shared" si="1"/>
        <v>91562.280292991811</v>
      </c>
      <c r="I21" s="453">
        <f t="shared" si="1"/>
        <v>46195.05</v>
      </c>
      <c r="J21" s="453">
        <f t="shared" si="1"/>
        <v>1245456.6000000001</v>
      </c>
      <c r="K21" s="453">
        <f t="shared" si="1"/>
        <v>0</v>
      </c>
      <c r="L21" s="453">
        <f t="shared" si="1"/>
        <v>55843.961452021395</v>
      </c>
    </row>
    <row r="22" spans="1:12" s="153" customFormat="1" ht="11.45" customHeight="1" x14ac:dyDescent="0.2">
      <c r="A22" s="178"/>
      <c r="B22" s="178"/>
      <c r="C22" s="323"/>
      <c r="D22" s="323"/>
      <c r="E22" s="323"/>
      <c r="F22" s="323"/>
      <c r="G22" s="323"/>
      <c r="H22" s="323"/>
      <c r="I22" s="323"/>
      <c r="J22" s="323"/>
      <c r="K22" s="458"/>
      <c r="L22" s="323"/>
    </row>
    <row r="23" spans="1:12" s="153" customFormat="1" ht="11.45" customHeight="1" x14ac:dyDescent="0.2">
      <c r="A23" s="178"/>
      <c r="B23" s="178"/>
      <c r="C23" s="323"/>
      <c r="D23" s="323"/>
      <c r="E23" s="323"/>
      <c r="F23" s="323"/>
      <c r="G23" s="323"/>
      <c r="H23" s="323"/>
      <c r="I23" s="323"/>
      <c r="J23" s="323"/>
      <c r="K23" s="458"/>
      <c r="L23" s="323"/>
    </row>
    <row r="24" spans="1:12" s="153" customFormat="1" ht="11.45" customHeight="1" x14ac:dyDescent="0.2">
      <c r="A24" s="178" t="s">
        <v>1296</v>
      </c>
      <c r="B24" s="1201" t="s">
        <v>552</v>
      </c>
      <c r="C24" s="323"/>
      <c r="D24" s="323"/>
      <c r="E24" s="323"/>
      <c r="F24" s="323"/>
      <c r="G24" s="323"/>
      <c r="H24" s="323"/>
      <c r="I24" s="323"/>
      <c r="J24" s="323"/>
      <c r="K24" s="458"/>
      <c r="L24" s="323"/>
    </row>
    <row r="25" spans="1:12" s="153" customFormat="1" ht="11.45" customHeight="1" x14ac:dyDescent="0.2">
      <c r="A25" s="178" t="s">
        <v>1296</v>
      </c>
      <c r="B25" s="1135" t="s">
        <v>553</v>
      </c>
      <c r="C25" s="323"/>
      <c r="D25" s="323"/>
      <c r="E25" s="323"/>
      <c r="F25" s="323"/>
      <c r="G25" s="323"/>
      <c r="H25" s="323"/>
      <c r="I25" s="323"/>
      <c r="J25" s="323"/>
      <c r="K25" s="458"/>
      <c r="L25" s="323"/>
    </row>
    <row r="26" spans="1:12" s="153" customFormat="1" ht="11.45" customHeight="1" x14ac:dyDescent="0.2">
      <c r="A26" s="178" t="s">
        <v>1296</v>
      </c>
      <c r="B26" s="1201" t="s">
        <v>547</v>
      </c>
      <c r="C26" s="323"/>
      <c r="D26" s="323"/>
      <c r="E26" s="323"/>
      <c r="F26" s="323"/>
      <c r="G26" s="323"/>
      <c r="H26" s="323"/>
      <c r="I26" s="323"/>
      <c r="J26" s="323"/>
      <c r="K26" s="458"/>
      <c r="L26" s="323"/>
    </row>
    <row r="27" spans="1:12" s="153" customFormat="1" ht="11.45" customHeight="1" x14ac:dyDescent="0.2">
      <c r="A27" s="178" t="s">
        <v>1296</v>
      </c>
      <c r="B27" s="1135" t="s">
        <v>554</v>
      </c>
      <c r="C27" s="323"/>
      <c r="D27" s="323"/>
      <c r="E27" s="323"/>
      <c r="F27" s="323"/>
      <c r="G27" s="323"/>
      <c r="H27" s="323"/>
      <c r="I27" s="323"/>
      <c r="J27" s="323"/>
      <c r="K27" s="458"/>
      <c r="L27" s="323"/>
    </row>
    <row r="28" spans="1:12" s="153" customFormat="1" ht="11.45" customHeight="1" x14ac:dyDescent="0.2">
      <c r="A28" s="178" t="s">
        <v>1296</v>
      </c>
      <c r="B28" s="1201" t="s">
        <v>555</v>
      </c>
      <c r="C28" s="323"/>
      <c r="D28" s="323"/>
      <c r="E28" s="323"/>
      <c r="F28" s="323"/>
      <c r="G28" s="323"/>
      <c r="H28" s="323"/>
      <c r="I28" s="323"/>
      <c r="J28" s="323"/>
      <c r="K28" s="458"/>
      <c r="L28" s="323"/>
    </row>
    <row r="29" spans="1:12" s="153" customFormat="1" ht="11.45" customHeight="1" x14ac:dyDescent="0.2">
      <c r="A29" s="178" t="s">
        <v>1296</v>
      </c>
      <c r="B29" s="1135" t="s">
        <v>548</v>
      </c>
      <c r="C29" s="323"/>
      <c r="D29" s="323"/>
      <c r="E29" s="323"/>
      <c r="F29" s="323"/>
      <c r="G29" s="323"/>
      <c r="H29" s="323"/>
      <c r="I29" s="323"/>
      <c r="J29" s="323"/>
      <c r="K29" s="458"/>
      <c r="L29" s="323"/>
    </row>
    <row r="30" spans="1:12" s="153" customFormat="1" ht="11.45" customHeight="1" x14ac:dyDescent="0.2">
      <c r="A30" s="178" t="s">
        <v>1296</v>
      </c>
      <c r="B30" s="1201" t="s">
        <v>556</v>
      </c>
      <c r="C30" s="323"/>
      <c r="D30" s="323"/>
      <c r="E30" s="323"/>
      <c r="F30" s="323"/>
      <c r="G30" s="323"/>
      <c r="H30" s="323"/>
      <c r="I30" s="323"/>
      <c r="J30" s="323"/>
      <c r="K30" s="458"/>
      <c r="L30" s="323"/>
    </row>
    <row r="31" spans="1:12" s="153" customFormat="1" ht="11.45" customHeight="1" x14ac:dyDescent="0.2">
      <c r="A31" s="178" t="s">
        <v>1296</v>
      </c>
      <c r="B31" s="1135" t="s">
        <v>557</v>
      </c>
      <c r="C31" s="323"/>
      <c r="D31" s="323"/>
      <c r="E31" s="323"/>
      <c r="F31" s="323"/>
      <c r="G31" s="323"/>
      <c r="H31" s="323"/>
      <c r="I31" s="323"/>
      <c r="J31" s="323"/>
      <c r="K31" s="458"/>
      <c r="L31" s="323"/>
    </row>
    <row r="32" spans="1:12" s="153" customFormat="1" ht="11.45" customHeight="1" x14ac:dyDescent="0.2">
      <c r="A32" s="178" t="s">
        <v>1296</v>
      </c>
      <c r="B32" s="1201" t="s">
        <v>549</v>
      </c>
      <c r="C32" s="323"/>
      <c r="D32" s="323"/>
      <c r="E32" s="323"/>
      <c r="F32" s="323"/>
      <c r="G32" s="323"/>
      <c r="H32" s="323"/>
      <c r="I32" s="323"/>
      <c r="J32" s="323"/>
      <c r="K32" s="458"/>
      <c r="L32" s="323"/>
    </row>
    <row r="33" spans="1:12" s="153" customFormat="1" ht="11.45" customHeight="1" x14ac:dyDescent="0.2">
      <c r="A33" s="178" t="s">
        <v>1296</v>
      </c>
      <c r="B33" s="1135" t="s">
        <v>558</v>
      </c>
      <c r="C33" s="323"/>
      <c r="D33" s="323"/>
      <c r="E33" s="323"/>
      <c r="F33" s="323"/>
      <c r="G33" s="323"/>
      <c r="H33" s="323"/>
      <c r="I33" s="323"/>
      <c r="J33" s="323"/>
      <c r="K33" s="458"/>
      <c r="L33" s="323"/>
    </row>
    <row r="34" spans="1:12" s="153" customFormat="1" ht="11.45" customHeight="1" x14ac:dyDescent="0.2">
      <c r="A34" s="178" t="s">
        <v>1296</v>
      </c>
      <c r="B34" s="1201" t="s">
        <v>559</v>
      </c>
      <c r="C34" s="323"/>
      <c r="D34" s="323"/>
      <c r="E34" s="323"/>
      <c r="F34" s="323"/>
      <c r="G34" s="323"/>
      <c r="H34" s="323"/>
      <c r="I34" s="323"/>
      <c r="J34" s="323"/>
      <c r="K34" s="458"/>
      <c r="L34" s="323"/>
    </row>
    <row r="35" spans="1:12" s="153" customFormat="1" ht="11.45" customHeight="1" x14ac:dyDescent="0.2">
      <c r="A35" s="178" t="s">
        <v>1296</v>
      </c>
      <c r="B35" s="1135" t="s">
        <v>550</v>
      </c>
      <c r="C35" s="323"/>
      <c r="D35" s="323"/>
      <c r="E35" s="323"/>
      <c r="F35" s="323"/>
      <c r="G35" s="323"/>
      <c r="H35" s="323"/>
      <c r="I35" s="323"/>
      <c r="J35" s="323"/>
      <c r="K35" s="458"/>
      <c r="L35" s="323"/>
    </row>
    <row r="36" spans="1:12" s="153" customFormat="1" ht="11.45" customHeight="1" x14ac:dyDescent="0.2">
      <c r="A36" s="178" t="s">
        <v>1404</v>
      </c>
      <c r="B36" s="1201" t="s">
        <v>552</v>
      </c>
      <c r="C36" s="323"/>
      <c r="D36" s="323"/>
      <c r="E36" s="323"/>
      <c r="F36" s="323"/>
      <c r="G36" s="323"/>
      <c r="H36" s="323"/>
      <c r="I36" s="323"/>
      <c r="J36" s="323"/>
      <c r="K36" s="458"/>
      <c r="L36" s="323"/>
    </row>
    <row r="37" spans="1:12" s="153" customFormat="1" ht="11.45" customHeight="1" x14ac:dyDescent="0.2">
      <c r="A37" s="178" t="s">
        <v>1404</v>
      </c>
      <c r="B37" s="1135" t="s">
        <v>553</v>
      </c>
      <c r="C37" s="323"/>
      <c r="D37" s="323"/>
      <c r="E37" s="323"/>
      <c r="F37" s="323"/>
      <c r="G37" s="323"/>
      <c r="H37" s="323"/>
      <c r="I37" s="323"/>
      <c r="J37" s="323"/>
      <c r="K37" s="458"/>
      <c r="L37" s="323"/>
    </row>
    <row r="38" spans="1:12" s="153" customFormat="1" ht="11.45" customHeight="1" x14ac:dyDescent="0.2">
      <c r="A38" s="178" t="s">
        <v>1404</v>
      </c>
      <c r="B38" s="1201" t="s">
        <v>547</v>
      </c>
      <c r="C38" s="323"/>
      <c r="D38" s="323"/>
      <c r="E38" s="323"/>
      <c r="F38" s="323"/>
      <c r="G38" s="323"/>
      <c r="H38" s="323"/>
      <c r="I38" s="323"/>
      <c r="J38" s="323"/>
      <c r="K38" s="458"/>
      <c r="L38" s="323"/>
    </row>
    <row r="39" spans="1:12" s="153" customFormat="1" ht="11.45" customHeight="1" x14ac:dyDescent="0.2">
      <c r="A39" s="178" t="s">
        <v>1404</v>
      </c>
      <c r="B39" s="1135" t="s">
        <v>554</v>
      </c>
      <c r="C39" s="323"/>
      <c r="D39" s="323"/>
      <c r="E39" s="323"/>
      <c r="F39" s="323"/>
      <c r="G39" s="323"/>
      <c r="H39" s="323"/>
      <c r="I39" s="323"/>
      <c r="J39" s="323"/>
      <c r="K39" s="458"/>
      <c r="L39" s="323"/>
    </row>
    <row r="40" spans="1:12" s="153" customFormat="1" ht="11.45" customHeight="1" x14ac:dyDescent="0.2">
      <c r="A40" s="178" t="s">
        <v>1404</v>
      </c>
      <c r="B40" s="1201" t="s">
        <v>555</v>
      </c>
      <c r="C40" s="323"/>
      <c r="D40" s="323"/>
      <c r="E40" s="323"/>
      <c r="F40" s="323"/>
      <c r="G40" s="323"/>
      <c r="H40" s="323"/>
      <c r="I40" s="323"/>
      <c r="J40" s="323"/>
      <c r="K40" s="458"/>
      <c r="L40" s="323"/>
    </row>
    <row r="41" spans="1:12" s="153" customFormat="1" ht="11.45" customHeight="1" x14ac:dyDescent="0.2">
      <c r="A41" s="178" t="s">
        <v>1404</v>
      </c>
      <c r="B41" s="1135" t="s">
        <v>548</v>
      </c>
      <c r="C41" s="323"/>
      <c r="D41" s="323"/>
      <c r="E41" s="323"/>
      <c r="F41" s="323"/>
      <c r="G41" s="323"/>
      <c r="H41" s="323"/>
      <c r="I41" s="323"/>
      <c r="J41" s="323"/>
      <c r="K41" s="458"/>
      <c r="L41" s="323"/>
    </row>
    <row r="42" spans="1:12" s="153" customFormat="1" ht="11.45" customHeight="1" x14ac:dyDescent="0.2">
      <c r="A42" s="178" t="s">
        <v>1404</v>
      </c>
      <c r="B42" s="1201" t="s">
        <v>556</v>
      </c>
      <c r="C42" s="323"/>
      <c r="D42" s="323"/>
      <c r="E42" s="323"/>
      <c r="F42" s="323"/>
      <c r="G42" s="323"/>
      <c r="H42" s="323"/>
      <c r="I42" s="323"/>
      <c r="J42" s="323"/>
      <c r="K42" s="458"/>
      <c r="L42" s="323"/>
    </row>
    <row r="43" spans="1:12" s="153" customFormat="1" ht="11.45" customHeight="1" x14ac:dyDescent="0.2">
      <c r="A43" s="178" t="s">
        <v>1404</v>
      </c>
      <c r="B43" s="1135" t="s">
        <v>557</v>
      </c>
      <c r="C43" s="323"/>
      <c r="D43" s="323"/>
      <c r="E43" s="323"/>
      <c r="F43" s="323"/>
      <c r="G43" s="323"/>
      <c r="H43" s="323"/>
      <c r="I43" s="323"/>
      <c r="J43" s="323"/>
      <c r="K43" s="458"/>
      <c r="L43" s="323"/>
    </row>
    <row r="44" spans="1:12" s="153" customFormat="1" ht="11.45" customHeight="1" x14ac:dyDescent="0.2">
      <c r="A44" s="178" t="s">
        <v>1404</v>
      </c>
      <c r="B44" s="1201" t="s">
        <v>549</v>
      </c>
      <c r="C44" s="323"/>
      <c r="D44" s="323"/>
      <c r="E44" s="323"/>
      <c r="F44" s="323"/>
      <c r="G44" s="323"/>
      <c r="H44" s="323"/>
      <c r="I44" s="323"/>
      <c r="J44" s="323"/>
      <c r="K44" s="458"/>
      <c r="L44" s="323"/>
    </row>
    <row r="45" spans="1:12" s="153" customFormat="1" ht="11.45" customHeight="1" x14ac:dyDescent="0.2">
      <c r="A45" s="178" t="s">
        <v>1404</v>
      </c>
      <c r="B45" s="1135" t="s">
        <v>558</v>
      </c>
      <c r="C45" s="323"/>
      <c r="D45" s="323"/>
      <c r="E45" s="323"/>
      <c r="F45" s="323"/>
      <c r="G45" s="323"/>
      <c r="H45" s="323"/>
      <c r="I45" s="323"/>
      <c r="J45" s="323"/>
      <c r="K45" s="458"/>
      <c r="L45" s="323"/>
    </row>
    <row r="46" spans="1:12" s="153" customFormat="1" ht="11.45" customHeight="1" x14ac:dyDescent="0.2">
      <c r="A46" s="178" t="s">
        <v>1404</v>
      </c>
      <c r="B46" s="1201" t="s">
        <v>559</v>
      </c>
      <c r="C46" s="323"/>
      <c r="D46" s="323"/>
      <c r="E46" s="323"/>
      <c r="F46" s="323"/>
      <c r="G46" s="323"/>
      <c r="H46" s="323"/>
      <c r="I46" s="323"/>
      <c r="J46" s="323"/>
      <c r="K46" s="458"/>
      <c r="L46" s="323"/>
    </row>
    <row r="47" spans="1:12" s="153" customFormat="1" ht="11.45" customHeight="1" x14ac:dyDescent="0.2">
      <c r="A47" s="178" t="s">
        <v>1404</v>
      </c>
      <c r="B47" s="1135" t="s">
        <v>550</v>
      </c>
      <c r="C47" s="323"/>
      <c r="D47" s="323"/>
      <c r="E47" s="323"/>
      <c r="F47" s="323"/>
      <c r="G47" s="323"/>
      <c r="H47" s="323"/>
      <c r="I47" s="323"/>
      <c r="J47" s="323"/>
      <c r="K47" s="458"/>
      <c r="L47" s="323"/>
    </row>
    <row r="48" spans="1:12" s="153" customFormat="1" ht="11.45" customHeight="1" x14ac:dyDescent="0.2">
      <c r="A48" s="178" t="s">
        <v>1484</v>
      </c>
      <c r="B48" s="1201" t="s">
        <v>552</v>
      </c>
      <c r="C48" s="323"/>
      <c r="D48" s="323"/>
      <c r="E48" s="323"/>
      <c r="F48" s="323"/>
      <c r="G48" s="323"/>
      <c r="H48" s="323"/>
      <c r="I48" s="323"/>
      <c r="J48" s="323"/>
      <c r="K48" s="458"/>
      <c r="L48" s="323"/>
    </row>
    <row r="49" spans="1:12" s="153" customFormat="1" ht="11.45" customHeight="1" x14ac:dyDescent="0.2">
      <c r="A49" s="178" t="s">
        <v>1484</v>
      </c>
      <c r="B49" s="1135" t="s">
        <v>553</v>
      </c>
      <c r="C49" s="323"/>
      <c r="D49" s="323"/>
      <c r="E49" s="323"/>
      <c r="F49" s="323"/>
      <c r="G49" s="323"/>
      <c r="H49" s="323"/>
      <c r="I49" s="323"/>
      <c r="J49" s="323"/>
      <c r="K49" s="458"/>
      <c r="L49" s="323"/>
    </row>
    <row r="50" spans="1:12" s="153" customFormat="1" ht="11.45" customHeight="1" x14ac:dyDescent="0.2">
      <c r="A50" s="178" t="s">
        <v>1484</v>
      </c>
      <c r="B50" s="1201" t="s">
        <v>547</v>
      </c>
      <c r="C50" s="323"/>
      <c r="D50" s="323"/>
      <c r="E50" s="323"/>
      <c r="F50" s="323"/>
      <c r="G50" s="323"/>
      <c r="H50" s="323"/>
      <c r="I50" s="323"/>
      <c r="J50" s="323"/>
      <c r="K50" s="458"/>
      <c r="L50" s="323"/>
    </row>
    <row r="51" spans="1:12" s="153" customFormat="1" ht="11.45" customHeight="1" x14ac:dyDescent="0.2">
      <c r="A51" s="178" t="s">
        <v>1484</v>
      </c>
      <c r="B51" s="1135" t="s">
        <v>554</v>
      </c>
      <c r="C51" s="323"/>
      <c r="D51" s="323"/>
      <c r="E51" s="323"/>
      <c r="F51" s="323"/>
      <c r="G51" s="323"/>
      <c r="H51" s="323"/>
      <c r="I51" s="323"/>
      <c r="J51" s="323"/>
      <c r="K51" s="458"/>
      <c r="L51" s="323"/>
    </row>
    <row r="52" spans="1:12" s="153" customFormat="1" ht="11.45" customHeight="1" x14ac:dyDescent="0.2">
      <c r="A52" s="178" t="s">
        <v>1484</v>
      </c>
      <c r="B52" s="1201" t="s">
        <v>555</v>
      </c>
      <c r="C52" s="323"/>
      <c r="D52" s="323"/>
      <c r="E52" s="323"/>
      <c r="F52" s="323"/>
      <c r="G52" s="323"/>
      <c r="H52" s="323"/>
      <c r="I52" s="323"/>
      <c r="J52" s="323"/>
      <c r="K52" s="458"/>
      <c r="L52" s="323"/>
    </row>
    <row r="53" spans="1:12" s="153" customFormat="1" ht="11.45" customHeight="1" x14ac:dyDescent="0.2">
      <c r="A53" s="178" t="s">
        <v>1484</v>
      </c>
      <c r="B53" s="1135" t="s">
        <v>548</v>
      </c>
      <c r="C53" s="323"/>
      <c r="D53" s="323"/>
      <c r="E53" s="323"/>
      <c r="F53" s="323"/>
      <c r="G53" s="323"/>
      <c r="H53" s="323"/>
      <c r="I53" s="323"/>
      <c r="J53" s="323"/>
      <c r="K53" s="458"/>
      <c r="L53" s="323"/>
    </row>
    <row r="54" spans="1:12" s="153" customFormat="1" ht="11.45" customHeight="1" x14ac:dyDescent="0.2">
      <c r="A54" s="178" t="s">
        <v>1484</v>
      </c>
      <c r="B54" s="1201" t="s">
        <v>556</v>
      </c>
      <c r="C54" s="323"/>
      <c r="D54" s="323"/>
      <c r="E54" s="323"/>
      <c r="F54" s="323"/>
      <c r="G54" s="323"/>
      <c r="H54" s="323"/>
      <c r="I54" s="323"/>
      <c r="J54" s="323"/>
      <c r="K54" s="458"/>
      <c r="L54" s="323"/>
    </row>
    <row r="55" spans="1:12" s="153" customFormat="1" ht="11.45" customHeight="1" x14ac:dyDescent="0.2">
      <c r="A55" s="178" t="s">
        <v>1484</v>
      </c>
      <c r="B55" s="1135" t="s">
        <v>557</v>
      </c>
      <c r="C55" s="323"/>
      <c r="D55" s="323"/>
      <c r="E55" s="323"/>
      <c r="F55" s="323"/>
      <c r="G55" s="323"/>
      <c r="H55" s="323"/>
      <c r="I55" s="323"/>
      <c r="J55" s="323"/>
      <c r="K55" s="458"/>
      <c r="L55" s="323"/>
    </row>
    <row r="56" spans="1:12" s="153" customFormat="1" ht="11.45" customHeight="1" x14ac:dyDescent="0.2">
      <c r="A56" s="178" t="s">
        <v>1484</v>
      </c>
      <c r="B56" s="1201" t="s">
        <v>549</v>
      </c>
      <c r="C56" s="323"/>
      <c r="D56" s="323"/>
      <c r="E56" s="323"/>
      <c r="F56" s="323"/>
      <c r="G56" s="323"/>
      <c r="H56" s="323"/>
      <c r="I56" s="323"/>
      <c r="J56" s="323"/>
      <c r="K56" s="458"/>
      <c r="L56" s="323"/>
    </row>
    <row r="57" spans="1:12" s="153" customFormat="1" ht="11.45" customHeight="1" x14ac:dyDescent="0.2">
      <c r="A57" s="178" t="s">
        <v>1484</v>
      </c>
      <c r="B57" s="153" t="s">
        <v>558</v>
      </c>
      <c r="C57" s="323"/>
      <c r="D57" s="323"/>
      <c r="E57" s="323"/>
      <c r="F57" s="323"/>
      <c r="G57" s="323"/>
      <c r="H57" s="323"/>
      <c r="I57" s="323"/>
      <c r="J57" s="323"/>
      <c r="K57" s="458"/>
      <c r="L57" s="323"/>
    </row>
    <row r="58" spans="1:12" s="153" customFormat="1" ht="11.45" customHeight="1" x14ac:dyDescent="0.2">
      <c r="A58" s="178" t="s">
        <v>1484</v>
      </c>
      <c r="B58" s="153" t="s">
        <v>559</v>
      </c>
      <c r="C58" s="323"/>
      <c r="D58" s="323"/>
      <c r="E58" s="323"/>
      <c r="F58" s="323"/>
      <c r="G58" s="323"/>
      <c r="H58" s="323"/>
      <c r="I58" s="323"/>
      <c r="J58" s="323"/>
      <c r="K58" s="458"/>
      <c r="L58" s="323"/>
    </row>
    <row r="59" spans="1:12" s="153" customFormat="1" ht="11.45" customHeight="1" x14ac:dyDescent="0.2">
      <c r="A59" s="178" t="s">
        <v>1484</v>
      </c>
      <c r="B59" s="153" t="s">
        <v>550</v>
      </c>
      <c r="C59" s="323"/>
      <c r="D59" s="323"/>
      <c r="E59" s="323"/>
      <c r="F59" s="323"/>
      <c r="G59" s="323"/>
      <c r="H59" s="323"/>
      <c r="I59" s="323"/>
      <c r="J59" s="323"/>
      <c r="K59" s="458"/>
      <c r="L59" s="323"/>
    </row>
    <row r="60" spans="1:12" s="153" customFormat="1" ht="11.45" customHeight="1" x14ac:dyDescent="0.2">
      <c r="A60" s="178" t="s">
        <v>1536</v>
      </c>
      <c r="B60" s="1201" t="s">
        <v>552</v>
      </c>
      <c r="C60" s="323"/>
      <c r="D60" s="323"/>
      <c r="E60" s="323"/>
      <c r="F60" s="323"/>
      <c r="G60" s="323"/>
      <c r="H60" s="323"/>
      <c r="I60" s="323"/>
      <c r="J60" s="323"/>
      <c r="K60" s="458"/>
      <c r="L60" s="323"/>
    </row>
    <row r="61" spans="1:12" s="153" customFormat="1" ht="11.45" customHeight="1" x14ac:dyDescent="0.2">
      <c r="A61" s="178" t="s">
        <v>1536</v>
      </c>
      <c r="B61" s="1135" t="s">
        <v>553</v>
      </c>
      <c r="C61" s="323"/>
      <c r="D61" s="323"/>
      <c r="E61" s="323"/>
      <c r="F61" s="323"/>
      <c r="G61" s="323"/>
      <c r="H61" s="323"/>
      <c r="I61" s="323"/>
      <c r="J61" s="323"/>
      <c r="K61" s="458"/>
      <c r="L61" s="323"/>
    </row>
    <row r="62" spans="1:12" s="153" customFormat="1" ht="11.45" customHeight="1" x14ac:dyDescent="0.2">
      <c r="A62" s="178" t="s">
        <v>1536</v>
      </c>
      <c r="B62" s="1201" t="s">
        <v>547</v>
      </c>
      <c r="C62" s="323"/>
      <c r="D62" s="323"/>
      <c r="E62" s="323"/>
      <c r="F62" s="323"/>
      <c r="G62" s="323"/>
      <c r="H62" s="323"/>
      <c r="I62" s="323"/>
      <c r="J62" s="323"/>
      <c r="K62" s="458"/>
      <c r="L62" s="323"/>
    </row>
    <row r="63" spans="1:12" s="153" customFormat="1" ht="11.45" customHeight="1" x14ac:dyDescent="0.2">
      <c r="A63" s="178" t="s">
        <v>1536</v>
      </c>
      <c r="B63" s="1135" t="s">
        <v>554</v>
      </c>
      <c r="C63" s="323"/>
      <c r="D63" s="323"/>
      <c r="E63" s="323"/>
      <c r="F63" s="323"/>
      <c r="G63" s="323"/>
      <c r="H63" s="323"/>
      <c r="I63" s="323"/>
      <c r="J63" s="323"/>
      <c r="K63" s="458"/>
      <c r="L63" s="323"/>
    </row>
    <row r="64" spans="1:12" s="153" customFormat="1" ht="11.45" customHeight="1" x14ac:dyDescent="0.2">
      <c r="A64" s="178" t="s">
        <v>1536</v>
      </c>
      <c r="B64" s="1201" t="s">
        <v>555</v>
      </c>
      <c r="C64" s="323"/>
      <c r="D64" s="323"/>
      <c r="E64" s="323"/>
      <c r="F64" s="323"/>
      <c r="G64" s="323"/>
      <c r="H64" s="323"/>
      <c r="I64" s="323"/>
      <c r="J64" s="323"/>
      <c r="K64" s="458"/>
      <c r="L64" s="323"/>
    </row>
    <row r="65" spans="1:12" s="153" customFormat="1" ht="11.45" customHeight="1" x14ac:dyDescent="0.2">
      <c r="A65" s="178" t="s">
        <v>1536</v>
      </c>
      <c r="B65" s="1135" t="s">
        <v>548</v>
      </c>
      <c r="C65" s="323"/>
      <c r="D65" s="323"/>
      <c r="E65" s="323"/>
      <c r="F65" s="323"/>
      <c r="G65" s="323"/>
      <c r="H65" s="323"/>
      <c r="I65" s="323"/>
      <c r="J65" s="323"/>
      <c r="K65" s="458"/>
      <c r="L65" s="323"/>
    </row>
    <row r="66" spans="1:12" s="153" customFormat="1" ht="11.45" customHeight="1" x14ac:dyDescent="0.2">
      <c r="A66" s="178" t="s">
        <v>1536</v>
      </c>
      <c r="B66" s="1201" t="s">
        <v>556</v>
      </c>
      <c r="C66" s="323"/>
      <c r="D66" s="323"/>
      <c r="E66" s="323"/>
      <c r="F66" s="323"/>
      <c r="G66" s="323"/>
      <c r="H66" s="323"/>
      <c r="I66" s="323"/>
      <c r="J66" s="323"/>
      <c r="K66" s="458"/>
      <c r="L66" s="323"/>
    </row>
    <row r="67" spans="1:12" s="153" customFormat="1" ht="11.45" customHeight="1" x14ac:dyDescent="0.2">
      <c r="A67" s="178" t="s">
        <v>1536</v>
      </c>
      <c r="B67" s="1135" t="s">
        <v>557</v>
      </c>
      <c r="C67" s="323"/>
      <c r="D67" s="323"/>
      <c r="E67" s="323"/>
      <c r="F67" s="323"/>
      <c r="G67" s="323"/>
      <c r="H67" s="323"/>
      <c r="I67" s="323"/>
      <c r="J67" s="323"/>
      <c r="K67" s="458"/>
      <c r="L67" s="323"/>
    </row>
    <row r="68" spans="1:12" s="153" customFormat="1" ht="11.45" customHeight="1" x14ac:dyDescent="0.2">
      <c r="A68" s="178" t="s">
        <v>1536</v>
      </c>
      <c r="B68" s="1201" t="s">
        <v>549</v>
      </c>
      <c r="C68" s="323"/>
      <c r="D68" s="323"/>
      <c r="E68" s="323"/>
      <c r="F68" s="323"/>
      <c r="G68" s="323"/>
      <c r="H68" s="323"/>
      <c r="I68" s="323"/>
      <c r="J68" s="323"/>
      <c r="K68" s="458"/>
      <c r="L68" s="323"/>
    </row>
    <row r="69" spans="1:12" s="153" customFormat="1" ht="11.45" customHeight="1" x14ac:dyDescent="0.2">
      <c r="A69" s="178" t="s">
        <v>1536</v>
      </c>
      <c r="B69" s="1135" t="s">
        <v>558</v>
      </c>
      <c r="C69" s="323"/>
      <c r="D69" s="323"/>
      <c r="E69" s="323"/>
      <c r="F69" s="323"/>
      <c r="G69" s="323"/>
      <c r="H69" s="323"/>
      <c r="I69" s="323"/>
      <c r="J69" s="323"/>
      <c r="K69" s="458"/>
      <c r="L69" s="323"/>
    </row>
    <row r="70" spans="1:12" s="153" customFormat="1" ht="11.45" customHeight="1" x14ac:dyDescent="0.2">
      <c r="A70" s="178" t="s">
        <v>1536</v>
      </c>
      <c r="B70" s="1201" t="s">
        <v>559</v>
      </c>
      <c r="C70" s="323"/>
      <c r="D70" s="323"/>
      <c r="E70" s="323"/>
      <c r="F70" s="323"/>
      <c r="G70" s="323"/>
      <c r="H70" s="323"/>
      <c r="I70" s="323"/>
      <c r="J70" s="323"/>
      <c r="K70" s="458"/>
      <c r="L70" s="323"/>
    </row>
    <row r="71" spans="1:12" s="153" customFormat="1" ht="11.45" customHeight="1" x14ac:dyDescent="0.2">
      <c r="A71" s="178" t="s">
        <v>1536</v>
      </c>
      <c r="B71" s="1135" t="s">
        <v>550</v>
      </c>
      <c r="C71" s="323"/>
      <c r="D71" s="323"/>
      <c r="E71" s="323"/>
      <c r="F71" s="323"/>
      <c r="G71" s="323"/>
      <c r="H71" s="323"/>
      <c r="I71" s="323"/>
      <c r="J71" s="323"/>
      <c r="K71" s="458"/>
      <c r="L71" s="323"/>
    </row>
    <row r="72" spans="1:12" s="153" customFormat="1" ht="11.45" customHeight="1" x14ac:dyDescent="0.2">
      <c r="A72" s="178" t="s">
        <v>1817</v>
      </c>
      <c r="B72" s="1201" t="s">
        <v>552</v>
      </c>
      <c r="C72" s="275">
        <v>120</v>
      </c>
      <c r="D72" s="275">
        <v>3416</v>
      </c>
      <c r="E72" s="275">
        <v>181</v>
      </c>
      <c r="F72" s="275">
        <v>13100</v>
      </c>
      <c r="G72" s="275">
        <v>53644</v>
      </c>
      <c r="H72" s="275">
        <v>26786</v>
      </c>
      <c r="I72" s="277">
        <v>0</v>
      </c>
      <c r="J72" s="277">
        <v>53314</v>
      </c>
      <c r="K72" s="275">
        <v>6</v>
      </c>
      <c r="L72" s="275">
        <v>3710</v>
      </c>
    </row>
    <row r="73" spans="1:12" s="153" customFormat="1" ht="11.45" customHeight="1" x14ac:dyDescent="0.2">
      <c r="A73" s="178" t="s">
        <v>1817</v>
      </c>
      <c r="B73" s="1135" t="s">
        <v>553</v>
      </c>
      <c r="C73" s="236">
        <v>130</v>
      </c>
      <c r="D73" s="236">
        <v>3962</v>
      </c>
      <c r="E73" s="236">
        <v>51</v>
      </c>
      <c r="F73" s="236">
        <v>13150</v>
      </c>
      <c r="G73" s="236">
        <v>74490</v>
      </c>
      <c r="H73" s="236">
        <v>41400</v>
      </c>
      <c r="I73" s="356">
        <v>0</v>
      </c>
      <c r="J73" s="356">
        <v>93154</v>
      </c>
      <c r="K73" s="236">
        <v>86</v>
      </c>
      <c r="L73" s="236">
        <v>3715</v>
      </c>
    </row>
    <row r="74" spans="1:12" s="153" customFormat="1" ht="11.45" customHeight="1" x14ac:dyDescent="0.2">
      <c r="A74" s="178" t="s">
        <v>1817</v>
      </c>
      <c r="B74" s="1201" t="s">
        <v>547</v>
      </c>
      <c r="C74" s="275">
        <v>129</v>
      </c>
      <c r="D74" s="275">
        <v>3970</v>
      </c>
      <c r="E74" s="275">
        <v>276</v>
      </c>
      <c r="F74" s="275">
        <v>13200</v>
      </c>
      <c r="G74" s="275">
        <v>101464</v>
      </c>
      <c r="H74" s="275">
        <v>42419</v>
      </c>
      <c r="I74" s="277">
        <v>0</v>
      </c>
      <c r="J74" s="277">
        <v>89898</v>
      </c>
      <c r="K74" s="277">
        <v>140</v>
      </c>
      <c r="L74" s="275">
        <v>3725</v>
      </c>
    </row>
    <row r="75" spans="1:12" s="153" customFormat="1" ht="11.45" customHeight="1" x14ac:dyDescent="0.2">
      <c r="A75" s="178" t="s">
        <v>1817</v>
      </c>
      <c r="B75" s="1135" t="s">
        <v>554</v>
      </c>
      <c r="C75" s="236">
        <v>130</v>
      </c>
      <c r="D75" s="236">
        <v>4008</v>
      </c>
      <c r="E75" s="236">
        <v>154</v>
      </c>
      <c r="F75" s="236">
        <v>13250</v>
      </c>
      <c r="G75" s="236">
        <v>66228</v>
      </c>
      <c r="H75" s="236">
        <v>45628</v>
      </c>
      <c r="I75" s="356">
        <v>0</v>
      </c>
      <c r="J75" s="356">
        <v>89076</v>
      </c>
      <c r="K75" s="356">
        <v>128</v>
      </c>
      <c r="L75" s="236">
        <v>3730</v>
      </c>
    </row>
    <row r="76" spans="1:12" s="153" customFormat="1" ht="11.45" customHeight="1" x14ac:dyDescent="0.2">
      <c r="A76" s="178" t="s">
        <v>1817</v>
      </c>
      <c r="B76" s="1201" t="s">
        <v>555</v>
      </c>
      <c r="C76" s="275">
        <v>127</v>
      </c>
      <c r="D76" s="275">
        <v>4101</v>
      </c>
      <c r="E76" s="275">
        <v>183</v>
      </c>
      <c r="F76" s="275">
        <v>12900</v>
      </c>
      <c r="G76" s="275">
        <v>86446</v>
      </c>
      <c r="H76" s="275">
        <v>44704</v>
      </c>
      <c r="I76" s="277">
        <v>110</v>
      </c>
      <c r="J76" s="277">
        <v>57692</v>
      </c>
      <c r="K76" s="277">
        <v>137</v>
      </c>
      <c r="L76" s="275">
        <v>3572</v>
      </c>
    </row>
    <row r="77" spans="1:12" s="153" customFormat="1" ht="11.45" customHeight="1" x14ac:dyDescent="0.2">
      <c r="A77" s="178" t="s">
        <v>1817</v>
      </c>
      <c r="B77" s="1135" t="s">
        <v>548</v>
      </c>
      <c r="C77" s="236">
        <v>129</v>
      </c>
      <c r="D77" s="236">
        <v>4132</v>
      </c>
      <c r="E77" s="236">
        <v>293</v>
      </c>
      <c r="F77" s="236">
        <v>13050</v>
      </c>
      <c r="G77" s="236">
        <v>80134</v>
      </c>
      <c r="H77" s="236">
        <v>36157</v>
      </c>
      <c r="I77" s="356">
        <v>6600</v>
      </c>
      <c r="J77" s="356">
        <v>59945</v>
      </c>
      <c r="K77" s="356">
        <v>129</v>
      </c>
      <c r="L77" s="236">
        <v>3275</v>
      </c>
    </row>
    <row r="78" spans="1:12" s="153" customFormat="1" ht="11.45" customHeight="1" x14ac:dyDescent="0.2">
      <c r="A78" s="178" t="s">
        <v>1817</v>
      </c>
      <c r="B78" s="1201" t="s">
        <v>556</v>
      </c>
      <c r="C78" s="275">
        <v>131</v>
      </c>
      <c r="D78" s="275">
        <v>4154</v>
      </c>
      <c r="E78" s="275">
        <v>336</v>
      </c>
      <c r="F78" s="275">
        <v>13100</v>
      </c>
      <c r="G78" s="275">
        <v>80512</v>
      </c>
      <c r="H78" s="275">
        <v>35932</v>
      </c>
      <c r="I78" s="277">
        <v>12735</v>
      </c>
      <c r="J78" s="277">
        <v>105807</v>
      </c>
      <c r="K78" s="277">
        <v>131</v>
      </c>
      <c r="L78" s="275">
        <v>3285</v>
      </c>
    </row>
    <row r="79" spans="1:12" s="153" customFormat="1" ht="11.45" customHeight="1" x14ac:dyDescent="0.2">
      <c r="A79" s="178" t="s">
        <v>1817</v>
      </c>
      <c r="B79" s="1135" t="s">
        <v>557</v>
      </c>
      <c r="C79" s="236">
        <v>126</v>
      </c>
      <c r="D79" s="236">
        <v>4175</v>
      </c>
      <c r="E79" s="236">
        <v>315</v>
      </c>
      <c r="F79" s="236">
        <v>12050</v>
      </c>
      <c r="G79" s="236">
        <v>73491</v>
      </c>
      <c r="H79" s="236">
        <v>39220</v>
      </c>
      <c r="I79" s="356">
        <v>2041</v>
      </c>
      <c r="J79" s="356">
        <v>104876</v>
      </c>
      <c r="K79" s="356">
        <v>120</v>
      </c>
      <c r="L79" s="236">
        <v>3290</v>
      </c>
    </row>
    <row r="80" spans="1:12" s="153" customFormat="1" ht="11.45" customHeight="1" x14ac:dyDescent="0.2">
      <c r="A80" s="178" t="s">
        <v>1817</v>
      </c>
      <c r="B80" s="1201" t="s">
        <v>549</v>
      </c>
      <c r="C80" s="275">
        <v>101</v>
      </c>
      <c r="D80" s="275">
        <v>4182</v>
      </c>
      <c r="E80" s="275">
        <v>135</v>
      </c>
      <c r="F80" s="275">
        <v>11500</v>
      </c>
      <c r="G80" s="275">
        <v>70490</v>
      </c>
      <c r="H80" s="275">
        <v>30444</v>
      </c>
      <c r="I80" s="277">
        <v>0</v>
      </c>
      <c r="J80" s="277">
        <v>151828</v>
      </c>
      <c r="K80" s="277">
        <v>144</v>
      </c>
      <c r="L80" s="275">
        <v>3299</v>
      </c>
    </row>
    <row r="81" spans="1:12" s="153" customFormat="1" ht="11.45" customHeight="1" x14ac:dyDescent="0.2">
      <c r="A81" s="178" t="s">
        <v>1817</v>
      </c>
      <c r="B81" s="1135" t="s">
        <v>558</v>
      </c>
      <c r="C81" s="236">
        <v>109</v>
      </c>
      <c r="D81" s="236">
        <v>4187</v>
      </c>
      <c r="E81" s="236">
        <v>106</v>
      </c>
      <c r="F81" s="236">
        <v>11450</v>
      </c>
      <c r="G81" s="236">
        <v>78608</v>
      </c>
      <c r="H81" s="236">
        <v>26301</v>
      </c>
      <c r="I81" s="356">
        <v>0</v>
      </c>
      <c r="J81" s="356">
        <v>106132</v>
      </c>
      <c r="K81" s="356">
        <v>130</v>
      </c>
      <c r="L81" s="236">
        <v>3290</v>
      </c>
    </row>
    <row r="82" spans="1:12" s="153" customFormat="1" ht="11.45" customHeight="1" x14ac:dyDescent="0.2">
      <c r="A82" s="178" t="s">
        <v>1817</v>
      </c>
      <c r="B82" s="1201" t="s">
        <v>559</v>
      </c>
      <c r="C82" s="275">
        <v>124</v>
      </c>
      <c r="D82" s="275">
        <v>5527</v>
      </c>
      <c r="E82" s="275">
        <v>122</v>
      </c>
      <c r="F82" s="275">
        <v>11400</v>
      </c>
      <c r="G82" s="275">
        <v>60180</v>
      </c>
      <c r="H82" s="275">
        <v>30026</v>
      </c>
      <c r="I82" s="277">
        <v>0</v>
      </c>
      <c r="J82" s="277">
        <v>152818</v>
      </c>
      <c r="K82" s="277">
        <v>94</v>
      </c>
      <c r="L82" s="275">
        <v>3275</v>
      </c>
    </row>
    <row r="83" spans="1:12" s="153" customFormat="1" ht="11.45" customHeight="1" x14ac:dyDescent="0.2">
      <c r="A83" s="178" t="s">
        <v>1817</v>
      </c>
      <c r="B83" s="1135" t="s">
        <v>550</v>
      </c>
      <c r="C83" s="236">
        <v>123</v>
      </c>
      <c r="D83" s="236">
        <v>6040</v>
      </c>
      <c r="E83" s="236">
        <v>125</v>
      </c>
      <c r="F83" s="236">
        <v>11350</v>
      </c>
      <c r="G83" s="236">
        <v>62923</v>
      </c>
      <c r="H83" s="236">
        <v>30525</v>
      </c>
      <c r="I83" s="356">
        <v>0</v>
      </c>
      <c r="J83" s="356">
        <v>132577</v>
      </c>
      <c r="K83" s="356">
        <v>123</v>
      </c>
      <c r="L83" s="236">
        <v>3275</v>
      </c>
    </row>
    <row r="84" spans="1:12" s="153" customFormat="1" ht="11.45" customHeight="1" x14ac:dyDescent="0.2">
      <c r="A84" s="178" t="s">
        <v>2066</v>
      </c>
      <c r="B84" s="1201" t="s">
        <v>552</v>
      </c>
      <c r="C84" s="236">
        <v>121</v>
      </c>
      <c r="D84" s="236">
        <v>4185</v>
      </c>
      <c r="E84" s="236">
        <v>113</v>
      </c>
      <c r="F84" s="236">
        <v>11250</v>
      </c>
      <c r="G84" s="236">
        <v>65923</v>
      </c>
      <c r="H84" s="236">
        <v>29216</v>
      </c>
      <c r="I84" s="356">
        <v>0</v>
      </c>
      <c r="J84" s="356">
        <v>71531</v>
      </c>
      <c r="K84" s="356">
        <v>116</v>
      </c>
      <c r="L84" s="236">
        <v>3127</v>
      </c>
    </row>
    <row r="85" spans="1:12" s="153" customFormat="1" ht="11.45" customHeight="1" x14ac:dyDescent="0.2">
      <c r="A85" s="178" t="s">
        <v>2066</v>
      </c>
      <c r="B85" s="1135" t="s">
        <v>553</v>
      </c>
      <c r="C85" s="275">
        <v>124</v>
      </c>
      <c r="D85" s="275">
        <v>4503</v>
      </c>
      <c r="E85" s="275">
        <v>112</v>
      </c>
      <c r="F85" s="275">
        <v>11320</v>
      </c>
      <c r="G85" s="275">
        <v>74093</v>
      </c>
      <c r="H85" s="275">
        <v>47331</v>
      </c>
      <c r="I85" s="277">
        <v>0</v>
      </c>
      <c r="J85" s="277">
        <v>97401</v>
      </c>
      <c r="K85" s="277">
        <v>141</v>
      </c>
      <c r="L85" s="275">
        <v>3100</v>
      </c>
    </row>
    <row r="86" spans="1:12" s="153" customFormat="1" ht="11.45" customHeight="1" x14ac:dyDescent="0.2">
      <c r="A86" s="178" t="s">
        <v>2066</v>
      </c>
      <c r="B86" s="1201" t="s">
        <v>547</v>
      </c>
      <c r="C86" s="236">
        <v>120</v>
      </c>
      <c r="D86" s="236">
        <v>3663</v>
      </c>
      <c r="E86" s="236">
        <v>0</v>
      </c>
      <c r="F86" s="236">
        <v>11920</v>
      </c>
      <c r="G86" s="236">
        <v>58214</v>
      </c>
      <c r="H86" s="236" t="s">
        <v>288</v>
      </c>
      <c r="I86" s="356">
        <v>0</v>
      </c>
      <c r="J86" s="356">
        <v>76099</v>
      </c>
      <c r="K86" s="356">
        <v>119</v>
      </c>
      <c r="L86" s="236">
        <v>3250</v>
      </c>
    </row>
    <row r="87" spans="1:12" s="153" customFormat="1" ht="11.45" customHeight="1" x14ac:dyDescent="0.2">
      <c r="A87" s="178" t="s">
        <v>2066</v>
      </c>
      <c r="B87" s="1135" t="s">
        <v>554</v>
      </c>
      <c r="C87" s="275" t="s">
        <v>288</v>
      </c>
      <c r="D87" s="275" t="s">
        <v>288</v>
      </c>
      <c r="E87" s="275">
        <v>38</v>
      </c>
      <c r="F87" s="275" t="s">
        <v>288</v>
      </c>
      <c r="G87" s="275" t="s">
        <v>288</v>
      </c>
      <c r="H87" s="275" t="s">
        <v>288</v>
      </c>
      <c r="I87" s="277">
        <v>0</v>
      </c>
      <c r="J87" s="277">
        <v>101250</v>
      </c>
      <c r="K87" s="277">
        <v>121</v>
      </c>
      <c r="L87" s="275" t="s">
        <v>288</v>
      </c>
    </row>
    <row r="88" spans="1:12" s="153" customFormat="1" ht="11.45" customHeight="1" x14ac:dyDescent="0.2">
      <c r="A88" s="178" t="s">
        <v>2066</v>
      </c>
      <c r="B88" s="1201" t="s">
        <v>555</v>
      </c>
      <c r="C88" s="236" t="s">
        <v>288</v>
      </c>
      <c r="D88" s="236" t="s">
        <v>288</v>
      </c>
      <c r="E88" s="236">
        <v>63</v>
      </c>
      <c r="F88" s="236" t="s">
        <v>288</v>
      </c>
      <c r="G88" s="236" t="s">
        <v>288</v>
      </c>
      <c r="H88" s="236" t="s">
        <v>288</v>
      </c>
      <c r="I88" s="356">
        <v>340</v>
      </c>
      <c r="J88" s="356">
        <v>98044</v>
      </c>
      <c r="K88" s="356">
        <v>125</v>
      </c>
      <c r="L88" s="236" t="s">
        <v>288</v>
      </c>
    </row>
    <row r="89" spans="1:12" s="153" customFormat="1" ht="11.45" customHeight="1" x14ac:dyDescent="0.2">
      <c r="A89" s="178" t="s">
        <v>2066</v>
      </c>
      <c r="B89" s="1135" t="s">
        <v>548</v>
      </c>
      <c r="C89" s="275" t="s">
        <v>288</v>
      </c>
      <c r="D89" s="275" t="s">
        <v>288</v>
      </c>
      <c r="E89" s="275">
        <v>0</v>
      </c>
      <c r="F89" s="275" t="s">
        <v>288</v>
      </c>
      <c r="G89" s="275" t="s">
        <v>288</v>
      </c>
      <c r="H89" s="275" t="s">
        <v>288</v>
      </c>
      <c r="I89" s="277">
        <v>8726</v>
      </c>
      <c r="J89" s="277">
        <v>101463</v>
      </c>
      <c r="K89" s="277">
        <v>127</v>
      </c>
      <c r="L89" s="275" t="s">
        <v>288</v>
      </c>
    </row>
    <row r="90" spans="1:12" s="153" customFormat="1" ht="11.45" customHeight="1" x14ac:dyDescent="0.2">
      <c r="A90" s="178" t="s">
        <v>2066</v>
      </c>
      <c r="B90" s="1201" t="s">
        <v>556</v>
      </c>
      <c r="C90" s="236" t="s">
        <v>288</v>
      </c>
      <c r="D90" s="236" t="s">
        <v>288</v>
      </c>
      <c r="E90" s="236">
        <v>202</v>
      </c>
      <c r="F90" s="236" t="s">
        <v>288</v>
      </c>
      <c r="G90" s="236" t="s">
        <v>288</v>
      </c>
      <c r="H90" s="236" t="s">
        <v>288</v>
      </c>
      <c r="I90" s="356">
        <v>11444.5</v>
      </c>
      <c r="J90" s="356">
        <v>79747</v>
      </c>
      <c r="K90" s="356">
        <v>132</v>
      </c>
      <c r="L90" s="236" t="s">
        <v>288</v>
      </c>
    </row>
    <row r="91" spans="1:12" s="153" customFormat="1" ht="11.45" customHeight="1" x14ac:dyDescent="0.2">
      <c r="A91" s="178" t="s">
        <v>2066</v>
      </c>
      <c r="B91" s="1135" t="s">
        <v>557</v>
      </c>
      <c r="C91" s="275" t="s">
        <v>288</v>
      </c>
      <c r="D91" s="275" t="s">
        <v>288</v>
      </c>
      <c r="E91" s="275">
        <v>244</v>
      </c>
      <c r="F91" s="275" t="s">
        <v>288</v>
      </c>
      <c r="G91" s="275" t="s">
        <v>288</v>
      </c>
      <c r="H91" s="275" t="s">
        <v>288</v>
      </c>
      <c r="I91" s="277">
        <v>242.75</v>
      </c>
      <c r="J91" s="277">
        <v>41073</v>
      </c>
      <c r="K91" s="277">
        <v>112</v>
      </c>
      <c r="L91" s="275" t="s">
        <v>288</v>
      </c>
    </row>
    <row r="92" spans="1:12" s="153" customFormat="1" ht="11.45" customHeight="1" x14ac:dyDescent="0.2">
      <c r="A92" s="178" t="s">
        <v>2066</v>
      </c>
      <c r="B92" s="1201" t="s">
        <v>549</v>
      </c>
      <c r="C92" s="420" t="s">
        <v>288</v>
      </c>
      <c r="D92" s="420" t="s">
        <v>288</v>
      </c>
      <c r="E92" s="420">
        <v>191</v>
      </c>
      <c r="F92" s="420" t="s">
        <v>288</v>
      </c>
      <c r="G92" s="420" t="s">
        <v>288</v>
      </c>
      <c r="H92" s="420" t="s">
        <v>288</v>
      </c>
      <c r="I92" s="1200">
        <v>0</v>
      </c>
      <c r="J92" s="1200">
        <v>58484</v>
      </c>
      <c r="K92" s="1200">
        <v>93</v>
      </c>
      <c r="L92" s="420" t="s">
        <v>288</v>
      </c>
    </row>
    <row r="93" spans="1:12" s="153" customFormat="1" ht="11.45" customHeight="1" x14ac:dyDescent="0.2">
      <c r="A93" s="178" t="s">
        <v>2066</v>
      </c>
      <c r="B93" s="1135" t="s">
        <v>558</v>
      </c>
      <c r="C93" s="1202" t="s">
        <v>288</v>
      </c>
      <c r="D93" s="1202" t="s">
        <v>288</v>
      </c>
      <c r="E93" s="1202">
        <v>167</v>
      </c>
      <c r="F93" s="1202" t="s">
        <v>288</v>
      </c>
      <c r="G93" s="1202" t="s">
        <v>288</v>
      </c>
      <c r="H93" s="1202" t="s">
        <v>288</v>
      </c>
      <c r="I93" s="901">
        <v>0</v>
      </c>
      <c r="J93" s="901">
        <v>81520</v>
      </c>
      <c r="K93" s="901">
        <v>69</v>
      </c>
      <c r="L93" s="1202" t="s">
        <v>288</v>
      </c>
    </row>
    <row r="94" spans="1:12" s="153" customFormat="1" ht="11.45" customHeight="1" x14ac:dyDescent="0.2">
      <c r="A94" s="178" t="s">
        <v>2066</v>
      </c>
      <c r="B94" s="1201" t="s">
        <v>559</v>
      </c>
      <c r="C94" s="420" t="s">
        <v>288</v>
      </c>
      <c r="D94" s="420" t="s">
        <v>288</v>
      </c>
      <c r="E94" s="420">
        <v>202</v>
      </c>
      <c r="F94" s="420" t="s">
        <v>288</v>
      </c>
      <c r="G94" s="420" t="s">
        <v>288</v>
      </c>
      <c r="H94" s="420" t="s">
        <v>288</v>
      </c>
      <c r="I94" s="1200">
        <v>0</v>
      </c>
      <c r="J94" s="1200">
        <v>69408</v>
      </c>
      <c r="K94" s="1200">
        <v>48</v>
      </c>
      <c r="L94" s="420" t="s">
        <v>288</v>
      </c>
    </row>
    <row r="95" spans="1:12" s="153" customFormat="1" ht="11.45" customHeight="1" x14ac:dyDescent="0.2">
      <c r="A95" s="178" t="s">
        <v>2066</v>
      </c>
      <c r="B95" s="1135" t="s">
        <v>550</v>
      </c>
      <c r="C95" s="1202" t="s">
        <v>288</v>
      </c>
      <c r="D95" s="1202" t="s">
        <v>288</v>
      </c>
      <c r="E95" s="1202">
        <v>209</v>
      </c>
      <c r="F95" s="1202" t="s">
        <v>288</v>
      </c>
      <c r="G95" s="1202" t="s">
        <v>288</v>
      </c>
      <c r="H95" s="1202" t="s">
        <v>288</v>
      </c>
      <c r="I95" s="901">
        <v>0</v>
      </c>
      <c r="J95" s="901">
        <f>8472+7950+55385.05</f>
        <v>71807.05</v>
      </c>
      <c r="K95" s="901">
        <v>54</v>
      </c>
      <c r="L95" s="1202" t="s">
        <v>288</v>
      </c>
    </row>
    <row r="96" spans="1:12" s="153" customFormat="1" ht="11.45" customHeight="1" x14ac:dyDescent="0.2">
      <c r="A96" s="178" t="s">
        <v>2206</v>
      </c>
      <c r="B96" s="1201" t="s">
        <v>552</v>
      </c>
      <c r="C96" s="901">
        <v>118.77621777777777</v>
      </c>
      <c r="D96" s="901">
        <v>1410.5935671799998</v>
      </c>
      <c r="E96" s="1202">
        <v>330</v>
      </c>
      <c r="F96" s="901">
        <v>496003.37</v>
      </c>
      <c r="G96" s="901">
        <v>350141.8544093126</v>
      </c>
      <c r="H96" s="1202">
        <v>7785</v>
      </c>
      <c r="I96" s="901">
        <v>0</v>
      </c>
      <c r="J96" s="901">
        <f>3402+5705+58877</f>
        <v>67984</v>
      </c>
      <c r="K96" s="901">
        <v>38</v>
      </c>
      <c r="L96" s="901">
        <v>4642.6895000000004</v>
      </c>
    </row>
    <row r="97" spans="1:12" s="153" customFormat="1" ht="11.45" customHeight="1" x14ac:dyDescent="0.2">
      <c r="A97" s="178" t="s">
        <v>2206</v>
      </c>
      <c r="B97" s="1135" t="s">
        <v>553</v>
      </c>
      <c r="C97" s="1200">
        <v>121.49070813333334</v>
      </c>
      <c r="D97" s="1200">
        <v>1448.1245770773126</v>
      </c>
      <c r="E97" s="1200">
        <v>79.33</v>
      </c>
      <c r="F97" s="1200">
        <v>494010.22000000003</v>
      </c>
      <c r="G97" s="1200">
        <v>272342.33255196962</v>
      </c>
      <c r="H97" s="1200">
        <v>7572.6</v>
      </c>
      <c r="I97" s="1200">
        <v>0</v>
      </c>
      <c r="J97" s="1200">
        <f>4838+6880+79156</f>
        <v>90874</v>
      </c>
      <c r="K97" s="1200">
        <v>15</v>
      </c>
      <c r="L97" s="1200">
        <v>5187.8999999999996</v>
      </c>
    </row>
    <row r="98" spans="1:12" s="153" customFormat="1" ht="11.45" customHeight="1" x14ac:dyDescent="0.2">
      <c r="A98" s="178" t="s">
        <v>2206</v>
      </c>
      <c r="B98" s="1201" t="s">
        <v>547</v>
      </c>
      <c r="C98" s="901">
        <v>119.89664422222221</v>
      </c>
      <c r="D98" s="901">
        <v>1684.0030053768724</v>
      </c>
      <c r="E98" s="901">
        <v>408</v>
      </c>
      <c r="F98" s="901">
        <v>496715.30108</v>
      </c>
      <c r="G98" s="901">
        <v>280082.41003337654</v>
      </c>
      <c r="H98" s="901">
        <v>7491.8308500000003</v>
      </c>
      <c r="I98" s="901">
        <v>0</v>
      </c>
      <c r="J98" s="901">
        <f>30814+9066+6908</f>
        <v>46788</v>
      </c>
      <c r="K98" s="901">
        <v>0</v>
      </c>
      <c r="L98" s="901">
        <v>5162.6303869999992</v>
      </c>
    </row>
    <row r="99" spans="1:12" s="153" customFormat="1" ht="11.45" customHeight="1" x14ac:dyDescent="0.2">
      <c r="A99" s="178" t="s">
        <v>2206</v>
      </c>
      <c r="B99" s="1135" t="s">
        <v>554</v>
      </c>
      <c r="C99" s="1200">
        <v>117.28494901111111</v>
      </c>
      <c r="D99" s="1200">
        <v>1789.112250061959</v>
      </c>
      <c r="E99" s="1200">
        <v>227</v>
      </c>
      <c r="F99" s="1200">
        <v>574629.54495113331</v>
      </c>
      <c r="G99" s="1200">
        <v>293857.41934957646</v>
      </c>
      <c r="H99" s="1200">
        <v>7702.8235002189995</v>
      </c>
      <c r="I99" s="1200">
        <v>0</v>
      </c>
      <c r="J99" s="1200">
        <f>4589+6765+8624</f>
        <v>19978</v>
      </c>
      <c r="K99" s="1200">
        <v>0</v>
      </c>
      <c r="L99" s="1200">
        <v>5315.8153712499998</v>
      </c>
    </row>
    <row r="100" spans="1:12" s="153" customFormat="1" ht="11.45" customHeight="1" x14ac:dyDescent="0.2">
      <c r="A100" s="178" t="s">
        <v>2206</v>
      </c>
      <c r="B100" s="1201" t="s">
        <v>555</v>
      </c>
      <c r="C100" s="901">
        <v>125.88772922555555</v>
      </c>
      <c r="D100" s="901">
        <v>1668.511819380866</v>
      </c>
      <c r="E100" s="901">
        <v>331</v>
      </c>
      <c r="F100" s="901">
        <v>575258.23333333328</v>
      </c>
      <c r="G100" s="901">
        <v>402040.87809082778</v>
      </c>
      <c r="H100" s="901">
        <v>8061.17238</v>
      </c>
      <c r="I100" s="901">
        <v>1941</v>
      </c>
      <c r="J100" s="901">
        <f>61870+11865+3283</f>
        <v>77018</v>
      </c>
      <c r="K100" s="901">
        <v>0</v>
      </c>
      <c r="L100" s="901">
        <v>4403.2036434943748</v>
      </c>
    </row>
    <row r="101" spans="1:12" s="153" customFormat="1" ht="11.45" customHeight="1" x14ac:dyDescent="0.2">
      <c r="A101" s="178" t="s">
        <v>2206</v>
      </c>
      <c r="B101" s="1135" t="s">
        <v>548</v>
      </c>
      <c r="C101" s="1200">
        <v>122.52091012222223</v>
      </c>
      <c r="D101" s="1200">
        <v>1654.9350163548636</v>
      </c>
      <c r="E101" s="1200">
        <v>210</v>
      </c>
      <c r="F101" s="1200">
        <v>572718.73333333328</v>
      </c>
      <c r="G101" s="1200">
        <v>304633.47112559999</v>
      </c>
      <c r="H101" s="1200">
        <v>7828.1440855999999</v>
      </c>
      <c r="I101" s="1200">
        <v>8970</v>
      </c>
      <c r="J101" s="1200">
        <v>101010</v>
      </c>
      <c r="K101" s="1200">
        <v>0</v>
      </c>
      <c r="L101" s="1200">
        <v>4676.8221689517723</v>
      </c>
    </row>
    <row r="102" spans="1:12" s="153" customFormat="1" ht="11.45" customHeight="1" x14ac:dyDescent="0.2">
      <c r="A102" s="178" t="s">
        <v>2206</v>
      </c>
      <c r="B102" s="1201" t="s">
        <v>556</v>
      </c>
      <c r="C102" s="901">
        <v>117.82483982399998</v>
      </c>
      <c r="D102" s="901">
        <v>1614.478090113379</v>
      </c>
      <c r="E102" s="901">
        <v>53</v>
      </c>
      <c r="F102" s="901">
        <v>652928.41999999993</v>
      </c>
      <c r="G102" s="901">
        <v>377587.72223946091</v>
      </c>
      <c r="H102" s="901">
        <v>7936.0501704279995</v>
      </c>
      <c r="I102" s="901">
        <v>14569</v>
      </c>
      <c r="J102" s="901">
        <v>118635</v>
      </c>
      <c r="K102" s="901">
        <v>0</v>
      </c>
      <c r="L102" s="901">
        <v>4559.6257059312502</v>
      </c>
    </row>
    <row r="103" spans="1:12" s="153" customFormat="1" ht="11.45" customHeight="1" x14ac:dyDescent="0.2">
      <c r="A103" s="178" t="s">
        <v>2206</v>
      </c>
      <c r="B103" s="1135" t="s">
        <v>557</v>
      </c>
      <c r="C103" s="1200">
        <v>120.41843450250794</v>
      </c>
      <c r="D103" s="1200">
        <v>1752.7438335241598</v>
      </c>
      <c r="E103" s="1200">
        <v>254.64</v>
      </c>
      <c r="F103" s="1200">
        <v>652711.91571428603</v>
      </c>
      <c r="G103" s="1200">
        <v>332720.18330137373</v>
      </c>
      <c r="H103" s="1200">
        <v>8022.1524689386633</v>
      </c>
      <c r="I103" s="1200">
        <v>5116</v>
      </c>
      <c r="J103" s="1200">
        <v>57503</v>
      </c>
      <c r="K103" s="1200">
        <v>0</v>
      </c>
      <c r="L103" s="1200">
        <v>4546.6773009859671</v>
      </c>
    </row>
    <row r="104" spans="1:12" s="153" customFormat="1" ht="11.45" customHeight="1" x14ac:dyDescent="0.2">
      <c r="A104" s="178" t="s">
        <v>2206</v>
      </c>
      <c r="B104" s="1201" t="s">
        <v>549</v>
      </c>
      <c r="C104" s="901">
        <v>120.4135205917859</v>
      </c>
      <c r="D104" s="901">
        <v>1706.5587002601321</v>
      </c>
      <c r="E104" s="901">
        <v>189.69</v>
      </c>
      <c r="F104" s="901">
        <v>642528.35</v>
      </c>
      <c r="G104" s="901">
        <v>351969.29615690617</v>
      </c>
      <c r="H104" s="901">
        <v>7855.4140975324271</v>
      </c>
      <c r="I104" s="901">
        <v>223</v>
      </c>
      <c r="J104" s="901">
        <v>30614</v>
      </c>
      <c r="K104" s="901">
        <v>0</v>
      </c>
      <c r="L104" s="901">
        <v>4548.9186181136656</v>
      </c>
    </row>
    <row r="105" spans="1:12" s="153" customFormat="1" ht="11.45" customHeight="1" x14ac:dyDescent="0.2">
      <c r="A105" s="178" t="s">
        <v>2206</v>
      </c>
      <c r="B105" s="1135" t="s">
        <v>558</v>
      </c>
      <c r="C105" s="1200">
        <v>122.52825121826022</v>
      </c>
      <c r="D105" s="1200">
        <v>1466.2322847682537</v>
      </c>
      <c r="E105" s="1200">
        <v>208.71</v>
      </c>
      <c r="F105" s="1200">
        <v>662558.62344</v>
      </c>
      <c r="G105" s="1200">
        <v>353561.98337923491</v>
      </c>
      <c r="H105" s="1200">
        <v>7485.1393023670898</v>
      </c>
      <c r="I105" s="1200">
        <v>0</v>
      </c>
      <c r="J105" s="1200">
        <v>10858</v>
      </c>
      <c r="K105" s="1200">
        <v>0</v>
      </c>
      <c r="L105" s="1200">
        <v>4492.215761705148</v>
      </c>
    </row>
    <row r="106" spans="1:12" s="153" customFormat="1" ht="11.45" customHeight="1" x14ac:dyDescent="0.2">
      <c r="A106" s="178" t="s">
        <v>2206</v>
      </c>
      <c r="B106" s="1201" t="s">
        <v>559</v>
      </c>
      <c r="C106" s="901">
        <v>121.74126931751465</v>
      </c>
      <c r="D106" s="901">
        <v>1588.9940881859927</v>
      </c>
      <c r="E106" s="901">
        <v>128</v>
      </c>
      <c r="F106" s="901">
        <v>658759.62354000006</v>
      </c>
      <c r="G106" s="901">
        <v>389612.51619263092</v>
      </c>
      <c r="H106" s="901">
        <v>7689.0369246442579</v>
      </c>
      <c r="I106" s="901">
        <v>0</v>
      </c>
      <c r="J106" s="901">
        <v>20948</v>
      </c>
      <c r="K106" s="901">
        <v>0</v>
      </c>
      <c r="L106" s="901">
        <v>4491.8992619005185</v>
      </c>
    </row>
    <row r="107" spans="1:12" s="153" customFormat="1" ht="11.45" customHeight="1" x14ac:dyDescent="0.2">
      <c r="A107" s="178" t="s">
        <v>2206</v>
      </c>
      <c r="B107" s="1135" t="s">
        <v>550</v>
      </c>
      <c r="C107" s="1200">
        <v>121.27582158554985</v>
      </c>
      <c r="D107" s="1200">
        <v>1409.8282090008076</v>
      </c>
      <c r="E107" s="1200">
        <v>90.4</v>
      </c>
      <c r="F107" s="1200">
        <v>642599.65353999997</v>
      </c>
      <c r="G107" s="1200">
        <v>254885.79964130497</v>
      </c>
      <c r="H107" s="1200">
        <v>7558.5203571814345</v>
      </c>
      <c r="I107" s="1200">
        <v>0</v>
      </c>
      <c r="J107" s="1200">
        <v>21037.75</v>
      </c>
      <c r="K107" s="1200">
        <v>0</v>
      </c>
      <c r="L107" s="1200">
        <v>4395.6450462268895</v>
      </c>
    </row>
    <row r="108" spans="1:12" s="153" customFormat="1" ht="11.45" customHeight="1" x14ac:dyDescent="0.2">
      <c r="A108" s="287" t="s">
        <v>2479</v>
      </c>
      <c r="B108" s="234" t="s">
        <v>552</v>
      </c>
      <c r="C108" s="356">
        <v>119.12035032231157</v>
      </c>
      <c r="D108" s="356">
        <v>1348.3458316071699</v>
      </c>
      <c r="E108" s="356">
        <v>217.96</v>
      </c>
      <c r="F108" s="356">
        <v>661270.15354000009</v>
      </c>
      <c r="G108" s="356">
        <v>297797.21000000002</v>
      </c>
      <c r="H108" s="356">
        <v>7553.7992033700239</v>
      </c>
      <c r="I108" s="356">
        <v>0</v>
      </c>
      <c r="J108" s="356">
        <f>4275+75291+6602</f>
        <v>86168</v>
      </c>
      <c r="K108" s="356">
        <v>0</v>
      </c>
      <c r="L108" s="356">
        <v>4439.5331730247308</v>
      </c>
    </row>
    <row r="109" spans="1:12" s="153" customFormat="1" ht="11.45" customHeight="1" x14ac:dyDescent="0.2">
      <c r="A109" s="287" t="s">
        <v>2479</v>
      </c>
      <c r="B109" s="304" t="s">
        <v>553</v>
      </c>
      <c r="C109" s="277">
        <v>120.2889243220646</v>
      </c>
      <c r="D109" s="277">
        <v>1334.8248090358413</v>
      </c>
      <c r="E109" s="277">
        <v>0</v>
      </c>
      <c r="F109" s="277">
        <v>652020.19212659495</v>
      </c>
      <c r="G109" s="277">
        <v>297532.0872092637</v>
      </c>
      <c r="H109" s="277">
        <v>7558.2896966705639</v>
      </c>
      <c r="I109" s="277">
        <v>0</v>
      </c>
      <c r="J109" s="277">
        <f>5990+111056+5702</f>
        <v>122748</v>
      </c>
      <c r="K109" s="277">
        <v>0</v>
      </c>
      <c r="L109" s="277">
        <v>4556.1442342581877</v>
      </c>
    </row>
    <row r="110" spans="1:12" s="153" customFormat="1" ht="11.45" customHeight="1" x14ac:dyDescent="0.2">
      <c r="A110" s="287" t="s">
        <v>2479</v>
      </c>
      <c r="B110" s="234" t="s">
        <v>547</v>
      </c>
      <c r="C110" s="356">
        <v>122.56248235794244</v>
      </c>
      <c r="D110" s="356">
        <v>1361.1285127697322</v>
      </c>
      <c r="E110" s="356">
        <v>132.18</v>
      </c>
      <c r="F110" s="356">
        <v>662521.49857545644</v>
      </c>
      <c r="G110" s="356">
        <v>299014.20665886434</v>
      </c>
      <c r="H110" s="356">
        <v>7535.9070988355916</v>
      </c>
      <c r="I110" s="356">
        <v>0</v>
      </c>
      <c r="J110" s="356">
        <f>3335+93976+9574</f>
        <v>106885</v>
      </c>
      <c r="K110" s="356">
        <v>0</v>
      </c>
      <c r="L110" s="356">
        <v>4502.5063974117147</v>
      </c>
    </row>
    <row r="111" spans="1:12" s="153" customFormat="1" ht="11.45" customHeight="1" x14ac:dyDescent="0.2">
      <c r="A111" s="287" t="s">
        <v>2479</v>
      </c>
      <c r="B111" s="304" t="s">
        <v>554</v>
      </c>
      <c r="C111" s="277">
        <v>123.66328888888889</v>
      </c>
      <c r="D111" s="277">
        <v>1763.9683763354828</v>
      </c>
      <c r="E111" s="277">
        <v>132.63999999999999</v>
      </c>
      <c r="F111" s="277">
        <v>586121.56944752915</v>
      </c>
      <c r="G111" s="277">
        <v>297774.506638753</v>
      </c>
      <c r="H111" s="277">
        <v>7788.6093357424643</v>
      </c>
      <c r="I111" s="277">
        <v>0</v>
      </c>
      <c r="J111" s="277">
        <f>3125+124132+2152</f>
        <v>129409</v>
      </c>
      <c r="K111" s="277">
        <v>0</v>
      </c>
      <c r="L111" s="277">
        <v>4560.3104573651462</v>
      </c>
    </row>
    <row r="112" spans="1:12" s="153" customFormat="1" ht="11.45" customHeight="1" x14ac:dyDescent="0.2">
      <c r="A112" s="287" t="s">
        <v>2479</v>
      </c>
      <c r="B112" s="234" t="s">
        <v>555</v>
      </c>
      <c r="C112" s="356">
        <v>121.13161111111113</v>
      </c>
      <c r="D112" s="356">
        <v>1648.7710200459758</v>
      </c>
      <c r="E112" s="356">
        <v>0</v>
      </c>
      <c r="F112" s="356">
        <v>515022.9</v>
      </c>
      <c r="G112" s="356">
        <v>387043.70258493564</v>
      </c>
      <c r="H112" s="356">
        <v>8233.48</v>
      </c>
      <c r="I112" s="356">
        <v>1340</v>
      </c>
      <c r="J112" s="356">
        <f>2425+112632.5+4736</f>
        <v>119793.5</v>
      </c>
      <c r="K112" s="356">
        <v>0</v>
      </c>
      <c r="L112" s="356">
        <v>4684.1229329999996</v>
      </c>
    </row>
    <row r="113" spans="1:16" s="153" customFormat="1" ht="11.45" customHeight="1" x14ac:dyDescent="0.2">
      <c r="A113" s="287" t="s">
        <v>2479</v>
      </c>
      <c r="B113" s="304" t="s">
        <v>548</v>
      </c>
      <c r="C113" s="277">
        <v>122.60593333333333</v>
      </c>
      <c r="D113" s="277">
        <v>1645.6335127537998</v>
      </c>
      <c r="E113" s="277">
        <v>0</v>
      </c>
      <c r="F113" s="277">
        <v>501132.20422221662</v>
      </c>
      <c r="G113" s="277">
        <v>321742.4649353</v>
      </c>
      <c r="H113" s="277">
        <v>8041.9801478134277</v>
      </c>
      <c r="I113" s="277">
        <v>12463</v>
      </c>
      <c r="J113" s="277">
        <f>1540+125955+1191</f>
        <v>128686</v>
      </c>
      <c r="K113" s="277">
        <v>0</v>
      </c>
      <c r="L113" s="277">
        <v>4792.3977575914796</v>
      </c>
    </row>
    <row r="114" spans="1:16" s="153" customFormat="1" ht="11.45" customHeight="1" x14ac:dyDescent="0.2">
      <c r="A114" s="287" t="s">
        <v>2479</v>
      </c>
      <c r="B114" s="234" t="s">
        <v>556</v>
      </c>
      <c r="C114" s="356">
        <v>126.57178542059204</v>
      </c>
      <c r="D114" s="356">
        <v>1705.7715863038161</v>
      </c>
      <c r="E114" s="356">
        <v>203.13</v>
      </c>
      <c r="F114" s="356">
        <v>666838.48300000001</v>
      </c>
      <c r="G114" s="356">
        <v>364292.62</v>
      </c>
      <c r="H114" s="356">
        <v>7866</v>
      </c>
      <c r="I114" s="356">
        <v>19128.5</v>
      </c>
      <c r="J114" s="356">
        <f>9690+125901+0</f>
        <v>135591</v>
      </c>
      <c r="K114" s="356">
        <v>0</v>
      </c>
      <c r="L114" s="356">
        <v>4884.2784242410016</v>
      </c>
      <c r="P114" s="234"/>
    </row>
    <row r="115" spans="1:16" s="153" customFormat="1" ht="11.45" customHeight="1" x14ac:dyDescent="0.2">
      <c r="A115" s="287" t="s">
        <v>2479</v>
      </c>
      <c r="B115" s="304" t="s">
        <v>557</v>
      </c>
      <c r="C115" s="277">
        <v>124.99629097614759</v>
      </c>
      <c r="D115" s="277">
        <v>1814.9906271364498</v>
      </c>
      <c r="E115" s="277">
        <v>149.36000000000001</v>
      </c>
      <c r="F115" s="277">
        <v>666838.5830000001</v>
      </c>
      <c r="G115" s="277">
        <v>354274.93948155351</v>
      </c>
      <c r="H115" s="277">
        <v>7870.6943557575023</v>
      </c>
      <c r="I115" s="277">
        <v>10767.05</v>
      </c>
      <c r="J115" s="277">
        <f>0+5420+34886</f>
        <v>40306</v>
      </c>
      <c r="K115" s="277">
        <v>0</v>
      </c>
      <c r="L115" s="277">
        <v>4768.561424241002</v>
      </c>
    </row>
    <row r="116" spans="1:16" s="153" customFormat="1" ht="11.45" customHeight="1" x14ac:dyDescent="0.2">
      <c r="A116" s="287" t="s">
        <v>2479</v>
      </c>
      <c r="B116" s="1135" t="s">
        <v>549</v>
      </c>
      <c r="C116" s="1200">
        <v>125.37791768999188</v>
      </c>
      <c r="D116" s="1200">
        <v>1609.5413431640277</v>
      </c>
      <c r="E116" s="1200">
        <v>221.21</v>
      </c>
      <c r="F116" s="1200">
        <v>661941.0678711012</v>
      </c>
      <c r="G116" s="1200">
        <v>338370.40209313919</v>
      </c>
      <c r="H116" s="1200">
        <v>7831.5204546261839</v>
      </c>
      <c r="I116" s="1200">
        <v>2496.5</v>
      </c>
      <c r="J116" s="1200">
        <f>0+7350+76182.8</f>
        <v>83532.800000000003</v>
      </c>
      <c r="K116" s="1200">
        <v>0</v>
      </c>
      <c r="L116" s="1200">
        <v>4869.2232456195579</v>
      </c>
    </row>
    <row r="117" spans="1:16" s="153" customFormat="1" ht="11.45" customHeight="1" x14ac:dyDescent="0.2">
      <c r="A117" s="287" t="s">
        <v>2479</v>
      </c>
      <c r="B117" s="1201" t="s">
        <v>558</v>
      </c>
      <c r="C117" s="901">
        <v>134.16441238421834</v>
      </c>
      <c r="D117" s="901">
        <v>1449.8869629337273</v>
      </c>
      <c r="E117" s="901">
        <v>0</v>
      </c>
      <c r="F117" s="901">
        <v>676695.79139521276</v>
      </c>
      <c r="G117" s="901">
        <v>322988.33387345297</v>
      </c>
      <c r="H117" s="901">
        <v>7491.3514171760398</v>
      </c>
      <c r="I117" s="901">
        <v>0</v>
      </c>
      <c r="J117" s="901">
        <f>93231+9549+6005</f>
        <v>108785</v>
      </c>
      <c r="K117" s="901">
        <v>0</v>
      </c>
      <c r="L117" s="901">
        <v>4605.9133352685731</v>
      </c>
    </row>
    <row r="118" spans="1:16" s="153" customFormat="1" ht="11.45" customHeight="1" x14ac:dyDescent="0.2">
      <c r="A118" s="287" t="s">
        <v>2479</v>
      </c>
      <c r="B118" s="1135" t="s">
        <v>559</v>
      </c>
      <c r="C118" s="1200">
        <v>133.48307639999999</v>
      </c>
      <c r="D118" s="1200">
        <v>1295.274588</v>
      </c>
      <c r="E118" s="1200">
        <v>478.48</v>
      </c>
      <c r="F118" s="1200">
        <v>675071.5</v>
      </c>
      <c r="G118" s="1200">
        <v>414855.36489999999</v>
      </c>
      <c r="H118" s="1200">
        <v>7812</v>
      </c>
      <c r="I118" s="1200">
        <v>0</v>
      </c>
      <c r="J118" s="1200">
        <f>70870+14775+9310</f>
        <v>94955</v>
      </c>
      <c r="K118" s="1200">
        <v>0</v>
      </c>
      <c r="L118" s="1200">
        <v>4680.8315229999998</v>
      </c>
    </row>
    <row r="119" spans="1:16" s="153" customFormat="1" ht="11.45" customHeight="1" x14ac:dyDescent="0.2">
      <c r="A119" s="287" t="s">
        <v>2479</v>
      </c>
      <c r="B119" s="1201" t="s">
        <v>550</v>
      </c>
      <c r="C119" s="901">
        <v>135.80416360000001</v>
      </c>
      <c r="D119" s="901">
        <v>1304.0657630000001</v>
      </c>
      <c r="E119" s="901">
        <v>83.95</v>
      </c>
      <c r="F119" s="901">
        <v>481965.07130000001</v>
      </c>
      <c r="G119" s="901">
        <v>201256.2291</v>
      </c>
      <c r="H119" s="901">
        <v>5978.6485830000001</v>
      </c>
      <c r="I119" s="901">
        <v>0</v>
      </c>
      <c r="J119" s="901">
        <f>79807.3+4530+4260</f>
        <v>88597.3</v>
      </c>
      <c r="K119" s="901">
        <v>0</v>
      </c>
      <c r="L119" s="901">
        <v>4500.1385469999996</v>
      </c>
    </row>
    <row r="120" spans="1:16" s="153" customFormat="1" ht="11.45" customHeight="1" x14ac:dyDescent="0.2">
      <c r="A120" s="178" t="s">
        <v>2730</v>
      </c>
      <c r="B120" s="1201" t="s">
        <v>552</v>
      </c>
      <c r="C120" s="901">
        <v>112.38386795098259</v>
      </c>
      <c r="D120" s="901">
        <v>1067.7322716406693</v>
      </c>
      <c r="E120" s="901">
        <v>0</v>
      </c>
      <c r="F120" s="901">
        <v>359272.71389071271</v>
      </c>
      <c r="G120" s="901">
        <v>369577.00545705558</v>
      </c>
      <c r="H120" s="901">
        <v>4262.6595746290232</v>
      </c>
      <c r="I120" s="901">
        <v>0</v>
      </c>
      <c r="J120" s="901">
        <f>53448+2960+8421</f>
        <v>64829</v>
      </c>
      <c r="K120" s="901">
        <v>0</v>
      </c>
      <c r="L120" s="901">
        <v>4367.7310726606711</v>
      </c>
    </row>
    <row r="121" spans="1:16" s="153" customFormat="1" ht="11.45" customHeight="1" x14ac:dyDescent="0.2">
      <c r="A121" s="178" t="s">
        <v>2730</v>
      </c>
      <c r="B121" s="1135" t="s">
        <v>553</v>
      </c>
      <c r="C121" s="1200">
        <v>120.4654682921157</v>
      </c>
      <c r="D121" s="1200">
        <v>1344.7890790043107</v>
      </c>
      <c r="E121" s="1200">
        <v>172.98</v>
      </c>
      <c r="F121" s="1200">
        <v>366396.78006262402</v>
      </c>
      <c r="G121" s="1200">
        <v>310782.47806843586</v>
      </c>
      <c r="H121" s="1200">
        <v>7927.3641225734664</v>
      </c>
      <c r="I121" s="1200">
        <v>0</v>
      </c>
      <c r="J121" s="1200">
        <f>0+8099+5124</f>
        <v>13223</v>
      </c>
      <c r="K121" s="1200">
        <v>0</v>
      </c>
      <c r="L121" s="1200">
        <v>4462.0527034370389</v>
      </c>
    </row>
    <row r="122" spans="1:16" s="153" customFormat="1" ht="11.45" customHeight="1" x14ac:dyDescent="0.2">
      <c r="A122" s="178" t="s">
        <v>2730</v>
      </c>
      <c r="B122" s="1201" t="s">
        <v>547</v>
      </c>
      <c r="C122" s="901">
        <v>124.38221761463768</v>
      </c>
      <c r="D122" s="901">
        <v>1263.8151984024003</v>
      </c>
      <c r="E122" s="901">
        <v>348.76</v>
      </c>
      <c r="F122" s="901">
        <v>430694.48321854114</v>
      </c>
      <c r="G122" s="901">
        <v>330957.36802690249</v>
      </c>
      <c r="H122" s="901">
        <v>8162.7121473431962</v>
      </c>
      <c r="I122" s="901">
        <v>0</v>
      </c>
      <c r="J122" s="901">
        <f>80829+11269.9+720</f>
        <v>92818.9</v>
      </c>
      <c r="K122" s="901">
        <v>0</v>
      </c>
      <c r="L122" s="901">
        <v>4385.5818998150153</v>
      </c>
    </row>
    <row r="123" spans="1:16" s="153" customFormat="1" ht="9.9499999999999993" customHeight="1" x14ac:dyDescent="0.2">
      <c r="A123" s="178" t="s">
        <v>2730</v>
      </c>
      <c r="B123" s="1135" t="s">
        <v>554</v>
      </c>
      <c r="C123" s="1200" t="s">
        <v>288</v>
      </c>
      <c r="D123" s="1200" t="s">
        <v>288</v>
      </c>
      <c r="E123" s="1200">
        <v>413</v>
      </c>
      <c r="F123" s="1200" t="s">
        <v>288</v>
      </c>
      <c r="G123" s="1200" t="s">
        <v>288</v>
      </c>
      <c r="H123" s="1200" t="s">
        <v>288</v>
      </c>
      <c r="I123" s="1200">
        <v>2645</v>
      </c>
      <c r="J123" s="1200">
        <v>107209</v>
      </c>
      <c r="K123" s="1200">
        <v>0</v>
      </c>
      <c r="L123" s="1200" t="s">
        <v>288</v>
      </c>
    </row>
    <row r="124" spans="1:16" s="264" customFormat="1" ht="9.9499999999999993" customHeight="1" thickBot="1" x14ac:dyDescent="0.2">
      <c r="A124" s="178" t="s">
        <v>2730</v>
      </c>
      <c r="B124" s="1527" t="s">
        <v>555</v>
      </c>
      <c r="C124" s="1528" t="s">
        <v>288</v>
      </c>
      <c r="D124" s="1528" t="s">
        <v>288</v>
      </c>
      <c r="E124" s="1528">
        <v>469</v>
      </c>
      <c r="F124" s="1528" t="s">
        <v>288</v>
      </c>
      <c r="G124" s="1528" t="s">
        <v>288</v>
      </c>
      <c r="H124" s="1528" t="s">
        <v>288</v>
      </c>
      <c r="I124" s="1528" t="s">
        <v>288</v>
      </c>
      <c r="J124" s="1528">
        <v>115099</v>
      </c>
      <c r="K124" s="1528">
        <v>0</v>
      </c>
      <c r="L124" s="1528" t="s">
        <v>288</v>
      </c>
    </row>
    <row r="125" spans="1:16" s="264" customFormat="1" ht="9.9499999999999993" customHeight="1" x14ac:dyDescent="0.15">
      <c r="A125" s="438" t="s">
        <v>671</v>
      </c>
      <c r="B125" s="438"/>
      <c r="C125" s="2650" t="s">
        <v>1341</v>
      </c>
      <c r="D125" s="2650"/>
      <c r="E125" s="2650"/>
      <c r="F125" s="2650"/>
      <c r="G125" s="241"/>
      <c r="H125" s="439" t="s">
        <v>229</v>
      </c>
      <c r="I125" s="2651" t="s">
        <v>2191</v>
      </c>
      <c r="J125" s="2651"/>
      <c r="K125" s="2651"/>
      <c r="L125" s="2651"/>
    </row>
    <row r="126" spans="1:16" s="264" customFormat="1" ht="9.9499999999999993" customHeight="1" x14ac:dyDescent="0.15">
      <c r="A126" s="152" t="s">
        <v>621</v>
      </c>
      <c r="B126" s="152"/>
      <c r="C126" s="258" t="s">
        <v>1342</v>
      </c>
      <c r="D126" s="1491"/>
      <c r="E126" s="1491"/>
      <c r="F126" s="1259"/>
      <c r="G126" s="1259"/>
      <c r="H126" s="1260"/>
      <c r="I126" s="1452" t="s">
        <v>2166</v>
      </c>
      <c r="J126" s="1452"/>
      <c r="K126" s="1452"/>
      <c r="L126" s="1452"/>
    </row>
    <row r="127" spans="1:16" s="264" customFormat="1" ht="9.9499999999999993" customHeight="1" x14ac:dyDescent="0.15">
      <c r="A127" s="440" t="s">
        <v>230</v>
      </c>
      <c r="B127" s="440"/>
      <c r="C127" s="2643" t="s">
        <v>2190</v>
      </c>
      <c r="D127" s="2643"/>
      <c r="E127" s="2643"/>
      <c r="F127" s="1259"/>
      <c r="G127" s="1261"/>
      <c r="H127" s="440"/>
      <c r="I127" s="2649" t="s">
        <v>2167</v>
      </c>
      <c r="J127" s="2649"/>
      <c r="K127" s="2649"/>
      <c r="L127" s="2649"/>
    </row>
    <row r="128" spans="1:16" s="264" customFormat="1" ht="9.9499999999999993" customHeight="1" x14ac:dyDescent="0.15">
      <c r="A128" s="440" t="s">
        <v>231</v>
      </c>
      <c r="B128" s="440"/>
      <c r="F128" s="748"/>
      <c r="G128" s="208"/>
      <c r="H128" s="440"/>
      <c r="I128" s="2643" t="s">
        <v>1356</v>
      </c>
      <c r="J128" s="2643"/>
      <c r="K128" s="2643"/>
      <c r="L128" s="2643"/>
    </row>
    <row r="129" spans="1:12" ht="9.9499999999999993" customHeight="1" x14ac:dyDescent="0.15">
      <c r="A129" s="440" t="s">
        <v>232</v>
      </c>
      <c r="B129" s="440"/>
      <c r="C129" s="748"/>
      <c r="D129" s="748"/>
      <c r="H129" s="440"/>
      <c r="I129" s="2643" t="s">
        <v>1534</v>
      </c>
      <c r="J129" s="2643"/>
      <c r="K129" s="1491"/>
      <c r="L129" s="1491"/>
    </row>
    <row r="130" spans="1:12" ht="9.9499999999999993" customHeight="1" x14ac:dyDescent="0.15">
      <c r="G130" s="748"/>
    </row>
    <row r="131" spans="1:12" ht="9.9499999999999993" customHeight="1" x14ac:dyDescent="0.15">
      <c r="C131" s="748"/>
      <c r="D131" s="748"/>
      <c r="E131" s="748"/>
      <c r="F131" s="748"/>
      <c r="G131" s="748"/>
    </row>
    <row r="132" spans="1:12" ht="9.9499999999999993" customHeight="1" x14ac:dyDescent="0.15">
      <c r="C132" s="748"/>
      <c r="D132" s="748"/>
      <c r="E132" s="748"/>
      <c r="F132" s="748"/>
    </row>
    <row r="133" spans="1:12" ht="9.9499999999999993" customHeight="1" x14ac:dyDescent="0.15">
      <c r="C133" s="748"/>
      <c r="D133" s="748"/>
      <c r="E133" s="748"/>
      <c r="F133" s="748"/>
    </row>
    <row r="134" spans="1:12" ht="9.9499999999999993" customHeight="1" x14ac:dyDescent="0.15">
      <c r="C134" s="748"/>
      <c r="D134" s="748"/>
    </row>
    <row r="135" spans="1:12" ht="9" customHeight="1" x14ac:dyDescent="0.15"/>
    <row r="136" spans="1:12" x14ac:dyDescent="0.15">
      <c r="C136" s="748"/>
    </row>
  </sheetData>
  <customSheetViews>
    <customSheetView guid="{A374FC54-96E3-45F0-9C12-8450400C12DF}" scale="172">
      <pane xSplit="1" ySplit="4" topLeftCell="J43" activePane="bottomRight" state="frozen"/>
      <selection pane="bottomRight" activeCell="O54" sqref="O54"/>
      <pageMargins left="0.62992125984251968" right="0.39370078740157483" top="0.51180993000874886" bottom="0.51180993000874886" header="0" footer="0.51333333333333331"/>
      <pageSetup paperSize="132" firstPageNumber="40" orientation="portrait" useFirstPageNumber="1" r:id="rId1"/>
      <headerFooter alignWithMargins="0">
        <oddFooter>&amp;C&amp;"Times New Roman,Regular"&amp;8&amp;P</oddFooter>
      </headerFooter>
    </customSheetView>
  </customSheetViews>
  <mergeCells count="12">
    <mergeCell ref="I129:J129"/>
    <mergeCell ref="A1:J1"/>
    <mergeCell ref="K1:L1"/>
    <mergeCell ref="H2:J2"/>
    <mergeCell ref="A3:A4"/>
    <mergeCell ref="D2:F2"/>
    <mergeCell ref="I127:L127"/>
    <mergeCell ref="C125:F125"/>
    <mergeCell ref="I125:L125"/>
    <mergeCell ref="C127:E127"/>
    <mergeCell ref="I128:L128"/>
    <mergeCell ref="B3:B4"/>
  </mergeCells>
  <phoneticPr fontId="5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"/>
  <sheetViews>
    <sheetView zoomScale="160" zoomScaleNormal="160" workbookViewId="0">
      <pane xSplit="1" ySplit="6" topLeftCell="B30" activePane="bottomRight" state="frozen"/>
      <selection pane="topRight" activeCell="B1" sqref="B1"/>
      <selection pane="bottomLeft" activeCell="A7" sqref="A7"/>
      <selection pane="bottomRight" activeCell="G8" sqref="G8:G40"/>
    </sheetView>
  </sheetViews>
  <sheetFormatPr defaultColWidth="9.140625" defaultRowHeight="11.25" customHeight="1" x14ac:dyDescent="0.2"/>
  <cols>
    <col min="1" max="1" width="14.85546875" style="89" customWidth="1"/>
    <col min="2" max="2" width="7.5703125" style="2" customWidth="1"/>
    <col min="3" max="3" width="14.42578125" style="2" customWidth="1"/>
    <col min="4" max="4" width="13.140625" style="2" customWidth="1"/>
    <col min="5" max="5" width="10.140625" style="2" customWidth="1"/>
    <col min="6" max="6" width="9.85546875" style="2" customWidth="1"/>
    <col min="7" max="7" width="11" style="2" customWidth="1"/>
    <col min="8" max="8" width="10.140625" style="2" customWidth="1"/>
    <col min="9" max="9" width="9.85546875" style="2" customWidth="1"/>
    <col min="10" max="10" width="11.5703125" style="2" customWidth="1"/>
    <col min="11" max="11" width="11.42578125" style="2" customWidth="1"/>
    <col min="12" max="16384" width="9.140625" style="2"/>
  </cols>
  <sheetData>
    <row r="1" spans="1:9" s="30" customFormat="1" ht="11.25" customHeight="1" x14ac:dyDescent="0.25">
      <c r="A1" s="2654" t="s">
        <v>2168</v>
      </c>
      <c r="B1" s="2654"/>
      <c r="C1" s="2654"/>
      <c r="D1" s="2654"/>
      <c r="E1" s="2654"/>
      <c r="F1" s="2654"/>
      <c r="G1" s="2654"/>
      <c r="H1" s="2652" t="s">
        <v>2192</v>
      </c>
      <c r="I1" s="2652"/>
    </row>
    <row r="2" spans="1:9" s="30" customFormat="1" ht="11.25" customHeight="1" x14ac:dyDescent="0.25">
      <c r="A2" s="2226"/>
      <c r="B2" s="1383"/>
      <c r="C2" s="1383"/>
      <c r="D2" s="1383"/>
      <c r="E2" s="1383"/>
      <c r="F2" s="1383"/>
      <c r="G2" s="1383"/>
      <c r="H2" s="1384"/>
      <c r="I2" s="1384"/>
    </row>
    <row r="3" spans="1:9" s="820" customFormat="1" ht="11.25" customHeight="1" x14ac:dyDescent="0.2">
      <c r="A3" s="2454" t="s">
        <v>3185</v>
      </c>
      <c r="B3" s="2454" t="s">
        <v>3067</v>
      </c>
      <c r="C3" s="2653" t="s">
        <v>1272</v>
      </c>
      <c r="D3" s="2653"/>
      <c r="E3" s="2653" t="s">
        <v>91</v>
      </c>
      <c r="F3" s="2653"/>
      <c r="G3" s="2653" t="s">
        <v>2056</v>
      </c>
      <c r="H3" s="2653" t="s">
        <v>1239</v>
      </c>
      <c r="I3" s="2653"/>
    </row>
    <row r="4" spans="1:9" s="820" customFormat="1" ht="11.25" customHeight="1" x14ac:dyDescent="0.2">
      <c r="A4" s="2454"/>
      <c r="B4" s="2454"/>
      <c r="C4" s="2653" t="s">
        <v>2055</v>
      </c>
      <c r="D4" s="2653" t="s">
        <v>2169</v>
      </c>
      <c r="E4" s="2653" t="s">
        <v>1360</v>
      </c>
      <c r="F4" s="2653" t="s">
        <v>1361</v>
      </c>
      <c r="G4" s="2653"/>
      <c r="H4" s="2653" t="s">
        <v>2148</v>
      </c>
      <c r="I4" s="2653" t="s">
        <v>1362</v>
      </c>
    </row>
    <row r="5" spans="1:9" s="820" customFormat="1" ht="11.25" customHeight="1" x14ac:dyDescent="0.2">
      <c r="A5" s="2454"/>
      <c r="B5" s="2454"/>
      <c r="C5" s="2653"/>
      <c r="D5" s="2653"/>
      <c r="E5" s="2653"/>
      <c r="F5" s="2653"/>
      <c r="G5" s="2653"/>
      <c r="H5" s="2653"/>
      <c r="I5" s="2653"/>
    </row>
    <row r="6" spans="1:9" s="820" customFormat="1" ht="11.25" customHeight="1" x14ac:dyDescent="0.2">
      <c r="A6" s="2454"/>
      <c r="B6" s="2454"/>
      <c r="C6" s="2653"/>
      <c r="D6" s="2653"/>
      <c r="E6" s="2653"/>
      <c r="F6" s="2653"/>
      <c r="G6" s="2653"/>
      <c r="H6" s="2653"/>
      <c r="I6" s="2653"/>
    </row>
    <row r="7" spans="1:9" s="159" customFormat="1" ht="11.25" customHeight="1" x14ac:dyDescent="0.2">
      <c r="A7" s="1726"/>
      <c r="B7" s="1708"/>
      <c r="C7" s="1727">
        <v>1</v>
      </c>
      <c r="D7" s="1727">
        <v>2</v>
      </c>
      <c r="E7" s="1727">
        <v>3</v>
      </c>
      <c r="F7" s="1727">
        <v>4</v>
      </c>
      <c r="G7" s="1727">
        <v>5</v>
      </c>
      <c r="H7" s="1727">
        <v>6</v>
      </c>
      <c r="I7" s="1727">
        <v>7</v>
      </c>
    </row>
    <row r="8" spans="1:9" s="2108" customFormat="1" ht="11.25" customHeight="1" x14ac:dyDescent="0.2">
      <c r="A8" s="2224">
        <v>1993</v>
      </c>
      <c r="B8" s="2225"/>
      <c r="C8" s="1966">
        <v>1048</v>
      </c>
      <c r="D8" s="1966">
        <v>2731</v>
      </c>
      <c r="E8" s="2235">
        <v>12</v>
      </c>
      <c r="F8" s="1966">
        <v>5352</v>
      </c>
      <c r="G8" s="2235">
        <v>49</v>
      </c>
      <c r="H8" s="1966">
        <v>937</v>
      </c>
      <c r="I8" s="1966">
        <v>118</v>
      </c>
    </row>
    <row r="9" spans="1:9" s="2108" customFormat="1" ht="11.25" customHeight="1" x14ac:dyDescent="0.2">
      <c r="A9" s="2224">
        <v>1994</v>
      </c>
      <c r="B9" s="2225"/>
      <c r="C9" s="1963">
        <v>1269</v>
      </c>
      <c r="D9" s="1963">
        <v>3217</v>
      </c>
      <c r="E9" s="2236">
        <v>14</v>
      </c>
      <c r="F9" s="1963">
        <v>5744</v>
      </c>
      <c r="G9" s="2236">
        <v>45</v>
      </c>
      <c r="H9" s="1963">
        <v>1132</v>
      </c>
      <c r="I9" s="1963">
        <v>127</v>
      </c>
    </row>
    <row r="10" spans="1:9" s="2108" customFormat="1" ht="11.25" customHeight="1" x14ac:dyDescent="0.2">
      <c r="A10" s="2224">
        <v>1995</v>
      </c>
      <c r="B10" s="2225"/>
      <c r="C10" s="1966">
        <v>1350</v>
      </c>
      <c r="D10" s="1966">
        <v>3364</v>
      </c>
      <c r="E10" s="2235">
        <v>16</v>
      </c>
      <c r="F10" s="1966">
        <v>5838</v>
      </c>
      <c r="G10" s="2235">
        <v>47</v>
      </c>
      <c r="H10" s="1966">
        <v>1176</v>
      </c>
      <c r="I10" s="1966">
        <v>125</v>
      </c>
    </row>
    <row r="11" spans="1:9" s="2108" customFormat="1" ht="11.25" customHeight="1" x14ac:dyDescent="0.2">
      <c r="A11" s="2224">
        <v>1996</v>
      </c>
      <c r="B11" s="2225"/>
      <c r="C11" s="1963">
        <v>1806</v>
      </c>
      <c r="D11" s="1963">
        <v>4218</v>
      </c>
      <c r="E11" s="2236">
        <v>15</v>
      </c>
      <c r="F11" s="1963">
        <v>5896</v>
      </c>
      <c r="G11" s="2236">
        <v>52</v>
      </c>
      <c r="H11" s="1963">
        <v>1222</v>
      </c>
      <c r="I11" s="1963">
        <v>117</v>
      </c>
    </row>
    <row r="12" spans="1:9" s="2108" customFormat="1" ht="11.25" customHeight="1" x14ac:dyDescent="0.2">
      <c r="A12" s="2224">
        <v>1997</v>
      </c>
      <c r="B12" s="2225"/>
      <c r="C12" s="1966">
        <v>1304</v>
      </c>
      <c r="D12" s="1966">
        <v>3579</v>
      </c>
      <c r="E12" s="2235">
        <v>13</v>
      </c>
      <c r="F12" s="1966">
        <v>5552</v>
      </c>
      <c r="G12" s="2235">
        <v>67</v>
      </c>
      <c r="H12" s="1966">
        <v>1296</v>
      </c>
      <c r="I12" s="1966">
        <v>138</v>
      </c>
    </row>
    <row r="13" spans="1:9" s="2108" customFormat="1" ht="11.25" customHeight="1" x14ac:dyDescent="0.2">
      <c r="A13" s="2224">
        <v>1998</v>
      </c>
      <c r="B13" s="2225"/>
      <c r="C13" s="1963">
        <v>1185</v>
      </c>
      <c r="D13" s="1963">
        <v>3275</v>
      </c>
      <c r="E13" s="2236">
        <v>16</v>
      </c>
      <c r="F13" s="1963">
        <v>5116</v>
      </c>
      <c r="G13" s="2236">
        <v>85</v>
      </c>
      <c r="H13" s="1963">
        <v>1028</v>
      </c>
      <c r="I13" s="1963">
        <v>136</v>
      </c>
    </row>
    <row r="14" spans="1:9" s="2108" customFormat="1" ht="11.25" customHeight="1" x14ac:dyDescent="0.2">
      <c r="A14" s="2224">
        <v>1999</v>
      </c>
      <c r="B14" s="2225"/>
      <c r="C14" s="1966">
        <v>1465</v>
      </c>
      <c r="D14" s="1966">
        <v>3500</v>
      </c>
      <c r="E14" s="2235">
        <v>17</v>
      </c>
      <c r="F14" s="1966">
        <v>5227</v>
      </c>
      <c r="G14" s="2235">
        <v>67</v>
      </c>
      <c r="H14" s="1966">
        <v>861</v>
      </c>
      <c r="I14" s="1966">
        <v>108</v>
      </c>
    </row>
    <row r="15" spans="1:9" s="2108" customFormat="1" ht="11.25" customHeight="1" x14ac:dyDescent="0.2">
      <c r="A15" s="2224">
        <v>2000</v>
      </c>
      <c r="B15" s="2225"/>
      <c r="C15" s="1963" t="s">
        <v>3184</v>
      </c>
      <c r="D15" s="1963">
        <v>3708</v>
      </c>
      <c r="E15" s="2236">
        <v>15</v>
      </c>
      <c r="F15" s="1963">
        <v>5613</v>
      </c>
      <c r="G15" s="2236">
        <v>69</v>
      </c>
      <c r="H15" s="1963">
        <v>941</v>
      </c>
      <c r="I15" s="1963">
        <v>102</v>
      </c>
    </row>
    <row r="16" spans="1:9" s="2108" customFormat="1" ht="11.25" customHeight="1" x14ac:dyDescent="0.2">
      <c r="A16" s="2224">
        <v>2001</v>
      </c>
      <c r="B16" s="2225"/>
      <c r="C16" s="1966">
        <v>1840</v>
      </c>
      <c r="D16" s="1966">
        <v>4192</v>
      </c>
      <c r="E16" s="2235">
        <v>14</v>
      </c>
      <c r="F16" s="1966">
        <v>5650</v>
      </c>
      <c r="G16" s="2235">
        <v>69</v>
      </c>
      <c r="H16" s="1966">
        <v>1192</v>
      </c>
      <c r="I16" s="1966">
        <v>111</v>
      </c>
    </row>
    <row r="17" spans="1:9" s="2108" customFormat="1" ht="11.25" customHeight="1" x14ac:dyDescent="0.2">
      <c r="A17" s="2224">
        <v>2002</v>
      </c>
      <c r="B17" s="2225"/>
      <c r="C17" s="1963">
        <v>1624</v>
      </c>
      <c r="D17" s="1963">
        <v>3760</v>
      </c>
      <c r="E17" s="2236">
        <v>15</v>
      </c>
      <c r="F17" s="1963">
        <v>6432</v>
      </c>
      <c r="G17" s="2236">
        <v>69</v>
      </c>
      <c r="H17" s="1963">
        <v>1137</v>
      </c>
      <c r="I17" s="1963">
        <v>139</v>
      </c>
    </row>
    <row r="18" spans="1:9" s="2108" customFormat="1" ht="11.25" customHeight="1" x14ac:dyDescent="0.2">
      <c r="A18" s="2224">
        <v>2003</v>
      </c>
      <c r="B18" s="2225"/>
      <c r="C18" s="1966">
        <v>1367</v>
      </c>
      <c r="D18" s="1966">
        <v>3400</v>
      </c>
      <c r="E18" s="2235">
        <v>16</v>
      </c>
      <c r="F18" s="1966">
        <v>8442</v>
      </c>
      <c r="G18" s="2235">
        <v>73</v>
      </c>
      <c r="H18" s="1966">
        <v>1174</v>
      </c>
      <c r="I18" s="1966">
        <v>175</v>
      </c>
    </row>
    <row r="19" spans="1:9" s="2108" customFormat="1" ht="11.25" customHeight="1" x14ac:dyDescent="0.2">
      <c r="A19" s="2224">
        <v>2004</v>
      </c>
      <c r="B19" s="2225"/>
      <c r="C19" s="1963">
        <v>1677.3333333333333</v>
      </c>
      <c r="D19" s="1963">
        <v>4071.1666666666665</v>
      </c>
      <c r="E19" s="2236">
        <v>15.75</v>
      </c>
      <c r="F19" s="1963">
        <v>9459.3333333333339</v>
      </c>
      <c r="G19" s="2236">
        <v>71.583333333333329</v>
      </c>
      <c r="H19" s="1963">
        <v>1174</v>
      </c>
      <c r="I19" s="1963">
        <v>160.91666666666666</v>
      </c>
    </row>
    <row r="20" spans="1:9" s="2108" customFormat="1" ht="11.25" customHeight="1" x14ac:dyDescent="0.2">
      <c r="A20" s="2224">
        <v>2005</v>
      </c>
      <c r="B20" s="2225"/>
      <c r="C20" s="1966">
        <v>2355.0833333333335</v>
      </c>
      <c r="D20" s="1966">
        <v>5268.916666666667</v>
      </c>
      <c r="E20" s="2235">
        <v>21.600000000000005</v>
      </c>
      <c r="F20" s="1966">
        <v>10220.25</v>
      </c>
      <c r="G20" s="2235">
        <v>81.714285714285708</v>
      </c>
      <c r="H20" s="1966">
        <v>1256.4545454545455</v>
      </c>
      <c r="I20" s="1966">
        <v>186.125</v>
      </c>
    </row>
    <row r="21" spans="1:9" s="2108" customFormat="1" ht="11.25" customHeight="1" x14ac:dyDescent="0.2">
      <c r="A21" s="2224">
        <v>2006</v>
      </c>
      <c r="B21" s="2225"/>
      <c r="C21" s="1963">
        <v>2742.25</v>
      </c>
      <c r="D21" s="1963">
        <v>6041.666666666667</v>
      </c>
      <c r="E21" s="2236">
        <v>25.344285714285714</v>
      </c>
      <c r="F21" s="1963">
        <v>13706.666666666666</v>
      </c>
      <c r="G21" s="2236">
        <v>84.828466666666657</v>
      </c>
      <c r="H21" s="1963">
        <v>990.41666666666663</v>
      </c>
      <c r="I21" s="1963">
        <v>162.75</v>
      </c>
    </row>
    <row r="22" spans="1:9" s="2108" customFormat="1" ht="11.25" customHeight="1" x14ac:dyDescent="0.2">
      <c r="A22" s="2224">
        <v>2007</v>
      </c>
      <c r="B22" s="2225"/>
      <c r="C22" s="1966">
        <v>2550.4166666666665</v>
      </c>
      <c r="D22" s="1966">
        <v>5683.333333333333</v>
      </c>
      <c r="E22" s="2235">
        <v>29.182500000000001</v>
      </c>
      <c r="F22" s="1966">
        <v>14808.333333333334</v>
      </c>
      <c r="G22" s="2235">
        <v>86.207887287051832</v>
      </c>
      <c r="H22" s="1966">
        <v>1239.5833333333333</v>
      </c>
      <c r="I22" s="1966">
        <v>166.58333333333334</v>
      </c>
    </row>
    <row r="23" spans="1:9" s="2108" customFormat="1" ht="11.25" customHeight="1" x14ac:dyDescent="0.2">
      <c r="A23" s="2224">
        <v>2008</v>
      </c>
      <c r="B23" s="2225"/>
      <c r="C23" s="1963">
        <v>3128.9166666666665</v>
      </c>
      <c r="D23" s="1963">
        <v>6691.666666666667</v>
      </c>
      <c r="E23" s="2236">
        <v>42.047499999999999</v>
      </c>
      <c r="F23" s="1963">
        <v>22825</v>
      </c>
      <c r="G23" s="2236">
        <v>113.4179864994834</v>
      </c>
      <c r="H23" s="1963">
        <v>1285</v>
      </c>
      <c r="I23" s="1963">
        <v>165.25</v>
      </c>
    </row>
    <row r="24" spans="1:9" s="2108" customFormat="1" ht="11.25" customHeight="1" x14ac:dyDescent="0.2">
      <c r="A24" s="2224">
        <v>2009</v>
      </c>
      <c r="B24" s="2225"/>
      <c r="C24" s="1966">
        <v>3756.3333333333335</v>
      </c>
      <c r="D24" s="1966">
        <v>7758.333333333333</v>
      </c>
      <c r="E24" s="2235">
        <v>35.204166666666673</v>
      </c>
      <c r="F24" s="1966">
        <v>23980.833333333332</v>
      </c>
      <c r="G24" s="2235">
        <v>128.69797063195713</v>
      </c>
      <c r="H24" s="1966">
        <v>586.66666666666663</v>
      </c>
      <c r="I24" s="1966">
        <v>90.25</v>
      </c>
    </row>
    <row r="25" spans="1:9" s="2108" customFormat="1" ht="11.25" customHeight="1" x14ac:dyDescent="0.2">
      <c r="A25" s="2224">
        <v>2010</v>
      </c>
      <c r="B25" s="2225"/>
      <c r="C25" s="1963">
        <v>6190.916666666667</v>
      </c>
      <c r="D25" s="1963">
        <v>13941.416666666666</v>
      </c>
      <c r="E25" s="2236">
        <v>35.166666666666664</v>
      </c>
      <c r="F25" s="1963">
        <v>31114.166666666668</v>
      </c>
      <c r="G25" s="2236">
        <v>142.05333333333334</v>
      </c>
      <c r="H25" s="1963">
        <v>912.5</v>
      </c>
      <c r="I25" s="1963">
        <v>101.58333333333333</v>
      </c>
    </row>
    <row r="26" spans="1:9" s="2108" customFormat="1" ht="11.25" customHeight="1" x14ac:dyDescent="0.2">
      <c r="A26" s="2224">
        <v>2011</v>
      </c>
      <c r="B26" s="2225"/>
      <c r="C26" s="1966">
        <v>5937.5</v>
      </c>
      <c r="D26" s="1966">
        <v>13850</v>
      </c>
      <c r="E26" s="2235">
        <v>37.541666666666664</v>
      </c>
      <c r="F26" s="2237" t="s">
        <v>288</v>
      </c>
      <c r="G26" s="2235">
        <v>166.13499999999999</v>
      </c>
      <c r="H26" s="1966">
        <v>1087.9166666666667</v>
      </c>
      <c r="I26" s="1966">
        <v>156.33333333333334</v>
      </c>
    </row>
    <row r="27" spans="1:9" s="154" customFormat="1" ht="11.25" customHeight="1" x14ac:dyDescent="0.2">
      <c r="A27" s="2227">
        <v>2012</v>
      </c>
      <c r="B27" s="779"/>
      <c r="C27" s="781">
        <v>5833.333333333333</v>
      </c>
      <c r="D27" s="781">
        <v>13600</v>
      </c>
      <c r="E27" s="639">
        <v>32.875</v>
      </c>
      <c r="F27" s="781">
        <v>54033.333333333336</v>
      </c>
      <c r="G27" s="639">
        <v>172.94416666666669</v>
      </c>
      <c r="H27" s="781">
        <v>1053.125</v>
      </c>
      <c r="I27" s="781">
        <v>112.77777777777777</v>
      </c>
    </row>
    <row r="28" spans="1:9" s="204" customFormat="1" ht="11.25" customHeight="1" x14ac:dyDescent="0.2">
      <c r="A28" s="2228">
        <v>2013</v>
      </c>
      <c r="B28" s="1704"/>
      <c r="C28" s="782">
        <v>5375</v>
      </c>
      <c r="D28" s="782">
        <v>12500</v>
      </c>
      <c r="E28" s="687">
        <v>37.041666666666664</v>
      </c>
      <c r="F28" s="782">
        <v>51868.181818181816</v>
      </c>
      <c r="G28" s="687">
        <v>199.83166666666662</v>
      </c>
      <c r="H28" s="782">
        <v>680</v>
      </c>
      <c r="I28" s="782">
        <v>79.833333333333329</v>
      </c>
    </row>
    <row r="29" spans="1:9" s="204" customFormat="1" ht="11.25" customHeight="1" x14ac:dyDescent="0.2">
      <c r="A29" s="2227">
        <v>2014</v>
      </c>
      <c r="B29" s="779"/>
      <c r="C29" s="781">
        <v>5375</v>
      </c>
      <c r="D29" s="781">
        <v>12500</v>
      </c>
      <c r="E29" s="639">
        <v>40</v>
      </c>
      <c r="F29" s="781">
        <v>48600</v>
      </c>
      <c r="G29" s="639">
        <v>185.97166666666666</v>
      </c>
      <c r="H29" s="781">
        <v>1078.75</v>
      </c>
      <c r="I29" s="781">
        <v>109.33333333333333</v>
      </c>
    </row>
    <row r="30" spans="1:9" s="204" customFormat="1" ht="11.25" customHeight="1" x14ac:dyDescent="0.2">
      <c r="A30" s="2229">
        <v>2015</v>
      </c>
      <c r="B30" s="780"/>
      <c r="C30" s="782">
        <v>5770.833333333333</v>
      </c>
      <c r="D30" s="782">
        <v>13650</v>
      </c>
      <c r="E30" s="687">
        <v>37.666666666666664</v>
      </c>
      <c r="F30" s="782">
        <v>44166.666666666664</v>
      </c>
      <c r="G30" s="687">
        <v>166.07666666666668</v>
      </c>
      <c r="H30" s="782">
        <v>1287.5</v>
      </c>
      <c r="I30" s="782">
        <v>96.416666666666671</v>
      </c>
    </row>
    <row r="31" spans="1:9" s="793" customFormat="1" ht="11.25" customHeight="1" x14ac:dyDescent="0.2">
      <c r="A31" s="2227">
        <v>2016</v>
      </c>
      <c r="B31" s="779"/>
      <c r="C31" s="746">
        <v>6375</v>
      </c>
      <c r="D31" s="746">
        <v>15100</v>
      </c>
      <c r="E31" s="639">
        <v>38.416666666666664</v>
      </c>
      <c r="F31" s="781">
        <v>44000</v>
      </c>
      <c r="G31" s="639">
        <v>161.27999999999997</v>
      </c>
      <c r="H31" s="781">
        <v>1009.1666666666666</v>
      </c>
      <c r="I31" s="781">
        <v>87</v>
      </c>
    </row>
    <row r="32" spans="1:9" s="793" customFormat="1" ht="11.25" customHeight="1" x14ac:dyDescent="0.2">
      <c r="A32" s="2229">
        <v>2017</v>
      </c>
      <c r="B32" s="780"/>
      <c r="C32" s="734">
        <v>6375</v>
      </c>
      <c r="D32" s="734">
        <v>15100</v>
      </c>
      <c r="E32" s="687">
        <v>45.166666666666664</v>
      </c>
      <c r="F32" s="782">
        <v>43173.333333333336</v>
      </c>
      <c r="G32" s="687">
        <v>164.67</v>
      </c>
      <c r="H32" s="782">
        <v>778.75</v>
      </c>
      <c r="I32" s="782">
        <v>67.666666666666671</v>
      </c>
    </row>
    <row r="33" spans="1:13" s="793" customFormat="1" ht="11.25" customHeight="1" x14ac:dyDescent="0.2">
      <c r="A33" s="2227">
        <v>2018</v>
      </c>
      <c r="B33" s="779"/>
      <c r="C33" s="746">
        <v>6375</v>
      </c>
      <c r="D33" s="746">
        <v>15100</v>
      </c>
      <c r="E33" s="639">
        <v>44.666666666666664</v>
      </c>
      <c r="F33" s="781">
        <v>41401.666666666664</v>
      </c>
      <c r="G33" s="639">
        <v>171.87749999999997</v>
      </c>
      <c r="H33" s="781">
        <v>690.83333333333337</v>
      </c>
      <c r="I33" s="781">
        <v>59.166666666666664</v>
      </c>
    </row>
    <row r="34" spans="1:13" s="244" customFormat="1" ht="11.25" customHeight="1" x14ac:dyDescent="0.15">
      <c r="A34" s="2230">
        <v>2019</v>
      </c>
      <c r="B34" s="1128"/>
      <c r="C34" s="782">
        <v>6385.416666666667</v>
      </c>
      <c r="D34" s="782">
        <v>15125</v>
      </c>
      <c r="E34" s="687">
        <v>35.583333333333336</v>
      </c>
      <c r="F34" s="782">
        <v>41673.333333333336</v>
      </c>
      <c r="G34" s="687">
        <v>172.48000000000002</v>
      </c>
      <c r="H34" s="782">
        <v>500.33333333333331</v>
      </c>
      <c r="I34" s="782">
        <v>45.75</v>
      </c>
    </row>
    <row r="35" spans="1:13" s="244" customFormat="1" ht="11.25" customHeight="1" x14ac:dyDescent="0.15">
      <c r="A35" s="2231">
        <v>2020</v>
      </c>
      <c r="B35" s="1129"/>
      <c r="C35" s="781">
        <v>6677.083333333333</v>
      </c>
      <c r="D35" s="781">
        <v>15812.5</v>
      </c>
      <c r="E35" s="639">
        <v>43.75</v>
      </c>
      <c r="F35" s="781">
        <v>66450.416666666672</v>
      </c>
      <c r="G35" s="639">
        <v>180.03</v>
      </c>
      <c r="H35" s="781">
        <v>299.75</v>
      </c>
      <c r="I35" s="781">
        <v>22.75</v>
      </c>
    </row>
    <row r="36" spans="1:13" s="244" customFormat="1" ht="11.25" customHeight="1" x14ac:dyDescent="0.15">
      <c r="A36" s="2230">
        <v>2021</v>
      </c>
      <c r="B36" s="1128"/>
      <c r="C36" s="734">
        <v>14750</v>
      </c>
      <c r="D36" s="734">
        <v>31700</v>
      </c>
      <c r="E36" s="687">
        <v>52</v>
      </c>
      <c r="F36" s="782">
        <v>64838.400000000001</v>
      </c>
      <c r="G36" s="687">
        <v>212.56583333333336</v>
      </c>
      <c r="H36" s="782">
        <v>311.5</v>
      </c>
      <c r="I36" s="782">
        <v>26.75</v>
      </c>
    </row>
    <row r="37" spans="1:13" s="244" customFormat="1" ht="11.25" customHeight="1" x14ac:dyDescent="0.2">
      <c r="A37" s="2232">
        <v>2022</v>
      </c>
      <c r="B37" s="1131"/>
      <c r="C37" s="784">
        <v>12208.333333333334</v>
      </c>
      <c r="D37" s="784">
        <v>26283.333333333332</v>
      </c>
      <c r="E37" s="783">
        <v>52.916666666666664</v>
      </c>
      <c r="F37" s="784">
        <v>68920.833333333328</v>
      </c>
      <c r="G37" s="783">
        <v>224.35833333333335</v>
      </c>
      <c r="H37" s="784">
        <v>449</v>
      </c>
      <c r="I37" s="784">
        <v>25.166666666666668</v>
      </c>
      <c r="M37" s="8"/>
    </row>
    <row r="38" spans="1:13" s="244" customFormat="1" ht="11.25" customHeight="1" x14ac:dyDescent="0.2">
      <c r="A38" s="2233">
        <v>2023</v>
      </c>
      <c r="B38" s="1130"/>
      <c r="C38" s="956">
        <f>AVERAGE(C185:C196)</f>
        <v>11700</v>
      </c>
      <c r="D38" s="956">
        <f t="shared" ref="D38:E38" si="0">AVERAGE(D185:D196)</f>
        <v>24975</v>
      </c>
      <c r="E38" s="785">
        <f t="shared" si="0"/>
        <v>54.5</v>
      </c>
      <c r="F38" s="786">
        <f>AVERAGE(F185:F196)</f>
        <v>84539.166666666672</v>
      </c>
      <c r="G38" s="785">
        <f>AVERAGE(G185:G196)</f>
        <v>202.33083333333335</v>
      </c>
      <c r="H38" s="786">
        <f t="shared" ref="H38:I38" si="1">AVERAGE(H185:H196)</f>
        <v>531.41666666666663</v>
      </c>
      <c r="I38" s="786">
        <f t="shared" si="1"/>
        <v>34.5</v>
      </c>
      <c r="M38" s="154"/>
    </row>
    <row r="39" spans="1:13" s="244" customFormat="1" ht="11.25" customHeight="1" x14ac:dyDescent="0.2">
      <c r="A39" s="2232">
        <v>2024</v>
      </c>
      <c r="B39" s="1131"/>
      <c r="C39" s="784">
        <f t="shared" ref="C39:I39" si="2">AVERAGE(C197:C208)</f>
        <v>12308.333333333334</v>
      </c>
      <c r="D39" s="1332">
        <f t="shared" si="2"/>
        <v>26350</v>
      </c>
      <c r="E39" s="783">
        <f t="shared" si="2"/>
        <v>58</v>
      </c>
      <c r="F39" s="784">
        <f t="shared" si="2"/>
        <v>106997.33333333333</v>
      </c>
      <c r="G39" s="783">
        <f t="shared" si="2"/>
        <v>186.54666666666665</v>
      </c>
      <c r="H39" s="784">
        <f t="shared" si="2"/>
        <v>647.33333333333337</v>
      </c>
      <c r="I39" s="784">
        <f t="shared" si="2"/>
        <v>13.847500000000002</v>
      </c>
      <c r="M39" s="154"/>
    </row>
    <row r="40" spans="1:13" s="244" customFormat="1" ht="11.25" customHeight="1" x14ac:dyDescent="0.2">
      <c r="A40" s="2233">
        <v>2025</v>
      </c>
      <c r="B40" s="1130"/>
      <c r="C40" s="786">
        <f>AVERAGE(C209:C220)</f>
        <v>12520.833333333334</v>
      </c>
      <c r="D40" s="786">
        <f>AVERAGE(D209:D220)</f>
        <v>26541.666666666668</v>
      </c>
      <c r="E40" s="785">
        <f>AVERAGE(E209:E220)</f>
        <v>61.75</v>
      </c>
      <c r="F40" s="786"/>
      <c r="G40" s="785">
        <f>AVERAGE(G209:G220)</f>
        <v>223.41333333333338</v>
      </c>
      <c r="H40" s="786"/>
      <c r="I40" s="786"/>
      <c r="M40" s="154"/>
    </row>
    <row r="41" spans="1:13" s="244" customFormat="1" ht="11.25" customHeight="1" x14ac:dyDescent="0.2">
      <c r="A41" s="266">
        <v>2011</v>
      </c>
      <c r="B41" s="301" t="s">
        <v>556</v>
      </c>
      <c r="C41" s="1900">
        <v>6125</v>
      </c>
      <c r="D41" s="1900">
        <v>14300</v>
      </c>
      <c r="E41" s="2236">
        <v>42.5</v>
      </c>
      <c r="F41" s="1963">
        <v>35570</v>
      </c>
      <c r="G41" s="1900">
        <v>167.69</v>
      </c>
      <c r="H41" s="1900">
        <v>1000</v>
      </c>
      <c r="I41" s="1900">
        <v>125</v>
      </c>
      <c r="M41" s="154"/>
    </row>
    <row r="42" spans="1:13" s="244" customFormat="1" ht="11.25" customHeight="1" x14ac:dyDescent="0.2">
      <c r="A42" s="266">
        <v>2011</v>
      </c>
      <c r="B42" s="2184" t="s">
        <v>557</v>
      </c>
      <c r="C42" s="2157">
        <v>6125</v>
      </c>
      <c r="D42" s="2157">
        <v>14300</v>
      </c>
      <c r="E42" s="2235">
        <v>42.5</v>
      </c>
      <c r="F42" s="2237" t="s">
        <v>288</v>
      </c>
      <c r="G42" s="2235">
        <v>148.80000000000001</v>
      </c>
      <c r="H42" s="2157">
        <v>980</v>
      </c>
      <c r="I42" s="2157">
        <v>125</v>
      </c>
      <c r="M42" s="154"/>
    </row>
    <row r="43" spans="1:13" s="244" customFormat="1" ht="11.25" customHeight="1" x14ac:dyDescent="0.2">
      <c r="A43" s="266">
        <v>2011</v>
      </c>
      <c r="B43" s="301" t="s">
        <v>549</v>
      </c>
      <c r="C43" s="1900">
        <v>6125</v>
      </c>
      <c r="D43" s="1900">
        <v>14300</v>
      </c>
      <c r="E43" s="2236">
        <v>40</v>
      </c>
      <c r="F43" s="2238" t="s">
        <v>288</v>
      </c>
      <c r="G43" s="2236">
        <v>158.79</v>
      </c>
      <c r="H43" s="1900">
        <v>1070</v>
      </c>
      <c r="I43" s="1900">
        <v>141</v>
      </c>
      <c r="M43" s="154"/>
    </row>
    <row r="44" spans="1:13" s="244" customFormat="1" ht="11.25" customHeight="1" x14ac:dyDescent="0.2">
      <c r="A44" s="266">
        <v>2011</v>
      </c>
      <c r="B44" s="674" t="s">
        <v>558</v>
      </c>
      <c r="C44" s="2157">
        <v>5875</v>
      </c>
      <c r="D44" s="2157">
        <v>13700</v>
      </c>
      <c r="E44" s="2235">
        <v>40.5</v>
      </c>
      <c r="F44" s="2237" t="s">
        <v>288</v>
      </c>
      <c r="G44" s="2235">
        <v>167.53</v>
      </c>
      <c r="H44" s="2157">
        <v>1070</v>
      </c>
      <c r="I44" s="2157">
        <v>144</v>
      </c>
      <c r="M44" s="154"/>
    </row>
    <row r="45" spans="1:13" s="244" customFormat="1" ht="11.25" customHeight="1" x14ac:dyDescent="0.2">
      <c r="A45" s="266">
        <v>2011</v>
      </c>
      <c r="B45" s="301" t="s">
        <v>559</v>
      </c>
      <c r="C45" s="1900">
        <v>5875</v>
      </c>
      <c r="D45" s="1900">
        <v>13700</v>
      </c>
      <c r="E45" s="2236">
        <v>38.5</v>
      </c>
      <c r="F45" s="2238">
        <v>38220</v>
      </c>
      <c r="G45" s="2236">
        <v>176.47</v>
      </c>
      <c r="H45" s="1900">
        <v>1000</v>
      </c>
      <c r="I45" s="1900">
        <v>138</v>
      </c>
      <c r="M45" s="154"/>
    </row>
    <row r="46" spans="1:13" s="244" customFormat="1" ht="11.25" customHeight="1" x14ac:dyDescent="0.2">
      <c r="A46" s="266">
        <v>2011</v>
      </c>
      <c r="B46" s="2239" t="s">
        <v>550</v>
      </c>
      <c r="C46" s="2240">
        <v>5875</v>
      </c>
      <c r="D46" s="2240">
        <v>13700</v>
      </c>
      <c r="E46" s="2241">
        <v>34</v>
      </c>
      <c r="F46" s="2242">
        <v>38240</v>
      </c>
      <c r="G46" s="2241">
        <v>180.09</v>
      </c>
      <c r="H46" s="2240">
        <v>1190</v>
      </c>
      <c r="I46" s="2240">
        <v>150</v>
      </c>
      <c r="M46" s="154"/>
    </row>
    <row r="47" spans="1:13" s="244" customFormat="1" ht="11.25" customHeight="1" x14ac:dyDescent="0.2">
      <c r="A47" s="266">
        <v>2011</v>
      </c>
      <c r="B47" s="301" t="s">
        <v>552</v>
      </c>
      <c r="C47" s="1900">
        <v>5875</v>
      </c>
      <c r="D47" s="1900">
        <v>13700</v>
      </c>
      <c r="E47" s="2236">
        <v>35</v>
      </c>
      <c r="F47" s="2238">
        <v>40500</v>
      </c>
      <c r="G47" s="2236">
        <v>177.24</v>
      </c>
      <c r="H47" s="1900">
        <v>1400</v>
      </c>
      <c r="I47" s="1900">
        <v>169</v>
      </c>
      <c r="M47" s="154"/>
    </row>
    <row r="48" spans="1:13" s="244" customFormat="1" ht="11.25" customHeight="1" x14ac:dyDescent="0.2">
      <c r="A48" s="266">
        <v>2011</v>
      </c>
      <c r="B48" s="674" t="s">
        <v>553</v>
      </c>
      <c r="C48" s="2157">
        <v>5875</v>
      </c>
      <c r="D48" s="2157">
        <v>13700</v>
      </c>
      <c r="E48" s="2235">
        <v>36.5</v>
      </c>
      <c r="F48" s="2237">
        <v>41800</v>
      </c>
      <c r="G48" s="2235">
        <v>179.8</v>
      </c>
      <c r="H48" s="2157">
        <v>1320</v>
      </c>
      <c r="I48" s="2157">
        <v>137</v>
      </c>
      <c r="M48" s="154"/>
    </row>
    <row r="49" spans="1:13" s="244" customFormat="1" ht="11.25" customHeight="1" x14ac:dyDescent="0.2">
      <c r="A49" s="266">
        <v>2011</v>
      </c>
      <c r="B49" s="301" t="s">
        <v>547</v>
      </c>
      <c r="C49" s="1900">
        <v>5875</v>
      </c>
      <c r="D49" s="1900">
        <v>13700</v>
      </c>
      <c r="E49" s="2236">
        <v>36.5</v>
      </c>
      <c r="F49" s="2238">
        <v>41000</v>
      </c>
      <c r="G49" s="2236">
        <v>179.52</v>
      </c>
      <c r="H49" s="1900">
        <v>1100</v>
      </c>
      <c r="I49" s="1900">
        <v>140</v>
      </c>
      <c r="M49" s="154"/>
    </row>
    <row r="50" spans="1:13" s="244" customFormat="1" ht="11.25" customHeight="1" x14ac:dyDescent="0.2">
      <c r="A50" s="266">
        <v>2011</v>
      </c>
      <c r="B50" s="674" t="s">
        <v>554</v>
      </c>
      <c r="C50" s="2157">
        <v>5875</v>
      </c>
      <c r="D50" s="2157">
        <v>13700</v>
      </c>
      <c r="E50" s="2235">
        <v>35.5</v>
      </c>
      <c r="F50" s="2237">
        <v>44550</v>
      </c>
      <c r="G50" s="2235">
        <v>157.76</v>
      </c>
      <c r="H50" s="2157">
        <v>935</v>
      </c>
      <c r="I50" s="2157">
        <v>145</v>
      </c>
      <c r="M50" s="154"/>
    </row>
    <row r="51" spans="1:13" s="244" customFormat="1" ht="11.25" customHeight="1" x14ac:dyDescent="0.2">
      <c r="A51" s="266">
        <v>2011</v>
      </c>
      <c r="B51" s="301" t="s">
        <v>555</v>
      </c>
      <c r="C51" s="1900">
        <v>5875</v>
      </c>
      <c r="D51" s="1900">
        <v>13700</v>
      </c>
      <c r="E51" s="2236">
        <v>35</v>
      </c>
      <c r="F51" s="2238" t="s">
        <v>288</v>
      </c>
      <c r="G51" s="2236">
        <v>146.37</v>
      </c>
      <c r="H51" s="1900">
        <v>990</v>
      </c>
      <c r="I51" s="1900">
        <v>200</v>
      </c>
      <c r="M51" s="154"/>
    </row>
    <row r="52" spans="1:13" s="244" customFormat="1" ht="11.25" customHeight="1" x14ac:dyDescent="0.2">
      <c r="A52" s="266">
        <v>2011</v>
      </c>
      <c r="B52" s="674" t="s">
        <v>548</v>
      </c>
      <c r="C52" s="2157">
        <v>5875</v>
      </c>
      <c r="D52" s="2157">
        <v>13700</v>
      </c>
      <c r="E52" s="2235">
        <v>34</v>
      </c>
      <c r="F52" s="2237" t="s">
        <v>288</v>
      </c>
      <c r="G52" s="2235">
        <v>153.56</v>
      </c>
      <c r="H52" s="2157">
        <v>1000</v>
      </c>
      <c r="I52" s="2157">
        <v>262</v>
      </c>
      <c r="M52" s="154"/>
    </row>
    <row r="53" spans="1:13" s="244" customFormat="1" ht="11.25" customHeight="1" x14ac:dyDescent="0.2">
      <c r="A53" s="2233">
        <v>2012</v>
      </c>
      <c r="B53" s="301" t="s">
        <v>556</v>
      </c>
      <c r="C53" s="956">
        <v>5875</v>
      </c>
      <c r="D53" s="956">
        <v>13700</v>
      </c>
      <c r="E53" s="785">
        <v>34</v>
      </c>
      <c r="F53" s="786">
        <v>50000</v>
      </c>
      <c r="G53" s="785">
        <v>150</v>
      </c>
      <c r="H53" s="786" t="s">
        <v>288</v>
      </c>
      <c r="I53" s="786">
        <v>65</v>
      </c>
      <c r="M53" s="154"/>
    </row>
    <row r="54" spans="1:13" s="244" customFormat="1" ht="11.25" customHeight="1" x14ac:dyDescent="0.2">
      <c r="A54" s="2233">
        <v>2012</v>
      </c>
      <c r="B54" s="2184" t="s">
        <v>557</v>
      </c>
      <c r="C54" s="956">
        <v>5875</v>
      </c>
      <c r="D54" s="956">
        <v>13700</v>
      </c>
      <c r="E54" s="785">
        <v>34</v>
      </c>
      <c r="F54" s="786">
        <v>49500</v>
      </c>
      <c r="G54" s="785">
        <v>172.26</v>
      </c>
      <c r="H54" s="786" t="s">
        <v>288</v>
      </c>
      <c r="I54" s="786">
        <v>65</v>
      </c>
      <c r="M54" s="154"/>
    </row>
    <row r="55" spans="1:13" s="244" customFormat="1" ht="11.25" customHeight="1" x14ac:dyDescent="0.2">
      <c r="A55" s="2233">
        <v>2012</v>
      </c>
      <c r="B55" s="301" t="s">
        <v>549</v>
      </c>
      <c r="C55" s="956">
        <v>5875</v>
      </c>
      <c r="D55" s="956">
        <v>13700</v>
      </c>
      <c r="E55" s="785">
        <v>34</v>
      </c>
      <c r="F55" s="786">
        <v>52000</v>
      </c>
      <c r="G55" s="785">
        <v>179.22</v>
      </c>
      <c r="H55" s="786">
        <v>1150</v>
      </c>
      <c r="I55" s="786">
        <v>65</v>
      </c>
      <c r="M55" s="154"/>
    </row>
    <row r="56" spans="1:13" s="244" customFormat="1" ht="11.25" customHeight="1" x14ac:dyDescent="0.2">
      <c r="A56" s="2233">
        <v>2012</v>
      </c>
      <c r="B56" s="674" t="s">
        <v>558</v>
      </c>
      <c r="C56" s="956">
        <v>5875</v>
      </c>
      <c r="D56" s="956">
        <v>13700</v>
      </c>
      <c r="E56" s="785">
        <v>34</v>
      </c>
      <c r="F56" s="786">
        <v>52500</v>
      </c>
      <c r="G56" s="785">
        <v>144.12</v>
      </c>
      <c r="H56" s="786">
        <v>900</v>
      </c>
      <c r="I56" s="786">
        <v>65</v>
      </c>
      <c r="M56" s="154"/>
    </row>
    <row r="57" spans="1:13" s="244" customFormat="1" ht="11.25" customHeight="1" x14ac:dyDescent="0.2">
      <c r="A57" s="2233">
        <v>2012</v>
      </c>
      <c r="B57" s="301" t="s">
        <v>559</v>
      </c>
      <c r="C57" s="956">
        <v>5875</v>
      </c>
      <c r="D57" s="956">
        <v>13700</v>
      </c>
      <c r="E57" s="785">
        <v>32</v>
      </c>
      <c r="F57" s="786">
        <v>55500</v>
      </c>
      <c r="G57" s="785">
        <v>151.99</v>
      </c>
      <c r="H57" s="786">
        <v>875</v>
      </c>
      <c r="I57" s="786">
        <v>65</v>
      </c>
      <c r="M57" s="154"/>
    </row>
    <row r="58" spans="1:13" s="244" customFormat="1" ht="11.25" customHeight="1" x14ac:dyDescent="0.2">
      <c r="A58" s="2233">
        <v>2012</v>
      </c>
      <c r="B58" s="2239" t="s">
        <v>550</v>
      </c>
      <c r="C58" s="956">
        <v>5875</v>
      </c>
      <c r="D58" s="956">
        <v>13700</v>
      </c>
      <c r="E58" s="785">
        <v>32</v>
      </c>
      <c r="F58" s="786">
        <v>55500</v>
      </c>
      <c r="G58" s="785">
        <v>177.77</v>
      </c>
      <c r="H58" s="786">
        <v>890</v>
      </c>
      <c r="I58" s="786">
        <v>65</v>
      </c>
      <c r="M58" s="154"/>
    </row>
    <row r="59" spans="1:13" s="244" customFormat="1" ht="11.25" customHeight="1" x14ac:dyDescent="0.2">
      <c r="A59" s="2233">
        <v>2012</v>
      </c>
      <c r="B59" s="301" t="s">
        <v>552</v>
      </c>
      <c r="C59" s="956">
        <v>5875</v>
      </c>
      <c r="D59" s="956">
        <v>13700</v>
      </c>
      <c r="E59" s="785">
        <v>32</v>
      </c>
      <c r="F59" s="786">
        <v>54900</v>
      </c>
      <c r="G59" s="785">
        <v>184.62</v>
      </c>
      <c r="H59" s="786">
        <v>1020</v>
      </c>
      <c r="I59" s="786">
        <v>65</v>
      </c>
      <c r="M59" s="154"/>
    </row>
    <row r="60" spans="1:13" s="244" customFormat="1" ht="11.25" customHeight="1" x14ac:dyDescent="0.2">
      <c r="A60" s="2233">
        <v>2012</v>
      </c>
      <c r="B60" s="674" t="s">
        <v>553</v>
      </c>
      <c r="C60" s="956">
        <v>5875</v>
      </c>
      <c r="D60" s="956">
        <v>13700</v>
      </c>
      <c r="E60" s="785">
        <v>32.5</v>
      </c>
      <c r="F60" s="786">
        <v>55000</v>
      </c>
      <c r="G60" s="785">
        <v>185.66</v>
      </c>
      <c r="H60" s="786">
        <v>990</v>
      </c>
      <c r="I60" s="786" t="s">
        <v>288</v>
      </c>
      <c r="M60" s="154"/>
    </row>
    <row r="61" spans="1:13" s="244" customFormat="1" ht="11.25" customHeight="1" x14ac:dyDescent="0.2">
      <c r="A61" s="2233">
        <v>2012</v>
      </c>
      <c r="B61" s="301" t="s">
        <v>547</v>
      </c>
      <c r="C61" s="956">
        <v>5875</v>
      </c>
      <c r="D61" s="956">
        <v>13700</v>
      </c>
      <c r="E61" s="785">
        <v>32.5</v>
      </c>
      <c r="F61" s="786">
        <v>61500</v>
      </c>
      <c r="G61" s="785">
        <v>182.16</v>
      </c>
      <c r="H61" s="786">
        <v>1300</v>
      </c>
      <c r="I61" s="786">
        <v>280</v>
      </c>
      <c r="M61" s="154"/>
    </row>
    <row r="62" spans="1:13" s="244" customFormat="1" ht="11.25" customHeight="1" x14ac:dyDescent="0.2">
      <c r="A62" s="2233">
        <v>2012</v>
      </c>
      <c r="B62" s="674" t="s">
        <v>554</v>
      </c>
      <c r="C62" s="956">
        <v>5875</v>
      </c>
      <c r="D62" s="956">
        <v>13700</v>
      </c>
      <c r="E62" s="785">
        <v>32.5</v>
      </c>
      <c r="F62" s="786">
        <v>60000</v>
      </c>
      <c r="G62" s="785">
        <v>184.61</v>
      </c>
      <c r="H62" s="786">
        <v>1300</v>
      </c>
      <c r="I62" s="786">
        <v>280</v>
      </c>
      <c r="M62" s="154"/>
    </row>
    <row r="63" spans="1:13" s="244" customFormat="1" ht="11.25" customHeight="1" x14ac:dyDescent="0.2">
      <c r="A63" s="2233">
        <v>2012</v>
      </c>
      <c r="B63" s="301" t="s">
        <v>555</v>
      </c>
      <c r="C63" s="956">
        <v>5875</v>
      </c>
      <c r="D63" s="956">
        <v>13700</v>
      </c>
      <c r="E63" s="785">
        <v>32.5</v>
      </c>
      <c r="F63" s="786">
        <v>51000</v>
      </c>
      <c r="G63" s="785">
        <v>175.95</v>
      </c>
      <c r="H63" s="786" t="s">
        <v>288</v>
      </c>
      <c r="I63" s="786" t="s">
        <v>288</v>
      </c>
      <c r="M63" s="154"/>
    </row>
    <row r="64" spans="1:13" s="244" customFormat="1" ht="11.25" customHeight="1" x14ac:dyDescent="0.2">
      <c r="A64" s="2233">
        <v>2012</v>
      </c>
      <c r="B64" s="1130" t="s">
        <v>548</v>
      </c>
      <c r="C64" s="956">
        <v>5375</v>
      </c>
      <c r="D64" s="956">
        <v>12500</v>
      </c>
      <c r="E64" s="785">
        <v>32.5</v>
      </c>
      <c r="F64" s="786">
        <v>51000</v>
      </c>
      <c r="G64" s="785">
        <v>186.97</v>
      </c>
      <c r="H64" s="786" t="s">
        <v>288</v>
      </c>
      <c r="I64" s="786" t="s">
        <v>288</v>
      </c>
      <c r="M64" s="154"/>
    </row>
    <row r="65" spans="1:13" s="244" customFormat="1" ht="11.25" customHeight="1" x14ac:dyDescent="0.2">
      <c r="A65" s="2233">
        <v>2013</v>
      </c>
      <c r="B65" s="244" t="s">
        <v>556</v>
      </c>
      <c r="C65" s="754">
        <v>5375</v>
      </c>
      <c r="D65" s="754">
        <v>12500</v>
      </c>
      <c r="E65" s="271">
        <v>34</v>
      </c>
      <c r="F65" s="272">
        <v>51000</v>
      </c>
      <c r="G65" s="271">
        <v>192.16</v>
      </c>
      <c r="H65" s="754" t="s">
        <v>288</v>
      </c>
      <c r="I65" s="754">
        <v>60</v>
      </c>
      <c r="M65" s="154"/>
    </row>
    <row r="66" spans="1:13" s="244" customFormat="1" ht="11.25" customHeight="1" x14ac:dyDescent="0.2">
      <c r="A66" s="2233">
        <v>2013</v>
      </c>
      <c r="B66" s="1128" t="s">
        <v>557</v>
      </c>
      <c r="C66" s="1895">
        <v>5375</v>
      </c>
      <c r="D66" s="1895">
        <v>12500</v>
      </c>
      <c r="E66" s="215">
        <v>34</v>
      </c>
      <c r="F66" s="216">
        <v>51000</v>
      </c>
      <c r="G66" s="215">
        <v>201.67</v>
      </c>
      <c r="H66" s="1895" t="s">
        <v>288</v>
      </c>
      <c r="I66" s="1895">
        <v>60</v>
      </c>
      <c r="M66" s="154"/>
    </row>
    <row r="67" spans="1:13" s="244" customFormat="1" ht="11.25" customHeight="1" x14ac:dyDescent="0.2">
      <c r="A67" s="2233">
        <v>2013</v>
      </c>
      <c r="B67" s="1129" t="s">
        <v>549</v>
      </c>
      <c r="C67" s="754">
        <v>5375</v>
      </c>
      <c r="D67" s="754">
        <v>12500</v>
      </c>
      <c r="E67" s="271">
        <v>37.5</v>
      </c>
      <c r="F67" s="272">
        <v>54650</v>
      </c>
      <c r="G67" s="271">
        <v>189.3</v>
      </c>
      <c r="H67" s="754" t="s">
        <v>288</v>
      </c>
      <c r="I67" s="754">
        <v>60</v>
      </c>
      <c r="M67" s="154"/>
    </row>
    <row r="68" spans="1:13" s="244" customFormat="1" ht="11.25" customHeight="1" x14ac:dyDescent="0.2">
      <c r="A68" s="2233">
        <v>2013</v>
      </c>
      <c r="B68" s="1128" t="s">
        <v>558</v>
      </c>
      <c r="C68" s="1895">
        <v>5375</v>
      </c>
      <c r="D68" s="1895">
        <v>12500</v>
      </c>
      <c r="E68" s="215">
        <v>36</v>
      </c>
      <c r="F68" s="216">
        <v>54700</v>
      </c>
      <c r="G68" s="215">
        <v>201.67</v>
      </c>
      <c r="H68" s="1895">
        <v>680</v>
      </c>
      <c r="I68" s="1895">
        <v>60</v>
      </c>
      <c r="M68" s="154"/>
    </row>
    <row r="69" spans="1:13" s="244" customFormat="1" ht="11.25" customHeight="1" x14ac:dyDescent="0.2">
      <c r="A69" s="2233">
        <v>2013</v>
      </c>
      <c r="B69" s="1129" t="s">
        <v>559</v>
      </c>
      <c r="C69" s="754">
        <v>5375</v>
      </c>
      <c r="D69" s="754">
        <v>12500</v>
      </c>
      <c r="E69" s="271">
        <v>36</v>
      </c>
      <c r="F69" s="272">
        <v>54700</v>
      </c>
      <c r="G69" s="271">
        <v>186.3</v>
      </c>
      <c r="H69" s="754">
        <v>680</v>
      </c>
      <c r="I69" s="754">
        <v>60</v>
      </c>
      <c r="M69" s="154"/>
    </row>
    <row r="70" spans="1:13" s="244" customFormat="1" ht="11.25" customHeight="1" x14ac:dyDescent="0.2">
      <c r="A70" s="2233">
        <v>2013</v>
      </c>
      <c r="B70" s="1128" t="s">
        <v>550</v>
      </c>
      <c r="C70" s="1895">
        <v>5375</v>
      </c>
      <c r="D70" s="1895">
        <v>12500</v>
      </c>
      <c r="E70" s="215">
        <v>36</v>
      </c>
      <c r="F70" s="216" t="s">
        <v>288</v>
      </c>
      <c r="G70" s="215">
        <v>202.07</v>
      </c>
      <c r="H70" s="1895">
        <v>680</v>
      </c>
      <c r="I70" s="1895">
        <v>60</v>
      </c>
      <c r="M70" s="154"/>
    </row>
    <row r="71" spans="1:13" s="244" customFormat="1" ht="11.25" customHeight="1" x14ac:dyDescent="0.2">
      <c r="A71" s="2233">
        <v>2013</v>
      </c>
      <c r="B71" s="1129" t="s">
        <v>552</v>
      </c>
      <c r="C71" s="754">
        <v>5375</v>
      </c>
      <c r="D71" s="754">
        <v>12500</v>
      </c>
      <c r="E71" s="271">
        <v>36</v>
      </c>
      <c r="F71" s="272">
        <v>51000</v>
      </c>
      <c r="G71" s="271">
        <v>209.76</v>
      </c>
      <c r="H71" s="754">
        <v>680</v>
      </c>
      <c r="I71" s="754">
        <v>80</v>
      </c>
      <c r="M71" s="154"/>
    </row>
    <row r="72" spans="1:13" s="244" customFormat="1" ht="11.25" customHeight="1" x14ac:dyDescent="0.2">
      <c r="A72" s="2233">
        <v>2013</v>
      </c>
      <c r="B72" s="1128" t="s">
        <v>553</v>
      </c>
      <c r="C72" s="1895">
        <v>5375</v>
      </c>
      <c r="D72" s="1895">
        <v>12500</v>
      </c>
      <c r="E72" s="215">
        <v>37</v>
      </c>
      <c r="F72" s="216">
        <v>51000</v>
      </c>
      <c r="G72" s="215">
        <v>224.95</v>
      </c>
      <c r="H72" s="1895">
        <v>680</v>
      </c>
      <c r="I72" s="1895">
        <v>88</v>
      </c>
      <c r="M72" s="154"/>
    </row>
    <row r="73" spans="1:13" s="244" customFormat="1" ht="11.25" customHeight="1" x14ac:dyDescent="0.2">
      <c r="A73" s="2233">
        <v>2013</v>
      </c>
      <c r="B73" s="1129" t="s">
        <v>547</v>
      </c>
      <c r="C73" s="754">
        <v>5375</v>
      </c>
      <c r="D73" s="754">
        <v>12500</v>
      </c>
      <c r="E73" s="271">
        <v>38</v>
      </c>
      <c r="F73" s="272">
        <v>51000</v>
      </c>
      <c r="G73" s="271">
        <v>206.36</v>
      </c>
      <c r="H73" s="754">
        <v>680</v>
      </c>
      <c r="I73" s="754">
        <v>92</v>
      </c>
      <c r="M73" s="154"/>
    </row>
    <row r="74" spans="1:13" s="244" customFormat="1" ht="11.25" customHeight="1" x14ac:dyDescent="0.2">
      <c r="A74" s="2233">
        <v>2013</v>
      </c>
      <c r="B74" s="1128" t="s">
        <v>554</v>
      </c>
      <c r="C74" s="1895">
        <v>5375</v>
      </c>
      <c r="D74" s="1895">
        <v>12500</v>
      </c>
      <c r="E74" s="215">
        <v>40</v>
      </c>
      <c r="F74" s="216">
        <v>50000</v>
      </c>
      <c r="G74" s="215">
        <v>208.23</v>
      </c>
      <c r="H74" s="1895">
        <v>680</v>
      </c>
      <c r="I74" s="1895">
        <v>110</v>
      </c>
      <c r="M74" s="154"/>
    </row>
    <row r="75" spans="1:13" s="244" customFormat="1" ht="11.25" customHeight="1" x14ac:dyDescent="0.2">
      <c r="A75" s="2233">
        <v>2013</v>
      </c>
      <c r="B75" s="1129" t="s">
        <v>555</v>
      </c>
      <c r="C75" s="754">
        <v>5375</v>
      </c>
      <c r="D75" s="754">
        <v>12500</v>
      </c>
      <c r="E75" s="271">
        <v>40</v>
      </c>
      <c r="F75" s="272">
        <v>51500</v>
      </c>
      <c r="G75" s="271">
        <v>186.1</v>
      </c>
      <c r="H75" s="754" t="s">
        <v>288</v>
      </c>
      <c r="I75" s="754">
        <v>114</v>
      </c>
      <c r="M75" s="154"/>
    </row>
    <row r="76" spans="1:13" s="244" customFormat="1" ht="11.25" customHeight="1" x14ac:dyDescent="0.2">
      <c r="A76" s="2233">
        <v>2013</v>
      </c>
      <c r="B76" s="1130" t="s">
        <v>548</v>
      </c>
      <c r="C76" s="1895">
        <v>5375</v>
      </c>
      <c r="D76" s="1895">
        <v>12500</v>
      </c>
      <c r="E76" s="215">
        <v>40</v>
      </c>
      <c r="F76" s="216">
        <v>50000</v>
      </c>
      <c r="G76" s="215">
        <v>189.41</v>
      </c>
      <c r="H76" s="1895" t="s">
        <v>288</v>
      </c>
      <c r="I76" s="1895">
        <v>114</v>
      </c>
      <c r="M76" s="154"/>
    </row>
    <row r="77" spans="1:13" s="244" customFormat="1" ht="11.25" customHeight="1" x14ac:dyDescent="0.2">
      <c r="A77" s="2233">
        <v>2014</v>
      </c>
      <c r="B77" s="244" t="s">
        <v>556</v>
      </c>
      <c r="C77" s="1895">
        <v>5375</v>
      </c>
      <c r="D77" s="1895">
        <v>12500</v>
      </c>
      <c r="E77" s="215">
        <v>40</v>
      </c>
      <c r="F77" s="216">
        <v>51500</v>
      </c>
      <c r="G77" s="215">
        <v>197.18</v>
      </c>
      <c r="H77" s="1895">
        <v>840</v>
      </c>
      <c r="I77" s="1895">
        <v>95</v>
      </c>
      <c r="M77" s="154"/>
    </row>
    <row r="78" spans="1:13" s="244" customFormat="1" ht="11.25" customHeight="1" x14ac:dyDescent="0.2">
      <c r="A78" s="2233">
        <v>2014</v>
      </c>
      <c r="B78" s="1128" t="s">
        <v>557</v>
      </c>
      <c r="C78" s="754">
        <v>5375</v>
      </c>
      <c r="D78" s="754">
        <v>12500</v>
      </c>
      <c r="E78" s="271">
        <v>40</v>
      </c>
      <c r="F78" s="272">
        <v>51700</v>
      </c>
      <c r="G78" s="271">
        <v>186.18</v>
      </c>
      <c r="H78" s="754">
        <v>840</v>
      </c>
      <c r="I78" s="754">
        <v>110</v>
      </c>
      <c r="M78" s="154"/>
    </row>
    <row r="79" spans="1:13" s="244" customFormat="1" ht="11.25" customHeight="1" x14ac:dyDescent="0.2">
      <c r="A79" s="2233">
        <v>2014</v>
      </c>
      <c r="B79" s="1129" t="s">
        <v>549</v>
      </c>
      <c r="C79" s="1895">
        <v>5375</v>
      </c>
      <c r="D79" s="1895">
        <v>12500</v>
      </c>
      <c r="E79" s="215">
        <v>40</v>
      </c>
      <c r="F79" s="216">
        <v>51500</v>
      </c>
      <c r="G79" s="215">
        <v>154.62</v>
      </c>
      <c r="H79" s="1895">
        <v>840</v>
      </c>
      <c r="I79" s="1895">
        <v>108</v>
      </c>
      <c r="M79" s="154"/>
    </row>
    <row r="80" spans="1:13" s="244" customFormat="1" ht="11.25" customHeight="1" x14ac:dyDescent="0.2">
      <c r="A80" s="2233">
        <v>2014</v>
      </c>
      <c r="B80" s="1128" t="s">
        <v>558</v>
      </c>
      <c r="C80" s="754">
        <v>5375</v>
      </c>
      <c r="D80" s="754">
        <v>12500</v>
      </c>
      <c r="E80" s="271">
        <v>40</v>
      </c>
      <c r="F80" s="272">
        <v>51500</v>
      </c>
      <c r="G80" s="271">
        <v>151.35</v>
      </c>
      <c r="H80" s="754">
        <v>1000</v>
      </c>
      <c r="I80" s="754">
        <v>100</v>
      </c>
      <c r="M80" s="154"/>
    </row>
    <row r="81" spans="1:13" s="244" customFormat="1" ht="11.25" customHeight="1" x14ac:dyDescent="0.2">
      <c r="A81" s="2233">
        <v>2014</v>
      </c>
      <c r="B81" s="1129" t="s">
        <v>559</v>
      </c>
      <c r="C81" s="1895">
        <v>5375</v>
      </c>
      <c r="D81" s="1895">
        <v>12500</v>
      </c>
      <c r="E81" s="215">
        <v>40</v>
      </c>
      <c r="F81" s="2243">
        <v>51500</v>
      </c>
      <c r="G81" s="215">
        <v>165.97</v>
      </c>
      <c r="H81" s="1895">
        <v>1100</v>
      </c>
      <c r="I81" s="1895">
        <v>120</v>
      </c>
      <c r="M81" s="154"/>
    </row>
    <row r="82" spans="1:13" s="244" customFormat="1" ht="11.25" customHeight="1" x14ac:dyDescent="0.2">
      <c r="A82" s="2233">
        <v>2014</v>
      </c>
      <c r="B82" s="1128" t="s">
        <v>550</v>
      </c>
      <c r="C82" s="754">
        <v>5375</v>
      </c>
      <c r="D82" s="754">
        <v>12500</v>
      </c>
      <c r="E82" s="271">
        <v>40</v>
      </c>
      <c r="F82" s="1963">
        <v>51500</v>
      </c>
      <c r="G82" s="271">
        <v>151.55000000000001</v>
      </c>
      <c r="H82" s="754">
        <v>1100</v>
      </c>
      <c r="I82" s="754">
        <v>115</v>
      </c>
      <c r="M82" s="154"/>
    </row>
    <row r="83" spans="1:13" s="244" customFormat="1" ht="11.25" customHeight="1" x14ac:dyDescent="0.2">
      <c r="A83" s="2233">
        <v>2014</v>
      </c>
      <c r="B83" s="1129" t="s">
        <v>552</v>
      </c>
      <c r="C83" s="1895">
        <v>5375</v>
      </c>
      <c r="D83" s="1895">
        <v>12500</v>
      </c>
      <c r="E83" s="215">
        <v>40</v>
      </c>
      <c r="F83" s="2243">
        <v>46000</v>
      </c>
      <c r="G83" s="215">
        <v>167.24</v>
      </c>
      <c r="H83" s="1895">
        <v>1100</v>
      </c>
      <c r="I83" s="1895">
        <v>135</v>
      </c>
      <c r="M83" s="154"/>
    </row>
    <row r="84" spans="1:13" s="244" customFormat="1" ht="11.25" customHeight="1" x14ac:dyDescent="0.2">
      <c r="A84" s="2233">
        <v>2014</v>
      </c>
      <c r="B84" s="1128" t="s">
        <v>553</v>
      </c>
      <c r="C84" s="754">
        <v>5375</v>
      </c>
      <c r="D84" s="754">
        <v>12500</v>
      </c>
      <c r="E84" s="271">
        <v>40</v>
      </c>
      <c r="F84" s="1963">
        <v>46000</v>
      </c>
      <c r="G84" s="271">
        <v>154.44</v>
      </c>
      <c r="H84" s="754">
        <v>1100</v>
      </c>
      <c r="I84" s="754">
        <v>112</v>
      </c>
      <c r="M84" s="154"/>
    </row>
    <row r="85" spans="1:13" s="244" customFormat="1" ht="11.25" customHeight="1" x14ac:dyDescent="0.2">
      <c r="A85" s="2233">
        <v>2014</v>
      </c>
      <c r="B85" s="1129" t="s">
        <v>547</v>
      </c>
      <c r="C85" s="1895">
        <v>5375</v>
      </c>
      <c r="D85" s="1895">
        <v>12500</v>
      </c>
      <c r="E85" s="215">
        <v>40</v>
      </c>
      <c r="F85" s="2243">
        <v>46000</v>
      </c>
      <c r="G85" s="215">
        <v>152.49</v>
      </c>
      <c r="H85" s="1895">
        <v>1100</v>
      </c>
      <c r="I85" s="1895">
        <v>110</v>
      </c>
      <c r="M85" s="154"/>
    </row>
    <row r="86" spans="1:13" s="244" customFormat="1" ht="11.25" customHeight="1" x14ac:dyDescent="0.2">
      <c r="A86" s="2233">
        <v>2014</v>
      </c>
      <c r="B86" s="1128" t="s">
        <v>554</v>
      </c>
      <c r="C86" s="754">
        <v>5375</v>
      </c>
      <c r="D86" s="754">
        <v>12500</v>
      </c>
      <c r="E86" s="271">
        <v>40</v>
      </c>
      <c r="F86" s="1963">
        <v>46000</v>
      </c>
      <c r="G86" s="271">
        <v>164.77</v>
      </c>
      <c r="H86" s="754">
        <v>1300</v>
      </c>
      <c r="I86" s="754">
        <v>110</v>
      </c>
      <c r="M86" s="154"/>
    </row>
    <row r="87" spans="1:13" s="244" customFormat="1" ht="11.25" customHeight="1" x14ac:dyDescent="0.2">
      <c r="A87" s="2233">
        <v>2014</v>
      </c>
      <c r="B87" s="1129" t="s">
        <v>555</v>
      </c>
      <c r="C87" s="1895">
        <v>5375</v>
      </c>
      <c r="D87" s="1895">
        <v>12500</v>
      </c>
      <c r="E87" s="215">
        <v>40</v>
      </c>
      <c r="F87" s="2243">
        <v>46000</v>
      </c>
      <c r="G87" s="215">
        <v>166.93</v>
      </c>
      <c r="H87" s="1895">
        <v>1300</v>
      </c>
      <c r="I87" s="1895">
        <v>105</v>
      </c>
      <c r="M87" s="154"/>
    </row>
    <row r="88" spans="1:13" s="244" customFormat="1" ht="11.25" customHeight="1" x14ac:dyDescent="0.2">
      <c r="A88" s="2233">
        <v>2014</v>
      </c>
      <c r="B88" s="1130" t="s">
        <v>548</v>
      </c>
      <c r="C88" s="754">
        <v>5375</v>
      </c>
      <c r="D88" s="754">
        <v>12500</v>
      </c>
      <c r="E88" s="271">
        <v>40</v>
      </c>
      <c r="F88" s="2238" t="s">
        <v>288</v>
      </c>
      <c r="G88" s="2236">
        <v>180.2</v>
      </c>
      <c r="H88" s="754">
        <v>1325</v>
      </c>
      <c r="I88" s="754">
        <v>92</v>
      </c>
      <c r="M88" s="154"/>
    </row>
    <row r="89" spans="1:13" s="244" customFormat="1" ht="11.25" customHeight="1" x14ac:dyDescent="0.2">
      <c r="A89" s="2233">
        <v>2015</v>
      </c>
      <c r="B89" s="244" t="s">
        <v>556</v>
      </c>
      <c r="C89" s="754">
        <v>5375</v>
      </c>
      <c r="D89" s="754">
        <v>12500</v>
      </c>
      <c r="E89" s="271">
        <v>40</v>
      </c>
      <c r="F89" s="2238" t="s">
        <v>288</v>
      </c>
      <c r="G89" s="2236">
        <v>172.99</v>
      </c>
      <c r="H89" s="754">
        <v>1400</v>
      </c>
      <c r="I89" s="754">
        <v>78</v>
      </c>
      <c r="M89" s="154"/>
    </row>
    <row r="90" spans="1:13" s="244" customFormat="1" ht="11.25" customHeight="1" x14ac:dyDescent="0.2">
      <c r="A90" s="2233">
        <v>2015</v>
      </c>
      <c r="B90" s="1128" t="s">
        <v>557</v>
      </c>
      <c r="C90" s="1895">
        <v>5375</v>
      </c>
      <c r="D90" s="1895">
        <v>12500</v>
      </c>
      <c r="E90" s="215">
        <v>40</v>
      </c>
      <c r="F90" s="2244" t="s">
        <v>288</v>
      </c>
      <c r="G90" s="2245">
        <v>132.86000000000001</v>
      </c>
      <c r="H90" s="1895">
        <v>1250</v>
      </c>
      <c r="I90" s="1895">
        <v>62</v>
      </c>
      <c r="M90" s="154"/>
    </row>
    <row r="91" spans="1:13" s="244" customFormat="1" ht="11.25" customHeight="1" x14ac:dyDescent="0.2">
      <c r="A91" s="2233">
        <v>2015</v>
      </c>
      <c r="B91" s="1129" t="s">
        <v>549</v>
      </c>
      <c r="C91" s="754">
        <v>5375</v>
      </c>
      <c r="D91" s="754">
        <v>12500</v>
      </c>
      <c r="E91" s="271">
        <v>40</v>
      </c>
      <c r="F91" s="2238" t="s">
        <v>288</v>
      </c>
      <c r="G91" s="2236">
        <v>144.27000000000001</v>
      </c>
      <c r="H91" s="754">
        <v>1250</v>
      </c>
      <c r="I91" s="754">
        <v>62</v>
      </c>
      <c r="M91" s="154"/>
    </row>
    <row r="92" spans="1:13" s="244" customFormat="1" ht="11.25" customHeight="1" x14ac:dyDescent="0.2">
      <c r="A92" s="2233">
        <v>2015</v>
      </c>
      <c r="B92" s="1128" t="s">
        <v>558</v>
      </c>
      <c r="C92" s="1895">
        <v>5375</v>
      </c>
      <c r="D92" s="1895">
        <v>12500</v>
      </c>
      <c r="E92" s="215">
        <v>38</v>
      </c>
      <c r="F92" s="2244" t="s">
        <v>288</v>
      </c>
      <c r="G92" s="2245">
        <v>183.04</v>
      </c>
      <c r="H92" s="1895">
        <v>1200</v>
      </c>
      <c r="I92" s="1895">
        <v>55</v>
      </c>
      <c r="M92" s="154"/>
    </row>
    <row r="93" spans="1:13" s="244" customFormat="1" ht="11.25" customHeight="1" x14ac:dyDescent="0.2">
      <c r="A93" s="2233">
        <v>2015</v>
      </c>
      <c r="B93" s="1129" t="s">
        <v>559</v>
      </c>
      <c r="C93" s="754">
        <v>5375</v>
      </c>
      <c r="D93" s="754">
        <v>12500</v>
      </c>
      <c r="E93" s="271">
        <v>38</v>
      </c>
      <c r="F93" s="2238" t="s">
        <v>288</v>
      </c>
      <c r="G93" s="2236">
        <v>178.39</v>
      </c>
      <c r="H93" s="754">
        <v>1150</v>
      </c>
      <c r="I93" s="754">
        <v>50</v>
      </c>
      <c r="M93" s="154"/>
    </row>
    <row r="94" spans="1:13" s="244" customFormat="1" ht="11.25" customHeight="1" x14ac:dyDescent="0.2">
      <c r="A94" s="2233">
        <v>2015</v>
      </c>
      <c r="B94" s="1128" t="s">
        <v>550</v>
      </c>
      <c r="C94" s="1895">
        <v>5375</v>
      </c>
      <c r="D94" s="1895">
        <v>12500</v>
      </c>
      <c r="E94" s="215">
        <v>36</v>
      </c>
      <c r="F94" s="2246" t="s">
        <v>288</v>
      </c>
      <c r="G94" s="215">
        <v>163.03</v>
      </c>
      <c r="H94" s="1895">
        <v>1175</v>
      </c>
      <c r="I94" s="1895">
        <v>50</v>
      </c>
      <c r="M94" s="154"/>
    </row>
    <row r="95" spans="1:13" s="244" customFormat="1" ht="11.25" customHeight="1" x14ac:dyDescent="0.2">
      <c r="A95" s="2233">
        <v>2015</v>
      </c>
      <c r="B95" s="1129" t="s">
        <v>552</v>
      </c>
      <c r="C95" s="754">
        <v>5375</v>
      </c>
      <c r="D95" s="754">
        <v>12500</v>
      </c>
      <c r="E95" s="271">
        <v>36</v>
      </c>
      <c r="F95" s="2247" t="s">
        <v>288</v>
      </c>
      <c r="G95" s="271">
        <v>159.86000000000001</v>
      </c>
      <c r="H95" s="754">
        <v>1450</v>
      </c>
      <c r="I95" s="754">
        <v>165</v>
      </c>
      <c r="M95" s="154"/>
    </row>
    <row r="96" spans="1:13" s="244" customFormat="1" ht="11.25" customHeight="1" x14ac:dyDescent="0.2">
      <c r="A96" s="2233">
        <v>2015</v>
      </c>
      <c r="B96" s="1128" t="s">
        <v>553</v>
      </c>
      <c r="C96" s="1895">
        <v>5375</v>
      </c>
      <c r="D96" s="1895">
        <v>12500</v>
      </c>
      <c r="E96" s="215">
        <v>36</v>
      </c>
      <c r="F96" s="2246" t="s">
        <v>288</v>
      </c>
      <c r="G96" s="215">
        <v>175.6</v>
      </c>
      <c r="H96" s="1895">
        <v>1375</v>
      </c>
      <c r="I96" s="1895">
        <v>140</v>
      </c>
      <c r="M96" s="154"/>
    </row>
    <row r="97" spans="1:13" s="244" customFormat="1" ht="11.25" customHeight="1" x14ac:dyDescent="0.2">
      <c r="A97" s="2233">
        <v>2015</v>
      </c>
      <c r="B97" s="1129" t="s">
        <v>547</v>
      </c>
      <c r="C97" s="754">
        <v>5375</v>
      </c>
      <c r="D97" s="754">
        <v>12500</v>
      </c>
      <c r="E97" s="271">
        <v>37</v>
      </c>
      <c r="F97" s="2247" t="s">
        <v>288</v>
      </c>
      <c r="G97" s="271">
        <v>156.93</v>
      </c>
      <c r="H97" s="754">
        <v>1325</v>
      </c>
      <c r="I97" s="754">
        <v>135</v>
      </c>
      <c r="M97" s="154"/>
    </row>
    <row r="98" spans="1:13" s="244" customFormat="1" ht="11.25" customHeight="1" x14ac:dyDescent="0.2">
      <c r="A98" s="2233">
        <v>2015</v>
      </c>
      <c r="B98" s="1128" t="s">
        <v>554</v>
      </c>
      <c r="C98" s="1895">
        <v>5375</v>
      </c>
      <c r="D98" s="1895">
        <v>12500</v>
      </c>
      <c r="E98" s="215">
        <v>37</v>
      </c>
      <c r="F98" s="2246" t="s">
        <v>288</v>
      </c>
      <c r="G98" s="215">
        <v>158.36000000000001</v>
      </c>
      <c r="H98" s="1895">
        <v>1350</v>
      </c>
      <c r="I98" s="1895">
        <v>125</v>
      </c>
      <c r="M98" s="154"/>
    </row>
    <row r="99" spans="1:13" s="244" customFormat="1" ht="11.25" customHeight="1" x14ac:dyDescent="0.2">
      <c r="A99" s="2233">
        <v>2015</v>
      </c>
      <c r="B99" s="1129" t="s">
        <v>555</v>
      </c>
      <c r="C99" s="754">
        <v>5375</v>
      </c>
      <c r="D99" s="754">
        <v>12500</v>
      </c>
      <c r="E99" s="271">
        <v>37</v>
      </c>
      <c r="F99" s="2247" t="s">
        <v>288</v>
      </c>
      <c r="G99" s="271">
        <v>165.81</v>
      </c>
      <c r="H99" s="754">
        <v>1300</v>
      </c>
      <c r="I99" s="754">
        <v>115</v>
      </c>
      <c r="M99" s="154"/>
    </row>
    <row r="100" spans="1:13" s="244" customFormat="1" ht="11.25" customHeight="1" thickBot="1" x14ac:dyDescent="0.25">
      <c r="A100" s="2233">
        <v>2015</v>
      </c>
      <c r="B100" s="1130" t="s">
        <v>548</v>
      </c>
      <c r="C100" s="2248">
        <v>5375</v>
      </c>
      <c r="D100" s="2248">
        <v>12500</v>
      </c>
      <c r="E100" s="2249">
        <v>37</v>
      </c>
      <c r="F100" s="2250" t="s">
        <v>288</v>
      </c>
      <c r="G100" s="2249">
        <v>162.69</v>
      </c>
      <c r="H100" s="2248">
        <v>1225</v>
      </c>
      <c r="I100" s="2248">
        <v>120</v>
      </c>
      <c r="M100" s="154"/>
    </row>
    <row r="101" spans="1:13" s="244" customFormat="1" ht="11.25" customHeight="1" x14ac:dyDescent="0.2">
      <c r="A101" s="2233">
        <v>2016</v>
      </c>
      <c r="B101" s="1129" t="s">
        <v>556</v>
      </c>
      <c r="C101" s="1895">
        <v>6375</v>
      </c>
      <c r="D101" s="1895">
        <v>15100</v>
      </c>
      <c r="E101" s="215">
        <v>38</v>
      </c>
      <c r="F101" s="2243">
        <v>44000</v>
      </c>
      <c r="G101" s="215">
        <v>172.99</v>
      </c>
      <c r="H101" s="1895">
        <v>1200</v>
      </c>
      <c r="I101" s="1895">
        <v>110</v>
      </c>
      <c r="M101" s="154"/>
    </row>
    <row r="102" spans="1:13" s="244" customFormat="1" ht="11.25" customHeight="1" x14ac:dyDescent="0.2">
      <c r="A102" s="2233">
        <v>2016</v>
      </c>
      <c r="B102" s="1128" t="s">
        <v>557</v>
      </c>
      <c r="C102" s="754">
        <v>6375</v>
      </c>
      <c r="D102" s="754">
        <v>15100</v>
      </c>
      <c r="E102" s="271">
        <v>38</v>
      </c>
      <c r="F102" s="1963">
        <v>44000</v>
      </c>
      <c r="G102" s="271">
        <v>132.86000000000001</v>
      </c>
      <c r="H102" s="754">
        <v>1080</v>
      </c>
      <c r="I102" s="754">
        <v>100</v>
      </c>
      <c r="M102" s="154"/>
    </row>
    <row r="103" spans="1:13" s="244" customFormat="1" ht="11.25" customHeight="1" x14ac:dyDescent="0.2">
      <c r="A103" s="2233">
        <v>2016</v>
      </c>
      <c r="B103" s="1129" t="s">
        <v>549</v>
      </c>
      <c r="C103" s="1895">
        <v>6375</v>
      </c>
      <c r="D103" s="1895">
        <v>15100</v>
      </c>
      <c r="E103" s="215">
        <v>38</v>
      </c>
      <c r="F103" s="2243">
        <v>44000</v>
      </c>
      <c r="G103" s="215">
        <v>144.27000000000001</v>
      </c>
      <c r="H103" s="1895">
        <v>1050</v>
      </c>
      <c r="I103" s="1895">
        <v>88</v>
      </c>
      <c r="M103" s="154"/>
    </row>
    <row r="104" spans="1:13" s="244" customFormat="1" ht="11.25" customHeight="1" x14ac:dyDescent="0.2">
      <c r="A104" s="2233">
        <v>2016</v>
      </c>
      <c r="B104" s="1128" t="s">
        <v>558</v>
      </c>
      <c r="C104" s="754">
        <v>6375</v>
      </c>
      <c r="D104" s="754">
        <v>15100</v>
      </c>
      <c r="E104" s="271">
        <v>38</v>
      </c>
      <c r="F104" s="1963">
        <v>44000</v>
      </c>
      <c r="G104" s="271">
        <v>183.04</v>
      </c>
      <c r="H104" s="754">
        <v>980</v>
      </c>
      <c r="I104" s="754">
        <v>82</v>
      </c>
      <c r="M104" s="154"/>
    </row>
    <row r="105" spans="1:13" s="244" customFormat="1" ht="11.25" customHeight="1" x14ac:dyDescent="0.2">
      <c r="A105" s="2233">
        <v>2016</v>
      </c>
      <c r="B105" s="1129" t="s">
        <v>559</v>
      </c>
      <c r="C105" s="1895">
        <v>6375</v>
      </c>
      <c r="D105" s="1895">
        <v>15100</v>
      </c>
      <c r="E105" s="215">
        <v>38</v>
      </c>
      <c r="F105" s="2243">
        <v>44000</v>
      </c>
      <c r="G105" s="215">
        <v>178.39</v>
      </c>
      <c r="H105" s="1895">
        <v>1050</v>
      </c>
      <c r="I105" s="1895">
        <v>95</v>
      </c>
      <c r="M105" s="154"/>
    </row>
    <row r="106" spans="1:13" s="244" customFormat="1" ht="11.25" customHeight="1" x14ac:dyDescent="0.2">
      <c r="A106" s="2233">
        <v>2016</v>
      </c>
      <c r="B106" s="1128" t="s">
        <v>550</v>
      </c>
      <c r="C106" s="754">
        <v>6375</v>
      </c>
      <c r="D106" s="754">
        <v>15100</v>
      </c>
      <c r="E106" s="271">
        <v>38</v>
      </c>
      <c r="F106" s="1963">
        <v>44000</v>
      </c>
      <c r="G106" s="2251">
        <v>163.03</v>
      </c>
      <c r="H106" s="754">
        <v>1050</v>
      </c>
      <c r="I106" s="754">
        <v>95</v>
      </c>
      <c r="M106" s="154"/>
    </row>
    <row r="107" spans="1:13" s="244" customFormat="1" ht="11.25" customHeight="1" x14ac:dyDescent="0.2">
      <c r="A107" s="2233">
        <v>2016</v>
      </c>
      <c r="B107" s="1129" t="s">
        <v>552</v>
      </c>
      <c r="C107" s="1895">
        <v>6375</v>
      </c>
      <c r="D107" s="1895">
        <v>15100</v>
      </c>
      <c r="E107" s="215">
        <v>38</v>
      </c>
      <c r="F107" s="2243">
        <v>44000</v>
      </c>
      <c r="G107" s="2252">
        <v>160.30000000000001</v>
      </c>
      <c r="H107" s="1895">
        <v>1100</v>
      </c>
      <c r="I107" s="1895">
        <v>100</v>
      </c>
      <c r="M107" s="154"/>
    </row>
    <row r="108" spans="1:13" s="244" customFormat="1" ht="11.25" customHeight="1" x14ac:dyDescent="0.2">
      <c r="A108" s="2233">
        <v>2016</v>
      </c>
      <c r="B108" s="1128" t="s">
        <v>553</v>
      </c>
      <c r="C108" s="754">
        <v>6375</v>
      </c>
      <c r="D108" s="754">
        <v>15100</v>
      </c>
      <c r="E108" s="271">
        <v>38</v>
      </c>
      <c r="F108" s="1963">
        <v>44000</v>
      </c>
      <c r="G108" s="2251">
        <v>175.6</v>
      </c>
      <c r="H108" s="754">
        <v>980</v>
      </c>
      <c r="I108" s="754">
        <v>90</v>
      </c>
      <c r="M108" s="154"/>
    </row>
    <row r="109" spans="1:13" s="244" customFormat="1" ht="11.25" customHeight="1" x14ac:dyDescent="0.2">
      <c r="A109" s="2233">
        <v>2016</v>
      </c>
      <c r="B109" s="1129" t="s">
        <v>547</v>
      </c>
      <c r="C109" s="1895">
        <v>6375</v>
      </c>
      <c r="D109" s="1895">
        <v>15100</v>
      </c>
      <c r="E109" s="215">
        <v>38</v>
      </c>
      <c r="F109" s="2243">
        <v>44000</v>
      </c>
      <c r="G109" s="2252">
        <v>168.3</v>
      </c>
      <c r="H109" s="1895">
        <v>920</v>
      </c>
      <c r="I109" s="1895">
        <v>75</v>
      </c>
      <c r="M109" s="154"/>
    </row>
    <row r="110" spans="1:13" s="244" customFormat="1" ht="11.25" customHeight="1" x14ac:dyDescent="0.2">
      <c r="A110" s="2233">
        <v>2016</v>
      </c>
      <c r="B110" s="1128" t="s">
        <v>554</v>
      </c>
      <c r="C110" s="754">
        <v>6375</v>
      </c>
      <c r="D110" s="754">
        <v>15100</v>
      </c>
      <c r="E110" s="271">
        <v>39</v>
      </c>
      <c r="F110" s="1963">
        <v>44000</v>
      </c>
      <c r="G110" s="2251">
        <v>178.82</v>
      </c>
      <c r="H110" s="754">
        <v>910</v>
      </c>
      <c r="I110" s="754">
        <v>72</v>
      </c>
      <c r="M110" s="154"/>
    </row>
    <row r="111" spans="1:13" s="244" customFormat="1" ht="11.25" customHeight="1" x14ac:dyDescent="0.2">
      <c r="A111" s="2233">
        <v>2016</v>
      </c>
      <c r="B111" s="1129" t="s">
        <v>555</v>
      </c>
      <c r="C111" s="1895">
        <v>6375</v>
      </c>
      <c r="D111" s="1895">
        <v>15100</v>
      </c>
      <c r="E111" s="215">
        <v>40</v>
      </c>
      <c r="F111" s="2243">
        <v>44000</v>
      </c>
      <c r="G111" s="2252">
        <v>156.76</v>
      </c>
      <c r="H111" s="1895">
        <v>900</v>
      </c>
      <c r="I111" s="1895">
        <v>70</v>
      </c>
      <c r="M111" s="154"/>
    </row>
    <row r="112" spans="1:13" s="244" customFormat="1" ht="11.25" customHeight="1" x14ac:dyDescent="0.2">
      <c r="A112" s="2233">
        <v>2016</v>
      </c>
      <c r="B112" s="1128" t="s">
        <v>548</v>
      </c>
      <c r="C112" s="754">
        <v>6375</v>
      </c>
      <c r="D112" s="754">
        <v>15100</v>
      </c>
      <c r="E112" s="271">
        <v>40</v>
      </c>
      <c r="F112" s="1963">
        <v>44000</v>
      </c>
      <c r="G112" s="2251">
        <v>121</v>
      </c>
      <c r="H112" s="754">
        <v>890</v>
      </c>
      <c r="I112" s="754">
        <v>67</v>
      </c>
      <c r="M112" s="154"/>
    </row>
    <row r="113" spans="1:13" s="244" customFormat="1" ht="11.25" customHeight="1" x14ac:dyDescent="0.2">
      <c r="A113" s="2233">
        <v>2017</v>
      </c>
      <c r="B113" s="1129" t="s">
        <v>556</v>
      </c>
      <c r="C113" s="754">
        <v>6375</v>
      </c>
      <c r="D113" s="754">
        <v>15100</v>
      </c>
      <c r="E113" s="271">
        <v>38</v>
      </c>
      <c r="F113" s="1963">
        <v>44000</v>
      </c>
      <c r="G113" s="2251">
        <v>190.53</v>
      </c>
      <c r="H113" s="754">
        <v>860</v>
      </c>
      <c r="I113" s="754">
        <v>51</v>
      </c>
      <c r="M113" s="154"/>
    </row>
    <row r="114" spans="1:13" s="244" customFormat="1" ht="11.25" customHeight="1" x14ac:dyDescent="0.2">
      <c r="A114" s="2233">
        <v>2017</v>
      </c>
      <c r="B114" s="1128" t="s">
        <v>557</v>
      </c>
      <c r="C114" s="1895">
        <v>6375</v>
      </c>
      <c r="D114" s="1895">
        <v>15100</v>
      </c>
      <c r="E114" s="215">
        <v>40</v>
      </c>
      <c r="F114" s="2243">
        <v>44000</v>
      </c>
      <c r="G114" s="2252">
        <v>170.6</v>
      </c>
      <c r="H114" s="1895">
        <v>880</v>
      </c>
      <c r="I114" s="1895">
        <v>60</v>
      </c>
      <c r="M114" s="154"/>
    </row>
    <row r="115" spans="1:13" s="244" customFormat="1" ht="11.25" customHeight="1" x14ac:dyDescent="0.2">
      <c r="A115" s="2233">
        <v>2017</v>
      </c>
      <c r="B115" s="1129" t="s">
        <v>549</v>
      </c>
      <c r="C115" s="754">
        <v>6375</v>
      </c>
      <c r="D115" s="754">
        <v>15100</v>
      </c>
      <c r="E115" s="271">
        <v>42</v>
      </c>
      <c r="F115" s="1963">
        <v>43950</v>
      </c>
      <c r="G115" s="2251">
        <v>188.33</v>
      </c>
      <c r="H115" s="754">
        <v>900</v>
      </c>
      <c r="I115" s="754">
        <v>80</v>
      </c>
      <c r="M115" s="154"/>
    </row>
    <row r="116" spans="1:13" s="244" customFormat="1" ht="11.25" customHeight="1" x14ac:dyDescent="0.2">
      <c r="A116" s="2233">
        <v>2017</v>
      </c>
      <c r="B116" s="1128" t="s">
        <v>558</v>
      </c>
      <c r="C116" s="1895">
        <v>6375</v>
      </c>
      <c r="D116" s="1895">
        <v>15100</v>
      </c>
      <c r="E116" s="215">
        <v>44</v>
      </c>
      <c r="F116" s="2243">
        <v>44100</v>
      </c>
      <c r="G116" s="2252">
        <v>158.11000000000001</v>
      </c>
      <c r="H116" s="1895">
        <v>990</v>
      </c>
      <c r="I116" s="1895">
        <v>78</v>
      </c>
      <c r="M116" s="154"/>
    </row>
    <row r="117" spans="1:13" s="244" customFormat="1" ht="11.25" customHeight="1" x14ac:dyDescent="0.2">
      <c r="A117" s="2233">
        <v>2017</v>
      </c>
      <c r="B117" s="1129" t="s">
        <v>559</v>
      </c>
      <c r="C117" s="754">
        <v>6375</v>
      </c>
      <c r="D117" s="754">
        <v>15100</v>
      </c>
      <c r="E117" s="271">
        <v>45</v>
      </c>
      <c r="F117" s="1963">
        <v>44000</v>
      </c>
      <c r="G117" s="2251">
        <v>140.69999999999999</v>
      </c>
      <c r="H117" s="754">
        <v>970</v>
      </c>
      <c r="I117" s="754">
        <v>73</v>
      </c>
      <c r="M117" s="154"/>
    </row>
    <row r="118" spans="1:13" s="244" customFormat="1" ht="11.25" customHeight="1" x14ac:dyDescent="0.2">
      <c r="A118" s="2233">
        <v>2017</v>
      </c>
      <c r="B118" s="1128" t="s">
        <v>550</v>
      </c>
      <c r="C118" s="1895">
        <v>6375</v>
      </c>
      <c r="D118" s="1895">
        <v>15100</v>
      </c>
      <c r="E118" s="215">
        <v>48</v>
      </c>
      <c r="F118" s="2243">
        <v>44000</v>
      </c>
      <c r="G118" s="2252">
        <v>152.85</v>
      </c>
      <c r="H118" s="1895">
        <v>840</v>
      </c>
      <c r="I118" s="1895">
        <v>90</v>
      </c>
      <c r="M118" s="154"/>
    </row>
    <row r="119" spans="1:13" s="244" customFormat="1" ht="11.25" customHeight="1" x14ac:dyDescent="0.2">
      <c r="A119" s="2233">
        <v>2017</v>
      </c>
      <c r="B119" s="1129" t="s">
        <v>552</v>
      </c>
      <c r="C119" s="754">
        <v>6375</v>
      </c>
      <c r="D119" s="754">
        <v>15100</v>
      </c>
      <c r="E119" s="271">
        <v>47</v>
      </c>
      <c r="F119" s="1963">
        <v>44200</v>
      </c>
      <c r="G119" s="2251">
        <v>161.63</v>
      </c>
      <c r="H119" s="754">
        <v>830</v>
      </c>
      <c r="I119" s="754">
        <v>88</v>
      </c>
      <c r="M119" s="154"/>
    </row>
    <row r="120" spans="1:13" s="244" customFormat="1" ht="11.25" customHeight="1" x14ac:dyDescent="0.2">
      <c r="A120" s="2233">
        <v>2017</v>
      </c>
      <c r="B120" s="1128" t="s">
        <v>553</v>
      </c>
      <c r="C120" s="1895">
        <v>6375</v>
      </c>
      <c r="D120" s="1895">
        <v>15100</v>
      </c>
      <c r="E120" s="215" t="s">
        <v>288</v>
      </c>
      <c r="F120" s="2243">
        <v>44200</v>
      </c>
      <c r="G120" s="2252">
        <v>151.88</v>
      </c>
      <c r="H120" s="1895" t="s">
        <v>288</v>
      </c>
      <c r="I120" s="1895" t="s">
        <v>288</v>
      </c>
      <c r="M120" s="154"/>
    </row>
    <row r="121" spans="1:13" s="244" customFormat="1" ht="11.25" customHeight="1" x14ac:dyDescent="0.2">
      <c r="A121" s="2233">
        <v>2017</v>
      </c>
      <c r="B121" s="1129" t="s">
        <v>547</v>
      </c>
      <c r="C121" s="754">
        <v>6375</v>
      </c>
      <c r="D121" s="754">
        <v>15100</v>
      </c>
      <c r="E121" s="271" t="s">
        <v>288</v>
      </c>
      <c r="F121" s="1963">
        <v>44180</v>
      </c>
      <c r="G121" s="2251">
        <v>154.63999999999999</v>
      </c>
      <c r="H121" s="754" t="s">
        <v>288</v>
      </c>
      <c r="I121" s="754" t="s">
        <v>288</v>
      </c>
      <c r="M121" s="154"/>
    </row>
    <row r="122" spans="1:13" s="244" customFormat="1" ht="11.25" customHeight="1" x14ac:dyDescent="0.2">
      <c r="A122" s="2233">
        <v>2017</v>
      </c>
      <c r="B122" s="1128" t="s">
        <v>554</v>
      </c>
      <c r="C122" s="1895">
        <v>6375</v>
      </c>
      <c r="D122" s="1895">
        <v>15100</v>
      </c>
      <c r="E122" s="215" t="s">
        <v>288</v>
      </c>
      <c r="F122" s="2243">
        <v>39450</v>
      </c>
      <c r="G122" s="2252">
        <v>161.5</v>
      </c>
      <c r="H122" s="1895" t="s">
        <v>288</v>
      </c>
      <c r="I122" s="1895" t="s">
        <v>288</v>
      </c>
      <c r="M122" s="154"/>
    </row>
    <row r="123" spans="1:13" s="244" customFormat="1" ht="11.25" customHeight="1" x14ac:dyDescent="0.2">
      <c r="A123" s="2233">
        <v>2017</v>
      </c>
      <c r="B123" s="1129" t="s">
        <v>555</v>
      </c>
      <c r="C123" s="754">
        <v>6375</v>
      </c>
      <c r="D123" s="754">
        <v>15100</v>
      </c>
      <c r="E123" s="271" t="s">
        <v>288</v>
      </c>
      <c r="F123" s="1963">
        <v>41000</v>
      </c>
      <c r="G123" s="2251">
        <v>172.56</v>
      </c>
      <c r="H123" s="754" t="s">
        <v>288</v>
      </c>
      <c r="I123" s="754" t="s">
        <v>288</v>
      </c>
      <c r="M123" s="154"/>
    </row>
    <row r="124" spans="1:13" s="244" customFormat="1" ht="11.25" customHeight="1" x14ac:dyDescent="0.2">
      <c r="A124" s="2233">
        <v>2017</v>
      </c>
      <c r="B124" s="1128" t="s">
        <v>548</v>
      </c>
      <c r="C124" s="1895">
        <v>6375</v>
      </c>
      <c r="D124" s="1895">
        <v>15100</v>
      </c>
      <c r="E124" s="215" t="s">
        <v>288</v>
      </c>
      <c r="F124" s="2243">
        <v>41000</v>
      </c>
      <c r="G124" s="2252">
        <v>172.71</v>
      </c>
      <c r="H124" s="1895" t="s">
        <v>288</v>
      </c>
      <c r="I124" s="1895" t="s">
        <v>288</v>
      </c>
      <c r="M124" s="154"/>
    </row>
    <row r="125" spans="1:13" s="244" customFormat="1" ht="11.25" customHeight="1" x14ac:dyDescent="0.2">
      <c r="A125" s="2233">
        <v>2018</v>
      </c>
      <c r="B125" s="1129" t="s">
        <v>556</v>
      </c>
      <c r="C125" s="734">
        <v>6375</v>
      </c>
      <c r="D125" s="734">
        <v>15100</v>
      </c>
      <c r="E125" s="687">
        <v>46</v>
      </c>
      <c r="F125" s="782">
        <v>41000</v>
      </c>
      <c r="G125" s="687">
        <v>186.97</v>
      </c>
      <c r="H125" s="782">
        <v>619</v>
      </c>
      <c r="I125" s="782">
        <v>62</v>
      </c>
      <c r="M125" s="154"/>
    </row>
    <row r="126" spans="1:13" s="244" customFormat="1" ht="11.25" customHeight="1" x14ac:dyDescent="0.2">
      <c r="A126" s="2233">
        <v>2018</v>
      </c>
      <c r="B126" s="1128" t="s">
        <v>557</v>
      </c>
      <c r="C126" s="734">
        <v>6375</v>
      </c>
      <c r="D126" s="734">
        <v>15100</v>
      </c>
      <c r="E126" s="687">
        <v>46</v>
      </c>
      <c r="F126" s="782">
        <v>41000</v>
      </c>
      <c r="G126" s="687">
        <v>159.93</v>
      </c>
      <c r="H126" s="782">
        <v>638</v>
      </c>
      <c r="I126" s="782">
        <v>61</v>
      </c>
      <c r="M126" s="154"/>
    </row>
    <row r="127" spans="1:13" s="244" customFormat="1" ht="11.25" customHeight="1" x14ac:dyDescent="0.2">
      <c r="A127" s="2233">
        <v>2018</v>
      </c>
      <c r="B127" s="1129" t="s">
        <v>549</v>
      </c>
      <c r="C127" s="734">
        <v>6375</v>
      </c>
      <c r="D127" s="734">
        <v>15100</v>
      </c>
      <c r="E127" s="687">
        <v>46</v>
      </c>
      <c r="F127" s="782">
        <v>40950</v>
      </c>
      <c r="G127" s="687">
        <v>159.56</v>
      </c>
      <c r="H127" s="782">
        <v>652</v>
      </c>
      <c r="I127" s="782">
        <v>58</v>
      </c>
      <c r="M127" s="154"/>
    </row>
    <row r="128" spans="1:13" s="244" customFormat="1" ht="11.25" customHeight="1" x14ac:dyDescent="0.2">
      <c r="A128" s="2233">
        <v>2018</v>
      </c>
      <c r="B128" s="1128" t="s">
        <v>558</v>
      </c>
      <c r="C128" s="734">
        <v>6375</v>
      </c>
      <c r="D128" s="734">
        <v>15100</v>
      </c>
      <c r="E128" s="687">
        <v>44</v>
      </c>
      <c r="F128" s="782">
        <v>41000</v>
      </c>
      <c r="G128" s="687">
        <v>168.75</v>
      </c>
      <c r="H128" s="782">
        <v>804</v>
      </c>
      <c r="I128" s="782">
        <v>59</v>
      </c>
      <c r="M128" s="154"/>
    </row>
    <row r="129" spans="1:13" s="244" customFormat="1" ht="11.25" customHeight="1" x14ac:dyDescent="0.2">
      <c r="A129" s="2233">
        <v>2018</v>
      </c>
      <c r="B129" s="1129" t="s">
        <v>559</v>
      </c>
      <c r="C129" s="734">
        <v>6375</v>
      </c>
      <c r="D129" s="734">
        <v>15100</v>
      </c>
      <c r="E129" s="687">
        <v>43</v>
      </c>
      <c r="F129" s="782">
        <v>41000</v>
      </c>
      <c r="G129" s="687">
        <v>165.41</v>
      </c>
      <c r="H129" s="782">
        <v>836</v>
      </c>
      <c r="I129" s="782">
        <v>62</v>
      </c>
      <c r="M129" s="154"/>
    </row>
    <row r="130" spans="1:13" s="244" customFormat="1" ht="11.25" customHeight="1" x14ac:dyDescent="0.2">
      <c r="A130" s="2233">
        <v>2018</v>
      </c>
      <c r="B130" s="1128" t="s">
        <v>550</v>
      </c>
      <c r="C130" s="734">
        <v>6375</v>
      </c>
      <c r="D130" s="734">
        <v>15100</v>
      </c>
      <c r="E130" s="687">
        <v>42</v>
      </c>
      <c r="F130" s="782">
        <v>41000</v>
      </c>
      <c r="G130" s="687">
        <v>140.85</v>
      </c>
      <c r="H130" s="782">
        <v>847</v>
      </c>
      <c r="I130" s="782">
        <v>61</v>
      </c>
      <c r="M130" s="154"/>
    </row>
    <row r="131" spans="1:13" s="244" customFormat="1" ht="11.25" customHeight="1" x14ac:dyDescent="0.2">
      <c r="A131" s="2233">
        <v>2018</v>
      </c>
      <c r="B131" s="1129" t="s">
        <v>552</v>
      </c>
      <c r="C131" s="734">
        <v>6375</v>
      </c>
      <c r="D131" s="734">
        <v>15100</v>
      </c>
      <c r="E131" s="687">
        <v>43</v>
      </c>
      <c r="F131" s="782">
        <v>41800</v>
      </c>
      <c r="G131" s="687">
        <v>179.7</v>
      </c>
      <c r="H131" s="782">
        <v>878</v>
      </c>
      <c r="I131" s="782">
        <v>63</v>
      </c>
      <c r="M131" s="154"/>
    </row>
    <row r="132" spans="1:13" s="244" customFormat="1" ht="11.25" customHeight="1" x14ac:dyDescent="0.2">
      <c r="A132" s="2233">
        <v>2018</v>
      </c>
      <c r="B132" s="1128" t="s">
        <v>553</v>
      </c>
      <c r="C132" s="734">
        <v>6375</v>
      </c>
      <c r="D132" s="734">
        <v>15100</v>
      </c>
      <c r="E132" s="687">
        <v>42</v>
      </c>
      <c r="F132" s="782">
        <v>41800</v>
      </c>
      <c r="G132" s="687">
        <v>180.4</v>
      </c>
      <c r="H132" s="782">
        <v>715</v>
      </c>
      <c r="I132" s="782">
        <v>62</v>
      </c>
      <c r="M132" s="154"/>
    </row>
    <row r="133" spans="1:13" s="244" customFormat="1" ht="11.25" customHeight="1" x14ac:dyDescent="0.2">
      <c r="A133" s="2233">
        <v>2018</v>
      </c>
      <c r="B133" s="1129" t="s">
        <v>547</v>
      </c>
      <c r="C133" s="734">
        <v>6375</v>
      </c>
      <c r="D133" s="734">
        <v>15100</v>
      </c>
      <c r="E133" s="687">
        <v>42</v>
      </c>
      <c r="F133" s="782">
        <v>41820</v>
      </c>
      <c r="G133" s="687">
        <v>184.89</v>
      </c>
      <c r="H133" s="782">
        <v>549</v>
      </c>
      <c r="I133" s="782">
        <v>48</v>
      </c>
      <c r="M133" s="154"/>
    </row>
    <row r="134" spans="1:13" s="244" customFormat="1" ht="11.25" customHeight="1" x14ac:dyDescent="0.2">
      <c r="A134" s="2233">
        <v>2018</v>
      </c>
      <c r="B134" s="1128" t="s">
        <v>554</v>
      </c>
      <c r="C134" s="734">
        <v>6375</v>
      </c>
      <c r="D134" s="734">
        <v>15100</v>
      </c>
      <c r="E134" s="687">
        <v>41</v>
      </c>
      <c r="F134" s="782">
        <v>41800</v>
      </c>
      <c r="G134" s="687">
        <v>182.89</v>
      </c>
      <c r="H134" s="782">
        <v>548</v>
      </c>
      <c r="I134" s="782">
        <v>51</v>
      </c>
      <c r="M134" s="154"/>
    </row>
    <row r="135" spans="1:13" s="244" customFormat="1" ht="11.25" customHeight="1" x14ac:dyDescent="0.2">
      <c r="A135" s="2233">
        <v>2018</v>
      </c>
      <c r="B135" s="1129" t="s">
        <v>555</v>
      </c>
      <c r="C135" s="956">
        <v>6375</v>
      </c>
      <c r="D135" s="956">
        <v>15100</v>
      </c>
      <c r="E135" s="785">
        <v>39</v>
      </c>
      <c r="F135" s="786">
        <v>41820</v>
      </c>
      <c r="G135" s="785">
        <v>203.57</v>
      </c>
      <c r="H135" s="786">
        <v>603</v>
      </c>
      <c r="I135" s="786">
        <v>61</v>
      </c>
      <c r="M135" s="154"/>
    </row>
    <row r="136" spans="1:13" s="244" customFormat="1" ht="11.25" customHeight="1" x14ac:dyDescent="0.2">
      <c r="A136" s="2233">
        <v>2018</v>
      </c>
      <c r="B136" s="1128" t="s">
        <v>548</v>
      </c>
      <c r="C136" s="956">
        <v>6375</v>
      </c>
      <c r="D136" s="956">
        <v>15100</v>
      </c>
      <c r="E136" s="785">
        <v>62</v>
      </c>
      <c r="F136" s="786">
        <v>41830</v>
      </c>
      <c r="G136" s="785">
        <v>149.61000000000001</v>
      </c>
      <c r="H136" s="786">
        <v>601</v>
      </c>
      <c r="I136" s="786">
        <v>62</v>
      </c>
      <c r="M136" s="154"/>
    </row>
    <row r="137" spans="1:13" s="244" customFormat="1" ht="11.25" customHeight="1" x14ac:dyDescent="0.2">
      <c r="A137" s="2233">
        <v>2019</v>
      </c>
      <c r="B137" s="1129" t="s">
        <v>556</v>
      </c>
      <c r="C137" s="956">
        <v>6375</v>
      </c>
      <c r="D137" s="956">
        <v>15100</v>
      </c>
      <c r="E137" s="785">
        <v>38</v>
      </c>
      <c r="F137" s="786">
        <v>41800</v>
      </c>
      <c r="G137" s="785">
        <v>213.4</v>
      </c>
      <c r="H137" s="786">
        <v>632</v>
      </c>
      <c r="I137" s="786">
        <v>62</v>
      </c>
      <c r="M137" s="154"/>
    </row>
    <row r="138" spans="1:13" s="244" customFormat="1" ht="11.25" customHeight="1" x14ac:dyDescent="0.2">
      <c r="A138" s="2233">
        <v>2019</v>
      </c>
      <c r="B138" s="1128" t="s">
        <v>557</v>
      </c>
      <c r="C138" s="956">
        <v>6375</v>
      </c>
      <c r="D138" s="956">
        <v>15100</v>
      </c>
      <c r="E138" s="785">
        <v>38</v>
      </c>
      <c r="F138" s="786">
        <v>41800</v>
      </c>
      <c r="G138" s="785">
        <v>137.62</v>
      </c>
      <c r="H138" s="786">
        <v>639</v>
      </c>
      <c r="I138" s="786">
        <v>65</v>
      </c>
      <c r="M138" s="154"/>
    </row>
    <row r="139" spans="1:13" s="244" customFormat="1" ht="11.25" customHeight="1" x14ac:dyDescent="0.2">
      <c r="A139" s="2233">
        <v>2019</v>
      </c>
      <c r="B139" s="1129" t="s">
        <v>549</v>
      </c>
      <c r="C139" s="956">
        <v>6375</v>
      </c>
      <c r="D139" s="956">
        <v>15100</v>
      </c>
      <c r="E139" s="785">
        <v>37</v>
      </c>
      <c r="F139" s="786">
        <v>41820</v>
      </c>
      <c r="G139" s="785">
        <v>168.7</v>
      </c>
      <c r="H139" s="786">
        <v>627</v>
      </c>
      <c r="I139" s="786">
        <v>64</v>
      </c>
      <c r="M139" s="154"/>
    </row>
    <row r="140" spans="1:13" s="244" customFormat="1" ht="11.25" customHeight="1" x14ac:dyDescent="0.2">
      <c r="A140" s="2233">
        <v>2019</v>
      </c>
      <c r="B140" s="1128" t="s">
        <v>558</v>
      </c>
      <c r="C140" s="956">
        <v>6375</v>
      </c>
      <c r="D140" s="956">
        <v>15100</v>
      </c>
      <c r="E140" s="785">
        <v>36</v>
      </c>
      <c r="F140" s="786">
        <v>41830</v>
      </c>
      <c r="G140" s="785">
        <v>167</v>
      </c>
      <c r="H140" s="786">
        <v>635</v>
      </c>
      <c r="I140" s="786">
        <v>67</v>
      </c>
      <c r="M140" s="154"/>
    </row>
    <row r="141" spans="1:13" s="244" customFormat="1" ht="11.25" customHeight="1" x14ac:dyDescent="0.2">
      <c r="A141" s="2233">
        <v>2019</v>
      </c>
      <c r="B141" s="1129" t="s">
        <v>559</v>
      </c>
      <c r="C141" s="956">
        <v>6375</v>
      </c>
      <c r="D141" s="956">
        <v>15100</v>
      </c>
      <c r="E141" s="785">
        <v>36</v>
      </c>
      <c r="F141" s="786">
        <v>41800</v>
      </c>
      <c r="G141" s="785">
        <v>163.56</v>
      </c>
      <c r="H141" s="786">
        <v>577</v>
      </c>
      <c r="I141" s="786">
        <v>58</v>
      </c>
      <c r="M141" s="154"/>
    </row>
    <row r="142" spans="1:13" s="244" customFormat="1" ht="11.25" customHeight="1" x14ac:dyDescent="0.2">
      <c r="A142" s="2233">
        <v>2019</v>
      </c>
      <c r="B142" s="1128" t="s">
        <v>550</v>
      </c>
      <c r="C142" s="956">
        <v>6375</v>
      </c>
      <c r="D142" s="956">
        <v>15100</v>
      </c>
      <c r="E142" s="785">
        <v>35</v>
      </c>
      <c r="F142" s="786">
        <v>41800</v>
      </c>
      <c r="G142" s="785">
        <v>155.88</v>
      </c>
      <c r="H142" s="786">
        <v>558</v>
      </c>
      <c r="I142" s="786">
        <v>57</v>
      </c>
      <c r="M142" s="154"/>
    </row>
    <row r="143" spans="1:13" s="244" customFormat="1" ht="11.25" customHeight="1" x14ac:dyDescent="0.2">
      <c r="A143" s="2233">
        <v>2019</v>
      </c>
      <c r="B143" s="1129" t="s">
        <v>552</v>
      </c>
      <c r="C143" s="956">
        <v>6375</v>
      </c>
      <c r="D143" s="956">
        <v>15100</v>
      </c>
      <c r="E143" s="785">
        <v>35</v>
      </c>
      <c r="F143" s="786">
        <v>40980</v>
      </c>
      <c r="G143" s="785">
        <v>144.6</v>
      </c>
      <c r="H143" s="786">
        <v>515</v>
      </c>
      <c r="I143" s="786">
        <v>47</v>
      </c>
      <c r="M143" s="154"/>
    </row>
    <row r="144" spans="1:13" s="244" customFormat="1" ht="11.25" customHeight="1" x14ac:dyDescent="0.2">
      <c r="A144" s="2233">
        <v>2019</v>
      </c>
      <c r="B144" s="1128" t="s">
        <v>553</v>
      </c>
      <c r="C144" s="956">
        <v>6375</v>
      </c>
      <c r="D144" s="956">
        <v>15100</v>
      </c>
      <c r="E144" s="785">
        <v>35</v>
      </c>
      <c r="F144" s="786">
        <v>41000</v>
      </c>
      <c r="G144" s="785">
        <v>195</v>
      </c>
      <c r="H144" s="786">
        <v>406</v>
      </c>
      <c r="I144" s="786">
        <v>31</v>
      </c>
      <c r="M144" s="154"/>
    </row>
    <row r="145" spans="1:13" s="244" customFormat="1" ht="11.25" customHeight="1" x14ac:dyDescent="0.2">
      <c r="A145" s="2233">
        <v>2019</v>
      </c>
      <c r="B145" s="1129" t="s">
        <v>547</v>
      </c>
      <c r="C145" s="956">
        <v>6375</v>
      </c>
      <c r="D145" s="956">
        <v>15100</v>
      </c>
      <c r="E145" s="785">
        <v>35</v>
      </c>
      <c r="F145" s="786">
        <v>41500</v>
      </c>
      <c r="G145" s="785">
        <v>190</v>
      </c>
      <c r="H145" s="786">
        <v>358</v>
      </c>
      <c r="I145" s="786">
        <v>23</v>
      </c>
      <c r="M145" s="154"/>
    </row>
    <row r="146" spans="1:13" s="244" customFormat="1" ht="11.25" customHeight="1" x14ac:dyDescent="0.2">
      <c r="A146" s="2233">
        <v>2019</v>
      </c>
      <c r="B146" s="1128" t="s">
        <v>554</v>
      </c>
      <c r="C146" s="956">
        <v>6375</v>
      </c>
      <c r="D146" s="956">
        <v>15100</v>
      </c>
      <c r="E146" s="785">
        <v>34</v>
      </c>
      <c r="F146" s="786">
        <v>41550</v>
      </c>
      <c r="G146" s="785">
        <v>183</v>
      </c>
      <c r="H146" s="786">
        <v>327</v>
      </c>
      <c r="I146" s="786">
        <v>24</v>
      </c>
      <c r="M146" s="154"/>
    </row>
    <row r="147" spans="1:13" s="244" customFormat="1" ht="11.25" customHeight="1" x14ac:dyDescent="0.2">
      <c r="A147" s="2233">
        <v>2019</v>
      </c>
      <c r="B147" s="1129" t="s">
        <v>555</v>
      </c>
      <c r="C147" s="956">
        <v>6375</v>
      </c>
      <c r="D147" s="956">
        <v>15100</v>
      </c>
      <c r="E147" s="785">
        <v>34</v>
      </c>
      <c r="F147" s="786">
        <v>42000</v>
      </c>
      <c r="G147" s="785">
        <v>169</v>
      </c>
      <c r="H147" s="786">
        <v>354</v>
      </c>
      <c r="I147" s="786">
        <v>25</v>
      </c>
      <c r="M147" s="154"/>
    </row>
    <row r="148" spans="1:13" s="244" customFormat="1" ht="11.25" customHeight="1" x14ac:dyDescent="0.2">
      <c r="A148" s="2233">
        <v>2019</v>
      </c>
      <c r="B148" s="1128" t="s">
        <v>548</v>
      </c>
      <c r="C148" s="956">
        <v>6500</v>
      </c>
      <c r="D148" s="956">
        <v>15400</v>
      </c>
      <c r="E148" s="785">
        <v>34</v>
      </c>
      <c r="F148" s="786">
        <v>42200</v>
      </c>
      <c r="G148" s="785">
        <v>182</v>
      </c>
      <c r="H148" s="786">
        <v>376</v>
      </c>
      <c r="I148" s="786">
        <v>26</v>
      </c>
      <c r="M148" s="154"/>
    </row>
    <row r="149" spans="1:13" s="244" customFormat="1" ht="11.25" customHeight="1" x14ac:dyDescent="0.2">
      <c r="A149" s="2233">
        <v>2020</v>
      </c>
      <c r="B149" s="1129" t="s">
        <v>556</v>
      </c>
      <c r="C149" s="956">
        <v>6500</v>
      </c>
      <c r="D149" s="956">
        <v>15400</v>
      </c>
      <c r="E149" s="785">
        <v>35</v>
      </c>
      <c r="F149" s="786">
        <v>41800</v>
      </c>
      <c r="G149" s="785">
        <v>183.77</v>
      </c>
      <c r="H149" s="786">
        <v>387</v>
      </c>
      <c r="I149" s="786">
        <v>26</v>
      </c>
      <c r="M149" s="154"/>
    </row>
    <row r="150" spans="1:13" s="244" customFormat="1" ht="11.25" customHeight="1" x14ac:dyDescent="0.2">
      <c r="A150" s="2233">
        <v>2020</v>
      </c>
      <c r="B150" s="1128" t="s">
        <v>557</v>
      </c>
      <c r="C150" s="956">
        <v>6500</v>
      </c>
      <c r="D150" s="956">
        <v>15400</v>
      </c>
      <c r="E150" s="785">
        <v>35</v>
      </c>
      <c r="F150" s="786">
        <v>41820</v>
      </c>
      <c r="G150" s="785">
        <v>178.41</v>
      </c>
      <c r="H150" s="786">
        <v>400</v>
      </c>
      <c r="I150" s="786">
        <v>27</v>
      </c>
      <c r="M150" s="154"/>
    </row>
    <row r="151" spans="1:13" s="244" customFormat="1" ht="11.25" customHeight="1" x14ac:dyDescent="0.2">
      <c r="A151" s="2233">
        <v>2020</v>
      </c>
      <c r="B151" s="1129" t="s">
        <v>549</v>
      </c>
      <c r="C151" s="956">
        <v>6500</v>
      </c>
      <c r="D151" s="956">
        <v>15400</v>
      </c>
      <c r="E151" s="785">
        <v>38</v>
      </c>
      <c r="F151" s="786">
        <v>51450</v>
      </c>
      <c r="G151" s="785">
        <v>184.96</v>
      </c>
      <c r="H151" s="786">
        <v>383</v>
      </c>
      <c r="I151" s="786">
        <v>27</v>
      </c>
      <c r="M151" s="154"/>
    </row>
    <row r="152" spans="1:13" s="244" customFormat="1" ht="11.25" customHeight="1" x14ac:dyDescent="0.2">
      <c r="A152" s="2233">
        <v>2020</v>
      </c>
      <c r="B152" s="1128" t="s">
        <v>558</v>
      </c>
      <c r="C152" s="956">
        <v>6500</v>
      </c>
      <c r="D152" s="956">
        <v>15400</v>
      </c>
      <c r="E152" s="785">
        <v>45</v>
      </c>
      <c r="F152" s="786">
        <v>93284</v>
      </c>
      <c r="G152" s="785">
        <v>180.11</v>
      </c>
      <c r="H152" s="786">
        <v>337</v>
      </c>
      <c r="I152" s="786">
        <v>26</v>
      </c>
      <c r="M152" s="154"/>
    </row>
    <row r="153" spans="1:13" s="244" customFormat="1" ht="11.25" customHeight="1" x14ac:dyDescent="0.2">
      <c r="A153" s="2233">
        <v>2020</v>
      </c>
      <c r="B153" s="1129" t="s">
        <v>559</v>
      </c>
      <c r="C153" s="956">
        <v>6500</v>
      </c>
      <c r="D153" s="956">
        <v>15400</v>
      </c>
      <c r="E153" s="785">
        <v>44</v>
      </c>
      <c r="F153" s="786">
        <v>97136.9</v>
      </c>
      <c r="G153" s="785">
        <v>179.09</v>
      </c>
      <c r="H153" s="786">
        <v>311</v>
      </c>
      <c r="I153" s="786">
        <v>24</v>
      </c>
      <c r="M153" s="154"/>
    </row>
    <row r="154" spans="1:13" s="244" customFormat="1" ht="11.25" customHeight="1" x14ac:dyDescent="0.2">
      <c r="A154" s="2233">
        <v>2020</v>
      </c>
      <c r="B154" s="1128" t="s">
        <v>550</v>
      </c>
      <c r="C154" s="956">
        <v>6500</v>
      </c>
      <c r="D154" s="956">
        <v>15400</v>
      </c>
      <c r="E154" s="785">
        <v>44</v>
      </c>
      <c r="F154" s="786">
        <v>97280.1</v>
      </c>
      <c r="G154" s="785">
        <v>172.06</v>
      </c>
      <c r="H154" s="786">
        <v>296</v>
      </c>
      <c r="I154" s="786">
        <v>25</v>
      </c>
      <c r="M154" s="154"/>
    </row>
    <row r="155" spans="1:13" s="244" customFormat="1" ht="11.25" customHeight="1" x14ac:dyDescent="0.2">
      <c r="A155" s="2233">
        <v>2020</v>
      </c>
      <c r="B155" s="1129" t="s">
        <v>552</v>
      </c>
      <c r="C155" s="956">
        <v>6500</v>
      </c>
      <c r="D155" s="956">
        <v>15400</v>
      </c>
      <c r="E155" s="785">
        <v>45</v>
      </c>
      <c r="F155" s="786">
        <v>59170</v>
      </c>
      <c r="G155" s="785">
        <v>186.17</v>
      </c>
      <c r="H155" s="786">
        <v>251</v>
      </c>
      <c r="I155" s="786">
        <v>23</v>
      </c>
      <c r="M155" s="154"/>
    </row>
    <row r="156" spans="1:13" s="244" customFormat="1" ht="11.25" customHeight="1" x14ac:dyDescent="0.2">
      <c r="A156" s="2233">
        <v>2020</v>
      </c>
      <c r="B156" s="1128" t="s">
        <v>553</v>
      </c>
      <c r="C156" s="956">
        <v>6500</v>
      </c>
      <c r="D156" s="956">
        <v>15400</v>
      </c>
      <c r="E156" s="785">
        <v>45</v>
      </c>
      <c r="F156" s="786">
        <v>63200</v>
      </c>
      <c r="G156" s="785">
        <v>177.77</v>
      </c>
      <c r="H156" s="786">
        <v>216</v>
      </c>
      <c r="I156" s="786">
        <v>19</v>
      </c>
      <c r="M156" s="154"/>
    </row>
    <row r="157" spans="1:13" s="244" customFormat="1" ht="11.25" customHeight="1" x14ac:dyDescent="0.2">
      <c r="A157" s="2233">
        <v>2020</v>
      </c>
      <c r="B157" s="1129" t="s">
        <v>547</v>
      </c>
      <c r="C157" s="956">
        <v>6500</v>
      </c>
      <c r="D157" s="956">
        <v>15400</v>
      </c>
      <c r="E157" s="785">
        <v>47</v>
      </c>
      <c r="F157" s="786">
        <v>63000</v>
      </c>
      <c r="G157" s="785">
        <v>186.16</v>
      </c>
      <c r="H157" s="786">
        <v>235</v>
      </c>
      <c r="I157" s="786">
        <v>18</v>
      </c>
      <c r="M157" s="154"/>
    </row>
    <row r="158" spans="1:13" s="244" customFormat="1" ht="11.25" customHeight="1" x14ac:dyDescent="0.2">
      <c r="A158" s="2233">
        <v>2020</v>
      </c>
      <c r="B158" s="1128" t="s">
        <v>554</v>
      </c>
      <c r="C158" s="956">
        <v>6500</v>
      </c>
      <c r="D158" s="956">
        <v>15400</v>
      </c>
      <c r="E158" s="785">
        <v>49</v>
      </c>
      <c r="F158" s="786">
        <v>58540</v>
      </c>
      <c r="G158" s="785">
        <v>178.52</v>
      </c>
      <c r="H158" s="786">
        <v>252</v>
      </c>
      <c r="I158" s="786">
        <v>17</v>
      </c>
      <c r="M158" s="154"/>
    </row>
    <row r="159" spans="1:13" s="244" customFormat="1" ht="11.25" customHeight="1" x14ac:dyDescent="0.2">
      <c r="A159" s="2233">
        <v>2020</v>
      </c>
      <c r="B159" s="1129" t="s">
        <v>555</v>
      </c>
      <c r="C159" s="956">
        <v>6500</v>
      </c>
      <c r="D159" s="956">
        <v>15400</v>
      </c>
      <c r="E159" s="785">
        <v>49</v>
      </c>
      <c r="F159" s="786">
        <v>65572</v>
      </c>
      <c r="G159" s="785">
        <v>178.09</v>
      </c>
      <c r="H159" s="786">
        <v>246</v>
      </c>
      <c r="I159" s="786">
        <v>18</v>
      </c>
      <c r="M159" s="154"/>
    </row>
    <row r="160" spans="1:13" s="244" customFormat="1" ht="11.25" customHeight="1" x14ac:dyDescent="0.2">
      <c r="A160" s="2233">
        <v>2020</v>
      </c>
      <c r="B160" s="1128" t="s">
        <v>548</v>
      </c>
      <c r="C160" s="956">
        <v>8625</v>
      </c>
      <c r="D160" s="956">
        <v>20350</v>
      </c>
      <c r="E160" s="785">
        <v>49</v>
      </c>
      <c r="F160" s="786">
        <v>65152</v>
      </c>
      <c r="G160" s="785">
        <v>175.25</v>
      </c>
      <c r="H160" s="786">
        <v>283</v>
      </c>
      <c r="I160" s="786">
        <v>23</v>
      </c>
      <c r="M160" s="154"/>
    </row>
    <row r="161" spans="1:13" s="244" customFormat="1" ht="11.25" customHeight="1" x14ac:dyDescent="0.2">
      <c r="A161" s="2233">
        <v>2021</v>
      </c>
      <c r="B161" s="1129" t="s">
        <v>556</v>
      </c>
      <c r="C161" s="956">
        <v>14750</v>
      </c>
      <c r="D161" s="956">
        <v>31700</v>
      </c>
      <c r="E161" s="785">
        <v>49</v>
      </c>
      <c r="F161" s="786">
        <v>65020</v>
      </c>
      <c r="G161" s="785">
        <v>182.27</v>
      </c>
      <c r="H161" s="786">
        <v>281</v>
      </c>
      <c r="I161" s="786">
        <v>23</v>
      </c>
      <c r="M161" s="154"/>
    </row>
    <row r="162" spans="1:13" s="244" customFormat="1" ht="11.25" customHeight="1" x14ac:dyDescent="0.2">
      <c r="A162" s="2233">
        <v>2021</v>
      </c>
      <c r="B162" s="1128" t="s">
        <v>557</v>
      </c>
      <c r="C162" s="956">
        <v>14750</v>
      </c>
      <c r="D162" s="956">
        <v>31700</v>
      </c>
      <c r="E162" s="785">
        <v>50</v>
      </c>
      <c r="F162" s="786">
        <v>65031</v>
      </c>
      <c r="G162" s="785">
        <v>184.75</v>
      </c>
      <c r="H162" s="786">
        <v>282</v>
      </c>
      <c r="I162" s="786">
        <v>30</v>
      </c>
      <c r="M162" s="154"/>
    </row>
    <row r="163" spans="1:13" s="244" customFormat="1" ht="11.25" customHeight="1" x14ac:dyDescent="0.2">
      <c r="A163" s="2233">
        <v>2021</v>
      </c>
      <c r="B163" s="1129" t="s">
        <v>549</v>
      </c>
      <c r="C163" s="956">
        <v>14750</v>
      </c>
      <c r="D163" s="956">
        <v>31700</v>
      </c>
      <c r="E163" s="785">
        <v>52</v>
      </c>
      <c r="F163" s="786">
        <v>65042.2</v>
      </c>
      <c r="G163" s="785">
        <v>198.67</v>
      </c>
      <c r="H163" s="786">
        <v>283</v>
      </c>
      <c r="I163" s="786">
        <v>31</v>
      </c>
      <c r="M163" s="154"/>
    </row>
    <row r="164" spans="1:13" s="244" customFormat="1" ht="11.25" customHeight="1" x14ac:dyDescent="0.2">
      <c r="A164" s="2233">
        <v>2021</v>
      </c>
      <c r="B164" s="1128" t="s">
        <v>558</v>
      </c>
      <c r="C164" s="956">
        <v>14750</v>
      </c>
      <c r="D164" s="956">
        <v>31700</v>
      </c>
      <c r="E164" s="785">
        <v>51</v>
      </c>
      <c r="F164" s="786">
        <v>65050.2</v>
      </c>
      <c r="G164" s="785">
        <v>212.08</v>
      </c>
      <c r="H164" s="786">
        <v>283</v>
      </c>
      <c r="I164" s="786">
        <v>31</v>
      </c>
      <c r="M164" s="154"/>
    </row>
    <row r="165" spans="1:13" s="244" customFormat="1" ht="11.25" customHeight="1" x14ac:dyDescent="0.2">
      <c r="A165" s="2233">
        <v>2021</v>
      </c>
      <c r="B165" s="1129" t="s">
        <v>559</v>
      </c>
      <c r="C165" s="956">
        <v>14750</v>
      </c>
      <c r="D165" s="956">
        <v>31700</v>
      </c>
      <c r="E165" s="785">
        <v>50</v>
      </c>
      <c r="F165" s="786">
        <v>65059.7</v>
      </c>
      <c r="G165" s="785">
        <v>205.03</v>
      </c>
      <c r="H165" s="786">
        <v>283</v>
      </c>
      <c r="I165" s="786">
        <v>31</v>
      </c>
      <c r="M165" s="154"/>
    </row>
    <row r="166" spans="1:13" s="244" customFormat="1" ht="11.25" customHeight="1" x14ac:dyDescent="0.2">
      <c r="A166" s="2233">
        <v>2021</v>
      </c>
      <c r="B166" s="1128" t="s">
        <v>550</v>
      </c>
      <c r="C166" s="956">
        <v>14750</v>
      </c>
      <c r="D166" s="956">
        <v>31700</v>
      </c>
      <c r="E166" s="785">
        <v>50</v>
      </c>
      <c r="F166" s="786">
        <v>65021.7</v>
      </c>
      <c r="G166" s="785">
        <v>220.39</v>
      </c>
      <c r="H166" s="786">
        <v>281</v>
      </c>
      <c r="I166" s="786">
        <v>30</v>
      </c>
      <c r="M166" s="154"/>
    </row>
    <row r="167" spans="1:13" s="244" customFormat="1" ht="11.25" customHeight="1" x14ac:dyDescent="0.2">
      <c r="A167" s="2233">
        <v>2021</v>
      </c>
      <c r="B167" s="1129" t="s">
        <v>552</v>
      </c>
      <c r="C167" s="956">
        <v>14750</v>
      </c>
      <c r="D167" s="956">
        <v>31700</v>
      </c>
      <c r="E167" s="785">
        <v>51</v>
      </c>
      <c r="F167" s="786">
        <v>64906</v>
      </c>
      <c r="G167" s="785">
        <v>251.07</v>
      </c>
      <c r="H167" s="786">
        <v>279</v>
      </c>
      <c r="I167" s="786">
        <v>26</v>
      </c>
      <c r="M167" s="154"/>
    </row>
    <row r="168" spans="1:13" s="244" customFormat="1" ht="11.25" customHeight="1" x14ac:dyDescent="0.2">
      <c r="A168" s="2233">
        <v>2021</v>
      </c>
      <c r="B168" s="1128" t="s">
        <v>553</v>
      </c>
      <c r="C168" s="956">
        <v>14750</v>
      </c>
      <c r="D168" s="956">
        <v>31700</v>
      </c>
      <c r="E168" s="785">
        <v>52</v>
      </c>
      <c r="F168" s="786">
        <v>64906</v>
      </c>
      <c r="G168" s="785">
        <v>219.43</v>
      </c>
      <c r="H168" s="786">
        <v>310</v>
      </c>
      <c r="I168" s="786">
        <v>25</v>
      </c>
      <c r="M168" s="154"/>
    </row>
    <row r="169" spans="1:13" s="244" customFormat="1" ht="11.25" customHeight="1" x14ac:dyDescent="0.2">
      <c r="A169" s="2233">
        <v>2021</v>
      </c>
      <c r="B169" s="1129" t="s">
        <v>547</v>
      </c>
      <c r="C169" s="956">
        <v>14750</v>
      </c>
      <c r="D169" s="956">
        <v>31700</v>
      </c>
      <c r="E169" s="785">
        <v>51</v>
      </c>
      <c r="F169" s="786">
        <v>64506</v>
      </c>
      <c r="G169" s="785">
        <v>241.38</v>
      </c>
      <c r="H169" s="786">
        <v>355</v>
      </c>
      <c r="I169" s="786">
        <v>22</v>
      </c>
      <c r="M169" s="154"/>
    </row>
    <row r="170" spans="1:13" s="244" customFormat="1" ht="11.25" customHeight="1" x14ac:dyDescent="0.2">
      <c r="A170" s="2233">
        <v>2021</v>
      </c>
      <c r="B170" s="1128" t="s">
        <v>554</v>
      </c>
      <c r="C170" s="956">
        <v>14750</v>
      </c>
      <c r="D170" s="956">
        <v>31700</v>
      </c>
      <c r="E170" s="785">
        <v>50</v>
      </c>
      <c r="F170" s="786">
        <v>64506</v>
      </c>
      <c r="G170" s="785">
        <v>213.59</v>
      </c>
      <c r="H170" s="786">
        <v>367</v>
      </c>
      <c r="I170" s="786">
        <v>22</v>
      </c>
      <c r="M170" s="154"/>
    </row>
    <row r="171" spans="1:13" s="244" customFormat="1" ht="11.25" customHeight="1" x14ac:dyDescent="0.2">
      <c r="A171" s="2233">
        <v>2021</v>
      </c>
      <c r="B171" s="1129" t="s">
        <v>555</v>
      </c>
      <c r="C171" s="956">
        <v>14750</v>
      </c>
      <c r="D171" s="956">
        <v>31700</v>
      </c>
      <c r="E171" s="785">
        <v>50</v>
      </c>
      <c r="F171" s="786">
        <v>64506</v>
      </c>
      <c r="G171" s="785">
        <v>217.17</v>
      </c>
      <c r="H171" s="786">
        <v>367</v>
      </c>
      <c r="I171" s="786">
        <v>22</v>
      </c>
      <c r="M171" s="154"/>
    </row>
    <row r="172" spans="1:13" s="244" customFormat="1" ht="11.25" customHeight="1" x14ac:dyDescent="0.2">
      <c r="A172" s="2233">
        <v>2021</v>
      </c>
      <c r="B172" s="1128" t="s">
        <v>548</v>
      </c>
      <c r="C172" s="956">
        <v>14750</v>
      </c>
      <c r="D172" s="956">
        <v>31700</v>
      </c>
      <c r="E172" s="785">
        <v>68</v>
      </c>
      <c r="F172" s="786">
        <v>64506</v>
      </c>
      <c r="G172" s="785">
        <v>204.96</v>
      </c>
      <c r="H172" s="786">
        <v>367</v>
      </c>
      <c r="I172" s="786">
        <v>28</v>
      </c>
      <c r="M172" s="154"/>
    </row>
    <row r="173" spans="1:13" s="244" customFormat="1" ht="11.25" customHeight="1" x14ac:dyDescent="0.2">
      <c r="A173" s="2233">
        <v>2022</v>
      </c>
      <c r="B173" s="1129" t="s">
        <v>556</v>
      </c>
      <c r="C173" s="734">
        <v>14750</v>
      </c>
      <c r="D173" s="734">
        <v>31700</v>
      </c>
      <c r="E173" s="687">
        <v>49</v>
      </c>
      <c r="F173" s="734">
        <v>65700</v>
      </c>
      <c r="G173" s="788">
        <v>212.57</v>
      </c>
      <c r="H173" s="796">
        <v>367</v>
      </c>
      <c r="I173" s="796">
        <v>29</v>
      </c>
      <c r="M173" s="154"/>
    </row>
    <row r="174" spans="1:13" s="244" customFormat="1" ht="11.25" customHeight="1" x14ac:dyDescent="0.2">
      <c r="A174" s="2233">
        <v>2022</v>
      </c>
      <c r="B174" s="1128" t="s">
        <v>557</v>
      </c>
      <c r="C174" s="746">
        <v>14750</v>
      </c>
      <c r="D174" s="746">
        <v>31700</v>
      </c>
      <c r="E174" s="639">
        <v>50</v>
      </c>
      <c r="F174" s="746">
        <v>65700</v>
      </c>
      <c r="G174" s="787">
        <v>196.56</v>
      </c>
      <c r="H174" s="797">
        <v>404</v>
      </c>
      <c r="I174" s="797">
        <v>29</v>
      </c>
      <c r="M174" s="154"/>
    </row>
    <row r="175" spans="1:13" s="244" customFormat="1" ht="11.25" customHeight="1" x14ac:dyDescent="0.2">
      <c r="A175" s="2233">
        <v>2022</v>
      </c>
      <c r="B175" s="1129" t="s">
        <v>549</v>
      </c>
      <c r="C175" s="734">
        <v>11700</v>
      </c>
      <c r="D175" s="734">
        <v>25200</v>
      </c>
      <c r="E175" s="687">
        <v>50</v>
      </c>
      <c r="F175" s="734">
        <v>66100</v>
      </c>
      <c r="G175" s="788">
        <v>213.26</v>
      </c>
      <c r="H175" s="796">
        <v>497</v>
      </c>
      <c r="I175" s="796">
        <v>29</v>
      </c>
      <c r="M175" s="154"/>
    </row>
    <row r="176" spans="1:13" s="244" customFormat="1" ht="11.25" customHeight="1" x14ac:dyDescent="0.2">
      <c r="A176" s="2233">
        <v>2022</v>
      </c>
      <c r="B176" s="1128" t="s">
        <v>558</v>
      </c>
      <c r="C176" s="746">
        <v>11700</v>
      </c>
      <c r="D176" s="746">
        <v>25200</v>
      </c>
      <c r="E176" s="639">
        <v>50</v>
      </c>
      <c r="F176" s="746">
        <v>66600</v>
      </c>
      <c r="G176" s="787">
        <v>237.59</v>
      </c>
      <c r="H176" s="797">
        <v>500</v>
      </c>
      <c r="I176" s="797">
        <v>29</v>
      </c>
      <c r="M176" s="154"/>
    </row>
    <row r="177" spans="1:15" s="244" customFormat="1" ht="11.25" customHeight="1" x14ac:dyDescent="0.2">
      <c r="A177" s="2233">
        <v>2022</v>
      </c>
      <c r="B177" s="1129" t="s">
        <v>559</v>
      </c>
      <c r="C177" s="734">
        <v>11700</v>
      </c>
      <c r="D177" s="734">
        <v>25200</v>
      </c>
      <c r="E177" s="687">
        <v>50</v>
      </c>
      <c r="F177" s="734">
        <v>70700</v>
      </c>
      <c r="G177" s="788">
        <v>224.68</v>
      </c>
      <c r="H177" s="796">
        <v>463</v>
      </c>
      <c r="I177" s="796">
        <v>29</v>
      </c>
      <c r="M177" s="154"/>
    </row>
    <row r="178" spans="1:15" s="244" customFormat="1" ht="11.25" customHeight="1" x14ac:dyDescent="0.2">
      <c r="A178" s="2233">
        <v>2022</v>
      </c>
      <c r="B178" s="1128" t="s">
        <v>550</v>
      </c>
      <c r="C178" s="746">
        <v>11700</v>
      </c>
      <c r="D178" s="746">
        <v>25200</v>
      </c>
      <c r="E178" s="639">
        <v>53</v>
      </c>
      <c r="F178" s="746">
        <v>68200</v>
      </c>
      <c r="G178" s="787">
        <v>195.53</v>
      </c>
      <c r="H178" s="797">
        <v>433</v>
      </c>
      <c r="I178" s="797">
        <v>25</v>
      </c>
      <c r="M178" s="154"/>
    </row>
    <row r="179" spans="1:15" s="244" customFormat="1" ht="11.25" customHeight="1" x14ac:dyDescent="0.2">
      <c r="A179" s="2233">
        <v>2022</v>
      </c>
      <c r="B179" s="1129" t="s">
        <v>552</v>
      </c>
      <c r="C179" s="734">
        <v>11700</v>
      </c>
      <c r="D179" s="734">
        <v>25200</v>
      </c>
      <c r="E179" s="687">
        <v>54</v>
      </c>
      <c r="F179" s="734">
        <v>66200</v>
      </c>
      <c r="G179" s="788">
        <v>240.3</v>
      </c>
      <c r="H179" s="796">
        <v>454</v>
      </c>
      <c r="I179" s="796">
        <v>31</v>
      </c>
      <c r="M179" s="154"/>
    </row>
    <row r="180" spans="1:15" s="244" customFormat="1" ht="11.25" customHeight="1" x14ac:dyDescent="0.2">
      <c r="A180" s="2233">
        <v>2022</v>
      </c>
      <c r="B180" s="1128" t="s">
        <v>553</v>
      </c>
      <c r="C180" s="746">
        <v>11700</v>
      </c>
      <c r="D180" s="746">
        <v>25200</v>
      </c>
      <c r="E180" s="639">
        <v>55</v>
      </c>
      <c r="F180" s="746">
        <v>72300</v>
      </c>
      <c r="G180" s="787">
        <v>281</v>
      </c>
      <c r="H180" s="797">
        <v>470</v>
      </c>
      <c r="I180" s="797">
        <v>21</v>
      </c>
      <c r="M180" s="154"/>
    </row>
    <row r="181" spans="1:15" s="244" customFormat="1" ht="11.25" customHeight="1" x14ac:dyDescent="0.2">
      <c r="A181" s="2233">
        <v>2022</v>
      </c>
      <c r="B181" s="1129" t="s">
        <v>547</v>
      </c>
      <c r="C181" s="734">
        <v>11700</v>
      </c>
      <c r="D181" s="734">
        <v>25200</v>
      </c>
      <c r="E181" s="687">
        <v>56</v>
      </c>
      <c r="F181" s="734">
        <v>70600</v>
      </c>
      <c r="G181" s="788">
        <v>221.89</v>
      </c>
      <c r="H181" s="796">
        <v>450</v>
      </c>
      <c r="I181" s="796">
        <v>21</v>
      </c>
      <c r="M181" s="154"/>
    </row>
    <row r="182" spans="1:15" s="244" customFormat="1" ht="11.25" customHeight="1" x14ac:dyDescent="0.2">
      <c r="A182" s="2233">
        <v>2022</v>
      </c>
      <c r="B182" s="1128" t="s">
        <v>554</v>
      </c>
      <c r="C182" s="746">
        <v>11700</v>
      </c>
      <c r="D182" s="746">
        <v>25200</v>
      </c>
      <c r="E182" s="639">
        <v>56</v>
      </c>
      <c r="F182" s="746">
        <v>68700</v>
      </c>
      <c r="G182" s="787">
        <v>225.08</v>
      </c>
      <c r="H182" s="797">
        <v>450</v>
      </c>
      <c r="I182" s="797">
        <v>21</v>
      </c>
      <c r="M182" s="154"/>
    </row>
    <row r="183" spans="1:15" s="244" customFormat="1" ht="11.25" customHeight="1" x14ac:dyDescent="0.2">
      <c r="A183" s="2233">
        <v>2022</v>
      </c>
      <c r="B183" s="1129" t="s">
        <v>555</v>
      </c>
      <c r="C183" s="734">
        <v>11700</v>
      </c>
      <c r="D183" s="734">
        <v>25200</v>
      </c>
      <c r="E183" s="687">
        <v>56</v>
      </c>
      <c r="F183" s="734">
        <v>71450</v>
      </c>
      <c r="G183" s="788">
        <v>230.76</v>
      </c>
      <c r="H183" s="796">
        <v>450</v>
      </c>
      <c r="I183" s="796">
        <v>19</v>
      </c>
      <c r="M183" s="154"/>
    </row>
    <row r="184" spans="1:15" s="244" customFormat="1" ht="11.25" customHeight="1" x14ac:dyDescent="0.2">
      <c r="A184" s="2233">
        <v>2022</v>
      </c>
      <c r="B184" s="1128" t="s">
        <v>548</v>
      </c>
      <c r="C184" s="746">
        <v>11700</v>
      </c>
      <c r="D184" s="746">
        <v>25200</v>
      </c>
      <c r="E184" s="639">
        <v>56</v>
      </c>
      <c r="F184" s="746">
        <v>74800</v>
      </c>
      <c r="G184" s="787">
        <v>213.08</v>
      </c>
      <c r="H184" s="797">
        <v>450</v>
      </c>
      <c r="I184" s="797">
        <v>19</v>
      </c>
      <c r="M184" s="154"/>
    </row>
    <row r="185" spans="1:15" s="244" customFormat="1" ht="11.25" customHeight="1" x14ac:dyDescent="0.2">
      <c r="A185" s="2233">
        <v>2023</v>
      </c>
      <c r="B185" s="1129" t="s">
        <v>556</v>
      </c>
      <c r="C185" s="746">
        <v>11700</v>
      </c>
      <c r="D185" s="746">
        <v>25200</v>
      </c>
      <c r="E185" s="639">
        <v>54</v>
      </c>
      <c r="F185" s="746">
        <v>80100</v>
      </c>
      <c r="G185" s="787">
        <v>206.95</v>
      </c>
      <c r="H185" s="797">
        <v>450</v>
      </c>
      <c r="I185" s="797">
        <v>17</v>
      </c>
      <c r="M185" s="154"/>
      <c r="O185" s="154"/>
    </row>
    <row r="186" spans="1:15" s="244" customFormat="1" ht="11.25" customHeight="1" x14ac:dyDescent="0.25">
      <c r="A186" s="2233">
        <v>2023</v>
      </c>
      <c r="B186" s="1128" t="s">
        <v>557</v>
      </c>
      <c r="C186" s="734">
        <v>11700</v>
      </c>
      <c r="D186" s="734">
        <v>25200</v>
      </c>
      <c r="E186" s="687">
        <v>55</v>
      </c>
      <c r="F186" s="734">
        <v>79100</v>
      </c>
      <c r="G186" s="788">
        <v>203.04</v>
      </c>
      <c r="H186" s="796">
        <v>466</v>
      </c>
      <c r="I186" s="796">
        <v>21</v>
      </c>
      <c r="L186" s="30"/>
      <c r="M186" s="204"/>
      <c r="O186" s="154"/>
    </row>
    <row r="187" spans="1:15" s="244" customFormat="1" ht="11.25" customHeight="1" x14ac:dyDescent="0.25">
      <c r="A187" s="2233">
        <v>2023</v>
      </c>
      <c r="B187" s="1129" t="s">
        <v>549</v>
      </c>
      <c r="C187" s="746">
        <v>11700</v>
      </c>
      <c r="D187" s="746">
        <v>25200</v>
      </c>
      <c r="E187" s="639">
        <v>55</v>
      </c>
      <c r="F187" s="746">
        <v>82700</v>
      </c>
      <c r="G187" s="787">
        <v>209.53</v>
      </c>
      <c r="H187" s="797">
        <v>484</v>
      </c>
      <c r="I187" s="797">
        <v>22</v>
      </c>
      <c r="L187" s="30"/>
      <c r="O187" s="204"/>
    </row>
    <row r="188" spans="1:15" s="244" customFormat="1" ht="11.25" customHeight="1" x14ac:dyDescent="0.15">
      <c r="A188" s="2233">
        <v>2023</v>
      </c>
      <c r="B188" s="1128" t="s">
        <v>558</v>
      </c>
      <c r="C188" s="734">
        <v>11700</v>
      </c>
      <c r="D188" s="734">
        <v>25200</v>
      </c>
      <c r="E188" s="687">
        <v>55</v>
      </c>
      <c r="F188" s="734">
        <v>82700</v>
      </c>
      <c r="G188" s="788">
        <v>199.24</v>
      </c>
      <c r="H188" s="796">
        <v>481</v>
      </c>
      <c r="I188" s="796">
        <v>20</v>
      </c>
      <c r="L188" s="820"/>
      <c r="O188" s="204"/>
    </row>
    <row r="189" spans="1:15" s="244" customFormat="1" ht="11.25" customHeight="1" x14ac:dyDescent="0.15">
      <c r="A189" s="2233">
        <v>2023</v>
      </c>
      <c r="B189" s="1129" t="s">
        <v>559</v>
      </c>
      <c r="C189" s="746">
        <v>11700</v>
      </c>
      <c r="D189" s="746">
        <v>25200</v>
      </c>
      <c r="E189" s="639">
        <v>54</v>
      </c>
      <c r="F189" s="746">
        <v>84400</v>
      </c>
      <c r="G189" s="787">
        <v>202.63</v>
      </c>
      <c r="H189" s="797">
        <v>483</v>
      </c>
      <c r="I189" s="797">
        <v>21</v>
      </c>
    </row>
    <row r="190" spans="1:15" s="244" customFormat="1" ht="11.25" customHeight="1" x14ac:dyDescent="0.15">
      <c r="A190" s="2233">
        <v>2023</v>
      </c>
      <c r="B190" s="1128" t="s">
        <v>550</v>
      </c>
      <c r="C190" s="734">
        <v>11700</v>
      </c>
      <c r="D190" s="734">
        <v>25200</v>
      </c>
      <c r="E190" s="687">
        <v>54</v>
      </c>
      <c r="F190" s="734">
        <v>84400</v>
      </c>
      <c r="G190" s="788">
        <v>211.93</v>
      </c>
      <c r="H190" s="796">
        <v>468</v>
      </c>
      <c r="I190" s="796">
        <v>21</v>
      </c>
    </row>
    <row r="191" spans="1:15" s="244" customFormat="1" ht="11.25" customHeight="1" x14ac:dyDescent="0.15">
      <c r="A191" s="2233">
        <v>2023</v>
      </c>
      <c r="B191" s="1129" t="s">
        <v>552</v>
      </c>
      <c r="C191" s="746">
        <v>11700</v>
      </c>
      <c r="D191" s="746">
        <v>25200</v>
      </c>
      <c r="E191" s="639">
        <v>54</v>
      </c>
      <c r="F191" s="746">
        <v>86400</v>
      </c>
      <c r="G191" s="787">
        <v>208.59</v>
      </c>
      <c r="H191" s="797">
        <v>550</v>
      </c>
      <c r="I191" s="797">
        <v>22</v>
      </c>
    </row>
    <row r="192" spans="1:15" s="244" customFormat="1" ht="11.25" customHeight="1" x14ac:dyDescent="0.15">
      <c r="A192" s="2233">
        <v>2023</v>
      </c>
      <c r="B192" s="1128" t="s">
        <v>553</v>
      </c>
      <c r="C192" s="734">
        <v>11700</v>
      </c>
      <c r="D192" s="734">
        <v>25200</v>
      </c>
      <c r="E192" s="687">
        <v>55</v>
      </c>
      <c r="F192" s="734">
        <v>87500</v>
      </c>
      <c r="G192" s="788">
        <v>193.48</v>
      </c>
      <c r="H192" s="796">
        <v>543</v>
      </c>
      <c r="I192" s="796">
        <v>21</v>
      </c>
    </row>
    <row r="193" spans="1:9" s="244" customFormat="1" ht="11.25" customHeight="1" x14ac:dyDescent="0.15">
      <c r="A193" s="2233">
        <v>2023</v>
      </c>
      <c r="B193" s="1129" t="s">
        <v>547</v>
      </c>
      <c r="C193" s="746">
        <v>11700</v>
      </c>
      <c r="D193" s="746">
        <v>25200</v>
      </c>
      <c r="E193" s="639">
        <v>55</v>
      </c>
      <c r="F193" s="746">
        <v>86620</v>
      </c>
      <c r="G193" s="787">
        <v>171.91</v>
      </c>
      <c r="H193" s="797">
        <v>591</v>
      </c>
      <c r="I193" s="797">
        <v>73</v>
      </c>
    </row>
    <row r="194" spans="1:9" s="244" customFormat="1" ht="11.25" customHeight="1" x14ac:dyDescent="0.15">
      <c r="A194" s="2233">
        <v>2023</v>
      </c>
      <c r="B194" s="1128" t="s">
        <v>554</v>
      </c>
      <c r="C194" s="734">
        <v>11700</v>
      </c>
      <c r="D194" s="734">
        <v>22500</v>
      </c>
      <c r="E194" s="687">
        <v>55</v>
      </c>
      <c r="F194" s="734">
        <v>86700</v>
      </c>
      <c r="G194" s="788">
        <v>203.5</v>
      </c>
      <c r="H194" s="796">
        <v>612</v>
      </c>
      <c r="I194" s="796">
        <v>78</v>
      </c>
    </row>
    <row r="195" spans="1:9" s="244" customFormat="1" ht="11.25" customHeight="1" x14ac:dyDescent="0.15">
      <c r="A195" s="2233">
        <v>2023</v>
      </c>
      <c r="B195" s="1129" t="s">
        <v>555</v>
      </c>
      <c r="C195" s="746">
        <v>11700</v>
      </c>
      <c r="D195" s="746">
        <v>25200</v>
      </c>
      <c r="E195" s="639">
        <v>55</v>
      </c>
      <c r="F195" s="746">
        <v>87000</v>
      </c>
      <c r="G195" s="787">
        <v>206</v>
      </c>
      <c r="H195" s="797">
        <v>618</v>
      </c>
      <c r="I195" s="797">
        <v>50</v>
      </c>
    </row>
    <row r="196" spans="1:9" s="244" customFormat="1" ht="11.25" customHeight="1" x14ac:dyDescent="0.15">
      <c r="A196" s="2233">
        <v>2023</v>
      </c>
      <c r="B196" s="1128" t="s">
        <v>548</v>
      </c>
      <c r="C196" s="782">
        <v>11700</v>
      </c>
      <c r="D196" s="782">
        <v>25200</v>
      </c>
      <c r="E196" s="687">
        <v>53</v>
      </c>
      <c r="F196" s="734">
        <v>86850</v>
      </c>
      <c r="G196" s="788">
        <v>211.17</v>
      </c>
      <c r="H196" s="796">
        <v>631</v>
      </c>
      <c r="I196" s="796">
        <v>48</v>
      </c>
    </row>
    <row r="197" spans="1:9" s="244" customFormat="1" ht="11.25" customHeight="1" x14ac:dyDescent="0.15">
      <c r="A197" s="2232">
        <v>2024</v>
      </c>
      <c r="B197" s="1129" t="s">
        <v>556</v>
      </c>
      <c r="C197" s="782">
        <v>11700</v>
      </c>
      <c r="D197" s="782">
        <v>25200</v>
      </c>
      <c r="E197" s="687">
        <v>54</v>
      </c>
      <c r="F197" s="734">
        <v>95090</v>
      </c>
      <c r="G197" s="788">
        <v>191.05</v>
      </c>
      <c r="H197" s="796">
        <v>778</v>
      </c>
      <c r="I197" s="796">
        <v>34</v>
      </c>
    </row>
    <row r="198" spans="1:9" s="244" customFormat="1" ht="11.25" customHeight="1" x14ac:dyDescent="0.15">
      <c r="A198" s="2232">
        <v>2024</v>
      </c>
      <c r="B198" s="1128" t="s">
        <v>557</v>
      </c>
      <c r="C198" s="746">
        <v>11700</v>
      </c>
      <c r="D198" s="746">
        <v>25200</v>
      </c>
      <c r="E198" s="639">
        <v>55</v>
      </c>
      <c r="F198" s="746">
        <v>95540</v>
      </c>
      <c r="G198" s="787">
        <v>187.11</v>
      </c>
      <c r="H198" s="746">
        <v>1100</v>
      </c>
      <c r="I198" s="797">
        <v>13</v>
      </c>
    </row>
    <row r="199" spans="1:9" s="244" customFormat="1" ht="11.25" customHeight="1" x14ac:dyDescent="0.15">
      <c r="A199" s="2232">
        <v>2024</v>
      </c>
      <c r="B199" s="1129" t="s">
        <v>549</v>
      </c>
      <c r="C199" s="782">
        <v>11700</v>
      </c>
      <c r="D199" s="782">
        <v>25200</v>
      </c>
      <c r="E199" s="687">
        <v>55</v>
      </c>
      <c r="F199" s="734">
        <v>97800</v>
      </c>
      <c r="G199" s="788">
        <v>162.69</v>
      </c>
      <c r="H199" s="796">
        <v>917</v>
      </c>
      <c r="I199" s="796">
        <v>11</v>
      </c>
    </row>
    <row r="200" spans="1:9" s="244" customFormat="1" ht="11.25" customHeight="1" x14ac:dyDescent="0.15">
      <c r="A200" s="2232">
        <v>2024</v>
      </c>
      <c r="B200" s="1128" t="s">
        <v>558</v>
      </c>
      <c r="C200" s="746">
        <v>11700</v>
      </c>
      <c r="D200" s="746">
        <v>25200</v>
      </c>
      <c r="E200" s="639">
        <v>55</v>
      </c>
      <c r="F200" s="746">
        <v>96550</v>
      </c>
      <c r="G200" s="787">
        <v>175.58</v>
      </c>
      <c r="H200" s="746">
        <v>869</v>
      </c>
      <c r="I200" s="797">
        <v>11</v>
      </c>
    </row>
    <row r="201" spans="1:9" s="244" customFormat="1" ht="11.25" customHeight="1" x14ac:dyDescent="0.15">
      <c r="A201" s="2232">
        <v>2024</v>
      </c>
      <c r="B201" s="1129" t="s">
        <v>559</v>
      </c>
      <c r="C201" s="734">
        <v>11700</v>
      </c>
      <c r="D201" s="734">
        <v>25200</v>
      </c>
      <c r="E201" s="687">
        <v>56</v>
      </c>
      <c r="F201" s="734">
        <v>102910</v>
      </c>
      <c r="G201" s="788">
        <v>147.36000000000001</v>
      </c>
      <c r="H201" s="734">
        <v>830</v>
      </c>
      <c r="I201" s="796">
        <v>20</v>
      </c>
    </row>
    <row r="202" spans="1:9" s="244" customFormat="1" ht="11.25" customHeight="1" x14ac:dyDescent="0.15">
      <c r="A202" s="2232">
        <v>2024</v>
      </c>
      <c r="B202" s="1128" t="s">
        <v>550</v>
      </c>
      <c r="C202" s="746">
        <v>11700</v>
      </c>
      <c r="D202" s="746">
        <v>25200</v>
      </c>
      <c r="E202" s="639">
        <v>57</v>
      </c>
      <c r="F202" s="746">
        <v>102910</v>
      </c>
      <c r="G202" s="787">
        <v>168.59</v>
      </c>
      <c r="H202" s="746">
        <v>827</v>
      </c>
      <c r="I202" s="797">
        <v>20</v>
      </c>
    </row>
    <row r="203" spans="1:9" s="244" customFormat="1" ht="11.25" customHeight="1" x14ac:dyDescent="0.15">
      <c r="A203" s="2232">
        <v>2024</v>
      </c>
      <c r="B203" s="1129" t="s">
        <v>552</v>
      </c>
      <c r="C203" s="734">
        <v>13000</v>
      </c>
      <c r="D203" s="734">
        <v>27700</v>
      </c>
      <c r="E203" s="687">
        <v>58</v>
      </c>
      <c r="F203" s="734">
        <v>109120</v>
      </c>
      <c r="G203" s="788">
        <v>191.1</v>
      </c>
      <c r="H203" s="734">
        <v>759</v>
      </c>
      <c r="I203" s="796">
        <v>35</v>
      </c>
    </row>
    <row r="204" spans="1:9" s="244" customFormat="1" ht="11.25" customHeight="1" x14ac:dyDescent="0.15">
      <c r="A204" s="2232">
        <v>2024</v>
      </c>
      <c r="B204" s="1128" t="s">
        <v>553</v>
      </c>
      <c r="C204" s="746">
        <v>13000</v>
      </c>
      <c r="D204" s="746">
        <v>27700</v>
      </c>
      <c r="E204" s="639">
        <v>60</v>
      </c>
      <c r="F204" s="746">
        <v>105500</v>
      </c>
      <c r="G204" s="787">
        <v>192.28</v>
      </c>
      <c r="H204" s="746">
        <v>560</v>
      </c>
      <c r="I204" s="797">
        <v>6.68</v>
      </c>
    </row>
    <row r="205" spans="1:9" s="244" customFormat="1" ht="11.25" customHeight="1" x14ac:dyDescent="0.15">
      <c r="A205" s="2232">
        <v>2024</v>
      </c>
      <c r="B205" s="1129" t="s">
        <v>547</v>
      </c>
      <c r="C205" s="734">
        <v>13000</v>
      </c>
      <c r="D205" s="734">
        <v>27700</v>
      </c>
      <c r="E205" s="687">
        <v>61</v>
      </c>
      <c r="F205" s="734">
        <v>120068</v>
      </c>
      <c r="G205" s="788">
        <v>199.45</v>
      </c>
      <c r="H205" s="734">
        <v>550</v>
      </c>
      <c r="I205" s="796">
        <v>6.25</v>
      </c>
    </row>
    <row r="206" spans="1:9" s="244" customFormat="1" ht="11.25" customHeight="1" x14ac:dyDescent="0.15">
      <c r="A206" s="2232">
        <v>2024</v>
      </c>
      <c r="B206" s="1128" t="s">
        <v>554</v>
      </c>
      <c r="C206" s="746">
        <v>13000</v>
      </c>
      <c r="D206" s="746">
        <v>27700</v>
      </c>
      <c r="E206" s="639">
        <v>62</v>
      </c>
      <c r="F206" s="746">
        <v>119210</v>
      </c>
      <c r="G206" s="787">
        <v>223.8</v>
      </c>
      <c r="H206" s="746">
        <v>578</v>
      </c>
      <c r="I206" s="797">
        <v>9.24</v>
      </c>
    </row>
    <row r="207" spans="1:9" s="244" customFormat="1" ht="11.25" customHeight="1" x14ac:dyDescent="0.15">
      <c r="A207" s="2232">
        <v>2024</v>
      </c>
      <c r="B207" s="1129" t="s">
        <v>555</v>
      </c>
      <c r="C207" s="734">
        <v>13000</v>
      </c>
      <c r="D207" s="734">
        <v>27700</v>
      </c>
      <c r="E207" s="687">
        <v>62</v>
      </c>
      <c r="F207" s="734">
        <v>118350</v>
      </c>
      <c r="G207" s="788">
        <v>190.96</v>
      </c>
      <c r="H207" s="734">
        <v>0</v>
      </c>
      <c r="I207" s="796">
        <v>0</v>
      </c>
    </row>
    <row r="208" spans="1:9" s="244" customFormat="1" ht="11.25" customHeight="1" x14ac:dyDescent="0.15">
      <c r="A208" s="2232">
        <v>2024</v>
      </c>
      <c r="B208" s="1128" t="s">
        <v>548</v>
      </c>
      <c r="C208" s="746">
        <v>12500</v>
      </c>
      <c r="D208" s="746">
        <v>26500</v>
      </c>
      <c r="E208" s="639">
        <v>61</v>
      </c>
      <c r="F208" s="746">
        <v>120920</v>
      </c>
      <c r="G208" s="787">
        <v>208.59</v>
      </c>
      <c r="H208" s="746">
        <v>0</v>
      </c>
      <c r="I208" s="797">
        <v>0</v>
      </c>
    </row>
    <row r="209" spans="1:12" s="244" customFormat="1" ht="11.25" customHeight="1" x14ac:dyDescent="0.15">
      <c r="A209" s="2233">
        <v>2025</v>
      </c>
      <c r="B209" s="1129" t="s">
        <v>556</v>
      </c>
      <c r="C209" s="746">
        <v>12500</v>
      </c>
      <c r="D209" s="746">
        <v>26500</v>
      </c>
      <c r="E209" s="639">
        <v>63</v>
      </c>
      <c r="F209" s="781">
        <v>118543.2</v>
      </c>
      <c r="G209" s="787">
        <v>186.73</v>
      </c>
      <c r="H209" s="746" t="s">
        <v>288</v>
      </c>
      <c r="I209" s="797" t="s">
        <v>288</v>
      </c>
    </row>
    <row r="210" spans="1:12" s="244" customFormat="1" ht="11.25" customHeight="1" x14ac:dyDescent="0.15">
      <c r="A210" s="2233">
        <v>2025</v>
      </c>
      <c r="B210" s="1128" t="s">
        <v>557</v>
      </c>
      <c r="C210" s="734">
        <v>12500</v>
      </c>
      <c r="D210" s="734">
        <v>26500</v>
      </c>
      <c r="E210" s="687">
        <v>63</v>
      </c>
      <c r="F210" s="782">
        <v>123053.5</v>
      </c>
      <c r="G210" s="788">
        <v>184.24</v>
      </c>
      <c r="H210" s="734" t="s">
        <v>288</v>
      </c>
      <c r="I210" s="796" t="s">
        <v>288</v>
      </c>
      <c r="J210" s="958"/>
    </row>
    <row r="211" spans="1:12" s="244" customFormat="1" ht="11.25" customHeight="1" x14ac:dyDescent="0.15">
      <c r="A211" s="2233">
        <v>2025</v>
      </c>
      <c r="B211" s="1129" t="s">
        <v>549</v>
      </c>
      <c r="C211" s="746">
        <v>12500</v>
      </c>
      <c r="D211" s="746">
        <v>26500</v>
      </c>
      <c r="E211" s="639">
        <v>59</v>
      </c>
      <c r="F211" s="781">
        <v>132885.9</v>
      </c>
      <c r="G211" s="787">
        <v>337.79</v>
      </c>
      <c r="H211" s="746" t="s">
        <v>288</v>
      </c>
      <c r="I211" s="746" t="s">
        <v>288</v>
      </c>
    </row>
    <row r="212" spans="1:12" s="244" customFormat="1" ht="11.25" customHeight="1" x14ac:dyDescent="0.15">
      <c r="A212" s="2233">
        <v>2025</v>
      </c>
      <c r="B212" s="1128" t="s">
        <v>558</v>
      </c>
      <c r="C212" s="734">
        <v>12500</v>
      </c>
      <c r="D212" s="734">
        <v>26500</v>
      </c>
      <c r="E212" s="687">
        <v>62</v>
      </c>
      <c r="F212" s="782">
        <v>141688.6</v>
      </c>
      <c r="G212" s="734">
        <v>188.19</v>
      </c>
      <c r="H212" s="734" t="s">
        <v>288</v>
      </c>
      <c r="I212" s="734" t="s">
        <v>288</v>
      </c>
    </row>
    <row r="213" spans="1:12" s="244" customFormat="1" ht="11.25" customHeight="1" x14ac:dyDescent="0.15">
      <c r="A213" s="2233">
        <v>2025</v>
      </c>
      <c r="B213" s="1129" t="s">
        <v>559</v>
      </c>
      <c r="C213" s="746">
        <v>12500</v>
      </c>
      <c r="D213" s="746">
        <v>26500</v>
      </c>
      <c r="E213" s="639">
        <v>62</v>
      </c>
      <c r="F213" s="781">
        <v>145680</v>
      </c>
      <c r="G213" s="787">
        <v>186.17</v>
      </c>
      <c r="H213" s="746" t="s">
        <v>288</v>
      </c>
      <c r="I213" s="746" t="s">
        <v>288</v>
      </c>
    </row>
    <row r="214" spans="1:12" s="244" customFormat="1" ht="11.25" customHeight="1" x14ac:dyDescent="0.15">
      <c r="A214" s="2233">
        <v>2025</v>
      </c>
      <c r="B214" s="1128" t="s">
        <v>550</v>
      </c>
      <c r="C214" s="734">
        <v>12500</v>
      </c>
      <c r="D214" s="734">
        <v>26500</v>
      </c>
      <c r="E214" s="687">
        <v>62</v>
      </c>
      <c r="F214" s="782">
        <v>145950</v>
      </c>
      <c r="G214" s="788">
        <v>221.68</v>
      </c>
      <c r="H214" s="734" t="s">
        <v>288</v>
      </c>
      <c r="I214" s="734" t="s">
        <v>288</v>
      </c>
    </row>
    <row r="215" spans="1:12" s="244" customFormat="1" ht="11.25" customHeight="1" x14ac:dyDescent="0.15">
      <c r="A215" s="2233">
        <v>2025</v>
      </c>
      <c r="B215" s="1129" t="s">
        <v>552</v>
      </c>
      <c r="C215" s="746">
        <v>12500</v>
      </c>
      <c r="D215" s="746">
        <v>26500</v>
      </c>
      <c r="E215" s="639">
        <v>63</v>
      </c>
      <c r="F215" s="746">
        <v>147120</v>
      </c>
      <c r="G215" s="787">
        <v>232.71</v>
      </c>
      <c r="H215" s="746" t="s">
        <v>288</v>
      </c>
      <c r="I215" s="746" t="s">
        <v>288</v>
      </c>
    </row>
    <row r="216" spans="1:12" s="244" customFormat="1" ht="11.25" customHeight="1" x14ac:dyDescent="0.15">
      <c r="A216" s="2233">
        <v>2025</v>
      </c>
      <c r="B216" s="1128" t="s">
        <v>553</v>
      </c>
      <c r="C216" s="734">
        <v>12500</v>
      </c>
      <c r="D216" s="734">
        <v>26500</v>
      </c>
      <c r="E216" s="687">
        <v>63</v>
      </c>
      <c r="F216" s="734">
        <v>148020</v>
      </c>
      <c r="G216" s="788">
        <v>203.74</v>
      </c>
      <c r="H216" s="734" t="s">
        <v>288</v>
      </c>
      <c r="I216" s="734" t="s">
        <v>288</v>
      </c>
    </row>
    <row r="217" spans="1:12" s="244" customFormat="1" ht="11.25" customHeight="1" x14ac:dyDescent="0.15">
      <c r="A217" s="2233">
        <v>2025</v>
      </c>
      <c r="B217" s="1129" t="s">
        <v>547</v>
      </c>
      <c r="C217" s="746">
        <v>12500</v>
      </c>
      <c r="D217" s="746">
        <v>26500</v>
      </c>
      <c r="E217" s="639">
        <v>64</v>
      </c>
      <c r="F217" s="746">
        <v>162350</v>
      </c>
      <c r="G217" s="787">
        <v>232.98</v>
      </c>
      <c r="H217" s="746" t="s">
        <v>288</v>
      </c>
      <c r="I217" s="746" t="s">
        <v>288</v>
      </c>
    </row>
    <row r="218" spans="1:12" s="244" customFormat="1" ht="11.25" customHeight="1" x14ac:dyDescent="0.15">
      <c r="A218" s="2233">
        <v>2025</v>
      </c>
      <c r="B218" s="1128" t="s">
        <v>554</v>
      </c>
      <c r="C218" s="734">
        <v>12500</v>
      </c>
      <c r="D218" s="734">
        <v>26500</v>
      </c>
      <c r="E218" s="687">
        <v>62</v>
      </c>
      <c r="F218" s="734">
        <v>179180</v>
      </c>
      <c r="G218" s="788">
        <v>230.86</v>
      </c>
      <c r="H218" s="734" t="s">
        <v>288</v>
      </c>
      <c r="I218" s="734" t="s">
        <v>288</v>
      </c>
    </row>
    <row r="219" spans="1:12" s="258" customFormat="1" ht="11.25" customHeight="1" x14ac:dyDescent="0.15">
      <c r="A219" s="2233">
        <v>2025</v>
      </c>
      <c r="B219" s="1129" t="s">
        <v>555</v>
      </c>
      <c r="C219" s="746">
        <v>12500</v>
      </c>
      <c r="D219" s="746">
        <v>26500</v>
      </c>
      <c r="E219" s="639">
        <v>60</v>
      </c>
      <c r="F219" s="746" t="s">
        <v>288</v>
      </c>
      <c r="G219" s="746">
        <v>232.07</v>
      </c>
      <c r="H219" s="746" t="s">
        <v>288</v>
      </c>
      <c r="I219" s="746" t="s">
        <v>288</v>
      </c>
      <c r="L219" s="244"/>
    </row>
    <row r="220" spans="1:12" s="244" customFormat="1" ht="11.25" customHeight="1" x14ac:dyDescent="0.15">
      <c r="A220" s="2233">
        <v>2025</v>
      </c>
      <c r="B220" s="1128" t="s">
        <v>548</v>
      </c>
      <c r="C220" s="734">
        <v>12750</v>
      </c>
      <c r="D220" s="734">
        <v>27000</v>
      </c>
      <c r="E220" s="687">
        <v>58</v>
      </c>
      <c r="F220" s="734" t="s">
        <v>288</v>
      </c>
      <c r="G220" s="687">
        <v>243.8</v>
      </c>
      <c r="H220" s="734" t="s">
        <v>288</v>
      </c>
      <c r="I220" s="734" t="s">
        <v>288</v>
      </c>
    </row>
    <row r="221" spans="1:12" s="34" customFormat="1" ht="11.25" customHeight="1" thickBot="1" x14ac:dyDescent="0.2">
      <c r="A221" s="2232">
        <v>2026</v>
      </c>
      <c r="B221" s="1495" t="s">
        <v>556</v>
      </c>
      <c r="C221" s="1529">
        <v>15500</v>
      </c>
      <c r="D221" s="1529">
        <v>32500</v>
      </c>
      <c r="E221" s="637" t="s">
        <v>288</v>
      </c>
      <c r="F221" s="679" t="s">
        <v>288</v>
      </c>
      <c r="G221" s="1530" t="s">
        <v>288</v>
      </c>
      <c r="H221" s="1531" t="s">
        <v>288</v>
      </c>
      <c r="I221" s="1531" t="s">
        <v>288</v>
      </c>
    </row>
    <row r="222" spans="1:12" s="34" customFormat="1" ht="11.25" customHeight="1" x14ac:dyDescent="0.15">
      <c r="A222" s="2232"/>
      <c r="B222" s="1128"/>
      <c r="C222" s="782"/>
      <c r="D222" s="782"/>
      <c r="E222" s="687"/>
      <c r="F222" s="734"/>
      <c r="G222" s="788"/>
      <c r="H222" s="796"/>
      <c r="I222" s="796"/>
    </row>
    <row r="223" spans="1:12" s="34" customFormat="1" ht="11.25" customHeight="1" x14ac:dyDescent="0.15">
      <c r="A223" s="2232"/>
      <c r="B223" s="1128"/>
      <c r="C223" s="782"/>
      <c r="D223" s="782"/>
      <c r="E223" s="687"/>
      <c r="F223" s="734"/>
      <c r="G223" s="788"/>
      <c r="H223" s="796"/>
      <c r="I223" s="796"/>
    </row>
    <row r="224" spans="1:12" s="34" customFormat="1" ht="11.25" customHeight="1" x14ac:dyDescent="0.15">
      <c r="A224" s="2232"/>
      <c r="B224" s="1128"/>
      <c r="C224" s="782"/>
      <c r="D224" s="782"/>
      <c r="E224" s="687"/>
      <c r="F224" s="734"/>
      <c r="G224" s="788"/>
      <c r="H224" s="796"/>
      <c r="I224" s="796"/>
    </row>
    <row r="225" spans="1:9" s="34" customFormat="1" ht="11.25" customHeight="1" x14ac:dyDescent="0.15">
      <c r="A225" s="2232"/>
      <c r="B225" s="1128"/>
      <c r="C225" s="782"/>
      <c r="D225" s="782"/>
      <c r="E225" s="687"/>
      <c r="F225" s="734"/>
      <c r="G225" s="788"/>
      <c r="H225" s="796"/>
      <c r="I225" s="796"/>
    </row>
    <row r="226" spans="1:9" s="34" customFormat="1" ht="11.25" customHeight="1" x14ac:dyDescent="0.15">
      <c r="A226" s="2232"/>
      <c r="B226" s="1128"/>
      <c r="C226" s="782"/>
      <c r="D226" s="782"/>
      <c r="E226" s="687"/>
      <c r="F226" s="734"/>
      <c r="G226" s="788"/>
      <c r="H226" s="796"/>
      <c r="I226" s="796"/>
    </row>
    <row r="227" spans="1:9" s="34" customFormat="1" ht="11.25" customHeight="1" x14ac:dyDescent="0.15">
      <c r="A227" s="2232"/>
      <c r="B227" s="1128"/>
      <c r="C227" s="782"/>
      <c r="D227" s="782"/>
      <c r="E227" s="687"/>
      <c r="F227" s="734"/>
      <c r="G227" s="788"/>
      <c r="H227" s="796"/>
      <c r="I227" s="796"/>
    </row>
    <row r="228" spans="1:9" s="34" customFormat="1" ht="11.25" customHeight="1" x14ac:dyDescent="0.15">
      <c r="A228" s="2232"/>
      <c r="B228" s="1128"/>
      <c r="C228" s="782"/>
      <c r="D228" s="782"/>
      <c r="E228" s="687"/>
      <c r="F228" s="734"/>
      <c r="G228" s="788"/>
      <c r="H228" s="796"/>
      <c r="I228" s="796"/>
    </row>
    <row r="229" spans="1:9" s="34" customFormat="1" ht="11.25" customHeight="1" x14ac:dyDescent="0.15">
      <c r="A229" s="2232"/>
      <c r="B229" s="1128"/>
      <c r="C229" s="782"/>
      <c r="D229" s="782"/>
      <c r="E229" s="687"/>
      <c r="F229" s="734"/>
      <c r="G229" s="788"/>
      <c r="H229" s="796"/>
      <c r="I229" s="796"/>
    </row>
    <row r="230" spans="1:9" s="34" customFormat="1" ht="11.25" customHeight="1" x14ac:dyDescent="0.2">
      <c r="A230" s="711" t="s">
        <v>1798</v>
      </c>
      <c r="B230" s="712"/>
      <c r="C230" s="2656" t="s">
        <v>1219</v>
      </c>
      <c r="D230" s="2656"/>
      <c r="E230" s="2656"/>
      <c r="F230" s="2656" t="s">
        <v>2170</v>
      </c>
      <c r="G230" s="2656"/>
      <c r="H230" s="43"/>
      <c r="I230" s="43"/>
    </row>
    <row r="231" spans="1:9" ht="11.25" customHeight="1" x14ac:dyDescent="0.2">
      <c r="A231" s="186"/>
      <c r="B231" s="624"/>
      <c r="C231" s="2655" t="s">
        <v>2171</v>
      </c>
      <c r="D231" s="2655"/>
      <c r="E231" s="2655"/>
      <c r="F231" s="2656" t="s">
        <v>2172</v>
      </c>
      <c r="G231" s="2656"/>
      <c r="H231" s="43"/>
      <c r="I231" s="34" t="s">
        <v>1343</v>
      </c>
    </row>
    <row r="232" spans="1:9" ht="11.25" customHeight="1" x14ac:dyDescent="0.2">
      <c r="A232" s="2234"/>
      <c r="B232" s="33"/>
      <c r="C232" s="33"/>
      <c r="D232" s="127"/>
      <c r="E232" s="43"/>
      <c r="F232" s="33"/>
      <c r="G232" s="43"/>
      <c r="H232" s="43" t="s">
        <v>2774</v>
      </c>
      <c r="I232" s="43"/>
    </row>
    <row r="233" spans="1:9" ht="11.25" customHeight="1" x14ac:dyDescent="0.2">
      <c r="A233" s="2234"/>
      <c r="B233" s="34"/>
      <c r="C233" s="821"/>
      <c r="D233" s="34"/>
      <c r="E233" s="34"/>
      <c r="F233" s="34"/>
      <c r="G233" s="34"/>
      <c r="H233" s="34"/>
      <c r="I233" s="822"/>
    </row>
  </sheetData>
  <mergeCells count="18">
    <mergeCell ref="C231:E231"/>
    <mergeCell ref="F231:G231"/>
    <mergeCell ref="C230:E230"/>
    <mergeCell ref="F230:G230"/>
    <mergeCell ref="B3:B6"/>
    <mergeCell ref="H1:I1"/>
    <mergeCell ref="H3:I3"/>
    <mergeCell ref="H4:H6"/>
    <mergeCell ref="I4:I6"/>
    <mergeCell ref="A1:G1"/>
    <mergeCell ref="A3:A6"/>
    <mergeCell ref="C3:D3"/>
    <mergeCell ref="E3:F3"/>
    <mergeCell ref="G3:G6"/>
    <mergeCell ref="C4:C6"/>
    <mergeCell ref="D4:D6"/>
    <mergeCell ref="E4:E6"/>
    <mergeCell ref="F4:F6"/>
  </mergeCells>
  <pageMargins left="0.62992125984252001" right="0.511811023622047" top="0.31496062992126" bottom="2.5590551E-2" header="0" footer="6.4960630000000005E-2"/>
  <pageSetup paperSize="448" orientation="portrait" r:id="rId1"/>
  <headerFooter differentFirst="1" alignWithMargins="0">
    <oddFooter>&amp;C&amp;"Times New Roman,Regular"&amp;8&amp;P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V217"/>
  <sheetViews>
    <sheetView zoomScale="170" zoomScaleNormal="170" workbookViewId="0">
      <pane xSplit="1" ySplit="6" topLeftCell="B155" activePane="bottomRight" state="frozen"/>
      <selection pane="topRight" activeCell="B1" sqref="B1"/>
      <selection pane="bottomLeft" activeCell="A7" sqref="A7"/>
      <selection pane="bottomRight" activeCell="B160" sqref="B160"/>
    </sheetView>
  </sheetViews>
  <sheetFormatPr defaultColWidth="9.140625" defaultRowHeight="11.25" x14ac:dyDescent="0.2"/>
  <cols>
    <col min="1" max="2" width="10.140625" style="16" customWidth="1"/>
    <col min="3" max="3" width="7.140625" style="8" customWidth="1"/>
    <col min="4" max="4" width="6.7109375" style="8" customWidth="1"/>
    <col min="5" max="5" width="7.42578125" style="8" customWidth="1"/>
    <col min="6" max="6" width="7.7109375" style="8" customWidth="1"/>
    <col min="7" max="7" width="8.140625" style="8" customWidth="1"/>
    <col min="8" max="8" width="8.42578125" style="8" customWidth="1"/>
    <col min="9" max="9" width="7.7109375" style="8" customWidth="1"/>
    <col min="10" max="10" width="7.28515625" style="8" customWidth="1"/>
    <col min="11" max="11" width="8.28515625" style="8" customWidth="1"/>
    <col min="12" max="12" width="9.7109375" style="8" customWidth="1"/>
    <col min="13" max="13" width="9.85546875" style="8" customWidth="1"/>
    <col min="14" max="14" width="10.7109375" style="8" customWidth="1"/>
    <col min="15" max="15" width="10.85546875" style="8" customWidth="1"/>
    <col min="16" max="16" width="10.42578125" style="8" customWidth="1"/>
    <col min="17" max="17" width="13.42578125" style="8" customWidth="1"/>
    <col min="18" max="18" width="12.5703125" style="8" customWidth="1"/>
    <col min="19" max="16384" width="9.140625" style="8"/>
  </cols>
  <sheetData>
    <row r="1" spans="1:18" s="21" customFormat="1" ht="15.75" customHeight="1" x14ac:dyDescent="0.25">
      <c r="C1" s="48"/>
      <c r="D1" s="48"/>
      <c r="E1" s="2669" t="s">
        <v>1237</v>
      </c>
      <c r="F1" s="2669"/>
      <c r="G1" s="2669"/>
      <c r="H1" s="2669"/>
      <c r="I1" s="2669"/>
      <c r="J1" s="2669"/>
      <c r="K1" s="2669"/>
      <c r="L1" s="2672" t="s">
        <v>2185</v>
      </c>
      <c r="M1" s="2672"/>
      <c r="N1" s="2672"/>
      <c r="O1" s="2672"/>
      <c r="P1" s="2672"/>
      <c r="Q1" s="2672"/>
      <c r="R1" s="1132" t="s">
        <v>1062</v>
      </c>
    </row>
    <row r="2" spans="1:18" s="19" customFormat="1" ht="11.25" customHeight="1" x14ac:dyDescent="0.2">
      <c r="C2" s="845"/>
      <c r="G2" s="845"/>
      <c r="H2" s="2671"/>
      <c r="I2" s="2671"/>
      <c r="J2" s="2671"/>
      <c r="K2" s="2671"/>
      <c r="L2" s="1116"/>
      <c r="M2" s="845"/>
      <c r="N2" s="845"/>
      <c r="O2" s="845"/>
      <c r="P2" s="845"/>
      <c r="Q2" s="845"/>
      <c r="R2" s="845"/>
    </row>
    <row r="3" spans="1:18" s="76" customFormat="1" ht="12" customHeight="1" x14ac:dyDescent="0.2">
      <c r="A3" s="2664" t="s">
        <v>474</v>
      </c>
      <c r="B3" s="1694"/>
      <c r="C3" s="1114" t="s">
        <v>493</v>
      </c>
      <c r="D3" s="2616" t="s">
        <v>495</v>
      </c>
      <c r="E3" s="2670"/>
      <c r="F3" s="1114" t="s">
        <v>493</v>
      </c>
      <c r="G3" s="2616" t="s">
        <v>92</v>
      </c>
      <c r="H3" s="2670"/>
      <c r="I3" s="1114" t="s">
        <v>493</v>
      </c>
      <c r="J3" s="2616" t="s">
        <v>93</v>
      </c>
      <c r="K3" s="2670"/>
      <c r="L3" s="2616" t="s">
        <v>184</v>
      </c>
      <c r="M3" s="2673"/>
      <c r="N3" s="2673"/>
      <c r="O3" s="2673"/>
      <c r="P3" s="2673"/>
      <c r="Q3" s="2673"/>
      <c r="R3" s="2670"/>
    </row>
    <row r="4" spans="1:18" s="76" customFormat="1" ht="12.75" customHeight="1" x14ac:dyDescent="0.2">
      <c r="A4" s="2613"/>
      <c r="B4" s="1697"/>
      <c r="C4" s="2667" t="s">
        <v>494</v>
      </c>
      <c r="D4" s="2662" t="s">
        <v>94</v>
      </c>
      <c r="E4" s="2660" t="s">
        <v>95</v>
      </c>
      <c r="F4" s="2662" t="s">
        <v>491</v>
      </c>
      <c r="G4" s="2660" t="s">
        <v>94</v>
      </c>
      <c r="H4" s="2662" t="s">
        <v>95</v>
      </c>
      <c r="I4" s="2660" t="s">
        <v>254</v>
      </c>
      <c r="J4" s="2662" t="s">
        <v>110</v>
      </c>
      <c r="K4" s="2662" t="s">
        <v>95</v>
      </c>
      <c r="L4" s="2664" t="s">
        <v>19</v>
      </c>
      <c r="M4" s="2657" t="s">
        <v>20</v>
      </c>
      <c r="N4" s="2658" t="s">
        <v>851</v>
      </c>
      <c r="O4" s="2658" t="s">
        <v>1238</v>
      </c>
      <c r="P4" s="2658" t="s">
        <v>255</v>
      </c>
      <c r="Q4" s="2674" t="s">
        <v>256</v>
      </c>
      <c r="R4" s="2658" t="s">
        <v>852</v>
      </c>
    </row>
    <row r="5" spans="1:18" s="76" customFormat="1" ht="24.75" customHeight="1" x14ac:dyDescent="0.2">
      <c r="A5" s="2613"/>
      <c r="B5" s="1697"/>
      <c r="C5" s="2668"/>
      <c r="D5" s="2662"/>
      <c r="E5" s="2661"/>
      <c r="F5" s="2662"/>
      <c r="G5" s="2661"/>
      <c r="H5" s="2662"/>
      <c r="I5" s="2661"/>
      <c r="J5" s="2662"/>
      <c r="K5" s="2662"/>
      <c r="L5" s="2614"/>
      <c r="M5" s="2657"/>
      <c r="N5" s="2658"/>
      <c r="O5" s="2658"/>
      <c r="P5" s="2658"/>
      <c r="Q5" s="2674"/>
      <c r="R5" s="2658"/>
    </row>
    <row r="6" spans="1:18" ht="11.1" customHeight="1" x14ac:dyDescent="0.2">
      <c r="A6" s="81" t="s">
        <v>561</v>
      </c>
      <c r="B6" s="81"/>
      <c r="C6" s="1113">
        <v>100</v>
      </c>
      <c r="D6" s="2665" t="s">
        <v>140</v>
      </c>
      <c r="E6" s="2666"/>
      <c r="F6" s="1113">
        <v>56.18</v>
      </c>
      <c r="G6" s="2663" t="s">
        <v>140</v>
      </c>
      <c r="H6" s="2663"/>
      <c r="I6" s="1113">
        <v>43.82</v>
      </c>
      <c r="J6" s="2663" t="s">
        <v>140</v>
      </c>
      <c r="K6" s="2663"/>
      <c r="L6" s="1113">
        <v>6.84</v>
      </c>
      <c r="M6" s="1113">
        <v>14.88</v>
      </c>
      <c r="N6" s="1113">
        <v>4.7300000000000004</v>
      </c>
      <c r="O6" s="1113">
        <v>3.47</v>
      </c>
      <c r="P6" s="1113">
        <v>5.8</v>
      </c>
      <c r="Q6" s="1113">
        <v>4.28</v>
      </c>
      <c r="R6" s="1113">
        <v>3.82</v>
      </c>
    </row>
    <row r="7" spans="1:18" ht="11.1" customHeight="1" x14ac:dyDescent="0.2">
      <c r="A7" s="64"/>
      <c r="B7" s="64"/>
      <c r="C7" s="2186">
        <v>1</v>
      </c>
      <c r="D7" s="2186">
        <f>C7+1</f>
        <v>2</v>
      </c>
      <c r="E7" s="2186">
        <f t="shared" ref="E7:R7" si="0">D7+1</f>
        <v>3</v>
      </c>
      <c r="F7" s="2186">
        <f t="shared" si="0"/>
        <v>4</v>
      </c>
      <c r="G7" s="2186">
        <f t="shared" si="0"/>
        <v>5</v>
      </c>
      <c r="H7" s="2186">
        <f t="shared" si="0"/>
        <v>6</v>
      </c>
      <c r="I7" s="2186">
        <f t="shared" si="0"/>
        <v>7</v>
      </c>
      <c r="J7" s="2186">
        <f t="shared" si="0"/>
        <v>8</v>
      </c>
      <c r="K7" s="2186">
        <f t="shared" si="0"/>
        <v>9</v>
      </c>
      <c r="L7" s="2186">
        <f t="shared" si="0"/>
        <v>10</v>
      </c>
      <c r="M7" s="2186">
        <f t="shared" si="0"/>
        <v>11</v>
      </c>
      <c r="N7" s="2186">
        <f t="shared" si="0"/>
        <v>12</v>
      </c>
      <c r="O7" s="2186">
        <f t="shared" si="0"/>
        <v>13</v>
      </c>
      <c r="P7" s="2186">
        <f t="shared" si="0"/>
        <v>14</v>
      </c>
      <c r="Q7" s="2186">
        <f t="shared" si="0"/>
        <v>15</v>
      </c>
      <c r="R7" s="2186">
        <f t="shared" si="0"/>
        <v>16</v>
      </c>
    </row>
    <row r="8" spans="1:18" s="254" customFormat="1" ht="12.6" customHeight="1" x14ac:dyDescent="0.2">
      <c r="A8" s="990" t="s">
        <v>804</v>
      </c>
      <c r="B8" s="990"/>
      <c r="C8" s="14">
        <v>181.72583333333333</v>
      </c>
      <c r="D8" s="25">
        <v>8.0500000000000007</v>
      </c>
      <c r="E8" s="25">
        <v>6.78</v>
      </c>
      <c r="F8" s="14">
        <v>193.23666666666665</v>
      </c>
      <c r="G8" s="25">
        <v>8.26</v>
      </c>
      <c r="H8" s="25">
        <v>5.22</v>
      </c>
      <c r="I8" s="14">
        <v>166.96916666666667</v>
      </c>
      <c r="J8" s="14">
        <v>7.75</v>
      </c>
      <c r="K8" s="14">
        <v>9.17</v>
      </c>
      <c r="L8" s="14">
        <v>179.65833333333333</v>
      </c>
      <c r="M8" s="14">
        <v>155.61333333333334</v>
      </c>
      <c r="N8" s="14">
        <v>195.33166666666671</v>
      </c>
      <c r="O8" s="14">
        <v>159.6575</v>
      </c>
      <c r="P8" s="14">
        <v>159.33833333333334</v>
      </c>
      <c r="Q8" s="14">
        <v>157.23416666666671</v>
      </c>
      <c r="R8" s="14">
        <v>182.53750000000002</v>
      </c>
    </row>
    <row r="9" spans="1:18" s="79" customFormat="1" ht="12.6" customHeight="1" x14ac:dyDescent="0.2">
      <c r="A9" s="285" t="s">
        <v>978</v>
      </c>
      <c r="B9" s="285"/>
      <c r="C9" s="281">
        <v>195.08250000000001</v>
      </c>
      <c r="D9" s="281">
        <v>6.97</v>
      </c>
      <c r="E9" s="281">
        <v>7.35</v>
      </c>
      <c r="F9" s="281">
        <v>209.79083333333335</v>
      </c>
      <c r="G9" s="281">
        <v>8</v>
      </c>
      <c r="H9" s="279">
        <v>8.57</v>
      </c>
      <c r="I9" s="281">
        <v>176.22416666666666</v>
      </c>
      <c r="J9" s="281">
        <v>5.45</v>
      </c>
      <c r="K9" s="281">
        <v>5.54</v>
      </c>
      <c r="L9" s="281">
        <v>194.76499999999999</v>
      </c>
      <c r="M9" s="281">
        <v>163.47083333333333</v>
      </c>
      <c r="N9" s="281">
        <v>206.13583333333338</v>
      </c>
      <c r="O9" s="281">
        <v>164.05583333333337</v>
      </c>
      <c r="P9" s="281">
        <v>167.20250000000001</v>
      </c>
      <c r="Q9" s="281">
        <v>164.38166666666666</v>
      </c>
      <c r="R9" s="281">
        <v>193.75416666666663</v>
      </c>
    </row>
    <row r="10" spans="1:18" s="254" customFormat="1" ht="12.6" customHeight="1" x14ac:dyDescent="0.2">
      <c r="A10" s="234" t="s">
        <v>1029</v>
      </c>
      <c r="B10" s="234"/>
      <c r="C10" s="25">
        <v>207.57750000000001</v>
      </c>
      <c r="D10" s="25">
        <v>6.25</v>
      </c>
      <c r="E10" s="25">
        <v>6.4</v>
      </c>
      <c r="F10" s="25">
        <v>223.7883333333333</v>
      </c>
      <c r="G10" s="25">
        <v>6.32</v>
      </c>
      <c r="H10" s="24">
        <v>6.67</v>
      </c>
      <c r="I10" s="25">
        <v>186.785</v>
      </c>
      <c r="J10" s="25">
        <v>6.15</v>
      </c>
      <c r="K10" s="25">
        <v>5.99</v>
      </c>
      <c r="L10" s="25">
        <v>209.44583333333333</v>
      </c>
      <c r="M10" s="25">
        <v>171.79583333333335</v>
      </c>
      <c r="N10" s="25">
        <v>214.44333333333336</v>
      </c>
      <c r="O10" s="25">
        <v>181.09000000000003</v>
      </c>
      <c r="P10" s="25">
        <v>181.77833333333331</v>
      </c>
      <c r="Q10" s="25">
        <v>168.02416666666667</v>
      </c>
      <c r="R10" s="25">
        <v>204.20583333333332</v>
      </c>
    </row>
    <row r="11" spans="1:18" s="79" customFormat="1" ht="12.6" customHeight="1" x14ac:dyDescent="0.2">
      <c r="A11" s="304" t="s">
        <v>1150</v>
      </c>
      <c r="B11" s="304"/>
      <c r="C11" s="281">
        <v>219.85833333333335</v>
      </c>
      <c r="D11" s="281">
        <v>5.53</v>
      </c>
      <c r="E11" s="281">
        <v>5.92</v>
      </c>
      <c r="F11" s="281">
        <v>234.77166666666668</v>
      </c>
      <c r="G11" s="281">
        <v>4.2300000000000004</v>
      </c>
      <c r="H11" s="281">
        <v>4.91</v>
      </c>
      <c r="I11" s="281">
        <v>200.73749999999998</v>
      </c>
      <c r="J11" s="281">
        <v>7.5</v>
      </c>
      <c r="K11" s="281">
        <v>7.47</v>
      </c>
      <c r="L11" s="281">
        <v>233.52</v>
      </c>
      <c r="M11" s="281">
        <v>182.75</v>
      </c>
      <c r="N11" s="281">
        <v>227.5325</v>
      </c>
      <c r="O11" s="281">
        <v>200.02916666666667</v>
      </c>
      <c r="P11" s="281">
        <v>201.59583333333333</v>
      </c>
      <c r="Q11" s="281">
        <v>171.00583333333336</v>
      </c>
      <c r="R11" s="281">
        <v>211.61166666666665</v>
      </c>
    </row>
    <row r="12" spans="1:18" s="254" customFormat="1" ht="12.6" customHeight="1" x14ac:dyDescent="0.2">
      <c r="A12" s="234" t="s">
        <v>1185</v>
      </c>
      <c r="B12" s="234"/>
      <c r="C12" s="25">
        <v>231.81916666666666</v>
      </c>
      <c r="D12" s="25">
        <v>5.94</v>
      </c>
      <c r="E12" s="25">
        <v>5.44</v>
      </c>
      <c r="F12" s="25">
        <v>248.89999999999998</v>
      </c>
      <c r="G12" s="25">
        <v>7.51</v>
      </c>
      <c r="H12" s="25">
        <v>6.02</v>
      </c>
      <c r="I12" s="25">
        <v>209.92083333333332</v>
      </c>
      <c r="J12" s="25">
        <v>3.67</v>
      </c>
      <c r="K12" s="25">
        <v>4.57</v>
      </c>
      <c r="L12" s="25">
        <v>243.56333333333336</v>
      </c>
      <c r="M12" s="25">
        <v>194.00750000000002</v>
      </c>
      <c r="N12" s="25">
        <v>235.8475</v>
      </c>
      <c r="O12" s="25">
        <v>206.69833333333335</v>
      </c>
      <c r="P12" s="25">
        <v>210.77666666666664</v>
      </c>
      <c r="Q12" s="25">
        <v>177.55500000000004</v>
      </c>
      <c r="R12" s="25">
        <v>217.51000000000002</v>
      </c>
    </row>
    <row r="13" spans="1:18" s="254" customFormat="1" ht="12.6" customHeight="1" x14ac:dyDescent="0.2">
      <c r="A13" s="304" t="s">
        <v>1296</v>
      </c>
      <c r="B13" s="304"/>
      <c r="C13" s="281">
        <v>245.22416666666666</v>
      </c>
      <c r="D13" s="281">
        <v>5.54</v>
      </c>
      <c r="E13" s="281">
        <v>5.78</v>
      </c>
      <c r="F13" s="281">
        <v>266.63833333333332</v>
      </c>
      <c r="G13" s="281">
        <v>5.98</v>
      </c>
      <c r="H13" s="281">
        <v>7.13</v>
      </c>
      <c r="I13" s="281">
        <v>217.76500000000001</v>
      </c>
      <c r="J13" s="281">
        <v>4.87</v>
      </c>
      <c r="K13" s="281">
        <v>3.73</v>
      </c>
      <c r="L13" s="281">
        <v>255.23666666666665</v>
      </c>
      <c r="M13" s="281">
        <v>200.24833333333333</v>
      </c>
      <c r="N13" s="281">
        <v>249.67583333333332</v>
      </c>
      <c r="O13" s="281">
        <v>209.2775</v>
      </c>
      <c r="P13" s="281">
        <v>218.79666666666665</v>
      </c>
      <c r="Q13" s="281">
        <v>183.64916666666667</v>
      </c>
      <c r="R13" s="281">
        <v>223.80666666666664</v>
      </c>
    </row>
    <row r="14" spans="1:18" s="154" customFormat="1" ht="12.6" customHeight="1" x14ac:dyDescent="0.2">
      <c r="A14" s="234" t="s">
        <v>1404</v>
      </c>
      <c r="B14" s="234"/>
      <c r="C14" s="25">
        <v>258.64916666666664</v>
      </c>
      <c r="D14" s="25">
        <v>5.52</v>
      </c>
      <c r="E14" s="25">
        <v>5.48</v>
      </c>
      <c r="F14" s="25">
        <v>281.32416666666666</v>
      </c>
      <c r="G14" s="25">
        <v>5.4</v>
      </c>
      <c r="H14" s="25">
        <v>5.51</v>
      </c>
      <c r="I14" s="25">
        <v>229.57666666666663</v>
      </c>
      <c r="J14" s="25">
        <v>5.71</v>
      </c>
      <c r="K14" s="25">
        <v>5.42</v>
      </c>
      <c r="L14" s="25">
        <v>277.64083333333332</v>
      </c>
      <c r="M14" s="25">
        <v>206.97666666666666</v>
      </c>
      <c r="N14" s="25">
        <v>265.24916666666667</v>
      </c>
      <c r="O14" s="25">
        <v>215.30833333333339</v>
      </c>
      <c r="P14" s="25">
        <v>235.22750000000005</v>
      </c>
      <c r="Q14" s="25">
        <v>186.7258333333333</v>
      </c>
      <c r="R14" s="25">
        <v>239.86916666666664</v>
      </c>
    </row>
    <row r="15" spans="1:18" s="154" customFormat="1" ht="12.6" customHeight="1" x14ac:dyDescent="0.2">
      <c r="A15" s="559" t="s">
        <v>1484</v>
      </c>
      <c r="B15" s="559"/>
      <c r="C15" s="284">
        <v>273.25666666666666</v>
      </c>
      <c r="D15" s="284">
        <v>6.02</v>
      </c>
      <c r="E15" s="284">
        <v>5.6476114685594103</v>
      </c>
      <c r="F15" s="284">
        <v>296.85749999999996</v>
      </c>
      <c r="G15" s="284">
        <v>6.54</v>
      </c>
      <c r="H15" s="284">
        <v>5.5215069211378198</v>
      </c>
      <c r="I15" s="284">
        <v>242.9966666666667</v>
      </c>
      <c r="J15" s="284">
        <v>5.22</v>
      </c>
      <c r="K15" s="284">
        <v>5.8455417943171106</v>
      </c>
      <c r="L15" s="284">
        <v>290.00333333333339</v>
      </c>
      <c r="M15" s="284">
        <v>220.70083333333335</v>
      </c>
      <c r="N15" s="284">
        <v>282.67083333333329</v>
      </c>
      <c r="O15" s="284">
        <v>230.07166666666669</v>
      </c>
      <c r="P15" s="284">
        <v>248.48</v>
      </c>
      <c r="Q15" s="284">
        <v>190.13000000000002</v>
      </c>
      <c r="R15" s="284">
        <v>259.27083333333331</v>
      </c>
    </row>
    <row r="16" spans="1:18" s="154" customFormat="1" ht="12.6" customHeight="1" x14ac:dyDescent="0.2">
      <c r="A16" s="99" t="s">
        <v>1536</v>
      </c>
      <c r="B16" s="99"/>
      <c r="C16" s="136">
        <f>AVERAGE(C151:C162)</f>
        <v>288.44333333333333</v>
      </c>
      <c r="D16" s="136">
        <f>D162</f>
        <v>5.64</v>
      </c>
      <c r="E16" s="136">
        <f>E162</f>
        <v>5.5576564158239528</v>
      </c>
      <c r="F16" s="136">
        <f>AVERAGE(F151:F162)</f>
        <v>313.86333333333334</v>
      </c>
      <c r="G16" s="136">
        <f>G162</f>
        <v>5.45</v>
      </c>
      <c r="H16" s="136">
        <f>H162</f>
        <v>5.7286183887331088</v>
      </c>
      <c r="I16" s="136">
        <f>AVERAGE(I151:I162)</f>
        <v>255.85166666666666</v>
      </c>
      <c r="J16" s="136">
        <f>J162</f>
        <v>5.94</v>
      </c>
      <c r="K16" s="136">
        <f>K162</f>
        <v>5.2901960246368063</v>
      </c>
      <c r="L16" s="136">
        <f t="shared" ref="L16:R16" si="1">AVERAGE(L151:L162)</f>
        <v>298.14083333333332</v>
      </c>
      <c r="M16" s="136">
        <f t="shared" si="1"/>
        <v>228.29250000000002</v>
      </c>
      <c r="N16" s="136">
        <f t="shared" si="1"/>
        <v>298.14833333333331</v>
      </c>
      <c r="O16" s="136">
        <f t="shared" si="1"/>
        <v>247.86333333333334</v>
      </c>
      <c r="P16" s="136">
        <f t="shared" si="1"/>
        <v>271.44833333333332</v>
      </c>
      <c r="Q16" s="136">
        <f t="shared" si="1"/>
        <v>193.61083333333332</v>
      </c>
      <c r="R16" s="136">
        <f t="shared" si="1"/>
        <v>288.52833333333336</v>
      </c>
    </row>
    <row r="17" spans="1:18" s="153" customFormat="1" ht="12.6" customHeight="1" x14ac:dyDescent="0.2">
      <c r="A17" s="861" t="s">
        <v>1817</v>
      </c>
      <c r="B17" s="861"/>
      <c r="C17" s="284">
        <f>AVERAGE(C163:C174)</f>
        <v>306.18166666666667</v>
      </c>
      <c r="D17" s="284">
        <f>D174</f>
        <v>7.56</v>
      </c>
      <c r="E17" s="284">
        <f>E174</f>
        <v>6.1496770018374614</v>
      </c>
      <c r="F17" s="284">
        <f>AVERAGE(F163:F174)</f>
        <v>332.85583333333329</v>
      </c>
      <c r="G17" s="284">
        <f>G174</f>
        <v>8.3699999999999992</v>
      </c>
      <c r="H17" s="284">
        <f>H174</f>
        <v>6.0512006287237297</v>
      </c>
      <c r="I17" s="284">
        <f>AVERAGE(I163:I174)</f>
        <v>271.98333333333335</v>
      </c>
      <c r="J17" s="284">
        <f>J174</f>
        <v>6.33</v>
      </c>
      <c r="K17" s="284">
        <f>K174</f>
        <v>6.3050856290428836</v>
      </c>
      <c r="L17" s="284">
        <f t="shared" ref="L17:R17" si="2">AVERAGE(L163:L174)</f>
        <v>320.14250000000004</v>
      </c>
      <c r="M17" s="284">
        <f t="shared" si="2"/>
        <v>232.42499999999998</v>
      </c>
      <c r="N17" s="284">
        <f t="shared" si="2"/>
        <v>320.29583333333341</v>
      </c>
      <c r="O17" s="284">
        <f t="shared" si="2"/>
        <v>253.62</v>
      </c>
      <c r="P17" s="284">
        <f t="shared" si="2"/>
        <v>313.00416666666666</v>
      </c>
      <c r="Q17" s="284">
        <f t="shared" si="2"/>
        <v>202.60249999999999</v>
      </c>
      <c r="R17" s="284">
        <f t="shared" si="2"/>
        <v>312.2791666666667</v>
      </c>
    </row>
    <row r="18" spans="1:18" s="153" customFormat="1" ht="12.6" customHeight="1" x14ac:dyDescent="0.2">
      <c r="A18" s="861"/>
      <c r="B18" s="861"/>
      <c r="C18" s="284"/>
      <c r="D18" s="284"/>
      <c r="E18" s="284"/>
      <c r="F18" s="284"/>
      <c r="G18" s="284"/>
      <c r="H18" s="284"/>
      <c r="I18" s="284"/>
      <c r="J18" s="284"/>
      <c r="K18" s="284"/>
      <c r="L18" s="284"/>
      <c r="M18" s="284"/>
      <c r="N18" s="284"/>
      <c r="O18" s="284"/>
      <c r="P18" s="284"/>
      <c r="Q18" s="284"/>
      <c r="R18" s="284"/>
    </row>
    <row r="19" spans="1:18" s="153" customFormat="1" ht="12.6" customHeight="1" x14ac:dyDescent="0.2">
      <c r="A19" s="861" t="s">
        <v>81</v>
      </c>
      <c r="B19" s="292" t="s">
        <v>552</v>
      </c>
      <c r="C19" s="132">
        <v>214.01</v>
      </c>
      <c r="D19" s="133">
        <v>3.46</v>
      </c>
      <c r="E19" s="132">
        <v>6.04</v>
      </c>
      <c r="F19" s="133">
        <v>231.42</v>
      </c>
      <c r="G19" s="133">
        <v>3.34</v>
      </c>
      <c r="H19" s="133">
        <v>6.31</v>
      </c>
      <c r="I19" s="133">
        <v>191.33</v>
      </c>
      <c r="J19" s="133">
        <v>3.74</v>
      </c>
      <c r="K19" s="132">
        <v>5.72</v>
      </c>
      <c r="L19" s="132">
        <v>177.2</v>
      </c>
      <c r="M19" s="132">
        <v>185.27</v>
      </c>
      <c r="N19" s="133">
        <v>208.21</v>
      </c>
      <c r="O19" s="133">
        <v>193.35</v>
      </c>
      <c r="P19" s="133">
        <v>227.44</v>
      </c>
      <c r="Q19" s="133">
        <v>186.37</v>
      </c>
      <c r="R19" s="133">
        <v>204.24</v>
      </c>
    </row>
    <row r="20" spans="1:18" s="153" customFormat="1" ht="12.6" customHeight="1" x14ac:dyDescent="0.2">
      <c r="A20" s="861" t="s">
        <v>81</v>
      </c>
      <c r="B20" s="2253" t="s">
        <v>553</v>
      </c>
      <c r="C20" s="132">
        <v>216.99</v>
      </c>
      <c r="D20" s="133">
        <v>4.6900000000000004</v>
      </c>
      <c r="E20" s="132">
        <v>5.6</v>
      </c>
      <c r="F20" s="132">
        <v>234.8</v>
      </c>
      <c r="G20" s="133">
        <v>4.93</v>
      </c>
      <c r="H20" s="133">
        <v>5.72</v>
      </c>
      <c r="I20" s="133">
        <v>194.16</v>
      </c>
      <c r="J20" s="133">
        <v>4.54</v>
      </c>
      <c r="K20" s="132">
        <v>5.55</v>
      </c>
      <c r="L20" s="132">
        <v>177.99</v>
      </c>
      <c r="M20" s="132">
        <v>189.34</v>
      </c>
      <c r="N20" s="133">
        <v>210.21</v>
      </c>
      <c r="O20" s="132">
        <v>197.4</v>
      </c>
      <c r="P20" s="133">
        <v>231.53</v>
      </c>
      <c r="Q20" s="132">
        <v>189</v>
      </c>
      <c r="R20" s="133">
        <v>205.36</v>
      </c>
    </row>
    <row r="21" spans="1:18" s="153" customFormat="1" ht="12.6" customHeight="1" x14ac:dyDescent="0.2">
      <c r="A21" s="861" t="s">
        <v>81</v>
      </c>
      <c r="B21" s="292" t="s">
        <v>547</v>
      </c>
      <c r="C21" s="132">
        <v>219.8</v>
      </c>
      <c r="D21" s="132">
        <v>4.5999999999999996</v>
      </c>
      <c r="E21" s="132">
        <v>5.15</v>
      </c>
      <c r="F21" s="132">
        <v>239</v>
      </c>
      <c r="G21" s="133">
        <v>4.9800000000000004</v>
      </c>
      <c r="H21" s="133">
        <v>5.15</v>
      </c>
      <c r="I21" s="132">
        <v>195.1</v>
      </c>
      <c r="J21" s="133">
        <v>4.28</v>
      </c>
      <c r="K21" s="132">
        <v>5.3</v>
      </c>
      <c r="L21" s="132">
        <v>180.2</v>
      </c>
      <c r="M21" s="132">
        <v>189.7</v>
      </c>
      <c r="N21" s="133">
        <v>211.93</v>
      </c>
      <c r="O21" s="132">
        <v>198.44</v>
      </c>
      <c r="P21" s="133">
        <v>232.17</v>
      </c>
      <c r="Q21" s="132">
        <v>189.84</v>
      </c>
      <c r="R21" s="133">
        <v>206.43</v>
      </c>
    </row>
    <row r="22" spans="1:18" s="153" customFormat="1" ht="12.6" customHeight="1" x14ac:dyDescent="0.2">
      <c r="A22" s="861" t="s">
        <v>81</v>
      </c>
      <c r="B22" s="2253" t="s">
        <v>554</v>
      </c>
      <c r="C22" s="132">
        <v>223.36</v>
      </c>
      <c r="D22" s="133">
        <v>6.71</v>
      </c>
      <c r="E22" s="132">
        <v>5.1100000000000003</v>
      </c>
      <c r="F22" s="132">
        <v>244.54</v>
      </c>
      <c r="G22" s="133">
        <v>7.78</v>
      </c>
      <c r="H22" s="133">
        <v>5.14</v>
      </c>
      <c r="I22" s="133">
        <v>195.56</v>
      </c>
      <c r="J22" s="133">
        <v>5.07</v>
      </c>
      <c r="K22" s="132">
        <v>5.23</v>
      </c>
      <c r="L22" s="132">
        <v>179.64</v>
      </c>
      <c r="M22" s="132">
        <v>190.03</v>
      </c>
      <c r="N22" s="133">
        <v>212.79</v>
      </c>
      <c r="O22" s="132">
        <v>199.04</v>
      </c>
      <c r="P22" s="133">
        <v>233.15</v>
      </c>
      <c r="Q22" s="132">
        <v>191.63</v>
      </c>
      <c r="R22" s="133">
        <v>207.54</v>
      </c>
    </row>
    <row r="23" spans="1:18" s="153" customFormat="1" ht="12.6" customHeight="1" x14ac:dyDescent="0.2">
      <c r="A23" s="861" t="s">
        <v>81</v>
      </c>
      <c r="B23" s="292" t="s">
        <v>555</v>
      </c>
      <c r="C23" s="132">
        <v>222.14</v>
      </c>
      <c r="D23" s="133">
        <v>7.24</v>
      </c>
      <c r="E23" s="132">
        <v>5.21</v>
      </c>
      <c r="F23" s="132">
        <v>241.55</v>
      </c>
      <c r="G23" s="133">
        <v>7.84</v>
      </c>
      <c r="H23" s="133">
        <v>5.25</v>
      </c>
      <c r="I23" s="133">
        <v>196.87</v>
      </c>
      <c r="J23" s="133">
        <v>6.44</v>
      </c>
      <c r="K23" s="132">
        <v>5.33</v>
      </c>
      <c r="L23" s="132">
        <v>181.51</v>
      </c>
      <c r="M23" s="132">
        <v>191.65</v>
      </c>
      <c r="N23" s="133">
        <v>214.68</v>
      </c>
      <c r="O23" s="132">
        <v>199.55</v>
      </c>
      <c r="P23" s="133">
        <v>233.95</v>
      </c>
      <c r="Q23" s="132">
        <v>191.75</v>
      </c>
      <c r="R23" s="133">
        <v>208.75</v>
      </c>
    </row>
    <row r="24" spans="1:18" s="153" customFormat="1" ht="12.6" customHeight="1" x14ac:dyDescent="0.2">
      <c r="A24" s="861" t="s">
        <v>81</v>
      </c>
      <c r="B24" s="2253" t="s">
        <v>548</v>
      </c>
      <c r="C24" s="132">
        <v>222.33</v>
      </c>
      <c r="D24" s="133">
        <v>8.51</v>
      </c>
      <c r="E24" s="132">
        <v>5.42</v>
      </c>
      <c r="F24" s="132">
        <v>241.59</v>
      </c>
      <c r="G24" s="132">
        <v>9.5</v>
      </c>
      <c r="H24" s="133">
        <v>5.48</v>
      </c>
      <c r="I24" s="133">
        <v>197.26</v>
      </c>
      <c r="J24" s="133">
        <v>7.04</v>
      </c>
      <c r="K24" s="132">
        <v>5.53</v>
      </c>
      <c r="L24" s="132">
        <v>181.8</v>
      </c>
      <c r="M24" s="132">
        <v>191.93</v>
      </c>
      <c r="N24" s="133">
        <v>215.53</v>
      </c>
      <c r="O24" s="132">
        <v>199.8</v>
      </c>
      <c r="P24" s="133">
        <v>234.71</v>
      </c>
      <c r="Q24" s="132">
        <v>192.35</v>
      </c>
      <c r="R24" s="133">
        <v>208.97</v>
      </c>
    </row>
    <row r="25" spans="1:18" s="153" customFormat="1" ht="12.6" customHeight="1" x14ac:dyDescent="0.2">
      <c r="A25" s="861" t="s">
        <v>81</v>
      </c>
      <c r="B25" s="292" t="s">
        <v>556</v>
      </c>
      <c r="C25" s="132">
        <v>222.38</v>
      </c>
      <c r="D25" s="133">
        <v>8.99</v>
      </c>
      <c r="E25" s="132">
        <v>5.67</v>
      </c>
      <c r="F25" s="132">
        <v>241.65</v>
      </c>
      <c r="G25" s="132">
        <v>10.56</v>
      </c>
      <c r="H25" s="133">
        <v>5.81</v>
      </c>
      <c r="I25" s="133">
        <v>197.29</v>
      </c>
      <c r="J25" s="133">
        <v>6.53</v>
      </c>
      <c r="K25" s="132">
        <v>5.66</v>
      </c>
      <c r="L25" s="132">
        <v>181.83</v>
      </c>
      <c r="M25" s="132">
        <v>191.95</v>
      </c>
      <c r="N25" s="133">
        <v>215.61</v>
      </c>
      <c r="O25" s="132">
        <v>199.8</v>
      </c>
      <c r="P25" s="133">
        <v>234.75</v>
      </c>
      <c r="Q25" s="132">
        <v>192.38</v>
      </c>
      <c r="R25" s="133">
        <v>208.99</v>
      </c>
    </row>
    <row r="26" spans="1:18" s="153" customFormat="1" ht="12.6" customHeight="1" x14ac:dyDescent="0.2">
      <c r="A26" s="861" t="s">
        <v>81</v>
      </c>
      <c r="B26" s="2253" t="s">
        <v>557</v>
      </c>
      <c r="C26" s="132">
        <v>222.5</v>
      </c>
      <c r="D26" s="133">
        <v>9.06</v>
      </c>
      <c r="E26" s="132">
        <v>5.95</v>
      </c>
      <c r="F26" s="132">
        <v>241.7</v>
      </c>
      <c r="G26" s="132">
        <v>10.93</v>
      </c>
      <c r="H26" s="132">
        <v>6.2</v>
      </c>
      <c r="I26" s="133">
        <v>197.53</v>
      </c>
      <c r="J26" s="133">
        <v>6.14</v>
      </c>
      <c r="K26" s="132">
        <v>5.73</v>
      </c>
      <c r="L26" s="132">
        <v>182.08</v>
      </c>
      <c r="M26" s="132">
        <v>192.12</v>
      </c>
      <c r="N26" s="133">
        <v>216.15</v>
      </c>
      <c r="O26" s="132">
        <v>199.94</v>
      </c>
      <c r="P26" s="133">
        <v>235.18</v>
      </c>
      <c r="Q26" s="132">
        <v>192.7</v>
      </c>
      <c r="R26" s="133">
        <v>209.07</v>
      </c>
    </row>
    <row r="27" spans="1:18" s="153" customFormat="1" ht="12.6" customHeight="1" x14ac:dyDescent="0.2">
      <c r="A27" s="861" t="s">
        <v>81</v>
      </c>
      <c r="B27" s="292" t="s">
        <v>549</v>
      </c>
      <c r="C27" s="132">
        <v>222.61</v>
      </c>
      <c r="D27" s="133">
        <v>8.7799999999999994</v>
      </c>
      <c r="E27" s="132">
        <v>6.26</v>
      </c>
      <c r="F27" s="132">
        <v>241.49</v>
      </c>
      <c r="G27" s="132">
        <v>10.8</v>
      </c>
      <c r="H27" s="132">
        <v>6.71</v>
      </c>
      <c r="I27" s="133">
        <v>198.09</v>
      </c>
      <c r="J27" s="132">
        <v>5.6</v>
      </c>
      <c r="K27" s="132">
        <v>5.68</v>
      </c>
      <c r="L27" s="132">
        <v>182.58</v>
      </c>
      <c r="M27" s="132">
        <v>192.33</v>
      </c>
      <c r="N27" s="133">
        <v>217.26</v>
      </c>
      <c r="O27" s="132">
        <v>200.42</v>
      </c>
      <c r="P27" s="133">
        <v>235.89</v>
      </c>
      <c r="Q27" s="132">
        <v>194.49</v>
      </c>
      <c r="R27" s="133">
        <v>209.69</v>
      </c>
    </row>
    <row r="28" spans="1:18" s="153" customFormat="1" ht="12.6" customHeight="1" x14ac:dyDescent="0.2">
      <c r="A28" s="861" t="s">
        <v>81</v>
      </c>
      <c r="B28" s="2253" t="s">
        <v>558</v>
      </c>
      <c r="C28" s="132">
        <v>222.49</v>
      </c>
      <c r="D28" s="133">
        <v>8.5399999999999991</v>
      </c>
      <c r="E28" s="132">
        <v>6.51</v>
      </c>
      <c r="F28" s="132">
        <v>240.48</v>
      </c>
      <c r="G28" s="132">
        <v>10.47</v>
      </c>
      <c r="H28" s="132">
        <v>7.17</v>
      </c>
      <c r="I28" s="133">
        <v>199.31</v>
      </c>
      <c r="J28" s="132">
        <v>5.46</v>
      </c>
      <c r="K28" s="132">
        <v>5.6</v>
      </c>
      <c r="L28" s="132">
        <v>183.46</v>
      </c>
      <c r="M28" s="132">
        <v>194.05</v>
      </c>
      <c r="N28" s="133">
        <v>218.81</v>
      </c>
      <c r="O28" s="132">
        <v>200.86</v>
      </c>
      <c r="P28" s="133">
        <v>236.62</v>
      </c>
      <c r="Q28" s="132">
        <v>196</v>
      </c>
      <c r="R28" s="132">
        <v>210.2</v>
      </c>
    </row>
    <row r="29" spans="1:18" s="153" customFormat="1" ht="12.6" customHeight="1" x14ac:dyDescent="0.2">
      <c r="A29" s="861" t="s">
        <v>81</v>
      </c>
      <c r="B29" s="292" t="s">
        <v>559</v>
      </c>
      <c r="C29" s="132">
        <v>223.59</v>
      </c>
      <c r="D29" s="133">
        <v>8.65</v>
      </c>
      <c r="E29" s="132">
        <v>6.78</v>
      </c>
      <c r="F29" s="132">
        <v>242.09</v>
      </c>
      <c r="G29" s="132">
        <v>10.72</v>
      </c>
      <c r="H29" s="132">
        <v>7.64</v>
      </c>
      <c r="I29" s="133">
        <v>199.69</v>
      </c>
      <c r="J29" s="132">
        <v>5.34</v>
      </c>
      <c r="K29" s="132">
        <v>5.51</v>
      </c>
      <c r="L29" s="132">
        <v>183.51</v>
      </c>
      <c r="M29" s="132">
        <v>194.64</v>
      </c>
      <c r="N29" s="133">
        <v>219.19</v>
      </c>
      <c r="O29" s="132">
        <v>201.01</v>
      </c>
      <c r="P29" s="133">
        <v>236.73</v>
      </c>
      <c r="Q29" s="132">
        <v>196.46</v>
      </c>
      <c r="R29" s="132">
        <v>210.69</v>
      </c>
    </row>
    <row r="30" spans="1:18" s="153" customFormat="1" ht="12.6" customHeight="1" x14ac:dyDescent="0.2">
      <c r="A30" s="861" t="s">
        <v>81</v>
      </c>
      <c r="B30" s="2253" t="s">
        <v>550</v>
      </c>
      <c r="C30" s="132">
        <v>226.11</v>
      </c>
      <c r="D30" s="15">
        <v>8.6999999999999993</v>
      </c>
      <c r="E30" s="15">
        <v>7.31</v>
      </c>
      <c r="F30" s="132">
        <v>246.29</v>
      </c>
      <c r="G30" s="132">
        <v>10.88</v>
      </c>
      <c r="H30" s="132">
        <v>8.5299999999999994</v>
      </c>
      <c r="I30" s="133">
        <v>199.94</v>
      </c>
      <c r="J30" s="132">
        <v>5.24</v>
      </c>
      <c r="K30" s="132">
        <v>5.45</v>
      </c>
      <c r="L30" s="132">
        <v>183.68</v>
      </c>
      <c r="M30" s="132">
        <v>194.88</v>
      </c>
      <c r="N30" s="133">
        <v>220.16</v>
      </c>
      <c r="O30" s="132">
        <v>201.05</v>
      </c>
      <c r="P30" s="133">
        <v>237.02</v>
      </c>
      <c r="Q30" s="132">
        <v>196.58</v>
      </c>
      <c r="R30" s="132">
        <v>210.9</v>
      </c>
    </row>
    <row r="31" spans="1:18" s="153" customFormat="1" ht="12.6" customHeight="1" x14ac:dyDescent="0.2">
      <c r="A31" s="99" t="s">
        <v>189</v>
      </c>
      <c r="B31" s="292" t="s">
        <v>552</v>
      </c>
      <c r="C31" s="281">
        <v>229.55</v>
      </c>
      <c r="D31" s="281">
        <v>7.26</v>
      </c>
      <c r="E31" s="281">
        <v>7.63</v>
      </c>
      <c r="F31" s="281">
        <v>251.59</v>
      </c>
      <c r="G31" s="281">
        <v>8.7200000000000006</v>
      </c>
      <c r="H31" s="281">
        <v>8.98</v>
      </c>
      <c r="I31" s="281">
        <v>200.65</v>
      </c>
      <c r="J31" s="281">
        <v>4.87</v>
      </c>
      <c r="K31" s="281">
        <v>5.54</v>
      </c>
      <c r="L31" s="281">
        <v>184.71</v>
      </c>
      <c r="M31" s="281">
        <v>195.7</v>
      </c>
      <c r="N31" s="281">
        <v>221.65</v>
      </c>
      <c r="O31" s="281">
        <v>201.35</v>
      </c>
      <c r="P31" s="281">
        <v>237.57</v>
      </c>
      <c r="Q31" s="281">
        <v>196.84</v>
      </c>
      <c r="R31" s="281">
        <v>211.24</v>
      </c>
    </row>
    <row r="32" spans="1:18" s="153" customFormat="1" ht="12.6" customHeight="1" x14ac:dyDescent="0.2">
      <c r="A32" s="99" t="s">
        <v>189</v>
      </c>
      <c r="B32" s="2253" t="s">
        <v>553</v>
      </c>
      <c r="C32" s="281">
        <v>233.31</v>
      </c>
      <c r="D32" s="281">
        <v>7.52</v>
      </c>
      <c r="E32" s="281">
        <v>7.87</v>
      </c>
      <c r="F32" s="281">
        <v>257.44</v>
      </c>
      <c r="G32" s="281">
        <v>9.64</v>
      </c>
      <c r="H32" s="281">
        <v>9.3800000000000008</v>
      </c>
      <c r="I32" s="281">
        <v>201.46</v>
      </c>
      <c r="J32" s="281">
        <v>3.76</v>
      </c>
      <c r="K32" s="281">
        <v>5.47</v>
      </c>
      <c r="L32" s="281">
        <v>186.82</v>
      </c>
      <c r="M32" s="281">
        <v>196.29</v>
      </c>
      <c r="N32" s="281">
        <v>224.45</v>
      </c>
      <c r="O32" s="281">
        <v>201.42</v>
      </c>
      <c r="P32" s="281">
        <v>237.85</v>
      </c>
      <c r="Q32" s="281">
        <v>196.98</v>
      </c>
      <c r="R32" s="281">
        <v>211.45</v>
      </c>
    </row>
    <row r="33" spans="1:18" s="153" customFormat="1" ht="12.6" customHeight="1" x14ac:dyDescent="0.2">
      <c r="A33" s="99" t="s">
        <v>189</v>
      </c>
      <c r="B33" s="292" t="s">
        <v>547</v>
      </c>
      <c r="C33" s="281">
        <v>236.53</v>
      </c>
      <c r="D33" s="281">
        <v>7.61</v>
      </c>
      <c r="E33" s="281">
        <v>8.1199999999999992</v>
      </c>
      <c r="F33" s="281">
        <v>262.23</v>
      </c>
      <c r="G33" s="281">
        <v>9.7200000000000006</v>
      </c>
      <c r="H33" s="281">
        <v>9.7799999999999994</v>
      </c>
      <c r="I33" s="281">
        <v>202.29</v>
      </c>
      <c r="J33" s="281">
        <v>3.69</v>
      </c>
      <c r="K33" s="281">
        <v>5.41</v>
      </c>
      <c r="L33" s="281">
        <v>188.95</v>
      </c>
      <c r="M33" s="281">
        <v>196.38</v>
      </c>
      <c r="N33" s="281">
        <v>227</v>
      </c>
      <c r="O33" s="281">
        <v>201.49</v>
      </c>
      <c r="P33" s="281">
        <v>239.18</v>
      </c>
      <c r="Q33" s="281">
        <v>197.17</v>
      </c>
      <c r="R33" s="281">
        <v>212.49</v>
      </c>
    </row>
    <row r="34" spans="1:18" s="153" customFormat="1" ht="12.6" customHeight="1" x14ac:dyDescent="0.2">
      <c r="A34" s="99" t="s">
        <v>189</v>
      </c>
      <c r="B34" s="2253" t="s">
        <v>554</v>
      </c>
      <c r="C34" s="281">
        <v>238.68</v>
      </c>
      <c r="D34" s="281">
        <v>6.86</v>
      </c>
      <c r="E34" s="281">
        <v>8.1199999999999992</v>
      </c>
      <c r="F34" s="281">
        <v>265.16000000000003</v>
      </c>
      <c r="G34" s="281">
        <v>8.43</v>
      </c>
      <c r="H34" s="281">
        <v>9.83</v>
      </c>
      <c r="I34" s="281">
        <v>203.03</v>
      </c>
      <c r="J34" s="281">
        <v>3.82</v>
      </c>
      <c r="K34" s="281">
        <v>5.31</v>
      </c>
      <c r="L34" s="281">
        <v>189.89</v>
      </c>
      <c r="M34" s="281">
        <v>196.84</v>
      </c>
      <c r="N34" s="281">
        <v>228.62</v>
      </c>
      <c r="O34" s="281">
        <v>201.89</v>
      </c>
      <c r="P34" s="281">
        <v>240.16</v>
      </c>
      <c r="Q34" s="281">
        <v>197.25</v>
      </c>
      <c r="R34" s="281">
        <v>214.53</v>
      </c>
    </row>
    <row r="35" spans="1:18" s="153" customFormat="1" ht="12.6" customHeight="1" x14ac:dyDescent="0.2">
      <c r="A35" s="99" t="s">
        <v>189</v>
      </c>
      <c r="B35" s="292" t="s">
        <v>555</v>
      </c>
      <c r="C35" s="281">
        <v>238.89</v>
      </c>
      <c r="D35" s="281">
        <v>7.54</v>
      </c>
      <c r="E35" s="281">
        <v>8.14</v>
      </c>
      <c r="F35" s="281">
        <v>265.22000000000003</v>
      </c>
      <c r="G35" s="281">
        <v>9.8000000000000007</v>
      </c>
      <c r="H35" s="281">
        <v>9.98</v>
      </c>
      <c r="I35" s="281">
        <v>203.43</v>
      </c>
      <c r="J35" s="281">
        <v>3.33</v>
      </c>
      <c r="K35" s="281">
        <v>5.04</v>
      </c>
      <c r="L35" s="281">
        <v>190.16</v>
      </c>
      <c r="M35" s="281">
        <v>197.02</v>
      </c>
      <c r="N35" s="281">
        <v>231.03</v>
      </c>
      <c r="O35" s="281">
        <v>202.36</v>
      </c>
      <c r="P35" s="281">
        <v>240.37</v>
      </c>
      <c r="Q35" s="281">
        <v>197.38</v>
      </c>
      <c r="R35" s="281">
        <v>215.57</v>
      </c>
    </row>
    <row r="36" spans="1:18" s="153" customFormat="1" ht="12.6" customHeight="1" x14ac:dyDescent="0.2">
      <c r="A36" s="99" t="s">
        <v>189</v>
      </c>
      <c r="B36" s="2253" t="s">
        <v>548</v>
      </c>
      <c r="C36" s="281">
        <v>240.75</v>
      </c>
      <c r="D36" s="281">
        <v>8.2799999999999994</v>
      </c>
      <c r="E36" s="281">
        <v>8.1300000000000008</v>
      </c>
      <c r="F36" s="281">
        <v>268.19</v>
      </c>
      <c r="G36" s="281">
        <v>11.01</v>
      </c>
      <c r="H36" s="281">
        <v>10.119999999999999</v>
      </c>
      <c r="I36" s="281">
        <v>203.71</v>
      </c>
      <c r="J36" s="281">
        <v>3.27</v>
      </c>
      <c r="K36" s="281">
        <v>4.7300000000000004</v>
      </c>
      <c r="L36" s="281">
        <v>190.39</v>
      </c>
      <c r="M36" s="281">
        <v>197.34</v>
      </c>
      <c r="N36" s="281">
        <v>231.54</v>
      </c>
      <c r="O36" s="281">
        <v>202.38</v>
      </c>
      <c r="P36" s="281">
        <v>240.72</v>
      </c>
      <c r="Q36" s="281">
        <v>197.49</v>
      </c>
      <c r="R36" s="281">
        <v>215.87</v>
      </c>
    </row>
    <row r="37" spans="1:18" s="153" customFormat="1" ht="12.6" customHeight="1" x14ac:dyDescent="0.2">
      <c r="A37" s="99" t="s">
        <v>189</v>
      </c>
      <c r="B37" s="292" t="s">
        <v>556</v>
      </c>
      <c r="C37" s="281">
        <v>242.48</v>
      </c>
      <c r="D37" s="281">
        <v>9.0399999999999991</v>
      </c>
      <c r="E37" s="281">
        <v>8.14</v>
      </c>
      <c r="F37" s="281">
        <v>270.44</v>
      </c>
      <c r="G37" s="281">
        <v>11.91</v>
      </c>
      <c r="H37" s="281">
        <v>10.24</v>
      </c>
      <c r="I37" s="281">
        <v>204.88</v>
      </c>
      <c r="J37" s="281">
        <v>3.85</v>
      </c>
      <c r="K37" s="281">
        <v>4.51</v>
      </c>
      <c r="L37" s="281">
        <v>191.96</v>
      </c>
      <c r="M37" s="281">
        <v>197.61</v>
      </c>
      <c r="N37" s="281">
        <v>233.05</v>
      </c>
      <c r="O37" s="281">
        <v>203.17</v>
      </c>
      <c r="P37" s="281">
        <v>242.24</v>
      </c>
      <c r="Q37" s="281">
        <v>198.97</v>
      </c>
      <c r="R37" s="281">
        <v>219.44</v>
      </c>
    </row>
    <row r="38" spans="1:18" s="153" customFormat="1" ht="12.6" customHeight="1" x14ac:dyDescent="0.2">
      <c r="A38" s="99" t="s">
        <v>189</v>
      </c>
      <c r="B38" s="2253" t="s">
        <v>557</v>
      </c>
      <c r="C38" s="281">
        <v>244.28</v>
      </c>
      <c r="D38" s="281">
        <v>9.7899999999999991</v>
      </c>
      <c r="E38" s="281">
        <v>8.2100000000000009</v>
      </c>
      <c r="F38" s="281">
        <v>274.99</v>
      </c>
      <c r="G38" s="281">
        <v>12.77</v>
      </c>
      <c r="H38" s="281">
        <v>10.4</v>
      </c>
      <c r="I38" s="281">
        <v>206.15</v>
      </c>
      <c r="J38" s="281">
        <v>4.3600000000000003</v>
      </c>
      <c r="K38" s="281">
        <v>4.37</v>
      </c>
      <c r="L38" s="281">
        <v>193.74</v>
      </c>
      <c r="M38" s="281">
        <v>198.65</v>
      </c>
      <c r="N38" s="281">
        <v>234.05</v>
      </c>
      <c r="O38" s="281">
        <v>204.52</v>
      </c>
      <c r="P38" s="281">
        <v>244.85</v>
      </c>
      <c r="Q38" s="281">
        <v>199.44</v>
      </c>
      <c r="R38" s="281">
        <v>220.66</v>
      </c>
    </row>
    <row r="39" spans="1:18" s="153" customFormat="1" ht="12.6" customHeight="1" x14ac:dyDescent="0.2">
      <c r="A39" s="99" t="s">
        <v>189</v>
      </c>
      <c r="B39" s="292" t="s">
        <v>549</v>
      </c>
      <c r="C39" s="281">
        <v>245.97</v>
      </c>
      <c r="D39" s="281">
        <v>10.49</v>
      </c>
      <c r="E39" s="281">
        <v>8.36</v>
      </c>
      <c r="F39" s="281">
        <v>274.99</v>
      </c>
      <c r="G39" s="281">
        <v>13.87</v>
      </c>
      <c r="H39" s="281">
        <v>10.67</v>
      </c>
      <c r="I39" s="281">
        <v>206.65</v>
      </c>
      <c r="J39" s="281">
        <v>4.32</v>
      </c>
      <c r="K39" s="281">
        <v>4.2699999999999996</v>
      </c>
      <c r="L39" s="281">
        <v>194.09</v>
      </c>
      <c r="M39" s="281">
        <v>199.09</v>
      </c>
      <c r="N39" s="281">
        <v>234.31</v>
      </c>
      <c r="O39" s="281">
        <v>205.03</v>
      </c>
      <c r="P39" s="281">
        <v>245.96</v>
      </c>
      <c r="Q39" s="281">
        <v>199.61</v>
      </c>
      <c r="R39" s="281">
        <v>221.35</v>
      </c>
    </row>
    <row r="40" spans="1:18" s="153" customFormat="1" ht="12.6" customHeight="1" x14ac:dyDescent="0.2">
      <c r="A40" s="99" t="s">
        <v>189</v>
      </c>
      <c r="B40" s="2253" t="s">
        <v>558</v>
      </c>
      <c r="C40" s="281">
        <v>246.24</v>
      </c>
      <c r="D40" s="281">
        <v>10.67</v>
      </c>
      <c r="E40" s="281">
        <v>8.5399999999999991</v>
      </c>
      <c r="F40" s="281">
        <v>275.02</v>
      </c>
      <c r="G40" s="281">
        <v>14.36</v>
      </c>
      <c r="H40" s="281">
        <v>11</v>
      </c>
      <c r="I40" s="281">
        <v>207.23</v>
      </c>
      <c r="J40" s="281">
        <v>3.97</v>
      </c>
      <c r="K40" s="281">
        <v>4.1399999999999997</v>
      </c>
      <c r="L40" s="281">
        <v>195.1</v>
      </c>
      <c r="M40" s="281">
        <v>199.33</v>
      </c>
      <c r="N40" s="281">
        <v>236.42</v>
      </c>
      <c r="O40" s="281">
        <v>205.36</v>
      </c>
      <c r="P40" s="281">
        <v>246.66</v>
      </c>
      <c r="Q40" s="281">
        <v>199.83</v>
      </c>
      <c r="R40" s="281">
        <v>222.22</v>
      </c>
    </row>
    <row r="41" spans="1:18" s="153" customFormat="1" ht="12.6" customHeight="1" x14ac:dyDescent="0.2">
      <c r="A41" s="99" t="s">
        <v>189</v>
      </c>
      <c r="B41" s="292" t="s">
        <v>559</v>
      </c>
      <c r="C41" s="281">
        <v>246.39</v>
      </c>
      <c r="D41" s="281">
        <v>10.199999999999999</v>
      </c>
      <c r="E41" s="281">
        <v>8.67</v>
      </c>
      <c r="F41" s="281">
        <v>273.95</v>
      </c>
      <c r="G41" s="281">
        <v>13.16</v>
      </c>
      <c r="H41" s="281">
        <v>11.2</v>
      </c>
      <c r="I41" s="281">
        <v>209.24</v>
      </c>
      <c r="J41" s="281">
        <v>4.78</v>
      </c>
      <c r="K41" s="281">
        <v>4.1100000000000003</v>
      </c>
      <c r="L41" s="281">
        <v>197.48</v>
      </c>
      <c r="M41" s="281">
        <v>199.93</v>
      </c>
      <c r="N41" s="281">
        <v>238.55</v>
      </c>
      <c r="O41" s="281">
        <v>207.37</v>
      </c>
      <c r="P41" s="281">
        <v>253.82</v>
      </c>
      <c r="Q41" s="281">
        <v>200.03</v>
      </c>
      <c r="R41" s="281">
        <v>226.28</v>
      </c>
    </row>
    <row r="42" spans="1:18" s="153" customFormat="1" ht="12.6" customHeight="1" x14ac:dyDescent="0.2">
      <c r="A42" s="99" t="s">
        <v>189</v>
      </c>
      <c r="B42" s="2253" t="s">
        <v>550</v>
      </c>
      <c r="C42" s="281">
        <v>249.11</v>
      </c>
      <c r="D42" s="281">
        <v>10.17</v>
      </c>
      <c r="E42" s="281">
        <v>8.8000000000000007</v>
      </c>
      <c r="F42" s="281">
        <v>277.11</v>
      </c>
      <c r="G42" s="281">
        <v>12.51</v>
      </c>
      <c r="H42" s="281">
        <v>11.34</v>
      </c>
      <c r="I42" s="281">
        <v>211.39</v>
      </c>
      <c r="J42" s="281">
        <v>5.73</v>
      </c>
      <c r="K42" s="281">
        <v>4.1500000000000004</v>
      </c>
      <c r="L42" s="281">
        <v>199.75</v>
      </c>
      <c r="M42" s="281">
        <v>200.82</v>
      </c>
      <c r="N42" s="281">
        <v>240.28</v>
      </c>
      <c r="O42" s="281">
        <v>207.71</v>
      </c>
      <c r="P42" s="281">
        <v>260.60000000000002</v>
      </c>
      <c r="Q42" s="281">
        <v>200.31</v>
      </c>
      <c r="R42" s="281">
        <v>231.92</v>
      </c>
    </row>
    <row r="43" spans="1:18" s="153" customFormat="1" ht="12.6" customHeight="1" x14ac:dyDescent="0.2">
      <c r="A43" s="99" t="s">
        <v>696</v>
      </c>
      <c r="B43" s="292" t="s">
        <v>552</v>
      </c>
      <c r="C43" s="281">
        <v>254.72</v>
      </c>
      <c r="D43" s="281">
        <v>10.96</v>
      </c>
      <c r="E43" s="281">
        <v>9.11</v>
      </c>
      <c r="F43" s="281">
        <v>285.31</v>
      </c>
      <c r="G43" s="281">
        <v>13.4</v>
      </c>
      <c r="H43" s="281">
        <v>11.73</v>
      </c>
      <c r="I43" s="281">
        <v>213.61</v>
      </c>
      <c r="J43" s="281">
        <v>6.46</v>
      </c>
      <c r="K43" s="281">
        <v>4.29</v>
      </c>
      <c r="L43" s="281">
        <v>205.21</v>
      </c>
      <c r="M43" s="281">
        <v>201.36</v>
      </c>
      <c r="N43" s="281">
        <v>243.34</v>
      </c>
      <c r="O43" s="281">
        <v>208.52</v>
      </c>
      <c r="P43" s="281">
        <v>263.88</v>
      </c>
      <c r="Q43" s="281">
        <v>200.67</v>
      </c>
      <c r="R43" s="281">
        <v>236.78</v>
      </c>
    </row>
    <row r="44" spans="1:18" s="153" customFormat="1" ht="12.6" customHeight="1" x14ac:dyDescent="0.2">
      <c r="A44" s="99" t="s">
        <v>696</v>
      </c>
      <c r="B44" s="2253" t="s">
        <v>553</v>
      </c>
      <c r="C44" s="281">
        <v>259.66000000000003</v>
      </c>
      <c r="D44" s="281">
        <v>11.29</v>
      </c>
      <c r="E44" s="281">
        <v>9.43</v>
      </c>
      <c r="F44" s="281">
        <v>290.13</v>
      </c>
      <c r="G44" s="281">
        <v>12.7</v>
      </c>
      <c r="H44" s="281">
        <v>11.98</v>
      </c>
      <c r="I44" s="281">
        <v>219.11</v>
      </c>
      <c r="J44" s="281">
        <v>8.76</v>
      </c>
      <c r="K44" s="281">
        <v>4.71</v>
      </c>
      <c r="L44" s="281">
        <v>219.58</v>
      </c>
      <c r="M44" s="281">
        <v>206.42</v>
      </c>
      <c r="N44" s="281">
        <v>248.67</v>
      </c>
      <c r="O44" s="281">
        <v>209.66</v>
      </c>
      <c r="P44" s="281">
        <v>266.33</v>
      </c>
      <c r="Q44" s="281">
        <v>201.47</v>
      </c>
      <c r="R44" s="281">
        <v>239.63</v>
      </c>
    </row>
    <row r="45" spans="1:18" s="153" customFormat="1" ht="12.6" customHeight="1" x14ac:dyDescent="0.2">
      <c r="A45" s="99" t="s">
        <v>696</v>
      </c>
      <c r="B45" s="292" t="s">
        <v>547</v>
      </c>
      <c r="C45" s="281">
        <v>264.85000000000002</v>
      </c>
      <c r="D45" s="281">
        <v>11.97</v>
      </c>
      <c r="E45" s="281">
        <v>9.7899999999999991</v>
      </c>
      <c r="F45" s="281">
        <v>298.29000000000002</v>
      </c>
      <c r="G45" s="281">
        <v>13.75</v>
      </c>
      <c r="H45" s="281">
        <v>12.32</v>
      </c>
      <c r="I45" s="281">
        <v>220.04</v>
      </c>
      <c r="J45" s="281">
        <v>8.77</v>
      </c>
      <c r="K45" s="281">
        <v>5.14</v>
      </c>
      <c r="L45" s="281">
        <v>220.01</v>
      </c>
      <c r="M45" s="281">
        <v>207.34</v>
      </c>
      <c r="N45" s="281">
        <v>250.04</v>
      </c>
      <c r="O45" s="281">
        <v>210.1</v>
      </c>
      <c r="P45" s="281">
        <v>269.20999999999998</v>
      </c>
      <c r="Q45" s="281">
        <v>201.6</v>
      </c>
      <c r="R45" s="281">
        <v>240.03</v>
      </c>
    </row>
    <row r="46" spans="1:18" s="153" customFormat="1" ht="12.6" customHeight="1" x14ac:dyDescent="0.2">
      <c r="A46" s="99" t="s">
        <v>696</v>
      </c>
      <c r="B46" s="2253" t="s">
        <v>554</v>
      </c>
      <c r="C46" s="281">
        <v>265.94</v>
      </c>
      <c r="D46" s="281">
        <v>11.42</v>
      </c>
      <c r="E46" s="281">
        <v>10.18</v>
      </c>
      <c r="F46" s="281">
        <v>299.14999999999998</v>
      </c>
      <c r="G46" s="281">
        <v>12.82</v>
      </c>
      <c r="H46" s="281">
        <v>12.69</v>
      </c>
      <c r="I46" s="281">
        <v>221.41</v>
      </c>
      <c r="J46" s="281">
        <v>9.0500000000000007</v>
      </c>
      <c r="K46" s="281">
        <v>5.58</v>
      </c>
      <c r="L46" s="281">
        <v>222.07</v>
      </c>
      <c r="M46" s="281">
        <v>207.9</v>
      </c>
      <c r="N46" s="281">
        <v>253.56</v>
      </c>
      <c r="O46" s="281">
        <v>210.78</v>
      </c>
      <c r="P46" s="281">
        <v>273.63</v>
      </c>
      <c r="Q46" s="281">
        <v>201.79</v>
      </c>
      <c r="R46" s="281">
        <v>242.1</v>
      </c>
    </row>
    <row r="47" spans="1:18" s="153" customFormat="1" ht="12.6" customHeight="1" x14ac:dyDescent="0.2">
      <c r="A47" s="99" t="s">
        <v>696</v>
      </c>
      <c r="B47" s="292" t="s">
        <v>555</v>
      </c>
      <c r="C47" s="281">
        <v>266.55</v>
      </c>
      <c r="D47" s="281">
        <v>11.58</v>
      </c>
      <c r="E47" s="281">
        <v>10.51</v>
      </c>
      <c r="F47" s="281">
        <v>298.29000000000002</v>
      </c>
      <c r="G47" s="281">
        <v>12.47</v>
      </c>
      <c r="H47" s="281">
        <v>12.9</v>
      </c>
      <c r="I47" s="281">
        <v>224.16</v>
      </c>
      <c r="J47" s="281">
        <v>10.19</v>
      </c>
      <c r="K47" s="281">
        <v>6.15</v>
      </c>
      <c r="L47" s="281">
        <v>224.95</v>
      </c>
      <c r="M47" s="281">
        <v>212.24</v>
      </c>
      <c r="N47" s="281">
        <v>255.4</v>
      </c>
      <c r="O47" s="281">
        <v>211.45</v>
      </c>
      <c r="P47" s="281">
        <v>274.64</v>
      </c>
      <c r="Q47" s="281">
        <v>202.19</v>
      </c>
      <c r="R47" s="281">
        <v>244.37</v>
      </c>
    </row>
    <row r="48" spans="1:18" s="153" customFormat="1" ht="12.6" customHeight="1" x14ac:dyDescent="0.2">
      <c r="A48" s="99" t="s">
        <v>696</v>
      </c>
      <c r="B48" s="2253" t="s">
        <v>548</v>
      </c>
      <c r="C48" s="281">
        <v>266.33999999999997</v>
      </c>
      <c r="D48" s="281">
        <v>10.63</v>
      </c>
      <c r="E48" s="281">
        <v>10.71</v>
      </c>
      <c r="F48" s="281">
        <v>296.08</v>
      </c>
      <c r="G48" s="281">
        <v>10.4</v>
      </c>
      <c r="H48" s="281">
        <v>12.83</v>
      </c>
      <c r="I48" s="281">
        <v>226.89</v>
      </c>
      <c r="J48" s="281">
        <v>11.38</v>
      </c>
      <c r="K48" s="281">
        <v>6.83</v>
      </c>
      <c r="L48" s="281">
        <v>226.97</v>
      </c>
      <c r="M48" s="281">
        <v>216.27</v>
      </c>
      <c r="N48" s="281">
        <v>258.37</v>
      </c>
      <c r="O48" s="281">
        <v>213.39</v>
      </c>
      <c r="P48" s="281">
        <v>276.66000000000003</v>
      </c>
      <c r="Q48" s="281">
        <v>202.71</v>
      </c>
      <c r="R48" s="281">
        <v>246.54</v>
      </c>
    </row>
    <row r="49" spans="1:22" s="153" customFormat="1" ht="12.6" customHeight="1" x14ac:dyDescent="0.2">
      <c r="A49" s="99" t="s">
        <v>696</v>
      </c>
      <c r="B49" s="292" t="s">
        <v>556</v>
      </c>
      <c r="C49" s="281">
        <v>270.58999999999997</v>
      </c>
      <c r="D49" s="281">
        <v>11.59</v>
      </c>
      <c r="E49" s="281">
        <v>10.91</v>
      </c>
      <c r="F49" s="281">
        <v>299.91000000000003</v>
      </c>
      <c r="G49" s="281">
        <v>10.9</v>
      </c>
      <c r="H49" s="281">
        <v>12.73</v>
      </c>
      <c r="I49" s="281">
        <v>231.84</v>
      </c>
      <c r="J49" s="281">
        <v>13.16</v>
      </c>
      <c r="K49" s="281">
        <v>7.61</v>
      </c>
      <c r="L49" s="281">
        <v>229.36</v>
      </c>
      <c r="M49" s="281">
        <v>224.92</v>
      </c>
      <c r="N49" s="281">
        <v>262.74</v>
      </c>
      <c r="O49" s="281">
        <v>216.29</v>
      </c>
      <c r="P49" s="281">
        <v>278.54000000000002</v>
      </c>
      <c r="Q49" s="281">
        <v>203.01</v>
      </c>
      <c r="R49" s="281">
        <v>250.11</v>
      </c>
    </row>
    <row r="50" spans="1:22" s="153" customFormat="1" ht="12.6" customHeight="1" x14ac:dyDescent="0.2">
      <c r="A50" s="99" t="s">
        <v>696</v>
      </c>
      <c r="B50" s="2253" t="s">
        <v>557</v>
      </c>
      <c r="C50" s="281">
        <v>269.76</v>
      </c>
      <c r="D50" s="281">
        <v>10.43</v>
      </c>
      <c r="E50" s="281">
        <v>10.96</v>
      </c>
      <c r="F50" s="281">
        <v>296.89</v>
      </c>
      <c r="G50" s="281">
        <v>8.92</v>
      </c>
      <c r="H50" s="281">
        <v>12.39</v>
      </c>
      <c r="I50" s="281">
        <v>234.13</v>
      </c>
      <c r="J50" s="281">
        <v>13.57</v>
      </c>
      <c r="K50" s="281">
        <v>8.3800000000000008</v>
      </c>
      <c r="L50" s="281">
        <v>231.33</v>
      </c>
      <c r="M50" s="281">
        <v>227.31</v>
      </c>
      <c r="N50" s="281">
        <v>266.05</v>
      </c>
      <c r="O50" s="281">
        <v>219.32</v>
      </c>
      <c r="P50" s="281">
        <v>281.64999999999998</v>
      </c>
      <c r="Q50" s="281">
        <v>203.77</v>
      </c>
      <c r="R50" s="281">
        <v>252.18</v>
      </c>
    </row>
    <row r="51" spans="1:22" s="153" customFormat="1" ht="12.6" customHeight="1" x14ac:dyDescent="0.2">
      <c r="A51" s="99" t="s">
        <v>696</v>
      </c>
      <c r="B51" s="292" t="s">
        <v>549</v>
      </c>
      <c r="C51" s="281">
        <v>270.81</v>
      </c>
      <c r="D51" s="281">
        <v>10.1</v>
      </c>
      <c r="E51" s="281">
        <v>10.92</v>
      </c>
      <c r="F51" s="281">
        <v>297.77</v>
      </c>
      <c r="G51" s="281">
        <v>8.2799999999999994</v>
      </c>
      <c r="H51" s="281">
        <v>11.91</v>
      </c>
      <c r="I51" s="281">
        <v>235.5</v>
      </c>
      <c r="J51" s="281">
        <v>13.96</v>
      </c>
      <c r="K51" s="281">
        <v>9.19</v>
      </c>
      <c r="L51" s="281">
        <v>232.09</v>
      </c>
      <c r="M51" s="281">
        <v>228.35</v>
      </c>
      <c r="N51" s="281">
        <v>267.68</v>
      </c>
      <c r="O51" s="281">
        <v>221.58</v>
      </c>
      <c r="P51" s="281">
        <v>282.68</v>
      </c>
      <c r="Q51" s="281">
        <v>204.35</v>
      </c>
      <c r="R51" s="281">
        <v>256.38</v>
      </c>
    </row>
    <row r="52" spans="1:22" s="153" customFormat="1" ht="12.6" customHeight="1" x14ac:dyDescent="0.2">
      <c r="A52" s="99" t="s">
        <v>696</v>
      </c>
      <c r="B52" s="2253" t="s">
        <v>558</v>
      </c>
      <c r="C52" s="281">
        <v>270.68</v>
      </c>
      <c r="D52" s="281">
        <v>9.93</v>
      </c>
      <c r="E52" s="281">
        <v>10.86</v>
      </c>
      <c r="F52" s="281">
        <v>297.36</v>
      </c>
      <c r="G52" s="281">
        <v>8.1199999999999992</v>
      </c>
      <c r="H52" s="281">
        <v>11.39</v>
      </c>
      <c r="I52" s="281">
        <v>235.77</v>
      </c>
      <c r="J52" s="281">
        <v>13.77</v>
      </c>
      <c r="K52" s="281">
        <v>10</v>
      </c>
      <c r="L52" s="281">
        <v>232.13</v>
      </c>
      <c r="M52" s="281">
        <v>228.92</v>
      </c>
      <c r="N52" s="281">
        <v>267.73</v>
      </c>
      <c r="O52" s="281">
        <v>221.61</v>
      </c>
      <c r="P52" s="281">
        <v>282.81</v>
      </c>
      <c r="Q52" s="281">
        <v>204.43</v>
      </c>
      <c r="R52" s="281">
        <v>256.43</v>
      </c>
    </row>
    <row r="53" spans="1:22" s="153" customFormat="1" ht="12.6" customHeight="1" x14ac:dyDescent="0.2">
      <c r="A53" s="99" t="s">
        <v>696</v>
      </c>
      <c r="B53" s="292" t="s">
        <v>559</v>
      </c>
      <c r="C53" s="281">
        <v>268.93</v>
      </c>
      <c r="D53" s="281">
        <v>9.15</v>
      </c>
      <c r="E53" s="281">
        <v>10.76</v>
      </c>
      <c r="F53" s="281">
        <v>294.39</v>
      </c>
      <c r="G53" s="281">
        <v>7.46</v>
      </c>
      <c r="H53" s="281">
        <v>10.92</v>
      </c>
      <c r="I53" s="281">
        <v>235.85</v>
      </c>
      <c r="J53" s="281">
        <v>12.72</v>
      </c>
      <c r="K53" s="281">
        <v>10.66</v>
      </c>
      <c r="L53" s="281">
        <v>232.15</v>
      </c>
      <c r="M53" s="281">
        <v>228.96</v>
      </c>
      <c r="N53" s="281">
        <v>267.83999999999997</v>
      </c>
      <c r="O53" s="281">
        <v>221.65</v>
      </c>
      <c r="P53" s="281">
        <v>282.88</v>
      </c>
      <c r="Q53" s="281">
        <v>204.52</v>
      </c>
      <c r="R53" s="281">
        <v>256.76</v>
      </c>
    </row>
    <row r="54" spans="1:22" s="153" customFormat="1" ht="12.6" customHeight="1" x14ac:dyDescent="0.2">
      <c r="A54" s="99" t="s">
        <v>696</v>
      </c>
      <c r="B54" s="2253" t="s">
        <v>550</v>
      </c>
      <c r="C54" s="281">
        <v>270.43</v>
      </c>
      <c r="D54" s="281">
        <v>8.56</v>
      </c>
      <c r="E54" s="281">
        <v>10.62</v>
      </c>
      <c r="F54" s="281">
        <v>296.74</v>
      </c>
      <c r="G54" s="281">
        <v>7.08</v>
      </c>
      <c r="H54" s="281">
        <v>10.47</v>
      </c>
      <c r="I54" s="281">
        <v>236.16</v>
      </c>
      <c r="J54" s="281">
        <v>11.72</v>
      </c>
      <c r="K54" s="281">
        <v>11.15</v>
      </c>
      <c r="L54" s="281">
        <v>232.33</v>
      </c>
      <c r="M54" s="281">
        <v>229.17</v>
      </c>
      <c r="N54" s="281">
        <v>267.98</v>
      </c>
      <c r="O54" s="281">
        <v>223.32</v>
      </c>
      <c r="P54" s="281">
        <v>283.14</v>
      </c>
      <c r="Q54" s="281">
        <v>204.71</v>
      </c>
      <c r="R54" s="281">
        <v>256.93</v>
      </c>
    </row>
    <row r="55" spans="1:22" s="153" customFormat="1" ht="12.6" customHeight="1" x14ac:dyDescent="0.2">
      <c r="A55" s="99" t="s">
        <v>804</v>
      </c>
      <c r="B55" s="292" t="s">
        <v>552</v>
      </c>
      <c r="C55" s="281">
        <v>19673.3</v>
      </c>
      <c r="D55" s="281">
        <v>24798.6</v>
      </c>
      <c r="E55" s="281">
        <v>-5125.2999999999993</v>
      </c>
      <c r="F55" s="281">
        <v>1891.1</v>
      </c>
      <c r="G55" s="281">
        <v>3813.3</v>
      </c>
      <c r="H55" s="281">
        <v>-1922.2000000000003</v>
      </c>
      <c r="I55" s="281">
        <v>120.2</v>
      </c>
      <c r="J55" s="281">
        <v>1255.8</v>
      </c>
      <c r="K55" s="281">
        <v>-1135.5999999999999</v>
      </c>
      <c r="L55" s="281">
        <v>0.5</v>
      </c>
      <c r="M55" s="281">
        <v>9992.2000000000007</v>
      </c>
      <c r="N55" s="281">
        <v>9992.7000000000007</v>
      </c>
      <c r="O55" s="281">
        <v>1809.6000000000004</v>
      </c>
      <c r="P55" s="281">
        <v>6.3</v>
      </c>
      <c r="Q55" s="281">
        <v>-1861.2</v>
      </c>
      <c r="R55" s="281">
        <v>-300.60000000000002</v>
      </c>
      <c r="S55" s="153">
        <v>2573.3000000000002</v>
      </c>
      <c r="T55" s="153">
        <v>1869.4</v>
      </c>
      <c r="U55" s="153">
        <v>2280.9</v>
      </c>
      <c r="V55" s="153">
        <v>464.99999999999977</v>
      </c>
    </row>
    <row r="56" spans="1:22" s="153" customFormat="1" ht="12.6" customHeight="1" x14ac:dyDescent="0.2">
      <c r="A56" s="99" t="s">
        <v>804</v>
      </c>
      <c r="B56" s="2253" t="s">
        <v>553</v>
      </c>
      <c r="C56" s="281">
        <v>15717.1</v>
      </c>
      <c r="D56" s="281">
        <v>19220.099999999999</v>
      </c>
      <c r="E56" s="281">
        <v>-3502.9999999999982</v>
      </c>
      <c r="F56" s="281">
        <v>1914.8</v>
      </c>
      <c r="G56" s="281">
        <v>3202.7</v>
      </c>
      <c r="H56" s="281">
        <v>-1287.8999999999999</v>
      </c>
      <c r="I56" s="281">
        <v>88.4</v>
      </c>
      <c r="J56" s="281">
        <v>1858.7</v>
      </c>
      <c r="K56" s="281">
        <v>-1770.3</v>
      </c>
      <c r="L56" s="281">
        <v>14.6</v>
      </c>
      <c r="M56" s="281">
        <v>9468.2000000000007</v>
      </c>
      <c r="N56" s="281">
        <v>9482.8000000000011</v>
      </c>
      <c r="O56" s="281">
        <v>2921.6000000000031</v>
      </c>
      <c r="P56" s="281">
        <v>194.2</v>
      </c>
      <c r="Q56" s="281">
        <v>-484.3</v>
      </c>
      <c r="R56" s="281">
        <v>-82.9</v>
      </c>
      <c r="S56" s="153">
        <v>-2032</v>
      </c>
      <c r="T56" s="153">
        <v>6593.3</v>
      </c>
      <c r="U56" s="153">
        <v>3994.1000000000004</v>
      </c>
      <c r="V56" s="153">
        <v>878.29999999999745</v>
      </c>
    </row>
    <row r="57" spans="1:22" s="153" customFormat="1" ht="12.6" customHeight="1" x14ac:dyDescent="0.2">
      <c r="A57" s="99" t="s">
        <v>804</v>
      </c>
      <c r="B57" s="292" t="s">
        <v>547</v>
      </c>
      <c r="C57" s="281">
        <v>15032.8</v>
      </c>
      <c r="D57" s="281">
        <v>23195.8</v>
      </c>
      <c r="E57" s="281">
        <v>-8163</v>
      </c>
      <c r="F57" s="281">
        <v>1643.7</v>
      </c>
      <c r="G57" s="281">
        <v>4091.8</v>
      </c>
      <c r="H57" s="281">
        <v>-2448.1000000000004</v>
      </c>
      <c r="I57" s="281">
        <v>59</v>
      </c>
      <c r="J57" s="281">
        <v>2213.8000000000002</v>
      </c>
      <c r="K57" s="281">
        <v>-2154.8000000000002</v>
      </c>
      <c r="L57" s="281">
        <v>184.8</v>
      </c>
      <c r="M57" s="281">
        <v>9985.7000000000007</v>
      </c>
      <c r="N57" s="281">
        <v>10170.5</v>
      </c>
      <c r="O57" s="281">
        <v>-2595.4000000000015</v>
      </c>
      <c r="P57" s="281">
        <v>800.6</v>
      </c>
      <c r="Q57" s="281">
        <v>-895.6</v>
      </c>
      <c r="R57" s="281">
        <v>-1496.4</v>
      </c>
      <c r="S57" s="153">
        <v>2202.1999999999998</v>
      </c>
      <c r="T57" s="153">
        <v>-2443.6</v>
      </c>
      <c r="U57" s="153">
        <v>-2633.4</v>
      </c>
      <c r="V57" s="153">
        <v>-838.59999999999854</v>
      </c>
    </row>
    <row r="58" spans="1:22" s="153" customFormat="1" ht="12.6" customHeight="1" x14ac:dyDescent="0.2">
      <c r="A58" s="99" t="s">
        <v>804</v>
      </c>
      <c r="B58" s="2253" t="s">
        <v>554</v>
      </c>
      <c r="C58" s="281">
        <v>16632.7</v>
      </c>
      <c r="D58" s="281">
        <v>22151.8</v>
      </c>
      <c r="E58" s="281">
        <v>-5519.0999999999985</v>
      </c>
      <c r="F58" s="281">
        <v>2305.6999999999998</v>
      </c>
      <c r="G58" s="281">
        <v>4617.7</v>
      </c>
      <c r="H58" s="281">
        <v>-2312</v>
      </c>
      <c r="I58" s="281">
        <v>94.4</v>
      </c>
      <c r="J58" s="281">
        <v>1554.4</v>
      </c>
      <c r="K58" s="281">
        <v>-1460</v>
      </c>
      <c r="L58" s="281">
        <v>23.2</v>
      </c>
      <c r="M58" s="281">
        <v>12112.6</v>
      </c>
      <c r="N58" s="281">
        <v>12135.800000000001</v>
      </c>
      <c r="O58" s="281">
        <v>2844.7000000000025</v>
      </c>
      <c r="P58" s="281">
        <v>307.8</v>
      </c>
      <c r="Q58" s="281">
        <v>-1446.8</v>
      </c>
      <c r="R58" s="281">
        <v>-268.2</v>
      </c>
      <c r="S58" s="153">
        <v>-4676.3999999999996</v>
      </c>
      <c r="T58" s="153">
        <v>8842.1</v>
      </c>
      <c r="U58" s="153">
        <v>2450.7000000000007</v>
      </c>
      <c r="V58" s="153">
        <v>-701.800000000002</v>
      </c>
    </row>
    <row r="59" spans="1:22" s="153" customFormat="1" ht="12.6" customHeight="1" x14ac:dyDescent="0.2">
      <c r="A59" s="99" t="s">
        <v>804</v>
      </c>
      <c r="B59" s="292" t="s">
        <v>555</v>
      </c>
      <c r="C59" s="281">
        <v>14524.2</v>
      </c>
      <c r="D59" s="281">
        <v>22503.1</v>
      </c>
      <c r="E59" s="281">
        <v>-7978.8999999999978</v>
      </c>
      <c r="F59" s="281">
        <v>1376.2</v>
      </c>
      <c r="G59" s="281">
        <v>4014.1</v>
      </c>
      <c r="H59" s="281">
        <v>-2637.8999999999996</v>
      </c>
      <c r="I59" s="281">
        <v>106</v>
      </c>
      <c r="J59" s="281">
        <v>1442.6</v>
      </c>
      <c r="K59" s="281">
        <v>-1336.6</v>
      </c>
      <c r="L59" s="281">
        <v>3.1</v>
      </c>
      <c r="M59" s="281">
        <v>9226.9</v>
      </c>
      <c r="N59" s="281">
        <v>9230</v>
      </c>
      <c r="O59" s="281">
        <v>-2723.3999999999978</v>
      </c>
      <c r="P59" s="281">
        <v>41.7</v>
      </c>
      <c r="Q59" s="281">
        <v>-621.6</v>
      </c>
      <c r="R59" s="281">
        <v>-858.2</v>
      </c>
      <c r="S59" s="153">
        <v>2729.4</v>
      </c>
      <c r="T59" s="153">
        <v>-4769.3999999999996</v>
      </c>
      <c r="U59" s="153">
        <v>-3519.7999999999997</v>
      </c>
      <c r="V59" s="153">
        <v>-838.10000000000173</v>
      </c>
    </row>
    <row r="60" spans="1:22" s="153" customFormat="1" ht="12.6" customHeight="1" x14ac:dyDescent="0.2">
      <c r="A60" s="99" t="s">
        <v>804</v>
      </c>
      <c r="B60" s="2253" t="s">
        <v>548</v>
      </c>
      <c r="C60" s="281">
        <v>19323</v>
      </c>
      <c r="D60" s="281">
        <v>21237.4</v>
      </c>
      <c r="E60" s="281">
        <v>-1914.4000000000015</v>
      </c>
      <c r="F60" s="281">
        <v>2077.9</v>
      </c>
      <c r="G60" s="281">
        <v>3549.6</v>
      </c>
      <c r="H60" s="281">
        <v>-1471.6999999999998</v>
      </c>
      <c r="I60" s="281">
        <v>97.9</v>
      </c>
      <c r="J60" s="281">
        <v>907.6</v>
      </c>
      <c r="K60" s="281">
        <v>-809.7</v>
      </c>
      <c r="L60" s="281">
        <v>45.1</v>
      </c>
      <c r="M60" s="281">
        <v>11068.6</v>
      </c>
      <c r="N60" s="281">
        <v>11113.7</v>
      </c>
      <c r="O60" s="281">
        <v>6917.9</v>
      </c>
      <c r="P60" s="281">
        <v>599.20000000000005</v>
      </c>
      <c r="Q60" s="281">
        <v>-530.4</v>
      </c>
      <c r="R60" s="281">
        <v>2601.8000000000002</v>
      </c>
      <c r="S60" s="153">
        <v>-3761.9</v>
      </c>
      <c r="T60" s="153">
        <v>7916.4</v>
      </c>
      <c r="U60" s="153">
        <v>6225.9</v>
      </c>
      <c r="V60" s="153">
        <v>-1291.1999999999998</v>
      </c>
    </row>
    <row r="61" spans="1:22" s="153" customFormat="1" ht="12.6" customHeight="1" x14ac:dyDescent="0.2">
      <c r="A61" s="99" t="s">
        <v>804</v>
      </c>
      <c r="B61" s="292" t="s">
        <v>556</v>
      </c>
      <c r="C61" s="281">
        <v>19996.8</v>
      </c>
      <c r="D61" s="281">
        <v>26142.2</v>
      </c>
      <c r="E61" s="281">
        <v>-6145.4000000000015</v>
      </c>
      <c r="F61" s="281">
        <v>1638.2</v>
      </c>
      <c r="G61" s="281">
        <v>3960.2</v>
      </c>
      <c r="H61" s="281">
        <v>-2322</v>
      </c>
      <c r="I61" s="281">
        <v>55.7</v>
      </c>
      <c r="J61" s="281">
        <v>1997.3</v>
      </c>
      <c r="K61" s="281">
        <v>-1941.6</v>
      </c>
      <c r="L61" s="281">
        <v>6.8</v>
      </c>
      <c r="M61" s="281">
        <v>11021.2</v>
      </c>
      <c r="N61" s="281">
        <v>11028</v>
      </c>
      <c r="O61" s="281">
        <v>618.99999999999818</v>
      </c>
      <c r="P61" s="281">
        <v>90.5</v>
      </c>
      <c r="Q61" s="281">
        <v>-836.8</v>
      </c>
      <c r="R61" s="281">
        <v>134</v>
      </c>
      <c r="S61" s="153">
        <v>-1332.7</v>
      </c>
      <c r="T61" s="153">
        <v>2361.1</v>
      </c>
      <c r="U61" s="153">
        <v>325.59999999999991</v>
      </c>
      <c r="V61" s="153">
        <v>-383.89999999999827</v>
      </c>
    </row>
    <row r="62" spans="1:22" s="153" customFormat="1" ht="12.6" customHeight="1" x14ac:dyDescent="0.2">
      <c r="A62" s="99" t="s">
        <v>804</v>
      </c>
      <c r="B62" s="2253" t="s">
        <v>557</v>
      </c>
      <c r="C62" s="281">
        <v>17162.400000000001</v>
      </c>
      <c r="D62" s="281">
        <v>20591</v>
      </c>
      <c r="E62" s="281">
        <v>-3428.5999999999985</v>
      </c>
      <c r="F62" s="281">
        <v>1500.3</v>
      </c>
      <c r="G62" s="281">
        <v>3035.9</v>
      </c>
      <c r="H62" s="281">
        <v>-1535.6000000000001</v>
      </c>
      <c r="I62" s="281">
        <v>42</v>
      </c>
      <c r="J62" s="281">
        <v>762.2</v>
      </c>
      <c r="K62" s="281">
        <v>-720.2</v>
      </c>
      <c r="L62" s="281">
        <v>1.9</v>
      </c>
      <c r="M62" s="281">
        <v>9305.4</v>
      </c>
      <c r="N62" s="281">
        <v>9307.2999999999993</v>
      </c>
      <c r="O62" s="281">
        <v>3622.9000000000005</v>
      </c>
      <c r="P62" s="281">
        <v>24.8</v>
      </c>
      <c r="Q62" s="281">
        <v>-818.8</v>
      </c>
      <c r="R62" s="281">
        <v>130.80000000000001</v>
      </c>
      <c r="S62" s="153">
        <v>-2228.5</v>
      </c>
      <c r="T62" s="153">
        <v>7221.8</v>
      </c>
      <c r="U62" s="153">
        <v>4305.3</v>
      </c>
      <c r="V62" s="153">
        <v>657.59999999999945</v>
      </c>
    </row>
    <row r="63" spans="1:22" s="153" customFormat="1" ht="12.6" customHeight="1" x14ac:dyDescent="0.2">
      <c r="A63" s="99" t="s">
        <v>804</v>
      </c>
      <c r="B63" s="292" t="s">
        <v>549</v>
      </c>
      <c r="C63" s="281">
        <v>17899.8</v>
      </c>
      <c r="D63" s="281">
        <v>19558.2</v>
      </c>
      <c r="E63" s="281">
        <v>-1658.4000000000015</v>
      </c>
      <c r="F63" s="281">
        <v>1649.9</v>
      </c>
      <c r="G63" s="281">
        <v>3378.3</v>
      </c>
      <c r="H63" s="281">
        <v>-1728.4</v>
      </c>
      <c r="I63" s="281">
        <v>45.7</v>
      </c>
      <c r="J63" s="281">
        <v>1525.2</v>
      </c>
      <c r="K63" s="281">
        <v>-1479.5</v>
      </c>
      <c r="L63" s="281">
        <v>38.6</v>
      </c>
      <c r="M63" s="281">
        <v>9911.1</v>
      </c>
      <c r="N63" s="281">
        <v>9949.7000000000007</v>
      </c>
      <c r="O63" s="281">
        <v>5083.3999999999996</v>
      </c>
      <c r="P63" s="281">
        <v>513.1</v>
      </c>
      <c r="Q63" s="281">
        <v>-544.20000000000005</v>
      </c>
      <c r="R63" s="281">
        <v>-257.89999999999998</v>
      </c>
      <c r="S63" s="153">
        <v>5211.1000000000004</v>
      </c>
      <c r="T63" s="153">
        <v>1240.5</v>
      </c>
      <c r="U63" s="153">
        <v>5649.5</v>
      </c>
      <c r="V63" s="153">
        <v>53</v>
      </c>
    </row>
    <row r="64" spans="1:22" s="153" customFormat="1" ht="12.6" customHeight="1" x14ac:dyDescent="0.2">
      <c r="A64" s="99" t="s">
        <v>804</v>
      </c>
      <c r="B64" s="2253" t="s">
        <v>558</v>
      </c>
      <c r="C64" s="281">
        <v>16001.4</v>
      </c>
      <c r="D64" s="281">
        <v>24793.599999999999</v>
      </c>
      <c r="E64" s="281">
        <v>-8792.1999999999989</v>
      </c>
      <c r="F64" s="281">
        <v>1703.5</v>
      </c>
      <c r="G64" s="281">
        <v>3625.9</v>
      </c>
      <c r="H64" s="281">
        <v>-1922.4</v>
      </c>
      <c r="I64" s="281">
        <v>73.5</v>
      </c>
      <c r="J64" s="281">
        <v>1846.5</v>
      </c>
      <c r="K64" s="281">
        <v>-1773</v>
      </c>
      <c r="L64" s="281">
        <v>0</v>
      </c>
      <c r="M64" s="281">
        <v>9590</v>
      </c>
      <c r="N64" s="281">
        <v>9590</v>
      </c>
      <c r="O64" s="281">
        <v>-2897.5999999999985</v>
      </c>
      <c r="P64" s="281">
        <v>0</v>
      </c>
      <c r="Q64" s="281">
        <v>-1212.9000000000001</v>
      </c>
      <c r="R64" s="281">
        <v>7</v>
      </c>
      <c r="S64" s="153">
        <v>-9303.2000000000007</v>
      </c>
      <c r="T64" s="153">
        <v>6733.4</v>
      </c>
      <c r="U64" s="153">
        <v>-3775.7000000000007</v>
      </c>
      <c r="V64" s="153">
        <v>-878.10000000000218</v>
      </c>
    </row>
    <row r="65" spans="1:22" s="153" customFormat="1" ht="12.6" customHeight="1" x14ac:dyDescent="0.2">
      <c r="A65" s="99" t="s">
        <v>804</v>
      </c>
      <c r="B65" s="292" t="s">
        <v>559</v>
      </c>
      <c r="C65" s="281">
        <v>19473.599999999999</v>
      </c>
      <c r="D65" s="281">
        <v>23039.4</v>
      </c>
      <c r="E65" s="281">
        <v>-3565.8000000000029</v>
      </c>
      <c r="F65" s="281">
        <v>1735.3</v>
      </c>
      <c r="G65" s="281">
        <v>3878.3</v>
      </c>
      <c r="H65" s="281">
        <v>-2143</v>
      </c>
      <c r="I65" s="281">
        <v>54.9</v>
      </c>
      <c r="J65" s="281">
        <v>1623.9</v>
      </c>
      <c r="K65" s="281">
        <v>-1569</v>
      </c>
      <c r="L65" s="281">
        <v>32.700000000000003</v>
      </c>
      <c r="M65" s="281">
        <v>8800.2999999999993</v>
      </c>
      <c r="N65" s="281">
        <v>8833</v>
      </c>
      <c r="O65" s="281">
        <v>1555.1999999999971</v>
      </c>
      <c r="P65" s="281">
        <v>434.1</v>
      </c>
      <c r="Q65" s="281">
        <v>-699.6</v>
      </c>
      <c r="R65" s="281">
        <v>-449.3</v>
      </c>
      <c r="S65" s="153">
        <v>3245.9</v>
      </c>
      <c r="T65" s="153">
        <v>-1328.1</v>
      </c>
      <c r="U65" s="153">
        <v>768.90000000000009</v>
      </c>
      <c r="V65" s="153">
        <v>-1220.3999999999969</v>
      </c>
    </row>
    <row r="66" spans="1:22" s="153" customFormat="1" ht="12.6" customHeight="1" x14ac:dyDescent="0.2">
      <c r="A66" s="99" t="s">
        <v>804</v>
      </c>
      <c r="B66" s="2253" t="s">
        <v>550</v>
      </c>
      <c r="C66" s="281">
        <v>17793.3</v>
      </c>
      <c r="D66" s="281">
        <v>26362.400000000001</v>
      </c>
      <c r="E66" s="281">
        <v>-8569.1000000000022</v>
      </c>
      <c r="F66" s="281">
        <v>2452.1</v>
      </c>
      <c r="G66" s="281">
        <v>4209.2</v>
      </c>
      <c r="H66" s="281">
        <v>-1757.1</v>
      </c>
      <c r="I66" s="281">
        <v>51.2</v>
      </c>
      <c r="J66" s="281">
        <v>1561</v>
      </c>
      <c r="K66" s="281">
        <v>-1509.8</v>
      </c>
      <c r="L66" s="281">
        <v>44.9</v>
      </c>
      <c r="M66" s="281">
        <v>8581</v>
      </c>
      <c r="N66" s="281">
        <v>8625.9</v>
      </c>
      <c r="O66" s="281">
        <v>-3210.1000000000022</v>
      </c>
      <c r="P66" s="281">
        <v>595.9</v>
      </c>
      <c r="Q66" s="281">
        <v>-796.1</v>
      </c>
      <c r="R66" s="281">
        <v>1083.5999999999999</v>
      </c>
      <c r="S66" s="153">
        <v>-11112</v>
      </c>
      <c r="T66" s="153">
        <v>6764.8</v>
      </c>
      <c r="U66" s="153">
        <v>-4059.7</v>
      </c>
      <c r="V66" s="153">
        <v>-1445.4999999999977</v>
      </c>
    </row>
    <row r="67" spans="1:22" s="153" customFormat="1" ht="12.6" customHeight="1" x14ac:dyDescent="0.2">
      <c r="A67" s="99" t="s">
        <v>978</v>
      </c>
      <c r="B67" s="292" t="s">
        <v>3190</v>
      </c>
      <c r="C67" s="281">
        <v>296.58</v>
      </c>
      <c r="D67" s="281">
        <v>7.78</v>
      </c>
      <c r="E67" s="281">
        <v>7.68</v>
      </c>
      <c r="F67" s="281">
        <v>329</v>
      </c>
      <c r="G67" s="281">
        <v>8.48</v>
      </c>
      <c r="H67" s="281">
        <v>7.53</v>
      </c>
      <c r="I67" s="281">
        <v>253.96</v>
      </c>
      <c r="J67" s="281">
        <v>6.58</v>
      </c>
      <c r="K67" s="281">
        <v>8.02</v>
      </c>
      <c r="L67" s="281">
        <v>266.11</v>
      </c>
      <c r="M67" s="281">
        <v>244.21</v>
      </c>
      <c r="N67" s="281">
        <v>287.77</v>
      </c>
      <c r="O67" s="281">
        <v>231.15</v>
      </c>
      <c r="P67" s="281">
        <v>299.22000000000003</v>
      </c>
      <c r="Q67" s="281">
        <v>214.84</v>
      </c>
      <c r="R67" s="281">
        <v>272.88</v>
      </c>
    </row>
    <row r="68" spans="1:22" s="154" customFormat="1" ht="12.6" customHeight="1" x14ac:dyDescent="0.2">
      <c r="A68" s="99" t="s">
        <v>978</v>
      </c>
      <c r="B68" s="2253" t="s">
        <v>3191</v>
      </c>
      <c r="C68" s="25">
        <v>186.79</v>
      </c>
      <c r="D68" s="25">
        <v>7.85</v>
      </c>
      <c r="E68" s="25">
        <v>6.99</v>
      </c>
      <c r="F68" s="25">
        <v>198.95</v>
      </c>
      <c r="G68" s="25">
        <v>8.14</v>
      </c>
      <c r="H68" s="25">
        <v>5.71</v>
      </c>
      <c r="I68" s="25">
        <v>171.18</v>
      </c>
      <c r="J68" s="25">
        <v>7.4</v>
      </c>
      <c r="K68" s="25">
        <v>8.9600000000000009</v>
      </c>
      <c r="L68" s="25">
        <v>187.56</v>
      </c>
      <c r="M68" s="25">
        <v>158.29</v>
      </c>
      <c r="N68" s="25">
        <v>200.8</v>
      </c>
      <c r="O68" s="25">
        <v>160.93</v>
      </c>
      <c r="P68" s="25">
        <v>163.24</v>
      </c>
      <c r="Q68" s="25">
        <v>161.61000000000001</v>
      </c>
      <c r="R68" s="25">
        <v>187.56</v>
      </c>
    </row>
    <row r="69" spans="1:22" s="154" customFormat="1" ht="12.6" customHeight="1" x14ac:dyDescent="0.2">
      <c r="A69" s="99" t="s">
        <v>978</v>
      </c>
      <c r="B69" s="292" t="s">
        <v>3192</v>
      </c>
      <c r="C69" s="25">
        <v>189.44</v>
      </c>
      <c r="D69" s="25">
        <v>7.39</v>
      </c>
      <c r="E69" s="25">
        <v>7.19</v>
      </c>
      <c r="F69" s="25">
        <v>203.09</v>
      </c>
      <c r="G69" s="25">
        <v>8.09</v>
      </c>
      <c r="H69" s="25">
        <v>6.2</v>
      </c>
      <c r="I69" s="25">
        <v>171.94</v>
      </c>
      <c r="J69" s="25">
        <v>6.35</v>
      </c>
      <c r="K69" s="25">
        <v>8.7100000000000009</v>
      </c>
      <c r="L69" s="25">
        <v>188.17</v>
      </c>
      <c r="M69" s="25">
        <v>159.04</v>
      </c>
      <c r="N69" s="25">
        <v>201.93</v>
      </c>
      <c r="O69" s="25">
        <v>161.27000000000001</v>
      </c>
      <c r="P69" s="25">
        <v>163.93</v>
      </c>
      <c r="Q69" s="25">
        <v>162.69999999999999</v>
      </c>
      <c r="R69" s="25">
        <v>188.24</v>
      </c>
    </row>
    <row r="70" spans="1:22" s="154" customFormat="1" ht="12.6" customHeight="1" x14ac:dyDescent="0.2">
      <c r="A70" s="99" t="s">
        <v>978</v>
      </c>
      <c r="B70" s="2253" t="s">
        <v>3193</v>
      </c>
      <c r="C70" s="25">
        <v>192.24</v>
      </c>
      <c r="D70" s="25">
        <v>7.13</v>
      </c>
      <c r="E70" s="25">
        <v>7.37</v>
      </c>
      <c r="F70" s="25">
        <v>206.88</v>
      </c>
      <c r="G70" s="25">
        <v>7.93</v>
      </c>
      <c r="H70" s="25">
        <v>6.73</v>
      </c>
      <c r="I70" s="25">
        <v>173.48</v>
      </c>
      <c r="J70" s="25">
        <v>5.94</v>
      </c>
      <c r="K70" s="25">
        <v>8.35</v>
      </c>
      <c r="L70" s="25">
        <v>190.18</v>
      </c>
      <c r="M70" s="25">
        <v>159.52000000000001</v>
      </c>
      <c r="N70" s="25">
        <v>204.93</v>
      </c>
      <c r="O70" s="25">
        <v>162.11000000000001</v>
      </c>
      <c r="P70" s="25">
        <v>166.02</v>
      </c>
      <c r="Q70" s="25">
        <v>163.35</v>
      </c>
      <c r="R70" s="25">
        <v>192.08</v>
      </c>
    </row>
    <row r="71" spans="1:22" s="154" customFormat="1" ht="12.6" customHeight="1" x14ac:dyDescent="0.2">
      <c r="A71" s="99" t="s">
        <v>978</v>
      </c>
      <c r="B71" s="292" t="s">
        <v>3194</v>
      </c>
      <c r="C71" s="25">
        <v>194.01</v>
      </c>
      <c r="D71" s="25">
        <v>7.03</v>
      </c>
      <c r="E71" s="25">
        <v>7.47</v>
      </c>
      <c r="F71" s="25">
        <v>209.25</v>
      </c>
      <c r="G71" s="25">
        <v>8.3800000000000008</v>
      </c>
      <c r="H71" s="25">
        <v>7.23</v>
      </c>
      <c r="I71" s="25">
        <v>174.46</v>
      </c>
      <c r="J71" s="25">
        <v>5.0199999999999996</v>
      </c>
      <c r="K71" s="25">
        <v>7.83</v>
      </c>
      <c r="L71" s="25">
        <v>191.85</v>
      </c>
      <c r="M71" s="25">
        <v>160.52000000000001</v>
      </c>
      <c r="N71" s="25">
        <v>205.24</v>
      </c>
      <c r="O71" s="25">
        <v>163.15</v>
      </c>
      <c r="P71" s="25">
        <v>166.28</v>
      </c>
      <c r="Q71" s="25">
        <v>164.29</v>
      </c>
      <c r="R71" s="25">
        <v>193.7</v>
      </c>
    </row>
    <row r="72" spans="1:22" s="154" customFormat="1" ht="12.6" customHeight="1" x14ac:dyDescent="0.2">
      <c r="A72" s="99" t="s">
        <v>978</v>
      </c>
      <c r="B72" s="2253" t="s">
        <v>3195</v>
      </c>
      <c r="C72" s="25">
        <v>194.76</v>
      </c>
      <c r="D72" s="25">
        <v>7.15</v>
      </c>
      <c r="E72" s="25">
        <v>7.51</v>
      </c>
      <c r="F72" s="25">
        <v>210.27</v>
      </c>
      <c r="G72" s="25">
        <v>8.5500000000000007</v>
      </c>
      <c r="H72" s="25">
        <v>7.62</v>
      </c>
      <c r="I72" s="25">
        <v>174.92</v>
      </c>
      <c r="J72" s="25">
        <v>5.08</v>
      </c>
      <c r="K72" s="25">
        <v>7.36</v>
      </c>
      <c r="L72" s="25">
        <v>192.85</v>
      </c>
      <c r="M72" s="25">
        <v>160.94</v>
      </c>
      <c r="N72" s="25">
        <v>205.67</v>
      </c>
      <c r="O72" s="25">
        <v>163.55000000000001</v>
      </c>
      <c r="P72" s="25">
        <v>166.77</v>
      </c>
      <c r="Q72" s="25">
        <v>164.33</v>
      </c>
      <c r="R72" s="25">
        <v>193.82</v>
      </c>
    </row>
    <row r="73" spans="1:22" s="154" customFormat="1" ht="12.6" customHeight="1" x14ac:dyDescent="0.2">
      <c r="A73" s="99" t="s">
        <v>978</v>
      </c>
      <c r="B73" s="292" t="s">
        <v>3196</v>
      </c>
      <c r="C73" s="25">
        <v>195.82</v>
      </c>
      <c r="D73" s="25">
        <v>7.35</v>
      </c>
      <c r="E73" s="25">
        <v>7.53</v>
      </c>
      <c r="F73" s="25">
        <v>211.87</v>
      </c>
      <c r="G73" s="25">
        <v>9</v>
      </c>
      <c r="H73" s="25">
        <v>7.93</v>
      </c>
      <c r="I73" s="25">
        <v>175.26</v>
      </c>
      <c r="J73" s="25">
        <v>4.88</v>
      </c>
      <c r="K73" s="25">
        <v>6.94</v>
      </c>
      <c r="L73" s="25">
        <v>193.56</v>
      </c>
      <c r="M73" s="25">
        <v>161.1</v>
      </c>
      <c r="N73" s="25">
        <v>206.32</v>
      </c>
      <c r="O73" s="25">
        <v>163.94</v>
      </c>
      <c r="P73" s="25">
        <v>167.15</v>
      </c>
      <c r="Q73" s="25">
        <v>164.38</v>
      </c>
      <c r="R73" s="25">
        <v>194.02</v>
      </c>
    </row>
    <row r="74" spans="1:22" s="154" customFormat="1" ht="12.6" customHeight="1" x14ac:dyDescent="0.2">
      <c r="A74" s="99" t="s">
        <v>978</v>
      </c>
      <c r="B74" s="2253" t="s">
        <v>3197</v>
      </c>
      <c r="C74" s="25">
        <v>198.15</v>
      </c>
      <c r="D74" s="25">
        <v>7.5</v>
      </c>
      <c r="E74" s="25">
        <v>7.6</v>
      </c>
      <c r="F74" s="25">
        <v>213.65</v>
      </c>
      <c r="G74" s="25">
        <v>8.81</v>
      </c>
      <c r="H74" s="25">
        <v>8.25</v>
      </c>
      <c r="I74" s="25">
        <v>178.26</v>
      </c>
      <c r="J74" s="25">
        <v>5.53</v>
      </c>
      <c r="K74" s="25">
        <v>6.64</v>
      </c>
      <c r="L74" s="25">
        <v>198.38</v>
      </c>
      <c r="M74" s="25">
        <v>166.53</v>
      </c>
      <c r="N74" s="25">
        <v>207.4</v>
      </c>
      <c r="O74" s="25">
        <v>165.24</v>
      </c>
      <c r="P74" s="25">
        <v>167.78</v>
      </c>
      <c r="Q74" s="25">
        <v>164.55</v>
      </c>
      <c r="R74" s="25">
        <v>195.01</v>
      </c>
    </row>
    <row r="75" spans="1:22" s="154" customFormat="1" ht="12.6" customHeight="1" x14ac:dyDescent="0.2">
      <c r="A75" s="99" t="s">
        <v>978</v>
      </c>
      <c r="B75" s="292" t="s">
        <v>3198</v>
      </c>
      <c r="C75" s="25">
        <v>198.54</v>
      </c>
      <c r="D75" s="25">
        <v>7.44</v>
      </c>
      <c r="E75" s="25">
        <v>7.57</v>
      </c>
      <c r="F75" s="25">
        <v>214.17</v>
      </c>
      <c r="G75" s="25">
        <v>8.84</v>
      </c>
      <c r="H75" s="25">
        <v>8.3699999999999992</v>
      </c>
      <c r="I75" s="25">
        <v>178.51</v>
      </c>
      <c r="J75" s="25">
        <v>5.37</v>
      </c>
      <c r="K75" s="25">
        <v>6.39</v>
      </c>
      <c r="L75" s="25">
        <v>198.79</v>
      </c>
      <c r="M75" s="25">
        <v>166.62</v>
      </c>
      <c r="N75" s="25">
        <v>208.03</v>
      </c>
      <c r="O75" s="25">
        <v>165.41</v>
      </c>
      <c r="P75" s="25">
        <v>168.11</v>
      </c>
      <c r="Q75" s="25">
        <v>164.72</v>
      </c>
      <c r="R75" s="25">
        <v>195.17</v>
      </c>
    </row>
    <row r="76" spans="1:22" s="154" customFormat="1" ht="12.6" customHeight="1" x14ac:dyDescent="0.2">
      <c r="A76" s="99" t="s">
        <v>978</v>
      </c>
      <c r="B76" s="2253" t="s">
        <v>3199</v>
      </c>
      <c r="C76" s="25">
        <v>198.84</v>
      </c>
      <c r="D76" s="25">
        <v>7.48</v>
      </c>
      <c r="E76" s="25">
        <v>7.54</v>
      </c>
      <c r="F76" s="25">
        <v>214.45</v>
      </c>
      <c r="G76" s="25">
        <v>8.9600000000000009</v>
      </c>
      <c r="H76" s="25">
        <v>8.49</v>
      </c>
      <c r="I76" s="25">
        <v>178.82</v>
      </c>
      <c r="J76" s="25">
        <v>5.26</v>
      </c>
      <c r="K76" s="25">
        <v>6.16</v>
      </c>
      <c r="L76" s="25">
        <v>198.87</v>
      </c>
      <c r="M76" s="25">
        <v>166.88</v>
      </c>
      <c r="N76" s="25">
        <v>208.36</v>
      </c>
      <c r="O76" s="25">
        <v>165.5</v>
      </c>
      <c r="P76" s="25">
        <v>168.52</v>
      </c>
      <c r="Q76" s="25">
        <v>165.55</v>
      </c>
      <c r="R76" s="25">
        <v>195.53</v>
      </c>
    </row>
    <row r="77" spans="1:22" s="154" customFormat="1" ht="12.6" customHeight="1" x14ac:dyDescent="0.2">
      <c r="A77" s="99" t="s">
        <v>978</v>
      </c>
      <c r="B77" s="292" t="s">
        <v>3200</v>
      </c>
      <c r="C77" s="25">
        <v>198.94</v>
      </c>
      <c r="D77" s="25">
        <v>7.46</v>
      </c>
      <c r="E77" s="25">
        <v>7.47</v>
      </c>
      <c r="F77" s="25">
        <v>214.49</v>
      </c>
      <c r="G77" s="25">
        <v>8.9499999999999993</v>
      </c>
      <c r="H77" s="25">
        <v>8.51</v>
      </c>
      <c r="I77" s="25">
        <v>178.97</v>
      </c>
      <c r="J77" s="25">
        <v>5.23</v>
      </c>
      <c r="K77" s="25">
        <v>5.94</v>
      </c>
      <c r="L77" s="25">
        <v>199.33</v>
      </c>
      <c r="M77" s="25">
        <v>167.01</v>
      </c>
      <c r="N77" s="25">
        <v>207.34</v>
      </c>
      <c r="O77" s="25">
        <v>165.69</v>
      </c>
      <c r="P77" s="25">
        <v>169.19</v>
      </c>
      <c r="Q77" s="25">
        <v>165.62</v>
      </c>
      <c r="R77" s="25">
        <v>195.91</v>
      </c>
    </row>
    <row r="78" spans="1:22" s="154" customFormat="1" ht="12.6" customHeight="1" x14ac:dyDescent="0.2">
      <c r="A78" s="99" t="s">
        <v>978</v>
      </c>
      <c r="B78" s="2253" t="s">
        <v>3201</v>
      </c>
      <c r="C78" s="25">
        <v>196.6</v>
      </c>
      <c r="D78" s="25">
        <v>7.48</v>
      </c>
      <c r="E78" s="25">
        <v>7.44</v>
      </c>
      <c r="F78" s="25">
        <v>210.27</v>
      </c>
      <c r="G78" s="25">
        <v>9.09</v>
      </c>
      <c r="H78" s="25">
        <v>8.59</v>
      </c>
      <c r="I78" s="25">
        <v>179.07</v>
      </c>
      <c r="J78" s="25">
        <v>5.16</v>
      </c>
      <c r="K78" s="25">
        <v>5.72</v>
      </c>
      <c r="L78" s="25">
        <v>197.68</v>
      </c>
      <c r="M78" s="25">
        <v>167.12</v>
      </c>
      <c r="N78" s="25">
        <v>208.73</v>
      </c>
      <c r="O78" s="25">
        <v>165.92</v>
      </c>
      <c r="P78" s="25">
        <v>169.62</v>
      </c>
      <c r="Q78" s="25">
        <v>165.69</v>
      </c>
      <c r="R78" s="25">
        <v>196.97</v>
      </c>
    </row>
    <row r="79" spans="1:22" s="154" customFormat="1" ht="12.6" customHeight="1" x14ac:dyDescent="0.2">
      <c r="A79" s="99" t="s">
        <v>1029</v>
      </c>
      <c r="B79" s="292" t="s">
        <v>3202</v>
      </c>
      <c r="C79" s="25">
        <v>196.86</v>
      </c>
      <c r="D79" s="25">
        <v>6.97</v>
      </c>
      <c r="E79" s="25">
        <v>7.35</v>
      </c>
      <c r="F79" s="25">
        <v>210.15</v>
      </c>
      <c r="G79" s="25">
        <v>8</v>
      </c>
      <c r="H79" s="25">
        <v>8.57</v>
      </c>
      <c r="I79" s="25">
        <v>179.82</v>
      </c>
      <c r="J79" s="25">
        <v>5.45</v>
      </c>
      <c r="K79" s="25">
        <v>5.54</v>
      </c>
      <c r="L79" s="25">
        <v>199.96</v>
      </c>
      <c r="M79" s="25">
        <v>168.08</v>
      </c>
      <c r="N79" s="25">
        <v>208.88</v>
      </c>
      <c r="O79" s="25">
        <v>165.96</v>
      </c>
      <c r="P79" s="25">
        <v>169.82</v>
      </c>
      <c r="Q79" s="25">
        <v>165.79</v>
      </c>
      <c r="R79" s="25">
        <v>197.04</v>
      </c>
    </row>
    <row r="80" spans="1:22" s="154" customFormat="1" ht="12.6" customHeight="1" x14ac:dyDescent="0.2">
      <c r="A80" s="99" t="s">
        <v>1029</v>
      </c>
      <c r="B80" s="2253" t="s">
        <v>3191</v>
      </c>
      <c r="C80" s="25">
        <v>199.94</v>
      </c>
      <c r="D80" s="25">
        <v>7.04</v>
      </c>
      <c r="E80" s="25">
        <v>7.28</v>
      </c>
      <c r="F80" s="25">
        <v>214.74</v>
      </c>
      <c r="G80" s="25">
        <v>7.94</v>
      </c>
      <c r="H80" s="25">
        <v>8.5500000000000007</v>
      </c>
      <c r="I80" s="25">
        <v>180.95</v>
      </c>
      <c r="J80" s="25">
        <v>5.71</v>
      </c>
      <c r="K80" s="25">
        <v>5.41</v>
      </c>
      <c r="L80" s="25">
        <v>204.44</v>
      </c>
      <c r="M80" s="25">
        <v>168.68</v>
      </c>
      <c r="N80" s="25">
        <v>208.43</v>
      </c>
      <c r="O80" s="25">
        <v>166.19</v>
      </c>
      <c r="P80" s="25">
        <v>171.26</v>
      </c>
      <c r="Q80" s="25">
        <v>166.06</v>
      </c>
      <c r="R80" s="25">
        <v>197.58</v>
      </c>
    </row>
    <row r="81" spans="1:18" s="154" customFormat="1" ht="12.6" customHeight="1" x14ac:dyDescent="0.2">
      <c r="A81" s="99" t="s">
        <v>1029</v>
      </c>
      <c r="B81" s="292" t="s">
        <v>3192</v>
      </c>
      <c r="C81" s="25">
        <v>202.53</v>
      </c>
      <c r="D81" s="25">
        <v>6.91</v>
      </c>
      <c r="E81" s="25">
        <v>7.24</v>
      </c>
      <c r="F81" s="25">
        <v>218.66</v>
      </c>
      <c r="G81" s="25">
        <v>7.67</v>
      </c>
      <c r="H81" s="25">
        <v>8.51</v>
      </c>
      <c r="I81" s="25">
        <v>181.85</v>
      </c>
      <c r="J81" s="25">
        <v>5.76</v>
      </c>
      <c r="K81" s="25">
        <v>5.37</v>
      </c>
      <c r="L81" s="25">
        <v>204.55</v>
      </c>
      <c r="M81" s="25">
        <v>170.03</v>
      </c>
      <c r="N81" s="25">
        <v>209.27</v>
      </c>
      <c r="O81" s="25">
        <v>166.26</v>
      </c>
      <c r="P81" s="25">
        <v>173.31</v>
      </c>
      <c r="Q81" s="25">
        <v>166.15</v>
      </c>
      <c r="R81" s="25">
        <v>198.12</v>
      </c>
    </row>
    <row r="82" spans="1:18" s="154" customFormat="1" ht="12.6" customHeight="1" x14ac:dyDescent="0.2">
      <c r="A82" s="99" t="s">
        <v>1029</v>
      </c>
      <c r="B82" s="2253" t="s">
        <v>3193</v>
      </c>
      <c r="C82" s="25">
        <v>205.39</v>
      </c>
      <c r="D82" s="25">
        <v>6.84</v>
      </c>
      <c r="E82" s="25">
        <v>7.22</v>
      </c>
      <c r="F82" s="25">
        <v>222.66</v>
      </c>
      <c r="G82" s="25">
        <v>7.63</v>
      </c>
      <c r="H82" s="25">
        <v>8.48</v>
      </c>
      <c r="I82" s="25">
        <v>183.25</v>
      </c>
      <c r="J82" s="25">
        <v>5.63</v>
      </c>
      <c r="K82" s="25">
        <v>5.34</v>
      </c>
      <c r="L82" s="25">
        <v>206.37</v>
      </c>
      <c r="M82" s="25">
        <v>170.43</v>
      </c>
      <c r="N82" s="25">
        <v>210.46</v>
      </c>
      <c r="O82" s="25">
        <v>167.8</v>
      </c>
      <c r="P82" s="25">
        <v>177.58</v>
      </c>
      <c r="Q82" s="25">
        <v>166.98</v>
      </c>
      <c r="R82" s="25">
        <v>199.03</v>
      </c>
    </row>
    <row r="83" spans="1:18" s="154" customFormat="1" ht="12.6" customHeight="1" x14ac:dyDescent="0.2">
      <c r="A83" s="99" t="s">
        <v>1029</v>
      </c>
      <c r="B83" s="292" t="s">
        <v>3194</v>
      </c>
      <c r="C83" s="25">
        <v>206.81</v>
      </c>
      <c r="D83" s="25">
        <v>6.6</v>
      </c>
      <c r="E83" s="25">
        <v>7.18</v>
      </c>
      <c r="F83" s="25">
        <v>224.23</v>
      </c>
      <c r="G83" s="25">
        <v>7.16</v>
      </c>
      <c r="H83" s="25">
        <v>8.3699999999999992</v>
      </c>
      <c r="I83" s="25">
        <v>184.47</v>
      </c>
      <c r="J83" s="25">
        <v>5.74</v>
      </c>
      <c r="K83" s="25">
        <v>5.4</v>
      </c>
      <c r="L83" s="25">
        <v>206.93</v>
      </c>
      <c r="M83" s="25">
        <v>170.73</v>
      </c>
      <c r="N83" s="25">
        <v>211.88</v>
      </c>
      <c r="O83" s="25">
        <v>171.51</v>
      </c>
      <c r="P83" s="25">
        <v>179.58</v>
      </c>
      <c r="Q83" s="25">
        <v>167.48</v>
      </c>
      <c r="R83" s="25">
        <v>202.15</v>
      </c>
    </row>
    <row r="84" spans="1:18" s="154" customFormat="1" ht="12.6" customHeight="1" x14ac:dyDescent="0.2">
      <c r="A84" s="99" t="s">
        <v>1029</v>
      </c>
      <c r="B84" s="2253" t="s">
        <v>3195</v>
      </c>
      <c r="C84" s="25">
        <v>206.86</v>
      </c>
      <c r="D84" s="25">
        <v>6.21</v>
      </c>
      <c r="E84" s="25">
        <v>7.1</v>
      </c>
      <c r="F84" s="25">
        <v>223.81</v>
      </c>
      <c r="G84" s="25">
        <v>6.44</v>
      </c>
      <c r="H84" s="25">
        <v>8.18</v>
      </c>
      <c r="I84" s="25">
        <v>185.14</v>
      </c>
      <c r="J84" s="25">
        <v>5.84</v>
      </c>
      <c r="K84" s="25">
        <v>5.47</v>
      </c>
      <c r="L84" s="25">
        <v>207.47</v>
      </c>
      <c r="M84" s="25">
        <v>170.94</v>
      </c>
      <c r="N84" s="25">
        <v>212.29</v>
      </c>
      <c r="O84" s="25">
        <v>175.57</v>
      </c>
      <c r="P84" s="25">
        <v>180.36</v>
      </c>
      <c r="Q84" s="25">
        <v>167.61</v>
      </c>
      <c r="R84" s="25">
        <v>202.43</v>
      </c>
    </row>
    <row r="85" spans="1:18" s="154" customFormat="1" ht="12.6" customHeight="1" x14ac:dyDescent="0.2">
      <c r="A85" s="99" t="s">
        <v>1029</v>
      </c>
      <c r="B85" s="292" t="s">
        <v>3196</v>
      </c>
      <c r="C85" s="25">
        <v>207.78</v>
      </c>
      <c r="D85" s="25">
        <v>6.11</v>
      </c>
      <c r="E85" s="25">
        <v>6.99</v>
      </c>
      <c r="F85" s="25">
        <v>224.2</v>
      </c>
      <c r="G85" s="25">
        <v>5.86</v>
      </c>
      <c r="H85" s="25">
        <v>7.91</v>
      </c>
      <c r="I85" s="25">
        <v>186.62</v>
      </c>
      <c r="J85" s="25">
        <v>6.48</v>
      </c>
      <c r="K85" s="25">
        <v>5.6</v>
      </c>
      <c r="L85" s="25">
        <v>208.95</v>
      </c>
      <c r="M85" s="25">
        <v>171.48</v>
      </c>
      <c r="N85" s="25">
        <v>214.04</v>
      </c>
      <c r="O85" s="25">
        <v>177.15</v>
      </c>
      <c r="P85" s="25">
        <v>183.9</v>
      </c>
      <c r="Q85" s="25">
        <v>168.31</v>
      </c>
      <c r="R85" s="25">
        <v>204.94</v>
      </c>
    </row>
    <row r="86" spans="1:18" s="154" customFormat="1" ht="12.6" customHeight="1" x14ac:dyDescent="0.2">
      <c r="A86" s="99" t="s">
        <v>1029</v>
      </c>
      <c r="B86" s="2253" t="s">
        <v>3197</v>
      </c>
      <c r="C86" s="25">
        <v>210.12</v>
      </c>
      <c r="D86" s="25">
        <v>6.04</v>
      </c>
      <c r="E86" s="25">
        <v>6.87</v>
      </c>
      <c r="F86" s="25">
        <v>226.61</v>
      </c>
      <c r="G86" s="25">
        <v>6.07</v>
      </c>
      <c r="H86" s="25">
        <v>7.68</v>
      </c>
      <c r="I86" s="25">
        <v>188.98</v>
      </c>
      <c r="J86" s="25">
        <v>6.01</v>
      </c>
      <c r="K86" s="25">
        <v>5.64</v>
      </c>
      <c r="L86" s="25">
        <v>211.06</v>
      </c>
      <c r="M86" s="25">
        <v>172.95</v>
      </c>
      <c r="N86" s="25">
        <v>215.49</v>
      </c>
      <c r="O86" s="25">
        <v>189.51</v>
      </c>
      <c r="P86" s="25">
        <v>185.11</v>
      </c>
      <c r="Q86" s="25">
        <v>168.64</v>
      </c>
      <c r="R86" s="25">
        <v>207.33</v>
      </c>
    </row>
    <row r="87" spans="1:18" s="154" customFormat="1" ht="12.6" customHeight="1" x14ac:dyDescent="0.2">
      <c r="A87" s="99" t="s">
        <v>1029</v>
      </c>
      <c r="B87" s="292" t="s">
        <v>3198</v>
      </c>
      <c r="C87" s="25">
        <v>210.74</v>
      </c>
      <c r="D87" s="25">
        <v>6.14</v>
      </c>
      <c r="E87" s="25">
        <v>6.76</v>
      </c>
      <c r="F87" s="25">
        <v>227.25</v>
      </c>
      <c r="G87" s="25">
        <v>6.11</v>
      </c>
      <c r="H87" s="25">
        <v>7.45</v>
      </c>
      <c r="I87" s="25">
        <v>189.58</v>
      </c>
      <c r="J87" s="25">
        <v>6.2</v>
      </c>
      <c r="K87" s="25">
        <v>5.71</v>
      </c>
      <c r="L87" s="25">
        <v>212.15</v>
      </c>
      <c r="M87" s="25">
        <v>173.12</v>
      </c>
      <c r="N87" s="25">
        <v>216.77</v>
      </c>
      <c r="O87" s="25">
        <v>191.52</v>
      </c>
      <c r="P87" s="25">
        <v>185.54</v>
      </c>
      <c r="Q87" s="25">
        <v>168.71</v>
      </c>
      <c r="R87" s="25">
        <v>207.35</v>
      </c>
    </row>
    <row r="88" spans="1:18" s="154" customFormat="1" ht="12.6" customHeight="1" x14ac:dyDescent="0.2">
      <c r="A88" s="99" t="s">
        <v>1029</v>
      </c>
      <c r="B88" s="2253" t="s">
        <v>3199</v>
      </c>
      <c r="C88" s="25">
        <v>211.31</v>
      </c>
      <c r="D88" s="25">
        <v>6.27</v>
      </c>
      <c r="E88" s="25">
        <v>6.66</v>
      </c>
      <c r="F88" s="25">
        <v>228.12</v>
      </c>
      <c r="G88" s="25">
        <v>6.37</v>
      </c>
      <c r="H88" s="25">
        <v>7.24</v>
      </c>
      <c r="I88" s="25">
        <v>189.77</v>
      </c>
      <c r="J88" s="25">
        <v>6.12</v>
      </c>
      <c r="K88" s="25">
        <v>5.78</v>
      </c>
      <c r="L88" s="25">
        <v>212.25</v>
      </c>
      <c r="M88" s="25">
        <v>173.18</v>
      </c>
      <c r="N88" s="25">
        <v>217.79</v>
      </c>
      <c r="O88" s="25">
        <v>191.62</v>
      </c>
      <c r="P88" s="25">
        <v>185.75</v>
      </c>
      <c r="Q88" s="25">
        <v>168.77</v>
      </c>
      <c r="R88" s="25">
        <v>207.47</v>
      </c>
    </row>
    <row r="89" spans="1:18" s="154" customFormat="1" ht="12.6" customHeight="1" x14ac:dyDescent="0.2">
      <c r="A89" s="99" t="s">
        <v>1029</v>
      </c>
      <c r="B89" s="292" t="s">
        <v>3200</v>
      </c>
      <c r="C89" s="25">
        <v>211.51</v>
      </c>
      <c r="D89" s="25">
        <v>6.32</v>
      </c>
      <c r="E89" s="25">
        <v>6.57</v>
      </c>
      <c r="F89" s="25">
        <v>228.39</v>
      </c>
      <c r="G89" s="25">
        <v>6.48</v>
      </c>
      <c r="H89" s="25">
        <v>7.04</v>
      </c>
      <c r="I89" s="25">
        <v>189.86</v>
      </c>
      <c r="J89" s="25">
        <v>6.08</v>
      </c>
      <c r="K89" s="25">
        <v>5.85</v>
      </c>
      <c r="L89" s="25">
        <v>212.31</v>
      </c>
      <c r="M89" s="25">
        <v>173.23</v>
      </c>
      <c r="N89" s="25">
        <v>218.02</v>
      </c>
      <c r="O89" s="25">
        <v>191.69</v>
      </c>
      <c r="P89" s="25">
        <v>185.88</v>
      </c>
      <c r="Q89" s="25">
        <v>168.8</v>
      </c>
      <c r="R89" s="25">
        <v>207.56</v>
      </c>
    </row>
    <row r="90" spans="1:18" s="154" customFormat="1" ht="12.6" customHeight="1" x14ac:dyDescent="0.2">
      <c r="A90" s="99" t="s">
        <v>1029</v>
      </c>
      <c r="B90" s="2253" t="s">
        <v>3201</v>
      </c>
      <c r="C90" s="25">
        <v>208.77</v>
      </c>
      <c r="D90" s="25">
        <v>6.19</v>
      </c>
      <c r="E90" s="25">
        <v>6.46</v>
      </c>
      <c r="F90" s="25">
        <v>223.36</v>
      </c>
      <c r="G90" s="25">
        <v>6.23</v>
      </c>
      <c r="H90" s="25">
        <v>6.81</v>
      </c>
      <c r="I90" s="25">
        <v>190.07</v>
      </c>
      <c r="J90" s="25">
        <v>6.14</v>
      </c>
      <c r="K90" s="25">
        <v>5.94</v>
      </c>
      <c r="L90" s="25">
        <v>212.37</v>
      </c>
      <c r="M90" s="25">
        <v>173.25</v>
      </c>
      <c r="N90" s="25">
        <v>219.1</v>
      </c>
      <c r="O90" s="25">
        <v>191.88</v>
      </c>
      <c r="P90" s="25">
        <v>186.1</v>
      </c>
      <c r="Q90" s="25">
        <v>169.09</v>
      </c>
      <c r="R90" s="25">
        <v>207.71</v>
      </c>
    </row>
    <row r="91" spans="1:18" s="154" customFormat="1" ht="12.6" customHeight="1" x14ac:dyDescent="0.2">
      <c r="A91" s="99" t="s">
        <v>1150</v>
      </c>
      <c r="B91" s="292" t="s">
        <v>3202</v>
      </c>
      <c r="C91" s="25">
        <v>209.17</v>
      </c>
      <c r="D91" s="25">
        <v>6.25</v>
      </c>
      <c r="E91" s="25">
        <v>6.4</v>
      </c>
      <c r="F91" s="25">
        <v>223.43</v>
      </c>
      <c r="G91" s="25">
        <v>6.32</v>
      </c>
      <c r="H91" s="25">
        <v>6.68</v>
      </c>
      <c r="I91" s="25">
        <v>190.88</v>
      </c>
      <c r="J91" s="25">
        <v>6.15</v>
      </c>
      <c r="K91" s="25">
        <v>5.99</v>
      </c>
      <c r="L91" s="25">
        <v>214.5</v>
      </c>
      <c r="M91" s="25">
        <v>173.53</v>
      </c>
      <c r="N91" s="25">
        <v>219.78</v>
      </c>
      <c r="O91" s="25">
        <v>192.38</v>
      </c>
      <c r="P91" s="25">
        <v>186.97</v>
      </c>
      <c r="Q91" s="25">
        <v>169.69</v>
      </c>
      <c r="R91" s="25">
        <v>208.8</v>
      </c>
    </row>
    <row r="92" spans="1:18" s="154" customFormat="1" ht="12.6" customHeight="1" x14ac:dyDescent="0.2">
      <c r="A92" s="99" t="s">
        <v>1150</v>
      </c>
      <c r="B92" s="2253" t="s">
        <v>553</v>
      </c>
      <c r="C92" s="25">
        <v>215.03</v>
      </c>
      <c r="D92" s="25">
        <v>6.17</v>
      </c>
      <c r="E92" s="25">
        <v>6.29</v>
      </c>
      <c r="F92" s="25">
        <v>231.91</v>
      </c>
      <c r="G92" s="25">
        <v>6.06</v>
      </c>
      <c r="H92" s="25">
        <v>6.39</v>
      </c>
      <c r="I92" s="25">
        <v>193.39</v>
      </c>
      <c r="J92" s="25">
        <v>6.35</v>
      </c>
      <c r="K92" s="25">
        <v>6.13</v>
      </c>
      <c r="L92" s="25">
        <v>223.21</v>
      </c>
      <c r="M92" s="25">
        <v>174.06</v>
      </c>
      <c r="N92" s="25">
        <v>222.31</v>
      </c>
      <c r="O92" s="25">
        <v>193.78</v>
      </c>
      <c r="P92" s="25">
        <v>191.19</v>
      </c>
      <c r="Q92" s="25">
        <v>169.9</v>
      </c>
      <c r="R92" s="25">
        <v>208.82</v>
      </c>
    </row>
    <row r="93" spans="1:18" s="154" customFormat="1" ht="12.6" customHeight="1" x14ac:dyDescent="0.2">
      <c r="A93" s="99" t="s">
        <v>1150</v>
      </c>
      <c r="B93" s="292" t="s">
        <v>547</v>
      </c>
      <c r="C93" s="25">
        <v>218.21</v>
      </c>
      <c r="D93" s="25">
        <v>6.24</v>
      </c>
      <c r="E93" s="25">
        <v>6.24</v>
      </c>
      <c r="F93" s="25">
        <v>235.85</v>
      </c>
      <c r="G93" s="25">
        <v>5.92</v>
      </c>
      <c r="H93" s="25">
        <v>6.25</v>
      </c>
      <c r="I93" s="25">
        <v>195.59</v>
      </c>
      <c r="J93" s="25">
        <v>6.73</v>
      </c>
      <c r="K93" s="25">
        <v>6.22</v>
      </c>
      <c r="L93" s="25">
        <v>231.68</v>
      </c>
      <c r="M93" s="25">
        <v>175.28</v>
      </c>
      <c r="N93" s="25">
        <v>223.02</v>
      </c>
      <c r="O93" s="25">
        <v>194.13</v>
      </c>
      <c r="P93" s="25">
        <v>193.62</v>
      </c>
      <c r="Q93" s="25">
        <v>169.97</v>
      </c>
      <c r="R93" s="25">
        <v>209.2</v>
      </c>
    </row>
    <row r="94" spans="1:18" s="154" customFormat="1" ht="12.6" customHeight="1" x14ac:dyDescent="0.2">
      <c r="A94" s="99" t="s">
        <v>1150</v>
      </c>
      <c r="B94" s="2253" t="s">
        <v>554</v>
      </c>
      <c r="C94" s="25">
        <v>219.62</v>
      </c>
      <c r="D94" s="25">
        <v>6.19</v>
      </c>
      <c r="E94" s="25">
        <v>6.21</v>
      </c>
      <c r="F94" s="25">
        <v>237.44</v>
      </c>
      <c r="G94" s="25">
        <v>5.89</v>
      </c>
      <c r="H94" s="25">
        <v>6.15</v>
      </c>
      <c r="I94" s="25">
        <v>196.77</v>
      </c>
      <c r="J94" s="25">
        <v>6.67</v>
      </c>
      <c r="K94" s="25">
        <v>6.3</v>
      </c>
      <c r="L94" s="25">
        <v>231.53</v>
      </c>
      <c r="M94" s="25">
        <v>175.45</v>
      </c>
      <c r="N94" s="25">
        <v>223.94</v>
      </c>
      <c r="O94" s="25">
        <v>194.36</v>
      </c>
      <c r="P94" s="25">
        <v>200.08</v>
      </c>
      <c r="Q94" s="25">
        <v>170.22</v>
      </c>
      <c r="R94" s="25">
        <v>210.86</v>
      </c>
    </row>
    <row r="95" spans="1:18" s="154" customFormat="1" ht="12.6" customHeight="1" x14ac:dyDescent="0.2">
      <c r="A95" s="99" t="s">
        <v>1150</v>
      </c>
      <c r="B95" s="292" t="s">
        <v>555</v>
      </c>
      <c r="C95" s="25">
        <v>219.38</v>
      </c>
      <c r="D95" s="25">
        <v>6.05</v>
      </c>
      <c r="E95" s="25">
        <v>6.2</v>
      </c>
      <c r="F95" s="25">
        <v>236.61</v>
      </c>
      <c r="G95" s="25">
        <v>5.72</v>
      </c>
      <c r="H95" s="25">
        <v>6.09</v>
      </c>
      <c r="I95" s="25">
        <v>197.29</v>
      </c>
      <c r="J95" s="25">
        <v>6.56</v>
      </c>
      <c r="K95" s="25">
        <v>6.36</v>
      </c>
      <c r="L95" s="25">
        <v>231.99</v>
      </c>
      <c r="M95" s="25">
        <v>175.84</v>
      </c>
      <c r="N95" s="25">
        <v>225.03</v>
      </c>
      <c r="O95" s="25">
        <v>194.4</v>
      </c>
      <c r="P95" s="25">
        <v>201.28</v>
      </c>
      <c r="Q95" s="25">
        <v>170.48</v>
      </c>
      <c r="R95" s="25">
        <v>211.01</v>
      </c>
    </row>
    <row r="96" spans="1:18" s="154" customFormat="1" ht="12.6" customHeight="1" x14ac:dyDescent="0.2">
      <c r="A96" s="99" t="s">
        <v>1150</v>
      </c>
      <c r="B96" s="2253" t="s">
        <v>548</v>
      </c>
      <c r="C96" s="25">
        <v>220.45</v>
      </c>
      <c r="D96" s="25">
        <v>6.1</v>
      </c>
      <c r="E96" s="25">
        <v>6.19</v>
      </c>
      <c r="F96" s="25">
        <v>236.57</v>
      </c>
      <c r="G96" s="25">
        <v>5.48</v>
      </c>
      <c r="H96" s="25">
        <v>6.06</v>
      </c>
      <c r="I96" s="25">
        <v>199.78</v>
      </c>
      <c r="J96" s="25">
        <v>7.05</v>
      </c>
      <c r="K96" s="25">
        <v>6.41</v>
      </c>
      <c r="L96" s="25">
        <v>235.93</v>
      </c>
      <c r="M96" s="25">
        <v>177.8</v>
      </c>
      <c r="N96" s="25">
        <v>229.04</v>
      </c>
      <c r="O96" s="25">
        <v>197.29</v>
      </c>
      <c r="P96" s="25">
        <v>205.19</v>
      </c>
      <c r="Q96" s="25">
        <v>170.63</v>
      </c>
      <c r="R96" s="25">
        <v>211.16</v>
      </c>
    </row>
    <row r="97" spans="1:18" s="154" customFormat="1" ht="12.6" customHeight="1" x14ac:dyDescent="0.2">
      <c r="A97" s="99" t="s">
        <v>1150</v>
      </c>
      <c r="B97" s="292" t="s">
        <v>556</v>
      </c>
      <c r="C97" s="25">
        <v>222.87</v>
      </c>
      <c r="D97" s="25">
        <v>6.07</v>
      </c>
      <c r="E97" s="25">
        <v>6.2</v>
      </c>
      <c r="F97" s="25">
        <v>236.42</v>
      </c>
      <c r="G97" s="25">
        <v>4.33</v>
      </c>
      <c r="H97" s="25">
        <v>5.91</v>
      </c>
      <c r="I97" s="25">
        <v>205.5</v>
      </c>
      <c r="J97" s="25">
        <v>8.74</v>
      </c>
      <c r="K97" s="25">
        <v>6.65</v>
      </c>
      <c r="L97" s="25">
        <v>237.18</v>
      </c>
      <c r="M97" s="25">
        <v>190.58</v>
      </c>
      <c r="N97" s="25">
        <v>230.67</v>
      </c>
      <c r="O97" s="25">
        <v>205.18</v>
      </c>
      <c r="P97" s="25">
        <v>206.22</v>
      </c>
      <c r="Q97" s="25">
        <v>171.73</v>
      </c>
      <c r="R97" s="25">
        <v>212.79</v>
      </c>
    </row>
    <row r="98" spans="1:18" s="154" customFormat="1" ht="12.6" customHeight="1" x14ac:dyDescent="0.2">
      <c r="A98" s="99" t="s">
        <v>1150</v>
      </c>
      <c r="B98" s="2253" t="s">
        <v>557</v>
      </c>
      <c r="C98" s="25">
        <v>222.58</v>
      </c>
      <c r="D98" s="25">
        <v>5.62</v>
      </c>
      <c r="E98" s="25">
        <v>6.15</v>
      </c>
      <c r="F98" s="25">
        <v>235.81</v>
      </c>
      <c r="G98" s="25">
        <v>3.77</v>
      </c>
      <c r="H98" s="25">
        <v>5.7</v>
      </c>
      <c r="I98" s="25">
        <v>205.61</v>
      </c>
      <c r="J98" s="25">
        <v>8.4600000000000009</v>
      </c>
      <c r="K98" s="25">
        <v>6.84</v>
      </c>
      <c r="L98" s="25">
        <v>237.23</v>
      </c>
      <c r="M98" s="25">
        <v>190.59</v>
      </c>
      <c r="N98" s="25">
        <v>230.81</v>
      </c>
      <c r="O98" s="25">
        <v>205.46</v>
      </c>
      <c r="P98" s="25">
        <v>206.31</v>
      </c>
      <c r="Q98" s="25">
        <v>171.78</v>
      </c>
      <c r="R98" s="25">
        <v>213.34</v>
      </c>
    </row>
    <row r="99" spans="1:18" s="154" customFormat="1" ht="12.6" customHeight="1" x14ac:dyDescent="0.2">
      <c r="A99" s="99" t="s">
        <v>1150</v>
      </c>
      <c r="B99" s="292" t="s">
        <v>549</v>
      </c>
      <c r="C99" s="25">
        <v>223.25</v>
      </c>
      <c r="D99" s="25">
        <v>5.65</v>
      </c>
      <c r="E99" s="25">
        <v>6.1</v>
      </c>
      <c r="F99" s="25">
        <v>236.99</v>
      </c>
      <c r="G99" s="25">
        <v>3.89</v>
      </c>
      <c r="H99" s="25">
        <v>5.5</v>
      </c>
      <c r="I99" s="25">
        <v>205.64</v>
      </c>
      <c r="J99" s="25">
        <v>8.36</v>
      </c>
      <c r="K99" s="25">
        <v>7.03</v>
      </c>
      <c r="L99" s="25">
        <v>237.25</v>
      </c>
      <c r="M99" s="25">
        <v>190.6</v>
      </c>
      <c r="N99" s="25">
        <v>230.86</v>
      </c>
      <c r="O99" s="25">
        <v>205.48</v>
      </c>
      <c r="P99" s="25">
        <v>206.34</v>
      </c>
      <c r="Q99" s="25">
        <v>171.81</v>
      </c>
      <c r="R99" s="25">
        <v>213.4</v>
      </c>
    </row>
    <row r="100" spans="1:18" s="154" customFormat="1" ht="12.6" customHeight="1" x14ac:dyDescent="0.2">
      <c r="A100" s="99" t="s">
        <v>1150</v>
      </c>
      <c r="B100" s="2253" t="s">
        <v>558</v>
      </c>
      <c r="C100" s="25">
        <v>223.37</v>
      </c>
      <c r="D100" s="25">
        <v>5.61</v>
      </c>
      <c r="E100" s="25">
        <v>6.04</v>
      </c>
      <c r="F100" s="25">
        <v>237.15</v>
      </c>
      <c r="G100" s="25">
        <v>3.84</v>
      </c>
      <c r="H100" s="25">
        <v>5.27</v>
      </c>
      <c r="I100" s="25">
        <v>205.7</v>
      </c>
      <c r="J100" s="25">
        <v>8.34</v>
      </c>
      <c r="K100" s="25">
        <v>7.21</v>
      </c>
      <c r="L100" s="25">
        <v>237.41</v>
      </c>
      <c r="M100" s="25">
        <v>190.61</v>
      </c>
      <c r="N100" s="25">
        <v>230.92</v>
      </c>
      <c r="O100" s="25">
        <v>205.5</v>
      </c>
      <c r="P100" s="25">
        <v>206.44</v>
      </c>
      <c r="Q100" s="25">
        <v>171.87</v>
      </c>
      <c r="R100" s="25">
        <v>213.44</v>
      </c>
    </row>
    <row r="101" spans="1:18" s="154" customFormat="1" ht="12.6" customHeight="1" x14ac:dyDescent="0.2">
      <c r="A101" s="99" t="s">
        <v>1150</v>
      </c>
      <c r="B101" s="292" t="s">
        <v>559</v>
      </c>
      <c r="C101" s="25">
        <v>220.15</v>
      </c>
      <c r="D101" s="25">
        <v>5.45</v>
      </c>
      <c r="E101" s="25">
        <v>5.98</v>
      </c>
      <c r="F101" s="25">
        <v>231.86</v>
      </c>
      <c r="G101" s="25">
        <v>3.81</v>
      </c>
      <c r="H101" s="25">
        <v>5.08</v>
      </c>
      <c r="I101" s="25">
        <v>205.13</v>
      </c>
      <c r="J101" s="25">
        <v>7.92</v>
      </c>
      <c r="K101" s="25">
        <v>7.36</v>
      </c>
      <c r="L101" s="25">
        <v>237.44</v>
      </c>
      <c r="M101" s="25">
        <v>189.19</v>
      </c>
      <c r="N101" s="25">
        <v>230.92</v>
      </c>
      <c r="O101" s="25">
        <v>205.52</v>
      </c>
      <c r="P101" s="25">
        <v>205.8</v>
      </c>
      <c r="Q101" s="25">
        <v>171.93</v>
      </c>
      <c r="R101" s="25">
        <v>213.26</v>
      </c>
    </row>
    <row r="102" spans="1:18" s="154" customFormat="1" ht="12.6" customHeight="1" x14ac:dyDescent="0.2">
      <c r="A102" s="99" t="s">
        <v>1150</v>
      </c>
      <c r="B102" s="2253" t="s">
        <v>550</v>
      </c>
      <c r="C102" s="25">
        <v>220.74</v>
      </c>
      <c r="D102" s="25">
        <v>5.53</v>
      </c>
      <c r="E102" s="25">
        <v>5.92</v>
      </c>
      <c r="F102" s="25">
        <v>232.87</v>
      </c>
      <c r="G102" s="25">
        <v>4.2300000000000004</v>
      </c>
      <c r="H102" s="25">
        <v>4.91</v>
      </c>
      <c r="I102" s="25">
        <v>205.19</v>
      </c>
      <c r="J102" s="25">
        <v>7.5</v>
      </c>
      <c r="K102" s="25">
        <v>7.47</v>
      </c>
      <c r="L102" s="25">
        <v>237.96</v>
      </c>
      <c r="M102" s="25">
        <v>189.26</v>
      </c>
      <c r="N102" s="25">
        <v>231.02</v>
      </c>
      <c r="O102" s="25">
        <v>205.64</v>
      </c>
      <c r="P102" s="25">
        <v>205.88</v>
      </c>
      <c r="Q102" s="25">
        <v>171.95</v>
      </c>
      <c r="R102" s="25">
        <v>212.44</v>
      </c>
    </row>
    <row r="103" spans="1:18" s="154" customFormat="1" ht="12.6" customHeight="1" x14ac:dyDescent="0.2">
      <c r="A103" s="99" t="s">
        <v>1174</v>
      </c>
      <c r="B103" s="292" t="s">
        <v>552</v>
      </c>
      <c r="C103" s="25">
        <v>224.13</v>
      </c>
      <c r="D103" s="25">
        <v>5.4</v>
      </c>
      <c r="E103" s="25">
        <v>5.84</v>
      </c>
      <c r="F103" s="25">
        <v>237.69</v>
      </c>
      <c r="G103" s="25">
        <v>4.3499999999999996</v>
      </c>
      <c r="H103" s="25">
        <v>4.7699999999999996</v>
      </c>
      <c r="I103" s="25">
        <v>206.75</v>
      </c>
      <c r="J103" s="25">
        <v>6.98</v>
      </c>
      <c r="K103" s="25">
        <v>7.48</v>
      </c>
      <c r="L103" s="25">
        <v>241.4</v>
      </c>
      <c r="M103" s="25">
        <v>190.22</v>
      </c>
      <c r="N103" s="25">
        <v>232.95</v>
      </c>
      <c r="O103" s="25">
        <v>205.91</v>
      </c>
      <c r="P103" s="25">
        <v>207.41</v>
      </c>
      <c r="Q103" s="25">
        <v>172.56</v>
      </c>
      <c r="R103" s="25">
        <v>214.73</v>
      </c>
    </row>
    <row r="104" spans="1:18" s="154" customFormat="1" ht="12.6" customHeight="1" x14ac:dyDescent="0.2">
      <c r="A104" s="99" t="s">
        <v>1174</v>
      </c>
      <c r="B104" s="135" t="s">
        <v>553</v>
      </c>
      <c r="C104" s="25">
        <v>226.57</v>
      </c>
      <c r="D104" s="25">
        <v>5.37</v>
      </c>
      <c r="E104" s="25">
        <v>5.77</v>
      </c>
      <c r="F104" s="25">
        <v>241.89</v>
      </c>
      <c r="G104" s="25">
        <v>4.3</v>
      </c>
      <c r="H104" s="25">
        <v>4.62</v>
      </c>
      <c r="I104" s="25">
        <v>206.93</v>
      </c>
      <c r="J104" s="25">
        <v>7</v>
      </c>
      <c r="K104" s="25">
        <v>7.53</v>
      </c>
      <c r="L104" s="25">
        <v>241.59</v>
      </c>
      <c r="M104" s="25">
        <v>190.26</v>
      </c>
      <c r="N104" s="25">
        <v>233.62</v>
      </c>
      <c r="O104" s="25">
        <v>206.08</v>
      </c>
      <c r="P104" s="25">
        <v>207.56</v>
      </c>
      <c r="Q104" s="25">
        <v>172.68</v>
      </c>
      <c r="R104" s="25">
        <v>214.95</v>
      </c>
    </row>
    <row r="105" spans="1:18" s="154" customFormat="1" ht="12.6" customHeight="1" x14ac:dyDescent="0.2">
      <c r="A105" s="99" t="s">
        <v>1174</v>
      </c>
      <c r="B105" s="292" t="s">
        <v>547</v>
      </c>
      <c r="C105" s="25">
        <v>230.27</v>
      </c>
      <c r="D105" s="25">
        <v>5.53</v>
      </c>
      <c r="E105" s="25">
        <v>5.71</v>
      </c>
      <c r="F105" s="25">
        <v>247.88</v>
      </c>
      <c r="G105" s="25">
        <v>5.0999999999999996</v>
      </c>
      <c r="H105" s="25">
        <v>4.5599999999999996</v>
      </c>
      <c r="I105" s="25">
        <v>207.69</v>
      </c>
      <c r="J105" s="25">
        <v>6.19</v>
      </c>
      <c r="K105" s="25">
        <v>7.48</v>
      </c>
      <c r="L105" s="25">
        <v>242.85</v>
      </c>
      <c r="M105" s="25">
        <v>190.62</v>
      </c>
      <c r="N105" s="25">
        <v>234.01</v>
      </c>
      <c r="O105" s="25">
        <v>206.32</v>
      </c>
      <c r="P105" s="25">
        <v>209.32</v>
      </c>
      <c r="Q105" s="25">
        <v>172.72</v>
      </c>
      <c r="R105" s="25">
        <v>216.62</v>
      </c>
    </row>
    <row r="106" spans="1:18" s="154" customFormat="1" ht="12.6" customHeight="1" x14ac:dyDescent="0.2">
      <c r="A106" s="99" t="s">
        <v>1174</v>
      </c>
      <c r="B106" s="135" t="s">
        <v>554</v>
      </c>
      <c r="C106" s="25">
        <v>231.85</v>
      </c>
      <c r="D106" s="25">
        <v>5.57</v>
      </c>
      <c r="E106" s="25">
        <v>5.66</v>
      </c>
      <c r="F106" s="25">
        <v>250.64</v>
      </c>
      <c r="G106" s="25">
        <v>5.56</v>
      </c>
      <c r="H106" s="25">
        <v>4.54</v>
      </c>
      <c r="I106" s="25">
        <v>207.75</v>
      </c>
      <c r="J106" s="25">
        <v>5.58</v>
      </c>
      <c r="K106" s="25">
        <v>7.38</v>
      </c>
      <c r="L106" s="25">
        <v>242.88</v>
      </c>
      <c r="M106" s="25">
        <v>190.65</v>
      </c>
      <c r="N106" s="25">
        <v>234.23</v>
      </c>
      <c r="O106" s="25">
        <v>206.38</v>
      </c>
      <c r="P106" s="25">
        <v>209.42</v>
      </c>
      <c r="Q106" s="25">
        <v>172.76</v>
      </c>
      <c r="R106" s="25">
        <v>216.65</v>
      </c>
    </row>
    <row r="107" spans="1:18" s="154" customFormat="1" ht="12.6" customHeight="1" x14ac:dyDescent="0.2">
      <c r="A107" s="99" t="s">
        <v>1174</v>
      </c>
      <c r="B107" s="292" t="s">
        <v>555</v>
      </c>
      <c r="C107" s="25">
        <v>231.18</v>
      </c>
      <c r="D107" s="25">
        <v>5.38</v>
      </c>
      <c r="E107" s="25">
        <v>5.6</v>
      </c>
      <c r="F107" s="25">
        <v>249.41</v>
      </c>
      <c r="G107" s="25">
        <v>5.41</v>
      </c>
      <c r="H107" s="25">
        <v>4.5199999999999996</v>
      </c>
      <c r="I107" s="25">
        <v>207.81</v>
      </c>
      <c r="J107" s="25">
        <v>5.33</v>
      </c>
      <c r="K107" s="25">
        <v>7.27</v>
      </c>
      <c r="L107" s="25">
        <v>242.94</v>
      </c>
      <c r="M107" s="25">
        <v>190.68</v>
      </c>
      <c r="N107" s="25">
        <v>234.31</v>
      </c>
      <c r="O107" s="25">
        <v>206.42</v>
      </c>
      <c r="P107" s="25">
        <v>209.51</v>
      </c>
      <c r="Q107" s="25">
        <v>172.8</v>
      </c>
      <c r="R107" s="25">
        <v>216.74</v>
      </c>
    </row>
    <row r="108" spans="1:18" s="154" customFormat="1" ht="12.6" customHeight="1" x14ac:dyDescent="0.2">
      <c r="A108" s="99" t="s">
        <v>1174</v>
      </c>
      <c r="B108" s="135" t="s">
        <v>548</v>
      </c>
      <c r="C108" s="25">
        <v>231.53</v>
      </c>
      <c r="D108" s="25">
        <v>5.03</v>
      </c>
      <c r="E108" s="25">
        <v>5.51</v>
      </c>
      <c r="F108" s="25">
        <v>249.29</v>
      </c>
      <c r="G108" s="25">
        <v>5.38</v>
      </c>
      <c r="H108" s="25">
        <v>4.51</v>
      </c>
      <c r="I108" s="25">
        <v>208.76</v>
      </c>
      <c r="J108" s="25">
        <v>4.49</v>
      </c>
      <c r="K108" s="25">
        <v>7.05</v>
      </c>
      <c r="L108" s="25">
        <v>243.49</v>
      </c>
      <c r="M108" s="25">
        <v>190.87</v>
      </c>
      <c r="N108" s="25">
        <v>236.54</v>
      </c>
      <c r="O108" s="25">
        <v>206.83</v>
      </c>
      <c r="P108" s="25">
        <v>211.61</v>
      </c>
      <c r="Q108" s="25">
        <v>172.91</v>
      </c>
      <c r="R108" s="25">
        <v>219.53</v>
      </c>
    </row>
    <row r="109" spans="1:18" s="154" customFormat="1" ht="12.6" customHeight="1" x14ac:dyDescent="0.2">
      <c r="A109" s="99" t="s">
        <v>1174</v>
      </c>
      <c r="B109" s="292" t="s">
        <v>556</v>
      </c>
      <c r="C109" s="25">
        <v>234.34</v>
      </c>
      <c r="D109" s="25">
        <v>5.15</v>
      </c>
      <c r="E109" s="25">
        <v>5.44</v>
      </c>
      <c r="F109" s="25">
        <v>251.86</v>
      </c>
      <c r="G109" s="25">
        <v>6.53</v>
      </c>
      <c r="H109" s="25">
        <v>4.7</v>
      </c>
      <c r="I109" s="25">
        <v>211.88</v>
      </c>
      <c r="J109" s="25">
        <v>3.1</v>
      </c>
      <c r="K109" s="25">
        <v>6.57</v>
      </c>
      <c r="L109" s="25">
        <v>243.72</v>
      </c>
      <c r="M109" s="25">
        <v>196.92</v>
      </c>
      <c r="N109" s="25">
        <v>237.24</v>
      </c>
      <c r="O109" s="25">
        <v>206.9</v>
      </c>
      <c r="P109" s="25">
        <v>212.14</v>
      </c>
      <c r="Q109" s="25">
        <v>182.2</v>
      </c>
      <c r="R109" s="25">
        <v>219.22</v>
      </c>
    </row>
    <row r="110" spans="1:18" s="154" customFormat="1" ht="12.6" customHeight="1" x14ac:dyDescent="0.2">
      <c r="A110" s="99" t="s">
        <v>1174</v>
      </c>
      <c r="B110" s="135" t="s">
        <v>557</v>
      </c>
      <c r="C110" s="25">
        <v>234.4</v>
      </c>
      <c r="D110" s="25">
        <v>5.31</v>
      </c>
      <c r="E110" s="25">
        <v>5.41</v>
      </c>
      <c r="F110" s="25">
        <v>251.93</v>
      </c>
      <c r="G110" s="25">
        <v>6.84</v>
      </c>
      <c r="H110" s="25">
        <v>4.95</v>
      </c>
      <c r="I110" s="25">
        <v>211.92</v>
      </c>
      <c r="J110" s="25">
        <v>3.07</v>
      </c>
      <c r="K110" s="25">
        <v>6.11</v>
      </c>
      <c r="L110" s="25">
        <v>243.73</v>
      </c>
      <c r="M110" s="25">
        <v>196.93</v>
      </c>
      <c r="N110" s="25">
        <v>237.29</v>
      </c>
      <c r="O110" s="25">
        <v>207</v>
      </c>
      <c r="P110" s="25">
        <v>212.19</v>
      </c>
      <c r="Q110" s="25">
        <v>182.29</v>
      </c>
      <c r="R110" s="25">
        <v>219.25</v>
      </c>
    </row>
    <row r="111" spans="1:18" s="154" customFormat="1" ht="12.6" customHeight="1" x14ac:dyDescent="0.2">
      <c r="A111" s="99" t="s">
        <v>1174</v>
      </c>
      <c r="B111" s="292" t="s">
        <v>549</v>
      </c>
      <c r="C111" s="25">
        <v>235.29</v>
      </c>
      <c r="D111" s="25">
        <v>5.39</v>
      </c>
      <c r="E111" s="25">
        <v>5.39</v>
      </c>
      <c r="F111" s="25">
        <v>253.32</v>
      </c>
      <c r="G111" s="25">
        <v>6.89</v>
      </c>
      <c r="H111" s="25">
        <v>5.2</v>
      </c>
      <c r="I111" s="25">
        <v>212.18</v>
      </c>
      <c r="J111" s="25">
        <v>3.18</v>
      </c>
      <c r="K111" s="25">
        <v>5.67</v>
      </c>
      <c r="L111" s="25">
        <v>243.87</v>
      </c>
      <c r="M111" s="25">
        <v>197.51</v>
      </c>
      <c r="N111" s="25">
        <v>237.41</v>
      </c>
      <c r="O111" s="25">
        <v>207.03</v>
      </c>
      <c r="P111" s="25">
        <v>212.27</v>
      </c>
      <c r="Q111" s="25">
        <v>182.4</v>
      </c>
      <c r="R111" s="25">
        <v>219.31</v>
      </c>
    </row>
    <row r="112" spans="1:18" s="154" customFormat="1" ht="12.6" customHeight="1" x14ac:dyDescent="0.2">
      <c r="A112" s="99" t="s">
        <v>1174</v>
      </c>
      <c r="B112" s="135" t="s">
        <v>558</v>
      </c>
      <c r="C112" s="25">
        <v>235.58</v>
      </c>
      <c r="D112" s="25">
        <v>5.47</v>
      </c>
      <c r="E112" s="25">
        <v>5.38</v>
      </c>
      <c r="F112" s="25">
        <v>253.6</v>
      </c>
      <c r="G112" s="25">
        <v>6.94</v>
      </c>
      <c r="H112" s="25">
        <v>5.46</v>
      </c>
      <c r="I112" s="25">
        <v>212.48</v>
      </c>
      <c r="J112" s="25">
        <v>3.3</v>
      </c>
      <c r="K112" s="25">
        <v>5.25</v>
      </c>
      <c r="L112" s="25">
        <v>245.09</v>
      </c>
      <c r="M112" s="25">
        <v>197.55</v>
      </c>
      <c r="N112" s="25">
        <v>237.81</v>
      </c>
      <c r="O112" s="25">
        <v>207.13</v>
      </c>
      <c r="P112" s="25">
        <v>212.51</v>
      </c>
      <c r="Q112" s="25">
        <v>182.42</v>
      </c>
      <c r="R112" s="25">
        <v>219.4</v>
      </c>
    </row>
    <row r="113" spans="1:18" s="154" customFormat="1" ht="12.6" customHeight="1" x14ac:dyDescent="0.2">
      <c r="A113" s="99" t="s">
        <v>1174</v>
      </c>
      <c r="B113" s="292" t="s">
        <v>559</v>
      </c>
      <c r="C113" s="25">
        <v>232.83</v>
      </c>
      <c r="D113" s="25">
        <v>5.76</v>
      </c>
      <c r="E113" s="25">
        <v>5.41</v>
      </c>
      <c r="F113" s="25">
        <v>248.94</v>
      </c>
      <c r="G113" s="25">
        <v>7.37</v>
      </c>
      <c r="H113" s="25">
        <v>5.75</v>
      </c>
      <c r="I113" s="25">
        <v>212.18</v>
      </c>
      <c r="J113" s="25">
        <v>3.44</v>
      </c>
      <c r="K113" s="25">
        <v>4.8899999999999997</v>
      </c>
      <c r="L113" s="25">
        <v>244.93</v>
      </c>
      <c r="M113" s="25">
        <v>197.61</v>
      </c>
      <c r="N113" s="25">
        <v>237.09</v>
      </c>
      <c r="O113" s="25">
        <v>207.14</v>
      </c>
      <c r="P113" s="25">
        <v>212.58</v>
      </c>
      <c r="Q113" s="25">
        <v>182.45</v>
      </c>
      <c r="R113" s="25">
        <v>216.84</v>
      </c>
    </row>
    <row r="114" spans="1:18" s="154" customFormat="1" ht="12.6" customHeight="1" x14ac:dyDescent="0.2">
      <c r="A114" s="99" t="s">
        <v>1174</v>
      </c>
      <c r="B114" s="135" t="s">
        <v>550</v>
      </c>
      <c r="C114" s="25">
        <v>233.86</v>
      </c>
      <c r="D114" s="25">
        <v>5.94</v>
      </c>
      <c r="E114" s="25">
        <v>5.44</v>
      </c>
      <c r="F114" s="25">
        <v>250.35</v>
      </c>
      <c r="G114" s="25">
        <v>7.51</v>
      </c>
      <c r="H114" s="25">
        <v>6.02</v>
      </c>
      <c r="I114" s="25">
        <v>212.72</v>
      </c>
      <c r="J114" s="25">
        <v>3.67</v>
      </c>
      <c r="K114" s="25">
        <v>4.57</v>
      </c>
      <c r="L114" s="25">
        <v>246.27</v>
      </c>
      <c r="M114" s="25">
        <v>198.27</v>
      </c>
      <c r="N114" s="25">
        <v>237.67</v>
      </c>
      <c r="O114" s="25">
        <v>207.24</v>
      </c>
      <c r="P114" s="25">
        <v>212.8</v>
      </c>
      <c r="Q114" s="25">
        <v>182.47</v>
      </c>
      <c r="R114" s="25">
        <v>216.88</v>
      </c>
    </row>
    <row r="115" spans="1:18" s="154" customFormat="1" ht="12.6" customHeight="1" x14ac:dyDescent="0.2">
      <c r="A115" s="99" t="s">
        <v>1296</v>
      </c>
      <c r="B115" s="135" t="s">
        <v>552</v>
      </c>
      <c r="C115" s="25">
        <v>236.61</v>
      </c>
      <c r="D115" s="25">
        <v>5.57</v>
      </c>
      <c r="E115" s="25">
        <v>5.45</v>
      </c>
      <c r="F115" s="25">
        <v>254.2</v>
      </c>
      <c r="G115" s="25">
        <v>6.95</v>
      </c>
      <c r="H115" s="25">
        <v>6.23</v>
      </c>
      <c r="I115" s="25">
        <v>214.05</v>
      </c>
      <c r="J115" s="25">
        <v>3.53</v>
      </c>
      <c r="K115" s="25">
        <v>4.29</v>
      </c>
      <c r="L115" s="25">
        <v>246.77</v>
      </c>
      <c r="M115" s="25">
        <v>199.5</v>
      </c>
      <c r="N115" s="25">
        <v>241.75</v>
      </c>
      <c r="O115" s="25">
        <v>207.58</v>
      </c>
      <c r="P115" s="25">
        <v>215.24</v>
      </c>
      <c r="Q115" s="25">
        <v>182.62</v>
      </c>
      <c r="R115" s="25">
        <v>217.15</v>
      </c>
    </row>
    <row r="116" spans="1:18" s="154" customFormat="1" ht="12.6" customHeight="1" x14ac:dyDescent="0.2">
      <c r="A116" s="99" t="s">
        <v>1296</v>
      </c>
      <c r="B116" s="292" t="s">
        <v>553</v>
      </c>
      <c r="C116" s="25">
        <v>239.92</v>
      </c>
      <c r="D116" s="25">
        <v>5.89</v>
      </c>
      <c r="E116" s="25">
        <v>5.5</v>
      </c>
      <c r="F116" s="25">
        <v>259.60000000000002</v>
      </c>
      <c r="G116" s="25">
        <v>7.32</v>
      </c>
      <c r="H116" s="25">
        <v>6.48</v>
      </c>
      <c r="I116" s="25">
        <v>214.68</v>
      </c>
      <c r="J116" s="25">
        <v>3.75</v>
      </c>
      <c r="K116" s="25">
        <v>4.03</v>
      </c>
      <c r="L116" s="25">
        <v>247.67</v>
      </c>
      <c r="M116" s="25">
        <v>199.1</v>
      </c>
      <c r="N116" s="25">
        <v>244</v>
      </c>
      <c r="O116" s="25">
        <v>207.67</v>
      </c>
      <c r="P116" s="25">
        <v>216.38</v>
      </c>
      <c r="Q116" s="25">
        <v>182.81</v>
      </c>
      <c r="R116" s="25">
        <v>219.51</v>
      </c>
    </row>
    <row r="117" spans="1:18" s="154" customFormat="1" ht="12.6" customHeight="1" x14ac:dyDescent="0.2">
      <c r="A117" s="99" t="s">
        <v>1296</v>
      </c>
      <c r="B117" s="135" t="s">
        <v>547</v>
      </c>
      <c r="C117" s="25">
        <v>244.36</v>
      </c>
      <c r="D117" s="25">
        <v>6.12</v>
      </c>
      <c r="E117" s="25">
        <v>5.55</v>
      </c>
      <c r="F117" s="25">
        <v>267.38</v>
      </c>
      <c r="G117" s="25">
        <v>7.87</v>
      </c>
      <c r="H117" s="25">
        <v>6.72</v>
      </c>
      <c r="I117" s="25">
        <v>214.84</v>
      </c>
      <c r="J117" s="25">
        <v>3.44</v>
      </c>
      <c r="K117" s="25">
        <v>3.81</v>
      </c>
      <c r="L117" s="25">
        <v>247.78</v>
      </c>
      <c r="M117" s="25">
        <v>199.16</v>
      </c>
      <c r="N117" s="25">
        <v>244.12</v>
      </c>
      <c r="O117" s="25">
        <v>207.84</v>
      </c>
      <c r="P117" s="25">
        <v>216.44</v>
      </c>
      <c r="Q117" s="25">
        <v>182.87</v>
      </c>
      <c r="R117" s="25">
        <v>220.48</v>
      </c>
    </row>
    <row r="118" spans="1:18" s="154" customFormat="1" ht="12.6" customHeight="1" x14ac:dyDescent="0.2">
      <c r="A118" s="99" t="s">
        <v>1296</v>
      </c>
      <c r="B118" s="292" t="s">
        <v>554</v>
      </c>
      <c r="C118" s="25">
        <v>245.86</v>
      </c>
      <c r="D118" s="25">
        <v>6.04</v>
      </c>
      <c r="E118" s="25">
        <v>5.59</v>
      </c>
      <c r="F118" s="25">
        <v>269.73</v>
      </c>
      <c r="G118" s="25">
        <v>7.62</v>
      </c>
      <c r="H118" s="25">
        <v>6.89</v>
      </c>
      <c r="I118" s="25">
        <v>215.26</v>
      </c>
      <c r="J118" s="25">
        <v>3.61</v>
      </c>
      <c r="K118" s="25">
        <v>3.65</v>
      </c>
      <c r="L118" s="25">
        <v>248.03</v>
      </c>
      <c r="M118" s="25">
        <v>199.21</v>
      </c>
      <c r="N118" s="25">
        <v>247.01</v>
      </c>
      <c r="O118" s="25">
        <v>207.92</v>
      </c>
      <c r="P118" s="25">
        <v>216.59</v>
      </c>
      <c r="Q118" s="25">
        <v>182.97</v>
      </c>
      <c r="R118" s="25">
        <v>220.61</v>
      </c>
    </row>
    <row r="119" spans="1:18" s="154" customFormat="1" ht="12.6" customHeight="1" x14ac:dyDescent="0.2">
      <c r="A119" s="99" t="s">
        <v>1296</v>
      </c>
      <c r="B119" s="135" t="s">
        <v>555</v>
      </c>
      <c r="C119" s="25">
        <v>244.85</v>
      </c>
      <c r="D119" s="25">
        <v>5.91</v>
      </c>
      <c r="E119" s="25">
        <v>5.64</v>
      </c>
      <c r="F119" s="25">
        <v>267.10000000000002</v>
      </c>
      <c r="G119" s="25">
        <v>7.09</v>
      </c>
      <c r="H119" s="25">
        <v>7.03</v>
      </c>
      <c r="I119" s="25">
        <v>216.33</v>
      </c>
      <c r="J119" s="25">
        <v>4.0999999999999996</v>
      </c>
      <c r="K119" s="25">
        <v>3.56</v>
      </c>
      <c r="L119" s="25">
        <v>249.62</v>
      </c>
      <c r="M119" s="25">
        <v>199.41</v>
      </c>
      <c r="N119" s="25">
        <v>249.66</v>
      </c>
      <c r="O119" s="25">
        <v>208.32</v>
      </c>
      <c r="P119" s="25">
        <v>217.68</v>
      </c>
      <c r="Q119" s="25">
        <v>183.07</v>
      </c>
      <c r="R119" s="25">
        <v>223.89</v>
      </c>
    </row>
    <row r="120" spans="1:18" s="154" customFormat="1" ht="12.6" customHeight="1" x14ac:dyDescent="0.2">
      <c r="A120" s="99" t="s">
        <v>1296</v>
      </c>
      <c r="B120" s="292" t="s">
        <v>548</v>
      </c>
      <c r="C120" s="25">
        <v>245.03</v>
      </c>
      <c r="D120" s="25">
        <v>5.83</v>
      </c>
      <c r="E120" s="25">
        <v>5.7</v>
      </c>
      <c r="F120" s="25">
        <v>267.06</v>
      </c>
      <c r="G120" s="25">
        <v>7.13</v>
      </c>
      <c r="H120" s="25">
        <v>7.17</v>
      </c>
      <c r="I120" s="25">
        <v>216.79</v>
      </c>
      <c r="J120" s="25">
        <v>3.85</v>
      </c>
      <c r="K120" s="25">
        <v>3.5</v>
      </c>
      <c r="L120" s="25">
        <v>249.92</v>
      </c>
      <c r="M120" s="25">
        <v>199.98</v>
      </c>
      <c r="N120" s="25">
        <v>250.06</v>
      </c>
      <c r="O120" s="25">
        <v>208.83</v>
      </c>
      <c r="P120" s="25">
        <v>217.89</v>
      </c>
      <c r="Q120" s="25">
        <v>183.69</v>
      </c>
      <c r="R120" s="25">
        <v>224.44</v>
      </c>
    </row>
    <row r="121" spans="1:18" s="154" customFormat="1" ht="12.6" customHeight="1" x14ac:dyDescent="0.2">
      <c r="A121" s="99" t="s">
        <v>1296</v>
      </c>
      <c r="B121" s="135" t="s">
        <v>556</v>
      </c>
      <c r="C121" s="25">
        <v>248.13</v>
      </c>
      <c r="D121" s="25">
        <v>5.88</v>
      </c>
      <c r="E121" s="25">
        <v>5.7633200488242498</v>
      </c>
      <c r="F121" s="25">
        <v>271.05</v>
      </c>
      <c r="G121" s="25">
        <v>7.62</v>
      </c>
      <c r="H121" s="25">
        <v>7.2647364759208521</v>
      </c>
      <c r="I121" s="25">
        <v>218.73</v>
      </c>
      <c r="J121" s="25">
        <v>3.23</v>
      </c>
      <c r="K121" s="25">
        <v>3.5141095603741013</v>
      </c>
      <c r="L121" s="25">
        <v>259.67</v>
      </c>
      <c r="M121" s="25">
        <v>200.65</v>
      </c>
      <c r="N121" s="25">
        <v>250.87</v>
      </c>
      <c r="O121" s="25">
        <v>209.09</v>
      </c>
      <c r="P121" s="25">
        <v>218.22</v>
      </c>
      <c r="Q121" s="25">
        <v>184</v>
      </c>
      <c r="R121" s="25">
        <v>224.61</v>
      </c>
    </row>
    <row r="122" spans="1:18" s="154" customFormat="1" ht="12.6" customHeight="1" x14ac:dyDescent="0.2">
      <c r="A122" s="99" t="s">
        <v>1296</v>
      </c>
      <c r="B122" s="292" t="s">
        <v>557</v>
      </c>
      <c r="C122" s="25">
        <v>247.81</v>
      </c>
      <c r="D122" s="25">
        <v>5.72</v>
      </c>
      <c r="E122" s="25">
        <v>5.7965868408144328</v>
      </c>
      <c r="F122" s="25">
        <v>270.25</v>
      </c>
      <c r="G122" s="25">
        <v>7.27</v>
      </c>
      <c r="H122" s="25">
        <v>7.2999801333123449</v>
      </c>
      <c r="I122" s="25">
        <v>219.04</v>
      </c>
      <c r="J122" s="25">
        <v>3.36</v>
      </c>
      <c r="K122" s="25">
        <v>3.5377235413362795</v>
      </c>
      <c r="L122" s="25">
        <v>259.98</v>
      </c>
      <c r="M122" s="25">
        <v>200.69</v>
      </c>
      <c r="N122" s="25">
        <v>251.08</v>
      </c>
      <c r="O122" s="25">
        <v>209.58</v>
      </c>
      <c r="P122" s="25">
        <v>219.29</v>
      </c>
      <c r="Q122" s="25">
        <v>184.21</v>
      </c>
      <c r="R122" s="25">
        <v>224.83</v>
      </c>
    </row>
    <row r="123" spans="1:18" s="154" customFormat="1" ht="12.6" customHeight="1" x14ac:dyDescent="0.2">
      <c r="A123" s="99" t="s">
        <v>1296</v>
      </c>
      <c r="B123" s="135" t="s">
        <v>549</v>
      </c>
      <c r="C123" s="25">
        <v>248.65</v>
      </c>
      <c r="D123" s="25">
        <v>5.68</v>
      </c>
      <c r="E123" s="25">
        <v>5.8192592808566257</v>
      </c>
      <c r="F123" s="25">
        <v>271.27</v>
      </c>
      <c r="G123" s="25">
        <v>7.09</v>
      </c>
      <c r="H123" s="25">
        <v>7.3145558776342989</v>
      </c>
      <c r="I123" s="25">
        <v>219.64</v>
      </c>
      <c r="J123" s="25">
        <v>3.52</v>
      </c>
      <c r="K123" s="25">
        <v>3.5652943319627095</v>
      </c>
      <c r="L123" s="25">
        <v>260.22000000000003</v>
      </c>
      <c r="M123" s="25">
        <v>200.75</v>
      </c>
      <c r="N123" s="25">
        <v>253.21</v>
      </c>
      <c r="O123" s="25">
        <v>210.47</v>
      </c>
      <c r="P123" s="25">
        <v>219.94</v>
      </c>
      <c r="Q123" s="25">
        <v>184.27</v>
      </c>
      <c r="R123" s="25">
        <v>226.55</v>
      </c>
    </row>
    <row r="124" spans="1:18" s="154" customFormat="1" ht="12.6" customHeight="1" x14ac:dyDescent="0.2">
      <c r="A124" s="99" t="s">
        <v>1296</v>
      </c>
      <c r="B124" s="292" t="s">
        <v>558</v>
      </c>
      <c r="C124" s="25">
        <v>248.85</v>
      </c>
      <c r="D124" s="25">
        <v>5.63</v>
      </c>
      <c r="E124" s="25">
        <v>5.8319394201079122</v>
      </c>
      <c r="F124" s="25">
        <v>271.42</v>
      </c>
      <c r="G124" s="25">
        <v>7.03</v>
      </c>
      <c r="H124" s="25">
        <v>7.3202043194320554</v>
      </c>
      <c r="I124" s="25">
        <v>219.9</v>
      </c>
      <c r="J124" s="25">
        <v>3.49</v>
      </c>
      <c r="K124" s="25">
        <v>3.5811968200856859</v>
      </c>
      <c r="L124" s="25">
        <v>260.33</v>
      </c>
      <c r="M124" s="25">
        <v>200.86</v>
      </c>
      <c r="N124" s="25">
        <v>254.08</v>
      </c>
      <c r="O124" s="25">
        <v>210.78</v>
      </c>
      <c r="P124" s="25">
        <v>220.47</v>
      </c>
      <c r="Q124" s="25">
        <v>184.31</v>
      </c>
      <c r="R124" s="25">
        <v>226.72</v>
      </c>
    </row>
    <row r="125" spans="1:18" s="154" customFormat="1" ht="12.6" customHeight="1" x14ac:dyDescent="0.2">
      <c r="A125" s="99" t="s">
        <v>1296</v>
      </c>
      <c r="B125" s="135" t="s">
        <v>559</v>
      </c>
      <c r="C125" s="25">
        <v>245.8</v>
      </c>
      <c r="D125" s="25">
        <v>5.57</v>
      </c>
      <c r="E125" s="25">
        <v>5.82</v>
      </c>
      <c r="F125" s="25">
        <v>265.27</v>
      </c>
      <c r="G125" s="25">
        <v>6.56</v>
      </c>
      <c r="H125" s="25">
        <v>7.25</v>
      </c>
      <c r="I125" s="25">
        <v>220.83</v>
      </c>
      <c r="J125" s="25">
        <v>4.08</v>
      </c>
      <c r="K125" s="25">
        <v>3.63</v>
      </c>
      <c r="L125" s="25">
        <v>261.92</v>
      </c>
      <c r="M125" s="25">
        <v>201.61</v>
      </c>
      <c r="N125" s="25">
        <v>254.88</v>
      </c>
      <c r="O125" s="25">
        <v>211.45</v>
      </c>
      <c r="P125" s="25">
        <v>221.55</v>
      </c>
      <c r="Q125" s="25">
        <v>184.4</v>
      </c>
      <c r="R125" s="25">
        <v>228.29</v>
      </c>
    </row>
    <row r="126" spans="1:18" s="154" customFormat="1" ht="12.6" customHeight="1" x14ac:dyDescent="0.2">
      <c r="A126" s="99" t="s">
        <v>1296</v>
      </c>
      <c r="B126" s="292" t="s">
        <v>550</v>
      </c>
      <c r="C126" s="25">
        <v>246.82</v>
      </c>
      <c r="D126" s="25">
        <v>5.54</v>
      </c>
      <c r="E126" s="25">
        <v>5.78</v>
      </c>
      <c r="F126" s="25">
        <v>265.33</v>
      </c>
      <c r="G126" s="25">
        <v>5.98</v>
      </c>
      <c r="H126" s="25">
        <v>7.13</v>
      </c>
      <c r="I126" s="25">
        <v>223.09</v>
      </c>
      <c r="J126" s="25">
        <v>4.87</v>
      </c>
      <c r="K126" s="25">
        <v>3.74</v>
      </c>
      <c r="L126" s="25">
        <v>270.93</v>
      </c>
      <c r="M126" s="25">
        <v>202.06</v>
      </c>
      <c r="N126" s="25">
        <v>255.39</v>
      </c>
      <c r="O126" s="25">
        <v>211.8</v>
      </c>
      <c r="P126" s="25">
        <v>225.87</v>
      </c>
      <c r="Q126" s="25">
        <v>184.57</v>
      </c>
      <c r="R126" s="25">
        <v>228.6</v>
      </c>
    </row>
    <row r="127" spans="1:18" s="154" customFormat="1" ht="12.6" customHeight="1" x14ac:dyDescent="0.2">
      <c r="A127" s="99" t="s">
        <v>1404</v>
      </c>
      <c r="B127" s="292" t="s">
        <v>552</v>
      </c>
      <c r="C127" s="25">
        <v>249.65</v>
      </c>
      <c r="D127" s="25">
        <v>5.51</v>
      </c>
      <c r="E127" s="25">
        <v>5.78</v>
      </c>
      <c r="F127" s="25">
        <v>269.91000000000003</v>
      </c>
      <c r="G127" s="25">
        <v>6.18</v>
      </c>
      <c r="H127" s="25">
        <v>7.06</v>
      </c>
      <c r="I127" s="25">
        <v>223.66</v>
      </c>
      <c r="J127" s="25">
        <v>4.49</v>
      </c>
      <c r="K127" s="25">
        <v>3.82</v>
      </c>
      <c r="L127" s="25">
        <v>270.94</v>
      </c>
      <c r="M127" s="25">
        <v>202.11</v>
      </c>
      <c r="N127" s="25">
        <v>255.79</v>
      </c>
      <c r="O127" s="25">
        <v>211.96</v>
      </c>
      <c r="P127" s="25">
        <v>226.6</v>
      </c>
      <c r="Q127" s="25">
        <v>184.71</v>
      </c>
      <c r="R127" s="25">
        <v>233.1</v>
      </c>
    </row>
    <row r="128" spans="1:18" s="154" customFormat="1" ht="12.6" customHeight="1" x14ac:dyDescent="0.2">
      <c r="A128" s="99" t="s">
        <v>1404</v>
      </c>
      <c r="B128" s="135" t="s">
        <v>553</v>
      </c>
      <c r="C128" s="25">
        <v>253.07</v>
      </c>
      <c r="D128" s="25">
        <v>5.48</v>
      </c>
      <c r="E128" s="25">
        <v>5.74</v>
      </c>
      <c r="F128" s="25">
        <v>275.08999999999997</v>
      </c>
      <c r="G128" s="25">
        <v>5.97</v>
      </c>
      <c r="H128" s="25">
        <v>6.95</v>
      </c>
      <c r="I128" s="25">
        <v>224.84</v>
      </c>
      <c r="J128" s="25">
        <v>4.7300000000000004</v>
      </c>
      <c r="K128" s="25">
        <v>3.9</v>
      </c>
      <c r="L128" s="25">
        <v>272.39</v>
      </c>
      <c r="M128" s="25">
        <v>202.59</v>
      </c>
      <c r="N128" s="25">
        <v>257.76</v>
      </c>
      <c r="O128" s="25">
        <v>213.34</v>
      </c>
      <c r="P128" s="25">
        <v>229.48</v>
      </c>
      <c r="Q128" s="25">
        <v>184.82</v>
      </c>
      <c r="R128" s="25">
        <v>233.94</v>
      </c>
    </row>
    <row r="129" spans="1:18" s="154" customFormat="1" ht="12.6" customHeight="1" x14ac:dyDescent="0.2">
      <c r="A129" s="99" t="s">
        <v>1404</v>
      </c>
      <c r="B129" s="292" t="s">
        <v>547</v>
      </c>
      <c r="C129" s="25">
        <v>257.62</v>
      </c>
      <c r="D129" s="25">
        <v>5.43</v>
      </c>
      <c r="E129" s="25">
        <v>5.68</v>
      </c>
      <c r="F129" s="25">
        <v>281.86</v>
      </c>
      <c r="G129" s="25">
        <v>5.42</v>
      </c>
      <c r="H129" s="25">
        <v>6.74</v>
      </c>
      <c r="I129" s="25">
        <v>226.54</v>
      </c>
      <c r="J129" s="25">
        <v>5.45</v>
      </c>
      <c r="K129" s="25">
        <v>4.07</v>
      </c>
      <c r="L129" s="25">
        <v>273.56</v>
      </c>
      <c r="M129" s="25">
        <v>203.56</v>
      </c>
      <c r="N129" s="25">
        <v>262.51</v>
      </c>
      <c r="O129" s="25">
        <v>214.29</v>
      </c>
      <c r="P129" s="25">
        <v>232.09</v>
      </c>
      <c r="Q129" s="25">
        <v>185.01</v>
      </c>
      <c r="R129" s="25">
        <v>236.64</v>
      </c>
    </row>
    <row r="130" spans="1:18" s="154" customFormat="1" ht="12.6" customHeight="1" x14ac:dyDescent="0.2">
      <c r="A130" s="99" t="s">
        <v>1404</v>
      </c>
      <c r="B130" s="135" t="s">
        <v>554</v>
      </c>
      <c r="C130" s="25">
        <v>259.13</v>
      </c>
      <c r="D130" s="25">
        <v>5.4</v>
      </c>
      <c r="E130" s="25">
        <v>5.63</v>
      </c>
      <c r="F130" s="25">
        <v>283.44</v>
      </c>
      <c r="G130" s="25">
        <v>5.08</v>
      </c>
      <c r="H130" s="25">
        <v>6.52</v>
      </c>
      <c r="I130" s="25">
        <v>227.96</v>
      </c>
      <c r="J130" s="25">
        <v>5.9</v>
      </c>
      <c r="K130" s="25">
        <v>4.26</v>
      </c>
      <c r="L130" s="25">
        <v>275.01</v>
      </c>
      <c r="M130" s="25">
        <v>204.49</v>
      </c>
      <c r="N130" s="25">
        <v>265.5</v>
      </c>
      <c r="O130" s="25">
        <v>214.82</v>
      </c>
      <c r="P130" s="25">
        <v>234.21</v>
      </c>
      <c r="Q130" s="25">
        <v>185.29</v>
      </c>
      <c r="R130" s="25">
        <v>239.03</v>
      </c>
    </row>
    <row r="131" spans="1:18" s="154" customFormat="1" ht="12.6" customHeight="1" x14ac:dyDescent="0.2">
      <c r="A131" s="99" t="s">
        <v>1404</v>
      </c>
      <c r="B131" s="292" t="s">
        <v>555</v>
      </c>
      <c r="C131" s="25">
        <v>258</v>
      </c>
      <c r="D131" s="25">
        <v>5.37</v>
      </c>
      <c r="E131" s="25">
        <v>5.58</v>
      </c>
      <c r="F131" s="25">
        <v>281.24</v>
      </c>
      <c r="G131" s="25">
        <v>5.29</v>
      </c>
      <c r="H131" s="25">
        <v>6.37</v>
      </c>
      <c r="I131" s="25">
        <v>228.21</v>
      </c>
      <c r="J131" s="25">
        <v>5.49</v>
      </c>
      <c r="K131" s="25">
        <v>4.38</v>
      </c>
      <c r="L131" s="25">
        <v>275.45999999999998</v>
      </c>
      <c r="M131" s="25">
        <v>204.77</v>
      </c>
      <c r="N131" s="25">
        <v>265.68</v>
      </c>
      <c r="O131" s="25">
        <v>214.91</v>
      </c>
      <c r="P131" s="25">
        <v>234.47</v>
      </c>
      <c r="Q131" s="25">
        <v>185.35</v>
      </c>
      <c r="R131" s="25">
        <v>239.18</v>
      </c>
    </row>
    <row r="132" spans="1:18" s="154" customFormat="1" ht="12.6" customHeight="1" x14ac:dyDescent="0.2">
      <c r="A132" s="99" t="s">
        <v>1404</v>
      </c>
      <c r="B132" s="135" t="s">
        <v>548</v>
      </c>
      <c r="C132" s="25">
        <v>258.13</v>
      </c>
      <c r="D132" s="25">
        <v>5.35</v>
      </c>
      <c r="E132" s="25">
        <v>5.55</v>
      </c>
      <c r="F132" s="25">
        <v>281.17</v>
      </c>
      <c r="G132" s="25">
        <v>5.28</v>
      </c>
      <c r="H132" s="25">
        <v>6.2108449889663131</v>
      </c>
      <c r="I132" s="25">
        <v>228.6</v>
      </c>
      <c r="J132" s="25">
        <v>5.45</v>
      </c>
      <c r="K132" s="25">
        <v>4.5113456073534675</v>
      </c>
      <c r="L132" s="25">
        <v>275.85000000000002</v>
      </c>
      <c r="M132" s="25">
        <v>205.26</v>
      </c>
      <c r="N132" s="25">
        <v>265.97000000000003</v>
      </c>
      <c r="O132" s="25">
        <v>215.17</v>
      </c>
      <c r="P132" s="25">
        <v>235.17</v>
      </c>
      <c r="Q132" s="25">
        <v>185.41</v>
      </c>
      <c r="R132" s="25">
        <v>239.33</v>
      </c>
    </row>
    <row r="133" spans="1:18" s="154" customFormat="1" ht="12.6" customHeight="1" x14ac:dyDescent="0.2">
      <c r="A133" s="99" t="s">
        <v>1404</v>
      </c>
      <c r="B133" s="292" t="s">
        <v>556</v>
      </c>
      <c r="C133" s="25">
        <v>261.58</v>
      </c>
      <c r="D133" s="25">
        <v>5.42</v>
      </c>
      <c r="E133" s="25">
        <v>5.51</v>
      </c>
      <c r="F133" s="25">
        <v>285.5</v>
      </c>
      <c r="G133" s="25">
        <v>5.33</v>
      </c>
      <c r="H133" s="25">
        <v>6.02</v>
      </c>
      <c r="I133" s="25">
        <v>230.91</v>
      </c>
      <c r="J133" s="25">
        <v>5.57</v>
      </c>
      <c r="K133" s="25">
        <v>4.71</v>
      </c>
      <c r="L133" s="25">
        <v>277.56</v>
      </c>
      <c r="M133" s="25">
        <v>209.66</v>
      </c>
      <c r="N133" s="25">
        <v>266.24</v>
      </c>
      <c r="O133" s="25">
        <v>216.04</v>
      </c>
      <c r="P133" s="25">
        <v>235.83</v>
      </c>
      <c r="Q133" s="25">
        <v>188.11</v>
      </c>
      <c r="R133" s="25">
        <v>240.53</v>
      </c>
    </row>
    <row r="134" spans="1:18" s="154" customFormat="1" ht="12.6" customHeight="1" x14ac:dyDescent="0.2">
      <c r="A134" s="99" t="s">
        <v>1404</v>
      </c>
      <c r="B134" s="135" t="s">
        <v>557</v>
      </c>
      <c r="C134" s="25">
        <v>261.36</v>
      </c>
      <c r="D134" s="25">
        <v>5.47</v>
      </c>
      <c r="E134" s="25">
        <v>5.49</v>
      </c>
      <c r="F134" s="25">
        <v>284.95999999999998</v>
      </c>
      <c r="G134" s="25">
        <v>5.44</v>
      </c>
      <c r="H134" s="25">
        <v>5.87</v>
      </c>
      <c r="I134" s="25">
        <v>231.1</v>
      </c>
      <c r="J134" s="25">
        <v>5.51</v>
      </c>
      <c r="K134" s="25">
        <v>4.8899999999999997</v>
      </c>
      <c r="L134" s="25">
        <v>277.68</v>
      </c>
      <c r="M134" s="25">
        <v>209.72</v>
      </c>
      <c r="N134" s="25">
        <v>266.35000000000002</v>
      </c>
      <c r="O134" s="25">
        <v>216.08</v>
      </c>
      <c r="P134" s="25">
        <v>236.23</v>
      </c>
      <c r="Q134" s="25">
        <v>188.14</v>
      </c>
      <c r="R134" s="25">
        <v>241.42</v>
      </c>
    </row>
    <row r="135" spans="1:18" s="154" customFormat="1" ht="12.6" customHeight="1" x14ac:dyDescent="0.2">
      <c r="A135" s="99" t="s">
        <v>1404</v>
      </c>
      <c r="B135" s="292" t="s">
        <v>549</v>
      </c>
      <c r="C135" s="25">
        <v>262.45</v>
      </c>
      <c r="D135" s="25">
        <v>5.55</v>
      </c>
      <c r="E135" s="25">
        <v>5.48</v>
      </c>
      <c r="F135" s="25">
        <v>286.77999999999997</v>
      </c>
      <c r="G135" s="25">
        <v>5.72</v>
      </c>
      <c r="H135" s="25">
        <v>5.76</v>
      </c>
      <c r="I135" s="25">
        <v>231.25</v>
      </c>
      <c r="J135" s="25">
        <v>5.29</v>
      </c>
      <c r="K135" s="25">
        <v>5.03</v>
      </c>
      <c r="L135" s="25">
        <v>277.74</v>
      </c>
      <c r="M135" s="25">
        <v>209.77</v>
      </c>
      <c r="N135" s="25">
        <v>266.57</v>
      </c>
      <c r="O135" s="25">
        <v>216.18</v>
      </c>
      <c r="P135" s="25">
        <v>236.9</v>
      </c>
      <c r="Q135" s="25">
        <v>188.16</v>
      </c>
      <c r="R135" s="25">
        <v>241.46</v>
      </c>
    </row>
    <row r="136" spans="1:18" s="154" customFormat="1" ht="12.6" customHeight="1" x14ac:dyDescent="0.2">
      <c r="A136" s="99" t="s">
        <v>1404</v>
      </c>
      <c r="B136" s="135" t="s">
        <v>558</v>
      </c>
      <c r="C136" s="25">
        <v>262.73</v>
      </c>
      <c r="D136" s="25">
        <v>5.58</v>
      </c>
      <c r="E136" s="25">
        <v>5.47</v>
      </c>
      <c r="F136" s="25">
        <v>286.45999999999998</v>
      </c>
      <c r="G136" s="25">
        <v>5.54</v>
      </c>
      <c r="H136" s="25">
        <v>5.64</v>
      </c>
      <c r="I136" s="25">
        <v>232.31</v>
      </c>
      <c r="J136" s="25">
        <v>5.64</v>
      </c>
      <c r="K136" s="25">
        <v>5.21</v>
      </c>
      <c r="L136" s="25">
        <v>281.42</v>
      </c>
      <c r="M136" s="25">
        <v>209.84</v>
      </c>
      <c r="N136" s="25">
        <v>267.58999999999997</v>
      </c>
      <c r="O136" s="25">
        <v>216.39</v>
      </c>
      <c r="P136" s="25">
        <v>238.13</v>
      </c>
      <c r="Q136" s="25">
        <v>188.47</v>
      </c>
      <c r="R136" s="25">
        <v>243.07</v>
      </c>
    </row>
    <row r="137" spans="1:18" s="154" customFormat="1" ht="12.6" customHeight="1" x14ac:dyDescent="0.2">
      <c r="A137" s="99" t="s">
        <v>1404</v>
      </c>
      <c r="B137" s="292" t="s">
        <v>559</v>
      </c>
      <c r="C137" s="25">
        <v>259.63</v>
      </c>
      <c r="D137" s="25">
        <v>5.63</v>
      </c>
      <c r="E137" s="25">
        <v>5.48</v>
      </c>
      <c r="F137" s="25">
        <v>279.83</v>
      </c>
      <c r="G137" s="25">
        <v>5.49</v>
      </c>
      <c r="H137" s="25">
        <v>5.55</v>
      </c>
      <c r="I137" s="25">
        <v>233.72</v>
      </c>
      <c r="J137" s="25">
        <v>5.84</v>
      </c>
      <c r="K137" s="25">
        <v>5.36</v>
      </c>
      <c r="L137" s="25">
        <v>287.06</v>
      </c>
      <c r="M137" s="25">
        <v>210.16</v>
      </c>
      <c r="N137" s="25">
        <v>267.89</v>
      </c>
      <c r="O137" s="25">
        <v>216.51</v>
      </c>
      <c r="P137" s="25">
        <v>240.86</v>
      </c>
      <c r="Q137" s="25">
        <v>188.54</v>
      </c>
      <c r="R137" s="25">
        <v>243.18</v>
      </c>
    </row>
    <row r="138" spans="1:18" s="154" customFormat="1" ht="12.6" customHeight="1" x14ac:dyDescent="0.2">
      <c r="A138" s="99" t="s">
        <v>1404</v>
      </c>
      <c r="B138" s="135" t="s">
        <v>550</v>
      </c>
      <c r="C138" s="25">
        <v>260.44</v>
      </c>
      <c r="D138" s="25">
        <v>5.52</v>
      </c>
      <c r="E138" s="25">
        <v>5.48</v>
      </c>
      <c r="F138" s="25">
        <v>279.64999999999998</v>
      </c>
      <c r="G138" s="25">
        <v>5.4</v>
      </c>
      <c r="H138" s="25">
        <v>5.51</v>
      </c>
      <c r="I138" s="25">
        <v>235.82</v>
      </c>
      <c r="J138" s="25">
        <v>5.71</v>
      </c>
      <c r="K138" s="25">
        <v>5.42</v>
      </c>
      <c r="L138" s="25">
        <v>287.02</v>
      </c>
      <c r="M138" s="25">
        <v>211.79</v>
      </c>
      <c r="N138" s="25">
        <v>275.14</v>
      </c>
      <c r="O138" s="25">
        <v>218.01</v>
      </c>
      <c r="P138" s="25">
        <v>242.76</v>
      </c>
      <c r="Q138" s="25">
        <v>188.7</v>
      </c>
      <c r="R138" s="25">
        <v>247.55</v>
      </c>
    </row>
    <row r="139" spans="1:18" s="154" customFormat="1" ht="12.6" customHeight="1" x14ac:dyDescent="0.2">
      <c r="A139" s="99" t="s">
        <v>1484</v>
      </c>
      <c r="B139" s="135" t="s">
        <v>552</v>
      </c>
      <c r="C139" s="25">
        <v>263.69</v>
      </c>
      <c r="D139" s="25">
        <v>5.62</v>
      </c>
      <c r="E139" s="25">
        <v>5.48</v>
      </c>
      <c r="F139" s="25">
        <v>284.54000000000002</v>
      </c>
      <c r="G139" s="25">
        <v>5.42</v>
      </c>
      <c r="H139" s="25">
        <v>5.45</v>
      </c>
      <c r="I139" s="25">
        <v>236.95</v>
      </c>
      <c r="J139" s="25">
        <v>5.94</v>
      </c>
      <c r="K139" s="25">
        <v>5.54</v>
      </c>
      <c r="L139" s="25">
        <v>287.36</v>
      </c>
      <c r="M139" s="25">
        <v>214.54</v>
      </c>
      <c r="N139" s="25">
        <v>275.52999999999997</v>
      </c>
      <c r="O139" s="25">
        <v>218.09</v>
      </c>
      <c r="P139" s="25">
        <v>243.26</v>
      </c>
      <c r="Q139" s="25">
        <v>188.78</v>
      </c>
      <c r="R139" s="25">
        <v>247.86</v>
      </c>
    </row>
    <row r="140" spans="1:18" s="154" customFormat="1" ht="12.6" customHeight="1" x14ac:dyDescent="0.2">
      <c r="A140" s="99" t="s">
        <v>1484</v>
      </c>
      <c r="B140" s="292" t="s">
        <v>553</v>
      </c>
      <c r="C140" s="25">
        <v>266.95999999999998</v>
      </c>
      <c r="D140" s="25">
        <v>5.49</v>
      </c>
      <c r="E140" s="25">
        <v>5.48</v>
      </c>
      <c r="F140" s="25">
        <v>289.60000000000002</v>
      </c>
      <c r="G140" s="25">
        <v>5.27</v>
      </c>
      <c r="H140" s="25">
        <v>5.39</v>
      </c>
      <c r="I140" s="25">
        <v>237.93</v>
      </c>
      <c r="J140" s="25">
        <v>5.82</v>
      </c>
      <c r="K140" s="25">
        <v>5.63</v>
      </c>
      <c r="L140" s="25">
        <v>287.98</v>
      </c>
      <c r="M140" s="25">
        <v>214.85</v>
      </c>
      <c r="N140" s="25">
        <v>276.33</v>
      </c>
      <c r="O140" s="25">
        <v>222.04</v>
      </c>
      <c r="P140" s="25">
        <v>244.13</v>
      </c>
      <c r="Q140" s="25">
        <v>188.97</v>
      </c>
      <c r="R140" s="25">
        <v>250.59</v>
      </c>
    </row>
    <row r="141" spans="1:18" s="154" customFormat="1" ht="12.6" customHeight="1" x14ac:dyDescent="0.2">
      <c r="A141" s="99" t="s">
        <v>1484</v>
      </c>
      <c r="B141" s="135" t="s">
        <v>547</v>
      </c>
      <c r="C141" s="25">
        <v>271.89999999999998</v>
      </c>
      <c r="D141" s="25">
        <v>5.54</v>
      </c>
      <c r="E141" s="25">
        <v>5.49</v>
      </c>
      <c r="F141" s="25">
        <v>296.81</v>
      </c>
      <c r="G141" s="25">
        <v>5.3</v>
      </c>
      <c r="H141" s="25">
        <v>5.38</v>
      </c>
      <c r="I141" s="25">
        <v>239.96</v>
      </c>
      <c r="J141" s="25">
        <v>5.92</v>
      </c>
      <c r="K141" s="25">
        <v>5.67</v>
      </c>
      <c r="L141" s="25">
        <v>288.8</v>
      </c>
      <c r="M141" s="25">
        <v>215.08</v>
      </c>
      <c r="N141" s="25">
        <v>280.52999999999997</v>
      </c>
      <c r="O141" s="25">
        <v>226.8</v>
      </c>
      <c r="P141" s="25">
        <v>247.26</v>
      </c>
      <c r="Q141" s="25">
        <v>189.24</v>
      </c>
      <c r="R141" s="25">
        <v>256.99</v>
      </c>
    </row>
    <row r="142" spans="1:18" s="154" customFormat="1" ht="12.6" customHeight="1" x14ac:dyDescent="0.2">
      <c r="A142" s="99" t="s">
        <v>1484</v>
      </c>
      <c r="B142" s="292" t="s">
        <v>554</v>
      </c>
      <c r="C142" s="25">
        <v>273.3</v>
      </c>
      <c r="D142" s="25">
        <v>5.47</v>
      </c>
      <c r="E142" s="25">
        <v>5.5004156359229839</v>
      </c>
      <c r="F142" s="25">
        <v>298.99</v>
      </c>
      <c r="G142" s="25">
        <v>5.49</v>
      </c>
      <c r="H142" s="25">
        <v>5.415074945152698</v>
      </c>
      <c r="I142" s="25">
        <v>240.38</v>
      </c>
      <c r="J142" s="25">
        <v>5.45</v>
      </c>
      <c r="K142" s="25">
        <v>5.6368186351063887</v>
      </c>
      <c r="L142" s="25">
        <v>288.89</v>
      </c>
      <c r="M142" s="25">
        <v>215.96</v>
      </c>
      <c r="N142" s="25">
        <v>280.64</v>
      </c>
      <c r="O142" s="25">
        <v>226.96</v>
      </c>
      <c r="P142" s="25">
        <v>247.48</v>
      </c>
      <c r="Q142" s="25">
        <v>189.72</v>
      </c>
      <c r="R142" s="25">
        <v>257.01</v>
      </c>
    </row>
    <row r="143" spans="1:18" s="154" customFormat="1" ht="12.6" customHeight="1" x14ac:dyDescent="0.2">
      <c r="A143" s="99" t="s">
        <v>1484</v>
      </c>
      <c r="B143" s="135" t="s">
        <v>555</v>
      </c>
      <c r="C143" s="25">
        <v>273.60000000000002</v>
      </c>
      <c r="D143" s="25">
        <v>6.05</v>
      </c>
      <c r="E143" s="25">
        <v>5.557808386736518</v>
      </c>
      <c r="F143" s="25">
        <v>299.26</v>
      </c>
      <c r="G143" s="25">
        <v>6.41</v>
      </c>
      <c r="H143" s="25">
        <v>5.5102209159871407</v>
      </c>
      <c r="I143" s="25">
        <v>240.7</v>
      </c>
      <c r="J143" s="25">
        <v>5.47</v>
      </c>
      <c r="K143" s="25">
        <v>5.6345837563641865</v>
      </c>
      <c r="L143" s="25">
        <v>288.95</v>
      </c>
      <c r="M143" s="25">
        <v>216.26</v>
      </c>
      <c r="N143" s="25">
        <v>281.39</v>
      </c>
      <c r="O143" s="25">
        <v>227.23</v>
      </c>
      <c r="P143" s="25">
        <v>247.72</v>
      </c>
      <c r="Q143" s="25">
        <v>189.79</v>
      </c>
      <c r="R143" s="25">
        <v>257.85000000000002</v>
      </c>
    </row>
    <row r="144" spans="1:18" s="154" customFormat="1" ht="12.6" customHeight="1" x14ac:dyDescent="0.2">
      <c r="A144" s="99" t="s">
        <v>1484</v>
      </c>
      <c r="B144" s="292" t="s">
        <v>548</v>
      </c>
      <c r="C144" s="25">
        <v>272.97000000000003</v>
      </c>
      <c r="D144" s="25">
        <v>5.75</v>
      </c>
      <c r="E144" s="25">
        <v>5.5912974987258668</v>
      </c>
      <c r="F144" s="25">
        <v>297.69</v>
      </c>
      <c r="G144" s="25">
        <v>5.88</v>
      </c>
      <c r="H144" s="25">
        <v>5.5598819700057867</v>
      </c>
      <c r="I144" s="25">
        <v>241.28</v>
      </c>
      <c r="J144" s="25">
        <v>5.55</v>
      </c>
      <c r="K144" s="25">
        <v>5.6422134693999482</v>
      </c>
      <c r="L144" s="25">
        <v>289.48</v>
      </c>
      <c r="M144" s="25">
        <v>216.33</v>
      </c>
      <c r="N144" s="25">
        <v>283.57</v>
      </c>
      <c r="O144" s="25">
        <v>227.56</v>
      </c>
      <c r="P144" s="25">
        <v>248.24</v>
      </c>
      <c r="Q144" s="25">
        <v>189.91</v>
      </c>
      <c r="R144" s="25">
        <v>259.31</v>
      </c>
    </row>
    <row r="145" spans="1:18" s="154" customFormat="1" ht="12.6" customHeight="1" x14ac:dyDescent="0.2">
      <c r="A145" s="99" t="s">
        <v>1484</v>
      </c>
      <c r="B145" s="135" t="s">
        <v>556</v>
      </c>
      <c r="C145" s="25">
        <v>276.16000000000003</v>
      </c>
      <c r="D145" s="25">
        <v>5.57</v>
      </c>
      <c r="E145" s="25">
        <v>5.6037507701533151</v>
      </c>
      <c r="F145" s="25">
        <v>300.11</v>
      </c>
      <c r="G145" s="25">
        <v>5.12</v>
      </c>
      <c r="H145" s="25">
        <v>5.5403952449458949</v>
      </c>
      <c r="I145" s="25">
        <v>245.46</v>
      </c>
      <c r="J145" s="25">
        <v>6.3</v>
      </c>
      <c r="K145" s="25">
        <v>5.7046954946124098</v>
      </c>
      <c r="L145" s="25">
        <v>290.95</v>
      </c>
      <c r="M145" s="25">
        <v>224.99</v>
      </c>
      <c r="N145" s="25">
        <v>285.35000000000002</v>
      </c>
      <c r="O145" s="25">
        <v>232.8</v>
      </c>
      <c r="P145" s="25">
        <v>248.96</v>
      </c>
      <c r="Q145" s="25">
        <v>190.66</v>
      </c>
      <c r="R145" s="25">
        <v>262</v>
      </c>
    </row>
    <row r="146" spans="1:18" s="154" customFormat="1" ht="12.6" customHeight="1" x14ac:dyDescent="0.2">
      <c r="A146" s="99" t="s">
        <v>1484</v>
      </c>
      <c r="B146" s="292" t="s">
        <v>557</v>
      </c>
      <c r="C146" s="25">
        <v>275.63</v>
      </c>
      <c r="D146" s="25">
        <v>5.46</v>
      </c>
      <c r="E146" s="25">
        <v>5.6024614092748948</v>
      </c>
      <c r="F146" s="25">
        <v>299.13</v>
      </c>
      <c r="G146" s="25">
        <v>4.97</v>
      </c>
      <c r="H146" s="25">
        <v>5.4995386647208377</v>
      </c>
      <c r="I146" s="25">
        <v>245.49</v>
      </c>
      <c r="J146" s="25">
        <v>6.23</v>
      </c>
      <c r="K146" s="25">
        <v>5.7653921220724103</v>
      </c>
      <c r="L146" s="25">
        <v>291</v>
      </c>
      <c r="M146" s="25">
        <v>225.06</v>
      </c>
      <c r="N146" s="25">
        <v>284.83</v>
      </c>
      <c r="O146" s="25">
        <v>232.88</v>
      </c>
      <c r="P146" s="25">
        <v>249.14</v>
      </c>
      <c r="Q146" s="25">
        <v>190.69</v>
      </c>
      <c r="R146" s="25">
        <v>262.23</v>
      </c>
    </row>
    <row r="147" spans="1:18" s="154" customFormat="1" ht="12.6" customHeight="1" x14ac:dyDescent="0.2">
      <c r="A147" s="99" t="s">
        <v>1484</v>
      </c>
      <c r="B147" s="135" t="s">
        <v>549</v>
      </c>
      <c r="C147" s="25">
        <v>276.83</v>
      </c>
      <c r="D147" s="25">
        <v>5.48</v>
      </c>
      <c r="E147" s="25">
        <v>5.5961547252862065</v>
      </c>
      <c r="F147" s="25">
        <v>300.74</v>
      </c>
      <c r="G147" s="25">
        <v>4.87</v>
      </c>
      <c r="H147" s="25">
        <v>5.4274198147042041</v>
      </c>
      <c r="I147" s="25">
        <v>246.17</v>
      </c>
      <c r="J147" s="25">
        <v>6.45</v>
      </c>
      <c r="K147" s="25">
        <v>5.8625855297785412</v>
      </c>
      <c r="L147" s="25">
        <v>291.44</v>
      </c>
      <c r="M147" s="25">
        <v>225.93</v>
      </c>
      <c r="N147" s="25">
        <v>285.51</v>
      </c>
      <c r="O147" s="25">
        <v>233.28</v>
      </c>
      <c r="P147" s="25">
        <v>249.97</v>
      </c>
      <c r="Q147" s="25">
        <v>190.92</v>
      </c>
      <c r="R147" s="25">
        <v>263.14999999999998</v>
      </c>
    </row>
    <row r="148" spans="1:18" s="154" customFormat="1" ht="12.6" customHeight="1" x14ac:dyDescent="0.2">
      <c r="A148" s="99" t="s">
        <v>1484</v>
      </c>
      <c r="B148" s="292" t="s">
        <v>558</v>
      </c>
      <c r="C148" s="25">
        <v>278.39</v>
      </c>
      <c r="D148" s="25">
        <v>5.96</v>
      </c>
      <c r="E148" s="25">
        <v>5.6287666512804035</v>
      </c>
      <c r="F148" s="25">
        <v>303.39</v>
      </c>
      <c r="G148" s="25">
        <v>5.91</v>
      </c>
      <c r="H148" s="25">
        <v>5.4594996728423384</v>
      </c>
      <c r="I148" s="25">
        <v>246.34</v>
      </c>
      <c r="J148" s="25">
        <v>6.04</v>
      </c>
      <c r="K148" s="25">
        <v>5.8952845051844838</v>
      </c>
      <c r="L148" s="25">
        <v>291.49</v>
      </c>
      <c r="M148" s="25">
        <v>226.04</v>
      </c>
      <c r="N148" s="25">
        <v>285.79000000000002</v>
      </c>
      <c r="O148" s="25">
        <v>233.7</v>
      </c>
      <c r="P148" s="25">
        <v>250.22</v>
      </c>
      <c r="Q148" s="25">
        <v>190.96</v>
      </c>
      <c r="R148" s="25">
        <v>263.41000000000003</v>
      </c>
    </row>
    <row r="149" spans="1:18" s="154" customFormat="1" ht="12.6" customHeight="1" x14ac:dyDescent="0.2">
      <c r="A149" s="99" t="s">
        <v>1484</v>
      </c>
      <c r="B149" s="135" t="s">
        <v>559</v>
      </c>
      <c r="C149" s="25">
        <v>273.52999999999997</v>
      </c>
      <c r="D149" s="25">
        <v>5.35</v>
      </c>
      <c r="E149" s="25">
        <v>5.6058404553794849</v>
      </c>
      <c r="F149" s="25">
        <v>294.08</v>
      </c>
      <c r="G149" s="25">
        <v>5.09</v>
      </c>
      <c r="H149" s="25">
        <v>5.4266310087251135</v>
      </c>
      <c r="I149" s="25">
        <v>247.17</v>
      </c>
      <c r="J149" s="25">
        <v>5.75</v>
      </c>
      <c r="K149" s="25">
        <v>5.8879946320277377</v>
      </c>
      <c r="L149" s="25">
        <v>291.72000000000003</v>
      </c>
      <c r="M149" s="25">
        <v>226.3</v>
      </c>
      <c r="N149" s="25">
        <v>285.8</v>
      </c>
      <c r="O149" s="25">
        <v>239.36</v>
      </c>
      <c r="P149" s="25">
        <v>252.04</v>
      </c>
      <c r="Q149" s="25">
        <v>190.96</v>
      </c>
      <c r="R149" s="25">
        <v>263.66000000000003</v>
      </c>
    </row>
    <row r="150" spans="1:18" s="154" customFormat="1" ht="12.6" customHeight="1" x14ac:dyDescent="0.2">
      <c r="A150" s="99" t="s">
        <v>1484</v>
      </c>
      <c r="B150" s="292" t="s">
        <v>550</v>
      </c>
      <c r="C150" s="25">
        <v>276.12</v>
      </c>
      <c r="D150" s="25">
        <v>6.02</v>
      </c>
      <c r="E150" s="25">
        <v>5.6476114685594103</v>
      </c>
      <c r="F150" s="25">
        <v>297.95</v>
      </c>
      <c r="G150" s="25">
        <v>6.54</v>
      </c>
      <c r="H150" s="25">
        <v>5.5215069211378198</v>
      </c>
      <c r="I150" s="25">
        <v>248.13</v>
      </c>
      <c r="J150" s="25">
        <v>5.22</v>
      </c>
      <c r="K150" s="25">
        <v>5.8455417943171106</v>
      </c>
      <c r="L150" s="25">
        <v>291.98</v>
      </c>
      <c r="M150" s="25">
        <v>227.07</v>
      </c>
      <c r="N150" s="25">
        <v>286.77999999999997</v>
      </c>
      <c r="O150" s="25">
        <v>240.16</v>
      </c>
      <c r="P150" s="25">
        <v>253.34</v>
      </c>
      <c r="Q150" s="25">
        <v>190.96</v>
      </c>
      <c r="R150" s="25">
        <v>267.19</v>
      </c>
    </row>
    <row r="151" spans="1:18" s="154" customFormat="1" ht="12.6" customHeight="1" x14ac:dyDescent="0.2">
      <c r="A151" s="99" t="s">
        <v>1536</v>
      </c>
      <c r="B151" s="292" t="s">
        <v>552</v>
      </c>
      <c r="C151" s="275">
        <v>278.27</v>
      </c>
      <c r="D151" s="275">
        <v>5.53</v>
      </c>
      <c r="E151" s="276">
        <v>5.6394992671184641</v>
      </c>
      <c r="F151" s="276">
        <v>300.75</v>
      </c>
      <c r="G151" s="276">
        <v>5.7</v>
      </c>
      <c r="H151" s="276">
        <v>5.5442822929815838</v>
      </c>
      <c r="I151" s="276">
        <v>249.46</v>
      </c>
      <c r="J151" s="276">
        <v>5.28</v>
      </c>
      <c r="K151" s="276">
        <v>5.7893006672181668</v>
      </c>
      <c r="L151" s="276">
        <v>292.2</v>
      </c>
      <c r="M151" s="276">
        <v>227.57</v>
      </c>
      <c r="N151" s="276">
        <v>288.73</v>
      </c>
      <c r="O151" s="276">
        <v>240.64</v>
      </c>
      <c r="P151" s="276">
        <v>257.25</v>
      </c>
      <c r="Q151" s="276">
        <v>190.98</v>
      </c>
      <c r="R151" s="276">
        <v>271.37</v>
      </c>
    </row>
    <row r="152" spans="1:18" s="154" customFormat="1" ht="12.6" customHeight="1" x14ac:dyDescent="0.2">
      <c r="A152" s="99" t="s">
        <v>1536</v>
      </c>
      <c r="B152" s="135" t="s">
        <v>553</v>
      </c>
      <c r="C152" s="236">
        <v>282.11</v>
      </c>
      <c r="D152" s="236">
        <v>5.68</v>
      </c>
      <c r="E152" s="237">
        <v>5.6547200899186079</v>
      </c>
      <c r="F152" s="237">
        <v>307.2</v>
      </c>
      <c r="G152" s="237">
        <v>6.08</v>
      </c>
      <c r="H152" s="237">
        <v>5.6114043048078877</v>
      </c>
      <c r="I152" s="237">
        <v>249.95</v>
      </c>
      <c r="J152" s="237">
        <v>5.05</v>
      </c>
      <c r="K152" s="237">
        <v>5.7235824973933092</v>
      </c>
      <c r="L152" s="237">
        <v>292.29000000000002</v>
      </c>
      <c r="M152" s="237">
        <v>227.6</v>
      </c>
      <c r="N152" s="237">
        <v>291.54000000000002</v>
      </c>
      <c r="O152" s="237">
        <v>240.81</v>
      </c>
      <c r="P152" s="237">
        <v>257.58999999999997</v>
      </c>
      <c r="Q152" s="237">
        <v>191.01</v>
      </c>
      <c r="R152" s="237">
        <v>272.54000000000002</v>
      </c>
    </row>
    <row r="153" spans="1:18" s="154" customFormat="1" ht="12.6" customHeight="1" x14ac:dyDescent="0.2">
      <c r="A153" s="99" t="s">
        <v>1536</v>
      </c>
      <c r="B153" s="292" t="s">
        <v>547</v>
      </c>
      <c r="C153" s="275">
        <v>288.12</v>
      </c>
      <c r="D153" s="275">
        <v>5.97</v>
      </c>
      <c r="E153" s="276">
        <v>5.6907183725365407</v>
      </c>
      <c r="F153" s="276">
        <v>316.11</v>
      </c>
      <c r="G153" s="276">
        <v>6.5</v>
      </c>
      <c r="H153" s="276">
        <v>5.7140685033245875</v>
      </c>
      <c r="I153" s="276">
        <v>252.24</v>
      </c>
      <c r="J153" s="276">
        <v>5.12</v>
      </c>
      <c r="K153" s="276">
        <v>5.6553071506268981</v>
      </c>
      <c r="L153" s="276">
        <v>292.42</v>
      </c>
      <c r="M153" s="276">
        <v>227.99</v>
      </c>
      <c r="N153" s="276">
        <v>293.11</v>
      </c>
      <c r="O153" s="276">
        <v>246.45</v>
      </c>
      <c r="P153" s="276">
        <v>263.02</v>
      </c>
      <c r="Q153" s="276">
        <v>191.79</v>
      </c>
      <c r="R153" s="276">
        <v>280.87</v>
      </c>
    </row>
    <row r="154" spans="1:18" s="154" customFormat="1" ht="12.6" customHeight="1" x14ac:dyDescent="0.2">
      <c r="A154" s="99" t="s">
        <v>1536</v>
      </c>
      <c r="B154" s="135" t="s">
        <v>554</v>
      </c>
      <c r="C154" s="236">
        <v>290.91000000000003</v>
      </c>
      <c r="D154" s="236">
        <v>6.44</v>
      </c>
      <c r="E154" s="237">
        <v>5.7740564589879639</v>
      </c>
      <c r="F154" s="237">
        <v>320.94</v>
      </c>
      <c r="G154" s="237">
        <v>7.34</v>
      </c>
      <c r="H154" s="237">
        <v>5.8744938917721701</v>
      </c>
      <c r="I154" s="237">
        <v>252.4</v>
      </c>
      <c r="J154" s="237">
        <v>5</v>
      </c>
      <c r="K154" s="237">
        <v>5.616036250418599</v>
      </c>
      <c r="L154" s="237">
        <v>292.57</v>
      </c>
      <c r="M154" s="237">
        <v>228.09</v>
      </c>
      <c r="N154" s="237">
        <v>293.35000000000002</v>
      </c>
      <c r="O154" s="237">
        <v>246.54</v>
      </c>
      <c r="P154" s="237">
        <v>263.41000000000003</v>
      </c>
      <c r="Q154" s="237">
        <v>191.81</v>
      </c>
      <c r="R154" s="237">
        <v>281.05</v>
      </c>
    </row>
    <row r="155" spans="1:18" s="154" customFormat="1" ht="12.6" customHeight="1" x14ac:dyDescent="0.2">
      <c r="A155" s="99" t="s">
        <v>1536</v>
      </c>
      <c r="B155" s="292" t="s">
        <v>555</v>
      </c>
      <c r="C155" s="275">
        <v>288.70999999999998</v>
      </c>
      <c r="D155" s="275">
        <v>5.52</v>
      </c>
      <c r="E155" s="276">
        <v>5.7302638415250406</v>
      </c>
      <c r="F155" s="276">
        <v>316.41000000000003</v>
      </c>
      <c r="G155" s="276">
        <v>5.73</v>
      </c>
      <c r="H155" s="276">
        <v>5.8186503742525542</v>
      </c>
      <c r="I155" s="276">
        <v>253.19</v>
      </c>
      <c r="J155" s="276">
        <v>5.19</v>
      </c>
      <c r="K155" s="276">
        <v>5.5911591237148173</v>
      </c>
      <c r="L155" s="276">
        <v>292.73</v>
      </c>
      <c r="M155" s="276">
        <v>228.62</v>
      </c>
      <c r="N155" s="276">
        <v>295.29000000000002</v>
      </c>
      <c r="O155" s="276">
        <v>246.77</v>
      </c>
      <c r="P155" s="276">
        <v>264.74</v>
      </c>
      <c r="Q155" s="276">
        <v>191.96</v>
      </c>
      <c r="R155" s="276">
        <v>282.91000000000003</v>
      </c>
    </row>
    <row r="156" spans="1:18" s="154" customFormat="1" ht="12.6" customHeight="1" x14ac:dyDescent="0.2">
      <c r="A156" s="99" t="s">
        <v>1536</v>
      </c>
      <c r="B156" s="135" t="s">
        <v>548</v>
      </c>
      <c r="C156" s="236">
        <v>287.41000000000003</v>
      </c>
      <c r="D156" s="236">
        <v>5.29</v>
      </c>
      <c r="E156" s="237">
        <v>5.691074747462066</v>
      </c>
      <c r="F156" s="237">
        <v>313.58999999999997</v>
      </c>
      <c r="G156" s="237">
        <v>5.34</v>
      </c>
      <c r="H156" s="237">
        <v>5.7730823873869852</v>
      </c>
      <c r="I156" s="237">
        <v>253.85</v>
      </c>
      <c r="J156" s="237">
        <v>5.21</v>
      </c>
      <c r="K156" s="237">
        <v>5.5622442458629351</v>
      </c>
      <c r="L156" s="237">
        <v>293.08</v>
      </c>
      <c r="M156" s="237">
        <v>228.84</v>
      </c>
      <c r="N156" s="237">
        <v>295.74</v>
      </c>
      <c r="O156" s="237">
        <v>247.29</v>
      </c>
      <c r="P156" s="237">
        <v>266.32</v>
      </c>
      <c r="Q156" s="237">
        <v>192.16</v>
      </c>
      <c r="R156" s="237">
        <v>285.38</v>
      </c>
    </row>
    <row r="157" spans="1:18" s="154" customFormat="1" ht="12.6" customHeight="1" x14ac:dyDescent="0.2">
      <c r="A157" s="99" t="s">
        <v>1536</v>
      </c>
      <c r="B157" s="292" t="s">
        <v>556</v>
      </c>
      <c r="C157" s="275">
        <v>290.02999999999997</v>
      </c>
      <c r="D157" s="275">
        <v>5.0199999999999996</v>
      </c>
      <c r="E157" s="276">
        <v>5.6430352022812658</v>
      </c>
      <c r="F157" s="276">
        <v>315.81</v>
      </c>
      <c r="G157" s="276">
        <v>5.23</v>
      </c>
      <c r="H157" s="276">
        <v>5.7801577189297015</v>
      </c>
      <c r="I157" s="276">
        <v>256.97000000000003</v>
      </c>
      <c r="J157" s="276">
        <v>4.6900000000000004</v>
      </c>
      <c r="K157" s="276">
        <v>5.4270318877640555</v>
      </c>
      <c r="L157" s="276">
        <v>301.14999999999998</v>
      </c>
      <c r="M157" s="276">
        <v>229.98</v>
      </c>
      <c r="N157" s="276">
        <v>297.45</v>
      </c>
      <c r="O157" s="276">
        <v>249.01</v>
      </c>
      <c r="P157" s="276">
        <v>269.58</v>
      </c>
      <c r="Q157" s="276">
        <v>194.13</v>
      </c>
      <c r="R157" s="276">
        <v>291.52999999999997</v>
      </c>
    </row>
    <row r="158" spans="1:18" s="154" customFormat="1" ht="12.6" customHeight="1" x14ac:dyDescent="0.2">
      <c r="A158" s="99" t="s">
        <v>1536</v>
      </c>
      <c r="B158" s="135" t="s">
        <v>557</v>
      </c>
      <c r="C158" s="237">
        <v>290.3</v>
      </c>
      <c r="D158" s="237">
        <v>5.32</v>
      </c>
      <c r="E158" s="237">
        <v>5.6304473421008305</v>
      </c>
      <c r="F158" s="237">
        <v>315.35000000000002</v>
      </c>
      <c r="G158" s="237">
        <v>5.42</v>
      </c>
      <c r="H158" s="237">
        <v>5.815339325778468</v>
      </c>
      <c r="I158" s="237">
        <v>258.18</v>
      </c>
      <c r="J158" s="237">
        <v>5.17</v>
      </c>
      <c r="K158" s="237">
        <v>5.3403232852774041</v>
      </c>
      <c r="L158" s="237">
        <v>302.12</v>
      </c>
      <c r="M158" s="237">
        <v>229.35</v>
      </c>
      <c r="N158" s="237">
        <v>299.52999999999997</v>
      </c>
      <c r="O158" s="237">
        <v>250.79</v>
      </c>
      <c r="P158" s="237">
        <v>272.60000000000002</v>
      </c>
      <c r="Q158" s="237">
        <v>195.12</v>
      </c>
      <c r="R158" s="237">
        <v>296.14999999999998</v>
      </c>
    </row>
    <row r="159" spans="1:18" s="154" customFormat="1" ht="12.6" customHeight="1" x14ac:dyDescent="0.2">
      <c r="A159" s="99" t="s">
        <v>1536</v>
      </c>
      <c r="B159" s="292" t="s">
        <v>549</v>
      </c>
      <c r="C159" s="276">
        <v>291.95999999999998</v>
      </c>
      <c r="D159" s="276">
        <v>5.47</v>
      </c>
      <c r="E159" s="276">
        <v>5.6286025282636043</v>
      </c>
      <c r="F159" s="276">
        <v>317.32</v>
      </c>
      <c r="G159" s="276">
        <v>5.51</v>
      </c>
      <c r="H159" s="276">
        <v>5.8668131780540422</v>
      </c>
      <c r="I159" s="276">
        <v>259.44</v>
      </c>
      <c r="J159" s="276">
        <v>5.39</v>
      </c>
      <c r="K159" s="276">
        <v>5.2552526450105441</v>
      </c>
      <c r="L159" s="276">
        <v>303.73</v>
      </c>
      <c r="M159" s="276">
        <v>229.5</v>
      </c>
      <c r="N159" s="276">
        <v>302.63</v>
      </c>
      <c r="O159" s="276">
        <v>251.13</v>
      </c>
      <c r="P159" s="276">
        <v>274.68</v>
      </c>
      <c r="Q159" s="276">
        <v>195.89</v>
      </c>
      <c r="R159" s="276">
        <v>299.06</v>
      </c>
    </row>
    <row r="160" spans="1:18" s="154" customFormat="1" ht="12.6" customHeight="1" x14ac:dyDescent="0.2">
      <c r="A160" s="99" t="s">
        <v>1536</v>
      </c>
      <c r="B160" s="135" t="s">
        <v>558</v>
      </c>
      <c r="C160" s="237">
        <v>293.88</v>
      </c>
      <c r="D160" s="237">
        <v>5.56</v>
      </c>
      <c r="E160" s="237">
        <v>5.5962455762425423</v>
      </c>
      <c r="F160" s="237">
        <v>320.27999999999997</v>
      </c>
      <c r="G160" s="237">
        <v>5.57</v>
      </c>
      <c r="H160" s="237">
        <v>5.8375404420722088</v>
      </c>
      <c r="I160" s="237">
        <v>260.02</v>
      </c>
      <c r="J160" s="237">
        <v>5.55</v>
      </c>
      <c r="K160" s="237">
        <v>5.2176319977855989</v>
      </c>
      <c r="L160" s="237">
        <v>304.23</v>
      </c>
      <c r="M160" s="237">
        <v>229.44</v>
      </c>
      <c r="N160" s="237">
        <v>305</v>
      </c>
      <c r="O160" s="237">
        <v>251.5</v>
      </c>
      <c r="P160" s="237">
        <v>276.02</v>
      </c>
      <c r="Q160" s="237">
        <v>195.95</v>
      </c>
      <c r="R160" s="237">
        <v>299.67</v>
      </c>
    </row>
    <row r="161" spans="1:18" s="154" customFormat="1" ht="12.6" customHeight="1" x14ac:dyDescent="0.2">
      <c r="A161" s="99" t="s">
        <v>1536</v>
      </c>
      <c r="B161" s="292" t="s">
        <v>559</v>
      </c>
      <c r="C161" s="276">
        <v>287.92</v>
      </c>
      <c r="D161" s="276">
        <v>5.26</v>
      </c>
      <c r="E161" s="276">
        <v>5.5874241588527385</v>
      </c>
      <c r="F161" s="276">
        <v>308.41000000000003</v>
      </c>
      <c r="G161" s="276">
        <v>4.87</v>
      </c>
      <c r="H161" s="276">
        <v>5.816325666833122</v>
      </c>
      <c r="I161" s="276">
        <v>261.64999999999998</v>
      </c>
      <c r="J161" s="276">
        <v>5.86</v>
      </c>
      <c r="K161" s="276">
        <v>5.228935994351902</v>
      </c>
      <c r="L161" s="276">
        <v>305.17</v>
      </c>
      <c r="M161" s="276">
        <v>225.9</v>
      </c>
      <c r="N161" s="276">
        <v>306.45999999999998</v>
      </c>
      <c r="O161" s="276">
        <v>251.53</v>
      </c>
      <c r="P161" s="276">
        <v>294.86</v>
      </c>
      <c r="Q161" s="276">
        <v>195.99</v>
      </c>
      <c r="R161" s="276">
        <v>299.99</v>
      </c>
    </row>
    <row r="162" spans="1:18" s="154" customFormat="1" ht="12.6" customHeight="1" x14ac:dyDescent="0.2">
      <c r="A162" s="99" t="s">
        <v>1536</v>
      </c>
      <c r="B162" s="135" t="s">
        <v>550</v>
      </c>
      <c r="C162" s="237">
        <v>291.7</v>
      </c>
      <c r="D162" s="237">
        <v>5.64</v>
      </c>
      <c r="E162" s="237">
        <v>5.5576564158239528</v>
      </c>
      <c r="F162" s="237">
        <v>314.19</v>
      </c>
      <c r="G162" s="237">
        <v>5.45</v>
      </c>
      <c r="H162" s="237">
        <v>5.7286183887331088</v>
      </c>
      <c r="I162" s="237">
        <v>262.87</v>
      </c>
      <c r="J162" s="237">
        <v>5.94</v>
      </c>
      <c r="K162" s="237">
        <v>5.2901960246368063</v>
      </c>
      <c r="L162" s="237">
        <v>306</v>
      </c>
      <c r="M162" s="237">
        <v>226.63</v>
      </c>
      <c r="N162" s="237">
        <v>308.95</v>
      </c>
      <c r="O162" s="237">
        <v>251.9</v>
      </c>
      <c r="P162" s="237">
        <v>297.31</v>
      </c>
      <c r="Q162" s="237">
        <v>196.54</v>
      </c>
      <c r="R162" s="237">
        <v>301.82</v>
      </c>
    </row>
    <row r="163" spans="1:18" s="153" customFormat="1" ht="12.6" customHeight="1" x14ac:dyDescent="0.2">
      <c r="A163" s="861" t="s">
        <v>1817</v>
      </c>
      <c r="B163" s="135" t="s">
        <v>552</v>
      </c>
      <c r="C163" s="237">
        <v>293.19</v>
      </c>
      <c r="D163" s="237">
        <v>5.36</v>
      </c>
      <c r="E163" s="237">
        <v>5.5433772763430422</v>
      </c>
      <c r="F163" s="237">
        <v>316.02</v>
      </c>
      <c r="G163" s="237">
        <v>5.08</v>
      </c>
      <c r="H163" s="237">
        <v>5.6764007265614147</v>
      </c>
      <c r="I163" s="237">
        <v>263.93</v>
      </c>
      <c r="J163" s="237">
        <v>5.8</v>
      </c>
      <c r="K163" s="237">
        <v>5.3345262201763832</v>
      </c>
      <c r="L163" s="237">
        <v>307.11</v>
      </c>
      <c r="M163" s="237">
        <v>227.12</v>
      </c>
      <c r="N163" s="237">
        <v>310.07</v>
      </c>
      <c r="O163" s="237">
        <v>252.47</v>
      </c>
      <c r="P163" s="237">
        <v>300.58</v>
      </c>
      <c r="Q163" s="237">
        <v>197</v>
      </c>
      <c r="R163" s="237">
        <v>302.72000000000003</v>
      </c>
    </row>
    <row r="164" spans="1:18" s="153" customFormat="1" ht="12.6" customHeight="1" x14ac:dyDescent="0.2">
      <c r="A164" s="861" t="s">
        <v>1817</v>
      </c>
      <c r="B164" s="292" t="s">
        <v>553</v>
      </c>
      <c r="C164" s="276">
        <v>297.73</v>
      </c>
      <c r="D164" s="276">
        <v>5.54</v>
      </c>
      <c r="E164" s="276">
        <v>5.5322003983305335</v>
      </c>
      <c r="F164" s="276">
        <v>323.04000000000002</v>
      </c>
      <c r="G164" s="276">
        <v>5.16</v>
      </c>
      <c r="H164" s="276">
        <v>5.5996774283251449</v>
      </c>
      <c r="I164" s="276">
        <v>265.27999999999997</v>
      </c>
      <c r="J164" s="276">
        <v>6.13</v>
      </c>
      <c r="K164" s="276">
        <v>5.4252862618135111</v>
      </c>
      <c r="L164" s="276">
        <v>310.33999999999997</v>
      </c>
      <c r="M164" s="276">
        <v>228.06</v>
      </c>
      <c r="N164" s="276">
        <v>311.89999999999998</v>
      </c>
      <c r="O164" s="276">
        <v>252.66</v>
      </c>
      <c r="P164" s="276">
        <v>301.81</v>
      </c>
      <c r="Q164" s="276">
        <v>197.47</v>
      </c>
      <c r="R164" s="276">
        <v>303.97000000000003</v>
      </c>
    </row>
    <row r="165" spans="1:18" s="153" customFormat="1" ht="12.6" customHeight="1" x14ac:dyDescent="0.2">
      <c r="A165" s="861" t="s">
        <v>1817</v>
      </c>
      <c r="B165" s="135" t="s">
        <v>547</v>
      </c>
      <c r="C165" s="237">
        <v>304.22000000000003</v>
      </c>
      <c r="D165" s="237">
        <v>5.59</v>
      </c>
      <c r="E165" s="237">
        <v>5.5016044968015265</v>
      </c>
      <c r="F165" s="237">
        <v>332.58</v>
      </c>
      <c r="G165" s="237">
        <v>5.21</v>
      </c>
      <c r="H165" s="237">
        <v>5.491508546772117</v>
      </c>
      <c r="I165" s="237">
        <v>267.85000000000002</v>
      </c>
      <c r="J165" s="237">
        <v>6.19</v>
      </c>
      <c r="K165" s="237">
        <v>5.5154990060180875</v>
      </c>
      <c r="L165" s="237">
        <v>313.63</v>
      </c>
      <c r="M165" s="237">
        <v>230.62</v>
      </c>
      <c r="N165" s="237">
        <v>316.69</v>
      </c>
      <c r="O165" s="237">
        <v>252.89</v>
      </c>
      <c r="P165" s="237">
        <v>303.73</v>
      </c>
      <c r="Q165" s="237">
        <v>199.55</v>
      </c>
      <c r="R165" s="237">
        <v>306.12</v>
      </c>
    </row>
    <row r="166" spans="1:18" s="153" customFormat="1" ht="12.6" customHeight="1" x14ac:dyDescent="0.2">
      <c r="A166" s="861" t="s">
        <v>1817</v>
      </c>
      <c r="B166" s="292" t="s">
        <v>554</v>
      </c>
      <c r="C166" s="276">
        <v>307.49</v>
      </c>
      <c r="D166" s="276">
        <v>5.7</v>
      </c>
      <c r="E166" s="276">
        <v>5.44</v>
      </c>
      <c r="F166" s="276">
        <v>337.7</v>
      </c>
      <c r="G166" s="276">
        <v>5.22</v>
      </c>
      <c r="H166" s="276">
        <v>5.32</v>
      </c>
      <c r="I166" s="276">
        <v>268.75</v>
      </c>
      <c r="J166" s="276">
        <v>6.48</v>
      </c>
      <c r="K166" s="276">
        <v>5.64</v>
      </c>
      <c r="L166" s="276">
        <v>314.48</v>
      </c>
      <c r="M166" s="276">
        <v>231.64</v>
      </c>
      <c r="N166" s="276">
        <v>316.85000000000002</v>
      </c>
      <c r="O166" s="276">
        <v>252.99</v>
      </c>
      <c r="P166" s="276">
        <v>306.31</v>
      </c>
      <c r="Q166" s="276">
        <v>199.71</v>
      </c>
      <c r="R166" s="276">
        <v>306.66000000000003</v>
      </c>
    </row>
    <row r="167" spans="1:18" s="153" customFormat="1" ht="12.6" customHeight="1" x14ac:dyDescent="0.2">
      <c r="A167" s="861" t="s">
        <v>1817</v>
      </c>
      <c r="B167" s="135" t="s">
        <v>555</v>
      </c>
      <c r="C167" s="237">
        <v>305.97000000000003</v>
      </c>
      <c r="D167" s="237">
        <v>5.98</v>
      </c>
      <c r="E167" s="237">
        <v>5.4813491177127638</v>
      </c>
      <c r="F167" s="237">
        <v>333.58</v>
      </c>
      <c r="G167" s="237">
        <v>5.43</v>
      </c>
      <c r="H167" s="237">
        <v>5.2912847174716227</v>
      </c>
      <c r="I167" s="237">
        <v>270.58</v>
      </c>
      <c r="J167" s="237">
        <v>6.87</v>
      </c>
      <c r="K167" s="237">
        <v>5.7801080180567288</v>
      </c>
      <c r="L167" s="237">
        <v>316.73</v>
      </c>
      <c r="M167" s="237">
        <v>232.46</v>
      </c>
      <c r="N167" s="237">
        <v>317.92</v>
      </c>
      <c r="O167" s="237">
        <v>253.09</v>
      </c>
      <c r="P167" s="237">
        <v>313.36</v>
      </c>
      <c r="Q167" s="237">
        <v>200.25</v>
      </c>
      <c r="R167" s="237">
        <v>307.70999999999998</v>
      </c>
    </row>
    <row r="168" spans="1:18" s="153" customFormat="1" ht="12.6" customHeight="1" x14ac:dyDescent="0.2">
      <c r="A168" s="861" t="s">
        <v>1817</v>
      </c>
      <c r="B168" s="292" t="s">
        <v>548</v>
      </c>
      <c r="C168" s="276">
        <v>304.81</v>
      </c>
      <c r="D168" s="276">
        <v>6.05</v>
      </c>
      <c r="E168" s="276">
        <v>5.54</v>
      </c>
      <c r="F168" s="276">
        <v>330.71</v>
      </c>
      <c r="G168" s="276">
        <v>5.46</v>
      </c>
      <c r="H168" s="276">
        <v>5.3016020052310431</v>
      </c>
      <c r="I168" s="276">
        <v>271.61</v>
      </c>
      <c r="J168" s="276">
        <v>7</v>
      </c>
      <c r="K168" s="276">
        <v>5.9293944512266439</v>
      </c>
      <c r="L168" s="276">
        <v>320.38</v>
      </c>
      <c r="M168" s="276">
        <v>232.71</v>
      </c>
      <c r="N168" s="276">
        <v>318.7</v>
      </c>
      <c r="O168" s="276">
        <v>253.16</v>
      </c>
      <c r="P168" s="276">
        <v>314.27</v>
      </c>
      <c r="Q168" s="276">
        <v>201.02</v>
      </c>
      <c r="R168" s="276">
        <v>308.64999999999998</v>
      </c>
    </row>
    <row r="169" spans="1:18" s="153" customFormat="1" ht="12.6" customHeight="1" x14ac:dyDescent="0.2">
      <c r="A169" s="861" t="s">
        <v>1817</v>
      </c>
      <c r="B169" s="135" t="s">
        <v>556</v>
      </c>
      <c r="C169" s="237">
        <v>307.02</v>
      </c>
      <c r="D169" s="237">
        <v>5.86</v>
      </c>
      <c r="E169" s="237">
        <v>5.6150806542117015</v>
      </c>
      <c r="F169" s="237">
        <v>333.51</v>
      </c>
      <c r="G169" s="237">
        <v>5.6</v>
      </c>
      <c r="H169" s="237">
        <v>5.3332790754455628</v>
      </c>
      <c r="I169" s="237">
        <v>273.05</v>
      </c>
      <c r="J169" s="237">
        <v>6.26</v>
      </c>
      <c r="K169" s="237">
        <v>6.0589199562864904</v>
      </c>
      <c r="L169" s="237">
        <v>321.57</v>
      </c>
      <c r="M169" s="237">
        <v>233.53</v>
      </c>
      <c r="N169" s="237">
        <v>320.51</v>
      </c>
      <c r="O169" s="237">
        <v>253.44</v>
      </c>
      <c r="P169" s="237">
        <v>315.7</v>
      </c>
      <c r="Q169" s="237">
        <v>203.16</v>
      </c>
      <c r="R169" s="237">
        <v>312.88</v>
      </c>
    </row>
    <row r="170" spans="1:18" s="153" customFormat="1" ht="12.6" customHeight="1" x14ac:dyDescent="0.2">
      <c r="A170" s="861" t="s">
        <v>1817</v>
      </c>
      <c r="B170" s="292" t="s">
        <v>557</v>
      </c>
      <c r="C170" s="276">
        <v>308.20999999999998</v>
      </c>
      <c r="D170" s="276">
        <v>6.17</v>
      </c>
      <c r="E170" s="276">
        <v>5.6861320951678174</v>
      </c>
      <c r="F170" s="276">
        <v>334.95</v>
      </c>
      <c r="G170" s="276">
        <v>6.22</v>
      </c>
      <c r="H170" s="276">
        <v>5.4012078912681671</v>
      </c>
      <c r="I170" s="276">
        <v>273.93</v>
      </c>
      <c r="J170" s="276">
        <v>6.1</v>
      </c>
      <c r="K170" s="276">
        <v>6.1349347223835116</v>
      </c>
      <c r="L170" s="276">
        <v>323.49</v>
      </c>
      <c r="M170" s="276">
        <v>233.65</v>
      </c>
      <c r="N170" s="276">
        <v>322.05</v>
      </c>
      <c r="O170" s="276">
        <v>253.57</v>
      </c>
      <c r="P170" s="276">
        <v>317.11</v>
      </c>
      <c r="Q170" s="276">
        <v>203.76</v>
      </c>
      <c r="R170" s="276">
        <v>314.16000000000003</v>
      </c>
    </row>
    <row r="171" spans="1:18" s="153" customFormat="1" ht="12.6" customHeight="1" x14ac:dyDescent="0.2">
      <c r="A171" s="861" t="s">
        <v>1817</v>
      </c>
      <c r="B171" s="135" t="s">
        <v>549</v>
      </c>
      <c r="C171" s="237">
        <v>310.12</v>
      </c>
      <c r="D171" s="237">
        <v>6.22</v>
      </c>
      <c r="E171" s="237">
        <v>5.7496501613063966</v>
      </c>
      <c r="F171" s="237">
        <v>337.43</v>
      </c>
      <c r="G171" s="237">
        <v>6.34</v>
      </c>
      <c r="H171" s="237">
        <v>5.4720481862916115</v>
      </c>
      <c r="I171" s="237">
        <v>275.11</v>
      </c>
      <c r="J171" s="237">
        <v>6.04</v>
      </c>
      <c r="K171" s="237">
        <v>6.1873207985941425</v>
      </c>
      <c r="L171" s="237">
        <v>325.31</v>
      </c>
      <c r="M171" s="237">
        <v>234.17</v>
      </c>
      <c r="N171" s="237">
        <v>323.51</v>
      </c>
      <c r="O171" s="237">
        <v>253.91</v>
      </c>
      <c r="P171" s="237">
        <v>317.88</v>
      </c>
      <c r="Q171" s="237">
        <v>204.95</v>
      </c>
      <c r="R171" s="237">
        <v>317.85000000000002</v>
      </c>
    </row>
    <row r="172" spans="1:18" s="153" customFormat="1" ht="12.6" customHeight="1" x14ac:dyDescent="0.2">
      <c r="A172" s="861" t="s">
        <v>1817</v>
      </c>
      <c r="B172" s="292" t="s">
        <v>558</v>
      </c>
      <c r="C172" s="276">
        <v>312.38</v>
      </c>
      <c r="D172" s="276">
        <v>6.29</v>
      </c>
      <c r="E172" s="276">
        <v>5.8114153321578765</v>
      </c>
      <c r="F172" s="276">
        <v>340.25</v>
      </c>
      <c r="G172" s="276">
        <v>6.23</v>
      </c>
      <c r="H172" s="276">
        <v>5.5297540814660318</v>
      </c>
      <c r="I172" s="276">
        <v>276.64</v>
      </c>
      <c r="J172" s="276">
        <v>6.39</v>
      </c>
      <c r="K172" s="276">
        <v>6.2561657349555988</v>
      </c>
      <c r="L172" s="276">
        <v>328.18</v>
      </c>
      <c r="M172" s="276">
        <v>234.65</v>
      </c>
      <c r="N172" s="276">
        <v>325.93</v>
      </c>
      <c r="O172" s="276">
        <v>254.59</v>
      </c>
      <c r="P172" s="276">
        <v>319.82</v>
      </c>
      <c r="Q172" s="276">
        <v>206.59</v>
      </c>
      <c r="R172" s="276">
        <v>319.99</v>
      </c>
    </row>
    <row r="173" spans="1:18" s="153" customFormat="1" ht="12.6" customHeight="1" x14ac:dyDescent="0.2">
      <c r="A173" s="861" t="s">
        <v>1817</v>
      </c>
      <c r="B173" s="135" t="s">
        <v>559</v>
      </c>
      <c r="C173" s="237">
        <v>309.27999999999997</v>
      </c>
      <c r="D173" s="237">
        <v>7.42</v>
      </c>
      <c r="E173" s="237">
        <v>5.9894246228676229</v>
      </c>
      <c r="F173" s="237">
        <v>334.02</v>
      </c>
      <c r="G173" s="237">
        <v>8.3000000000000007</v>
      </c>
      <c r="H173" s="237">
        <v>5.8094140987488219</v>
      </c>
      <c r="I173" s="237">
        <v>277.57</v>
      </c>
      <c r="J173" s="237">
        <v>6.08</v>
      </c>
      <c r="K173" s="237">
        <v>6.2736460392475157</v>
      </c>
      <c r="L173" s="237">
        <v>329.4</v>
      </c>
      <c r="M173" s="237">
        <v>235.01</v>
      </c>
      <c r="N173" s="237">
        <v>328.4</v>
      </c>
      <c r="O173" s="237">
        <v>255.05</v>
      </c>
      <c r="P173" s="237">
        <v>320.76</v>
      </c>
      <c r="Q173" s="237">
        <v>207.47</v>
      </c>
      <c r="R173" s="237">
        <v>321.14999999999998</v>
      </c>
    </row>
    <row r="174" spans="1:18" s="153" customFormat="1" ht="12.6" customHeight="1" x14ac:dyDescent="0.2">
      <c r="A174" s="861" t="s">
        <v>1817</v>
      </c>
      <c r="B174" s="292" t="s">
        <v>550</v>
      </c>
      <c r="C174" s="276">
        <v>313.76</v>
      </c>
      <c r="D174" s="276">
        <v>7.56</v>
      </c>
      <c r="E174" s="276">
        <v>6.1496770018374614</v>
      </c>
      <c r="F174" s="276">
        <v>340.48</v>
      </c>
      <c r="G174" s="276">
        <v>8.3699999999999992</v>
      </c>
      <c r="H174" s="276">
        <v>6.0512006287237297</v>
      </c>
      <c r="I174" s="276">
        <v>279.5</v>
      </c>
      <c r="J174" s="276">
        <v>6.33</v>
      </c>
      <c r="K174" s="276">
        <v>6.3050856290428836</v>
      </c>
      <c r="L174" s="276">
        <v>331.09</v>
      </c>
      <c r="M174" s="276">
        <v>235.48</v>
      </c>
      <c r="N174" s="276">
        <v>331.02</v>
      </c>
      <c r="O174" s="276">
        <v>255.62</v>
      </c>
      <c r="P174" s="276">
        <v>324.72000000000003</v>
      </c>
      <c r="Q174" s="276">
        <v>210.3</v>
      </c>
      <c r="R174" s="276">
        <v>325.49</v>
      </c>
    </row>
    <row r="175" spans="1:18" s="153" customFormat="1" ht="12.6" customHeight="1" x14ac:dyDescent="0.2">
      <c r="A175" s="99" t="s">
        <v>2066</v>
      </c>
      <c r="B175" s="292" t="s">
        <v>552</v>
      </c>
      <c r="C175" s="276">
        <v>315.13</v>
      </c>
      <c r="D175" s="276">
        <v>7.48</v>
      </c>
      <c r="E175" s="276">
        <v>6.325224955699249</v>
      </c>
      <c r="F175" s="276">
        <v>341.91</v>
      </c>
      <c r="G175" s="276">
        <v>8.19</v>
      </c>
      <c r="H175" s="276">
        <v>6.3075975174726073</v>
      </c>
      <c r="I175" s="276">
        <v>280.8</v>
      </c>
      <c r="J175" s="276">
        <v>6.39</v>
      </c>
      <c r="K175" s="276">
        <v>6.3533126505419091</v>
      </c>
      <c r="L175" s="276">
        <v>332.97</v>
      </c>
      <c r="M175" s="276">
        <v>235.87</v>
      </c>
      <c r="N175" s="276">
        <v>331.6</v>
      </c>
      <c r="O175" s="276">
        <v>256.22000000000003</v>
      </c>
      <c r="P175" s="276">
        <v>325.44</v>
      </c>
      <c r="Q175" s="276">
        <v>211.78</v>
      </c>
      <c r="R175" s="276">
        <v>331.52</v>
      </c>
    </row>
    <row r="176" spans="1:18" s="153" customFormat="1" ht="12.6" customHeight="1" x14ac:dyDescent="0.2">
      <c r="A176" s="99" t="s">
        <v>2066</v>
      </c>
      <c r="B176" s="135" t="s">
        <v>553</v>
      </c>
      <c r="C176" s="237">
        <v>326.06</v>
      </c>
      <c r="D176" s="237">
        <v>9.52</v>
      </c>
      <c r="E176" s="237">
        <v>6.6609199681544995</v>
      </c>
      <c r="F176" s="237">
        <v>355.16</v>
      </c>
      <c r="G176" s="237">
        <v>9.94</v>
      </c>
      <c r="H176" s="237">
        <v>6.709993759002697</v>
      </c>
      <c r="I176" s="237">
        <v>288.76</v>
      </c>
      <c r="J176" s="237">
        <v>8.85</v>
      </c>
      <c r="K176" s="237">
        <v>6.5847962271211369</v>
      </c>
      <c r="L176" s="237">
        <v>334.36</v>
      </c>
      <c r="M176" s="237">
        <v>247.15</v>
      </c>
      <c r="N176" s="237">
        <v>336.03</v>
      </c>
      <c r="O176" s="237">
        <v>280.11</v>
      </c>
      <c r="P176" s="237">
        <v>333.15</v>
      </c>
      <c r="Q176" s="237">
        <v>213.44</v>
      </c>
      <c r="R176" s="237">
        <v>335.56</v>
      </c>
    </row>
    <row r="177" spans="1:18" s="153" customFormat="1" ht="12.6" customHeight="1" x14ac:dyDescent="0.2">
      <c r="A177" s="99" t="s">
        <v>2066</v>
      </c>
      <c r="B177" s="292" t="s">
        <v>547</v>
      </c>
      <c r="C177" s="276">
        <v>331.88</v>
      </c>
      <c r="D177" s="276">
        <v>9.1</v>
      </c>
      <c r="E177" s="276">
        <v>6.9598855175087682</v>
      </c>
      <c r="F177" s="276">
        <v>362.77</v>
      </c>
      <c r="G177" s="276">
        <v>9.08</v>
      </c>
      <c r="H177" s="276">
        <v>7.0407505099713052</v>
      </c>
      <c r="I177" s="276">
        <v>292.29000000000002</v>
      </c>
      <c r="J177" s="276">
        <v>9.1300000000000008</v>
      </c>
      <c r="K177" s="276">
        <v>6.8352147077798131</v>
      </c>
      <c r="L177" s="276">
        <v>337.21</v>
      </c>
      <c r="M177" s="276">
        <v>248.08</v>
      </c>
      <c r="N177" s="276">
        <v>341.28</v>
      </c>
      <c r="O177" s="276">
        <v>293.16000000000003</v>
      </c>
      <c r="P177" s="276">
        <v>337.74</v>
      </c>
      <c r="Q177" s="276">
        <v>214.28</v>
      </c>
      <c r="R177" s="276">
        <v>341.13</v>
      </c>
    </row>
    <row r="178" spans="1:18" s="153" customFormat="1" ht="12.6" customHeight="1" x14ac:dyDescent="0.2">
      <c r="A178" s="99" t="s">
        <v>2066</v>
      </c>
      <c r="B178" s="135" t="s">
        <v>554</v>
      </c>
      <c r="C178" s="237">
        <v>334.89</v>
      </c>
      <c r="D178" s="237">
        <v>8.91</v>
      </c>
      <c r="E178" s="237">
        <v>7.2341355183939138</v>
      </c>
      <c r="F178" s="237">
        <v>366.39</v>
      </c>
      <c r="G178" s="237">
        <v>8.5</v>
      </c>
      <c r="H178" s="237">
        <v>7.3213772939671573</v>
      </c>
      <c r="I178" s="237">
        <v>294.51</v>
      </c>
      <c r="J178" s="237">
        <v>9.58</v>
      </c>
      <c r="K178" s="237">
        <v>7.0999814813632378</v>
      </c>
      <c r="L178" s="237">
        <v>338.17</v>
      </c>
      <c r="M178" s="237">
        <v>248.79</v>
      </c>
      <c r="N178" s="237">
        <v>344.34</v>
      </c>
      <c r="O178" s="237">
        <v>294.93</v>
      </c>
      <c r="P178" s="237">
        <v>341.86</v>
      </c>
      <c r="Q178" s="237">
        <v>215.27</v>
      </c>
      <c r="R178" s="237">
        <v>349.33</v>
      </c>
    </row>
    <row r="179" spans="1:18" s="153" customFormat="1" ht="12.6" customHeight="1" x14ac:dyDescent="0.2">
      <c r="A179" s="99" t="s">
        <v>2066</v>
      </c>
      <c r="B179" s="292" t="s">
        <v>555</v>
      </c>
      <c r="C179" s="276">
        <v>333.07</v>
      </c>
      <c r="D179" s="276">
        <v>8.85</v>
      </c>
      <c r="E179" s="276">
        <v>7.4767067592749425</v>
      </c>
      <c r="F179" s="276">
        <v>360.75</v>
      </c>
      <c r="G179" s="276">
        <v>8.14</v>
      </c>
      <c r="H179" s="276">
        <v>7.5485918183306744</v>
      </c>
      <c r="I179" s="276">
        <v>297.58</v>
      </c>
      <c r="J179" s="276">
        <v>9.98</v>
      </c>
      <c r="K179" s="276">
        <v>7.3659176279700755</v>
      </c>
      <c r="L179" s="276">
        <v>340.91</v>
      </c>
      <c r="M179" s="276">
        <v>249.07</v>
      </c>
      <c r="N179" s="276">
        <v>349.61</v>
      </c>
      <c r="O179" s="276">
        <v>302.73</v>
      </c>
      <c r="P179" s="276">
        <v>347.6</v>
      </c>
      <c r="Q179" s="276">
        <v>215.98</v>
      </c>
      <c r="R179" s="276">
        <v>355.45</v>
      </c>
    </row>
    <row r="180" spans="1:18" s="153" customFormat="1" ht="12.6" customHeight="1" x14ac:dyDescent="0.2">
      <c r="A180" s="99" t="s">
        <v>2066</v>
      </c>
      <c r="B180" s="135" t="s">
        <v>548</v>
      </c>
      <c r="C180" s="237">
        <v>331.35</v>
      </c>
      <c r="D180" s="237">
        <v>8.7100000000000009</v>
      </c>
      <c r="E180" s="237">
        <v>7.6969543717689382</v>
      </c>
      <c r="F180" s="237">
        <v>356.86</v>
      </c>
      <c r="G180" s="237">
        <v>7.91</v>
      </c>
      <c r="H180" s="237">
        <v>7.7487910706107943</v>
      </c>
      <c r="I180" s="237">
        <v>298.64999999999998</v>
      </c>
      <c r="J180" s="237">
        <v>9.9600000000000009</v>
      </c>
      <c r="K180" s="237">
        <v>7.6176222636898272</v>
      </c>
      <c r="L180" s="237">
        <v>342.96</v>
      </c>
      <c r="M180" s="237">
        <v>249.09</v>
      </c>
      <c r="N180" s="237">
        <v>353.11</v>
      </c>
      <c r="O180" s="237">
        <v>303.2</v>
      </c>
      <c r="P180" s="237">
        <v>348.59</v>
      </c>
      <c r="Q180" s="237">
        <v>216.7</v>
      </c>
      <c r="R180" s="237">
        <v>356.87</v>
      </c>
    </row>
    <row r="181" spans="1:18" s="153" customFormat="1" ht="12.6" customHeight="1" x14ac:dyDescent="0.2">
      <c r="A181" s="99" t="s">
        <v>2066</v>
      </c>
      <c r="B181" s="292" t="s">
        <v>556</v>
      </c>
      <c r="C181" s="276">
        <v>333.34</v>
      </c>
      <c r="D181" s="276">
        <v>8.57</v>
      </c>
      <c r="E181" s="276">
        <v>7.9212793503700807</v>
      </c>
      <c r="F181" s="276">
        <v>359.4</v>
      </c>
      <c r="G181" s="276">
        <v>7.76</v>
      </c>
      <c r="H181" s="276">
        <v>7.9244029268368266</v>
      </c>
      <c r="I181" s="276">
        <v>299.93</v>
      </c>
      <c r="J181" s="276">
        <v>9.84</v>
      </c>
      <c r="K181" s="276">
        <v>7.9184219702752801</v>
      </c>
      <c r="L181" s="276">
        <v>343.9</v>
      </c>
      <c r="M181" s="276">
        <v>250.94</v>
      </c>
      <c r="N181" s="276">
        <v>354.21</v>
      </c>
      <c r="O181" s="276">
        <v>303.57</v>
      </c>
      <c r="P181" s="276">
        <v>348.96</v>
      </c>
      <c r="Q181" s="276">
        <v>218.08</v>
      </c>
      <c r="R181" s="276">
        <v>358.95</v>
      </c>
    </row>
    <row r="182" spans="1:18" s="153" customFormat="1" ht="12.6" customHeight="1" x14ac:dyDescent="0.2">
      <c r="A182" s="99" t="s">
        <v>2066</v>
      </c>
      <c r="B182" s="135" t="s">
        <v>557</v>
      </c>
      <c r="C182" s="237">
        <v>335.29</v>
      </c>
      <c r="D182" s="237">
        <v>8.7799999999999994</v>
      </c>
      <c r="E182" s="237">
        <v>8.1369466625858866</v>
      </c>
      <c r="F182" s="237">
        <v>362.17</v>
      </c>
      <c r="G182" s="237">
        <v>8.1300000000000008</v>
      </c>
      <c r="H182" s="237">
        <v>8.0798710500757274</v>
      </c>
      <c r="I182" s="237">
        <v>300.82</v>
      </c>
      <c r="J182" s="237">
        <v>9.82</v>
      </c>
      <c r="K182" s="237">
        <v>8.2276739940480681</v>
      </c>
      <c r="L182" s="237">
        <v>344.49</v>
      </c>
      <c r="M182" s="237">
        <v>252.28</v>
      </c>
      <c r="N182" s="237">
        <v>355.04</v>
      </c>
      <c r="O182" s="237">
        <v>303.89999999999998</v>
      </c>
      <c r="P182" s="237">
        <v>349.49</v>
      </c>
      <c r="Q182" s="237">
        <v>218.58</v>
      </c>
      <c r="R182" s="237">
        <v>360.12</v>
      </c>
    </row>
    <row r="183" spans="1:18" s="153" customFormat="1" ht="12.6" customHeight="1" thickBot="1" x14ac:dyDescent="0.25">
      <c r="A183" s="99" t="s">
        <v>2066</v>
      </c>
      <c r="B183" s="1120" t="s">
        <v>549</v>
      </c>
      <c r="C183" s="445">
        <v>339.07</v>
      </c>
      <c r="D183" s="445">
        <v>9.33</v>
      </c>
      <c r="E183" s="445">
        <v>8.394744564344748</v>
      </c>
      <c r="F183" s="445">
        <v>368.09</v>
      </c>
      <c r="G183" s="445">
        <v>9.09</v>
      </c>
      <c r="H183" s="445">
        <v>8.3074138282684284</v>
      </c>
      <c r="I183" s="445">
        <v>301.87</v>
      </c>
      <c r="J183" s="445">
        <v>9.7200000000000006</v>
      </c>
      <c r="K183" s="445">
        <v>8.5325527354625628</v>
      </c>
      <c r="L183" s="445">
        <v>345.29</v>
      </c>
      <c r="M183" s="445">
        <v>253.4</v>
      </c>
      <c r="N183" s="445">
        <v>355.94</v>
      </c>
      <c r="O183" s="445">
        <v>304.94</v>
      </c>
      <c r="P183" s="445">
        <v>350.41</v>
      </c>
      <c r="Q183" s="445">
        <v>218.77</v>
      </c>
      <c r="R183" s="445">
        <v>362.65</v>
      </c>
    </row>
    <row r="184" spans="1:18" s="153" customFormat="1" ht="12.6" customHeight="1" x14ac:dyDescent="0.2">
      <c r="A184" s="99" t="s">
        <v>2066</v>
      </c>
      <c r="B184" s="292" t="s">
        <v>558</v>
      </c>
      <c r="C184" s="276">
        <v>111.45</v>
      </c>
      <c r="D184" s="276">
        <v>9.24</v>
      </c>
      <c r="E184" s="276">
        <v>8.64</v>
      </c>
      <c r="F184" s="276">
        <v>111.26</v>
      </c>
      <c r="G184" s="276">
        <v>8.84</v>
      </c>
      <c r="H184" s="276" t="s">
        <v>288</v>
      </c>
      <c r="I184" s="276">
        <v>111.6</v>
      </c>
      <c r="J184" s="276">
        <v>9.7200000000000006</v>
      </c>
      <c r="K184" s="276" t="s">
        <v>288</v>
      </c>
      <c r="L184" s="276">
        <v>115.81</v>
      </c>
      <c r="M184" s="276">
        <v>107.99</v>
      </c>
      <c r="N184" s="276">
        <v>111.71</v>
      </c>
      <c r="O184" s="276">
        <v>113.8</v>
      </c>
      <c r="P184" s="276">
        <v>108.05</v>
      </c>
      <c r="Q184" s="276">
        <v>110.11</v>
      </c>
      <c r="R184" s="276">
        <v>106.64</v>
      </c>
    </row>
    <row r="185" spans="1:18" s="153" customFormat="1" ht="12.6" customHeight="1" x14ac:dyDescent="0.2">
      <c r="A185" s="99" t="s">
        <v>2066</v>
      </c>
      <c r="B185" s="292" t="s">
        <v>559</v>
      </c>
      <c r="C185" s="276">
        <v>111.06</v>
      </c>
      <c r="D185" s="276">
        <v>9.94</v>
      </c>
      <c r="E185" s="276">
        <v>8.84</v>
      </c>
      <c r="F185" s="276">
        <v>109.62</v>
      </c>
      <c r="G185" s="276">
        <v>9.24</v>
      </c>
      <c r="H185" s="276" t="s">
        <v>288</v>
      </c>
      <c r="I185" s="276">
        <v>112.22</v>
      </c>
      <c r="J185" s="276">
        <v>9.9600000000000009</v>
      </c>
      <c r="K185" s="276" t="s">
        <v>288</v>
      </c>
      <c r="L185" s="276">
        <v>117.11</v>
      </c>
      <c r="M185" s="276">
        <v>108.18</v>
      </c>
      <c r="N185" s="276">
        <v>112.4</v>
      </c>
      <c r="O185" s="276">
        <v>113.93</v>
      </c>
      <c r="P185" s="276">
        <v>109.5</v>
      </c>
      <c r="Q185" s="276">
        <v>110.38</v>
      </c>
      <c r="R185" s="276">
        <v>106.64</v>
      </c>
    </row>
    <row r="186" spans="1:18" s="153" customFormat="1" ht="12.6" customHeight="1" x14ac:dyDescent="0.2">
      <c r="A186" s="99" t="s">
        <v>2066</v>
      </c>
      <c r="B186" s="292" t="s">
        <v>550</v>
      </c>
      <c r="C186" s="276">
        <v>112.46</v>
      </c>
      <c r="D186" s="276">
        <v>9.74</v>
      </c>
      <c r="E186" s="276">
        <v>9.02</v>
      </c>
      <c r="F186" s="276">
        <v>112.25</v>
      </c>
      <c r="G186" s="276">
        <v>9.73</v>
      </c>
      <c r="H186" s="276" t="s">
        <v>288</v>
      </c>
      <c r="I186" s="276">
        <v>112.63</v>
      </c>
      <c r="J186" s="276">
        <v>9.6</v>
      </c>
      <c r="K186" s="276" t="s">
        <v>288</v>
      </c>
      <c r="L186" s="276">
        <v>117.77</v>
      </c>
      <c r="M186" s="276">
        <v>108.4</v>
      </c>
      <c r="N186" s="276">
        <v>113.39</v>
      </c>
      <c r="O186" s="276">
        <v>114.03</v>
      </c>
      <c r="P186" s="276">
        <v>109.52</v>
      </c>
      <c r="Q186" s="276">
        <v>110.52</v>
      </c>
      <c r="R186" s="276">
        <v>106.64</v>
      </c>
    </row>
    <row r="187" spans="1:18" s="153" customFormat="1" ht="12.6" customHeight="1" x14ac:dyDescent="0.2">
      <c r="A187" s="99" t="s">
        <v>2066</v>
      </c>
      <c r="B187" s="292"/>
      <c r="C187" s="276"/>
      <c r="D187" s="276"/>
      <c r="E187" s="276"/>
      <c r="F187" s="276"/>
      <c r="G187" s="276"/>
      <c r="H187" s="276"/>
      <c r="I187" s="276"/>
      <c r="J187" s="276"/>
      <c r="K187" s="276"/>
      <c r="L187" s="276"/>
      <c r="M187" s="276"/>
      <c r="N187" s="276"/>
      <c r="O187" s="276"/>
      <c r="P187" s="276"/>
      <c r="Q187" s="276"/>
      <c r="R187" s="276"/>
    </row>
    <row r="188" spans="1:18" s="153" customFormat="1" ht="12.6" customHeight="1" x14ac:dyDescent="0.2">
      <c r="A188" s="99" t="s">
        <v>2066</v>
      </c>
      <c r="B188" s="292"/>
      <c r="C188" s="276"/>
      <c r="D188" s="276"/>
      <c r="E188" s="276"/>
      <c r="F188" s="276"/>
      <c r="G188" s="276"/>
      <c r="H188" s="276"/>
      <c r="I188" s="276"/>
      <c r="J188" s="276"/>
      <c r="K188" s="276"/>
      <c r="L188" s="276"/>
      <c r="M188" s="276"/>
      <c r="N188" s="276"/>
      <c r="O188" s="276"/>
      <c r="P188" s="276"/>
      <c r="Q188" s="276"/>
      <c r="R188" s="276"/>
    </row>
    <row r="189" spans="1:18" s="153" customFormat="1" ht="12.6" customHeight="1" x14ac:dyDescent="0.2">
      <c r="A189" s="99" t="s">
        <v>2066</v>
      </c>
      <c r="B189" s="292"/>
      <c r="C189" s="276"/>
      <c r="D189" s="276"/>
      <c r="E189" s="276"/>
      <c r="F189" s="276"/>
      <c r="G189" s="276"/>
      <c r="H189" s="276"/>
      <c r="I189" s="276"/>
      <c r="J189" s="276"/>
      <c r="K189" s="276"/>
      <c r="L189" s="276"/>
      <c r="M189" s="276"/>
      <c r="N189" s="276"/>
      <c r="O189" s="276"/>
      <c r="P189" s="276"/>
      <c r="Q189" s="276"/>
      <c r="R189" s="276"/>
    </row>
    <row r="190" spans="1:18" s="153" customFormat="1" ht="12.6" customHeight="1" x14ac:dyDescent="0.2">
      <c r="A190" s="99" t="s">
        <v>3186</v>
      </c>
      <c r="B190" s="292"/>
      <c r="C190" s="276"/>
      <c r="D190" s="276"/>
      <c r="E190" s="276"/>
      <c r="F190" s="276"/>
      <c r="G190" s="276"/>
      <c r="H190" s="276"/>
      <c r="I190" s="276"/>
      <c r="J190" s="276"/>
      <c r="K190" s="276"/>
      <c r="L190" s="276"/>
      <c r="M190" s="276"/>
      <c r="N190" s="276"/>
      <c r="O190" s="276"/>
      <c r="P190" s="276"/>
      <c r="Q190" s="276"/>
      <c r="R190" s="276"/>
    </row>
    <row r="191" spans="1:18" s="153" customFormat="1" ht="12.6" customHeight="1" x14ac:dyDescent="0.2">
      <c r="A191" s="99" t="s">
        <v>3187</v>
      </c>
      <c r="B191" s="292"/>
      <c r="C191" s="276"/>
      <c r="D191" s="276"/>
      <c r="E191" s="276"/>
      <c r="F191" s="276"/>
      <c r="G191" s="276"/>
      <c r="H191" s="276"/>
      <c r="I191" s="276"/>
      <c r="J191" s="276"/>
      <c r="K191" s="276"/>
      <c r="L191" s="276"/>
      <c r="M191" s="276"/>
      <c r="N191" s="276"/>
      <c r="O191" s="276"/>
      <c r="P191" s="276"/>
      <c r="Q191" s="276"/>
      <c r="R191" s="276"/>
    </row>
    <row r="192" spans="1:18" s="153" customFormat="1" ht="12.6" customHeight="1" x14ac:dyDescent="0.2">
      <c r="A192" s="99" t="s">
        <v>3188</v>
      </c>
      <c r="B192" s="292"/>
      <c r="C192" s="276"/>
      <c r="D192" s="276"/>
      <c r="E192" s="276"/>
      <c r="F192" s="276"/>
      <c r="G192" s="276"/>
      <c r="H192" s="276"/>
      <c r="I192" s="276"/>
      <c r="J192" s="276"/>
      <c r="K192" s="276"/>
      <c r="L192" s="276"/>
      <c r="M192" s="276"/>
      <c r="N192" s="276"/>
      <c r="O192" s="276"/>
      <c r="P192" s="276"/>
      <c r="Q192" s="276"/>
      <c r="R192" s="276"/>
    </row>
    <row r="193" spans="1:18" s="153" customFormat="1" ht="12.6" customHeight="1" x14ac:dyDescent="0.2">
      <c r="A193" s="99" t="s">
        <v>3189</v>
      </c>
      <c r="B193" s="292"/>
      <c r="C193" s="276"/>
      <c r="D193" s="276"/>
      <c r="E193" s="276"/>
      <c r="F193" s="276"/>
      <c r="G193" s="276"/>
      <c r="H193" s="276"/>
      <c r="I193" s="276"/>
      <c r="J193" s="276"/>
      <c r="K193" s="276"/>
      <c r="L193" s="276"/>
      <c r="M193" s="276"/>
      <c r="N193" s="276"/>
      <c r="O193" s="276"/>
      <c r="P193" s="276"/>
      <c r="Q193" s="276"/>
      <c r="R193" s="276"/>
    </row>
    <row r="194" spans="1:18" s="153" customFormat="1" ht="12.6" customHeight="1" x14ac:dyDescent="0.2">
      <c r="A194" s="99"/>
      <c r="B194" s="292"/>
      <c r="C194" s="276"/>
      <c r="D194" s="276"/>
      <c r="E194" s="276"/>
      <c r="F194" s="276"/>
      <c r="G194" s="276"/>
      <c r="H194" s="276"/>
      <c r="I194" s="276"/>
      <c r="J194" s="276"/>
      <c r="K194" s="276"/>
      <c r="L194" s="276"/>
      <c r="M194" s="276"/>
      <c r="N194" s="276"/>
      <c r="O194" s="276"/>
      <c r="P194" s="276"/>
      <c r="Q194" s="276"/>
      <c r="R194" s="276"/>
    </row>
    <row r="195" spans="1:18" s="153" customFormat="1" ht="12.6" customHeight="1" x14ac:dyDescent="0.2">
      <c r="A195" s="99"/>
      <c r="B195" s="292"/>
      <c r="C195" s="276"/>
      <c r="D195" s="276"/>
      <c r="E195" s="276"/>
      <c r="F195" s="276"/>
      <c r="G195" s="276"/>
      <c r="H195" s="276"/>
      <c r="I195" s="276"/>
      <c r="J195" s="276"/>
      <c r="K195" s="276"/>
      <c r="L195" s="276"/>
      <c r="M195" s="276"/>
      <c r="N195" s="276"/>
      <c r="O195" s="276"/>
      <c r="P195" s="276"/>
      <c r="Q195" s="276"/>
      <c r="R195" s="276"/>
    </row>
    <row r="196" spans="1:18" s="153" customFormat="1" ht="12.6" customHeight="1" x14ac:dyDescent="0.2">
      <c r="A196" s="99"/>
      <c r="B196" s="292"/>
      <c r="C196" s="276"/>
      <c r="D196" s="276"/>
      <c r="E196" s="276"/>
      <c r="F196" s="276"/>
      <c r="G196" s="276"/>
      <c r="H196" s="276"/>
      <c r="I196" s="276"/>
      <c r="J196" s="276"/>
      <c r="K196" s="276"/>
      <c r="L196" s="276"/>
      <c r="M196" s="276"/>
      <c r="N196" s="276"/>
      <c r="O196" s="276"/>
      <c r="P196" s="276"/>
      <c r="Q196" s="276"/>
      <c r="R196" s="276"/>
    </row>
    <row r="197" spans="1:18" s="153" customFormat="1" ht="12.6" customHeight="1" x14ac:dyDescent="0.2">
      <c r="A197" s="99"/>
      <c r="B197" s="292"/>
      <c r="C197" s="276"/>
      <c r="D197" s="276"/>
      <c r="E197" s="276"/>
      <c r="F197" s="276"/>
      <c r="G197" s="276"/>
      <c r="H197" s="276"/>
      <c r="I197" s="276"/>
      <c r="J197" s="276"/>
      <c r="K197" s="276"/>
      <c r="L197" s="276"/>
      <c r="M197" s="276"/>
      <c r="N197" s="276"/>
      <c r="O197" s="276"/>
      <c r="P197" s="276"/>
      <c r="Q197" s="276"/>
      <c r="R197" s="276"/>
    </row>
    <row r="198" spans="1:18" s="153" customFormat="1" ht="12.6" customHeight="1" x14ac:dyDescent="0.2">
      <c r="A198" s="99"/>
      <c r="B198" s="292"/>
      <c r="C198" s="276"/>
      <c r="D198" s="276"/>
      <c r="E198" s="276"/>
      <c r="F198" s="276"/>
      <c r="G198" s="276"/>
      <c r="H198" s="276"/>
      <c r="I198" s="276"/>
      <c r="J198" s="276"/>
      <c r="K198" s="276"/>
      <c r="L198" s="276"/>
      <c r="M198" s="276"/>
      <c r="N198" s="276"/>
      <c r="O198" s="276"/>
      <c r="P198" s="276"/>
      <c r="Q198" s="276"/>
      <c r="R198" s="276"/>
    </row>
    <row r="199" spans="1:18" s="153" customFormat="1" ht="12.6" customHeight="1" x14ac:dyDescent="0.2">
      <c r="A199" s="99"/>
      <c r="B199" s="292"/>
      <c r="C199" s="276"/>
      <c r="D199" s="276"/>
      <c r="E199" s="276"/>
      <c r="F199" s="276"/>
      <c r="G199" s="276"/>
      <c r="H199" s="276"/>
      <c r="I199" s="276"/>
      <c r="J199" s="276"/>
      <c r="K199" s="276"/>
      <c r="L199" s="276"/>
      <c r="M199" s="276"/>
      <c r="N199" s="276"/>
      <c r="O199" s="276"/>
      <c r="P199" s="276"/>
      <c r="Q199" s="276"/>
      <c r="R199" s="276"/>
    </row>
    <row r="200" spans="1:18" s="153" customFormat="1" ht="12.6" customHeight="1" x14ac:dyDescent="0.2">
      <c r="A200" s="99"/>
      <c r="B200" s="292"/>
      <c r="C200" s="276"/>
      <c r="D200" s="276"/>
      <c r="E200" s="276"/>
      <c r="F200" s="276"/>
      <c r="G200" s="276"/>
      <c r="H200" s="276"/>
      <c r="I200" s="276"/>
      <c r="J200" s="276"/>
      <c r="K200" s="276"/>
      <c r="L200" s="276"/>
      <c r="M200" s="276"/>
      <c r="N200" s="276"/>
      <c r="O200" s="276"/>
      <c r="P200" s="276"/>
      <c r="Q200" s="276"/>
      <c r="R200" s="276"/>
    </row>
    <row r="201" spans="1:18" s="153" customFormat="1" ht="12.6" customHeight="1" x14ac:dyDescent="0.2">
      <c r="A201" s="99"/>
      <c r="B201" s="292"/>
      <c r="C201" s="276"/>
      <c r="D201" s="276"/>
      <c r="E201" s="276"/>
      <c r="F201" s="276"/>
      <c r="G201" s="276"/>
      <c r="H201" s="276"/>
      <c r="I201" s="276"/>
      <c r="J201" s="276"/>
      <c r="K201" s="276"/>
      <c r="L201" s="276"/>
      <c r="M201" s="276"/>
      <c r="N201" s="276"/>
      <c r="O201" s="276"/>
      <c r="P201" s="276"/>
      <c r="Q201" s="276"/>
      <c r="R201" s="276"/>
    </row>
    <row r="202" spans="1:18" s="153" customFormat="1" ht="12.6" customHeight="1" x14ac:dyDescent="0.2">
      <c r="A202" s="99"/>
      <c r="B202" s="292"/>
      <c r="C202" s="276"/>
      <c r="D202" s="276"/>
      <c r="E202" s="276"/>
      <c r="F202" s="276"/>
      <c r="G202" s="276"/>
      <c r="H202" s="276"/>
      <c r="I202" s="276"/>
      <c r="J202" s="276"/>
      <c r="K202" s="276"/>
      <c r="L202" s="276"/>
      <c r="M202" s="276"/>
      <c r="N202" s="276"/>
      <c r="O202" s="276"/>
      <c r="P202" s="276"/>
      <c r="Q202" s="276"/>
      <c r="R202" s="276"/>
    </row>
    <row r="203" spans="1:18" s="153" customFormat="1" ht="12.6" customHeight="1" x14ac:dyDescent="0.2">
      <c r="A203" s="99"/>
      <c r="B203" s="292"/>
      <c r="C203" s="276"/>
      <c r="D203" s="276"/>
      <c r="E203" s="276"/>
      <c r="F203" s="276"/>
      <c r="G203" s="276"/>
      <c r="H203" s="276"/>
      <c r="I203" s="276"/>
      <c r="J203" s="276"/>
      <c r="K203" s="276"/>
      <c r="L203" s="276"/>
      <c r="M203" s="276"/>
      <c r="N203" s="276"/>
      <c r="O203" s="276"/>
      <c r="P203" s="276"/>
      <c r="Q203" s="276"/>
      <c r="R203" s="276"/>
    </row>
    <row r="204" spans="1:18" s="153" customFormat="1" ht="12.6" customHeight="1" x14ac:dyDescent="0.2">
      <c r="A204" s="99"/>
      <c r="B204" s="292"/>
      <c r="C204" s="276"/>
      <c r="D204" s="276"/>
      <c r="E204" s="276"/>
      <c r="F204" s="276"/>
      <c r="G204" s="276"/>
      <c r="H204" s="276"/>
      <c r="I204" s="276"/>
      <c r="J204" s="276"/>
      <c r="K204" s="276"/>
      <c r="L204" s="276"/>
      <c r="M204" s="276"/>
      <c r="N204" s="276"/>
      <c r="O204" s="276"/>
      <c r="P204" s="276"/>
      <c r="Q204" s="276"/>
      <c r="R204" s="276"/>
    </row>
    <row r="205" spans="1:18" s="153" customFormat="1" ht="12.6" customHeight="1" x14ac:dyDescent="0.2">
      <c r="A205" s="99"/>
      <c r="B205" s="292"/>
      <c r="C205" s="276"/>
      <c r="D205" s="276"/>
      <c r="E205" s="276"/>
      <c r="F205" s="276"/>
      <c r="G205" s="276"/>
      <c r="H205" s="276"/>
      <c r="I205" s="276"/>
      <c r="J205" s="276"/>
      <c r="K205" s="276"/>
      <c r="L205" s="276"/>
      <c r="M205" s="276"/>
      <c r="N205" s="276"/>
      <c r="O205" s="276"/>
      <c r="P205" s="276"/>
      <c r="Q205" s="276"/>
      <c r="R205" s="276"/>
    </row>
    <row r="206" spans="1:18" s="153" customFormat="1" ht="12.6" customHeight="1" x14ac:dyDescent="0.2">
      <c r="A206" s="99"/>
      <c r="B206" s="292"/>
      <c r="C206" s="276"/>
      <c r="D206" s="276"/>
      <c r="E206" s="276"/>
      <c r="F206" s="276"/>
      <c r="G206" s="276"/>
      <c r="H206" s="276"/>
      <c r="I206" s="276"/>
      <c r="J206" s="276"/>
      <c r="K206" s="276"/>
      <c r="L206" s="276"/>
      <c r="M206" s="276"/>
      <c r="N206" s="276"/>
      <c r="O206" s="276"/>
      <c r="P206" s="276"/>
      <c r="Q206" s="276"/>
      <c r="R206" s="276"/>
    </row>
    <row r="207" spans="1:18" s="153" customFormat="1" ht="11.85" customHeight="1" x14ac:dyDescent="0.2">
      <c r="A207" s="135" t="s">
        <v>2260</v>
      </c>
      <c r="B207" s="135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</row>
    <row r="208" spans="1:18" x14ac:dyDescent="0.2">
      <c r="A208" s="2659" t="s">
        <v>2261</v>
      </c>
      <c r="B208" s="2659"/>
      <c r="C208" s="2659"/>
      <c r="D208" s="2659"/>
      <c r="E208" s="2659"/>
      <c r="F208" s="98"/>
      <c r="G208" s="98"/>
      <c r="H208" s="25"/>
      <c r="I208" s="29" t="s">
        <v>364</v>
      </c>
      <c r="J208" s="29"/>
      <c r="K208" s="29"/>
      <c r="L208" s="25"/>
      <c r="M208" s="25"/>
      <c r="N208" s="25"/>
      <c r="O208" s="25"/>
      <c r="P208" s="25"/>
      <c r="Q208" s="25"/>
      <c r="R208" s="25"/>
    </row>
    <row r="209" spans="1:18" x14ac:dyDescent="0.2">
      <c r="F209" s="888"/>
      <c r="G209" s="29"/>
      <c r="H209" s="29"/>
      <c r="I209" s="29"/>
      <c r="J209" s="29"/>
    </row>
    <row r="210" spans="1:18" x14ac:dyDescent="0.2">
      <c r="A210" s="29"/>
      <c r="B210" s="29"/>
      <c r="C210" s="29"/>
      <c r="D210" s="29"/>
      <c r="E210" s="29"/>
      <c r="F210" s="889"/>
      <c r="G210" s="1115"/>
      <c r="H210" s="554"/>
      <c r="I210" s="1115"/>
      <c r="J210" s="139"/>
      <c r="K210" s="554"/>
      <c r="L210" s="64"/>
      <c r="M210" s="64"/>
      <c r="N210" s="64"/>
      <c r="O210" s="64"/>
    </row>
    <row r="211" spans="1:18" x14ac:dyDescent="0.2">
      <c r="C211" s="82"/>
      <c r="D211" s="82"/>
      <c r="E211" s="82"/>
      <c r="F211" s="82"/>
      <c r="G211" s="82"/>
      <c r="I211" s="82"/>
      <c r="J211" s="237"/>
    </row>
    <row r="212" spans="1:18" x14ac:dyDescent="0.2">
      <c r="C212" s="82"/>
      <c r="D212" s="237"/>
      <c r="E212" s="82"/>
      <c r="F212" s="82"/>
      <c r="G212" s="237"/>
      <c r="H212" s="82"/>
      <c r="I212" s="82"/>
      <c r="J212" s="237"/>
      <c r="K212" s="82"/>
    </row>
    <row r="213" spans="1:18" x14ac:dyDescent="0.2">
      <c r="A213" s="234"/>
      <c r="B213" s="234"/>
      <c r="C213" s="237"/>
      <c r="D213" s="237"/>
      <c r="E213" s="237"/>
      <c r="F213" s="237"/>
      <c r="G213" s="237"/>
      <c r="H213" s="237"/>
      <c r="I213" s="237"/>
      <c r="J213" s="237"/>
      <c r="K213" s="237"/>
      <c r="M213" s="237"/>
      <c r="N213" s="237"/>
      <c r="O213" s="237"/>
      <c r="P213" s="237"/>
      <c r="Q213" s="237"/>
      <c r="R213" s="237"/>
    </row>
    <row r="214" spans="1:18" x14ac:dyDescent="0.2">
      <c r="C214" s="237"/>
      <c r="D214" s="237"/>
      <c r="E214" s="237"/>
      <c r="F214" s="237"/>
      <c r="G214" s="237"/>
      <c r="H214" s="237"/>
      <c r="I214" s="237"/>
      <c r="J214" s="237"/>
      <c r="K214" s="237"/>
    </row>
    <row r="215" spans="1:18" x14ac:dyDescent="0.2">
      <c r="C215" s="237"/>
      <c r="D215" s="237"/>
      <c r="E215" s="237"/>
      <c r="F215" s="237"/>
      <c r="G215" s="237"/>
      <c r="H215" s="237"/>
      <c r="I215" s="237"/>
      <c r="J215" s="237"/>
      <c r="K215" s="237"/>
    </row>
    <row r="216" spans="1:18" x14ac:dyDescent="0.2">
      <c r="I216" s="82"/>
    </row>
    <row r="217" spans="1:18" x14ac:dyDescent="0.2">
      <c r="D217" s="554"/>
      <c r="G217" s="82"/>
      <c r="J217" s="82"/>
    </row>
  </sheetData>
  <customSheetViews>
    <customSheetView guid="{A374FC54-96E3-45F0-9C12-8450400C12DF}" scale="150">
      <pane xSplit="1" ySplit="6" topLeftCell="B10" activePane="bottomRight" state="frozen"/>
      <selection pane="bottomRight" activeCell="A12" sqref="A12:L14"/>
      <pageMargins left="0.62992125984252001" right="0.39370078740157499" top="0.511811023622047" bottom="0.511811023622047" header="0" footer="0.511811023622047"/>
      <pageSetup paperSize="132" firstPageNumber="42" orientation="portrait" useFirstPageNumber="1" r:id="rId1"/>
      <headerFooter alignWithMargins="0">
        <oddFooter>&amp;C&amp;"Times New Roman,Regular"&amp;8&amp;P</oddFooter>
      </headerFooter>
    </customSheetView>
  </customSheetViews>
  <mergeCells count="28">
    <mergeCell ref="E1:K1"/>
    <mergeCell ref="I4:I5"/>
    <mergeCell ref="G3:H3"/>
    <mergeCell ref="L4:L5"/>
    <mergeCell ref="J3:K3"/>
    <mergeCell ref="D3:E3"/>
    <mergeCell ref="H4:H5"/>
    <mergeCell ref="D4:D5"/>
    <mergeCell ref="H2:K2"/>
    <mergeCell ref="F4:F5"/>
    <mergeCell ref="K4:K5"/>
    <mergeCell ref="L1:Q1"/>
    <mergeCell ref="L3:R3"/>
    <mergeCell ref="P4:P5"/>
    <mergeCell ref="Q4:Q5"/>
    <mergeCell ref="R4:R5"/>
    <mergeCell ref="M4:M5"/>
    <mergeCell ref="N4:N5"/>
    <mergeCell ref="O4:O5"/>
    <mergeCell ref="A208:E208"/>
    <mergeCell ref="E4:E5"/>
    <mergeCell ref="J4:J5"/>
    <mergeCell ref="G6:H6"/>
    <mergeCell ref="G4:G5"/>
    <mergeCell ref="A3:A5"/>
    <mergeCell ref="J6:K6"/>
    <mergeCell ref="D6:E6"/>
    <mergeCell ref="C4:C5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V249"/>
  <sheetViews>
    <sheetView zoomScale="130" zoomScaleNormal="130" zoomScaleSheetLayoutView="100" workbookViewId="0">
      <pane xSplit="2" ySplit="7" topLeftCell="I8" activePane="bottomRight" state="frozen"/>
      <selection pane="topRight" activeCell="C1" sqref="C1"/>
      <selection pane="bottomLeft" activeCell="A8" sqref="A8"/>
      <selection pane="bottomRight" sqref="A1:K1"/>
    </sheetView>
  </sheetViews>
  <sheetFormatPr defaultColWidth="11" defaultRowHeight="12.75" x14ac:dyDescent="0.2"/>
  <cols>
    <col min="1" max="1" width="11" style="1485"/>
    <col min="2" max="2" width="11" style="1692"/>
    <col min="3" max="16384" width="11" style="1485"/>
  </cols>
  <sheetData>
    <row r="1" spans="1:22" ht="15.75" customHeight="1" x14ac:dyDescent="0.2">
      <c r="A1" s="2675" t="s">
        <v>2175</v>
      </c>
      <c r="B1" s="2675"/>
      <c r="C1" s="2675"/>
      <c r="D1" s="2675"/>
      <c r="E1" s="2675"/>
      <c r="F1" s="2675"/>
      <c r="G1" s="2675"/>
      <c r="H1" s="2675"/>
      <c r="I1" s="2675"/>
      <c r="J1" s="2675"/>
      <c r="K1" s="2675"/>
      <c r="L1" s="2676" t="s">
        <v>2790</v>
      </c>
      <c r="M1" s="2676"/>
      <c r="N1" s="2676"/>
      <c r="O1" s="2676"/>
      <c r="P1" s="2676"/>
      <c r="Q1" s="2676"/>
      <c r="R1" s="2676"/>
      <c r="S1" s="2676"/>
      <c r="T1" s="2676"/>
      <c r="U1" s="2676"/>
      <c r="V1" s="2676"/>
    </row>
    <row r="2" spans="1:22" x14ac:dyDescent="0.2">
      <c r="A2" s="19"/>
      <c r="B2" s="19"/>
      <c r="C2" s="845"/>
      <c r="D2" s="19"/>
      <c r="E2" s="19"/>
      <c r="F2" s="19"/>
      <c r="G2" s="845"/>
      <c r="H2" s="2671"/>
      <c r="I2" s="2671"/>
      <c r="J2" s="2671"/>
      <c r="K2" s="2671"/>
      <c r="L2" s="90"/>
      <c r="M2" s="1116"/>
      <c r="N2" s="845"/>
      <c r="O2" s="845"/>
      <c r="P2" s="845"/>
      <c r="Q2" s="845"/>
      <c r="R2" s="845"/>
      <c r="S2" s="845"/>
      <c r="T2" s="845"/>
      <c r="U2" s="845"/>
      <c r="V2" s="845"/>
    </row>
    <row r="3" spans="1:22" ht="12.75" customHeight="1" x14ac:dyDescent="0.2">
      <c r="A3" s="2677" t="s">
        <v>474</v>
      </c>
      <c r="B3" s="2677" t="s">
        <v>3067</v>
      </c>
      <c r="C3" s="1730" t="s">
        <v>493</v>
      </c>
      <c r="D3" s="2678" t="s">
        <v>621</v>
      </c>
      <c r="E3" s="2678"/>
      <c r="F3" s="1730" t="s">
        <v>493</v>
      </c>
      <c r="G3" s="2678" t="s">
        <v>92</v>
      </c>
      <c r="H3" s="2678"/>
      <c r="I3" s="1730" t="s">
        <v>493</v>
      </c>
      <c r="J3" s="2678" t="s">
        <v>93</v>
      </c>
      <c r="K3" s="2678"/>
      <c r="L3" s="1730"/>
      <c r="M3" s="2678" t="s">
        <v>184</v>
      </c>
      <c r="N3" s="2678"/>
      <c r="O3" s="2678"/>
      <c r="P3" s="2678"/>
      <c r="Q3" s="2678"/>
      <c r="R3" s="2678"/>
      <c r="S3" s="2678"/>
      <c r="T3" s="2678"/>
      <c r="U3" s="2678"/>
      <c r="V3" s="2678"/>
    </row>
    <row r="4" spans="1:22" ht="12" customHeight="1" x14ac:dyDescent="0.2">
      <c r="A4" s="2677"/>
      <c r="B4" s="2677"/>
      <c r="C4" s="2677" t="s">
        <v>494</v>
      </c>
      <c r="D4" s="2677" t="s">
        <v>94</v>
      </c>
      <c r="E4" s="2677" t="s">
        <v>95</v>
      </c>
      <c r="F4" s="2677" t="s">
        <v>491</v>
      </c>
      <c r="G4" s="2677" t="s">
        <v>94</v>
      </c>
      <c r="H4" s="2677" t="s">
        <v>95</v>
      </c>
      <c r="I4" s="2677" t="s">
        <v>254</v>
      </c>
      <c r="J4" s="2677" t="s">
        <v>110</v>
      </c>
      <c r="K4" s="2677" t="s">
        <v>95</v>
      </c>
      <c r="L4" s="2677" t="s">
        <v>2176</v>
      </c>
      <c r="M4" s="2677" t="s">
        <v>19</v>
      </c>
      <c r="N4" s="2678" t="s">
        <v>2177</v>
      </c>
      <c r="O4" s="2677" t="s">
        <v>2178</v>
      </c>
      <c r="P4" s="2677" t="s">
        <v>2179</v>
      </c>
      <c r="Q4" s="2677" t="s">
        <v>2180</v>
      </c>
      <c r="R4" s="2677" t="s">
        <v>2181</v>
      </c>
      <c r="S4" s="2678" t="s">
        <v>2182</v>
      </c>
      <c r="T4" s="2678" t="s">
        <v>1970</v>
      </c>
      <c r="U4" s="2678" t="s">
        <v>2183</v>
      </c>
      <c r="V4" s="2677" t="s">
        <v>852</v>
      </c>
    </row>
    <row r="5" spans="1:22" ht="24" customHeight="1" x14ac:dyDescent="0.2">
      <c r="A5" s="2677"/>
      <c r="B5" s="2677"/>
      <c r="C5" s="2677"/>
      <c r="D5" s="2677"/>
      <c r="E5" s="2677"/>
      <c r="F5" s="2677"/>
      <c r="G5" s="2677"/>
      <c r="H5" s="2677"/>
      <c r="I5" s="2677"/>
      <c r="J5" s="2677"/>
      <c r="K5" s="2677"/>
      <c r="L5" s="2677"/>
      <c r="M5" s="2677"/>
      <c r="N5" s="2678"/>
      <c r="O5" s="2677"/>
      <c r="P5" s="2677"/>
      <c r="Q5" s="2677"/>
      <c r="R5" s="2677"/>
      <c r="S5" s="2678"/>
      <c r="T5" s="2678"/>
      <c r="U5" s="2678"/>
      <c r="V5" s="2677"/>
    </row>
    <row r="6" spans="1:22" ht="12.75" customHeight="1" x14ac:dyDescent="0.2">
      <c r="A6" s="1732" t="s">
        <v>561</v>
      </c>
      <c r="B6" s="1732"/>
      <c r="C6" s="1733">
        <v>100</v>
      </c>
      <c r="D6" s="2679" t="s">
        <v>140</v>
      </c>
      <c r="E6" s="2679"/>
      <c r="F6" s="1733">
        <v>44.86</v>
      </c>
      <c r="G6" s="2679" t="s">
        <v>140</v>
      </c>
      <c r="H6" s="2679"/>
      <c r="I6" s="1733">
        <v>55.14</v>
      </c>
      <c r="J6" s="2679" t="s">
        <v>140</v>
      </c>
      <c r="K6" s="2679"/>
      <c r="L6" s="1733">
        <v>2.64</v>
      </c>
      <c r="M6" s="1733">
        <v>6.11</v>
      </c>
      <c r="N6" s="1733">
        <v>15.24</v>
      </c>
      <c r="O6" s="1733">
        <v>3.84</v>
      </c>
      <c r="P6" s="1733">
        <v>4.34</v>
      </c>
      <c r="Q6" s="1733">
        <v>9.3699999999999992</v>
      </c>
      <c r="R6" s="1733">
        <v>2.34</v>
      </c>
      <c r="S6" s="1733">
        <v>1.54</v>
      </c>
      <c r="T6" s="1733">
        <v>3.76</v>
      </c>
      <c r="U6" s="1733">
        <v>2.17</v>
      </c>
      <c r="V6" s="1733">
        <v>3.79</v>
      </c>
    </row>
    <row r="7" spans="1:22" s="1707" customFormat="1" ht="12.75" customHeight="1" x14ac:dyDescent="0.2">
      <c r="A7" s="1732"/>
      <c r="B7" s="1732"/>
      <c r="C7" s="1733">
        <v>1</v>
      </c>
      <c r="D7" s="1733">
        <v>2</v>
      </c>
      <c r="E7" s="1733">
        <v>3</v>
      </c>
      <c r="F7" s="1733">
        <v>4</v>
      </c>
      <c r="G7" s="1733">
        <v>5</v>
      </c>
      <c r="H7" s="1733">
        <v>6</v>
      </c>
      <c r="I7" s="1733">
        <v>7</v>
      </c>
      <c r="J7" s="1733">
        <v>8</v>
      </c>
      <c r="K7" s="1733">
        <v>9</v>
      </c>
      <c r="L7" s="1733">
        <v>10</v>
      </c>
      <c r="M7" s="1733">
        <v>11</v>
      </c>
      <c r="N7" s="1733">
        <v>12</v>
      </c>
      <c r="O7" s="1733">
        <v>13</v>
      </c>
      <c r="P7" s="1733">
        <v>14</v>
      </c>
      <c r="Q7" s="1733">
        <v>15</v>
      </c>
      <c r="R7" s="1733">
        <v>16</v>
      </c>
      <c r="S7" s="1733">
        <v>17</v>
      </c>
      <c r="T7" s="1733">
        <v>18</v>
      </c>
      <c r="U7" s="1733">
        <v>19</v>
      </c>
      <c r="V7" s="1733">
        <v>20</v>
      </c>
    </row>
    <row r="8" spans="1:22" s="690" customFormat="1" ht="14.1" customHeight="1" x14ac:dyDescent="0.2">
      <c r="A8" s="1490" t="s">
        <v>1817</v>
      </c>
      <c r="B8" s="1693"/>
      <c r="C8" s="237">
        <v>100</v>
      </c>
      <c r="D8" s="237">
        <v>7.5574682481368765</v>
      </c>
      <c r="E8" s="237">
        <v>6.1496545684538217</v>
      </c>
      <c r="F8" s="237">
        <v>100</v>
      </c>
      <c r="G8" s="237">
        <v>8.3695306706218933</v>
      </c>
      <c r="H8" s="237">
        <v>6.0520361990950011</v>
      </c>
      <c r="I8" s="237">
        <v>100</v>
      </c>
      <c r="J8" s="237">
        <v>6.3217796171753751</v>
      </c>
      <c r="K8" s="237">
        <v>6.3048138764373318</v>
      </c>
      <c r="L8" s="237" t="s">
        <v>288</v>
      </c>
      <c r="M8" s="237">
        <v>100</v>
      </c>
      <c r="N8" s="237">
        <v>100</v>
      </c>
      <c r="O8" s="237">
        <v>100</v>
      </c>
      <c r="P8" s="237">
        <v>100</v>
      </c>
      <c r="Q8" s="237">
        <v>100</v>
      </c>
      <c r="R8" s="237" t="s">
        <v>288</v>
      </c>
      <c r="S8" s="237">
        <v>100</v>
      </c>
      <c r="T8" s="237" t="s">
        <v>288</v>
      </c>
      <c r="U8" s="237" t="s">
        <v>288</v>
      </c>
      <c r="V8" s="237">
        <v>100</v>
      </c>
    </row>
    <row r="9" spans="1:22" ht="14.1" customHeight="1" x14ac:dyDescent="0.2">
      <c r="A9" s="1492" t="s">
        <v>2066</v>
      </c>
      <c r="B9" s="1701"/>
      <c r="C9" s="315">
        <v>109.02</v>
      </c>
      <c r="D9" s="315">
        <v>9.7491948863081834</v>
      </c>
      <c r="E9" s="315">
        <v>9.0234085284043974</v>
      </c>
      <c r="F9" s="315">
        <v>108.71</v>
      </c>
      <c r="G9" s="315">
        <v>9.7370221918075988</v>
      </c>
      <c r="H9" s="315">
        <v>8.7133333333333738</v>
      </c>
      <c r="I9" s="315">
        <v>109.39</v>
      </c>
      <c r="J9" s="315">
        <v>9.6049046321525786</v>
      </c>
      <c r="K9" s="315">
        <v>9.3917449312077572</v>
      </c>
      <c r="L9" s="315" t="s">
        <v>288</v>
      </c>
      <c r="M9" s="315">
        <v>106.71</v>
      </c>
      <c r="N9" s="315">
        <v>108.25</v>
      </c>
      <c r="O9" s="315">
        <v>109.68</v>
      </c>
      <c r="P9" s="315">
        <v>114.09</v>
      </c>
      <c r="Q9" s="315">
        <v>109.67</v>
      </c>
      <c r="R9" s="315" t="s">
        <v>288</v>
      </c>
      <c r="S9" s="315">
        <v>108.58</v>
      </c>
      <c r="T9" s="315" t="s">
        <v>288</v>
      </c>
      <c r="U9" s="315" t="s">
        <v>288</v>
      </c>
      <c r="V9" s="315">
        <v>112.05</v>
      </c>
    </row>
    <row r="10" spans="1:22" ht="14.1" customHeight="1" x14ac:dyDescent="0.2">
      <c r="A10" s="778" t="s">
        <v>2206</v>
      </c>
      <c r="B10" s="778"/>
      <c r="C10" s="322">
        <v>119.62749999999998</v>
      </c>
      <c r="D10" s="322">
        <v>9.7200000000000006</v>
      </c>
      <c r="E10" s="322">
        <v>9.73</v>
      </c>
      <c r="F10" s="322">
        <v>120.29750000000001</v>
      </c>
      <c r="G10" s="322">
        <v>10.42</v>
      </c>
      <c r="H10" s="322">
        <f>H204</f>
        <v>10.655700006132317</v>
      </c>
      <c r="I10" s="322">
        <v>119.08499999999999</v>
      </c>
      <c r="J10" s="322">
        <v>9.15</v>
      </c>
      <c r="K10" s="322">
        <f>K204</f>
        <v>8.8619552217202866</v>
      </c>
      <c r="L10" s="322">
        <v>121.23333333333333</v>
      </c>
      <c r="M10" s="322">
        <v>115.7325</v>
      </c>
      <c r="N10" s="322">
        <v>118.94000000000001</v>
      </c>
      <c r="O10" s="322">
        <v>123.80916666666667</v>
      </c>
      <c r="P10" s="322">
        <v>118.23083333333331</v>
      </c>
      <c r="Q10" s="322">
        <v>117.61583333333334</v>
      </c>
      <c r="R10" s="322">
        <v>107.62083333333332</v>
      </c>
      <c r="S10" s="322">
        <v>123.74833333333332</v>
      </c>
      <c r="T10" s="322">
        <v>112.92833333333336</v>
      </c>
      <c r="U10" s="322">
        <v>140.31666666666669</v>
      </c>
      <c r="V10" s="322">
        <v>122.52833333333332</v>
      </c>
    </row>
    <row r="11" spans="1:22" s="1692" customFormat="1" ht="14.1" customHeight="1" x14ac:dyDescent="0.2">
      <c r="A11" s="1492" t="s">
        <v>2479</v>
      </c>
      <c r="B11" s="1701"/>
      <c r="C11" s="315">
        <v>131.62143318332005</v>
      </c>
      <c r="D11" s="315">
        <f>D216</f>
        <v>8.48</v>
      </c>
      <c r="E11" s="315">
        <f>E216</f>
        <v>10.029999999999999</v>
      </c>
      <c r="F11" s="315">
        <v>133.16337218636846</v>
      </c>
      <c r="G11" s="315">
        <f>G216</f>
        <v>7.39</v>
      </c>
      <c r="H11" s="315">
        <f>H216</f>
        <v>10.695705784963639</v>
      </c>
      <c r="I11" s="315">
        <v>130.36712471897576</v>
      </c>
      <c r="J11" s="315">
        <f>J216</f>
        <v>9.3699999999999992</v>
      </c>
      <c r="K11" s="315">
        <f>K216</f>
        <v>9.4722257211235839</v>
      </c>
      <c r="L11" s="315">
        <v>145.04549190035814</v>
      </c>
      <c r="M11" s="315">
        <v>128.7804006446527</v>
      </c>
      <c r="N11" s="315">
        <v>129.5123891017719</v>
      </c>
      <c r="O11" s="315">
        <v>134.06613455403462</v>
      </c>
      <c r="P11" s="315">
        <v>127.27337327147585</v>
      </c>
      <c r="Q11" s="315">
        <v>124.95276973998575</v>
      </c>
      <c r="R11" s="315">
        <v>117.34209021174827</v>
      </c>
      <c r="S11" s="315">
        <v>133.68019120796279</v>
      </c>
      <c r="T11" s="315">
        <v>122.13903057658216</v>
      </c>
      <c r="U11" s="315">
        <v>155.37160768970003</v>
      </c>
      <c r="V11" s="315">
        <v>139.86881591607028</v>
      </c>
    </row>
    <row r="12" spans="1:22" s="1692" customFormat="1" ht="14.1" customHeight="1" x14ac:dyDescent="0.2">
      <c r="A12" s="778"/>
      <c r="B12" s="778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  <c r="O12" s="322"/>
      <c r="P12" s="322"/>
      <c r="Q12" s="322"/>
      <c r="R12" s="322"/>
      <c r="S12" s="322"/>
      <c r="T12" s="322"/>
      <c r="U12" s="322"/>
      <c r="V12" s="322"/>
    </row>
    <row r="13" spans="1:22" s="2254" customFormat="1" ht="14.1" customHeight="1" x14ac:dyDescent="0.2">
      <c r="A13" s="778" t="s">
        <v>189</v>
      </c>
      <c r="B13" s="778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  <c r="O13" s="322"/>
      <c r="P13" s="322"/>
      <c r="Q13" s="322"/>
      <c r="R13" s="322"/>
      <c r="S13" s="322"/>
      <c r="T13" s="322"/>
      <c r="U13" s="322"/>
      <c r="V13" s="322"/>
    </row>
    <row r="14" spans="1:22" s="2254" customFormat="1" ht="14.1" customHeight="1" x14ac:dyDescent="0.2">
      <c r="A14" s="778" t="s">
        <v>189</v>
      </c>
      <c r="B14" s="778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  <c r="O14" s="322"/>
      <c r="P14" s="322"/>
      <c r="Q14" s="322"/>
      <c r="R14" s="322"/>
      <c r="S14" s="322"/>
      <c r="T14" s="322"/>
      <c r="U14" s="322"/>
      <c r="V14" s="322"/>
    </row>
    <row r="15" spans="1:22" s="2254" customFormat="1" ht="14.1" customHeight="1" x14ac:dyDescent="0.2">
      <c r="A15" s="778" t="s">
        <v>189</v>
      </c>
      <c r="B15" s="778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  <c r="O15" s="322"/>
      <c r="P15" s="322"/>
      <c r="Q15" s="322"/>
      <c r="R15" s="322"/>
      <c r="S15" s="322"/>
      <c r="T15" s="322"/>
      <c r="U15" s="322"/>
      <c r="V15" s="322"/>
    </row>
    <row r="16" spans="1:22" s="2254" customFormat="1" ht="14.1" customHeight="1" x14ac:dyDescent="0.2">
      <c r="A16" s="778" t="s">
        <v>189</v>
      </c>
      <c r="B16" s="778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  <c r="O16" s="322"/>
      <c r="P16" s="322"/>
      <c r="Q16" s="322"/>
      <c r="R16" s="322"/>
      <c r="S16" s="322"/>
      <c r="T16" s="322"/>
      <c r="U16" s="322"/>
      <c r="V16" s="322"/>
    </row>
    <row r="17" spans="1:22" s="2254" customFormat="1" ht="14.1" customHeight="1" x14ac:dyDescent="0.2">
      <c r="A17" s="778" t="s">
        <v>189</v>
      </c>
      <c r="B17" s="778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2"/>
      <c r="U17" s="322"/>
      <c r="V17" s="322"/>
    </row>
    <row r="18" spans="1:22" s="2254" customFormat="1" ht="14.1" customHeight="1" x14ac:dyDescent="0.2">
      <c r="A18" s="778" t="s">
        <v>189</v>
      </c>
      <c r="B18" s="778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</row>
    <row r="19" spans="1:22" s="2254" customFormat="1" ht="14.1" customHeight="1" x14ac:dyDescent="0.2">
      <c r="A19" s="778" t="s">
        <v>189</v>
      </c>
      <c r="B19" s="778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</row>
    <row r="20" spans="1:22" s="2254" customFormat="1" ht="14.1" customHeight="1" x14ac:dyDescent="0.2">
      <c r="A20" s="778" t="s">
        <v>189</v>
      </c>
      <c r="B20" s="778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</row>
    <row r="21" spans="1:22" s="2254" customFormat="1" ht="14.1" customHeight="1" x14ac:dyDescent="0.2">
      <c r="A21" s="778" t="s">
        <v>189</v>
      </c>
      <c r="B21" s="778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22"/>
      <c r="T21" s="322"/>
      <c r="U21" s="322"/>
      <c r="V21" s="322"/>
    </row>
    <row r="22" spans="1:22" s="2254" customFormat="1" ht="14.1" customHeight="1" x14ac:dyDescent="0.2">
      <c r="A22" s="778" t="s">
        <v>189</v>
      </c>
      <c r="B22" s="778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  <c r="O22" s="322"/>
      <c r="P22" s="322"/>
      <c r="Q22" s="322"/>
      <c r="R22" s="322"/>
      <c r="S22" s="322"/>
      <c r="T22" s="322"/>
      <c r="U22" s="322"/>
      <c r="V22" s="322"/>
    </row>
    <row r="23" spans="1:22" s="2254" customFormat="1" ht="14.1" customHeight="1" x14ac:dyDescent="0.2">
      <c r="A23" s="778" t="s">
        <v>189</v>
      </c>
      <c r="B23" s="778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/>
      <c r="T23" s="322"/>
      <c r="U23" s="322"/>
      <c r="V23" s="322"/>
    </row>
    <row r="24" spans="1:22" s="2254" customFormat="1" ht="14.1" customHeight="1" x14ac:dyDescent="0.2">
      <c r="A24" s="778" t="s">
        <v>189</v>
      </c>
      <c r="B24" s="778"/>
      <c r="C24" s="322"/>
      <c r="D24" s="322"/>
      <c r="E24" s="322"/>
      <c r="F24" s="322"/>
      <c r="G24" s="322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2"/>
      <c r="U24" s="322"/>
      <c r="V24" s="322"/>
    </row>
    <row r="25" spans="1:22" s="2254" customFormat="1" ht="14.1" customHeight="1" x14ac:dyDescent="0.2">
      <c r="A25" s="778" t="s">
        <v>696</v>
      </c>
      <c r="B25" s="9" t="s">
        <v>552</v>
      </c>
      <c r="C25" s="15">
        <v>254.72</v>
      </c>
      <c r="D25" s="15">
        <v>10.96</v>
      </c>
      <c r="E25" s="15">
        <v>9.11</v>
      </c>
      <c r="F25" s="15">
        <v>285.31</v>
      </c>
      <c r="G25" s="15">
        <v>13.4</v>
      </c>
      <c r="H25" s="15">
        <v>11.73</v>
      </c>
      <c r="I25" s="793">
        <v>213.61</v>
      </c>
      <c r="J25" s="15">
        <v>6.46</v>
      </c>
      <c r="K25" s="15">
        <v>4.29</v>
      </c>
      <c r="L25" s="15">
        <v>205.21</v>
      </c>
      <c r="M25" s="15">
        <v>201.36</v>
      </c>
      <c r="N25" s="15">
        <v>243.34</v>
      </c>
      <c r="O25" s="15">
        <v>208.52</v>
      </c>
      <c r="P25" s="15">
        <v>263.88</v>
      </c>
      <c r="Q25" s="15">
        <v>200.67</v>
      </c>
      <c r="R25" s="15">
        <v>236.78</v>
      </c>
      <c r="S25" s="322"/>
      <c r="T25" s="322"/>
      <c r="U25" s="322"/>
      <c r="V25" s="322"/>
    </row>
    <row r="26" spans="1:22" s="2254" customFormat="1" ht="14.1" customHeight="1" x14ac:dyDescent="0.2">
      <c r="A26" s="778" t="s">
        <v>696</v>
      </c>
      <c r="B26" s="285" t="s">
        <v>553</v>
      </c>
      <c r="C26" s="281">
        <v>259.66000000000003</v>
      </c>
      <c r="D26" s="281">
        <v>11.29</v>
      </c>
      <c r="E26" s="281">
        <v>9.43</v>
      </c>
      <c r="F26" s="281">
        <v>290.13</v>
      </c>
      <c r="G26" s="281">
        <v>12.7</v>
      </c>
      <c r="H26" s="281">
        <v>11.98</v>
      </c>
      <c r="I26" s="279">
        <v>219.11</v>
      </c>
      <c r="J26" s="281">
        <v>8.76</v>
      </c>
      <c r="K26" s="281">
        <v>4.71</v>
      </c>
      <c r="L26" s="281">
        <v>219.58</v>
      </c>
      <c r="M26" s="281">
        <v>206.42</v>
      </c>
      <c r="N26" s="281">
        <v>248.67</v>
      </c>
      <c r="O26" s="281">
        <v>209.66</v>
      </c>
      <c r="P26" s="281">
        <v>266.33</v>
      </c>
      <c r="Q26" s="281">
        <v>201.47</v>
      </c>
      <c r="R26" s="281">
        <v>239.63</v>
      </c>
      <c r="S26" s="322"/>
      <c r="T26" s="322"/>
      <c r="U26" s="322"/>
      <c r="V26" s="322"/>
    </row>
    <row r="27" spans="1:22" s="2254" customFormat="1" ht="14.1" customHeight="1" x14ac:dyDescent="0.2">
      <c r="A27" s="778" t="s">
        <v>696</v>
      </c>
      <c r="B27" s="9" t="s">
        <v>547</v>
      </c>
      <c r="C27" s="15">
        <v>264.85000000000002</v>
      </c>
      <c r="D27" s="15">
        <v>11.97</v>
      </c>
      <c r="E27" s="15">
        <v>9.7899999999999991</v>
      </c>
      <c r="F27" s="15">
        <v>298.29000000000002</v>
      </c>
      <c r="G27" s="15">
        <v>13.75</v>
      </c>
      <c r="H27" s="15">
        <v>12.32</v>
      </c>
      <c r="I27" s="793">
        <v>220.04</v>
      </c>
      <c r="J27" s="15">
        <v>8.77</v>
      </c>
      <c r="K27" s="15">
        <v>5.14</v>
      </c>
      <c r="L27" s="15">
        <v>220.01</v>
      </c>
      <c r="M27" s="15">
        <v>207.34</v>
      </c>
      <c r="N27" s="15">
        <v>250.04</v>
      </c>
      <c r="O27" s="15">
        <v>210.1</v>
      </c>
      <c r="P27" s="15">
        <v>269.20999999999998</v>
      </c>
      <c r="Q27" s="15">
        <v>201.6</v>
      </c>
      <c r="R27" s="15">
        <v>240.03</v>
      </c>
      <c r="S27" s="322"/>
      <c r="T27" s="322"/>
      <c r="U27" s="322"/>
      <c r="V27" s="322"/>
    </row>
    <row r="28" spans="1:22" s="2254" customFormat="1" ht="14.1" customHeight="1" x14ac:dyDescent="0.2">
      <c r="A28" s="778" t="s">
        <v>696</v>
      </c>
      <c r="B28" s="285" t="s">
        <v>554</v>
      </c>
      <c r="C28" s="281">
        <v>265.94</v>
      </c>
      <c r="D28" s="281">
        <v>11.42</v>
      </c>
      <c r="E28" s="281">
        <v>10.18</v>
      </c>
      <c r="F28" s="281">
        <v>299.14999999999998</v>
      </c>
      <c r="G28" s="281">
        <v>12.82</v>
      </c>
      <c r="H28" s="281">
        <v>12.69</v>
      </c>
      <c r="I28" s="279">
        <v>221.41</v>
      </c>
      <c r="J28" s="281">
        <v>9.0500000000000007</v>
      </c>
      <c r="K28" s="281">
        <v>5.58</v>
      </c>
      <c r="L28" s="281">
        <v>222.07</v>
      </c>
      <c r="M28" s="281">
        <v>207.9</v>
      </c>
      <c r="N28" s="281">
        <v>253.56</v>
      </c>
      <c r="O28" s="281">
        <v>210.78</v>
      </c>
      <c r="P28" s="281">
        <v>273.63</v>
      </c>
      <c r="Q28" s="281">
        <v>201.79</v>
      </c>
      <c r="R28" s="281">
        <v>242.1</v>
      </c>
      <c r="S28" s="322"/>
      <c r="T28" s="322"/>
      <c r="U28" s="322"/>
      <c r="V28" s="322"/>
    </row>
    <row r="29" spans="1:22" s="2254" customFormat="1" ht="14.1" customHeight="1" x14ac:dyDescent="0.2">
      <c r="A29" s="778" t="s">
        <v>696</v>
      </c>
      <c r="B29" s="9" t="s">
        <v>555</v>
      </c>
      <c r="C29" s="15">
        <v>266.55</v>
      </c>
      <c r="D29" s="15">
        <v>11.58</v>
      </c>
      <c r="E29" s="15">
        <v>10.51</v>
      </c>
      <c r="F29" s="15">
        <v>298.29000000000002</v>
      </c>
      <c r="G29" s="15">
        <v>12.47</v>
      </c>
      <c r="H29" s="15">
        <v>12.9</v>
      </c>
      <c r="I29" s="793">
        <v>224.16</v>
      </c>
      <c r="J29" s="15">
        <v>10.19</v>
      </c>
      <c r="K29" s="15">
        <v>6.15</v>
      </c>
      <c r="L29" s="15">
        <v>224.95</v>
      </c>
      <c r="M29" s="15">
        <v>212.24</v>
      </c>
      <c r="N29" s="15">
        <v>255.4</v>
      </c>
      <c r="O29" s="15">
        <v>211.45</v>
      </c>
      <c r="P29" s="15">
        <v>274.64</v>
      </c>
      <c r="Q29" s="15">
        <v>202.19</v>
      </c>
      <c r="R29" s="15">
        <v>244.37</v>
      </c>
      <c r="S29" s="322"/>
      <c r="T29" s="322"/>
      <c r="U29" s="322"/>
      <c r="V29" s="322"/>
    </row>
    <row r="30" spans="1:22" s="2254" customFormat="1" ht="14.1" customHeight="1" x14ac:dyDescent="0.2">
      <c r="A30" s="778" t="s">
        <v>696</v>
      </c>
      <c r="B30" s="285" t="s">
        <v>548</v>
      </c>
      <c r="C30" s="281">
        <v>266.33999999999997</v>
      </c>
      <c r="D30" s="281">
        <v>10.63</v>
      </c>
      <c r="E30" s="281">
        <v>10.71</v>
      </c>
      <c r="F30" s="281">
        <v>296.08</v>
      </c>
      <c r="G30" s="281">
        <v>10.4</v>
      </c>
      <c r="H30" s="281">
        <v>12.83</v>
      </c>
      <c r="I30" s="279">
        <v>226.89</v>
      </c>
      <c r="J30" s="281">
        <v>11.38</v>
      </c>
      <c r="K30" s="281">
        <v>6.83</v>
      </c>
      <c r="L30" s="281">
        <v>226.97</v>
      </c>
      <c r="M30" s="281">
        <v>216.27</v>
      </c>
      <c r="N30" s="281">
        <v>258.37</v>
      </c>
      <c r="O30" s="281">
        <v>213.39</v>
      </c>
      <c r="P30" s="281">
        <v>276.66000000000003</v>
      </c>
      <c r="Q30" s="281">
        <v>202.71</v>
      </c>
      <c r="R30" s="281">
        <v>246.54</v>
      </c>
      <c r="S30" s="322"/>
      <c r="T30" s="322"/>
      <c r="U30" s="322"/>
      <c r="V30" s="322"/>
    </row>
    <row r="31" spans="1:22" s="2254" customFormat="1" ht="14.1" customHeight="1" x14ac:dyDescent="0.2">
      <c r="A31" s="778" t="s">
        <v>696</v>
      </c>
      <c r="B31" s="9" t="s">
        <v>556</v>
      </c>
      <c r="C31" s="15">
        <v>270.58999999999997</v>
      </c>
      <c r="D31" s="15">
        <v>11.59</v>
      </c>
      <c r="E31" s="15">
        <v>10.91</v>
      </c>
      <c r="F31" s="15">
        <v>299.91000000000003</v>
      </c>
      <c r="G31" s="15">
        <v>10.9</v>
      </c>
      <c r="H31" s="15">
        <v>12.73</v>
      </c>
      <c r="I31" s="793">
        <v>231.84</v>
      </c>
      <c r="J31" s="15">
        <v>13.16</v>
      </c>
      <c r="K31" s="15">
        <v>7.61</v>
      </c>
      <c r="L31" s="15">
        <v>229.36</v>
      </c>
      <c r="M31" s="15">
        <v>224.92</v>
      </c>
      <c r="N31" s="15">
        <v>262.74</v>
      </c>
      <c r="O31" s="15">
        <v>216.29</v>
      </c>
      <c r="P31" s="15">
        <v>278.54000000000002</v>
      </c>
      <c r="Q31" s="15">
        <v>203.01</v>
      </c>
      <c r="R31" s="15">
        <v>250.11</v>
      </c>
      <c r="S31" s="322"/>
      <c r="T31" s="322"/>
      <c r="U31" s="322"/>
      <c r="V31" s="322"/>
    </row>
    <row r="32" spans="1:22" s="2254" customFormat="1" ht="14.1" customHeight="1" x14ac:dyDescent="0.2">
      <c r="A32" s="778" t="s">
        <v>696</v>
      </c>
      <c r="B32" s="285" t="s">
        <v>557</v>
      </c>
      <c r="C32" s="281">
        <v>269.76</v>
      </c>
      <c r="D32" s="281">
        <v>10.43</v>
      </c>
      <c r="E32" s="281">
        <v>10.96</v>
      </c>
      <c r="F32" s="281">
        <v>296.89</v>
      </c>
      <c r="G32" s="281">
        <v>8.92</v>
      </c>
      <c r="H32" s="281">
        <v>12.39</v>
      </c>
      <c r="I32" s="279">
        <v>234.13</v>
      </c>
      <c r="J32" s="281">
        <v>13.57</v>
      </c>
      <c r="K32" s="281">
        <v>8.3800000000000008</v>
      </c>
      <c r="L32" s="281">
        <v>231.33</v>
      </c>
      <c r="M32" s="281">
        <v>227.31</v>
      </c>
      <c r="N32" s="281">
        <v>266.05</v>
      </c>
      <c r="O32" s="281">
        <v>219.32</v>
      </c>
      <c r="P32" s="281">
        <v>281.64999999999998</v>
      </c>
      <c r="Q32" s="281">
        <v>203.77</v>
      </c>
      <c r="R32" s="281">
        <v>252.18</v>
      </c>
      <c r="S32" s="322"/>
      <c r="T32" s="322"/>
      <c r="U32" s="322"/>
      <c r="V32" s="322"/>
    </row>
    <row r="33" spans="1:22" s="2254" customFormat="1" ht="14.1" customHeight="1" x14ac:dyDescent="0.2">
      <c r="A33" s="778" t="s">
        <v>696</v>
      </c>
      <c r="B33" s="9" t="s">
        <v>549</v>
      </c>
      <c r="C33" s="15">
        <v>270.81</v>
      </c>
      <c r="D33" s="15">
        <v>10.1</v>
      </c>
      <c r="E33" s="15">
        <v>10.92</v>
      </c>
      <c r="F33" s="15">
        <v>297.77</v>
      </c>
      <c r="G33" s="15">
        <v>8.2799999999999994</v>
      </c>
      <c r="H33" s="15">
        <v>11.91</v>
      </c>
      <c r="I33" s="15">
        <v>235.5</v>
      </c>
      <c r="J33" s="15">
        <v>13.96</v>
      </c>
      <c r="K33" s="15">
        <v>9.19</v>
      </c>
      <c r="L33" s="15">
        <v>232.09</v>
      </c>
      <c r="M33" s="15">
        <v>228.35</v>
      </c>
      <c r="N33" s="15">
        <v>267.68</v>
      </c>
      <c r="O33" s="15">
        <v>221.58</v>
      </c>
      <c r="P33" s="15">
        <v>282.68</v>
      </c>
      <c r="Q33" s="15">
        <v>204.35</v>
      </c>
      <c r="R33" s="15">
        <v>256.38</v>
      </c>
      <c r="S33" s="322"/>
      <c r="T33" s="322"/>
      <c r="U33" s="322"/>
      <c r="V33" s="322"/>
    </row>
    <row r="34" spans="1:22" s="2254" customFormat="1" ht="14.1" customHeight="1" x14ac:dyDescent="0.2">
      <c r="A34" s="778" t="s">
        <v>696</v>
      </c>
      <c r="B34" s="285" t="s">
        <v>558</v>
      </c>
      <c r="C34" s="281">
        <v>270.68</v>
      </c>
      <c r="D34" s="281">
        <v>9.93</v>
      </c>
      <c r="E34" s="281">
        <v>10.86</v>
      </c>
      <c r="F34" s="281">
        <v>297.36</v>
      </c>
      <c r="G34" s="281">
        <v>8.1199999999999992</v>
      </c>
      <c r="H34" s="281">
        <v>11.39</v>
      </c>
      <c r="I34" s="281">
        <v>235.77</v>
      </c>
      <c r="J34" s="281">
        <v>13.77</v>
      </c>
      <c r="K34" s="281">
        <v>10</v>
      </c>
      <c r="L34" s="281">
        <v>232.13</v>
      </c>
      <c r="M34" s="281">
        <v>228.92</v>
      </c>
      <c r="N34" s="281">
        <v>267.73</v>
      </c>
      <c r="O34" s="281">
        <v>221.61</v>
      </c>
      <c r="P34" s="281">
        <v>282.81</v>
      </c>
      <c r="Q34" s="281">
        <v>204.43</v>
      </c>
      <c r="R34" s="281">
        <v>256.43</v>
      </c>
      <c r="S34" s="322"/>
      <c r="T34" s="322"/>
      <c r="U34" s="322"/>
      <c r="V34" s="322"/>
    </row>
    <row r="35" spans="1:22" s="2254" customFormat="1" ht="14.1" customHeight="1" x14ac:dyDescent="0.2">
      <c r="A35" s="778" t="s">
        <v>696</v>
      </c>
      <c r="B35" s="9" t="s">
        <v>559</v>
      </c>
      <c r="C35" s="15">
        <v>268.93</v>
      </c>
      <c r="D35" s="15">
        <v>9.15</v>
      </c>
      <c r="E35" s="15">
        <v>10.76</v>
      </c>
      <c r="F35" s="15">
        <v>294.39</v>
      </c>
      <c r="G35" s="15">
        <v>7.46</v>
      </c>
      <c r="H35" s="15">
        <v>10.92</v>
      </c>
      <c r="I35" s="15">
        <v>235.85</v>
      </c>
      <c r="J35" s="15">
        <v>12.72</v>
      </c>
      <c r="K35" s="15">
        <v>10.66</v>
      </c>
      <c r="L35" s="15">
        <v>232.15</v>
      </c>
      <c r="M35" s="15">
        <v>228.96</v>
      </c>
      <c r="N35" s="15">
        <v>267.83999999999997</v>
      </c>
      <c r="O35" s="15">
        <v>221.65</v>
      </c>
      <c r="P35" s="15">
        <v>282.88</v>
      </c>
      <c r="Q35" s="15">
        <v>204.52</v>
      </c>
      <c r="R35" s="15">
        <v>256.76</v>
      </c>
      <c r="S35" s="322"/>
      <c r="T35" s="322"/>
      <c r="U35" s="322"/>
      <c r="V35" s="322"/>
    </row>
    <row r="36" spans="1:22" s="2254" customFormat="1" ht="14.1" customHeight="1" x14ac:dyDescent="0.2">
      <c r="A36" s="778" t="s">
        <v>696</v>
      </c>
      <c r="B36" s="285" t="s">
        <v>550</v>
      </c>
      <c r="C36" s="281">
        <v>270.43</v>
      </c>
      <c r="D36" s="281">
        <v>8.56</v>
      </c>
      <c r="E36" s="281">
        <v>10.62</v>
      </c>
      <c r="F36" s="281">
        <v>296.74</v>
      </c>
      <c r="G36" s="281">
        <v>7.08</v>
      </c>
      <c r="H36" s="281">
        <v>10.47</v>
      </c>
      <c r="I36" s="281">
        <v>236.16</v>
      </c>
      <c r="J36" s="281">
        <v>11.72</v>
      </c>
      <c r="K36" s="281">
        <v>11.15</v>
      </c>
      <c r="L36" s="281">
        <v>232.33</v>
      </c>
      <c r="M36" s="281">
        <v>229.17</v>
      </c>
      <c r="N36" s="281">
        <v>267.98</v>
      </c>
      <c r="O36" s="281">
        <v>223.32</v>
      </c>
      <c r="P36" s="281">
        <v>283.14</v>
      </c>
      <c r="Q36" s="281">
        <v>204.71</v>
      </c>
      <c r="R36" s="281">
        <v>256.93</v>
      </c>
      <c r="S36" s="322"/>
      <c r="T36" s="322"/>
      <c r="U36" s="322"/>
      <c r="V36" s="322"/>
    </row>
    <row r="37" spans="1:22" s="2254" customFormat="1" ht="14.1" customHeight="1" x14ac:dyDescent="0.2">
      <c r="A37" s="778" t="s">
        <v>804</v>
      </c>
      <c r="B37" s="153" t="s">
        <v>3203</v>
      </c>
      <c r="C37" s="25">
        <v>275.18</v>
      </c>
      <c r="D37" s="25">
        <v>8.0299999999999994</v>
      </c>
      <c r="E37" s="25">
        <v>10.37</v>
      </c>
      <c r="F37" s="25">
        <v>303.29000000000002</v>
      </c>
      <c r="G37" s="25">
        <v>6.3</v>
      </c>
      <c r="H37" s="25">
        <v>9.8699999999999992</v>
      </c>
      <c r="I37" s="25">
        <v>238.27</v>
      </c>
      <c r="J37" s="25">
        <v>11.54</v>
      </c>
      <c r="K37" s="25">
        <v>11.57</v>
      </c>
      <c r="L37" s="25">
        <v>235.62</v>
      </c>
      <c r="M37" s="25">
        <v>232.23</v>
      </c>
      <c r="N37" s="25">
        <v>269.44</v>
      </c>
      <c r="O37" s="25">
        <v>224.88</v>
      </c>
      <c r="P37" s="25">
        <v>283.37</v>
      </c>
      <c r="Q37" s="25">
        <v>204.9</v>
      </c>
      <c r="R37" s="25">
        <v>257.14999999999998</v>
      </c>
      <c r="S37" s="322"/>
      <c r="T37" s="322"/>
      <c r="U37" s="322"/>
      <c r="V37" s="322"/>
    </row>
    <row r="38" spans="1:22" s="2254" customFormat="1" ht="14.1" customHeight="1" x14ac:dyDescent="0.2">
      <c r="A38" s="778" t="s">
        <v>804</v>
      </c>
      <c r="B38" s="285" t="s">
        <v>3204</v>
      </c>
      <c r="C38" s="281">
        <v>173.2</v>
      </c>
      <c r="D38" s="281">
        <v>5.21</v>
      </c>
      <c r="E38" s="281">
        <v>8.14</v>
      </c>
      <c r="F38" s="281">
        <v>183.97</v>
      </c>
      <c r="G38" s="281">
        <v>2.23</v>
      </c>
      <c r="H38" s="279">
        <v>6.72</v>
      </c>
      <c r="I38" s="281">
        <v>159.38999999999999</v>
      </c>
      <c r="J38" s="281">
        <v>9.94</v>
      </c>
      <c r="K38" s="281">
        <v>10.4</v>
      </c>
      <c r="L38" s="281">
        <v>167.46</v>
      </c>
      <c r="M38" s="281">
        <v>151.41999999999999</v>
      </c>
      <c r="N38" s="281">
        <v>184.83</v>
      </c>
      <c r="O38" s="281">
        <v>156.1</v>
      </c>
      <c r="P38" s="281">
        <v>151.82</v>
      </c>
      <c r="Q38" s="281">
        <v>149.31</v>
      </c>
      <c r="R38" s="281">
        <v>170.23</v>
      </c>
      <c r="S38" s="322"/>
      <c r="T38" s="322"/>
      <c r="U38" s="322"/>
      <c r="V38" s="322"/>
    </row>
    <row r="39" spans="1:22" s="2254" customFormat="1" ht="14.1" customHeight="1" x14ac:dyDescent="0.2">
      <c r="A39" s="778" t="s">
        <v>804</v>
      </c>
      <c r="B39" s="153" t="s">
        <v>3205</v>
      </c>
      <c r="C39" s="25">
        <v>280.26</v>
      </c>
      <c r="D39" s="25">
        <v>7.93</v>
      </c>
      <c r="E39" s="25">
        <v>10.08</v>
      </c>
      <c r="F39" s="25">
        <v>310.73</v>
      </c>
      <c r="G39" s="25">
        <v>7.1</v>
      </c>
      <c r="H39" s="24">
        <v>9.41</v>
      </c>
      <c r="I39" s="25">
        <v>240.12</v>
      </c>
      <c r="J39" s="25">
        <v>9.59</v>
      </c>
      <c r="K39" s="25">
        <v>11.62</v>
      </c>
      <c r="L39" s="25">
        <v>242.55</v>
      </c>
      <c r="M39" s="25">
        <v>232.44</v>
      </c>
      <c r="N39" s="25">
        <v>272.38</v>
      </c>
      <c r="O39" s="25">
        <v>225</v>
      </c>
      <c r="P39" s="25">
        <v>284.81</v>
      </c>
      <c r="Q39" s="25">
        <v>205.24</v>
      </c>
      <c r="R39" s="25">
        <v>259.85000000000002</v>
      </c>
      <c r="S39" s="322"/>
      <c r="T39" s="322"/>
      <c r="U39" s="322"/>
      <c r="V39" s="322"/>
    </row>
    <row r="40" spans="1:22" s="2254" customFormat="1" ht="14.1" customHeight="1" x14ac:dyDescent="0.2">
      <c r="A40" s="778" t="s">
        <v>804</v>
      </c>
      <c r="B40" s="285" t="s">
        <v>3206</v>
      </c>
      <c r="C40" s="281">
        <v>176.41</v>
      </c>
      <c r="D40" s="281">
        <v>4.97</v>
      </c>
      <c r="E40" s="281">
        <v>7.58</v>
      </c>
      <c r="F40" s="281">
        <v>187.89</v>
      </c>
      <c r="G40" s="281">
        <v>2.25</v>
      </c>
      <c r="H40" s="279">
        <v>5.77</v>
      </c>
      <c r="I40" s="281">
        <v>161.68</v>
      </c>
      <c r="J40" s="281">
        <v>9.2899999999999991</v>
      </c>
      <c r="K40" s="281">
        <v>10.4</v>
      </c>
      <c r="L40" s="281">
        <v>173.51</v>
      </c>
      <c r="M40" s="281">
        <v>151.65</v>
      </c>
      <c r="N40" s="281">
        <v>187.54</v>
      </c>
      <c r="O40" s="281">
        <v>158.1</v>
      </c>
      <c r="P40" s="281">
        <v>154.5</v>
      </c>
      <c r="Q40" s="281">
        <v>150.72</v>
      </c>
      <c r="R40" s="281">
        <v>174.05</v>
      </c>
      <c r="S40" s="322"/>
      <c r="T40" s="322"/>
      <c r="U40" s="322"/>
      <c r="V40" s="322"/>
    </row>
    <row r="41" spans="1:22" s="2254" customFormat="1" ht="14.1" customHeight="1" x14ac:dyDescent="0.2">
      <c r="A41" s="778" t="s">
        <v>804</v>
      </c>
      <c r="B41" s="153" t="s">
        <v>3207</v>
      </c>
      <c r="C41" s="25">
        <v>284.43</v>
      </c>
      <c r="D41" s="25">
        <v>7.39</v>
      </c>
      <c r="E41" s="25">
        <v>9.69</v>
      </c>
      <c r="F41" s="25">
        <v>316.64999999999998</v>
      </c>
      <c r="G41" s="25">
        <v>6.16</v>
      </c>
      <c r="H41" s="24">
        <v>8.77</v>
      </c>
      <c r="I41" s="25">
        <v>241.94</v>
      </c>
      <c r="J41" s="25">
        <v>9.9499999999999993</v>
      </c>
      <c r="K41" s="25">
        <v>11.7</v>
      </c>
      <c r="L41" s="25">
        <v>244.87</v>
      </c>
      <c r="M41" s="25">
        <v>234.44</v>
      </c>
      <c r="N41" s="25">
        <v>276.22000000000003</v>
      </c>
      <c r="O41" s="25">
        <v>225.75</v>
      </c>
      <c r="P41" s="25">
        <v>286.73</v>
      </c>
      <c r="Q41" s="25">
        <v>205.93</v>
      </c>
      <c r="R41" s="25">
        <v>260.92</v>
      </c>
      <c r="S41" s="322"/>
      <c r="T41" s="322"/>
      <c r="U41" s="322"/>
      <c r="V41" s="322"/>
    </row>
    <row r="42" spans="1:22" s="2254" customFormat="1" ht="14.1" customHeight="1" x14ac:dyDescent="0.2">
      <c r="A42" s="778" t="s">
        <v>804</v>
      </c>
      <c r="B42" s="285" t="s">
        <v>3193</v>
      </c>
      <c r="C42" s="281">
        <v>179.44</v>
      </c>
      <c r="D42" s="281">
        <v>4.96</v>
      </c>
      <c r="E42" s="281">
        <v>6.93</v>
      </c>
      <c r="F42" s="281">
        <v>191.68</v>
      </c>
      <c r="G42" s="281">
        <v>1.75</v>
      </c>
      <c r="H42" s="279">
        <v>4.71</v>
      </c>
      <c r="I42" s="281">
        <v>163.75</v>
      </c>
      <c r="J42" s="281">
        <v>10.18</v>
      </c>
      <c r="K42" s="281">
        <v>10.47</v>
      </c>
      <c r="L42" s="281">
        <v>175.75</v>
      </c>
      <c r="M42" s="281">
        <v>153.41</v>
      </c>
      <c r="N42" s="281">
        <v>190.78</v>
      </c>
      <c r="O42" s="281">
        <v>159.33000000000001</v>
      </c>
      <c r="P42" s="281">
        <v>155.85</v>
      </c>
      <c r="Q42" s="281">
        <v>152.88</v>
      </c>
      <c r="R42" s="281">
        <v>177.29</v>
      </c>
      <c r="S42" s="322"/>
      <c r="T42" s="322"/>
      <c r="U42" s="322"/>
      <c r="V42" s="322"/>
    </row>
    <row r="43" spans="1:22" s="2254" customFormat="1" ht="14.1" customHeight="1" x14ac:dyDescent="0.2">
      <c r="A43" s="778" t="s">
        <v>804</v>
      </c>
      <c r="B43" s="153" t="s">
        <v>3208</v>
      </c>
      <c r="C43" s="25">
        <v>285.14</v>
      </c>
      <c r="D43" s="25">
        <v>7.22</v>
      </c>
      <c r="E43" s="25">
        <v>9.33</v>
      </c>
      <c r="F43" s="25">
        <v>315.8</v>
      </c>
      <c r="G43" s="25">
        <v>5.57</v>
      </c>
      <c r="H43" s="24">
        <v>8.16</v>
      </c>
      <c r="I43" s="25">
        <v>244.57</v>
      </c>
      <c r="J43" s="25">
        <v>10.46</v>
      </c>
      <c r="K43" s="25">
        <v>11.81</v>
      </c>
      <c r="L43" s="25">
        <v>250.13</v>
      </c>
      <c r="M43" s="25">
        <v>236.09</v>
      </c>
      <c r="N43" s="25">
        <v>278.27999999999997</v>
      </c>
      <c r="O43" s="25">
        <v>226.95</v>
      </c>
      <c r="P43" s="25">
        <v>290.89999999999998</v>
      </c>
      <c r="Q43" s="25">
        <v>206.37</v>
      </c>
      <c r="R43" s="25">
        <v>264.77</v>
      </c>
      <c r="S43" s="322"/>
      <c r="T43" s="322"/>
      <c r="U43" s="322"/>
      <c r="V43" s="322"/>
    </row>
    <row r="44" spans="1:22" s="2254" customFormat="1" ht="14.1" customHeight="1" x14ac:dyDescent="0.2">
      <c r="A44" s="778" t="s">
        <v>804</v>
      </c>
      <c r="B44" s="285" t="s">
        <v>3194</v>
      </c>
      <c r="C44" s="281">
        <v>181.26</v>
      </c>
      <c r="D44" s="281">
        <v>5.86</v>
      </c>
      <c r="E44" s="281">
        <v>6.51</v>
      </c>
      <c r="F44" s="281">
        <v>193.07</v>
      </c>
      <c r="G44" s="281">
        <v>2.5099999999999998</v>
      </c>
      <c r="H44" s="279">
        <v>3.93</v>
      </c>
      <c r="I44" s="281">
        <v>166.12</v>
      </c>
      <c r="J44" s="281">
        <v>11.28</v>
      </c>
      <c r="K44" s="281">
        <v>10.64</v>
      </c>
      <c r="L44" s="281">
        <v>178.97</v>
      </c>
      <c r="M44" s="281">
        <v>154.69999999999999</v>
      </c>
      <c r="N44" s="281">
        <v>194.43</v>
      </c>
      <c r="O44" s="281">
        <v>159.58000000000001</v>
      </c>
      <c r="P44" s="281">
        <v>158.38999999999999</v>
      </c>
      <c r="Q44" s="281">
        <v>155.31</v>
      </c>
      <c r="R44" s="281">
        <v>182.35</v>
      </c>
      <c r="S44" s="322"/>
      <c r="T44" s="322"/>
      <c r="U44" s="322"/>
      <c r="V44" s="322"/>
    </row>
    <row r="45" spans="1:22" s="2254" customFormat="1" ht="14.1" customHeight="1" x14ac:dyDescent="0.2">
      <c r="A45" s="778" t="s">
        <v>804</v>
      </c>
      <c r="B45" s="153" t="s">
        <v>3209</v>
      </c>
      <c r="C45" s="25">
        <v>286.3</v>
      </c>
      <c r="D45" s="25">
        <v>7.41</v>
      </c>
      <c r="E45" s="25">
        <v>8.98</v>
      </c>
      <c r="F45" s="25">
        <v>317.52999999999997</v>
      </c>
      <c r="G45" s="25">
        <v>6.45</v>
      </c>
      <c r="H45" s="24">
        <v>7.68</v>
      </c>
      <c r="I45" s="25">
        <v>245.02</v>
      </c>
      <c r="J45" s="25">
        <v>9.31</v>
      </c>
      <c r="K45" s="25">
        <v>11.71</v>
      </c>
      <c r="L45" s="25">
        <v>250.79</v>
      </c>
      <c r="M45" s="25">
        <v>236.23</v>
      </c>
      <c r="N45" s="25">
        <v>279.74</v>
      </c>
      <c r="O45" s="25">
        <v>227.03</v>
      </c>
      <c r="P45" s="25">
        <v>291.36</v>
      </c>
      <c r="Q45" s="25">
        <v>206.93</v>
      </c>
      <c r="R45" s="25">
        <v>265.48</v>
      </c>
      <c r="S45" s="322"/>
      <c r="T45" s="322"/>
      <c r="U45" s="322"/>
      <c r="V45" s="322"/>
    </row>
    <row r="46" spans="1:22" s="2254" customFormat="1" ht="14.1" customHeight="1" x14ac:dyDescent="0.2">
      <c r="A46" s="778" t="s">
        <v>804</v>
      </c>
      <c r="B46" s="285" t="s">
        <v>3195</v>
      </c>
      <c r="C46" s="281">
        <v>181.77</v>
      </c>
      <c r="D46" s="281">
        <v>6.55</v>
      </c>
      <c r="E46" s="281">
        <v>6.25</v>
      </c>
      <c r="F46" s="281">
        <v>193.7</v>
      </c>
      <c r="G46" s="281">
        <v>3.94</v>
      </c>
      <c r="H46" s="279">
        <v>3.45</v>
      </c>
      <c r="I46" s="281">
        <v>166.47</v>
      </c>
      <c r="J46" s="281">
        <v>10.68</v>
      </c>
      <c r="K46" s="281">
        <v>10.72</v>
      </c>
      <c r="L46" s="281">
        <v>179.24</v>
      </c>
      <c r="M46" s="281">
        <v>154.91</v>
      </c>
      <c r="N46" s="281">
        <v>195.18</v>
      </c>
      <c r="O46" s="281">
        <v>159.65</v>
      </c>
      <c r="P46" s="281">
        <v>158.57</v>
      </c>
      <c r="Q46" s="281">
        <v>155.68</v>
      </c>
      <c r="R46" s="281">
        <v>183.4</v>
      </c>
      <c r="S46" s="322"/>
      <c r="T46" s="322"/>
      <c r="U46" s="322"/>
      <c r="V46" s="322"/>
    </row>
    <row r="47" spans="1:22" s="2254" customFormat="1" ht="14.1" customHeight="1" x14ac:dyDescent="0.2">
      <c r="A47" s="778" t="s">
        <v>804</v>
      </c>
      <c r="B47" s="153" t="s">
        <v>3210</v>
      </c>
      <c r="C47" s="25">
        <v>286.83</v>
      </c>
      <c r="D47" s="25">
        <v>7.69</v>
      </c>
      <c r="E47" s="25">
        <v>8.74</v>
      </c>
      <c r="F47" s="25">
        <v>317.77</v>
      </c>
      <c r="G47" s="25">
        <v>7.33</v>
      </c>
      <c r="H47" s="24">
        <v>7.43</v>
      </c>
      <c r="I47" s="25">
        <v>246.02</v>
      </c>
      <c r="J47" s="25">
        <v>8.43</v>
      </c>
      <c r="K47" s="25">
        <v>11.46</v>
      </c>
      <c r="L47" s="25">
        <v>253.5</v>
      </c>
      <c r="M47" s="25">
        <v>236.55</v>
      </c>
      <c r="N47" s="25">
        <v>281.11</v>
      </c>
      <c r="O47" s="25">
        <v>227.56</v>
      </c>
      <c r="P47" s="25">
        <v>292.33999999999997</v>
      </c>
      <c r="Q47" s="25">
        <v>207.87</v>
      </c>
      <c r="R47" s="25">
        <v>266.61</v>
      </c>
      <c r="S47" s="322"/>
      <c r="T47" s="322"/>
      <c r="U47" s="322"/>
      <c r="V47" s="322"/>
    </row>
    <row r="48" spans="1:22" s="2254" customFormat="1" ht="14.1" customHeight="1" x14ac:dyDescent="0.2">
      <c r="A48" s="778" t="s">
        <v>804</v>
      </c>
      <c r="B48" s="285" t="s">
        <v>3211</v>
      </c>
      <c r="C48" s="281">
        <v>182.42</v>
      </c>
      <c r="D48" s="281">
        <v>7.14</v>
      </c>
      <c r="E48" s="281">
        <v>6.22</v>
      </c>
      <c r="F48" s="281">
        <v>194.37</v>
      </c>
      <c r="G48" s="281">
        <v>5.28</v>
      </c>
      <c r="H48" s="279">
        <v>3.38</v>
      </c>
      <c r="I48" s="281">
        <v>167.11</v>
      </c>
      <c r="J48" s="281">
        <v>10.029999999999999</v>
      </c>
      <c r="K48" s="281">
        <v>10.73</v>
      </c>
      <c r="L48" s="281">
        <v>180.44</v>
      </c>
      <c r="M48" s="281">
        <v>155.08000000000001</v>
      </c>
      <c r="N48" s="281">
        <v>196.65</v>
      </c>
      <c r="O48" s="281">
        <v>159.9</v>
      </c>
      <c r="P48" s="281">
        <v>159.35</v>
      </c>
      <c r="Q48" s="281">
        <v>156.34</v>
      </c>
      <c r="R48" s="281">
        <v>184</v>
      </c>
      <c r="S48" s="322"/>
      <c r="T48" s="322"/>
      <c r="U48" s="322"/>
      <c r="V48" s="322"/>
    </row>
    <row r="49" spans="1:22" s="2254" customFormat="1" ht="14.1" customHeight="1" x14ac:dyDescent="0.2">
      <c r="A49" s="778" t="s">
        <v>804</v>
      </c>
      <c r="B49" s="153" t="s">
        <v>3212</v>
      </c>
      <c r="C49" s="25">
        <v>290.56</v>
      </c>
      <c r="D49" s="25">
        <v>7.38</v>
      </c>
      <c r="E49" s="25">
        <v>8.4</v>
      </c>
      <c r="F49" s="25">
        <v>321.52</v>
      </c>
      <c r="G49" s="25">
        <v>7.21</v>
      </c>
      <c r="H49" s="24">
        <v>7.14</v>
      </c>
      <c r="I49" s="25">
        <v>249.91</v>
      </c>
      <c r="J49" s="25">
        <v>7.79</v>
      </c>
      <c r="K49" s="25">
        <v>10.99</v>
      </c>
      <c r="L49" s="25">
        <v>255.76</v>
      </c>
      <c r="M49" s="25">
        <v>241.86</v>
      </c>
      <c r="N49" s="25">
        <v>282.79000000000002</v>
      </c>
      <c r="O49" s="25">
        <v>228.81</v>
      </c>
      <c r="P49" s="25">
        <v>294.99</v>
      </c>
      <c r="Q49" s="25">
        <v>213.8</v>
      </c>
      <c r="R49" s="25">
        <v>269.61</v>
      </c>
      <c r="S49" s="322"/>
      <c r="T49" s="322"/>
      <c r="U49" s="322"/>
      <c r="V49" s="322"/>
    </row>
    <row r="50" spans="1:22" s="2254" customFormat="1" ht="14.1" customHeight="1" x14ac:dyDescent="0.2">
      <c r="A50" s="778" t="s">
        <v>804</v>
      </c>
      <c r="B50" s="285" t="s">
        <v>3197</v>
      </c>
      <c r="C50" s="281">
        <v>184.33</v>
      </c>
      <c r="D50" s="281">
        <v>6.62</v>
      </c>
      <c r="E50" s="281">
        <v>6.06</v>
      </c>
      <c r="F50" s="281">
        <v>196.36</v>
      </c>
      <c r="G50" s="281">
        <v>5.0199999999999996</v>
      </c>
      <c r="H50" s="279">
        <v>3.24</v>
      </c>
      <c r="I50" s="281">
        <v>168.92</v>
      </c>
      <c r="J50" s="281">
        <v>9.09</v>
      </c>
      <c r="K50" s="281">
        <v>10.55</v>
      </c>
      <c r="L50" s="281">
        <v>181.82</v>
      </c>
      <c r="M50" s="281">
        <v>157.07</v>
      </c>
      <c r="N50" s="281">
        <v>196.98</v>
      </c>
      <c r="O50" s="281">
        <v>160.19999999999999</v>
      </c>
      <c r="P50" s="281">
        <v>161.6</v>
      </c>
      <c r="Q50" s="281">
        <v>160.55000000000001</v>
      </c>
      <c r="R50" s="281">
        <v>185.66</v>
      </c>
      <c r="S50" s="322"/>
      <c r="T50" s="322"/>
      <c r="U50" s="322"/>
      <c r="V50" s="322"/>
    </row>
    <row r="51" spans="1:22" s="2254" customFormat="1" ht="14.1" customHeight="1" x14ac:dyDescent="0.2">
      <c r="A51" s="778" t="s">
        <v>804</v>
      </c>
      <c r="B51" s="153" t="s">
        <v>3213</v>
      </c>
      <c r="C51" s="25">
        <v>291</v>
      </c>
      <c r="D51" s="25">
        <v>7.87</v>
      </c>
      <c r="E51" s="25">
        <v>8.19</v>
      </c>
      <c r="F51" s="25">
        <v>321.64999999999998</v>
      </c>
      <c r="G51" s="25">
        <v>8.34</v>
      </c>
      <c r="H51" s="25">
        <v>7.1</v>
      </c>
      <c r="I51" s="25">
        <v>250.79</v>
      </c>
      <c r="J51" s="25">
        <v>7.12</v>
      </c>
      <c r="K51" s="25">
        <v>10.44</v>
      </c>
      <c r="L51" s="25">
        <v>257.51</v>
      </c>
      <c r="M51" s="25">
        <v>242.55</v>
      </c>
      <c r="N51" s="25">
        <v>283.86</v>
      </c>
      <c r="O51" s="25">
        <v>229.67</v>
      </c>
      <c r="P51" s="25">
        <v>295.8</v>
      </c>
      <c r="Q51" s="25">
        <v>213.96</v>
      </c>
      <c r="R51" s="25">
        <v>270.45999999999998</v>
      </c>
      <c r="S51" s="322"/>
      <c r="T51" s="322"/>
      <c r="U51" s="322"/>
      <c r="V51" s="322"/>
    </row>
    <row r="52" spans="1:22" s="2254" customFormat="1" ht="14.1" customHeight="1" x14ac:dyDescent="0.2">
      <c r="A52" s="778" t="s">
        <v>804</v>
      </c>
      <c r="B52" s="285" t="s">
        <v>3214</v>
      </c>
      <c r="C52" s="281">
        <v>184.79</v>
      </c>
      <c r="D52" s="281">
        <v>7.84</v>
      </c>
      <c r="E52" s="281">
        <v>6.15</v>
      </c>
      <c r="F52" s="281">
        <v>196.78</v>
      </c>
      <c r="G52" s="281">
        <v>7.45</v>
      </c>
      <c r="H52" s="279">
        <v>3.52</v>
      </c>
      <c r="I52" s="281">
        <v>169.42</v>
      </c>
      <c r="J52" s="281">
        <v>8.44</v>
      </c>
      <c r="K52" s="281">
        <v>10.3</v>
      </c>
      <c r="L52" s="281">
        <v>182.65</v>
      </c>
      <c r="M52" s="281">
        <v>157.38999999999999</v>
      </c>
      <c r="N52" s="281">
        <v>198.21</v>
      </c>
      <c r="O52" s="281">
        <v>160.49</v>
      </c>
      <c r="P52" s="281">
        <v>161.86000000000001</v>
      </c>
      <c r="Q52" s="281">
        <v>160.88999999999999</v>
      </c>
      <c r="R52" s="281">
        <v>186.13</v>
      </c>
      <c r="S52" s="322"/>
      <c r="T52" s="322"/>
      <c r="U52" s="322"/>
      <c r="V52" s="322"/>
    </row>
    <row r="53" spans="1:22" s="2254" customFormat="1" ht="14.1" customHeight="1" x14ac:dyDescent="0.2">
      <c r="A53" s="778" t="s">
        <v>804</v>
      </c>
      <c r="B53" s="153" t="s">
        <v>3215</v>
      </c>
      <c r="C53" s="25">
        <v>291.77999999999997</v>
      </c>
      <c r="D53" s="25">
        <v>7.74</v>
      </c>
      <c r="E53" s="25">
        <v>8</v>
      </c>
      <c r="F53" s="25">
        <v>322.48</v>
      </c>
      <c r="G53" s="25">
        <v>8.3000000000000007</v>
      </c>
      <c r="H53" s="24">
        <v>7.11</v>
      </c>
      <c r="I53" s="25">
        <v>251.48</v>
      </c>
      <c r="J53" s="25">
        <v>6.79</v>
      </c>
      <c r="K53" s="25">
        <v>9.85</v>
      </c>
      <c r="L53" s="25">
        <v>258.77</v>
      </c>
      <c r="M53" s="25">
        <v>243.15</v>
      </c>
      <c r="N53" s="25">
        <v>285.3</v>
      </c>
      <c r="O53" s="25">
        <v>229.92</v>
      </c>
      <c r="P53" s="25">
        <v>296.18</v>
      </c>
      <c r="Q53" s="25">
        <v>214.18</v>
      </c>
      <c r="R53" s="25">
        <v>271.17</v>
      </c>
      <c r="S53" s="322"/>
      <c r="T53" s="322"/>
      <c r="U53" s="322"/>
      <c r="V53" s="322"/>
    </row>
    <row r="54" spans="1:22" s="2254" customFormat="1" ht="14.1" customHeight="1" x14ac:dyDescent="0.2">
      <c r="A54" s="778" t="s">
        <v>804</v>
      </c>
      <c r="B54" s="285" t="s">
        <v>3216</v>
      </c>
      <c r="C54" s="281">
        <v>185.01</v>
      </c>
      <c r="D54" s="281">
        <v>7.71</v>
      </c>
      <c r="E54" s="281">
        <v>6.23</v>
      </c>
      <c r="F54" s="281">
        <v>196.82</v>
      </c>
      <c r="G54" s="281">
        <v>7.5</v>
      </c>
      <c r="H54" s="279">
        <v>3.84</v>
      </c>
      <c r="I54" s="281">
        <v>169.88</v>
      </c>
      <c r="J54" s="281">
        <v>8.0399999999999991</v>
      </c>
      <c r="K54" s="281">
        <v>9.98</v>
      </c>
      <c r="L54" s="281">
        <v>183.36</v>
      </c>
      <c r="M54" s="281">
        <v>157.72</v>
      </c>
      <c r="N54" s="281">
        <v>199.32</v>
      </c>
      <c r="O54" s="281">
        <v>160.55000000000001</v>
      </c>
      <c r="P54" s="281">
        <v>162.16</v>
      </c>
      <c r="Q54" s="281">
        <v>161.15</v>
      </c>
      <c r="R54" s="281">
        <v>186.66</v>
      </c>
      <c r="S54" s="322"/>
      <c r="T54" s="322"/>
      <c r="U54" s="322"/>
      <c r="V54" s="322"/>
    </row>
    <row r="55" spans="1:22" s="2254" customFormat="1" ht="14.1" customHeight="1" x14ac:dyDescent="0.2">
      <c r="A55" s="778" t="s">
        <v>804</v>
      </c>
      <c r="B55" s="153" t="s">
        <v>3217</v>
      </c>
      <c r="C55" s="25">
        <v>292.14</v>
      </c>
      <c r="D55" s="25">
        <v>7.93</v>
      </c>
      <c r="E55" s="25">
        <v>7.85</v>
      </c>
      <c r="F55" s="25">
        <v>322.85000000000002</v>
      </c>
      <c r="G55" s="25">
        <v>8.57</v>
      </c>
      <c r="H55" s="24">
        <v>7.16</v>
      </c>
      <c r="I55" s="25">
        <v>251.82</v>
      </c>
      <c r="J55" s="25">
        <v>6.81</v>
      </c>
      <c r="K55" s="25">
        <v>9.2799999999999994</v>
      </c>
      <c r="L55" s="25">
        <v>259.17</v>
      </c>
      <c r="M55" s="25">
        <v>243.52</v>
      </c>
      <c r="N55" s="25">
        <v>285.64999999999998</v>
      </c>
      <c r="O55" s="25">
        <v>230.1</v>
      </c>
      <c r="P55" s="25">
        <v>296.67</v>
      </c>
      <c r="Q55" s="25">
        <v>214.26</v>
      </c>
      <c r="R55" s="25">
        <v>271.38</v>
      </c>
      <c r="S55" s="322"/>
      <c r="T55" s="322"/>
      <c r="U55" s="322"/>
      <c r="V55" s="322"/>
    </row>
    <row r="56" spans="1:22" s="2254" customFormat="1" ht="14.1" customHeight="1" x14ac:dyDescent="0.2">
      <c r="A56" s="778" t="s">
        <v>804</v>
      </c>
      <c r="B56" s="285" t="s">
        <v>3218</v>
      </c>
      <c r="C56" s="281">
        <v>185.13</v>
      </c>
      <c r="D56" s="281">
        <v>8.3699999999999992</v>
      </c>
      <c r="E56" s="281">
        <v>6.41</v>
      </c>
      <c r="F56" s="281">
        <v>196.87</v>
      </c>
      <c r="G56" s="281">
        <v>8.68</v>
      </c>
      <c r="H56" s="279">
        <v>4.33</v>
      </c>
      <c r="I56" s="281">
        <v>170.07</v>
      </c>
      <c r="J56" s="281">
        <v>7.91</v>
      </c>
      <c r="K56" s="281">
        <v>9.66</v>
      </c>
      <c r="L56" s="281">
        <v>183.62</v>
      </c>
      <c r="M56" s="281">
        <v>157.93</v>
      </c>
      <c r="N56" s="281">
        <v>199.69</v>
      </c>
      <c r="O56" s="281">
        <v>160.61000000000001</v>
      </c>
      <c r="P56" s="281">
        <v>162.34</v>
      </c>
      <c r="Q56" s="281">
        <v>161.22999999999999</v>
      </c>
      <c r="R56" s="281">
        <v>186.76</v>
      </c>
      <c r="S56" s="322"/>
      <c r="T56" s="322"/>
      <c r="U56" s="322"/>
      <c r="V56" s="322"/>
    </row>
    <row r="57" spans="1:22" s="2254" customFormat="1" ht="14.1" customHeight="1" x14ac:dyDescent="0.2">
      <c r="A57" s="778" t="s">
        <v>804</v>
      </c>
      <c r="B57" s="153" t="s">
        <v>3219</v>
      </c>
      <c r="C57" s="25">
        <v>290.07</v>
      </c>
      <c r="D57" s="25">
        <v>7.86</v>
      </c>
      <c r="E57" s="25">
        <v>7.75</v>
      </c>
      <c r="F57" s="25">
        <v>319.11</v>
      </c>
      <c r="G57" s="25">
        <v>8.4</v>
      </c>
      <c r="H57" s="24">
        <v>7.23</v>
      </c>
      <c r="I57" s="25">
        <v>252.19</v>
      </c>
      <c r="J57" s="25">
        <v>6.93</v>
      </c>
      <c r="K57" s="25">
        <v>8.81</v>
      </c>
      <c r="L57" s="25">
        <v>260.75</v>
      </c>
      <c r="M57" s="25">
        <v>243.87</v>
      </c>
      <c r="N57" s="25">
        <v>286.75</v>
      </c>
      <c r="O57" s="25">
        <v>230.42</v>
      </c>
      <c r="P57" s="25">
        <v>298.01</v>
      </c>
      <c r="Q57" s="25">
        <v>214.49</v>
      </c>
      <c r="R57" s="25">
        <v>271.64</v>
      </c>
      <c r="S57" s="322"/>
      <c r="T57" s="322"/>
      <c r="U57" s="322"/>
      <c r="V57" s="322"/>
    </row>
    <row r="58" spans="1:22" s="2254" customFormat="1" ht="14.1" customHeight="1" x14ac:dyDescent="0.2">
      <c r="A58" s="778" t="s">
        <v>804</v>
      </c>
      <c r="B58" s="285" t="s">
        <v>3220</v>
      </c>
      <c r="C58" s="281">
        <v>182.91</v>
      </c>
      <c r="D58" s="281">
        <v>7.98</v>
      </c>
      <c r="E58" s="281">
        <v>6.57</v>
      </c>
      <c r="F58" s="281">
        <v>192.75</v>
      </c>
      <c r="G58" s="281">
        <v>8.1300000000000008</v>
      </c>
      <c r="H58" s="279">
        <v>4.76</v>
      </c>
      <c r="I58" s="281">
        <v>170.29</v>
      </c>
      <c r="J58" s="281">
        <v>7.76</v>
      </c>
      <c r="K58" s="281">
        <v>9.3800000000000008</v>
      </c>
      <c r="L58" s="281">
        <v>184.35</v>
      </c>
      <c r="M58" s="281">
        <v>157.94999999999999</v>
      </c>
      <c r="N58" s="281">
        <v>199.99</v>
      </c>
      <c r="O58" s="281">
        <v>160.66</v>
      </c>
      <c r="P58" s="281">
        <v>162.66999999999999</v>
      </c>
      <c r="Q58" s="281">
        <v>161.28</v>
      </c>
      <c r="R58" s="281">
        <v>186.84</v>
      </c>
      <c r="S58" s="322"/>
      <c r="T58" s="322"/>
      <c r="U58" s="322"/>
      <c r="V58" s="322"/>
    </row>
    <row r="59" spans="1:22" s="2254" customFormat="1" ht="14.1" customHeight="1" x14ac:dyDescent="0.2">
      <c r="A59" s="778" t="s">
        <v>804</v>
      </c>
      <c r="B59" s="153" t="s">
        <v>3221</v>
      </c>
      <c r="C59" s="25">
        <v>291.98</v>
      </c>
      <c r="D59" s="25">
        <v>7.97</v>
      </c>
      <c r="E59" s="25">
        <v>7.7</v>
      </c>
      <c r="F59" s="25">
        <v>322.04000000000002</v>
      </c>
      <c r="G59" s="25">
        <v>8.5299999999999994</v>
      </c>
      <c r="H59" s="24">
        <v>7.35</v>
      </c>
      <c r="I59" s="25">
        <v>252.67</v>
      </c>
      <c r="J59" s="25">
        <v>6.99</v>
      </c>
      <c r="K59" s="25">
        <v>8.43</v>
      </c>
      <c r="L59" s="25">
        <v>261.01</v>
      </c>
      <c r="M59" s="25">
        <v>243.93</v>
      </c>
      <c r="N59" s="25">
        <v>286.99</v>
      </c>
      <c r="O59" s="25">
        <v>230.52</v>
      </c>
      <c r="P59" s="25">
        <v>298.23</v>
      </c>
      <c r="Q59" s="25">
        <v>214.64</v>
      </c>
      <c r="R59" s="25">
        <v>271.95</v>
      </c>
      <c r="S59" s="322"/>
      <c r="T59" s="322"/>
      <c r="U59" s="322"/>
      <c r="V59" s="322"/>
    </row>
    <row r="60" spans="1:22" s="2254" customFormat="1" ht="14.1" customHeight="1" x14ac:dyDescent="0.2">
      <c r="A60" s="778" t="s">
        <v>804</v>
      </c>
      <c r="B60" s="285" t="s">
        <v>3202</v>
      </c>
      <c r="C60" s="281">
        <v>184.04</v>
      </c>
      <c r="D60" s="281">
        <v>8.0500000000000007</v>
      </c>
      <c r="E60" s="281">
        <v>6.78</v>
      </c>
      <c r="F60" s="281">
        <v>194.58</v>
      </c>
      <c r="G60" s="281">
        <v>8.26</v>
      </c>
      <c r="H60" s="279">
        <v>5.22</v>
      </c>
      <c r="I60" s="281">
        <v>170.53</v>
      </c>
      <c r="J60" s="281">
        <v>7.75</v>
      </c>
      <c r="K60" s="281">
        <v>9.17</v>
      </c>
      <c r="L60" s="281">
        <v>184.73</v>
      </c>
      <c r="M60" s="281">
        <v>158.13</v>
      </c>
      <c r="N60" s="281">
        <v>200.38</v>
      </c>
      <c r="O60" s="281">
        <v>160.72</v>
      </c>
      <c r="P60" s="281">
        <v>162.94999999999999</v>
      </c>
      <c r="Q60" s="281">
        <v>161.47</v>
      </c>
      <c r="R60" s="281">
        <v>187.08</v>
      </c>
      <c r="S60" s="322"/>
      <c r="T60" s="322"/>
      <c r="U60" s="322"/>
      <c r="V60" s="322"/>
    </row>
    <row r="61" spans="1:22" s="2254" customFormat="1" ht="14.1" customHeight="1" x14ac:dyDescent="0.2">
      <c r="A61" s="778" t="s">
        <v>978</v>
      </c>
      <c r="B61" s="285" t="s">
        <v>3190</v>
      </c>
      <c r="C61" s="237">
        <v>296.58</v>
      </c>
      <c r="D61" s="237">
        <v>7.78</v>
      </c>
      <c r="E61" s="237">
        <v>7.68</v>
      </c>
      <c r="F61" s="237">
        <v>329</v>
      </c>
      <c r="G61" s="237">
        <v>8.48</v>
      </c>
      <c r="H61" s="237">
        <v>7.53</v>
      </c>
      <c r="I61" s="237">
        <v>253.96</v>
      </c>
      <c r="J61" s="237">
        <v>6.58</v>
      </c>
      <c r="K61" s="237">
        <v>8.02</v>
      </c>
      <c r="L61" s="237">
        <v>266.11</v>
      </c>
      <c r="M61" s="237">
        <v>244.21</v>
      </c>
      <c r="N61" s="237">
        <v>287.77</v>
      </c>
      <c r="O61" s="237">
        <v>231.15</v>
      </c>
      <c r="P61" s="237">
        <v>299.22000000000003</v>
      </c>
      <c r="Q61" s="237">
        <v>214.84</v>
      </c>
      <c r="R61" s="237">
        <v>272.88</v>
      </c>
      <c r="S61" s="322"/>
      <c r="T61" s="322"/>
      <c r="U61" s="322"/>
      <c r="V61" s="322"/>
    </row>
    <row r="62" spans="1:22" s="2254" customFormat="1" ht="14.1" customHeight="1" x14ac:dyDescent="0.2">
      <c r="A62" s="778" t="s">
        <v>978</v>
      </c>
      <c r="B62" s="153" t="s">
        <v>3191</v>
      </c>
      <c r="C62" s="237">
        <v>186.79</v>
      </c>
      <c r="D62" s="237">
        <v>7.85</v>
      </c>
      <c r="E62" s="237">
        <v>6.99</v>
      </c>
      <c r="F62" s="237">
        <v>198.95</v>
      </c>
      <c r="G62" s="237">
        <v>8.14</v>
      </c>
      <c r="H62" s="237">
        <v>5.71</v>
      </c>
      <c r="I62" s="237">
        <v>171.18</v>
      </c>
      <c r="J62" s="237">
        <v>7.4</v>
      </c>
      <c r="K62" s="237">
        <v>8.9600000000000009</v>
      </c>
      <c r="L62" s="237">
        <v>187.56</v>
      </c>
      <c r="M62" s="237">
        <v>158.29</v>
      </c>
      <c r="N62" s="237">
        <v>200.8</v>
      </c>
      <c r="O62" s="237">
        <v>160.93</v>
      </c>
      <c r="P62" s="237">
        <v>163.24</v>
      </c>
      <c r="Q62" s="237">
        <v>161.61000000000001</v>
      </c>
      <c r="R62" s="237">
        <v>187.56</v>
      </c>
      <c r="S62" s="322"/>
      <c r="T62" s="322"/>
      <c r="U62" s="322"/>
      <c r="V62" s="322"/>
    </row>
    <row r="63" spans="1:22" s="2254" customFormat="1" ht="14.1" customHeight="1" x14ac:dyDescent="0.2">
      <c r="A63" s="778" t="s">
        <v>978</v>
      </c>
      <c r="B63" s="285" t="s">
        <v>3192</v>
      </c>
      <c r="C63" s="237">
        <v>189.44</v>
      </c>
      <c r="D63" s="237">
        <v>7.39</v>
      </c>
      <c r="E63" s="237">
        <v>7.19</v>
      </c>
      <c r="F63" s="237">
        <v>203.09</v>
      </c>
      <c r="G63" s="237">
        <v>8.09</v>
      </c>
      <c r="H63" s="237">
        <v>6.2</v>
      </c>
      <c r="I63" s="237">
        <v>171.94</v>
      </c>
      <c r="J63" s="237">
        <v>6.35</v>
      </c>
      <c r="K63" s="237">
        <v>8.7100000000000009</v>
      </c>
      <c r="L63" s="237">
        <v>188.17</v>
      </c>
      <c r="M63" s="237">
        <v>159.04</v>
      </c>
      <c r="N63" s="237">
        <v>201.93</v>
      </c>
      <c r="O63" s="237">
        <v>161.27000000000001</v>
      </c>
      <c r="P63" s="237">
        <v>163.93</v>
      </c>
      <c r="Q63" s="237">
        <v>162.69999999999999</v>
      </c>
      <c r="R63" s="237">
        <v>188.24</v>
      </c>
      <c r="S63" s="322"/>
      <c r="T63" s="322"/>
      <c r="U63" s="322"/>
      <c r="V63" s="322"/>
    </row>
    <row r="64" spans="1:22" s="2254" customFormat="1" ht="14.1" customHeight="1" x14ac:dyDescent="0.2">
      <c r="A64" s="778" t="s">
        <v>978</v>
      </c>
      <c r="B64" s="153" t="s">
        <v>3193</v>
      </c>
      <c r="C64" s="237">
        <v>192.24</v>
      </c>
      <c r="D64" s="237">
        <v>7.13</v>
      </c>
      <c r="E64" s="237">
        <v>7.37</v>
      </c>
      <c r="F64" s="237">
        <v>206.88</v>
      </c>
      <c r="G64" s="237">
        <v>7.93</v>
      </c>
      <c r="H64" s="237">
        <v>6.73</v>
      </c>
      <c r="I64" s="237">
        <v>173.48</v>
      </c>
      <c r="J64" s="237">
        <v>5.94</v>
      </c>
      <c r="K64" s="237">
        <v>8.35</v>
      </c>
      <c r="L64" s="237">
        <v>190.18</v>
      </c>
      <c r="M64" s="237">
        <v>159.52000000000001</v>
      </c>
      <c r="N64" s="237">
        <v>204.93</v>
      </c>
      <c r="O64" s="237">
        <v>162.11000000000001</v>
      </c>
      <c r="P64" s="237">
        <v>166.02</v>
      </c>
      <c r="Q64" s="237">
        <v>163.35</v>
      </c>
      <c r="R64" s="237">
        <v>192.08</v>
      </c>
      <c r="S64" s="322"/>
      <c r="T64" s="322"/>
      <c r="U64" s="322"/>
      <c r="V64" s="322"/>
    </row>
    <row r="65" spans="1:22" s="2254" customFormat="1" ht="14.1" customHeight="1" x14ac:dyDescent="0.2">
      <c r="A65" s="778" t="s">
        <v>978</v>
      </c>
      <c r="B65" s="285" t="s">
        <v>3194</v>
      </c>
      <c r="C65" s="237">
        <v>194.01</v>
      </c>
      <c r="D65" s="237">
        <v>7.03</v>
      </c>
      <c r="E65" s="237">
        <v>7.47</v>
      </c>
      <c r="F65" s="237">
        <v>209.25</v>
      </c>
      <c r="G65" s="237">
        <v>8.3800000000000008</v>
      </c>
      <c r="H65" s="237">
        <v>7.23</v>
      </c>
      <c r="I65" s="237">
        <v>174.46</v>
      </c>
      <c r="J65" s="237">
        <v>5.0199999999999996</v>
      </c>
      <c r="K65" s="237">
        <v>7.83</v>
      </c>
      <c r="L65" s="237">
        <v>191.85</v>
      </c>
      <c r="M65" s="237">
        <v>160.52000000000001</v>
      </c>
      <c r="N65" s="237">
        <v>205.24</v>
      </c>
      <c r="O65" s="237">
        <v>163.15</v>
      </c>
      <c r="P65" s="237">
        <v>166.28</v>
      </c>
      <c r="Q65" s="237">
        <v>164.29</v>
      </c>
      <c r="R65" s="237">
        <v>193.7</v>
      </c>
      <c r="S65" s="322"/>
      <c r="T65" s="322"/>
      <c r="U65" s="322"/>
      <c r="V65" s="322"/>
    </row>
    <row r="66" spans="1:22" s="2254" customFormat="1" ht="14.1" customHeight="1" x14ac:dyDescent="0.2">
      <c r="A66" s="778" t="s">
        <v>978</v>
      </c>
      <c r="B66" s="153" t="s">
        <v>3195</v>
      </c>
      <c r="C66" s="237">
        <v>194.76</v>
      </c>
      <c r="D66" s="237">
        <v>7.15</v>
      </c>
      <c r="E66" s="237">
        <v>7.51</v>
      </c>
      <c r="F66" s="237">
        <v>210.27</v>
      </c>
      <c r="G66" s="237">
        <v>8.5500000000000007</v>
      </c>
      <c r="H66" s="237">
        <v>7.62</v>
      </c>
      <c r="I66" s="237">
        <v>174.92</v>
      </c>
      <c r="J66" s="237">
        <v>5.08</v>
      </c>
      <c r="K66" s="237">
        <v>7.36</v>
      </c>
      <c r="L66" s="237">
        <v>192.85</v>
      </c>
      <c r="M66" s="237">
        <v>160.94</v>
      </c>
      <c r="N66" s="237">
        <v>205.67</v>
      </c>
      <c r="O66" s="237">
        <v>163.55000000000001</v>
      </c>
      <c r="P66" s="237">
        <v>166.77</v>
      </c>
      <c r="Q66" s="237">
        <v>164.33</v>
      </c>
      <c r="R66" s="237">
        <v>193.82</v>
      </c>
      <c r="S66" s="322"/>
      <c r="T66" s="322"/>
      <c r="U66" s="322"/>
      <c r="V66" s="322"/>
    </row>
    <row r="67" spans="1:22" s="2254" customFormat="1" ht="14.1" customHeight="1" x14ac:dyDescent="0.2">
      <c r="A67" s="778" t="s">
        <v>978</v>
      </c>
      <c r="B67" s="285" t="s">
        <v>3196</v>
      </c>
      <c r="C67" s="237">
        <v>195.82</v>
      </c>
      <c r="D67" s="237">
        <v>7.35</v>
      </c>
      <c r="E67" s="237">
        <v>7.53</v>
      </c>
      <c r="F67" s="237">
        <v>211.87</v>
      </c>
      <c r="G67" s="237">
        <v>9</v>
      </c>
      <c r="H67" s="237">
        <v>7.93</v>
      </c>
      <c r="I67" s="237">
        <v>175.26</v>
      </c>
      <c r="J67" s="237">
        <v>4.88</v>
      </c>
      <c r="K67" s="237">
        <v>6.94</v>
      </c>
      <c r="L67" s="237">
        <v>193.56</v>
      </c>
      <c r="M67" s="237">
        <v>161.1</v>
      </c>
      <c r="N67" s="237">
        <v>206.32</v>
      </c>
      <c r="O67" s="237">
        <v>163.94</v>
      </c>
      <c r="P67" s="237">
        <v>167.15</v>
      </c>
      <c r="Q67" s="237">
        <v>164.38</v>
      </c>
      <c r="R67" s="237">
        <v>194.02</v>
      </c>
      <c r="S67" s="322"/>
      <c r="T67" s="322"/>
      <c r="U67" s="322"/>
      <c r="V67" s="322"/>
    </row>
    <row r="68" spans="1:22" s="2254" customFormat="1" ht="14.1" customHeight="1" x14ac:dyDescent="0.2">
      <c r="A68" s="778" t="s">
        <v>978</v>
      </c>
      <c r="B68" s="153" t="s">
        <v>3197</v>
      </c>
      <c r="C68" s="237">
        <v>198.15</v>
      </c>
      <c r="D68" s="237">
        <v>7.5</v>
      </c>
      <c r="E68" s="237">
        <v>7.6</v>
      </c>
      <c r="F68" s="237">
        <v>213.65</v>
      </c>
      <c r="G68" s="237">
        <v>8.81</v>
      </c>
      <c r="H68" s="237">
        <v>8.25</v>
      </c>
      <c r="I68" s="237">
        <v>178.26</v>
      </c>
      <c r="J68" s="237">
        <v>5.53</v>
      </c>
      <c r="K68" s="237">
        <v>6.64</v>
      </c>
      <c r="L68" s="237">
        <v>198.38</v>
      </c>
      <c r="M68" s="237">
        <v>166.53</v>
      </c>
      <c r="N68" s="237">
        <v>207.4</v>
      </c>
      <c r="O68" s="237">
        <v>165.24</v>
      </c>
      <c r="P68" s="237">
        <v>167.78</v>
      </c>
      <c r="Q68" s="237">
        <v>164.55</v>
      </c>
      <c r="R68" s="237">
        <v>195.01</v>
      </c>
      <c r="S68" s="322"/>
      <c r="T68" s="322"/>
      <c r="U68" s="322"/>
      <c r="V68" s="322"/>
    </row>
    <row r="69" spans="1:22" s="2254" customFormat="1" ht="14.1" customHeight="1" x14ac:dyDescent="0.2">
      <c r="A69" s="778" t="s">
        <v>978</v>
      </c>
      <c r="B69" s="304" t="s">
        <v>3198</v>
      </c>
      <c r="C69" s="237">
        <v>198.54</v>
      </c>
      <c r="D69" s="237">
        <v>7.44</v>
      </c>
      <c r="E69" s="237">
        <v>7.57</v>
      </c>
      <c r="F69" s="237">
        <v>214.17</v>
      </c>
      <c r="G69" s="237">
        <v>8.84</v>
      </c>
      <c r="H69" s="237">
        <v>8.3699999999999992</v>
      </c>
      <c r="I69" s="237">
        <v>178.51</v>
      </c>
      <c r="J69" s="237">
        <v>5.37</v>
      </c>
      <c r="K69" s="237">
        <v>6.39</v>
      </c>
      <c r="L69" s="237">
        <v>198.79</v>
      </c>
      <c r="M69" s="237">
        <v>166.62</v>
      </c>
      <c r="N69" s="237">
        <v>208.03</v>
      </c>
      <c r="O69" s="237">
        <v>165.41</v>
      </c>
      <c r="P69" s="237">
        <v>168.11</v>
      </c>
      <c r="Q69" s="237">
        <v>164.72</v>
      </c>
      <c r="R69" s="237">
        <v>195.17</v>
      </c>
      <c r="S69" s="322"/>
      <c r="T69" s="322"/>
      <c r="U69" s="322"/>
      <c r="V69" s="322"/>
    </row>
    <row r="70" spans="1:22" s="2254" customFormat="1" ht="14.1" customHeight="1" x14ac:dyDescent="0.2">
      <c r="A70" s="778" t="s">
        <v>978</v>
      </c>
      <c r="B70" s="234" t="s">
        <v>3199</v>
      </c>
      <c r="C70" s="237">
        <v>198.84</v>
      </c>
      <c r="D70" s="237">
        <v>7.48</v>
      </c>
      <c r="E70" s="237">
        <v>7.54</v>
      </c>
      <c r="F70" s="237">
        <v>214.45</v>
      </c>
      <c r="G70" s="237">
        <v>8.9600000000000009</v>
      </c>
      <c r="H70" s="237">
        <v>8.49</v>
      </c>
      <c r="I70" s="237">
        <v>178.82</v>
      </c>
      <c r="J70" s="237">
        <v>5.26</v>
      </c>
      <c r="K70" s="237">
        <v>6.16</v>
      </c>
      <c r="L70" s="237">
        <v>198.87</v>
      </c>
      <c r="M70" s="237">
        <v>166.88</v>
      </c>
      <c r="N70" s="237">
        <v>208.36</v>
      </c>
      <c r="O70" s="237">
        <v>165.5</v>
      </c>
      <c r="P70" s="237">
        <v>168.52</v>
      </c>
      <c r="Q70" s="237">
        <v>165.55</v>
      </c>
      <c r="R70" s="237">
        <v>195.53</v>
      </c>
      <c r="S70" s="322"/>
      <c r="T70" s="322"/>
      <c r="U70" s="322"/>
      <c r="V70" s="322"/>
    </row>
    <row r="71" spans="1:22" s="2254" customFormat="1" ht="14.1" customHeight="1" x14ac:dyDescent="0.2">
      <c r="A71" s="778" t="s">
        <v>978</v>
      </c>
      <c r="B71" s="304" t="s">
        <v>3200</v>
      </c>
      <c r="C71" s="237">
        <v>198.94</v>
      </c>
      <c r="D71" s="237">
        <v>7.46</v>
      </c>
      <c r="E71" s="237">
        <v>7.47</v>
      </c>
      <c r="F71" s="237">
        <v>214.49</v>
      </c>
      <c r="G71" s="237">
        <v>8.9499999999999993</v>
      </c>
      <c r="H71" s="237">
        <v>8.51</v>
      </c>
      <c r="I71" s="237">
        <v>178.97</v>
      </c>
      <c r="J71" s="237">
        <v>5.23</v>
      </c>
      <c r="K71" s="237">
        <v>5.94</v>
      </c>
      <c r="L71" s="237">
        <v>199.33</v>
      </c>
      <c r="M71" s="237">
        <v>167.01</v>
      </c>
      <c r="N71" s="237">
        <v>207.34</v>
      </c>
      <c r="O71" s="237">
        <v>165.69</v>
      </c>
      <c r="P71" s="237">
        <v>169.19</v>
      </c>
      <c r="Q71" s="237">
        <v>165.62</v>
      </c>
      <c r="R71" s="237">
        <v>195.91</v>
      </c>
      <c r="S71" s="322"/>
      <c r="T71" s="322"/>
      <c r="U71" s="322"/>
      <c r="V71" s="322"/>
    </row>
    <row r="72" spans="1:22" s="2254" customFormat="1" ht="14.1" customHeight="1" x14ac:dyDescent="0.2">
      <c r="A72" s="778" t="s">
        <v>978</v>
      </c>
      <c r="B72" s="234" t="s">
        <v>3201</v>
      </c>
      <c r="C72" s="237">
        <v>196.6</v>
      </c>
      <c r="D72" s="237">
        <v>7.48</v>
      </c>
      <c r="E72" s="237">
        <v>7.44</v>
      </c>
      <c r="F72" s="237">
        <v>210.27</v>
      </c>
      <c r="G72" s="237">
        <v>9.09</v>
      </c>
      <c r="H72" s="237">
        <v>8.59</v>
      </c>
      <c r="I72" s="237">
        <v>179.07</v>
      </c>
      <c r="J72" s="237">
        <v>5.16</v>
      </c>
      <c r="K72" s="237">
        <v>5.72</v>
      </c>
      <c r="L72" s="237">
        <v>197.68</v>
      </c>
      <c r="M72" s="237">
        <v>167.12</v>
      </c>
      <c r="N72" s="237">
        <v>208.73</v>
      </c>
      <c r="O72" s="237">
        <v>165.92</v>
      </c>
      <c r="P72" s="237">
        <v>169.62</v>
      </c>
      <c r="Q72" s="237">
        <v>165.69</v>
      </c>
      <c r="R72" s="237">
        <v>196.97</v>
      </c>
      <c r="S72" s="322"/>
      <c r="T72" s="322"/>
      <c r="U72" s="322"/>
      <c r="V72" s="322"/>
    </row>
    <row r="73" spans="1:22" s="2254" customFormat="1" ht="14.1" customHeight="1" x14ac:dyDescent="0.2">
      <c r="A73" s="778" t="s">
        <v>978</v>
      </c>
      <c r="B73" s="304" t="s">
        <v>3202</v>
      </c>
      <c r="C73" s="237">
        <v>196.86</v>
      </c>
      <c r="D73" s="237">
        <v>6.97</v>
      </c>
      <c r="E73" s="237">
        <v>7.35</v>
      </c>
      <c r="F73" s="237">
        <v>210.15</v>
      </c>
      <c r="G73" s="237">
        <v>8</v>
      </c>
      <c r="H73" s="237">
        <v>8.57</v>
      </c>
      <c r="I73" s="237">
        <v>179.82</v>
      </c>
      <c r="J73" s="237">
        <v>5.45</v>
      </c>
      <c r="K73" s="237">
        <v>5.54</v>
      </c>
      <c r="L73" s="237">
        <v>199.96</v>
      </c>
      <c r="M73" s="237">
        <v>168.08</v>
      </c>
      <c r="N73" s="237">
        <v>208.88</v>
      </c>
      <c r="O73" s="237">
        <v>165.96</v>
      </c>
      <c r="P73" s="237">
        <v>169.82</v>
      </c>
      <c r="Q73" s="237">
        <v>165.79</v>
      </c>
      <c r="R73" s="237">
        <v>197.04</v>
      </c>
      <c r="S73" s="322"/>
      <c r="T73" s="322"/>
      <c r="U73" s="322"/>
      <c r="V73" s="322"/>
    </row>
    <row r="74" spans="1:22" s="2254" customFormat="1" ht="14.1" customHeight="1" x14ac:dyDescent="0.2">
      <c r="A74" s="778" t="s">
        <v>978</v>
      </c>
      <c r="B74" s="2255" t="s">
        <v>553</v>
      </c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</row>
    <row r="75" spans="1:22" s="2254" customFormat="1" ht="14.1" customHeight="1" x14ac:dyDescent="0.2">
      <c r="A75" s="778" t="s">
        <v>978</v>
      </c>
      <c r="B75" s="372" t="s">
        <v>547</v>
      </c>
      <c r="C75" s="322"/>
      <c r="D75" s="322"/>
      <c r="E75" s="322"/>
      <c r="F75" s="322"/>
      <c r="G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</row>
    <row r="76" spans="1:22" s="2254" customFormat="1" ht="14.1" customHeight="1" x14ac:dyDescent="0.2">
      <c r="A76" s="778" t="s">
        <v>978</v>
      </c>
      <c r="B76" s="2255" t="s">
        <v>554</v>
      </c>
      <c r="C76" s="322"/>
      <c r="D76" s="322"/>
      <c r="E76" s="322"/>
      <c r="F76" s="322"/>
      <c r="G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</row>
    <row r="77" spans="1:22" s="2254" customFormat="1" ht="14.1" customHeight="1" x14ac:dyDescent="0.2">
      <c r="A77" s="778" t="s">
        <v>978</v>
      </c>
      <c r="B77" s="372" t="s">
        <v>555</v>
      </c>
      <c r="C77" s="322"/>
      <c r="D77" s="322"/>
      <c r="E77" s="322"/>
      <c r="F77" s="322"/>
      <c r="G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</row>
    <row r="78" spans="1:22" s="2254" customFormat="1" ht="14.1" customHeight="1" x14ac:dyDescent="0.2">
      <c r="A78" s="778" t="s">
        <v>978</v>
      </c>
      <c r="B78" s="2255" t="s">
        <v>548</v>
      </c>
      <c r="C78" s="322"/>
      <c r="D78" s="322"/>
      <c r="E78" s="322"/>
      <c r="F78" s="322"/>
      <c r="G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</row>
    <row r="79" spans="1:22" s="2254" customFormat="1" ht="14.1" customHeight="1" x14ac:dyDescent="0.2">
      <c r="A79" s="778" t="s">
        <v>978</v>
      </c>
      <c r="B79" s="372" t="s">
        <v>556</v>
      </c>
      <c r="C79" s="322"/>
      <c r="D79" s="322"/>
      <c r="E79" s="322"/>
      <c r="F79" s="322"/>
      <c r="G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</row>
    <row r="80" spans="1:22" s="2254" customFormat="1" ht="14.1" customHeight="1" x14ac:dyDescent="0.2">
      <c r="A80" s="778" t="s">
        <v>978</v>
      </c>
      <c r="B80" s="2255" t="s">
        <v>557</v>
      </c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</row>
    <row r="81" spans="1:22" s="2254" customFormat="1" ht="14.1" customHeight="1" x14ac:dyDescent="0.2">
      <c r="A81" s="778" t="s">
        <v>978</v>
      </c>
      <c r="B81" s="372" t="s">
        <v>549</v>
      </c>
      <c r="C81" s="322"/>
      <c r="D81" s="322"/>
      <c r="E81" s="322"/>
      <c r="F81" s="322"/>
      <c r="G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</row>
    <row r="82" spans="1:22" s="2254" customFormat="1" ht="14.1" customHeight="1" x14ac:dyDescent="0.2">
      <c r="A82" s="778" t="s">
        <v>978</v>
      </c>
      <c r="B82" s="2255" t="s">
        <v>558</v>
      </c>
      <c r="C82" s="322"/>
      <c r="D82" s="322"/>
      <c r="E82" s="322"/>
      <c r="F82" s="322"/>
      <c r="G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</row>
    <row r="83" spans="1:22" s="2254" customFormat="1" ht="14.1" customHeight="1" x14ac:dyDescent="0.2">
      <c r="A83" s="778" t="s">
        <v>978</v>
      </c>
      <c r="B83" s="372" t="s">
        <v>559</v>
      </c>
      <c r="C83" s="322"/>
      <c r="D83" s="322"/>
      <c r="E83" s="322"/>
      <c r="F83" s="322"/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</row>
    <row r="84" spans="1:22" s="2254" customFormat="1" ht="14.1" customHeight="1" x14ac:dyDescent="0.2">
      <c r="A84" s="778" t="s">
        <v>978</v>
      </c>
      <c r="B84" s="2255" t="s">
        <v>550</v>
      </c>
      <c r="C84" s="322"/>
      <c r="D84" s="322"/>
      <c r="E84" s="322"/>
      <c r="F84" s="322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</row>
    <row r="85" spans="1:22" s="2254" customFormat="1" ht="14.1" customHeight="1" x14ac:dyDescent="0.2">
      <c r="A85" s="778" t="s">
        <v>1029</v>
      </c>
      <c r="B85" s="372" t="s">
        <v>552</v>
      </c>
      <c r="C85" s="322"/>
      <c r="D85" s="322"/>
      <c r="E85" s="322"/>
      <c r="F85" s="322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</row>
    <row r="86" spans="1:22" s="2254" customFormat="1" ht="14.1" customHeight="1" x14ac:dyDescent="0.2">
      <c r="A86" s="778" t="s">
        <v>1029</v>
      </c>
      <c r="B86" s="2255" t="s">
        <v>553</v>
      </c>
      <c r="C86" s="322"/>
      <c r="D86" s="322"/>
      <c r="E86" s="322"/>
      <c r="F86" s="322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</row>
    <row r="87" spans="1:22" s="2254" customFormat="1" ht="14.1" customHeight="1" x14ac:dyDescent="0.2">
      <c r="A87" s="778" t="s">
        <v>1029</v>
      </c>
      <c r="B87" s="372" t="s">
        <v>547</v>
      </c>
      <c r="C87" s="322"/>
      <c r="D87" s="322"/>
      <c r="E87" s="322"/>
      <c r="F87" s="322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</row>
    <row r="88" spans="1:22" s="2254" customFormat="1" ht="14.1" customHeight="1" x14ac:dyDescent="0.2">
      <c r="A88" s="778" t="s">
        <v>1029</v>
      </c>
      <c r="B88" s="2255" t="s">
        <v>554</v>
      </c>
      <c r="C88" s="322"/>
      <c r="D88" s="322"/>
      <c r="E88" s="322"/>
      <c r="F88" s="322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</row>
    <row r="89" spans="1:22" s="2254" customFormat="1" ht="14.1" customHeight="1" x14ac:dyDescent="0.2">
      <c r="A89" s="778" t="s">
        <v>1029</v>
      </c>
      <c r="B89" s="372" t="s">
        <v>555</v>
      </c>
      <c r="C89" s="322"/>
      <c r="D89" s="322"/>
      <c r="E89" s="322"/>
      <c r="F89" s="322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</row>
    <row r="90" spans="1:22" s="2254" customFormat="1" ht="14.1" customHeight="1" x14ac:dyDescent="0.2">
      <c r="A90" s="778" t="s">
        <v>1029</v>
      </c>
      <c r="B90" s="2255" t="s">
        <v>548</v>
      </c>
      <c r="C90" s="322"/>
      <c r="D90" s="322"/>
      <c r="E90" s="322"/>
      <c r="F90" s="322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</row>
    <row r="91" spans="1:22" s="2254" customFormat="1" ht="14.1" customHeight="1" x14ac:dyDescent="0.2">
      <c r="A91" s="778" t="s">
        <v>1029</v>
      </c>
      <c r="B91" s="372" t="s">
        <v>556</v>
      </c>
      <c r="C91" s="322"/>
      <c r="D91" s="322"/>
      <c r="E91" s="322"/>
      <c r="F91" s="322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</row>
    <row r="92" spans="1:22" s="2254" customFormat="1" ht="14.1" customHeight="1" x14ac:dyDescent="0.2">
      <c r="A92" s="778" t="s">
        <v>1029</v>
      </c>
      <c r="B92" s="2255" t="s">
        <v>557</v>
      </c>
      <c r="C92" s="322"/>
      <c r="D92" s="322"/>
      <c r="E92" s="322"/>
      <c r="F92" s="322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</row>
    <row r="93" spans="1:22" s="2254" customFormat="1" ht="14.1" customHeight="1" x14ac:dyDescent="0.2">
      <c r="A93" s="778" t="s">
        <v>1029</v>
      </c>
      <c r="B93" s="372" t="s">
        <v>549</v>
      </c>
      <c r="C93" s="322"/>
      <c r="D93" s="322"/>
      <c r="E93" s="322"/>
      <c r="F93" s="322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</row>
    <row r="94" spans="1:22" s="2254" customFormat="1" ht="14.1" customHeight="1" x14ac:dyDescent="0.2">
      <c r="A94" s="778" t="s">
        <v>1029</v>
      </c>
      <c r="B94" s="2255" t="s">
        <v>558</v>
      </c>
      <c r="C94" s="322"/>
      <c r="D94" s="322"/>
      <c r="E94" s="322"/>
      <c r="F94" s="322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</row>
    <row r="95" spans="1:22" s="2254" customFormat="1" ht="14.1" customHeight="1" x14ac:dyDescent="0.2">
      <c r="A95" s="778" t="s">
        <v>1029</v>
      </c>
      <c r="B95" s="372" t="s">
        <v>559</v>
      </c>
      <c r="C95" s="322"/>
      <c r="D95" s="322"/>
      <c r="E95" s="322"/>
      <c r="F95" s="322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</row>
    <row r="96" spans="1:22" s="2254" customFormat="1" ht="14.1" customHeight="1" x14ac:dyDescent="0.2">
      <c r="A96" s="778" t="s">
        <v>1029</v>
      </c>
      <c r="B96" s="2255" t="s">
        <v>550</v>
      </c>
      <c r="C96" s="322"/>
      <c r="D96" s="322"/>
      <c r="E96" s="322"/>
      <c r="F96" s="322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</row>
    <row r="97" spans="1:22" s="2254" customFormat="1" ht="14.1" customHeight="1" x14ac:dyDescent="0.2">
      <c r="A97" s="778" t="s">
        <v>1150</v>
      </c>
      <c r="B97" s="372" t="s">
        <v>552</v>
      </c>
      <c r="C97" s="237">
        <v>212.65</v>
      </c>
      <c r="D97" s="237">
        <v>6.36</v>
      </c>
      <c r="E97" s="237">
        <v>6.35</v>
      </c>
      <c r="F97" s="237">
        <v>227.78</v>
      </c>
      <c r="G97" s="237">
        <v>6.07</v>
      </c>
      <c r="H97" s="237">
        <v>6.52</v>
      </c>
      <c r="I97" s="237">
        <v>193.26</v>
      </c>
      <c r="J97" s="237">
        <v>6.8</v>
      </c>
      <c r="K97" s="237">
        <v>6.08</v>
      </c>
      <c r="L97" s="237">
        <v>223.43</v>
      </c>
      <c r="M97" s="237">
        <v>173.74</v>
      </c>
      <c r="N97" s="237">
        <v>221.85</v>
      </c>
      <c r="O97" s="237">
        <v>193.61</v>
      </c>
      <c r="P97" s="237">
        <v>190.8</v>
      </c>
      <c r="Q97" s="237">
        <v>169.8</v>
      </c>
      <c r="R97" s="237">
        <v>209.62</v>
      </c>
      <c r="S97" s="322"/>
      <c r="T97" s="322"/>
      <c r="U97" s="322"/>
      <c r="V97" s="322"/>
    </row>
    <row r="98" spans="1:22" s="2254" customFormat="1" ht="14.1" customHeight="1" x14ac:dyDescent="0.2">
      <c r="A98" s="778" t="s">
        <v>1150</v>
      </c>
      <c r="B98" s="2255" t="s">
        <v>553</v>
      </c>
      <c r="C98" s="237">
        <v>215.03</v>
      </c>
      <c r="D98" s="237">
        <v>6.17</v>
      </c>
      <c r="E98" s="237">
        <v>6.29</v>
      </c>
      <c r="F98" s="237">
        <v>231.91</v>
      </c>
      <c r="G98" s="237">
        <v>6.06</v>
      </c>
      <c r="H98" s="237">
        <v>6.39</v>
      </c>
      <c r="I98" s="237">
        <v>193.39</v>
      </c>
      <c r="J98" s="237">
        <v>6.35</v>
      </c>
      <c r="K98" s="237">
        <v>6.13</v>
      </c>
      <c r="L98" s="237">
        <v>223.21</v>
      </c>
      <c r="M98" s="237">
        <v>174.06</v>
      </c>
      <c r="N98" s="237">
        <v>222.31</v>
      </c>
      <c r="O98" s="237">
        <v>193.78</v>
      </c>
      <c r="P98" s="237">
        <v>191.19</v>
      </c>
      <c r="Q98" s="237">
        <v>169.9</v>
      </c>
      <c r="R98" s="237">
        <v>208.82</v>
      </c>
      <c r="S98" s="322"/>
      <c r="T98" s="322"/>
      <c r="U98" s="322"/>
      <c r="V98" s="322"/>
    </row>
    <row r="99" spans="1:22" s="2254" customFormat="1" ht="14.1" customHeight="1" x14ac:dyDescent="0.2">
      <c r="A99" s="778" t="s">
        <v>1150</v>
      </c>
      <c r="B99" s="372" t="s">
        <v>547</v>
      </c>
      <c r="C99" s="237">
        <v>218.21</v>
      </c>
      <c r="D99" s="237">
        <v>6.24</v>
      </c>
      <c r="E99" s="237">
        <v>6.24</v>
      </c>
      <c r="F99" s="237">
        <v>235.85</v>
      </c>
      <c r="G99" s="237">
        <v>5.92</v>
      </c>
      <c r="H99" s="237">
        <v>6.25</v>
      </c>
      <c r="I99" s="237">
        <v>195.59</v>
      </c>
      <c r="J99" s="237">
        <v>6.73</v>
      </c>
      <c r="K99" s="237">
        <v>6.22</v>
      </c>
      <c r="L99" s="237">
        <v>231.68</v>
      </c>
      <c r="M99" s="237">
        <v>175.28</v>
      </c>
      <c r="N99" s="237">
        <v>223.02</v>
      </c>
      <c r="O99" s="237">
        <v>194.13</v>
      </c>
      <c r="P99" s="237">
        <v>193.62</v>
      </c>
      <c r="Q99" s="237">
        <v>169.97</v>
      </c>
      <c r="R99" s="237">
        <v>209.2</v>
      </c>
      <c r="S99" s="322"/>
      <c r="T99" s="322"/>
      <c r="U99" s="322"/>
      <c r="V99" s="322"/>
    </row>
    <row r="100" spans="1:22" s="2254" customFormat="1" ht="14.1" customHeight="1" x14ac:dyDescent="0.2">
      <c r="A100" s="778" t="s">
        <v>1150</v>
      </c>
      <c r="B100" s="2255" t="s">
        <v>554</v>
      </c>
      <c r="C100" s="237">
        <v>219.62</v>
      </c>
      <c r="D100" s="237">
        <v>6.19</v>
      </c>
      <c r="E100" s="237">
        <v>6.21</v>
      </c>
      <c r="F100" s="237">
        <v>237.44</v>
      </c>
      <c r="G100" s="237">
        <v>5.89</v>
      </c>
      <c r="H100" s="237">
        <v>6.15</v>
      </c>
      <c r="I100" s="237">
        <v>196.77</v>
      </c>
      <c r="J100" s="237">
        <v>6.67</v>
      </c>
      <c r="K100" s="237">
        <v>6.3</v>
      </c>
      <c r="L100" s="237">
        <v>231.53</v>
      </c>
      <c r="M100" s="237">
        <v>175.45</v>
      </c>
      <c r="N100" s="237">
        <v>223.94</v>
      </c>
      <c r="O100" s="237">
        <v>194.36</v>
      </c>
      <c r="P100" s="237">
        <v>200.08</v>
      </c>
      <c r="Q100" s="237">
        <v>170.22</v>
      </c>
      <c r="R100" s="237">
        <v>210.86</v>
      </c>
      <c r="S100" s="322"/>
      <c r="T100" s="322"/>
      <c r="U100" s="322"/>
      <c r="V100" s="322"/>
    </row>
    <row r="101" spans="1:22" s="2254" customFormat="1" ht="14.1" customHeight="1" x14ac:dyDescent="0.2">
      <c r="A101" s="778" t="s">
        <v>1150</v>
      </c>
      <c r="B101" s="372" t="s">
        <v>555</v>
      </c>
      <c r="C101" s="237">
        <v>219.38</v>
      </c>
      <c r="D101" s="237">
        <v>6.05</v>
      </c>
      <c r="E101" s="237">
        <v>6.2</v>
      </c>
      <c r="F101" s="237">
        <v>236.61</v>
      </c>
      <c r="G101" s="237">
        <v>5.72</v>
      </c>
      <c r="H101" s="237">
        <v>6.09</v>
      </c>
      <c r="I101" s="237">
        <v>197.29</v>
      </c>
      <c r="J101" s="237">
        <v>6.56</v>
      </c>
      <c r="K101" s="237">
        <v>6.36</v>
      </c>
      <c r="L101" s="237">
        <v>231.99</v>
      </c>
      <c r="M101" s="237">
        <v>175.84</v>
      </c>
      <c r="N101" s="237">
        <v>225.03</v>
      </c>
      <c r="O101" s="237">
        <v>194.4</v>
      </c>
      <c r="P101" s="237">
        <v>201.28</v>
      </c>
      <c r="Q101" s="237">
        <v>170.48</v>
      </c>
      <c r="R101" s="237">
        <v>211.01</v>
      </c>
      <c r="S101" s="322"/>
      <c r="T101" s="322"/>
      <c r="U101" s="322"/>
      <c r="V101" s="322"/>
    </row>
    <row r="102" spans="1:22" s="2254" customFormat="1" ht="14.1" customHeight="1" x14ac:dyDescent="0.2">
      <c r="A102" s="778" t="s">
        <v>1150</v>
      </c>
      <c r="B102" s="2255" t="s">
        <v>548</v>
      </c>
      <c r="C102" s="237">
        <v>220.45</v>
      </c>
      <c r="D102" s="237">
        <v>6.1</v>
      </c>
      <c r="E102" s="237">
        <v>6.19</v>
      </c>
      <c r="F102" s="237">
        <v>236.57</v>
      </c>
      <c r="G102" s="237">
        <v>5.48</v>
      </c>
      <c r="H102" s="237">
        <v>6.06</v>
      </c>
      <c r="I102" s="237">
        <v>199.78</v>
      </c>
      <c r="J102" s="237">
        <v>7.05</v>
      </c>
      <c r="K102" s="237">
        <v>6.41</v>
      </c>
      <c r="L102" s="237">
        <v>235.93</v>
      </c>
      <c r="M102" s="237">
        <v>177.8</v>
      </c>
      <c r="N102" s="237">
        <v>229.04</v>
      </c>
      <c r="O102" s="237">
        <v>197.29</v>
      </c>
      <c r="P102" s="237">
        <v>205.19</v>
      </c>
      <c r="Q102" s="237">
        <v>170.63</v>
      </c>
      <c r="R102" s="237">
        <v>211.16</v>
      </c>
      <c r="S102" s="322"/>
      <c r="T102" s="322"/>
      <c r="U102" s="322"/>
      <c r="V102" s="322"/>
    </row>
    <row r="103" spans="1:22" s="2254" customFormat="1" ht="14.1" customHeight="1" x14ac:dyDescent="0.2">
      <c r="A103" s="778" t="s">
        <v>1150</v>
      </c>
      <c r="B103" s="372" t="s">
        <v>556</v>
      </c>
      <c r="C103" s="237">
        <v>222.87</v>
      </c>
      <c r="D103" s="237">
        <v>6.07</v>
      </c>
      <c r="E103" s="237">
        <v>6.2</v>
      </c>
      <c r="F103" s="237">
        <v>236.42</v>
      </c>
      <c r="G103" s="237">
        <v>4.33</v>
      </c>
      <c r="H103" s="237">
        <v>5.91</v>
      </c>
      <c r="I103" s="237">
        <v>205.5</v>
      </c>
      <c r="J103" s="237">
        <v>8.74</v>
      </c>
      <c r="K103" s="237">
        <v>6.65</v>
      </c>
      <c r="L103" s="237">
        <v>237.18</v>
      </c>
      <c r="M103" s="237">
        <v>190.58</v>
      </c>
      <c r="N103" s="237">
        <v>230.67</v>
      </c>
      <c r="O103" s="237">
        <v>205.18</v>
      </c>
      <c r="P103" s="237">
        <v>206.22</v>
      </c>
      <c r="Q103" s="237">
        <v>171.73</v>
      </c>
      <c r="R103" s="237">
        <v>212.79</v>
      </c>
      <c r="S103" s="322"/>
      <c r="T103" s="322"/>
      <c r="U103" s="322"/>
      <c r="V103" s="322"/>
    </row>
    <row r="104" spans="1:22" s="2254" customFormat="1" ht="14.1" customHeight="1" x14ac:dyDescent="0.2">
      <c r="A104" s="778" t="s">
        <v>1150</v>
      </c>
      <c r="B104" s="2255" t="s">
        <v>557</v>
      </c>
      <c r="C104" s="237">
        <v>222.58</v>
      </c>
      <c r="D104" s="237">
        <v>5.62</v>
      </c>
      <c r="E104" s="237">
        <v>6.15</v>
      </c>
      <c r="F104" s="237">
        <v>235.81</v>
      </c>
      <c r="G104" s="237">
        <v>3.77</v>
      </c>
      <c r="H104" s="237">
        <v>5.7</v>
      </c>
      <c r="I104" s="237">
        <v>205.61</v>
      </c>
      <c r="J104" s="237">
        <v>8.4600000000000009</v>
      </c>
      <c r="K104" s="237">
        <v>6.84</v>
      </c>
      <c r="L104" s="237">
        <v>237.23</v>
      </c>
      <c r="M104" s="237">
        <v>190.59</v>
      </c>
      <c r="N104" s="237">
        <v>230.81</v>
      </c>
      <c r="O104" s="237">
        <v>205.46</v>
      </c>
      <c r="P104" s="237">
        <v>206.31</v>
      </c>
      <c r="Q104" s="237">
        <v>171.78</v>
      </c>
      <c r="R104" s="237">
        <v>213.34</v>
      </c>
      <c r="S104" s="322"/>
      <c r="T104" s="322"/>
      <c r="U104" s="322"/>
      <c r="V104" s="322"/>
    </row>
    <row r="105" spans="1:22" s="2254" customFormat="1" ht="14.1" customHeight="1" x14ac:dyDescent="0.2">
      <c r="A105" s="778" t="s">
        <v>1150</v>
      </c>
      <c r="B105" s="372" t="s">
        <v>549</v>
      </c>
      <c r="C105" s="237">
        <v>223.25</v>
      </c>
      <c r="D105" s="237">
        <v>5.65</v>
      </c>
      <c r="E105" s="237">
        <v>6.1</v>
      </c>
      <c r="F105" s="237">
        <v>236.99</v>
      </c>
      <c r="G105" s="237">
        <v>3.89</v>
      </c>
      <c r="H105" s="237">
        <v>5.5</v>
      </c>
      <c r="I105" s="237">
        <v>205.64</v>
      </c>
      <c r="J105" s="237">
        <v>8.36</v>
      </c>
      <c r="K105" s="237">
        <v>7.03</v>
      </c>
      <c r="L105" s="237">
        <v>237.25</v>
      </c>
      <c r="M105" s="237">
        <v>190.6</v>
      </c>
      <c r="N105" s="237">
        <v>230.86</v>
      </c>
      <c r="O105" s="237">
        <v>205.48</v>
      </c>
      <c r="P105" s="237">
        <v>206.34</v>
      </c>
      <c r="Q105" s="237">
        <v>171.81</v>
      </c>
      <c r="R105" s="237">
        <v>213.4</v>
      </c>
      <c r="S105" s="322"/>
      <c r="T105" s="322"/>
      <c r="U105" s="322"/>
      <c r="V105" s="322"/>
    </row>
    <row r="106" spans="1:22" s="2254" customFormat="1" ht="14.1" customHeight="1" x14ac:dyDescent="0.2">
      <c r="A106" s="778" t="s">
        <v>1150</v>
      </c>
      <c r="B106" s="2255" t="s">
        <v>558</v>
      </c>
      <c r="C106" s="237">
        <v>223.37</v>
      </c>
      <c r="D106" s="237">
        <v>5.61</v>
      </c>
      <c r="E106" s="237">
        <v>6.04</v>
      </c>
      <c r="F106" s="237">
        <v>237.15</v>
      </c>
      <c r="G106" s="237">
        <v>3.84</v>
      </c>
      <c r="H106" s="237">
        <v>5.27</v>
      </c>
      <c r="I106" s="237">
        <v>205.7</v>
      </c>
      <c r="J106" s="237">
        <v>8.34</v>
      </c>
      <c r="K106" s="237">
        <v>7.21</v>
      </c>
      <c r="L106" s="237">
        <v>237.41</v>
      </c>
      <c r="M106" s="237">
        <v>190.61</v>
      </c>
      <c r="N106" s="237">
        <v>230.92</v>
      </c>
      <c r="O106" s="237">
        <v>205.5</v>
      </c>
      <c r="P106" s="237">
        <v>206.44</v>
      </c>
      <c r="Q106" s="237">
        <v>171.87</v>
      </c>
      <c r="R106" s="237">
        <v>213.44</v>
      </c>
      <c r="S106" s="322"/>
      <c r="T106" s="322"/>
      <c r="U106" s="322"/>
      <c r="V106" s="322"/>
    </row>
    <row r="107" spans="1:22" s="2254" customFormat="1" ht="14.1" customHeight="1" x14ac:dyDescent="0.2">
      <c r="A107" s="778" t="s">
        <v>1150</v>
      </c>
      <c r="B107" s="372" t="s">
        <v>559</v>
      </c>
      <c r="C107" s="237">
        <v>220.15</v>
      </c>
      <c r="D107" s="237">
        <v>5.45</v>
      </c>
      <c r="E107" s="237">
        <v>5.98</v>
      </c>
      <c r="F107" s="237">
        <v>231.86</v>
      </c>
      <c r="G107" s="237">
        <v>3.81</v>
      </c>
      <c r="H107" s="237">
        <v>5.08</v>
      </c>
      <c r="I107" s="237">
        <v>205.13</v>
      </c>
      <c r="J107" s="237">
        <v>7.92</v>
      </c>
      <c r="K107" s="237">
        <v>7.36</v>
      </c>
      <c r="L107" s="237">
        <v>237.44</v>
      </c>
      <c r="M107" s="237">
        <v>189.19</v>
      </c>
      <c r="N107" s="237">
        <v>230.92</v>
      </c>
      <c r="O107" s="237">
        <v>205.52</v>
      </c>
      <c r="P107" s="237">
        <v>205.8</v>
      </c>
      <c r="Q107" s="237">
        <v>171.93</v>
      </c>
      <c r="R107" s="237">
        <v>213.26</v>
      </c>
      <c r="S107" s="322"/>
      <c r="T107" s="322"/>
      <c r="U107" s="322"/>
      <c r="V107" s="322"/>
    </row>
    <row r="108" spans="1:22" s="2254" customFormat="1" ht="14.1" customHeight="1" x14ac:dyDescent="0.2">
      <c r="A108" s="778" t="s">
        <v>1150</v>
      </c>
      <c r="B108" s="2255" t="s">
        <v>550</v>
      </c>
      <c r="C108" s="237">
        <v>220.74</v>
      </c>
      <c r="D108" s="237">
        <v>5.53</v>
      </c>
      <c r="E108" s="237">
        <v>5.92</v>
      </c>
      <c r="F108" s="237">
        <v>232.87</v>
      </c>
      <c r="G108" s="237">
        <v>4.2300000000000004</v>
      </c>
      <c r="H108" s="237">
        <v>4.91</v>
      </c>
      <c r="I108" s="237">
        <v>205.19</v>
      </c>
      <c r="J108" s="237">
        <v>7.5</v>
      </c>
      <c r="K108" s="237">
        <v>7.47</v>
      </c>
      <c r="L108" s="237">
        <v>237.96</v>
      </c>
      <c r="M108" s="237">
        <v>189.26</v>
      </c>
      <c r="N108" s="237">
        <v>231.02</v>
      </c>
      <c r="O108" s="237">
        <v>205.64</v>
      </c>
      <c r="P108" s="237">
        <v>205.88</v>
      </c>
      <c r="Q108" s="237">
        <v>171.95</v>
      </c>
      <c r="R108" s="237">
        <v>212.44</v>
      </c>
      <c r="S108" s="322"/>
      <c r="T108" s="322"/>
      <c r="U108" s="322"/>
      <c r="V108" s="322"/>
    </row>
    <row r="109" spans="1:22" s="2254" customFormat="1" ht="14.1" customHeight="1" x14ac:dyDescent="0.2">
      <c r="A109" s="778" t="s">
        <v>1174</v>
      </c>
      <c r="B109" s="372" t="s">
        <v>552</v>
      </c>
      <c r="C109" s="237">
        <v>224.13</v>
      </c>
      <c r="D109" s="237">
        <v>5.4</v>
      </c>
      <c r="E109" s="237">
        <v>5.84</v>
      </c>
      <c r="F109" s="237">
        <v>237.69</v>
      </c>
      <c r="G109" s="237">
        <v>4.3499999999999996</v>
      </c>
      <c r="H109" s="237">
        <v>4.7699999999999996</v>
      </c>
      <c r="I109" s="237">
        <v>206.75</v>
      </c>
      <c r="J109" s="237">
        <v>6.98</v>
      </c>
      <c r="K109" s="237">
        <v>7.48</v>
      </c>
      <c r="L109" s="237">
        <v>241.4</v>
      </c>
      <c r="M109" s="237">
        <v>190.22</v>
      </c>
      <c r="N109" s="237">
        <v>232.95</v>
      </c>
      <c r="O109" s="237">
        <v>205.91</v>
      </c>
      <c r="P109" s="237">
        <v>207.41</v>
      </c>
      <c r="Q109" s="237">
        <v>172.56</v>
      </c>
      <c r="R109" s="237">
        <v>214.73</v>
      </c>
      <c r="S109" s="322"/>
      <c r="T109" s="322"/>
      <c r="U109" s="322"/>
      <c r="V109" s="322"/>
    </row>
    <row r="110" spans="1:22" s="2254" customFormat="1" ht="14.1" customHeight="1" x14ac:dyDescent="0.2">
      <c r="A110" s="778" t="s">
        <v>1174</v>
      </c>
      <c r="B110" s="2255" t="s">
        <v>553</v>
      </c>
      <c r="C110" s="237">
        <v>226.57</v>
      </c>
      <c r="D110" s="237">
        <v>5.37</v>
      </c>
      <c r="E110" s="237">
        <v>5.77</v>
      </c>
      <c r="F110" s="237">
        <v>241.89</v>
      </c>
      <c r="G110" s="237">
        <v>4.3</v>
      </c>
      <c r="H110" s="237">
        <v>4.62</v>
      </c>
      <c r="I110" s="237">
        <v>206.93</v>
      </c>
      <c r="J110" s="237">
        <v>7</v>
      </c>
      <c r="K110" s="237">
        <v>7.53</v>
      </c>
      <c r="L110" s="237">
        <v>241.59</v>
      </c>
      <c r="M110" s="237">
        <v>190.26</v>
      </c>
      <c r="N110" s="237">
        <v>233.62</v>
      </c>
      <c r="O110" s="237">
        <v>206.08</v>
      </c>
      <c r="P110" s="237">
        <v>207.56</v>
      </c>
      <c r="Q110" s="237">
        <v>172.68</v>
      </c>
      <c r="R110" s="237">
        <v>214.95</v>
      </c>
      <c r="S110" s="322"/>
      <c r="T110" s="322"/>
      <c r="U110" s="322"/>
      <c r="V110" s="322"/>
    </row>
    <row r="111" spans="1:22" s="2254" customFormat="1" ht="14.1" customHeight="1" x14ac:dyDescent="0.2">
      <c r="A111" s="778" t="s">
        <v>1174</v>
      </c>
      <c r="B111" s="372" t="s">
        <v>547</v>
      </c>
      <c r="C111" s="237">
        <v>230.27</v>
      </c>
      <c r="D111" s="237">
        <v>5.53</v>
      </c>
      <c r="E111" s="237">
        <v>5.71</v>
      </c>
      <c r="F111" s="237">
        <v>247.88</v>
      </c>
      <c r="G111" s="237">
        <v>5.0999999999999996</v>
      </c>
      <c r="H111" s="237">
        <v>4.5599999999999996</v>
      </c>
      <c r="I111" s="237">
        <v>207.69</v>
      </c>
      <c r="J111" s="237">
        <v>6.19</v>
      </c>
      <c r="K111" s="237">
        <v>7.48</v>
      </c>
      <c r="L111" s="237">
        <v>242.85</v>
      </c>
      <c r="M111" s="237">
        <v>190.62</v>
      </c>
      <c r="N111" s="237">
        <v>234.01</v>
      </c>
      <c r="O111" s="237">
        <v>206.32</v>
      </c>
      <c r="P111" s="237">
        <v>209.32</v>
      </c>
      <c r="Q111" s="237">
        <v>172.72</v>
      </c>
      <c r="R111" s="237">
        <v>216.62</v>
      </c>
      <c r="S111" s="322"/>
      <c r="T111" s="322"/>
      <c r="U111" s="322"/>
      <c r="V111" s="322"/>
    </row>
    <row r="112" spans="1:22" s="2254" customFormat="1" ht="14.1" customHeight="1" x14ac:dyDescent="0.2">
      <c r="A112" s="778" t="s">
        <v>1174</v>
      </c>
      <c r="B112" s="2255" t="s">
        <v>554</v>
      </c>
      <c r="C112" s="237">
        <v>231.85</v>
      </c>
      <c r="D112" s="237">
        <v>5.57</v>
      </c>
      <c r="E112" s="237">
        <v>5.66</v>
      </c>
      <c r="F112" s="237">
        <v>250.64</v>
      </c>
      <c r="G112" s="237">
        <v>5.56</v>
      </c>
      <c r="H112" s="237">
        <v>4.54</v>
      </c>
      <c r="I112" s="237">
        <v>207.75</v>
      </c>
      <c r="J112" s="237">
        <v>5.58</v>
      </c>
      <c r="K112" s="237">
        <v>7.38</v>
      </c>
      <c r="L112" s="237">
        <v>242.88</v>
      </c>
      <c r="M112" s="237">
        <v>190.65</v>
      </c>
      <c r="N112" s="237">
        <v>234.23</v>
      </c>
      <c r="O112" s="237">
        <v>206.38</v>
      </c>
      <c r="P112" s="237">
        <v>209.42</v>
      </c>
      <c r="Q112" s="237">
        <v>172.76</v>
      </c>
      <c r="R112" s="237">
        <v>216.65</v>
      </c>
      <c r="S112" s="322"/>
      <c r="T112" s="322"/>
      <c r="U112" s="322"/>
      <c r="V112" s="322"/>
    </row>
    <row r="113" spans="1:22" s="2254" customFormat="1" ht="14.1" customHeight="1" x14ac:dyDescent="0.2">
      <c r="A113" s="778" t="s">
        <v>1174</v>
      </c>
      <c r="B113" s="372" t="s">
        <v>555</v>
      </c>
      <c r="C113" s="237">
        <v>231.18</v>
      </c>
      <c r="D113" s="237">
        <v>5.38</v>
      </c>
      <c r="E113" s="237">
        <v>5.6</v>
      </c>
      <c r="F113" s="237">
        <v>249.41</v>
      </c>
      <c r="G113" s="237">
        <v>5.41</v>
      </c>
      <c r="H113" s="237">
        <v>4.5199999999999996</v>
      </c>
      <c r="I113" s="237">
        <v>207.81</v>
      </c>
      <c r="J113" s="237">
        <v>5.33</v>
      </c>
      <c r="K113" s="237">
        <v>7.27</v>
      </c>
      <c r="L113" s="237">
        <v>242.94</v>
      </c>
      <c r="M113" s="237">
        <v>190.68</v>
      </c>
      <c r="N113" s="237">
        <v>234.31</v>
      </c>
      <c r="O113" s="237">
        <v>206.42</v>
      </c>
      <c r="P113" s="237">
        <v>209.51</v>
      </c>
      <c r="Q113" s="237">
        <v>172.8</v>
      </c>
      <c r="R113" s="237">
        <v>216.74</v>
      </c>
      <c r="S113" s="322"/>
      <c r="T113" s="322"/>
      <c r="U113" s="322"/>
      <c r="V113" s="322"/>
    </row>
    <row r="114" spans="1:22" s="2254" customFormat="1" ht="14.1" customHeight="1" x14ac:dyDescent="0.2">
      <c r="A114" s="778" t="s">
        <v>1174</v>
      </c>
      <c r="B114" s="2255" t="s">
        <v>548</v>
      </c>
      <c r="C114" s="237">
        <v>231.53</v>
      </c>
      <c r="D114" s="237">
        <v>5.03</v>
      </c>
      <c r="E114" s="237">
        <v>5.51</v>
      </c>
      <c r="F114" s="237">
        <v>249.29</v>
      </c>
      <c r="G114" s="237">
        <v>5.38</v>
      </c>
      <c r="H114" s="237">
        <v>4.51</v>
      </c>
      <c r="I114" s="237">
        <v>208.76</v>
      </c>
      <c r="J114" s="237">
        <v>4.49</v>
      </c>
      <c r="K114" s="237">
        <v>7.05</v>
      </c>
      <c r="L114" s="237">
        <v>243.49</v>
      </c>
      <c r="M114" s="237">
        <v>190.87</v>
      </c>
      <c r="N114" s="237">
        <v>236.54</v>
      </c>
      <c r="O114" s="237">
        <v>206.83</v>
      </c>
      <c r="P114" s="237">
        <v>211.61</v>
      </c>
      <c r="Q114" s="237">
        <v>172.91</v>
      </c>
      <c r="R114" s="237">
        <v>219.53</v>
      </c>
      <c r="S114" s="322"/>
      <c r="T114" s="322"/>
      <c r="U114" s="322"/>
      <c r="V114" s="322"/>
    </row>
    <row r="115" spans="1:22" s="2254" customFormat="1" ht="14.1" customHeight="1" x14ac:dyDescent="0.2">
      <c r="A115" s="778" t="s">
        <v>1174</v>
      </c>
      <c r="B115" s="372" t="s">
        <v>556</v>
      </c>
      <c r="C115" s="237">
        <v>234.34</v>
      </c>
      <c r="D115" s="237">
        <v>5.15</v>
      </c>
      <c r="E115" s="237">
        <v>5.44</v>
      </c>
      <c r="F115" s="237">
        <v>251.86</v>
      </c>
      <c r="G115" s="237">
        <v>6.53</v>
      </c>
      <c r="H115" s="237">
        <v>4.7</v>
      </c>
      <c r="I115" s="237">
        <v>211.88</v>
      </c>
      <c r="J115" s="237">
        <v>3.1</v>
      </c>
      <c r="K115" s="237">
        <v>6.57</v>
      </c>
      <c r="L115" s="237">
        <v>243.72</v>
      </c>
      <c r="M115" s="237">
        <v>196.92</v>
      </c>
      <c r="N115" s="237">
        <v>237.24</v>
      </c>
      <c r="O115" s="237">
        <v>206.9</v>
      </c>
      <c r="P115" s="237">
        <v>212.14</v>
      </c>
      <c r="Q115" s="237">
        <v>182.2</v>
      </c>
      <c r="R115" s="237">
        <v>219.22</v>
      </c>
      <c r="S115" s="322"/>
      <c r="T115" s="322"/>
      <c r="U115" s="322"/>
      <c r="V115" s="322"/>
    </row>
    <row r="116" spans="1:22" s="2254" customFormat="1" ht="14.1" customHeight="1" x14ac:dyDescent="0.2">
      <c r="A116" s="778" t="s">
        <v>1174</v>
      </c>
      <c r="B116" s="2255" t="s">
        <v>557</v>
      </c>
      <c r="C116" s="237">
        <v>234.4</v>
      </c>
      <c r="D116" s="237">
        <v>5.31</v>
      </c>
      <c r="E116" s="237">
        <v>5.41</v>
      </c>
      <c r="F116" s="237">
        <v>251.93</v>
      </c>
      <c r="G116" s="237">
        <v>6.84</v>
      </c>
      <c r="H116" s="237">
        <v>4.95</v>
      </c>
      <c r="I116" s="237">
        <v>211.92</v>
      </c>
      <c r="J116" s="237">
        <v>3.07</v>
      </c>
      <c r="K116" s="237">
        <v>6.11</v>
      </c>
      <c r="L116" s="237">
        <v>243.73</v>
      </c>
      <c r="M116" s="237">
        <v>196.93</v>
      </c>
      <c r="N116" s="237">
        <v>237.29</v>
      </c>
      <c r="O116" s="237">
        <v>207</v>
      </c>
      <c r="P116" s="237">
        <v>212.19</v>
      </c>
      <c r="Q116" s="237">
        <v>182.29</v>
      </c>
      <c r="R116" s="237">
        <v>219.25</v>
      </c>
      <c r="S116" s="322"/>
      <c r="T116" s="322"/>
      <c r="U116" s="322"/>
      <c r="V116" s="322"/>
    </row>
    <row r="117" spans="1:22" s="2254" customFormat="1" ht="14.1" customHeight="1" x14ac:dyDescent="0.2">
      <c r="A117" s="778" t="s">
        <v>1174</v>
      </c>
      <c r="B117" s="372" t="s">
        <v>549</v>
      </c>
      <c r="C117" s="237">
        <v>235.29</v>
      </c>
      <c r="D117" s="237">
        <v>5.39</v>
      </c>
      <c r="E117" s="237">
        <v>5.39</v>
      </c>
      <c r="F117" s="237">
        <v>253.32</v>
      </c>
      <c r="G117" s="237">
        <v>6.89</v>
      </c>
      <c r="H117" s="237">
        <v>5.2</v>
      </c>
      <c r="I117" s="237">
        <v>212.18</v>
      </c>
      <c r="J117" s="237">
        <v>3.18</v>
      </c>
      <c r="K117" s="237">
        <v>5.67</v>
      </c>
      <c r="L117" s="237">
        <v>243.87</v>
      </c>
      <c r="M117" s="237">
        <v>197.51</v>
      </c>
      <c r="N117" s="237">
        <v>237.41</v>
      </c>
      <c r="O117" s="237">
        <v>207.03</v>
      </c>
      <c r="P117" s="237">
        <v>212.27</v>
      </c>
      <c r="Q117" s="237">
        <v>182.4</v>
      </c>
      <c r="R117" s="237">
        <v>219.31</v>
      </c>
      <c r="S117" s="322"/>
      <c r="T117" s="322"/>
      <c r="U117" s="322"/>
      <c r="V117" s="322"/>
    </row>
    <row r="118" spans="1:22" s="2254" customFormat="1" ht="14.1" customHeight="1" x14ac:dyDescent="0.2">
      <c r="A118" s="778" t="s">
        <v>1174</v>
      </c>
      <c r="B118" s="2255" t="s">
        <v>558</v>
      </c>
      <c r="C118" s="237">
        <v>235.58</v>
      </c>
      <c r="D118" s="237">
        <v>5.47</v>
      </c>
      <c r="E118" s="237">
        <v>5.38</v>
      </c>
      <c r="F118" s="237">
        <v>253.6</v>
      </c>
      <c r="G118" s="237">
        <v>6.94</v>
      </c>
      <c r="H118" s="237">
        <v>5.46</v>
      </c>
      <c r="I118" s="237">
        <v>212.48</v>
      </c>
      <c r="J118" s="237">
        <v>3.3</v>
      </c>
      <c r="K118" s="237">
        <v>5.25</v>
      </c>
      <c r="L118" s="237">
        <v>245.09</v>
      </c>
      <c r="M118" s="237">
        <v>197.55</v>
      </c>
      <c r="N118" s="237">
        <v>237.81</v>
      </c>
      <c r="O118" s="237">
        <v>207.13</v>
      </c>
      <c r="P118" s="237">
        <v>212.51</v>
      </c>
      <c r="Q118" s="237">
        <v>182.42</v>
      </c>
      <c r="R118" s="237">
        <v>219.4</v>
      </c>
      <c r="S118" s="322"/>
      <c r="T118" s="322"/>
      <c r="U118" s="322"/>
      <c r="V118" s="322"/>
    </row>
    <row r="119" spans="1:22" s="2254" customFormat="1" ht="14.1" customHeight="1" x14ac:dyDescent="0.2">
      <c r="A119" s="778" t="s">
        <v>1174</v>
      </c>
      <c r="B119" s="372" t="s">
        <v>559</v>
      </c>
      <c r="C119" s="237">
        <v>232.83</v>
      </c>
      <c r="D119" s="237">
        <v>5.76</v>
      </c>
      <c r="E119" s="237">
        <v>5.41</v>
      </c>
      <c r="F119" s="237">
        <v>248.94</v>
      </c>
      <c r="G119" s="237">
        <v>7.37</v>
      </c>
      <c r="H119" s="237">
        <v>5.75</v>
      </c>
      <c r="I119" s="237">
        <v>212.18</v>
      </c>
      <c r="J119" s="237">
        <v>3.44</v>
      </c>
      <c r="K119" s="237">
        <v>4.8899999999999997</v>
      </c>
      <c r="L119" s="237">
        <v>244.93</v>
      </c>
      <c r="M119" s="237">
        <v>197.61</v>
      </c>
      <c r="N119" s="237">
        <v>237.09</v>
      </c>
      <c r="O119" s="237">
        <v>207.14</v>
      </c>
      <c r="P119" s="237">
        <v>212.58</v>
      </c>
      <c r="Q119" s="237">
        <v>182.45</v>
      </c>
      <c r="R119" s="237">
        <v>216.84</v>
      </c>
      <c r="S119" s="322"/>
      <c r="T119" s="322"/>
      <c r="U119" s="322"/>
      <c r="V119" s="322"/>
    </row>
    <row r="120" spans="1:22" s="2254" customFormat="1" ht="14.1" customHeight="1" x14ac:dyDescent="0.2">
      <c r="A120" s="778" t="s">
        <v>1174</v>
      </c>
      <c r="B120" s="2255" t="s">
        <v>550</v>
      </c>
      <c r="C120" s="237">
        <v>233.86</v>
      </c>
      <c r="D120" s="237">
        <v>5.94</v>
      </c>
      <c r="E120" s="237">
        <v>5.44</v>
      </c>
      <c r="F120" s="237">
        <v>250.35</v>
      </c>
      <c r="G120" s="237">
        <v>7.51</v>
      </c>
      <c r="H120" s="237">
        <v>6.02</v>
      </c>
      <c r="I120" s="237">
        <v>212.72</v>
      </c>
      <c r="J120" s="237">
        <v>3.67</v>
      </c>
      <c r="K120" s="237">
        <v>4.57</v>
      </c>
      <c r="L120" s="237">
        <v>246.27</v>
      </c>
      <c r="M120" s="237">
        <v>198.27</v>
      </c>
      <c r="N120" s="237">
        <v>237.67</v>
      </c>
      <c r="O120" s="237">
        <v>207.24</v>
      </c>
      <c r="P120" s="237">
        <v>212.8</v>
      </c>
      <c r="Q120" s="237">
        <v>182.47</v>
      </c>
      <c r="R120" s="237">
        <v>216.88</v>
      </c>
      <c r="S120" s="322"/>
      <c r="T120" s="322"/>
      <c r="U120" s="322"/>
      <c r="V120" s="322"/>
    </row>
    <row r="121" spans="1:22" s="1692" customFormat="1" ht="14.1" customHeight="1" x14ac:dyDescent="0.2">
      <c r="A121" s="778" t="s">
        <v>1296</v>
      </c>
      <c r="B121" s="372" t="s">
        <v>552</v>
      </c>
      <c r="C121" s="237">
        <v>236.61</v>
      </c>
      <c r="D121" s="237">
        <v>5.57</v>
      </c>
      <c r="E121" s="237">
        <v>5.45</v>
      </c>
      <c r="F121" s="237">
        <v>254.2</v>
      </c>
      <c r="G121" s="237">
        <v>6.95</v>
      </c>
      <c r="H121" s="237">
        <v>6.23</v>
      </c>
      <c r="I121" s="237">
        <v>214.05</v>
      </c>
      <c r="J121" s="237">
        <v>3.53</v>
      </c>
      <c r="K121" s="237">
        <v>4.29</v>
      </c>
      <c r="L121" s="237">
        <v>246.77</v>
      </c>
      <c r="M121" s="237">
        <v>199.5</v>
      </c>
      <c r="N121" s="237">
        <v>241.75</v>
      </c>
      <c r="O121" s="237">
        <v>207.58</v>
      </c>
      <c r="P121" s="237">
        <v>215.24</v>
      </c>
      <c r="Q121" s="237">
        <v>182.62</v>
      </c>
      <c r="R121" s="237">
        <v>217.15</v>
      </c>
      <c r="S121" s="322"/>
      <c r="T121" s="322"/>
      <c r="U121" s="322"/>
      <c r="V121" s="322"/>
    </row>
    <row r="122" spans="1:22" s="1692" customFormat="1" ht="14.1" customHeight="1" x14ac:dyDescent="0.2">
      <c r="A122" s="778" t="s">
        <v>1296</v>
      </c>
      <c r="B122" s="1709" t="s">
        <v>553</v>
      </c>
      <c r="C122" s="237">
        <v>239.92</v>
      </c>
      <c r="D122" s="237">
        <v>5.89</v>
      </c>
      <c r="E122" s="237">
        <v>5.5</v>
      </c>
      <c r="F122" s="237">
        <v>259.60000000000002</v>
      </c>
      <c r="G122" s="237">
        <v>7.32</v>
      </c>
      <c r="H122" s="237">
        <v>6.48</v>
      </c>
      <c r="I122" s="237">
        <v>214.68</v>
      </c>
      <c r="J122" s="237">
        <v>3.75</v>
      </c>
      <c r="K122" s="237">
        <v>4.03</v>
      </c>
      <c r="L122" s="237">
        <v>247.67</v>
      </c>
      <c r="M122" s="237">
        <v>199.1</v>
      </c>
      <c r="N122" s="237">
        <v>244</v>
      </c>
      <c r="O122" s="237">
        <v>207.67</v>
      </c>
      <c r="P122" s="237">
        <v>216.38</v>
      </c>
      <c r="Q122" s="237">
        <v>182.81</v>
      </c>
      <c r="R122" s="237">
        <v>219.51</v>
      </c>
      <c r="S122" s="322"/>
      <c r="T122" s="322"/>
      <c r="U122" s="322"/>
      <c r="V122" s="322"/>
    </row>
    <row r="123" spans="1:22" s="1692" customFormat="1" ht="14.1" customHeight="1" x14ac:dyDescent="0.2">
      <c r="A123" s="778" t="s">
        <v>1296</v>
      </c>
      <c r="B123" s="372" t="s">
        <v>547</v>
      </c>
      <c r="C123" s="237">
        <v>244.36</v>
      </c>
      <c r="D123" s="237">
        <v>6.12</v>
      </c>
      <c r="E123" s="237">
        <v>5.55</v>
      </c>
      <c r="F123" s="237">
        <v>267.38</v>
      </c>
      <c r="G123" s="237">
        <v>7.87</v>
      </c>
      <c r="H123" s="237">
        <v>6.72</v>
      </c>
      <c r="I123" s="237">
        <v>214.84</v>
      </c>
      <c r="J123" s="237">
        <v>3.44</v>
      </c>
      <c r="K123" s="237">
        <v>3.81</v>
      </c>
      <c r="L123" s="237">
        <v>247.78</v>
      </c>
      <c r="M123" s="237">
        <v>199.16</v>
      </c>
      <c r="N123" s="237">
        <v>244.12</v>
      </c>
      <c r="O123" s="237">
        <v>207.84</v>
      </c>
      <c r="P123" s="237">
        <v>216.44</v>
      </c>
      <c r="Q123" s="237">
        <v>182.87</v>
      </c>
      <c r="R123" s="237">
        <v>220.48</v>
      </c>
      <c r="S123" s="322"/>
      <c r="T123" s="322"/>
      <c r="U123" s="322"/>
      <c r="V123" s="322"/>
    </row>
    <row r="124" spans="1:22" s="1707" customFormat="1" ht="14.1" customHeight="1" x14ac:dyDescent="0.2">
      <c r="A124" s="778" t="s">
        <v>1296</v>
      </c>
      <c r="B124" s="1709" t="s">
        <v>554</v>
      </c>
      <c r="C124" s="237">
        <v>245.86</v>
      </c>
      <c r="D124" s="237">
        <v>6.04</v>
      </c>
      <c r="E124" s="237">
        <v>5.59</v>
      </c>
      <c r="F124" s="237">
        <v>269.73</v>
      </c>
      <c r="G124" s="237">
        <v>7.62</v>
      </c>
      <c r="H124" s="237">
        <v>6.89</v>
      </c>
      <c r="I124" s="237">
        <v>215.26</v>
      </c>
      <c r="J124" s="237">
        <v>3.61</v>
      </c>
      <c r="K124" s="237">
        <v>3.65</v>
      </c>
      <c r="L124" s="237">
        <v>248.03</v>
      </c>
      <c r="M124" s="237">
        <v>199.21</v>
      </c>
      <c r="N124" s="237">
        <v>247.01</v>
      </c>
      <c r="O124" s="237">
        <v>207.92</v>
      </c>
      <c r="P124" s="237">
        <v>216.59</v>
      </c>
      <c r="Q124" s="237">
        <v>182.97</v>
      </c>
      <c r="R124" s="237">
        <v>220.61</v>
      </c>
      <c r="S124" s="322"/>
      <c r="T124" s="322"/>
      <c r="U124" s="322"/>
      <c r="V124" s="322"/>
    </row>
    <row r="125" spans="1:22" s="1707" customFormat="1" ht="14.1" customHeight="1" x14ac:dyDescent="0.2">
      <c r="A125" s="778" t="s">
        <v>1296</v>
      </c>
      <c r="B125" s="372" t="s">
        <v>555</v>
      </c>
      <c r="C125" s="237">
        <v>244.85</v>
      </c>
      <c r="D125" s="237">
        <v>5.91</v>
      </c>
      <c r="E125" s="237">
        <v>5.64</v>
      </c>
      <c r="F125" s="237">
        <v>267.10000000000002</v>
      </c>
      <c r="G125" s="237">
        <v>7.09</v>
      </c>
      <c r="H125" s="237">
        <v>7.03</v>
      </c>
      <c r="I125" s="237">
        <v>216.33</v>
      </c>
      <c r="J125" s="237">
        <v>4.0999999999999996</v>
      </c>
      <c r="K125" s="237">
        <v>3.56</v>
      </c>
      <c r="L125" s="237">
        <v>249.62</v>
      </c>
      <c r="M125" s="237">
        <v>199.41</v>
      </c>
      <c r="N125" s="237">
        <v>249.66</v>
      </c>
      <c r="O125" s="237">
        <v>208.32</v>
      </c>
      <c r="P125" s="237">
        <v>217.68</v>
      </c>
      <c r="Q125" s="237">
        <v>183.07</v>
      </c>
      <c r="R125" s="237">
        <v>223.89</v>
      </c>
      <c r="S125" s="322"/>
      <c r="T125" s="322"/>
      <c r="U125" s="322"/>
      <c r="V125" s="322"/>
    </row>
    <row r="126" spans="1:22" s="1707" customFormat="1" ht="14.1" customHeight="1" x14ac:dyDescent="0.2">
      <c r="A126" s="778" t="s">
        <v>1296</v>
      </c>
      <c r="B126" s="1709" t="s">
        <v>548</v>
      </c>
      <c r="C126" s="237">
        <v>245.03</v>
      </c>
      <c r="D126" s="237">
        <v>5.83</v>
      </c>
      <c r="E126" s="237">
        <v>5.7</v>
      </c>
      <c r="F126" s="237">
        <v>267.06</v>
      </c>
      <c r="G126" s="237">
        <v>7.13</v>
      </c>
      <c r="H126" s="237">
        <v>7.17</v>
      </c>
      <c r="I126" s="237">
        <v>216.79</v>
      </c>
      <c r="J126" s="237">
        <v>3.85</v>
      </c>
      <c r="K126" s="237">
        <v>3.5</v>
      </c>
      <c r="L126" s="237">
        <v>249.92</v>
      </c>
      <c r="M126" s="237">
        <v>199.98</v>
      </c>
      <c r="N126" s="237">
        <v>250.06</v>
      </c>
      <c r="O126" s="237">
        <v>208.83</v>
      </c>
      <c r="P126" s="237">
        <v>217.89</v>
      </c>
      <c r="Q126" s="237">
        <v>183.69</v>
      </c>
      <c r="R126" s="237">
        <v>224.44</v>
      </c>
      <c r="S126" s="322"/>
      <c r="T126" s="322"/>
      <c r="U126" s="322"/>
      <c r="V126" s="322"/>
    </row>
    <row r="127" spans="1:22" s="1707" customFormat="1" ht="14.1" customHeight="1" x14ac:dyDescent="0.2">
      <c r="A127" s="778" t="s">
        <v>1296</v>
      </c>
      <c r="B127" s="372" t="s">
        <v>556</v>
      </c>
      <c r="C127" s="237">
        <v>248.13</v>
      </c>
      <c r="D127" s="237">
        <v>5.88</v>
      </c>
      <c r="E127" s="237">
        <v>5.7633200488242498</v>
      </c>
      <c r="F127" s="237">
        <v>271.05</v>
      </c>
      <c r="G127" s="237">
        <v>7.62</v>
      </c>
      <c r="H127" s="237">
        <v>7.2647364759208521</v>
      </c>
      <c r="I127" s="237">
        <v>218.73</v>
      </c>
      <c r="J127" s="237">
        <v>3.23</v>
      </c>
      <c r="K127" s="237">
        <v>3.5141095603741013</v>
      </c>
      <c r="L127" s="237">
        <v>259.67</v>
      </c>
      <c r="M127" s="237">
        <v>200.65</v>
      </c>
      <c r="N127" s="237">
        <v>250.87</v>
      </c>
      <c r="O127" s="237">
        <v>209.09</v>
      </c>
      <c r="P127" s="237">
        <v>218.22</v>
      </c>
      <c r="Q127" s="237">
        <v>184</v>
      </c>
      <c r="R127" s="237">
        <v>224.61</v>
      </c>
      <c r="S127" s="322"/>
      <c r="T127" s="322"/>
      <c r="U127" s="322"/>
      <c r="V127" s="322"/>
    </row>
    <row r="128" spans="1:22" s="1707" customFormat="1" ht="14.1" customHeight="1" x14ac:dyDescent="0.2">
      <c r="A128" s="778" t="s">
        <v>1296</v>
      </c>
      <c r="B128" s="1709" t="s">
        <v>557</v>
      </c>
      <c r="C128" s="237">
        <v>247.81</v>
      </c>
      <c r="D128" s="237">
        <v>5.72</v>
      </c>
      <c r="E128" s="237">
        <v>5.7965868408144328</v>
      </c>
      <c r="F128" s="237">
        <v>270.25</v>
      </c>
      <c r="G128" s="237">
        <v>7.27</v>
      </c>
      <c r="H128" s="237">
        <v>7.2999801333123449</v>
      </c>
      <c r="I128" s="237">
        <v>219.04</v>
      </c>
      <c r="J128" s="237">
        <v>3.36</v>
      </c>
      <c r="K128" s="237">
        <v>3.5377235413362795</v>
      </c>
      <c r="L128" s="237">
        <v>259.98</v>
      </c>
      <c r="M128" s="237">
        <v>200.69</v>
      </c>
      <c r="N128" s="237">
        <v>251.08</v>
      </c>
      <c r="O128" s="237">
        <v>209.58</v>
      </c>
      <c r="P128" s="237">
        <v>219.29</v>
      </c>
      <c r="Q128" s="237">
        <v>184.21</v>
      </c>
      <c r="R128" s="237">
        <v>224.83</v>
      </c>
      <c r="S128" s="322"/>
      <c r="T128" s="322"/>
      <c r="U128" s="322"/>
      <c r="V128" s="322"/>
    </row>
    <row r="129" spans="1:22" s="1707" customFormat="1" ht="14.1" customHeight="1" x14ac:dyDescent="0.2">
      <c r="A129" s="778" t="s">
        <v>1296</v>
      </c>
      <c r="B129" s="372" t="s">
        <v>549</v>
      </c>
      <c r="C129" s="237">
        <v>248.65</v>
      </c>
      <c r="D129" s="237">
        <v>5.68</v>
      </c>
      <c r="E129" s="237">
        <v>5.8192592808566257</v>
      </c>
      <c r="F129" s="237">
        <v>271.27</v>
      </c>
      <c r="G129" s="237">
        <v>7.09</v>
      </c>
      <c r="H129" s="237">
        <v>7.3145558776342989</v>
      </c>
      <c r="I129" s="237">
        <v>219.64</v>
      </c>
      <c r="J129" s="237">
        <v>3.52</v>
      </c>
      <c r="K129" s="237">
        <v>3.5652943319627095</v>
      </c>
      <c r="L129" s="237">
        <v>260.22000000000003</v>
      </c>
      <c r="M129" s="237">
        <v>200.75</v>
      </c>
      <c r="N129" s="237">
        <v>253.21</v>
      </c>
      <c r="O129" s="237">
        <v>210.47</v>
      </c>
      <c r="P129" s="237">
        <v>219.94</v>
      </c>
      <c r="Q129" s="237">
        <v>184.27</v>
      </c>
      <c r="R129" s="237">
        <v>226.55</v>
      </c>
      <c r="S129" s="322"/>
      <c r="T129" s="322"/>
      <c r="U129" s="322"/>
      <c r="V129" s="322"/>
    </row>
    <row r="130" spans="1:22" s="1707" customFormat="1" ht="14.1" customHeight="1" x14ac:dyDescent="0.2">
      <c r="A130" s="778" t="s">
        <v>1296</v>
      </c>
      <c r="B130" s="1709" t="s">
        <v>558</v>
      </c>
      <c r="C130" s="237">
        <v>248.85</v>
      </c>
      <c r="D130" s="237">
        <v>5.63</v>
      </c>
      <c r="E130" s="237">
        <v>5.8319394201079122</v>
      </c>
      <c r="F130" s="237">
        <v>271.42</v>
      </c>
      <c r="G130" s="237">
        <v>7.03</v>
      </c>
      <c r="H130" s="237">
        <v>7.3202043194320554</v>
      </c>
      <c r="I130" s="237">
        <v>219.9</v>
      </c>
      <c r="J130" s="237">
        <v>3.49</v>
      </c>
      <c r="K130" s="237">
        <v>3.5811968200856859</v>
      </c>
      <c r="L130" s="237">
        <v>260.33</v>
      </c>
      <c r="M130" s="237">
        <v>200.86</v>
      </c>
      <c r="N130" s="237">
        <v>254.08</v>
      </c>
      <c r="O130" s="237">
        <v>210.78</v>
      </c>
      <c r="P130" s="237">
        <v>220.47</v>
      </c>
      <c r="Q130" s="237">
        <v>184.31</v>
      </c>
      <c r="R130" s="237">
        <v>226.72</v>
      </c>
      <c r="S130" s="322"/>
      <c r="T130" s="322"/>
      <c r="U130" s="322"/>
      <c r="V130" s="322"/>
    </row>
    <row r="131" spans="1:22" s="1707" customFormat="1" ht="14.1" customHeight="1" x14ac:dyDescent="0.2">
      <c r="A131" s="778" t="s">
        <v>1296</v>
      </c>
      <c r="B131" s="372" t="s">
        <v>559</v>
      </c>
      <c r="C131" s="237">
        <v>245.8</v>
      </c>
      <c r="D131" s="237">
        <v>5.57</v>
      </c>
      <c r="E131" s="237">
        <v>5.82</v>
      </c>
      <c r="F131" s="237">
        <v>265.27</v>
      </c>
      <c r="G131" s="237">
        <v>6.56</v>
      </c>
      <c r="H131" s="237">
        <v>7.25</v>
      </c>
      <c r="I131" s="237">
        <v>220.83</v>
      </c>
      <c r="J131" s="237">
        <v>4.08</v>
      </c>
      <c r="K131" s="237">
        <v>3.63</v>
      </c>
      <c r="L131" s="237">
        <v>261.92</v>
      </c>
      <c r="M131" s="237">
        <v>201.61</v>
      </c>
      <c r="N131" s="237">
        <v>254.88</v>
      </c>
      <c r="O131" s="237">
        <v>211.45</v>
      </c>
      <c r="P131" s="237">
        <v>221.55</v>
      </c>
      <c r="Q131" s="237">
        <v>184.4</v>
      </c>
      <c r="R131" s="237">
        <v>228.29</v>
      </c>
      <c r="S131" s="322"/>
      <c r="T131" s="322"/>
      <c r="U131" s="322"/>
      <c r="V131" s="322"/>
    </row>
    <row r="132" spans="1:22" s="1707" customFormat="1" ht="14.1" customHeight="1" x14ac:dyDescent="0.2">
      <c r="A132" s="778" t="s">
        <v>1296</v>
      </c>
      <c r="B132" s="1709" t="s">
        <v>550</v>
      </c>
      <c r="C132" s="237">
        <v>246.82</v>
      </c>
      <c r="D132" s="237">
        <v>5.54</v>
      </c>
      <c r="E132" s="237">
        <v>5.78</v>
      </c>
      <c r="F132" s="237">
        <v>265.33</v>
      </c>
      <c r="G132" s="237">
        <v>5.98</v>
      </c>
      <c r="H132" s="237">
        <v>7.13</v>
      </c>
      <c r="I132" s="237">
        <v>223.09</v>
      </c>
      <c r="J132" s="237">
        <v>4.87</v>
      </c>
      <c r="K132" s="237">
        <v>3.74</v>
      </c>
      <c r="L132" s="237">
        <v>270.93</v>
      </c>
      <c r="M132" s="237">
        <v>202.06</v>
      </c>
      <c r="N132" s="237">
        <v>255.39</v>
      </c>
      <c r="O132" s="237">
        <v>211.8</v>
      </c>
      <c r="P132" s="237">
        <v>225.87</v>
      </c>
      <c r="Q132" s="237">
        <v>184.57</v>
      </c>
      <c r="R132" s="237">
        <v>228.6</v>
      </c>
      <c r="S132" s="322"/>
      <c r="T132" s="322"/>
      <c r="U132" s="322"/>
      <c r="V132" s="322"/>
    </row>
    <row r="133" spans="1:22" s="1707" customFormat="1" ht="14.1" customHeight="1" x14ac:dyDescent="0.2">
      <c r="A133" s="778" t="s">
        <v>1404</v>
      </c>
      <c r="B133" s="372" t="s">
        <v>552</v>
      </c>
      <c r="C133" s="237">
        <v>249.65</v>
      </c>
      <c r="D133" s="237">
        <v>5.51</v>
      </c>
      <c r="E133" s="237">
        <v>5.78</v>
      </c>
      <c r="F133" s="237">
        <v>269.91000000000003</v>
      </c>
      <c r="G133" s="237">
        <v>6.18</v>
      </c>
      <c r="H133" s="237">
        <v>7.06</v>
      </c>
      <c r="I133" s="237">
        <v>223.66</v>
      </c>
      <c r="J133" s="237">
        <v>4.49</v>
      </c>
      <c r="K133" s="237">
        <v>3.82</v>
      </c>
      <c r="L133" s="237">
        <v>270.94</v>
      </c>
      <c r="M133" s="237">
        <v>202.11</v>
      </c>
      <c r="N133" s="237">
        <v>255.79</v>
      </c>
      <c r="O133" s="237">
        <v>211.96</v>
      </c>
      <c r="P133" s="237">
        <v>226.6</v>
      </c>
      <c r="Q133" s="237">
        <v>184.71</v>
      </c>
      <c r="R133" s="237">
        <v>233.1</v>
      </c>
      <c r="S133" s="322"/>
      <c r="T133" s="322"/>
      <c r="U133" s="322"/>
      <c r="V133" s="322"/>
    </row>
    <row r="134" spans="1:22" s="1707" customFormat="1" ht="14.1" customHeight="1" x14ac:dyDescent="0.2">
      <c r="A134" s="778" t="s">
        <v>1404</v>
      </c>
      <c r="B134" s="1709" t="s">
        <v>553</v>
      </c>
      <c r="C134" s="237">
        <v>253.07</v>
      </c>
      <c r="D134" s="237">
        <v>5.48</v>
      </c>
      <c r="E134" s="237">
        <v>5.74</v>
      </c>
      <c r="F134" s="237">
        <v>275.08999999999997</v>
      </c>
      <c r="G134" s="237">
        <v>5.97</v>
      </c>
      <c r="H134" s="237">
        <v>6.95</v>
      </c>
      <c r="I134" s="237">
        <v>224.84</v>
      </c>
      <c r="J134" s="237">
        <v>4.7300000000000004</v>
      </c>
      <c r="K134" s="237">
        <v>3.9</v>
      </c>
      <c r="L134" s="237">
        <v>272.39</v>
      </c>
      <c r="M134" s="237">
        <v>202.59</v>
      </c>
      <c r="N134" s="237">
        <v>257.76</v>
      </c>
      <c r="O134" s="237">
        <v>213.34</v>
      </c>
      <c r="P134" s="237">
        <v>229.48</v>
      </c>
      <c r="Q134" s="237">
        <v>184.82</v>
      </c>
      <c r="R134" s="237">
        <v>233.94</v>
      </c>
      <c r="S134" s="322"/>
      <c r="T134" s="322"/>
      <c r="U134" s="322"/>
      <c r="V134" s="322"/>
    </row>
    <row r="135" spans="1:22" s="1707" customFormat="1" ht="14.1" customHeight="1" x14ac:dyDescent="0.2">
      <c r="A135" s="778" t="s">
        <v>1404</v>
      </c>
      <c r="B135" s="372" t="s">
        <v>547</v>
      </c>
      <c r="C135" s="237">
        <v>257.62</v>
      </c>
      <c r="D135" s="237">
        <v>5.43</v>
      </c>
      <c r="E135" s="237">
        <v>5.68</v>
      </c>
      <c r="F135" s="237">
        <v>281.86</v>
      </c>
      <c r="G135" s="237">
        <v>5.42</v>
      </c>
      <c r="H135" s="237">
        <v>6.74</v>
      </c>
      <c r="I135" s="237">
        <v>226.54</v>
      </c>
      <c r="J135" s="237">
        <v>5.45</v>
      </c>
      <c r="K135" s="237">
        <v>4.07</v>
      </c>
      <c r="L135" s="237">
        <v>273.56</v>
      </c>
      <c r="M135" s="237">
        <v>203.56</v>
      </c>
      <c r="N135" s="237">
        <v>262.51</v>
      </c>
      <c r="O135" s="237">
        <v>214.29</v>
      </c>
      <c r="P135" s="237">
        <v>232.09</v>
      </c>
      <c r="Q135" s="237">
        <v>185.01</v>
      </c>
      <c r="R135" s="237">
        <v>236.64</v>
      </c>
      <c r="S135" s="322"/>
      <c r="T135" s="322"/>
      <c r="U135" s="322"/>
      <c r="V135" s="322"/>
    </row>
    <row r="136" spans="1:22" s="1707" customFormat="1" ht="14.1" customHeight="1" x14ac:dyDescent="0.2">
      <c r="A136" s="778" t="s">
        <v>1404</v>
      </c>
      <c r="B136" s="1709" t="s">
        <v>554</v>
      </c>
      <c r="C136" s="237">
        <v>259.13</v>
      </c>
      <c r="D136" s="237">
        <v>5.4</v>
      </c>
      <c r="E136" s="237">
        <v>5.63</v>
      </c>
      <c r="F136" s="237">
        <v>283.44</v>
      </c>
      <c r="G136" s="237">
        <v>5.08</v>
      </c>
      <c r="H136" s="237">
        <v>6.52</v>
      </c>
      <c r="I136" s="237">
        <v>227.96</v>
      </c>
      <c r="J136" s="237">
        <v>5.9</v>
      </c>
      <c r="K136" s="237">
        <v>4.26</v>
      </c>
      <c r="L136" s="237">
        <v>275.01</v>
      </c>
      <c r="M136" s="237">
        <v>204.49</v>
      </c>
      <c r="N136" s="237">
        <v>265.5</v>
      </c>
      <c r="O136" s="237">
        <v>214.82</v>
      </c>
      <c r="P136" s="237">
        <v>234.21</v>
      </c>
      <c r="Q136" s="237">
        <v>185.29</v>
      </c>
      <c r="R136" s="237">
        <v>239.03</v>
      </c>
      <c r="S136" s="322"/>
      <c r="T136" s="322"/>
      <c r="U136" s="322"/>
      <c r="V136" s="322"/>
    </row>
    <row r="137" spans="1:22" s="1707" customFormat="1" ht="14.1" customHeight="1" x14ac:dyDescent="0.2">
      <c r="A137" s="778" t="s">
        <v>1404</v>
      </c>
      <c r="B137" s="372" t="s">
        <v>555</v>
      </c>
      <c r="C137" s="237">
        <v>258</v>
      </c>
      <c r="D137" s="237">
        <v>5.37</v>
      </c>
      <c r="E137" s="237">
        <v>5.58</v>
      </c>
      <c r="F137" s="237">
        <v>281.24</v>
      </c>
      <c r="G137" s="237">
        <v>5.29</v>
      </c>
      <c r="H137" s="237">
        <v>6.37</v>
      </c>
      <c r="I137" s="237">
        <v>228.21</v>
      </c>
      <c r="J137" s="237">
        <v>5.49</v>
      </c>
      <c r="K137" s="237">
        <v>4.38</v>
      </c>
      <c r="L137" s="237">
        <v>275.45999999999998</v>
      </c>
      <c r="M137" s="237">
        <v>204.77</v>
      </c>
      <c r="N137" s="237">
        <v>265.68</v>
      </c>
      <c r="O137" s="237">
        <v>214.91</v>
      </c>
      <c r="P137" s="237">
        <v>234.47</v>
      </c>
      <c r="Q137" s="237">
        <v>185.35</v>
      </c>
      <c r="R137" s="237">
        <v>239.18</v>
      </c>
      <c r="S137" s="322"/>
      <c r="T137" s="322"/>
      <c r="U137" s="322"/>
      <c r="V137" s="322"/>
    </row>
    <row r="138" spans="1:22" s="1707" customFormat="1" ht="14.1" customHeight="1" x14ac:dyDescent="0.2">
      <c r="A138" s="778" t="s">
        <v>1404</v>
      </c>
      <c r="B138" s="1709" t="s">
        <v>548</v>
      </c>
      <c r="C138" s="237">
        <v>258.13</v>
      </c>
      <c r="D138" s="237">
        <v>5.35</v>
      </c>
      <c r="E138" s="237">
        <v>5.55</v>
      </c>
      <c r="F138" s="237">
        <v>281.17</v>
      </c>
      <c r="G138" s="237">
        <v>5.28</v>
      </c>
      <c r="H138" s="237">
        <v>6.2108449889663131</v>
      </c>
      <c r="I138" s="237">
        <v>228.6</v>
      </c>
      <c r="J138" s="237">
        <v>5.45</v>
      </c>
      <c r="K138" s="237">
        <v>4.5113456073534675</v>
      </c>
      <c r="L138" s="237">
        <v>275.85000000000002</v>
      </c>
      <c r="M138" s="237">
        <v>205.26</v>
      </c>
      <c r="N138" s="237">
        <v>265.97000000000003</v>
      </c>
      <c r="O138" s="237">
        <v>215.17</v>
      </c>
      <c r="P138" s="237">
        <v>235.17</v>
      </c>
      <c r="Q138" s="237">
        <v>185.41</v>
      </c>
      <c r="R138" s="237">
        <v>239.33</v>
      </c>
      <c r="S138" s="322"/>
      <c r="T138" s="322"/>
      <c r="U138" s="322"/>
      <c r="V138" s="322"/>
    </row>
    <row r="139" spans="1:22" s="1707" customFormat="1" ht="14.1" customHeight="1" x14ac:dyDescent="0.2">
      <c r="A139" s="778" t="s">
        <v>1404</v>
      </c>
      <c r="B139" s="372" t="s">
        <v>556</v>
      </c>
      <c r="C139" s="237">
        <v>261.58</v>
      </c>
      <c r="D139" s="237">
        <v>5.42</v>
      </c>
      <c r="E139" s="237">
        <v>5.51</v>
      </c>
      <c r="F139" s="237">
        <v>285.5</v>
      </c>
      <c r="G139" s="237">
        <v>5.33</v>
      </c>
      <c r="H139" s="237">
        <v>6.02</v>
      </c>
      <c r="I139" s="237">
        <v>230.91</v>
      </c>
      <c r="J139" s="237">
        <v>5.57</v>
      </c>
      <c r="K139" s="237">
        <v>4.71</v>
      </c>
      <c r="L139" s="237">
        <v>277.56</v>
      </c>
      <c r="M139" s="237">
        <v>209.66</v>
      </c>
      <c r="N139" s="237">
        <v>266.24</v>
      </c>
      <c r="O139" s="237">
        <v>216.04</v>
      </c>
      <c r="P139" s="237">
        <v>235.83</v>
      </c>
      <c r="Q139" s="237">
        <v>188.11</v>
      </c>
      <c r="R139" s="237">
        <v>240.53</v>
      </c>
      <c r="S139" s="322"/>
      <c r="T139" s="322"/>
      <c r="U139" s="322"/>
      <c r="V139" s="322"/>
    </row>
    <row r="140" spans="1:22" s="1707" customFormat="1" ht="14.1" customHeight="1" x14ac:dyDescent="0.2">
      <c r="A140" s="778" t="s">
        <v>1404</v>
      </c>
      <c r="B140" s="1709" t="s">
        <v>557</v>
      </c>
      <c r="C140" s="237">
        <v>261.36</v>
      </c>
      <c r="D140" s="237">
        <v>5.47</v>
      </c>
      <c r="E140" s="237">
        <v>5.49</v>
      </c>
      <c r="F140" s="237">
        <v>284.95999999999998</v>
      </c>
      <c r="G140" s="237">
        <v>5.44</v>
      </c>
      <c r="H140" s="237">
        <v>5.87</v>
      </c>
      <c r="I140" s="237">
        <v>231.1</v>
      </c>
      <c r="J140" s="237">
        <v>5.51</v>
      </c>
      <c r="K140" s="237">
        <v>4.8899999999999997</v>
      </c>
      <c r="L140" s="237">
        <v>277.68</v>
      </c>
      <c r="M140" s="237">
        <v>209.72</v>
      </c>
      <c r="N140" s="237">
        <v>266.35000000000002</v>
      </c>
      <c r="O140" s="237">
        <v>216.08</v>
      </c>
      <c r="P140" s="237">
        <v>236.23</v>
      </c>
      <c r="Q140" s="237">
        <v>188.14</v>
      </c>
      <c r="R140" s="237">
        <v>241.42</v>
      </c>
      <c r="S140" s="322"/>
      <c r="T140" s="322"/>
      <c r="U140" s="322"/>
      <c r="V140" s="322"/>
    </row>
    <row r="141" spans="1:22" s="1707" customFormat="1" ht="14.1" customHeight="1" x14ac:dyDescent="0.2">
      <c r="A141" s="778" t="s">
        <v>1404</v>
      </c>
      <c r="B141" s="372" t="s">
        <v>549</v>
      </c>
      <c r="C141" s="237">
        <v>262.45</v>
      </c>
      <c r="D141" s="237">
        <v>5.55</v>
      </c>
      <c r="E141" s="237">
        <v>5.48</v>
      </c>
      <c r="F141" s="237">
        <v>286.77999999999997</v>
      </c>
      <c r="G141" s="237">
        <v>5.72</v>
      </c>
      <c r="H141" s="237">
        <v>5.76</v>
      </c>
      <c r="I141" s="237">
        <v>231.25</v>
      </c>
      <c r="J141" s="237">
        <v>5.29</v>
      </c>
      <c r="K141" s="237">
        <v>5.03</v>
      </c>
      <c r="L141" s="237">
        <v>277.74</v>
      </c>
      <c r="M141" s="237">
        <v>209.77</v>
      </c>
      <c r="N141" s="237">
        <v>266.57</v>
      </c>
      <c r="O141" s="237">
        <v>216.18</v>
      </c>
      <c r="P141" s="237">
        <v>236.9</v>
      </c>
      <c r="Q141" s="237">
        <v>188.16</v>
      </c>
      <c r="R141" s="237">
        <v>241.46</v>
      </c>
      <c r="S141" s="322"/>
      <c r="T141" s="322"/>
      <c r="U141" s="322"/>
      <c r="V141" s="322"/>
    </row>
    <row r="142" spans="1:22" s="1707" customFormat="1" ht="14.1" customHeight="1" x14ac:dyDescent="0.2">
      <c r="A142" s="778" t="s">
        <v>1404</v>
      </c>
      <c r="B142" s="1709" t="s">
        <v>558</v>
      </c>
      <c r="C142" s="237">
        <v>262.73</v>
      </c>
      <c r="D142" s="237">
        <v>5.58</v>
      </c>
      <c r="E142" s="237">
        <v>5.47</v>
      </c>
      <c r="F142" s="237">
        <v>286.45999999999998</v>
      </c>
      <c r="G142" s="237">
        <v>5.54</v>
      </c>
      <c r="H142" s="237">
        <v>5.64</v>
      </c>
      <c r="I142" s="237">
        <v>232.31</v>
      </c>
      <c r="J142" s="237">
        <v>5.64</v>
      </c>
      <c r="K142" s="237">
        <v>5.21</v>
      </c>
      <c r="L142" s="237">
        <v>281.42</v>
      </c>
      <c r="M142" s="237">
        <v>209.84</v>
      </c>
      <c r="N142" s="237">
        <v>267.58999999999997</v>
      </c>
      <c r="O142" s="237">
        <v>216.39</v>
      </c>
      <c r="P142" s="237">
        <v>238.13</v>
      </c>
      <c r="Q142" s="237">
        <v>188.47</v>
      </c>
      <c r="R142" s="237">
        <v>243.07</v>
      </c>
      <c r="S142" s="322"/>
      <c r="T142" s="322"/>
      <c r="U142" s="322"/>
      <c r="V142" s="322"/>
    </row>
    <row r="143" spans="1:22" s="1707" customFormat="1" ht="14.1" customHeight="1" x14ac:dyDescent="0.2">
      <c r="A143" s="778" t="s">
        <v>1404</v>
      </c>
      <c r="B143" s="372" t="s">
        <v>559</v>
      </c>
      <c r="C143" s="237">
        <v>259.63</v>
      </c>
      <c r="D143" s="237">
        <v>5.63</v>
      </c>
      <c r="E143" s="237">
        <v>5.48</v>
      </c>
      <c r="F143" s="237">
        <v>279.83</v>
      </c>
      <c r="G143" s="237">
        <v>5.49</v>
      </c>
      <c r="H143" s="237">
        <v>5.55</v>
      </c>
      <c r="I143" s="237">
        <v>233.72</v>
      </c>
      <c r="J143" s="237">
        <v>5.84</v>
      </c>
      <c r="K143" s="237">
        <v>5.36</v>
      </c>
      <c r="L143" s="237">
        <v>287.06</v>
      </c>
      <c r="M143" s="237">
        <v>210.16</v>
      </c>
      <c r="N143" s="237">
        <v>267.89</v>
      </c>
      <c r="O143" s="237">
        <v>216.51</v>
      </c>
      <c r="P143" s="237">
        <v>240.86</v>
      </c>
      <c r="Q143" s="237">
        <v>188.54</v>
      </c>
      <c r="R143" s="237">
        <v>243.18</v>
      </c>
      <c r="S143" s="322"/>
      <c r="T143" s="322"/>
      <c r="U143" s="322"/>
      <c r="V143" s="322"/>
    </row>
    <row r="144" spans="1:22" s="1707" customFormat="1" ht="14.1" customHeight="1" x14ac:dyDescent="0.2">
      <c r="A144" s="778" t="s">
        <v>1404</v>
      </c>
      <c r="B144" s="1709" t="s">
        <v>550</v>
      </c>
      <c r="C144" s="237">
        <v>260.44</v>
      </c>
      <c r="D144" s="237">
        <v>5.52</v>
      </c>
      <c r="E144" s="237">
        <v>5.48</v>
      </c>
      <c r="F144" s="237">
        <v>279.64999999999998</v>
      </c>
      <c r="G144" s="237">
        <v>5.4</v>
      </c>
      <c r="H144" s="237">
        <v>5.51</v>
      </c>
      <c r="I144" s="237">
        <v>235.82</v>
      </c>
      <c r="J144" s="237">
        <v>5.71</v>
      </c>
      <c r="K144" s="237">
        <v>5.42</v>
      </c>
      <c r="L144" s="237">
        <v>287.02</v>
      </c>
      <c r="M144" s="237">
        <v>211.79</v>
      </c>
      <c r="N144" s="237">
        <v>275.14</v>
      </c>
      <c r="O144" s="237">
        <v>218.01</v>
      </c>
      <c r="P144" s="237">
        <v>242.76</v>
      </c>
      <c r="Q144" s="237">
        <v>188.7</v>
      </c>
      <c r="R144" s="237">
        <v>247.55</v>
      </c>
      <c r="S144" s="322"/>
      <c r="T144" s="322"/>
      <c r="U144" s="322"/>
      <c r="V144" s="322"/>
    </row>
    <row r="145" spans="1:22" s="1707" customFormat="1" ht="14.1" customHeight="1" x14ac:dyDescent="0.2">
      <c r="A145" s="778" t="s">
        <v>1484</v>
      </c>
      <c r="B145" s="372" t="s">
        <v>552</v>
      </c>
      <c r="C145" s="237">
        <v>263.69</v>
      </c>
      <c r="D145" s="237">
        <v>5.62</v>
      </c>
      <c r="E145" s="237">
        <v>5.48</v>
      </c>
      <c r="F145" s="237">
        <v>284.54000000000002</v>
      </c>
      <c r="G145" s="237">
        <v>5.42</v>
      </c>
      <c r="H145" s="237">
        <v>5.45</v>
      </c>
      <c r="I145" s="237">
        <v>236.95</v>
      </c>
      <c r="J145" s="237">
        <v>5.94</v>
      </c>
      <c r="K145" s="237">
        <v>5.54</v>
      </c>
      <c r="L145" s="237">
        <v>287.36</v>
      </c>
      <c r="M145" s="237">
        <v>214.54</v>
      </c>
      <c r="N145" s="237">
        <v>275.52999999999997</v>
      </c>
      <c r="O145" s="237">
        <v>218.09</v>
      </c>
      <c r="P145" s="237">
        <v>243.26</v>
      </c>
      <c r="Q145" s="237">
        <v>188.78</v>
      </c>
      <c r="R145" s="237">
        <v>247.86</v>
      </c>
      <c r="S145" s="322"/>
      <c r="T145" s="322"/>
      <c r="U145" s="322"/>
      <c r="V145" s="322"/>
    </row>
    <row r="146" spans="1:22" s="1707" customFormat="1" ht="14.1" customHeight="1" x14ac:dyDescent="0.2">
      <c r="A146" s="778" t="s">
        <v>1484</v>
      </c>
      <c r="B146" s="1709" t="s">
        <v>553</v>
      </c>
      <c r="C146" s="237">
        <v>266.95999999999998</v>
      </c>
      <c r="D146" s="237">
        <v>5.49</v>
      </c>
      <c r="E146" s="237">
        <v>5.48</v>
      </c>
      <c r="F146" s="237">
        <v>289.60000000000002</v>
      </c>
      <c r="G146" s="237">
        <v>5.27</v>
      </c>
      <c r="H146" s="237">
        <v>5.39</v>
      </c>
      <c r="I146" s="237">
        <v>237.93</v>
      </c>
      <c r="J146" s="237">
        <v>5.82</v>
      </c>
      <c r="K146" s="237">
        <v>5.63</v>
      </c>
      <c r="L146" s="237">
        <v>287.98</v>
      </c>
      <c r="M146" s="237">
        <v>214.85</v>
      </c>
      <c r="N146" s="237">
        <v>276.33</v>
      </c>
      <c r="O146" s="237">
        <v>222.04</v>
      </c>
      <c r="P146" s="237">
        <v>244.13</v>
      </c>
      <c r="Q146" s="237">
        <v>188.97</v>
      </c>
      <c r="R146" s="237">
        <v>250.59</v>
      </c>
      <c r="S146" s="322"/>
      <c r="T146" s="322"/>
      <c r="U146" s="322"/>
      <c r="V146" s="322"/>
    </row>
    <row r="147" spans="1:22" s="1707" customFormat="1" ht="14.1" customHeight="1" x14ac:dyDescent="0.2">
      <c r="A147" s="778" t="s">
        <v>1484</v>
      </c>
      <c r="B147" s="372" t="s">
        <v>547</v>
      </c>
      <c r="C147" s="237">
        <v>271.89999999999998</v>
      </c>
      <c r="D147" s="237">
        <v>5.54</v>
      </c>
      <c r="E147" s="237">
        <v>5.49</v>
      </c>
      <c r="F147" s="237">
        <v>296.81</v>
      </c>
      <c r="G147" s="237">
        <v>5.3</v>
      </c>
      <c r="H147" s="237">
        <v>5.38</v>
      </c>
      <c r="I147" s="237">
        <v>239.96</v>
      </c>
      <c r="J147" s="237">
        <v>5.92</v>
      </c>
      <c r="K147" s="237">
        <v>5.67</v>
      </c>
      <c r="L147" s="237">
        <v>288.8</v>
      </c>
      <c r="M147" s="237">
        <v>215.08</v>
      </c>
      <c r="N147" s="237">
        <v>280.52999999999997</v>
      </c>
      <c r="O147" s="237">
        <v>226.8</v>
      </c>
      <c r="P147" s="237">
        <v>247.26</v>
      </c>
      <c r="Q147" s="237">
        <v>189.24</v>
      </c>
      <c r="R147" s="237">
        <v>256.99</v>
      </c>
      <c r="S147" s="322"/>
      <c r="T147" s="322"/>
      <c r="U147" s="322"/>
      <c r="V147" s="322"/>
    </row>
    <row r="148" spans="1:22" s="1707" customFormat="1" ht="14.1" customHeight="1" x14ac:dyDescent="0.2">
      <c r="A148" s="778" t="s">
        <v>1484</v>
      </c>
      <c r="B148" s="1709" t="s">
        <v>554</v>
      </c>
      <c r="C148" s="237">
        <v>273.3</v>
      </c>
      <c r="D148" s="237">
        <v>5.47</v>
      </c>
      <c r="E148" s="237">
        <v>5.5004156359229839</v>
      </c>
      <c r="F148" s="237">
        <v>298.99</v>
      </c>
      <c r="G148" s="237">
        <v>5.49</v>
      </c>
      <c r="H148" s="237">
        <v>5.415074945152698</v>
      </c>
      <c r="I148" s="237">
        <v>240.38</v>
      </c>
      <c r="J148" s="237">
        <v>5.45</v>
      </c>
      <c r="K148" s="237">
        <v>5.6368186351063887</v>
      </c>
      <c r="L148" s="237">
        <v>288.89</v>
      </c>
      <c r="M148" s="237">
        <v>215.96</v>
      </c>
      <c r="N148" s="237">
        <v>280.64</v>
      </c>
      <c r="O148" s="237">
        <v>226.96</v>
      </c>
      <c r="P148" s="237">
        <v>247.48</v>
      </c>
      <c r="Q148" s="237">
        <v>189.72</v>
      </c>
      <c r="R148" s="237">
        <v>257.01</v>
      </c>
      <c r="S148" s="322"/>
      <c r="T148" s="322"/>
      <c r="U148" s="322"/>
      <c r="V148" s="322"/>
    </row>
    <row r="149" spans="1:22" s="1707" customFormat="1" ht="14.1" customHeight="1" x14ac:dyDescent="0.2">
      <c r="A149" s="778" t="s">
        <v>1484</v>
      </c>
      <c r="B149" s="372" t="s">
        <v>555</v>
      </c>
      <c r="C149" s="237">
        <v>273.60000000000002</v>
      </c>
      <c r="D149" s="237">
        <v>6.05</v>
      </c>
      <c r="E149" s="237">
        <v>5.557808386736518</v>
      </c>
      <c r="F149" s="237">
        <v>299.26</v>
      </c>
      <c r="G149" s="237">
        <v>6.41</v>
      </c>
      <c r="H149" s="237">
        <v>5.5102209159871407</v>
      </c>
      <c r="I149" s="237">
        <v>240.7</v>
      </c>
      <c r="J149" s="237">
        <v>5.47</v>
      </c>
      <c r="K149" s="237">
        <v>5.6345837563641865</v>
      </c>
      <c r="L149" s="237">
        <v>288.95</v>
      </c>
      <c r="M149" s="237">
        <v>216.26</v>
      </c>
      <c r="N149" s="237">
        <v>281.39</v>
      </c>
      <c r="O149" s="237">
        <v>227.23</v>
      </c>
      <c r="P149" s="237">
        <v>247.72</v>
      </c>
      <c r="Q149" s="237">
        <v>189.79</v>
      </c>
      <c r="R149" s="237">
        <v>257.85000000000002</v>
      </c>
      <c r="S149" s="322"/>
      <c r="T149" s="322"/>
      <c r="U149" s="322"/>
      <c r="V149" s="322"/>
    </row>
    <row r="150" spans="1:22" s="1707" customFormat="1" ht="14.1" customHeight="1" x14ac:dyDescent="0.2">
      <c r="A150" s="778" t="s">
        <v>1484</v>
      </c>
      <c r="B150" s="1709" t="s">
        <v>548</v>
      </c>
      <c r="C150" s="237">
        <v>272.97000000000003</v>
      </c>
      <c r="D150" s="237">
        <v>5.75</v>
      </c>
      <c r="E150" s="237">
        <v>5.5912974987258668</v>
      </c>
      <c r="F150" s="237">
        <v>297.69</v>
      </c>
      <c r="G150" s="237">
        <v>5.88</v>
      </c>
      <c r="H150" s="237">
        <v>5.5598819700057867</v>
      </c>
      <c r="I150" s="237">
        <v>241.28</v>
      </c>
      <c r="J150" s="237">
        <v>5.55</v>
      </c>
      <c r="K150" s="237">
        <v>5.6422134693999482</v>
      </c>
      <c r="L150" s="237">
        <v>289.48</v>
      </c>
      <c r="M150" s="237">
        <v>216.33</v>
      </c>
      <c r="N150" s="237">
        <v>283.57</v>
      </c>
      <c r="O150" s="237">
        <v>227.56</v>
      </c>
      <c r="P150" s="237">
        <v>248.24</v>
      </c>
      <c r="Q150" s="237">
        <v>189.91</v>
      </c>
      <c r="R150" s="237">
        <v>259.31</v>
      </c>
      <c r="S150" s="322"/>
      <c r="T150" s="322"/>
      <c r="U150" s="322"/>
      <c r="V150" s="322"/>
    </row>
    <row r="151" spans="1:22" s="1707" customFormat="1" ht="14.1" customHeight="1" x14ac:dyDescent="0.2">
      <c r="A151" s="778" t="s">
        <v>1484</v>
      </c>
      <c r="B151" s="372" t="s">
        <v>556</v>
      </c>
      <c r="C151" s="237">
        <v>276.16000000000003</v>
      </c>
      <c r="D151" s="237">
        <v>5.57</v>
      </c>
      <c r="E151" s="237">
        <v>5.6037507701533151</v>
      </c>
      <c r="F151" s="237">
        <v>300.11</v>
      </c>
      <c r="G151" s="237">
        <v>5.12</v>
      </c>
      <c r="H151" s="237">
        <v>5.5403952449458949</v>
      </c>
      <c r="I151" s="237">
        <v>245.46</v>
      </c>
      <c r="J151" s="237">
        <v>6.3</v>
      </c>
      <c r="K151" s="237">
        <v>5.7046954946124098</v>
      </c>
      <c r="L151" s="237">
        <v>290.95</v>
      </c>
      <c r="M151" s="237">
        <v>224.99</v>
      </c>
      <c r="N151" s="237">
        <v>285.35000000000002</v>
      </c>
      <c r="O151" s="237">
        <v>232.8</v>
      </c>
      <c r="P151" s="237">
        <v>248.96</v>
      </c>
      <c r="Q151" s="237">
        <v>190.66</v>
      </c>
      <c r="R151" s="237">
        <v>262</v>
      </c>
      <c r="S151" s="322"/>
      <c r="T151" s="322"/>
      <c r="U151" s="322"/>
      <c r="V151" s="322"/>
    </row>
    <row r="152" spans="1:22" s="1707" customFormat="1" ht="14.1" customHeight="1" x14ac:dyDescent="0.2">
      <c r="A152" s="778" t="s">
        <v>1484</v>
      </c>
      <c r="B152" s="1709" t="s">
        <v>557</v>
      </c>
      <c r="C152" s="237">
        <v>275.63</v>
      </c>
      <c r="D152" s="237">
        <v>5.46</v>
      </c>
      <c r="E152" s="237">
        <v>5.6024614092748948</v>
      </c>
      <c r="F152" s="237">
        <v>299.13</v>
      </c>
      <c r="G152" s="237">
        <v>4.97</v>
      </c>
      <c r="H152" s="237">
        <v>5.4995386647208377</v>
      </c>
      <c r="I152" s="237">
        <v>245.49</v>
      </c>
      <c r="J152" s="237">
        <v>6.23</v>
      </c>
      <c r="K152" s="237">
        <v>5.7653921220724103</v>
      </c>
      <c r="L152" s="237">
        <v>291</v>
      </c>
      <c r="M152" s="237">
        <v>225.06</v>
      </c>
      <c r="N152" s="237">
        <v>284.83</v>
      </c>
      <c r="O152" s="237">
        <v>232.88</v>
      </c>
      <c r="P152" s="237">
        <v>249.14</v>
      </c>
      <c r="Q152" s="237">
        <v>190.69</v>
      </c>
      <c r="R152" s="237">
        <v>262.23</v>
      </c>
      <c r="S152" s="322"/>
      <c r="T152" s="322"/>
      <c r="U152" s="322"/>
      <c r="V152" s="322"/>
    </row>
    <row r="153" spans="1:22" s="1707" customFormat="1" ht="14.1" customHeight="1" x14ac:dyDescent="0.2">
      <c r="A153" s="778" t="s">
        <v>1484</v>
      </c>
      <c r="B153" s="372" t="s">
        <v>549</v>
      </c>
      <c r="C153" s="237">
        <v>276.83</v>
      </c>
      <c r="D153" s="237">
        <v>5.48</v>
      </c>
      <c r="E153" s="237">
        <v>5.5961547252862065</v>
      </c>
      <c r="F153" s="237">
        <v>300.74</v>
      </c>
      <c r="G153" s="237">
        <v>4.87</v>
      </c>
      <c r="H153" s="237">
        <v>5.4274198147042041</v>
      </c>
      <c r="I153" s="237">
        <v>246.17</v>
      </c>
      <c r="J153" s="237">
        <v>6.45</v>
      </c>
      <c r="K153" s="237">
        <v>5.8625855297785412</v>
      </c>
      <c r="L153" s="237">
        <v>291.44</v>
      </c>
      <c r="M153" s="237">
        <v>225.93</v>
      </c>
      <c r="N153" s="237">
        <v>285.51</v>
      </c>
      <c r="O153" s="237">
        <v>233.28</v>
      </c>
      <c r="P153" s="237">
        <v>249.97</v>
      </c>
      <c r="Q153" s="237">
        <v>190.92</v>
      </c>
      <c r="R153" s="237">
        <v>263.14999999999998</v>
      </c>
      <c r="S153" s="322"/>
      <c r="T153" s="322"/>
      <c r="U153" s="322"/>
      <c r="V153" s="322"/>
    </row>
    <row r="154" spans="1:22" s="1707" customFormat="1" ht="14.1" customHeight="1" x14ac:dyDescent="0.2">
      <c r="A154" s="778" t="s">
        <v>1484</v>
      </c>
      <c r="B154" s="1709" t="s">
        <v>558</v>
      </c>
      <c r="C154" s="237">
        <v>278.39</v>
      </c>
      <c r="D154" s="237">
        <v>5.96</v>
      </c>
      <c r="E154" s="237">
        <v>5.6287666512804035</v>
      </c>
      <c r="F154" s="237">
        <v>303.39</v>
      </c>
      <c r="G154" s="237">
        <v>5.91</v>
      </c>
      <c r="H154" s="237">
        <v>5.4594996728423384</v>
      </c>
      <c r="I154" s="237">
        <v>246.34</v>
      </c>
      <c r="J154" s="237">
        <v>6.04</v>
      </c>
      <c r="K154" s="237">
        <v>5.8952845051844838</v>
      </c>
      <c r="L154" s="237">
        <v>291.49</v>
      </c>
      <c r="M154" s="237">
        <v>226.04</v>
      </c>
      <c r="N154" s="237">
        <v>285.79000000000002</v>
      </c>
      <c r="O154" s="237">
        <v>233.7</v>
      </c>
      <c r="P154" s="237">
        <v>250.22</v>
      </c>
      <c r="Q154" s="237">
        <v>190.96</v>
      </c>
      <c r="R154" s="237">
        <v>263.41000000000003</v>
      </c>
      <c r="S154" s="322"/>
      <c r="T154" s="322"/>
      <c r="U154" s="322"/>
      <c r="V154" s="322"/>
    </row>
    <row r="155" spans="1:22" s="1707" customFormat="1" ht="14.1" customHeight="1" x14ac:dyDescent="0.2">
      <c r="A155" s="778" t="s">
        <v>1484</v>
      </c>
      <c r="B155" s="372" t="s">
        <v>559</v>
      </c>
      <c r="C155" s="237">
        <v>273.52999999999997</v>
      </c>
      <c r="D155" s="237">
        <v>5.35</v>
      </c>
      <c r="E155" s="237">
        <v>5.6058404553794849</v>
      </c>
      <c r="F155" s="237">
        <v>294.08</v>
      </c>
      <c r="G155" s="237">
        <v>5.09</v>
      </c>
      <c r="H155" s="237">
        <v>5.4266310087251135</v>
      </c>
      <c r="I155" s="237">
        <v>247.17</v>
      </c>
      <c r="J155" s="237">
        <v>5.75</v>
      </c>
      <c r="K155" s="237">
        <v>5.8879946320277377</v>
      </c>
      <c r="L155" s="237">
        <v>291.72000000000003</v>
      </c>
      <c r="M155" s="237">
        <v>226.3</v>
      </c>
      <c r="N155" s="237">
        <v>285.8</v>
      </c>
      <c r="O155" s="237">
        <v>239.36</v>
      </c>
      <c r="P155" s="237">
        <v>252.04</v>
      </c>
      <c r="Q155" s="237">
        <v>190.96</v>
      </c>
      <c r="R155" s="237">
        <v>263.66000000000003</v>
      </c>
      <c r="S155" s="322"/>
      <c r="T155" s="322"/>
      <c r="U155" s="322"/>
      <c r="V155" s="322"/>
    </row>
    <row r="156" spans="1:22" s="1707" customFormat="1" ht="14.1" customHeight="1" x14ac:dyDescent="0.2">
      <c r="A156" s="778" t="s">
        <v>1484</v>
      </c>
      <c r="B156" s="1709" t="s">
        <v>550</v>
      </c>
      <c r="C156" s="237">
        <v>276.12</v>
      </c>
      <c r="D156" s="237">
        <v>6.02</v>
      </c>
      <c r="E156" s="237">
        <v>5.6476114685594103</v>
      </c>
      <c r="F156" s="237">
        <v>297.95</v>
      </c>
      <c r="G156" s="237">
        <v>6.54</v>
      </c>
      <c r="H156" s="237">
        <v>5.5215069211378198</v>
      </c>
      <c r="I156" s="237">
        <v>248.13</v>
      </c>
      <c r="J156" s="237">
        <v>5.22</v>
      </c>
      <c r="K156" s="237">
        <v>5.8455417943171106</v>
      </c>
      <c r="L156" s="237">
        <v>291.98</v>
      </c>
      <c r="M156" s="237">
        <v>227.07</v>
      </c>
      <c r="N156" s="237">
        <v>286.77999999999997</v>
      </c>
      <c r="O156" s="237">
        <v>240.16</v>
      </c>
      <c r="P156" s="237">
        <v>253.34</v>
      </c>
      <c r="Q156" s="237">
        <v>190.96</v>
      </c>
      <c r="R156" s="237">
        <v>267.19</v>
      </c>
      <c r="S156" s="322"/>
      <c r="T156" s="322"/>
      <c r="U156" s="322"/>
      <c r="V156" s="322"/>
    </row>
    <row r="157" spans="1:22" s="1707" customFormat="1" ht="14.1" customHeight="1" x14ac:dyDescent="0.2">
      <c r="A157" s="778" t="s">
        <v>1536</v>
      </c>
      <c r="B157" s="372" t="s">
        <v>552</v>
      </c>
      <c r="C157" s="237">
        <v>278.27</v>
      </c>
      <c r="D157" s="237">
        <v>5.53</v>
      </c>
      <c r="E157" s="237">
        <v>5.6394992671184641</v>
      </c>
      <c r="F157" s="237">
        <v>300.75</v>
      </c>
      <c r="G157" s="237">
        <v>5.7</v>
      </c>
      <c r="H157" s="237">
        <v>5.5442822929815838</v>
      </c>
      <c r="I157" s="237">
        <v>249.46</v>
      </c>
      <c r="J157" s="237">
        <v>5.28</v>
      </c>
      <c r="K157" s="237">
        <v>5.7893006672181668</v>
      </c>
      <c r="L157" s="237">
        <v>292.2</v>
      </c>
      <c r="M157" s="237">
        <v>227.57</v>
      </c>
      <c r="N157" s="237">
        <v>288.73</v>
      </c>
      <c r="O157" s="237">
        <v>240.64</v>
      </c>
      <c r="P157" s="237">
        <v>257.25</v>
      </c>
      <c r="Q157" s="237">
        <v>190.98</v>
      </c>
      <c r="R157" s="237">
        <v>271.37</v>
      </c>
      <c r="S157" s="322"/>
      <c r="T157" s="322"/>
      <c r="U157" s="322"/>
      <c r="V157" s="322"/>
    </row>
    <row r="158" spans="1:22" s="1707" customFormat="1" ht="14.1" customHeight="1" x14ac:dyDescent="0.2">
      <c r="A158" s="778" t="s">
        <v>1536</v>
      </c>
      <c r="B158" s="1709" t="s">
        <v>553</v>
      </c>
      <c r="C158" s="237">
        <v>282.11</v>
      </c>
      <c r="D158" s="237">
        <v>5.68</v>
      </c>
      <c r="E158" s="237">
        <v>5.6547200899186079</v>
      </c>
      <c r="F158" s="237">
        <v>307.2</v>
      </c>
      <c r="G158" s="237">
        <v>6.08</v>
      </c>
      <c r="H158" s="237">
        <v>5.6114043048078877</v>
      </c>
      <c r="I158" s="237">
        <v>249.95</v>
      </c>
      <c r="J158" s="237">
        <v>5.05</v>
      </c>
      <c r="K158" s="237">
        <v>5.7235824973933092</v>
      </c>
      <c r="L158" s="237">
        <v>292.29000000000002</v>
      </c>
      <c r="M158" s="237">
        <v>227.6</v>
      </c>
      <c r="N158" s="237">
        <v>291.54000000000002</v>
      </c>
      <c r="O158" s="237">
        <v>240.81</v>
      </c>
      <c r="P158" s="237">
        <v>257.58999999999997</v>
      </c>
      <c r="Q158" s="237">
        <v>191.01</v>
      </c>
      <c r="R158" s="237">
        <v>272.54000000000002</v>
      </c>
      <c r="S158" s="322"/>
      <c r="T158" s="322"/>
      <c r="U158" s="322"/>
      <c r="V158" s="322"/>
    </row>
    <row r="159" spans="1:22" s="1707" customFormat="1" ht="14.1" customHeight="1" x14ac:dyDescent="0.2">
      <c r="A159" s="778" t="s">
        <v>1536</v>
      </c>
      <c r="B159" s="372" t="s">
        <v>547</v>
      </c>
      <c r="C159" s="237">
        <v>288.12</v>
      </c>
      <c r="D159" s="237">
        <v>5.97</v>
      </c>
      <c r="E159" s="237">
        <v>5.6907183725365407</v>
      </c>
      <c r="F159" s="237">
        <v>316.11</v>
      </c>
      <c r="G159" s="237">
        <v>6.5</v>
      </c>
      <c r="H159" s="237">
        <v>5.7140685033245875</v>
      </c>
      <c r="I159" s="237">
        <v>252.24</v>
      </c>
      <c r="J159" s="237">
        <v>5.12</v>
      </c>
      <c r="K159" s="237">
        <v>5.6553071506268981</v>
      </c>
      <c r="L159" s="237">
        <v>292.42</v>
      </c>
      <c r="M159" s="237">
        <v>227.99</v>
      </c>
      <c r="N159" s="237">
        <v>293.11</v>
      </c>
      <c r="O159" s="237">
        <v>246.45</v>
      </c>
      <c r="P159" s="237">
        <v>263.02</v>
      </c>
      <c r="Q159" s="237">
        <v>191.79</v>
      </c>
      <c r="R159" s="237">
        <v>280.87</v>
      </c>
      <c r="S159" s="322"/>
      <c r="T159" s="322"/>
      <c r="U159" s="322"/>
      <c r="V159" s="322"/>
    </row>
    <row r="160" spans="1:22" s="1707" customFormat="1" ht="14.1" customHeight="1" x14ac:dyDescent="0.2">
      <c r="A160" s="778" t="s">
        <v>1536</v>
      </c>
      <c r="B160" s="1709" t="s">
        <v>554</v>
      </c>
      <c r="C160" s="237">
        <v>290.91000000000003</v>
      </c>
      <c r="D160" s="237">
        <v>6.44</v>
      </c>
      <c r="E160" s="237">
        <v>5.7740564589879639</v>
      </c>
      <c r="F160" s="237">
        <v>320.94</v>
      </c>
      <c r="G160" s="237">
        <v>7.34</v>
      </c>
      <c r="H160" s="237">
        <v>5.8744938917721701</v>
      </c>
      <c r="I160" s="237">
        <v>252.4</v>
      </c>
      <c r="J160" s="237">
        <v>5</v>
      </c>
      <c r="K160" s="237">
        <v>5.616036250418599</v>
      </c>
      <c r="L160" s="237">
        <v>292.57</v>
      </c>
      <c r="M160" s="237">
        <v>228.09</v>
      </c>
      <c r="N160" s="237">
        <v>293.35000000000002</v>
      </c>
      <c r="O160" s="237">
        <v>246.54</v>
      </c>
      <c r="P160" s="237">
        <v>263.41000000000003</v>
      </c>
      <c r="Q160" s="237">
        <v>191.81</v>
      </c>
      <c r="R160" s="237">
        <v>281.05</v>
      </c>
      <c r="S160" s="322"/>
      <c r="T160" s="322"/>
      <c r="U160" s="322"/>
      <c r="V160" s="322"/>
    </row>
    <row r="161" spans="1:22" s="1707" customFormat="1" ht="14.1" customHeight="1" x14ac:dyDescent="0.2">
      <c r="A161" s="778" t="s">
        <v>1536</v>
      </c>
      <c r="B161" s="372" t="s">
        <v>555</v>
      </c>
      <c r="C161" s="237">
        <v>288.70999999999998</v>
      </c>
      <c r="D161" s="237">
        <v>5.52</v>
      </c>
      <c r="E161" s="237">
        <v>5.7302638415250406</v>
      </c>
      <c r="F161" s="237">
        <v>316.41000000000003</v>
      </c>
      <c r="G161" s="237">
        <v>5.73</v>
      </c>
      <c r="H161" s="237">
        <v>5.8186503742525542</v>
      </c>
      <c r="I161" s="237">
        <v>253.19</v>
      </c>
      <c r="J161" s="237">
        <v>5.19</v>
      </c>
      <c r="K161" s="237">
        <v>5.5911591237148173</v>
      </c>
      <c r="L161" s="237">
        <v>292.73</v>
      </c>
      <c r="M161" s="237">
        <v>228.62</v>
      </c>
      <c r="N161" s="237">
        <v>295.29000000000002</v>
      </c>
      <c r="O161" s="237">
        <v>246.77</v>
      </c>
      <c r="P161" s="237">
        <v>264.74</v>
      </c>
      <c r="Q161" s="237">
        <v>191.96</v>
      </c>
      <c r="R161" s="237">
        <v>282.91000000000003</v>
      </c>
      <c r="S161" s="322"/>
      <c r="T161" s="322"/>
      <c r="U161" s="322"/>
      <c r="V161" s="322"/>
    </row>
    <row r="162" spans="1:22" s="1707" customFormat="1" ht="14.1" customHeight="1" x14ac:dyDescent="0.2">
      <c r="A162" s="778" t="s">
        <v>1536</v>
      </c>
      <c r="B162" s="1709" t="s">
        <v>548</v>
      </c>
      <c r="C162" s="237">
        <v>287.41000000000003</v>
      </c>
      <c r="D162" s="237">
        <v>5.29</v>
      </c>
      <c r="E162" s="237">
        <v>5.691074747462066</v>
      </c>
      <c r="F162" s="237">
        <v>313.58999999999997</v>
      </c>
      <c r="G162" s="237">
        <v>5.34</v>
      </c>
      <c r="H162" s="237">
        <v>5.7730823873869852</v>
      </c>
      <c r="I162" s="237">
        <v>253.85</v>
      </c>
      <c r="J162" s="237">
        <v>5.21</v>
      </c>
      <c r="K162" s="237">
        <v>5.5622442458629351</v>
      </c>
      <c r="L162" s="237">
        <v>293.08</v>
      </c>
      <c r="M162" s="237">
        <v>228.84</v>
      </c>
      <c r="N162" s="237">
        <v>295.74</v>
      </c>
      <c r="O162" s="237">
        <v>247.29</v>
      </c>
      <c r="P162" s="237">
        <v>266.32</v>
      </c>
      <c r="Q162" s="237">
        <v>192.16</v>
      </c>
      <c r="R162" s="237">
        <v>285.38</v>
      </c>
      <c r="S162" s="322"/>
      <c r="T162" s="322"/>
      <c r="U162" s="322"/>
      <c r="V162" s="322"/>
    </row>
    <row r="163" spans="1:22" s="1707" customFormat="1" ht="14.1" customHeight="1" x14ac:dyDescent="0.2">
      <c r="A163" s="778" t="s">
        <v>1536</v>
      </c>
      <c r="B163" s="372" t="s">
        <v>556</v>
      </c>
      <c r="C163" s="237">
        <v>290.02999999999997</v>
      </c>
      <c r="D163" s="237">
        <v>5.0199999999999996</v>
      </c>
      <c r="E163" s="237">
        <v>5.6430352022812658</v>
      </c>
      <c r="F163" s="237">
        <v>315.81</v>
      </c>
      <c r="G163" s="237">
        <v>5.23</v>
      </c>
      <c r="H163" s="237">
        <v>5.7801577189297015</v>
      </c>
      <c r="I163" s="237">
        <v>256.97000000000003</v>
      </c>
      <c r="J163" s="237">
        <v>4.6900000000000004</v>
      </c>
      <c r="K163" s="237">
        <v>5.4270318877640555</v>
      </c>
      <c r="L163" s="237">
        <v>301.14999999999998</v>
      </c>
      <c r="M163" s="237">
        <v>229.98</v>
      </c>
      <c r="N163" s="237">
        <v>297.45</v>
      </c>
      <c r="O163" s="237">
        <v>249.01</v>
      </c>
      <c r="P163" s="237">
        <v>269.58</v>
      </c>
      <c r="Q163" s="237">
        <v>194.13</v>
      </c>
      <c r="R163" s="237">
        <v>291.52999999999997</v>
      </c>
      <c r="S163" s="322"/>
      <c r="T163" s="322"/>
      <c r="U163" s="322"/>
      <c r="V163" s="322"/>
    </row>
    <row r="164" spans="1:22" s="1707" customFormat="1" ht="14.1" customHeight="1" x14ac:dyDescent="0.2">
      <c r="A164" s="778" t="s">
        <v>1536</v>
      </c>
      <c r="B164" s="1709" t="s">
        <v>557</v>
      </c>
      <c r="C164" s="237">
        <v>290.3</v>
      </c>
      <c r="D164" s="237">
        <v>5.32</v>
      </c>
      <c r="E164" s="237">
        <v>5.6304473421008305</v>
      </c>
      <c r="F164" s="237">
        <v>315.35000000000002</v>
      </c>
      <c r="G164" s="237">
        <v>5.42</v>
      </c>
      <c r="H164" s="237">
        <v>5.815339325778468</v>
      </c>
      <c r="I164" s="237">
        <v>258.18</v>
      </c>
      <c r="J164" s="237">
        <v>5.17</v>
      </c>
      <c r="K164" s="237">
        <v>5.3403232852774041</v>
      </c>
      <c r="L164" s="237">
        <v>302.12</v>
      </c>
      <c r="M164" s="237">
        <v>229.35</v>
      </c>
      <c r="N164" s="237">
        <v>299.52999999999997</v>
      </c>
      <c r="O164" s="237">
        <v>250.79</v>
      </c>
      <c r="P164" s="237">
        <v>272.60000000000002</v>
      </c>
      <c r="Q164" s="237">
        <v>195.12</v>
      </c>
      <c r="R164" s="237">
        <v>296.14999999999998</v>
      </c>
      <c r="S164" s="322"/>
      <c r="T164" s="322"/>
      <c r="U164" s="322"/>
      <c r="V164" s="322"/>
    </row>
    <row r="165" spans="1:22" s="1707" customFormat="1" ht="14.1" customHeight="1" x14ac:dyDescent="0.2">
      <c r="A165" s="778" t="s">
        <v>1536</v>
      </c>
      <c r="B165" s="372" t="s">
        <v>549</v>
      </c>
      <c r="C165" s="237">
        <v>291.95999999999998</v>
      </c>
      <c r="D165" s="237">
        <v>5.47</v>
      </c>
      <c r="E165" s="237">
        <v>5.6286025282636043</v>
      </c>
      <c r="F165" s="237">
        <v>317.32</v>
      </c>
      <c r="G165" s="237">
        <v>5.51</v>
      </c>
      <c r="H165" s="237">
        <v>5.8668131780540422</v>
      </c>
      <c r="I165" s="237">
        <v>259.44</v>
      </c>
      <c r="J165" s="237">
        <v>5.39</v>
      </c>
      <c r="K165" s="237">
        <v>5.2552526450105441</v>
      </c>
      <c r="L165" s="237">
        <v>303.73</v>
      </c>
      <c r="M165" s="237">
        <v>229.5</v>
      </c>
      <c r="N165" s="237">
        <v>302.63</v>
      </c>
      <c r="O165" s="237">
        <v>251.13</v>
      </c>
      <c r="P165" s="237">
        <v>274.68</v>
      </c>
      <c r="Q165" s="237">
        <v>195.89</v>
      </c>
      <c r="R165" s="237">
        <v>299.06</v>
      </c>
      <c r="S165" s="322"/>
      <c r="T165" s="322"/>
      <c r="U165" s="322"/>
      <c r="V165" s="322"/>
    </row>
    <row r="166" spans="1:22" s="1707" customFormat="1" ht="14.1" customHeight="1" x14ac:dyDescent="0.2">
      <c r="A166" s="778" t="s">
        <v>1536</v>
      </c>
      <c r="B166" s="1709" t="s">
        <v>558</v>
      </c>
      <c r="C166" s="237">
        <v>293.88</v>
      </c>
      <c r="D166" s="237">
        <v>5.56</v>
      </c>
      <c r="E166" s="237">
        <v>5.5962455762425423</v>
      </c>
      <c r="F166" s="237">
        <v>320.27999999999997</v>
      </c>
      <c r="G166" s="237">
        <v>5.57</v>
      </c>
      <c r="H166" s="237">
        <v>5.8375404420722088</v>
      </c>
      <c r="I166" s="237">
        <v>260.02</v>
      </c>
      <c r="J166" s="237">
        <v>5.55</v>
      </c>
      <c r="K166" s="237">
        <v>5.2176319977855989</v>
      </c>
      <c r="L166" s="237">
        <v>304.23</v>
      </c>
      <c r="M166" s="237">
        <v>229.44</v>
      </c>
      <c r="N166" s="237">
        <v>305</v>
      </c>
      <c r="O166" s="237">
        <v>251.5</v>
      </c>
      <c r="P166" s="237">
        <v>276.02</v>
      </c>
      <c r="Q166" s="237">
        <v>195.95</v>
      </c>
      <c r="R166" s="237">
        <v>299.67</v>
      </c>
      <c r="S166" s="322"/>
      <c r="T166" s="322"/>
      <c r="U166" s="322"/>
      <c r="V166" s="322"/>
    </row>
    <row r="167" spans="1:22" s="1707" customFormat="1" ht="14.1" customHeight="1" x14ac:dyDescent="0.2">
      <c r="A167" s="778" t="s">
        <v>1536</v>
      </c>
      <c r="B167" s="372" t="s">
        <v>559</v>
      </c>
      <c r="C167" s="237">
        <v>287.92</v>
      </c>
      <c r="D167" s="237">
        <v>5.26</v>
      </c>
      <c r="E167" s="237">
        <v>5.5874241588527385</v>
      </c>
      <c r="F167" s="237">
        <v>308.41000000000003</v>
      </c>
      <c r="G167" s="237">
        <v>4.87</v>
      </c>
      <c r="H167" s="237">
        <v>5.816325666833122</v>
      </c>
      <c r="I167" s="237">
        <v>261.64999999999998</v>
      </c>
      <c r="J167" s="237">
        <v>5.86</v>
      </c>
      <c r="K167" s="237">
        <v>5.228935994351902</v>
      </c>
      <c r="L167" s="237">
        <v>305.17</v>
      </c>
      <c r="M167" s="237">
        <v>225.9</v>
      </c>
      <c r="N167" s="237">
        <v>306.45999999999998</v>
      </c>
      <c r="O167" s="237">
        <v>251.53</v>
      </c>
      <c r="P167" s="237">
        <v>294.86</v>
      </c>
      <c r="Q167" s="237">
        <v>195.99</v>
      </c>
      <c r="R167" s="237">
        <v>299.99</v>
      </c>
      <c r="S167" s="322"/>
      <c r="T167" s="322"/>
      <c r="U167" s="322"/>
      <c r="V167" s="322"/>
    </row>
    <row r="168" spans="1:22" s="1707" customFormat="1" ht="14.1" customHeight="1" x14ac:dyDescent="0.2">
      <c r="A168" s="778" t="s">
        <v>1536</v>
      </c>
      <c r="B168" s="1709" t="s">
        <v>550</v>
      </c>
      <c r="C168" s="237">
        <v>291.7</v>
      </c>
      <c r="D168" s="237">
        <v>5.64</v>
      </c>
      <c r="E168" s="237">
        <v>5.5576564158239528</v>
      </c>
      <c r="F168" s="237">
        <v>314.19</v>
      </c>
      <c r="G168" s="237">
        <v>5.45</v>
      </c>
      <c r="H168" s="237">
        <v>5.7286183887331088</v>
      </c>
      <c r="I168" s="237">
        <v>262.87</v>
      </c>
      <c r="J168" s="237">
        <v>5.94</v>
      </c>
      <c r="K168" s="237">
        <v>5.2901960246368063</v>
      </c>
      <c r="L168" s="237">
        <v>306</v>
      </c>
      <c r="M168" s="237">
        <v>226.63</v>
      </c>
      <c r="N168" s="237">
        <v>308.95</v>
      </c>
      <c r="O168" s="237">
        <v>251.9</v>
      </c>
      <c r="P168" s="237">
        <v>297.31</v>
      </c>
      <c r="Q168" s="237">
        <v>196.54</v>
      </c>
      <c r="R168" s="237">
        <v>301.82</v>
      </c>
      <c r="S168" s="322"/>
      <c r="T168" s="322"/>
      <c r="U168" s="322"/>
      <c r="V168" s="322"/>
    </row>
    <row r="169" spans="1:22" s="1707" customFormat="1" ht="14.1" customHeight="1" x14ac:dyDescent="0.2">
      <c r="A169" s="778" t="s">
        <v>1817</v>
      </c>
      <c r="B169" s="372" t="s">
        <v>552</v>
      </c>
      <c r="C169" s="237">
        <v>293.19</v>
      </c>
      <c r="D169" s="237">
        <v>5.36</v>
      </c>
      <c r="E169" s="237">
        <v>5.5433772763430422</v>
      </c>
      <c r="F169" s="237">
        <v>316.02</v>
      </c>
      <c r="G169" s="237">
        <v>5.08</v>
      </c>
      <c r="H169" s="237">
        <v>5.6764007265614147</v>
      </c>
      <c r="I169" s="237">
        <v>263.93</v>
      </c>
      <c r="J169" s="237">
        <v>5.8</v>
      </c>
      <c r="K169" s="237">
        <v>5.3345262201763832</v>
      </c>
      <c r="L169" s="237">
        <v>307.11</v>
      </c>
      <c r="M169" s="237">
        <v>227.12</v>
      </c>
      <c r="N169" s="237">
        <v>310.07</v>
      </c>
      <c r="O169" s="237">
        <v>252.47</v>
      </c>
      <c r="P169" s="237">
        <v>300.58</v>
      </c>
      <c r="Q169" s="237">
        <v>197</v>
      </c>
      <c r="R169" s="237">
        <v>302.72000000000003</v>
      </c>
      <c r="S169" s="322"/>
      <c r="T169" s="322"/>
      <c r="U169" s="322"/>
      <c r="V169" s="322"/>
    </row>
    <row r="170" spans="1:22" s="1707" customFormat="1" ht="14.1" customHeight="1" x14ac:dyDescent="0.2">
      <c r="A170" s="778" t="s">
        <v>1817</v>
      </c>
      <c r="B170" s="1709" t="s">
        <v>553</v>
      </c>
      <c r="C170" s="237">
        <v>297.73</v>
      </c>
      <c r="D170" s="237">
        <v>5.54</v>
      </c>
      <c r="E170" s="237">
        <v>5.5322003983305335</v>
      </c>
      <c r="F170" s="237">
        <v>323.04000000000002</v>
      </c>
      <c r="G170" s="237">
        <v>5.16</v>
      </c>
      <c r="H170" s="237">
        <v>5.5996774283251449</v>
      </c>
      <c r="I170" s="237">
        <v>265.27999999999997</v>
      </c>
      <c r="J170" s="237">
        <v>6.13</v>
      </c>
      <c r="K170" s="237">
        <v>5.4252862618135111</v>
      </c>
      <c r="L170" s="237">
        <v>310.33999999999997</v>
      </c>
      <c r="M170" s="237">
        <v>228.06</v>
      </c>
      <c r="N170" s="237">
        <v>311.89999999999998</v>
      </c>
      <c r="O170" s="237">
        <v>252.66</v>
      </c>
      <c r="P170" s="237">
        <v>301.81</v>
      </c>
      <c r="Q170" s="237">
        <v>197.47</v>
      </c>
      <c r="R170" s="237">
        <v>303.97000000000003</v>
      </c>
      <c r="S170" s="322"/>
      <c r="T170" s="322"/>
      <c r="U170" s="322"/>
      <c r="V170" s="322"/>
    </row>
    <row r="171" spans="1:22" s="1707" customFormat="1" ht="14.1" customHeight="1" x14ac:dyDescent="0.2">
      <c r="A171" s="778" t="s">
        <v>1817</v>
      </c>
      <c r="B171" s="372" t="s">
        <v>547</v>
      </c>
      <c r="C171" s="237">
        <v>304.22000000000003</v>
      </c>
      <c r="D171" s="237">
        <v>5.59</v>
      </c>
      <c r="E171" s="237">
        <v>5.5016044968015265</v>
      </c>
      <c r="F171" s="237">
        <v>332.58</v>
      </c>
      <c r="G171" s="237">
        <v>5.21</v>
      </c>
      <c r="H171" s="237">
        <v>5.491508546772117</v>
      </c>
      <c r="I171" s="237">
        <v>267.85000000000002</v>
      </c>
      <c r="J171" s="237">
        <v>6.19</v>
      </c>
      <c r="K171" s="237">
        <v>5.5154990060180875</v>
      </c>
      <c r="L171" s="237">
        <v>313.63</v>
      </c>
      <c r="M171" s="237">
        <v>230.62</v>
      </c>
      <c r="N171" s="237">
        <v>316.69</v>
      </c>
      <c r="O171" s="237">
        <v>252.89</v>
      </c>
      <c r="P171" s="237">
        <v>303.73</v>
      </c>
      <c r="Q171" s="237">
        <v>199.55</v>
      </c>
      <c r="R171" s="237">
        <v>306.12</v>
      </c>
      <c r="S171" s="322"/>
      <c r="T171" s="322"/>
      <c r="U171" s="322"/>
      <c r="V171" s="322"/>
    </row>
    <row r="172" spans="1:22" s="1707" customFormat="1" ht="14.1" customHeight="1" x14ac:dyDescent="0.2">
      <c r="A172" s="778" t="s">
        <v>1817</v>
      </c>
      <c r="B172" s="1709" t="s">
        <v>554</v>
      </c>
      <c r="C172" s="237">
        <v>307.49</v>
      </c>
      <c r="D172" s="237">
        <v>5.7</v>
      </c>
      <c r="E172" s="237">
        <v>5.44</v>
      </c>
      <c r="F172" s="237">
        <v>337.7</v>
      </c>
      <c r="G172" s="237">
        <v>5.22</v>
      </c>
      <c r="H172" s="237">
        <v>5.32</v>
      </c>
      <c r="I172" s="237">
        <v>268.75</v>
      </c>
      <c r="J172" s="237">
        <v>6.48</v>
      </c>
      <c r="K172" s="237">
        <v>5.64</v>
      </c>
      <c r="L172" s="237">
        <v>314.48</v>
      </c>
      <c r="M172" s="237">
        <v>231.64</v>
      </c>
      <c r="N172" s="237">
        <v>316.85000000000002</v>
      </c>
      <c r="O172" s="237">
        <v>252.99</v>
      </c>
      <c r="P172" s="237">
        <v>306.31</v>
      </c>
      <c r="Q172" s="237">
        <v>199.71</v>
      </c>
      <c r="R172" s="237">
        <v>306.66000000000003</v>
      </c>
      <c r="S172" s="322"/>
      <c r="T172" s="322"/>
      <c r="U172" s="322"/>
      <c r="V172" s="322"/>
    </row>
    <row r="173" spans="1:22" s="1707" customFormat="1" ht="14.1" customHeight="1" x14ac:dyDescent="0.2">
      <c r="A173" s="778" t="s">
        <v>1817</v>
      </c>
      <c r="B173" s="372" t="s">
        <v>555</v>
      </c>
      <c r="C173" s="237">
        <v>305.97000000000003</v>
      </c>
      <c r="D173" s="237">
        <v>5.98</v>
      </c>
      <c r="E173" s="237">
        <v>5.4813491177127638</v>
      </c>
      <c r="F173" s="237">
        <v>333.58</v>
      </c>
      <c r="G173" s="237">
        <v>5.43</v>
      </c>
      <c r="H173" s="237">
        <v>5.2912847174716227</v>
      </c>
      <c r="I173" s="237">
        <v>270.58</v>
      </c>
      <c r="J173" s="237">
        <v>6.87</v>
      </c>
      <c r="K173" s="237">
        <v>5.7801080180567288</v>
      </c>
      <c r="L173" s="237">
        <v>316.73</v>
      </c>
      <c r="M173" s="237">
        <v>232.46</v>
      </c>
      <c r="N173" s="237">
        <v>317.92</v>
      </c>
      <c r="O173" s="237">
        <v>253.09</v>
      </c>
      <c r="P173" s="237">
        <v>313.36</v>
      </c>
      <c r="Q173" s="237">
        <v>200.25</v>
      </c>
      <c r="R173" s="237">
        <v>307.70999999999998</v>
      </c>
      <c r="S173" s="322"/>
      <c r="T173" s="322"/>
      <c r="U173" s="322"/>
      <c r="V173" s="322"/>
    </row>
    <row r="174" spans="1:22" s="1707" customFormat="1" ht="14.1" customHeight="1" x14ac:dyDescent="0.2">
      <c r="A174" s="778" t="s">
        <v>1817</v>
      </c>
      <c r="B174" s="1709" t="s">
        <v>548</v>
      </c>
      <c r="C174" s="237">
        <v>304.81</v>
      </c>
      <c r="D174" s="237">
        <v>6.05</v>
      </c>
      <c r="E174" s="237">
        <v>5.54</v>
      </c>
      <c r="F174" s="237">
        <v>330.71</v>
      </c>
      <c r="G174" s="237">
        <v>5.46</v>
      </c>
      <c r="H174" s="237">
        <v>5.3016020052310431</v>
      </c>
      <c r="I174" s="237">
        <v>271.61</v>
      </c>
      <c r="J174" s="237">
        <v>7</v>
      </c>
      <c r="K174" s="237">
        <v>5.9293944512266439</v>
      </c>
      <c r="L174" s="237">
        <v>320.38</v>
      </c>
      <c r="M174" s="237">
        <v>232.71</v>
      </c>
      <c r="N174" s="237">
        <v>318.7</v>
      </c>
      <c r="O174" s="237">
        <v>253.16</v>
      </c>
      <c r="P174" s="237">
        <v>314.27</v>
      </c>
      <c r="Q174" s="237">
        <v>201.02</v>
      </c>
      <c r="R174" s="237">
        <v>308.64999999999998</v>
      </c>
      <c r="S174" s="322"/>
      <c r="T174" s="322"/>
      <c r="U174" s="322"/>
      <c r="V174" s="322"/>
    </row>
    <row r="175" spans="1:22" s="1707" customFormat="1" ht="14.1" customHeight="1" x14ac:dyDescent="0.2">
      <c r="A175" s="778" t="s">
        <v>1817</v>
      </c>
      <c r="B175" s="372" t="s">
        <v>556</v>
      </c>
      <c r="C175" s="237">
        <v>307.02</v>
      </c>
      <c r="D175" s="237">
        <v>5.86</v>
      </c>
      <c r="E175" s="237">
        <v>5.6150806542117015</v>
      </c>
      <c r="F175" s="237">
        <v>333.51</v>
      </c>
      <c r="G175" s="237">
        <v>5.6</v>
      </c>
      <c r="H175" s="237">
        <v>5.3332790754455628</v>
      </c>
      <c r="I175" s="237">
        <v>273.05</v>
      </c>
      <c r="J175" s="237">
        <v>6.26</v>
      </c>
      <c r="K175" s="237">
        <v>6.0589199562864904</v>
      </c>
      <c r="L175" s="237">
        <v>321.57</v>
      </c>
      <c r="M175" s="237">
        <v>233.53</v>
      </c>
      <c r="N175" s="237">
        <v>320.51</v>
      </c>
      <c r="O175" s="237">
        <v>253.44</v>
      </c>
      <c r="P175" s="237">
        <v>315.7</v>
      </c>
      <c r="Q175" s="237">
        <v>203.16</v>
      </c>
      <c r="R175" s="237">
        <v>312.88</v>
      </c>
      <c r="S175" s="322"/>
      <c r="T175" s="322"/>
      <c r="U175" s="322"/>
      <c r="V175" s="322"/>
    </row>
    <row r="176" spans="1:22" s="1707" customFormat="1" ht="14.1" customHeight="1" x14ac:dyDescent="0.2">
      <c r="A176" s="778" t="s">
        <v>1817</v>
      </c>
      <c r="B176" s="1709" t="s">
        <v>557</v>
      </c>
      <c r="C176" s="237">
        <v>308.20999999999998</v>
      </c>
      <c r="D176" s="237">
        <v>6.17</v>
      </c>
      <c r="E176" s="237">
        <v>5.6861320951678174</v>
      </c>
      <c r="F176" s="237">
        <v>334.95</v>
      </c>
      <c r="G176" s="237">
        <v>6.22</v>
      </c>
      <c r="H176" s="237">
        <v>5.4012078912681671</v>
      </c>
      <c r="I176" s="237">
        <v>273.93</v>
      </c>
      <c r="J176" s="237">
        <v>6.1</v>
      </c>
      <c r="K176" s="237">
        <v>6.1349347223835116</v>
      </c>
      <c r="L176" s="237">
        <v>323.49</v>
      </c>
      <c r="M176" s="237">
        <v>233.65</v>
      </c>
      <c r="N176" s="237">
        <v>322.05</v>
      </c>
      <c r="O176" s="237">
        <v>253.57</v>
      </c>
      <c r="P176" s="237">
        <v>317.11</v>
      </c>
      <c r="Q176" s="237">
        <v>203.76</v>
      </c>
      <c r="R176" s="237">
        <v>314.16000000000003</v>
      </c>
      <c r="S176" s="322"/>
      <c r="T176" s="322"/>
      <c r="U176" s="322"/>
      <c r="V176" s="322"/>
    </row>
    <row r="177" spans="1:22" s="1707" customFormat="1" ht="14.1" customHeight="1" x14ac:dyDescent="0.2">
      <c r="A177" s="778" t="s">
        <v>1817</v>
      </c>
      <c r="B177" s="372" t="s">
        <v>549</v>
      </c>
      <c r="C177" s="237">
        <v>310.12</v>
      </c>
      <c r="D177" s="237">
        <v>6.22</v>
      </c>
      <c r="E177" s="237">
        <v>5.7496501613063966</v>
      </c>
      <c r="F177" s="237">
        <v>337.43</v>
      </c>
      <c r="G177" s="237">
        <v>6.34</v>
      </c>
      <c r="H177" s="237">
        <v>5.4720481862916115</v>
      </c>
      <c r="I177" s="237">
        <v>275.11</v>
      </c>
      <c r="J177" s="237">
        <v>6.04</v>
      </c>
      <c r="K177" s="237">
        <v>6.1873207985941425</v>
      </c>
      <c r="L177" s="237">
        <v>325.31</v>
      </c>
      <c r="M177" s="237">
        <v>234.17</v>
      </c>
      <c r="N177" s="237">
        <v>323.51</v>
      </c>
      <c r="O177" s="237">
        <v>253.91</v>
      </c>
      <c r="P177" s="237">
        <v>317.88</v>
      </c>
      <c r="Q177" s="237">
        <v>204.95</v>
      </c>
      <c r="R177" s="237">
        <v>317.85000000000002</v>
      </c>
      <c r="S177" s="322"/>
      <c r="T177" s="322"/>
      <c r="U177" s="322"/>
      <c r="V177" s="322"/>
    </row>
    <row r="178" spans="1:22" s="1707" customFormat="1" ht="14.1" customHeight="1" x14ac:dyDescent="0.2">
      <c r="A178" s="778" t="s">
        <v>1817</v>
      </c>
      <c r="B178" s="1709" t="s">
        <v>558</v>
      </c>
      <c r="C178" s="237">
        <v>312.38</v>
      </c>
      <c r="D178" s="237">
        <v>6.29</v>
      </c>
      <c r="E178" s="237">
        <v>5.8114153321578765</v>
      </c>
      <c r="F178" s="237">
        <v>340.25</v>
      </c>
      <c r="G178" s="237">
        <v>6.23</v>
      </c>
      <c r="H178" s="237">
        <v>5.5297540814660318</v>
      </c>
      <c r="I178" s="237">
        <v>276.64</v>
      </c>
      <c r="J178" s="237">
        <v>6.39</v>
      </c>
      <c r="K178" s="237">
        <v>6.2561657349555988</v>
      </c>
      <c r="L178" s="237">
        <v>328.18</v>
      </c>
      <c r="M178" s="237">
        <v>234.65</v>
      </c>
      <c r="N178" s="237">
        <v>325.93</v>
      </c>
      <c r="O178" s="237">
        <v>254.59</v>
      </c>
      <c r="P178" s="237">
        <v>319.82</v>
      </c>
      <c r="Q178" s="237">
        <v>206.59</v>
      </c>
      <c r="R178" s="237">
        <v>319.99</v>
      </c>
      <c r="S178" s="322"/>
      <c r="T178" s="322"/>
      <c r="U178" s="322"/>
      <c r="V178" s="322"/>
    </row>
    <row r="179" spans="1:22" s="1707" customFormat="1" ht="14.1" customHeight="1" x14ac:dyDescent="0.2">
      <c r="A179" s="778" t="s">
        <v>1817</v>
      </c>
      <c r="B179" s="372" t="s">
        <v>559</v>
      </c>
      <c r="C179" s="237">
        <v>309.27999999999997</v>
      </c>
      <c r="D179" s="237">
        <v>7.42</v>
      </c>
      <c r="E179" s="237">
        <v>5.9894246228676229</v>
      </c>
      <c r="F179" s="237">
        <v>334.02</v>
      </c>
      <c r="G179" s="237">
        <v>8.3000000000000007</v>
      </c>
      <c r="H179" s="237">
        <v>5.8094140987488219</v>
      </c>
      <c r="I179" s="237">
        <v>277.57</v>
      </c>
      <c r="J179" s="237">
        <v>6.08</v>
      </c>
      <c r="K179" s="237">
        <v>6.2736460392475157</v>
      </c>
      <c r="L179" s="237">
        <v>329.4</v>
      </c>
      <c r="M179" s="237">
        <v>235.01</v>
      </c>
      <c r="N179" s="237">
        <v>328.4</v>
      </c>
      <c r="O179" s="237">
        <v>255.05</v>
      </c>
      <c r="P179" s="237">
        <v>320.76</v>
      </c>
      <c r="Q179" s="237">
        <v>207.47</v>
      </c>
      <c r="R179" s="237">
        <v>321.14999999999998</v>
      </c>
      <c r="S179" s="322"/>
      <c r="T179" s="322"/>
      <c r="U179" s="322"/>
      <c r="V179" s="322"/>
    </row>
    <row r="180" spans="1:22" s="1707" customFormat="1" ht="14.1" customHeight="1" x14ac:dyDescent="0.2">
      <c r="A180" s="778" t="s">
        <v>1817</v>
      </c>
      <c r="B180" s="1709" t="s">
        <v>550</v>
      </c>
      <c r="C180" s="237">
        <v>313.76</v>
      </c>
      <c r="D180" s="237">
        <v>7.56</v>
      </c>
      <c r="E180" s="237">
        <v>6.1496770018374614</v>
      </c>
      <c r="F180" s="237">
        <v>340.48</v>
      </c>
      <c r="G180" s="237">
        <v>8.3699999999999992</v>
      </c>
      <c r="H180" s="237">
        <v>6.0512006287237297</v>
      </c>
      <c r="I180" s="237">
        <v>279.5</v>
      </c>
      <c r="J180" s="237">
        <v>6.33</v>
      </c>
      <c r="K180" s="237">
        <v>6.3050856290428836</v>
      </c>
      <c r="L180" s="237">
        <v>331.09</v>
      </c>
      <c r="M180" s="237">
        <v>235.48</v>
      </c>
      <c r="N180" s="237">
        <v>331.02</v>
      </c>
      <c r="O180" s="237">
        <v>255.62</v>
      </c>
      <c r="P180" s="237">
        <v>324.72000000000003</v>
      </c>
      <c r="Q180" s="237">
        <v>210.3</v>
      </c>
      <c r="R180" s="237">
        <v>325.49</v>
      </c>
      <c r="S180" s="322"/>
      <c r="T180" s="322"/>
      <c r="U180" s="322"/>
      <c r="V180" s="322"/>
    </row>
    <row r="181" spans="1:22" s="1707" customFormat="1" ht="14.1" customHeight="1" x14ac:dyDescent="0.2">
      <c r="A181" s="778" t="s">
        <v>2066</v>
      </c>
      <c r="B181" s="372" t="s">
        <v>552</v>
      </c>
      <c r="C181" s="322"/>
      <c r="D181" s="322"/>
      <c r="E181" s="322"/>
      <c r="F181" s="322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</row>
    <row r="182" spans="1:22" s="1707" customFormat="1" ht="14.1" customHeight="1" x14ac:dyDescent="0.2">
      <c r="A182" s="778" t="s">
        <v>2066</v>
      </c>
      <c r="B182" s="1709" t="s">
        <v>553</v>
      </c>
      <c r="C182" s="322"/>
      <c r="D182" s="322"/>
      <c r="E182" s="322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</row>
    <row r="183" spans="1:22" s="1707" customFormat="1" ht="14.1" customHeight="1" x14ac:dyDescent="0.2">
      <c r="A183" s="778" t="s">
        <v>2066</v>
      </c>
      <c r="B183" s="372" t="s">
        <v>547</v>
      </c>
      <c r="C183" s="322"/>
      <c r="D183" s="322"/>
      <c r="E183" s="322"/>
      <c r="F183" s="322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</row>
    <row r="184" spans="1:22" s="1707" customFormat="1" ht="14.1" customHeight="1" x14ac:dyDescent="0.2">
      <c r="A184" s="778" t="s">
        <v>2066</v>
      </c>
      <c r="B184" s="1709" t="s">
        <v>554</v>
      </c>
      <c r="C184" s="322"/>
      <c r="D184" s="322"/>
      <c r="E184" s="322"/>
      <c r="F184" s="322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</row>
    <row r="185" spans="1:22" s="1707" customFormat="1" ht="14.1" customHeight="1" x14ac:dyDescent="0.2">
      <c r="A185" s="778" t="s">
        <v>2066</v>
      </c>
      <c r="B185" s="372" t="s">
        <v>555</v>
      </c>
      <c r="C185" s="322"/>
      <c r="D185" s="322"/>
      <c r="E185" s="322"/>
      <c r="F185" s="322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</row>
    <row r="186" spans="1:22" s="1707" customFormat="1" ht="14.1" customHeight="1" x14ac:dyDescent="0.2">
      <c r="A186" s="778" t="s">
        <v>2066</v>
      </c>
      <c r="B186" s="1709" t="s">
        <v>548</v>
      </c>
      <c r="C186" s="322"/>
      <c r="D186" s="322"/>
      <c r="E186" s="322"/>
      <c r="F186" s="322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</row>
    <row r="187" spans="1:22" s="1707" customFormat="1" ht="14.1" customHeight="1" x14ac:dyDescent="0.2">
      <c r="A187" s="778" t="s">
        <v>2066</v>
      </c>
      <c r="B187" s="372" t="s">
        <v>556</v>
      </c>
      <c r="C187" s="322"/>
      <c r="D187" s="322"/>
      <c r="E187" s="322"/>
      <c r="F187" s="322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</row>
    <row r="188" spans="1:22" s="1707" customFormat="1" ht="14.1" customHeight="1" x14ac:dyDescent="0.2">
      <c r="A188" s="778" t="s">
        <v>2066</v>
      </c>
      <c r="B188" s="1709" t="s">
        <v>557</v>
      </c>
      <c r="C188" s="322"/>
      <c r="D188" s="322"/>
      <c r="E188" s="322"/>
      <c r="F188" s="322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</row>
    <row r="189" spans="1:22" s="1707" customFormat="1" ht="14.1" customHeight="1" x14ac:dyDescent="0.2">
      <c r="A189" s="778" t="s">
        <v>2066</v>
      </c>
      <c r="B189" s="372" t="s">
        <v>549</v>
      </c>
      <c r="C189" s="322"/>
      <c r="D189" s="322"/>
      <c r="E189" s="322"/>
      <c r="F189" s="322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</row>
    <row r="190" spans="1:22" s="1707" customFormat="1" ht="14.1" customHeight="1" x14ac:dyDescent="0.2">
      <c r="A190" s="778" t="s">
        <v>2066</v>
      </c>
      <c r="B190" s="1709" t="s">
        <v>558</v>
      </c>
      <c r="C190" s="237">
        <v>111.45</v>
      </c>
      <c r="D190" s="237">
        <v>9.24</v>
      </c>
      <c r="E190" s="237">
        <v>8.64</v>
      </c>
      <c r="F190" s="237">
        <v>111.26</v>
      </c>
      <c r="G190" s="237">
        <v>8.84</v>
      </c>
      <c r="H190" s="237" t="s">
        <v>288</v>
      </c>
      <c r="I190" s="237">
        <v>111.6</v>
      </c>
      <c r="J190" s="237">
        <v>9.7200000000000006</v>
      </c>
      <c r="K190" s="237" t="s">
        <v>288</v>
      </c>
      <c r="L190" s="237">
        <v>115.81</v>
      </c>
      <c r="M190" s="237">
        <v>107.99</v>
      </c>
      <c r="N190" s="237">
        <v>111.71</v>
      </c>
      <c r="O190" s="237">
        <v>113.8</v>
      </c>
      <c r="P190" s="237">
        <v>108.05</v>
      </c>
      <c r="Q190" s="237">
        <v>110.11</v>
      </c>
      <c r="R190" s="237">
        <v>106.64</v>
      </c>
      <c r="S190" s="237">
        <v>114.4</v>
      </c>
      <c r="T190" s="237">
        <v>109.25</v>
      </c>
      <c r="U190" s="237">
        <v>132.84</v>
      </c>
      <c r="V190" s="237">
        <v>111.6</v>
      </c>
    </row>
    <row r="191" spans="1:22" s="1707" customFormat="1" ht="14.1" customHeight="1" x14ac:dyDescent="0.2">
      <c r="A191" s="778" t="s">
        <v>2066</v>
      </c>
      <c r="B191" s="372" t="s">
        <v>559</v>
      </c>
      <c r="C191" s="237">
        <v>111.06</v>
      </c>
      <c r="D191" s="237">
        <v>9.94</v>
      </c>
      <c r="E191" s="237">
        <v>8.84</v>
      </c>
      <c r="F191" s="237">
        <v>109.62</v>
      </c>
      <c r="G191" s="237">
        <v>9.24</v>
      </c>
      <c r="H191" s="237" t="s">
        <v>288</v>
      </c>
      <c r="I191" s="237">
        <v>112.22</v>
      </c>
      <c r="J191" s="237">
        <v>9.9600000000000009</v>
      </c>
      <c r="K191" s="237" t="s">
        <v>288</v>
      </c>
      <c r="L191" s="237">
        <v>117.11</v>
      </c>
      <c r="M191" s="237">
        <v>108.18</v>
      </c>
      <c r="N191" s="237">
        <v>112.4</v>
      </c>
      <c r="O191" s="237">
        <v>113.93</v>
      </c>
      <c r="P191" s="237">
        <v>109.5</v>
      </c>
      <c r="Q191" s="237">
        <v>110.38</v>
      </c>
      <c r="R191" s="237">
        <v>106.64</v>
      </c>
      <c r="S191" s="237">
        <v>114.65</v>
      </c>
      <c r="T191" s="237">
        <v>109.37</v>
      </c>
      <c r="U191" s="237">
        <v>136.56</v>
      </c>
      <c r="V191" s="237">
        <v>111.87</v>
      </c>
    </row>
    <row r="192" spans="1:22" s="1707" customFormat="1" ht="14.1" customHeight="1" x14ac:dyDescent="0.2">
      <c r="A192" s="778" t="s">
        <v>2066</v>
      </c>
      <c r="B192" s="1709" t="s">
        <v>550</v>
      </c>
      <c r="C192" s="237">
        <v>112.46</v>
      </c>
      <c r="D192" s="237">
        <v>9.74</v>
      </c>
      <c r="E192" s="237">
        <v>9.02</v>
      </c>
      <c r="F192" s="237">
        <v>112.25</v>
      </c>
      <c r="G192" s="237">
        <v>9.73</v>
      </c>
      <c r="H192" s="237" t="s">
        <v>288</v>
      </c>
      <c r="I192" s="237">
        <v>112.63</v>
      </c>
      <c r="J192" s="237">
        <v>9.6</v>
      </c>
      <c r="K192" s="237" t="s">
        <v>288</v>
      </c>
      <c r="L192" s="237">
        <v>117.77</v>
      </c>
      <c r="M192" s="237">
        <v>108.4</v>
      </c>
      <c r="N192" s="237">
        <v>113.39</v>
      </c>
      <c r="O192" s="237">
        <v>114.03</v>
      </c>
      <c r="P192" s="237">
        <v>109.52</v>
      </c>
      <c r="Q192" s="237">
        <v>110.52</v>
      </c>
      <c r="R192" s="237">
        <v>106.64</v>
      </c>
      <c r="S192" s="237">
        <v>114.94</v>
      </c>
      <c r="T192" s="237">
        <v>109.37</v>
      </c>
      <c r="U192" s="237">
        <v>137.44999999999999</v>
      </c>
      <c r="V192" s="237">
        <v>111.96</v>
      </c>
    </row>
    <row r="193" spans="1:22" ht="14.1" customHeight="1" x14ac:dyDescent="0.2">
      <c r="A193" s="778" t="s">
        <v>2206</v>
      </c>
      <c r="B193" s="372" t="s">
        <v>552</v>
      </c>
      <c r="C193" s="276">
        <v>112.89</v>
      </c>
      <c r="D193" s="276">
        <v>9.69</v>
      </c>
      <c r="E193" s="276">
        <v>9.1999999999999993</v>
      </c>
      <c r="F193" s="276">
        <v>112.74</v>
      </c>
      <c r="G193" s="276">
        <v>9.76</v>
      </c>
      <c r="H193" s="276">
        <v>8.8426700226862387</v>
      </c>
      <c r="I193" s="276">
        <v>113.02</v>
      </c>
      <c r="J193" s="276">
        <v>9.4700000000000006</v>
      </c>
      <c r="K193" s="276">
        <v>9.640272262247219</v>
      </c>
      <c r="L193" s="276">
        <v>117.9</v>
      </c>
      <c r="M193" s="276">
        <v>108.88</v>
      </c>
      <c r="N193" s="276">
        <v>113.84</v>
      </c>
      <c r="O193" s="276">
        <v>114.22</v>
      </c>
      <c r="P193" s="276">
        <v>109.92</v>
      </c>
      <c r="Q193" s="276">
        <v>110.64</v>
      </c>
      <c r="R193" s="276">
        <v>106.65</v>
      </c>
      <c r="S193" s="276">
        <v>115.53</v>
      </c>
      <c r="T193" s="276">
        <v>109.68</v>
      </c>
      <c r="U193" s="276">
        <v>138.91</v>
      </c>
      <c r="V193" s="276">
        <v>112.6</v>
      </c>
    </row>
    <row r="194" spans="1:22" ht="14.1" customHeight="1" x14ac:dyDescent="0.2">
      <c r="A194" s="778" t="s">
        <v>2206</v>
      </c>
      <c r="B194" s="1490" t="s">
        <v>553</v>
      </c>
      <c r="C194" s="237">
        <v>117.06</v>
      </c>
      <c r="D194" s="237">
        <v>9.92</v>
      </c>
      <c r="E194" s="237">
        <v>9.24</v>
      </c>
      <c r="F194" s="237">
        <v>120.08</v>
      </c>
      <c r="G194" s="237">
        <v>12.54</v>
      </c>
      <c r="H194" s="237">
        <v>9.078961418726351</v>
      </c>
      <c r="I194" s="237">
        <v>114.61</v>
      </c>
      <c r="J194" s="237">
        <v>7.95</v>
      </c>
      <c r="K194" s="237">
        <v>9.5561482359526551</v>
      </c>
      <c r="L194" s="237">
        <v>116.06</v>
      </c>
      <c r="M194" s="237">
        <v>112.53</v>
      </c>
      <c r="N194" s="237">
        <v>113.8</v>
      </c>
      <c r="O194" s="237">
        <v>119.77</v>
      </c>
      <c r="P194" s="237">
        <v>110.5</v>
      </c>
      <c r="Q194" s="237">
        <v>115.73</v>
      </c>
      <c r="R194" s="237">
        <v>104.51</v>
      </c>
      <c r="S194" s="237">
        <v>118.69</v>
      </c>
      <c r="T194" s="237">
        <v>109.68</v>
      </c>
      <c r="U194" s="237">
        <v>135.06</v>
      </c>
      <c r="V194" s="237">
        <v>114.6</v>
      </c>
    </row>
    <row r="195" spans="1:22" ht="14.1" customHeight="1" x14ac:dyDescent="0.2">
      <c r="A195" s="778" t="s">
        <v>2206</v>
      </c>
      <c r="B195" s="372" t="s">
        <v>547</v>
      </c>
      <c r="C195" s="276">
        <v>118.83</v>
      </c>
      <c r="D195" s="276">
        <v>9.6300000000000008</v>
      </c>
      <c r="E195" s="276">
        <v>9.2899999999999991</v>
      </c>
      <c r="F195" s="276">
        <v>122.47</v>
      </c>
      <c r="G195" s="276">
        <v>12.37</v>
      </c>
      <c r="H195" s="276">
        <v>9.3713819812474739</v>
      </c>
      <c r="I195" s="276">
        <v>115.87</v>
      </c>
      <c r="J195" s="276">
        <v>7.82</v>
      </c>
      <c r="K195" s="276">
        <v>9.4377395183892876</v>
      </c>
      <c r="L195" s="276">
        <v>119.31</v>
      </c>
      <c r="M195" s="276">
        <v>113.16</v>
      </c>
      <c r="N195" s="276">
        <v>115</v>
      </c>
      <c r="O195" s="276">
        <v>120.89</v>
      </c>
      <c r="P195" s="276">
        <v>111.06</v>
      </c>
      <c r="Q195" s="276">
        <v>116.2</v>
      </c>
      <c r="R195" s="276">
        <v>105.88</v>
      </c>
      <c r="S195" s="276">
        <v>121.22</v>
      </c>
      <c r="T195" s="276">
        <v>111.19</v>
      </c>
      <c r="U195" s="276">
        <v>136.25</v>
      </c>
      <c r="V195" s="276">
        <v>117.89</v>
      </c>
    </row>
    <row r="196" spans="1:22" s="690" customFormat="1" ht="14.1" customHeight="1" x14ac:dyDescent="0.2">
      <c r="A196" s="778" t="s">
        <v>2206</v>
      </c>
      <c r="B196" s="1490" t="s">
        <v>554</v>
      </c>
      <c r="C196" s="237">
        <v>120.24</v>
      </c>
      <c r="D196" s="237">
        <v>9.93</v>
      </c>
      <c r="E196" s="237">
        <v>9.3699999999999992</v>
      </c>
      <c r="F196" s="237">
        <v>123.9</v>
      </c>
      <c r="G196" s="237">
        <v>12.56</v>
      </c>
      <c r="H196" s="237">
        <v>9.7286881330407748</v>
      </c>
      <c r="I196" s="237">
        <v>117.27</v>
      </c>
      <c r="J196" s="237">
        <v>8.3000000000000007</v>
      </c>
      <c r="K196" s="237">
        <v>9.3263492475350596</v>
      </c>
      <c r="L196" s="237">
        <v>119.33</v>
      </c>
      <c r="M196" s="237">
        <v>114.28</v>
      </c>
      <c r="N196" s="237">
        <v>116.76</v>
      </c>
      <c r="O196" s="237">
        <v>122.68</v>
      </c>
      <c r="P196" s="237">
        <v>114.28</v>
      </c>
      <c r="Q196" s="237">
        <v>117.22</v>
      </c>
      <c r="R196" s="237">
        <v>106.66</v>
      </c>
      <c r="S196" s="237">
        <v>122.2</v>
      </c>
      <c r="T196" s="237">
        <v>112.12</v>
      </c>
      <c r="U196" s="237">
        <v>137.24</v>
      </c>
      <c r="V196" s="237">
        <v>118.96</v>
      </c>
    </row>
    <row r="197" spans="1:22" ht="14.1" customHeight="1" x14ac:dyDescent="0.2">
      <c r="A197" s="778" t="s">
        <v>2206</v>
      </c>
      <c r="B197" s="372" t="s">
        <v>555</v>
      </c>
      <c r="C197" s="276">
        <v>119.1</v>
      </c>
      <c r="D197" s="276">
        <v>9.49</v>
      </c>
      <c r="E197" s="276">
        <v>9.42</v>
      </c>
      <c r="F197" s="276">
        <v>120.04</v>
      </c>
      <c r="G197" s="276">
        <v>10.76</v>
      </c>
      <c r="H197" s="276">
        <v>9.9463511546164618</v>
      </c>
      <c r="I197" s="276">
        <v>118.33</v>
      </c>
      <c r="J197" s="276">
        <v>8.16</v>
      </c>
      <c r="K197" s="276">
        <v>9.1706147794821113</v>
      </c>
      <c r="L197" s="276">
        <v>119.44</v>
      </c>
      <c r="M197" s="276">
        <v>115.92</v>
      </c>
      <c r="N197" s="276">
        <v>118.07</v>
      </c>
      <c r="O197" s="276">
        <v>124.56</v>
      </c>
      <c r="P197" s="276">
        <v>114.8</v>
      </c>
      <c r="Q197" s="276">
        <v>117.85</v>
      </c>
      <c r="R197" s="276">
        <v>106.71</v>
      </c>
      <c r="S197" s="276">
        <v>123.58</v>
      </c>
      <c r="T197" s="276">
        <v>112.24</v>
      </c>
      <c r="U197" s="276">
        <v>138.84</v>
      </c>
      <c r="V197" s="276">
        <v>120.83</v>
      </c>
    </row>
    <row r="198" spans="1:22" ht="14.1" customHeight="1" x14ac:dyDescent="0.2">
      <c r="A198" s="778" t="s">
        <v>2206</v>
      </c>
      <c r="B198" s="1490" t="s">
        <v>548</v>
      </c>
      <c r="C198" s="237">
        <v>118.4</v>
      </c>
      <c r="D198" s="237">
        <v>9.41</v>
      </c>
      <c r="E198" s="237">
        <v>9.48</v>
      </c>
      <c r="F198" s="237">
        <v>117.48</v>
      </c>
      <c r="G198" s="237">
        <v>9.58</v>
      </c>
      <c r="H198" s="237">
        <v>10.076490852269536</v>
      </c>
      <c r="I198" s="237">
        <v>119.16</v>
      </c>
      <c r="J198" s="237">
        <v>8.52</v>
      </c>
      <c r="K198" s="237">
        <v>9.0515899932170907</v>
      </c>
      <c r="L198" s="237">
        <v>119.52</v>
      </c>
      <c r="M198" s="237">
        <v>116.22</v>
      </c>
      <c r="N198" s="237">
        <v>118.51</v>
      </c>
      <c r="O198" s="237">
        <v>124.95</v>
      </c>
      <c r="P198" s="237">
        <v>120.93</v>
      </c>
      <c r="Q198" s="237">
        <v>118.05</v>
      </c>
      <c r="R198" s="237">
        <v>107.07</v>
      </c>
      <c r="S198" s="237">
        <v>123.63</v>
      </c>
      <c r="T198" s="237">
        <v>112.32</v>
      </c>
      <c r="U198" s="237">
        <v>139.04</v>
      </c>
      <c r="V198" s="237">
        <v>122.09</v>
      </c>
    </row>
    <row r="199" spans="1:22" ht="14.1" customHeight="1" x14ac:dyDescent="0.2">
      <c r="A199" s="778" t="s">
        <v>2206</v>
      </c>
      <c r="B199" s="372" t="s">
        <v>556</v>
      </c>
      <c r="C199" s="276">
        <v>119.6</v>
      </c>
      <c r="D199" s="276">
        <v>9.86</v>
      </c>
      <c r="E199" s="276">
        <v>9.59</v>
      </c>
      <c r="F199" s="276">
        <v>118.3</v>
      </c>
      <c r="G199" s="276">
        <v>9.56</v>
      </c>
      <c r="H199" s="276">
        <v>10.21765032965285</v>
      </c>
      <c r="I199" s="276">
        <v>120.66</v>
      </c>
      <c r="J199" s="276">
        <v>9.42</v>
      </c>
      <c r="K199" s="276">
        <v>9.0195084874588272</v>
      </c>
      <c r="L199" s="276">
        <v>120.66</v>
      </c>
      <c r="M199" s="276">
        <v>117.37</v>
      </c>
      <c r="N199" s="276">
        <v>119.76</v>
      </c>
      <c r="O199" s="276">
        <v>125.92</v>
      </c>
      <c r="P199" s="276">
        <v>122.38</v>
      </c>
      <c r="Q199" s="276">
        <v>119.21</v>
      </c>
      <c r="R199" s="276">
        <v>108.3</v>
      </c>
      <c r="S199" s="276">
        <v>125.9</v>
      </c>
      <c r="T199" s="276">
        <v>113.97</v>
      </c>
      <c r="U199" s="276">
        <v>141.85</v>
      </c>
      <c r="V199" s="276">
        <v>125.89</v>
      </c>
    </row>
    <row r="200" spans="1:22" ht="14.1" customHeight="1" x14ac:dyDescent="0.2">
      <c r="A200" s="778" t="s">
        <v>2206</v>
      </c>
      <c r="B200" s="1490" t="s">
        <v>557</v>
      </c>
      <c r="C200" s="237">
        <v>120.09</v>
      </c>
      <c r="D200" s="237">
        <v>9.67</v>
      </c>
      <c r="E200" s="237">
        <v>9.66</v>
      </c>
      <c r="F200" s="237">
        <v>119.07</v>
      </c>
      <c r="G200" s="237">
        <v>9.44</v>
      </c>
      <c r="H200" s="237">
        <v>10.315844303437839</v>
      </c>
      <c r="I200" s="237">
        <v>120.92</v>
      </c>
      <c r="J200" s="237">
        <v>9.33</v>
      </c>
      <c r="K200" s="237">
        <v>8.9840681268265286</v>
      </c>
      <c r="L200" s="237">
        <v>121.61</v>
      </c>
      <c r="M200" s="237">
        <v>117.4</v>
      </c>
      <c r="N200" s="237">
        <v>120.38</v>
      </c>
      <c r="O200" s="237">
        <v>125.95</v>
      </c>
      <c r="P200" s="237">
        <v>122.39</v>
      </c>
      <c r="Q200" s="237">
        <v>119.31</v>
      </c>
      <c r="R200" s="237">
        <v>108.32</v>
      </c>
      <c r="S200" s="237">
        <v>126</v>
      </c>
      <c r="T200" s="237">
        <v>114.11</v>
      </c>
      <c r="U200" s="237">
        <v>141.91999999999999</v>
      </c>
      <c r="V200" s="237">
        <v>125.96</v>
      </c>
    </row>
    <row r="201" spans="1:22" ht="14.1" customHeight="1" x14ac:dyDescent="0.2">
      <c r="A201" s="778" t="s">
        <v>2206</v>
      </c>
      <c r="B201" s="372" t="s">
        <v>549</v>
      </c>
      <c r="C201" s="276">
        <v>121.6</v>
      </c>
      <c r="D201" s="276">
        <v>9.81</v>
      </c>
      <c r="E201" s="276">
        <v>9.69</v>
      </c>
      <c r="F201" s="276">
        <v>121.5</v>
      </c>
      <c r="G201" s="276">
        <v>9.8699999999999992</v>
      </c>
      <c r="H201" s="276">
        <v>10.375384904684658</v>
      </c>
      <c r="I201" s="276">
        <v>121.69</v>
      </c>
      <c r="J201" s="276">
        <v>9.64</v>
      </c>
      <c r="K201" s="276">
        <v>8.9821946428014989</v>
      </c>
      <c r="L201" s="276">
        <v>122.77</v>
      </c>
      <c r="M201" s="276">
        <v>117.96</v>
      </c>
      <c r="N201" s="276">
        <v>122.03</v>
      </c>
      <c r="O201" s="276">
        <v>126.26</v>
      </c>
      <c r="P201" s="276">
        <v>122.84</v>
      </c>
      <c r="Q201" s="276">
        <v>119.2</v>
      </c>
      <c r="R201" s="276">
        <v>108.34</v>
      </c>
      <c r="S201" s="276">
        <v>126.59</v>
      </c>
      <c r="T201" s="276">
        <v>114.26</v>
      </c>
      <c r="U201" s="276">
        <v>142.59</v>
      </c>
      <c r="V201" s="276">
        <v>127.38</v>
      </c>
    </row>
    <row r="202" spans="1:22" ht="14.1" customHeight="1" x14ac:dyDescent="0.2">
      <c r="A202" s="778" t="s">
        <v>2206</v>
      </c>
      <c r="B202" s="1490" t="s">
        <v>558</v>
      </c>
      <c r="C202" s="237">
        <v>122.3</v>
      </c>
      <c r="D202" s="237">
        <v>9.74</v>
      </c>
      <c r="E202" s="237">
        <v>9.73</v>
      </c>
      <c r="F202" s="237">
        <v>122.63</v>
      </c>
      <c r="G202" s="237">
        <v>10.220000000000001</v>
      </c>
      <c r="H202" s="237">
        <v>10.483689013716324</v>
      </c>
      <c r="I202" s="237">
        <v>122.02</v>
      </c>
      <c r="J202" s="237">
        <v>9.34</v>
      </c>
      <c r="K202" s="237">
        <v>8.9544733686613078</v>
      </c>
      <c r="L202" s="237">
        <v>124.17</v>
      </c>
      <c r="M202" s="237">
        <v>118.3</v>
      </c>
      <c r="N202" s="237">
        <v>122.78</v>
      </c>
      <c r="O202" s="237">
        <v>126.7</v>
      </c>
      <c r="P202" s="237">
        <v>122.84</v>
      </c>
      <c r="Q202" s="237">
        <v>119.17</v>
      </c>
      <c r="R202" s="237">
        <v>108.34</v>
      </c>
      <c r="S202" s="237">
        <v>126.59</v>
      </c>
      <c r="T202" s="237">
        <v>114.26</v>
      </c>
      <c r="U202" s="237">
        <v>142.63999999999999</v>
      </c>
      <c r="V202" s="237">
        <v>127.35</v>
      </c>
    </row>
    <row r="203" spans="1:22" s="172" customFormat="1" ht="14.1" customHeight="1" x14ac:dyDescent="0.2">
      <c r="A203" s="778" t="s">
        <v>2206</v>
      </c>
      <c r="B203" s="372" t="s">
        <v>559</v>
      </c>
      <c r="C203" s="276">
        <v>122.04</v>
      </c>
      <c r="D203" s="276">
        <v>9.89</v>
      </c>
      <c r="E203" s="276">
        <v>9.73</v>
      </c>
      <c r="F203" s="276">
        <v>121.42</v>
      </c>
      <c r="G203" s="276">
        <v>10.76</v>
      </c>
      <c r="H203" s="276">
        <v>10.604047582264808</v>
      </c>
      <c r="I203" s="276">
        <v>122.54</v>
      </c>
      <c r="J203" s="276">
        <v>9.19</v>
      </c>
      <c r="K203" s="276">
        <v>8.8960869498472697</v>
      </c>
      <c r="L203" s="276">
        <v>124.59</v>
      </c>
      <c r="M203" s="276">
        <v>118.34</v>
      </c>
      <c r="N203" s="276">
        <v>123.12</v>
      </c>
      <c r="O203" s="276">
        <v>126.85</v>
      </c>
      <c r="P203" s="276">
        <v>123.06</v>
      </c>
      <c r="Q203" s="276">
        <v>119.33</v>
      </c>
      <c r="R203" s="276">
        <v>110.31</v>
      </c>
      <c r="S203" s="276">
        <v>127.37</v>
      </c>
      <c r="T203" s="276">
        <v>115.64</v>
      </c>
      <c r="U203" s="276">
        <v>144.69999999999999</v>
      </c>
      <c r="V203" s="276">
        <v>128.25</v>
      </c>
    </row>
    <row r="204" spans="1:22" ht="14.1" customHeight="1" x14ac:dyDescent="0.2">
      <c r="A204" s="778" t="s">
        <v>2206</v>
      </c>
      <c r="B204" s="1490" t="s">
        <v>550</v>
      </c>
      <c r="C204" s="237">
        <v>123.38</v>
      </c>
      <c r="D204" s="237">
        <v>9.7200000000000006</v>
      </c>
      <c r="E204" s="237">
        <v>9.73</v>
      </c>
      <c r="F204" s="237">
        <v>123.94</v>
      </c>
      <c r="G204" s="237">
        <v>10.42</v>
      </c>
      <c r="H204" s="237">
        <v>10.655700006132317</v>
      </c>
      <c r="I204" s="237">
        <v>122.93</v>
      </c>
      <c r="J204" s="237">
        <v>9.15</v>
      </c>
      <c r="K204" s="237">
        <v>8.8619552217202866</v>
      </c>
      <c r="L204" s="237">
        <v>129.44</v>
      </c>
      <c r="M204" s="237">
        <v>118.43</v>
      </c>
      <c r="N204" s="237">
        <v>123.23</v>
      </c>
      <c r="O204" s="237">
        <v>126.96</v>
      </c>
      <c r="P204" s="237">
        <v>123.77</v>
      </c>
      <c r="Q204" s="237">
        <v>119.48</v>
      </c>
      <c r="R204" s="237">
        <v>110.36</v>
      </c>
      <c r="S204" s="237">
        <v>127.68</v>
      </c>
      <c r="T204" s="237">
        <v>115.67</v>
      </c>
      <c r="U204" s="237">
        <v>144.76</v>
      </c>
      <c r="V204" s="237">
        <v>128.54</v>
      </c>
    </row>
    <row r="205" spans="1:22" ht="14.1" customHeight="1" x14ac:dyDescent="0.2">
      <c r="A205" s="1701" t="s">
        <v>2479</v>
      </c>
      <c r="B205" s="372" t="s">
        <v>552</v>
      </c>
      <c r="C205" s="237">
        <v>126.06</v>
      </c>
      <c r="D205" s="237">
        <v>11.66</v>
      </c>
      <c r="E205" s="237">
        <v>9.9</v>
      </c>
      <c r="F205" s="237">
        <v>128.63999999999999</v>
      </c>
      <c r="G205" s="237">
        <v>14.1</v>
      </c>
      <c r="H205" s="237">
        <v>11.02177121209813</v>
      </c>
      <c r="I205" s="237">
        <v>123.96</v>
      </c>
      <c r="J205" s="237">
        <v>9.68</v>
      </c>
      <c r="K205" s="237">
        <v>8.884133477508005</v>
      </c>
      <c r="L205" s="237">
        <v>135.38</v>
      </c>
      <c r="M205" s="237">
        <v>118.8</v>
      </c>
      <c r="N205" s="237">
        <v>123.93</v>
      </c>
      <c r="O205" s="237">
        <v>127.09</v>
      </c>
      <c r="P205" s="237">
        <v>124.5</v>
      </c>
      <c r="Q205" s="237">
        <v>119.79</v>
      </c>
      <c r="R205" s="237">
        <v>114.08</v>
      </c>
      <c r="S205" s="237">
        <v>128.29</v>
      </c>
      <c r="T205" s="237">
        <v>116.42</v>
      </c>
      <c r="U205" s="237">
        <v>146.68</v>
      </c>
      <c r="V205" s="237">
        <v>129.83000000000001</v>
      </c>
    </row>
    <row r="206" spans="1:22" ht="14.1" customHeight="1" x14ac:dyDescent="0.2">
      <c r="A206" s="1701" t="s">
        <v>2479</v>
      </c>
      <c r="B206" s="1693" t="s">
        <v>553</v>
      </c>
      <c r="C206" s="276">
        <v>129.34</v>
      </c>
      <c r="D206" s="276">
        <v>10.49</v>
      </c>
      <c r="E206" s="276">
        <v>9.9499999999999993</v>
      </c>
      <c r="F206" s="276">
        <v>133.72</v>
      </c>
      <c r="G206" s="276">
        <v>11.36</v>
      </c>
      <c r="H206" s="276">
        <v>10.930299105394736</v>
      </c>
      <c r="I206" s="276">
        <v>125.77</v>
      </c>
      <c r="J206" s="276">
        <v>9.74</v>
      </c>
      <c r="K206" s="276">
        <v>9.0321659616352523</v>
      </c>
      <c r="L206" s="276">
        <v>137.1</v>
      </c>
      <c r="M206" s="276">
        <v>122.64</v>
      </c>
      <c r="N206" s="276">
        <v>125.86</v>
      </c>
      <c r="O206" s="276">
        <v>129.16999999999999</v>
      </c>
      <c r="P206" s="276">
        <v>125.66</v>
      </c>
      <c r="Q206" s="276">
        <v>120.7</v>
      </c>
      <c r="R206" s="276">
        <v>114.58</v>
      </c>
      <c r="S206" s="276">
        <v>129.54</v>
      </c>
      <c r="T206" s="276">
        <v>117.76</v>
      </c>
      <c r="U206" s="276">
        <v>148.24</v>
      </c>
      <c r="V206" s="276">
        <v>132.22999999999999</v>
      </c>
    </row>
    <row r="207" spans="1:22" ht="14.1" customHeight="1" x14ac:dyDescent="0.2">
      <c r="A207" s="1701" t="s">
        <v>2479</v>
      </c>
      <c r="B207" s="372" t="s">
        <v>547</v>
      </c>
      <c r="C207" s="237">
        <v>130.61000000000001</v>
      </c>
      <c r="D207" s="237">
        <v>9.92</v>
      </c>
      <c r="E207" s="237">
        <v>9.9700000000000006</v>
      </c>
      <c r="F207" s="237">
        <v>135.21</v>
      </c>
      <c r="G207" s="237">
        <v>10.4</v>
      </c>
      <c r="H207" s="237">
        <v>10.765296994274799</v>
      </c>
      <c r="I207" s="237">
        <v>126.87</v>
      </c>
      <c r="J207" s="237">
        <v>9.5</v>
      </c>
      <c r="K207" s="237">
        <v>9.1696470570666868</v>
      </c>
      <c r="L207" s="237">
        <v>137.38</v>
      </c>
      <c r="M207" s="237">
        <v>122.86</v>
      </c>
      <c r="N207" s="237">
        <v>126.48</v>
      </c>
      <c r="O207" s="237">
        <v>130.80000000000001</v>
      </c>
      <c r="P207" s="237">
        <v>125.88</v>
      </c>
      <c r="Q207" s="237">
        <v>123.37</v>
      </c>
      <c r="R207" s="237">
        <v>115.03</v>
      </c>
      <c r="S207" s="237">
        <v>130.71</v>
      </c>
      <c r="T207" s="237">
        <v>118.76</v>
      </c>
      <c r="U207" s="237">
        <v>149.56</v>
      </c>
      <c r="V207" s="237">
        <v>134.22999999999999</v>
      </c>
    </row>
    <row r="208" spans="1:22" ht="14.1" customHeight="1" x14ac:dyDescent="0.2">
      <c r="A208" s="1701" t="s">
        <v>2479</v>
      </c>
      <c r="B208" s="1693" t="s">
        <v>554</v>
      </c>
      <c r="C208" s="276">
        <v>133.32</v>
      </c>
      <c r="D208" s="276">
        <v>10.87</v>
      </c>
      <c r="E208" s="276">
        <v>10.050000000000001</v>
      </c>
      <c r="F208" s="276">
        <v>139.58000000000001</v>
      </c>
      <c r="G208" s="276">
        <v>12.66</v>
      </c>
      <c r="H208" s="276">
        <v>10.791945516391577</v>
      </c>
      <c r="I208" s="276">
        <v>128.22</v>
      </c>
      <c r="J208" s="276">
        <v>9.34</v>
      </c>
      <c r="K208" s="276">
        <v>9.2538752503152022</v>
      </c>
      <c r="L208" s="276">
        <v>137.94</v>
      </c>
      <c r="M208" s="276">
        <v>124.15</v>
      </c>
      <c r="N208" s="276">
        <v>127.72</v>
      </c>
      <c r="O208" s="276">
        <v>132.51</v>
      </c>
      <c r="P208" s="276">
        <v>126.71</v>
      </c>
      <c r="Q208" s="276">
        <v>123.83</v>
      </c>
      <c r="R208" s="276">
        <v>117.13</v>
      </c>
      <c r="S208" s="276">
        <v>131.86000000000001</v>
      </c>
      <c r="T208" s="276">
        <v>120.51</v>
      </c>
      <c r="U208" s="276">
        <v>151.91</v>
      </c>
      <c r="V208" s="276">
        <v>137.75</v>
      </c>
    </row>
    <row r="209" spans="1:22" ht="14.1" customHeight="1" x14ac:dyDescent="0.2">
      <c r="A209" s="1701" t="s">
        <v>2479</v>
      </c>
      <c r="B209" s="372" t="s">
        <v>555</v>
      </c>
      <c r="C209" s="237">
        <v>132.66</v>
      </c>
      <c r="D209" s="237">
        <v>11.38</v>
      </c>
      <c r="E209" s="237">
        <v>10.220000000000001</v>
      </c>
      <c r="F209" s="237">
        <v>136.61000000000001</v>
      </c>
      <c r="G209" s="237">
        <v>13.8</v>
      </c>
      <c r="H209" s="237">
        <v>11.059088614632785</v>
      </c>
      <c r="I209" s="237">
        <v>129.44</v>
      </c>
      <c r="J209" s="237">
        <v>9.39</v>
      </c>
      <c r="K209" s="237">
        <v>9.3544156437423744</v>
      </c>
      <c r="L209" s="237">
        <v>139.5</v>
      </c>
      <c r="M209" s="237">
        <v>126.33</v>
      </c>
      <c r="N209" s="237">
        <v>129.4</v>
      </c>
      <c r="O209" s="237">
        <v>133.36000000000001</v>
      </c>
      <c r="P209" s="237">
        <v>126.85</v>
      </c>
      <c r="Q209" s="237">
        <v>124.51</v>
      </c>
      <c r="R209" s="237">
        <v>117.37</v>
      </c>
      <c r="S209" s="237">
        <v>133.16</v>
      </c>
      <c r="T209" s="237">
        <v>121.32</v>
      </c>
      <c r="U209" s="237">
        <v>154.16999999999999</v>
      </c>
      <c r="V209" s="237">
        <v>138.68</v>
      </c>
    </row>
    <row r="210" spans="1:22" ht="14.1" customHeight="1" x14ac:dyDescent="0.2">
      <c r="A210" s="1701" t="s">
        <v>2479</v>
      </c>
      <c r="B210" s="1693" t="s">
        <v>548</v>
      </c>
      <c r="C210" s="276">
        <v>131.30000000000001</v>
      </c>
      <c r="D210" s="276">
        <v>10.89</v>
      </c>
      <c r="E210" s="276">
        <v>10.34</v>
      </c>
      <c r="F210" s="276">
        <v>132.65</v>
      </c>
      <c r="G210" s="276">
        <v>12.92</v>
      </c>
      <c r="H210" s="276">
        <v>11.332413592796975</v>
      </c>
      <c r="I210" s="276">
        <v>130.19</v>
      </c>
      <c r="J210" s="276">
        <v>9.26</v>
      </c>
      <c r="K210" s="276">
        <v>9.412548112807162</v>
      </c>
      <c r="L210" s="276">
        <v>139.99</v>
      </c>
      <c r="M210" s="276">
        <v>127.48</v>
      </c>
      <c r="N210" s="276">
        <v>129.97</v>
      </c>
      <c r="O210" s="276">
        <v>133.63999999999999</v>
      </c>
      <c r="P210" s="276">
        <v>127.19</v>
      </c>
      <c r="Q210" s="276">
        <v>125.23</v>
      </c>
      <c r="R210" s="276">
        <v>117.48</v>
      </c>
      <c r="S210" s="276">
        <v>133.41</v>
      </c>
      <c r="T210" s="276">
        <v>122.59</v>
      </c>
      <c r="U210" s="276">
        <v>155.93</v>
      </c>
      <c r="V210" s="276">
        <v>140.22</v>
      </c>
    </row>
    <row r="211" spans="1:22" ht="14.1" customHeight="1" x14ac:dyDescent="0.2">
      <c r="A211" s="1701" t="s">
        <v>2479</v>
      </c>
      <c r="B211" s="372" t="s">
        <v>556</v>
      </c>
      <c r="C211" s="237">
        <v>131.49</v>
      </c>
      <c r="D211" s="237">
        <v>9.94</v>
      </c>
      <c r="E211" s="237">
        <v>10.34</v>
      </c>
      <c r="F211" s="237">
        <v>130.97</v>
      </c>
      <c r="G211" s="237">
        <v>10.72</v>
      </c>
      <c r="H211" s="237">
        <v>11.416690089583659</v>
      </c>
      <c r="I211" s="237">
        <v>131.9</v>
      </c>
      <c r="J211" s="237">
        <v>9.32</v>
      </c>
      <c r="K211" s="237">
        <v>9.4040495003486093</v>
      </c>
      <c r="L211" s="237">
        <v>153.12</v>
      </c>
      <c r="M211" s="237">
        <v>129.33000000000001</v>
      </c>
      <c r="N211" s="237">
        <v>130.56</v>
      </c>
      <c r="O211" s="237">
        <v>135.44</v>
      </c>
      <c r="P211" s="237">
        <v>127.47</v>
      </c>
      <c r="Q211" s="237">
        <v>126.43</v>
      </c>
      <c r="R211" s="237">
        <v>118.28</v>
      </c>
      <c r="S211" s="237">
        <v>134.18</v>
      </c>
      <c r="T211" s="237">
        <v>124.08</v>
      </c>
      <c r="U211" s="237">
        <v>158.16999999999999</v>
      </c>
      <c r="V211" s="237">
        <v>141.94999999999999</v>
      </c>
    </row>
    <row r="212" spans="1:22" ht="14.1" customHeight="1" x14ac:dyDescent="0.2">
      <c r="A212" s="1701" t="s">
        <v>2479</v>
      </c>
      <c r="B212" s="1693" t="s">
        <v>557</v>
      </c>
      <c r="C212" s="276">
        <v>131.29</v>
      </c>
      <c r="D212" s="276">
        <v>9.32</v>
      </c>
      <c r="E212" s="276">
        <v>10.3</v>
      </c>
      <c r="F212" s="276">
        <v>130.08000000000001</v>
      </c>
      <c r="G212" s="276">
        <v>9.24</v>
      </c>
      <c r="H212" s="276">
        <v>11.38654590460655</v>
      </c>
      <c r="I212" s="276">
        <v>132.26</v>
      </c>
      <c r="J212" s="276">
        <v>9.3800000000000008</v>
      </c>
      <c r="K212" s="276">
        <v>9.4076177844415021</v>
      </c>
      <c r="L212" s="276">
        <v>153.19999999999999</v>
      </c>
      <c r="M212" s="276">
        <v>129.53</v>
      </c>
      <c r="N212" s="276">
        <v>130.82</v>
      </c>
      <c r="O212" s="276">
        <v>136.28</v>
      </c>
      <c r="P212" s="276">
        <v>127.62</v>
      </c>
      <c r="Q212" s="276">
        <v>126.64</v>
      </c>
      <c r="R212" s="276">
        <v>118.59</v>
      </c>
      <c r="S212" s="276">
        <v>134.56</v>
      </c>
      <c r="T212" s="276">
        <v>124.4</v>
      </c>
      <c r="U212" s="276">
        <v>158.88999999999999</v>
      </c>
      <c r="V212" s="276">
        <v>143.11000000000001</v>
      </c>
    </row>
    <row r="213" spans="1:22" ht="14.1" customHeight="1" x14ac:dyDescent="0.2">
      <c r="A213" s="1701" t="s">
        <v>2479</v>
      </c>
      <c r="B213" s="372" t="s">
        <v>549</v>
      </c>
      <c r="C213" s="237">
        <v>132.97999999999999</v>
      </c>
      <c r="D213" s="237">
        <v>9.35</v>
      </c>
      <c r="E213" s="237">
        <v>10.264617402586328</v>
      </c>
      <c r="F213" s="237">
        <v>132.35</v>
      </c>
      <c r="G213" s="237">
        <v>8.93</v>
      </c>
      <c r="H213" s="237">
        <v>11.293310901463061</v>
      </c>
      <c r="I213" s="237">
        <v>133.49</v>
      </c>
      <c r="J213" s="237">
        <v>9.6999999999999993</v>
      </c>
      <c r="K213" s="237">
        <v>9.4142977725003121</v>
      </c>
      <c r="L213" s="237">
        <v>151.53</v>
      </c>
      <c r="M213" s="237">
        <v>135.31</v>
      </c>
      <c r="N213" s="237">
        <v>132.05000000000001</v>
      </c>
      <c r="O213" s="237">
        <v>137.02000000000001</v>
      </c>
      <c r="P213" s="237">
        <v>128.69999999999999</v>
      </c>
      <c r="Q213" s="237">
        <v>127.17</v>
      </c>
      <c r="R213" s="237">
        <v>118.8</v>
      </c>
      <c r="S213" s="237">
        <v>136.36000000000001</v>
      </c>
      <c r="T213" s="237">
        <v>124.57</v>
      </c>
      <c r="U213" s="237">
        <v>159.69999999999999</v>
      </c>
      <c r="V213" s="237">
        <v>143.05000000000001</v>
      </c>
    </row>
    <row r="214" spans="1:22" ht="14.1" customHeight="1" x14ac:dyDescent="0.2">
      <c r="A214" s="1701" t="s">
        <v>2479</v>
      </c>
      <c r="B214" s="1693" t="s">
        <v>558</v>
      </c>
      <c r="C214" s="276">
        <v>133.5</v>
      </c>
      <c r="D214" s="276">
        <v>9.17</v>
      </c>
      <c r="E214" s="276">
        <v>10.210592587876643</v>
      </c>
      <c r="F214" s="276">
        <v>133.21</v>
      </c>
      <c r="G214" s="276">
        <v>8.6300000000000008</v>
      </c>
      <c r="H214" s="276">
        <v>11.147259309334689</v>
      </c>
      <c r="I214" s="276">
        <v>133.74</v>
      </c>
      <c r="J214" s="276">
        <v>9.61</v>
      </c>
      <c r="K214" s="276">
        <v>9.4369497301902925</v>
      </c>
      <c r="L214" s="276">
        <v>151.9</v>
      </c>
      <c r="M214" s="276">
        <v>135.75</v>
      </c>
      <c r="N214" s="276">
        <v>132.41</v>
      </c>
      <c r="O214" s="276">
        <v>137.35</v>
      </c>
      <c r="P214" s="276">
        <v>128.74</v>
      </c>
      <c r="Q214" s="276">
        <v>127.32</v>
      </c>
      <c r="R214" s="276">
        <v>118.82</v>
      </c>
      <c r="S214" s="276">
        <v>136.58000000000001</v>
      </c>
      <c r="T214" s="276">
        <v>124.74</v>
      </c>
      <c r="U214" s="276">
        <v>159.79</v>
      </c>
      <c r="V214" s="276">
        <v>143.24</v>
      </c>
    </row>
    <row r="215" spans="1:22" ht="14.1" customHeight="1" x14ac:dyDescent="0.2">
      <c r="A215" s="1701" t="s">
        <v>2479</v>
      </c>
      <c r="B215" s="372" t="s">
        <v>559</v>
      </c>
      <c r="C215" s="237">
        <v>133.08000000000001</v>
      </c>
      <c r="D215" s="237">
        <v>9.0500000000000007</v>
      </c>
      <c r="E215" s="237">
        <v>10.130000000000001</v>
      </c>
      <c r="F215" s="237">
        <v>131.85</v>
      </c>
      <c r="G215" s="237">
        <v>8.59</v>
      </c>
      <c r="H215" s="237">
        <v>10.959717294745342</v>
      </c>
      <c r="I215" s="237">
        <v>134.09</v>
      </c>
      <c r="J215" s="237">
        <v>9.42</v>
      </c>
      <c r="K215" s="237">
        <v>9.455001691665732</v>
      </c>
      <c r="L215" s="237">
        <v>151.34</v>
      </c>
      <c r="M215" s="237">
        <v>136.51</v>
      </c>
      <c r="N215" s="237">
        <v>132.29</v>
      </c>
      <c r="O215" s="237">
        <v>137.97</v>
      </c>
      <c r="P215" s="237">
        <v>128.94</v>
      </c>
      <c r="Q215" s="237">
        <v>127.26</v>
      </c>
      <c r="R215" s="237">
        <v>118.91</v>
      </c>
      <c r="S215" s="237">
        <v>137.29</v>
      </c>
      <c r="T215" s="237">
        <v>125.15</v>
      </c>
      <c r="U215" s="237">
        <v>160.6</v>
      </c>
      <c r="V215" s="237">
        <v>145.99</v>
      </c>
    </row>
    <row r="216" spans="1:22" s="173" customFormat="1" ht="14.1" customHeight="1" x14ac:dyDescent="0.2">
      <c r="A216" s="1701" t="s">
        <v>2479</v>
      </c>
      <c r="B216" s="1693" t="s">
        <v>550</v>
      </c>
      <c r="C216" s="276">
        <v>133.85</v>
      </c>
      <c r="D216" s="276">
        <v>8.48</v>
      </c>
      <c r="E216" s="276">
        <v>10.029999999999999</v>
      </c>
      <c r="F216" s="276">
        <v>133.1</v>
      </c>
      <c r="G216" s="276">
        <v>7.39</v>
      </c>
      <c r="H216" s="276">
        <v>10.695705784963639</v>
      </c>
      <c r="I216" s="276">
        <v>134.44999999999999</v>
      </c>
      <c r="J216" s="276">
        <v>9.3699999999999992</v>
      </c>
      <c r="K216" s="276">
        <v>9.4722257211235839</v>
      </c>
      <c r="L216" s="276">
        <v>152.16</v>
      </c>
      <c r="M216" s="276">
        <v>136.66999999999999</v>
      </c>
      <c r="N216" s="276">
        <v>132.66999999999999</v>
      </c>
      <c r="O216" s="276">
        <v>138.18</v>
      </c>
      <c r="P216" s="276">
        <v>129.02000000000001</v>
      </c>
      <c r="Q216" s="276">
        <v>127.16</v>
      </c>
      <c r="R216" s="276">
        <v>119.03</v>
      </c>
      <c r="S216" s="276">
        <v>138.22999999999999</v>
      </c>
      <c r="T216" s="276">
        <v>125.37</v>
      </c>
      <c r="U216" s="276">
        <v>160.81</v>
      </c>
      <c r="V216" s="276">
        <v>148.13999999999999</v>
      </c>
    </row>
    <row r="217" spans="1:22" s="173" customFormat="1" ht="14.1" customHeight="1" x14ac:dyDescent="0.2">
      <c r="A217" s="778" t="s">
        <v>2730</v>
      </c>
      <c r="B217" s="372" t="s">
        <v>552</v>
      </c>
      <c r="C217" s="276">
        <v>136.83186036552701</v>
      </c>
      <c r="D217" s="276">
        <v>8.5457684659148434</v>
      </c>
      <c r="E217" s="276">
        <v>9.77</v>
      </c>
      <c r="F217" s="276">
        <v>138.35793453982944</v>
      </c>
      <c r="G217" s="276">
        <v>7.5568000031538727</v>
      </c>
      <c r="H217" s="276">
        <v>10.155599946544246</v>
      </c>
      <c r="I217" s="276">
        <v>135.5904573332019</v>
      </c>
      <c r="J217" s="276">
        <v>9.3805963765639433</v>
      </c>
      <c r="K217" s="276">
        <v>9.4482108762188979</v>
      </c>
      <c r="L217" s="276">
        <v>153.49075890636021</v>
      </c>
      <c r="M217" s="276">
        <v>137.56601713565638</v>
      </c>
      <c r="N217" s="276">
        <v>133.59857292983969</v>
      </c>
      <c r="O217" s="276">
        <v>138.86514332660042</v>
      </c>
      <c r="P217" s="276">
        <v>129.60773409405201</v>
      </c>
      <c r="Q217" s="276">
        <v>128.27699824185908</v>
      </c>
      <c r="R217" s="276">
        <v>123.06301418887284</v>
      </c>
      <c r="S217" s="276">
        <v>139.71008629252964</v>
      </c>
      <c r="T217" s="276">
        <v>126.39794188100018</v>
      </c>
      <c r="U217" s="276">
        <v>162.14009888624491</v>
      </c>
      <c r="V217" s="276">
        <v>149.54251912420096</v>
      </c>
    </row>
    <row r="218" spans="1:22" s="173" customFormat="1" ht="14.1" customHeight="1" x14ac:dyDescent="0.2">
      <c r="A218" s="778" t="s">
        <v>2730</v>
      </c>
      <c r="B218" s="1490" t="s">
        <v>553</v>
      </c>
      <c r="C218" s="237">
        <v>140.06</v>
      </c>
      <c r="D218" s="237">
        <v>8.2899999999999991</v>
      </c>
      <c r="E218" s="237">
        <v>9.58</v>
      </c>
      <c r="F218" s="237">
        <v>143.88</v>
      </c>
      <c r="G218" s="237">
        <v>7.6</v>
      </c>
      <c r="H218" s="237">
        <v>9.8254712818458998</v>
      </c>
      <c r="I218" s="237">
        <v>136.96</v>
      </c>
      <c r="J218" s="237">
        <v>8.9</v>
      </c>
      <c r="K218" s="237">
        <v>9.377584210816492</v>
      </c>
      <c r="L218" s="237">
        <v>154.33000000000001</v>
      </c>
      <c r="M218" s="237">
        <v>139.68</v>
      </c>
      <c r="N218" s="237">
        <v>135.44999999999999</v>
      </c>
      <c r="O218" s="237">
        <v>139.65</v>
      </c>
      <c r="P218" s="237">
        <v>130.44999999999999</v>
      </c>
      <c r="Q218" s="237">
        <v>128.86000000000001</v>
      </c>
      <c r="R218" s="237">
        <v>123.46</v>
      </c>
      <c r="S218" s="237">
        <v>140.51</v>
      </c>
      <c r="T218" s="237">
        <v>128.33000000000001</v>
      </c>
      <c r="U218" s="237">
        <v>162.55000000000001</v>
      </c>
      <c r="V218" s="237">
        <v>152.11000000000001</v>
      </c>
    </row>
    <row r="219" spans="1:22" s="173" customFormat="1" ht="14.1" customHeight="1" x14ac:dyDescent="0.2">
      <c r="A219" s="778" t="s">
        <v>2730</v>
      </c>
      <c r="B219" s="372" t="s">
        <v>547</v>
      </c>
      <c r="C219" s="276">
        <v>141.53</v>
      </c>
      <c r="D219" s="276">
        <v>8.36</v>
      </c>
      <c r="E219" s="276">
        <v>9.4499999999999993</v>
      </c>
      <c r="F219" s="276">
        <v>145.54</v>
      </c>
      <c r="G219" s="276">
        <v>7.64</v>
      </c>
      <c r="H219" s="276">
        <v>9.5790288387118672</v>
      </c>
      <c r="I219" s="276">
        <v>138.26</v>
      </c>
      <c r="J219" s="276">
        <v>8.98</v>
      </c>
      <c r="K219" s="276">
        <v>9.3337072196536752</v>
      </c>
      <c r="L219" s="276">
        <v>154.76</v>
      </c>
      <c r="M219" s="276">
        <v>139.94</v>
      </c>
      <c r="N219" s="276">
        <v>136.13</v>
      </c>
      <c r="O219" s="276">
        <v>140.96</v>
      </c>
      <c r="P219" s="276">
        <v>130.72999999999999</v>
      </c>
      <c r="Q219" s="276">
        <v>131.15</v>
      </c>
      <c r="R219" s="276">
        <v>124.01</v>
      </c>
      <c r="S219" s="276">
        <v>141.28</v>
      </c>
      <c r="T219" s="276">
        <v>129.11000000000001</v>
      </c>
      <c r="U219" s="276">
        <v>165.95</v>
      </c>
      <c r="V219" s="276">
        <v>156.93</v>
      </c>
    </row>
    <row r="220" spans="1:22" s="173" customFormat="1" ht="14.1" customHeight="1" x14ac:dyDescent="0.2">
      <c r="A220" s="778" t="s">
        <v>2730</v>
      </c>
      <c r="B220" s="1490" t="s">
        <v>554</v>
      </c>
      <c r="C220" s="237">
        <v>144.21</v>
      </c>
      <c r="D220" s="237">
        <v>8.17</v>
      </c>
      <c r="E220" s="237">
        <v>9.2200000000000006</v>
      </c>
      <c r="F220" s="237">
        <v>149.46</v>
      </c>
      <c r="G220" s="237">
        <v>7.08</v>
      </c>
      <c r="H220" s="237">
        <v>9.0927254200715559</v>
      </c>
      <c r="I220" s="237">
        <v>139.93</v>
      </c>
      <c r="J220" s="237">
        <v>9.1300000000000008</v>
      </c>
      <c r="K220" s="237">
        <v>9.3159184560136268</v>
      </c>
      <c r="L220" s="237">
        <v>155.41999999999999</v>
      </c>
      <c r="M220" s="237">
        <v>140.99</v>
      </c>
      <c r="N220" s="237">
        <v>137.69999999999999</v>
      </c>
      <c r="O220" s="237">
        <v>142.83000000000001</v>
      </c>
      <c r="P220" s="237">
        <v>131.88</v>
      </c>
      <c r="Q220" s="237">
        <v>132.25</v>
      </c>
      <c r="R220" s="237">
        <v>126.98</v>
      </c>
      <c r="S220" s="237">
        <v>143.01</v>
      </c>
      <c r="T220" s="237">
        <v>130.62</v>
      </c>
      <c r="U220" s="237">
        <v>167.77</v>
      </c>
      <c r="V220" s="237">
        <v>161.75</v>
      </c>
    </row>
    <row r="221" spans="1:22" s="173" customFormat="1" ht="14.1" customHeight="1" x14ac:dyDescent="0.2">
      <c r="A221" s="778" t="s">
        <v>2730</v>
      </c>
      <c r="B221" s="372" t="s">
        <v>555</v>
      </c>
      <c r="C221" s="276">
        <v>143.65</v>
      </c>
      <c r="D221" s="276">
        <v>8.2899999999999991</v>
      </c>
      <c r="E221" s="276">
        <v>8.9600000000000009</v>
      </c>
      <c r="F221" s="276">
        <v>146.66</v>
      </c>
      <c r="G221" s="276">
        <v>7.36</v>
      </c>
      <c r="H221" s="276">
        <v>8.5639944667676993</v>
      </c>
      <c r="I221" s="276">
        <v>141.19999999999999</v>
      </c>
      <c r="J221" s="276">
        <v>9.08</v>
      </c>
      <c r="K221" s="276">
        <v>9.2899783045183213</v>
      </c>
      <c r="L221" s="276">
        <v>156.38999999999999</v>
      </c>
      <c r="M221" s="276">
        <v>142.04</v>
      </c>
      <c r="N221" s="276">
        <v>139.25</v>
      </c>
      <c r="O221" s="276">
        <v>143.30000000000001</v>
      </c>
      <c r="P221" s="276">
        <v>132</v>
      </c>
      <c r="Q221" s="276">
        <v>133.69999999999999</v>
      </c>
      <c r="R221" s="276">
        <v>127.34</v>
      </c>
      <c r="S221" s="276">
        <v>144.19</v>
      </c>
      <c r="T221" s="276">
        <v>131.54</v>
      </c>
      <c r="U221" s="276">
        <v>170.17</v>
      </c>
      <c r="V221" s="276">
        <v>164.39</v>
      </c>
    </row>
    <row r="222" spans="1:22" ht="14.1" customHeight="1" x14ac:dyDescent="0.2">
      <c r="A222" s="778" t="s">
        <v>2730</v>
      </c>
      <c r="B222" s="1549" t="s">
        <v>548</v>
      </c>
      <c r="C222" s="1550">
        <v>142.44</v>
      </c>
      <c r="D222" s="1550">
        <v>8.49</v>
      </c>
      <c r="E222" s="1550">
        <v>8.77</v>
      </c>
      <c r="F222" s="1550">
        <v>142.88</v>
      </c>
      <c r="G222" s="1550">
        <v>7.71</v>
      </c>
      <c r="H222" s="1550">
        <v>8.1570760531413544</v>
      </c>
      <c r="I222" s="1550">
        <v>142.08000000000001</v>
      </c>
      <c r="J222" s="1550">
        <v>9.1300000000000008</v>
      </c>
      <c r="K222" s="1550">
        <v>9.2789641588806759</v>
      </c>
      <c r="L222" s="1550">
        <v>156.99</v>
      </c>
      <c r="M222" s="1550">
        <v>142.91999999999999</v>
      </c>
      <c r="N222" s="1550">
        <v>140.33000000000001</v>
      </c>
      <c r="O222" s="1550">
        <v>143.75</v>
      </c>
      <c r="P222" s="1550">
        <v>132.11000000000001</v>
      </c>
      <c r="Q222" s="1550">
        <v>134.34</v>
      </c>
      <c r="R222" s="1550">
        <v>127.63</v>
      </c>
      <c r="S222" s="1550">
        <v>144.63999999999999</v>
      </c>
      <c r="T222" s="1550">
        <v>131.91999999999999</v>
      </c>
      <c r="U222" s="1550">
        <v>170.55</v>
      </c>
      <c r="V222" s="1550">
        <v>167.85</v>
      </c>
    </row>
    <row r="223" spans="1:22" s="1547" customFormat="1" ht="14.1" customHeight="1" x14ac:dyDescent="0.2">
      <c r="A223" s="778" t="s">
        <v>2730</v>
      </c>
      <c r="B223" s="372" t="s">
        <v>556</v>
      </c>
      <c r="C223" s="276">
        <v>142.77000000000001</v>
      </c>
      <c r="D223" s="276">
        <v>8.58</v>
      </c>
      <c r="E223" s="276">
        <v>8.66</v>
      </c>
      <c r="F223" s="276">
        <v>141.84</v>
      </c>
      <c r="G223" s="276">
        <v>8.2899999999999991</v>
      </c>
      <c r="H223" s="276">
        <v>7.9736558042245775</v>
      </c>
      <c r="I223" s="276">
        <v>143.53</v>
      </c>
      <c r="J223" s="276">
        <v>8.81</v>
      </c>
      <c r="K223" s="276">
        <v>9.2356505249561405</v>
      </c>
      <c r="L223" s="276">
        <v>165.97</v>
      </c>
      <c r="M223" s="276">
        <v>143.55000000000001</v>
      </c>
      <c r="N223" s="276">
        <v>141.62</v>
      </c>
      <c r="O223" s="276">
        <v>144.37</v>
      </c>
      <c r="P223" s="276">
        <v>132.16999999999999</v>
      </c>
      <c r="Q223" s="276">
        <v>134.72</v>
      </c>
      <c r="R223" s="276">
        <v>127.79</v>
      </c>
      <c r="S223" s="276">
        <v>145.77000000000001</v>
      </c>
      <c r="T223" s="276">
        <v>133.22999999999999</v>
      </c>
      <c r="U223" s="276">
        <v>172.63</v>
      </c>
      <c r="V223" s="276">
        <v>171.85</v>
      </c>
    </row>
    <row r="224" spans="1:22" ht="14.1" customHeight="1" x14ac:dyDescent="0.2">
      <c r="A224" s="778" t="s">
        <v>2730</v>
      </c>
      <c r="B224" s="1617" t="s">
        <v>557</v>
      </c>
      <c r="C224" s="237">
        <v>143.28</v>
      </c>
      <c r="D224" s="237">
        <v>9.1300000000000008</v>
      </c>
      <c r="E224" s="237">
        <v>8.65</v>
      </c>
      <c r="F224" s="237">
        <v>142.18</v>
      </c>
      <c r="G224" s="237">
        <v>9.3000000000000007</v>
      </c>
      <c r="H224" s="237">
        <v>7.987278624222327</v>
      </c>
      <c r="I224" s="237">
        <v>144.18</v>
      </c>
      <c r="J224" s="237">
        <v>9.01</v>
      </c>
      <c r="K224" s="237">
        <v>9.2048608393257236</v>
      </c>
      <c r="L224" s="237">
        <v>166.1</v>
      </c>
      <c r="M224" s="237">
        <v>143.81</v>
      </c>
      <c r="N224" s="237">
        <v>141.83000000000001</v>
      </c>
      <c r="O224" s="237">
        <v>144.47999999999999</v>
      </c>
      <c r="P224" s="237">
        <v>132.29</v>
      </c>
      <c r="Q224" s="237">
        <v>135.07</v>
      </c>
      <c r="R224" s="237">
        <v>128.24</v>
      </c>
      <c r="S224" s="237">
        <v>146.19</v>
      </c>
      <c r="T224" s="237">
        <v>133.78</v>
      </c>
      <c r="U224" s="237">
        <v>173.09</v>
      </c>
      <c r="V224" s="237">
        <v>177.51</v>
      </c>
    </row>
    <row r="225" spans="1:22" ht="13.5" thickBot="1" x14ac:dyDescent="0.25">
      <c r="A225" s="778" t="s">
        <v>2730</v>
      </c>
      <c r="B225" s="752" t="s">
        <v>549</v>
      </c>
      <c r="C225" s="445">
        <v>144.56</v>
      </c>
      <c r="D225" s="445">
        <v>8.7100000000000009</v>
      </c>
      <c r="E225" s="445">
        <v>8.59803722373249</v>
      </c>
      <c r="F225" s="445">
        <v>143.25</v>
      </c>
      <c r="G225" s="445">
        <v>8.24</v>
      </c>
      <c r="H225" s="445">
        <v>7.9351916405044687</v>
      </c>
      <c r="I225" s="445">
        <v>145.62</v>
      </c>
      <c r="J225" s="445">
        <v>9.09</v>
      </c>
      <c r="K225" s="445">
        <v>9.1554244819331831</v>
      </c>
      <c r="L225" s="445">
        <v>166.21</v>
      </c>
      <c r="M225" s="445">
        <v>148.29</v>
      </c>
      <c r="N225" s="445">
        <v>143.16999999999999</v>
      </c>
      <c r="O225" s="445">
        <v>145.44</v>
      </c>
      <c r="P225" s="445">
        <v>133.44999999999999</v>
      </c>
      <c r="Q225" s="445">
        <v>136.66999999999999</v>
      </c>
      <c r="R225" s="445">
        <v>129.07</v>
      </c>
      <c r="S225" s="445">
        <v>148.99</v>
      </c>
      <c r="T225" s="445">
        <v>134.93</v>
      </c>
      <c r="U225" s="445">
        <v>176.29</v>
      </c>
      <c r="V225" s="445">
        <v>175.01</v>
      </c>
    </row>
    <row r="226" spans="1:22" s="2254" customFormat="1" x14ac:dyDescent="0.2">
      <c r="A226" s="778" t="s">
        <v>2730</v>
      </c>
      <c r="B226" s="372" t="s">
        <v>558</v>
      </c>
      <c r="C226" s="276">
        <v>145.57</v>
      </c>
      <c r="D226" s="276">
        <v>9.0399999999999991</v>
      </c>
      <c r="E226" s="276">
        <v>8.59</v>
      </c>
      <c r="F226" s="276">
        <v>144.38999999999999</v>
      </c>
      <c r="G226" s="276">
        <v>8.39</v>
      </c>
      <c r="H226" s="276">
        <v>7.9200151129531271</v>
      </c>
      <c r="I226" s="276">
        <v>146.54</v>
      </c>
      <c r="J226" s="276">
        <v>9.57</v>
      </c>
      <c r="K226" s="276">
        <v>9.1558776192460556</v>
      </c>
      <c r="L226" s="276">
        <v>166.8</v>
      </c>
      <c r="M226" s="276">
        <v>148.5</v>
      </c>
      <c r="N226" s="276">
        <v>144.22</v>
      </c>
      <c r="O226" s="276">
        <v>145.85</v>
      </c>
      <c r="P226" s="276">
        <v>133.77000000000001</v>
      </c>
      <c r="Q226" s="276">
        <v>139.16999999999999</v>
      </c>
      <c r="R226" s="276">
        <v>129.77000000000001</v>
      </c>
      <c r="S226" s="276">
        <v>150.04</v>
      </c>
      <c r="T226" s="276">
        <v>135.321</v>
      </c>
      <c r="U226" s="276">
        <v>177.17</v>
      </c>
      <c r="V226" s="276">
        <v>174.67</v>
      </c>
    </row>
    <row r="227" spans="1:22" s="2254" customFormat="1" x14ac:dyDescent="0.2">
      <c r="A227" s="778" t="s">
        <v>2730</v>
      </c>
      <c r="B227" s="372" t="s">
        <v>559</v>
      </c>
      <c r="C227" s="276">
        <v>145.61000000000001</v>
      </c>
      <c r="D227" s="276">
        <v>9.42</v>
      </c>
      <c r="E227" s="276">
        <v>8.6300000000000008</v>
      </c>
      <c r="F227" s="276">
        <v>143.79</v>
      </c>
      <c r="G227" s="276">
        <v>9.06</v>
      </c>
      <c r="H227" s="276">
        <v>7.9630625776417441</v>
      </c>
      <c r="I227" s="276">
        <v>147.1</v>
      </c>
      <c r="J227" s="276">
        <v>9.7100000000000009</v>
      </c>
      <c r="K227" s="276">
        <v>9.181797285859794</v>
      </c>
      <c r="L227" s="276">
        <v>167.17</v>
      </c>
      <c r="M227" s="276">
        <v>149.56</v>
      </c>
      <c r="N227" s="276">
        <v>144.54</v>
      </c>
      <c r="O227" s="276">
        <v>146.81</v>
      </c>
      <c r="P227" s="276">
        <v>134.33000000000001</v>
      </c>
      <c r="Q227" s="276">
        <v>139.80000000000001</v>
      </c>
      <c r="R227" s="276">
        <v>130.44</v>
      </c>
      <c r="S227" s="276">
        <v>151.13999999999999</v>
      </c>
      <c r="T227" s="276">
        <v>136.37</v>
      </c>
      <c r="U227" s="276">
        <v>178.65</v>
      </c>
      <c r="V227" s="276">
        <v>173.64</v>
      </c>
    </row>
    <row r="228" spans="1:22" s="2254" customFormat="1" x14ac:dyDescent="0.2">
      <c r="A228" s="778"/>
      <c r="B228" s="372"/>
      <c r="C228" s="276"/>
      <c r="D228" s="276"/>
      <c r="E228" s="276"/>
      <c r="F228" s="276"/>
      <c r="G228" s="276"/>
      <c r="H228" s="276"/>
      <c r="I228" s="276"/>
      <c r="J228" s="276"/>
      <c r="K228" s="276"/>
      <c r="L228" s="276"/>
      <c r="M228" s="276"/>
      <c r="N228" s="276"/>
      <c r="O228" s="276"/>
      <c r="P228" s="276"/>
      <c r="Q228" s="276"/>
      <c r="R228" s="276"/>
      <c r="S228" s="276"/>
      <c r="T228" s="276"/>
      <c r="U228" s="276"/>
      <c r="V228" s="276"/>
    </row>
    <row r="229" spans="1:22" x14ac:dyDescent="0.2">
      <c r="A229" s="778" t="s">
        <v>2621</v>
      </c>
      <c r="B229" s="778"/>
      <c r="C229" s="237"/>
      <c r="D229" s="237"/>
      <c r="E229" s="237"/>
      <c r="F229" s="237"/>
      <c r="G229" s="237"/>
      <c r="H229" s="237"/>
      <c r="I229" s="237"/>
      <c r="J229" s="98" t="s">
        <v>2184</v>
      </c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</row>
    <row r="230" spans="1:22" ht="9.6" customHeight="1" x14ac:dyDescent="0.2">
      <c r="A230" s="2659" t="s">
        <v>258</v>
      </c>
      <c r="B230" s="2659"/>
      <c r="C230" s="2659"/>
      <c r="D230" s="2659"/>
      <c r="E230" s="2659"/>
      <c r="F230" s="98"/>
      <c r="G230" s="98"/>
      <c r="H230" s="25"/>
      <c r="I230" s="29" t="s">
        <v>364</v>
      </c>
    </row>
    <row r="231" spans="1:22" ht="9.6" customHeight="1" x14ac:dyDescent="0.2">
      <c r="L231" s="552"/>
      <c r="M231" s="552"/>
    </row>
    <row r="232" spans="1:22" ht="9.6" customHeight="1" x14ac:dyDescent="0.2">
      <c r="C232" s="552"/>
      <c r="D232" s="552"/>
      <c r="E232" s="552"/>
      <c r="F232" s="552"/>
      <c r="G232" s="552"/>
      <c r="H232" s="552"/>
      <c r="I232" s="552"/>
      <c r="J232" s="552"/>
      <c r="K232" s="552"/>
      <c r="L232" s="552"/>
      <c r="M232" s="552"/>
    </row>
    <row r="233" spans="1:22" ht="9.6" customHeight="1" x14ac:dyDescent="0.2">
      <c r="I233" s="1485" t="s">
        <v>621</v>
      </c>
      <c r="L233" s="552"/>
      <c r="M233" s="552"/>
    </row>
    <row r="234" spans="1:22" ht="9.6" customHeight="1" x14ac:dyDescent="0.2">
      <c r="L234" s="552"/>
      <c r="M234" s="552"/>
    </row>
    <row r="235" spans="1:22" ht="9.75" customHeight="1" x14ac:dyDescent="0.2">
      <c r="L235" s="552"/>
      <c r="M235" s="552"/>
    </row>
    <row r="236" spans="1:22" ht="9.6" customHeight="1" x14ac:dyDescent="0.2">
      <c r="L236" s="552"/>
      <c r="M236" s="552"/>
    </row>
    <row r="237" spans="1:22" ht="9.6" customHeight="1" x14ac:dyDescent="0.2">
      <c r="L237" s="552"/>
      <c r="M237" s="552"/>
    </row>
    <row r="238" spans="1:22" ht="9.6" customHeight="1" x14ac:dyDescent="0.2">
      <c r="L238" s="552"/>
      <c r="M238" s="552"/>
    </row>
    <row r="239" spans="1:22" ht="9.6" customHeight="1" x14ac:dyDescent="0.2">
      <c r="L239" s="552"/>
      <c r="M239" s="552"/>
    </row>
    <row r="240" spans="1:22" ht="9.6" customHeight="1" x14ac:dyDescent="0.2"/>
    <row r="241" ht="9.6" customHeight="1" x14ac:dyDescent="0.2"/>
    <row r="242" ht="9.6" customHeight="1" x14ac:dyDescent="0.2"/>
    <row r="243" ht="9.6" customHeight="1" x14ac:dyDescent="0.2"/>
    <row r="244" ht="10.5" customHeight="1" x14ac:dyDescent="0.2"/>
    <row r="245" ht="10.7" customHeight="1" x14ac:dyDescent="0.2"/>
    <row r="246" ht="10.7" customHeight="1" x14ac:dyDescent="0.2"/>
    <row r="247" ht="12" customHeight="1" x14ac:dyDescent="0.2"/>
    <row r="248" ht="12.6" customHeight="1" x14ac:dyDescent="0.2"/>
    <row r="249" ht="12" customHeight="1" x14ac:dyDescent="0.2"/>
  </sheetData>
  <customSheetViews>
    <customSheetView guid="{A374FC54-96E3-45F0-9C12-8450400C12DF}" scale="145">
      <pane xSplit="1" ySplit="5" topLeftCell="B45" activePane="bottomRight" state="frozen"/>
      <selection pane="bottomRight" activeCell="E58" sqref="E58"/>
      <pageMargins left="0.62992125984252001" right="0.39370078740157499" top="0.511811023622047" bottom="0.511811023622047" header="0" footer="0.51333337007869995"/>
      <pageSetup paperSize="132" firstPageNumber="44" orientation="portrait" useFirstPageNumber="1" r:id="rId1"/>
      <headerFooter alignWithMargins="0">
        <oddFooter>&amp;C&amp;"Times New Roman,Regular"&amp;8&amp;P</oddFooter>
      </headerFooter>
    </customSheetView>
  </customSheetViews>
  <mergeCells count="33">
    <mergeCell ref="S4:S5"/>
    <mergeCell ref="T4:T5"/>
    <mergeCell ref="L4:L5"/>
    <mergeCell ref="M4:M5"/>
    <mergeCell ref="N4:N5"/>
    <mergeCell ref="O4:O5"/>
    <mergeCell ref="P4:P5"/>
    <mergeCell ref="A230:E230"/>
    <mergeCell ref="H4:H5"/>
    <mergeCell ref="I4:I5"/>
    <mergeCell ref="J4:J5"/>
    <mergeCell ref="B3:B5"/>
    <mergeCell ref="D6:E6"/>
    <mergeCell ref="G6:H6"/>
    <mergeCell ref="J6:K6"/>
    <mergeCell ref="G4:G5"/>
    <mergeCell ref="K4:K5"/>
    <mergeCell ref="A1:K1"/>
    <mergeCell ref="L1:V1"/>
    <mergeCell ref="H2:K2"/>
    <mergeCell ref="A3:A5"/>
    <mergeCell ref="D3:E3"/>
    <mergeCell ref="G3:H3"/>
    <mergeCell ref="J3:K3"/>
    <mergeCell ref="M3:V3"/>
    <mergeCell ref="C4:C5"/>
    <mergeCell ref="D4:D5"/>
    <mergeCell ref="E4:E5"/>
    <mergeCell ref="F4:F5"/>
    <mergeCell ref="V4:V5"/>
    <mergeCell ref="U4:U5"/>
    <mergeCell ref="Q4:Q5"/>
    <mergeCell ref="R4:R5"/>
  </mergeCells>
  <phoneticPr fontId="0" type="noConversion"/>
  <pageMargins left="0.62992125984252001" right="0.511811023622047" top="0.31496062992126" bottom="2.5590551E-2" header="0" footer="6.4960630000000005E-2"/>
  <pageSetup paperSize="448" scale="99" orientation="portrait" r:id="rId2"/>
  <headerFooter differentFirst="1" alignWithMargins="0">
    <oddFooter>&amp;C&amp;"Times New Roman,Regular"&amp;8&amp;P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84"/>
  <sheetViews>
    <sheetView zoomScale="180" zoomScaleNormal="180" workbookViewId="0">
      <pane xSplit="1" ySplit="4" topLeftCell="K5" activePane="bottomRight" state="frozen"/>
      <selection activeCell="X47" sqref="X47:X50"/>
      <selection pane="topRight" activeCell="X47" sqref="X47:X50"/>
      <selection pane="bottomLeft" activeCell="X47" sqref="X47:X50"/>
      <selection pane="bottomRight" sqref="A1:K1"/>
    </sheetView>
  </sheetViews>
  <sheetFormatPr defaultColWidth="9.140625" defaultRowHeight="12.75" x14ac:dyDescent="0.2"/>
  <cols>
    <col min="1" max="1" width="7.85546875" style="2" customWidth="1"/>
    <col min="2" max="2" width="8.42578125" style="2" customWidth="1"/>
    <col min="3" max="3" width="5.28515625" style="2" bestFit="1" customWidth="1"/>
    <col min="4" max="4" width="6.5703125" style="2" bestFit="1" customWidth="1"/>
    <col min="5" max="5" width="6.140625" style="2" bestFit="1" customWidth="1"/>
    <col min="6" max="6" width="8" style="2" bestFit="1" customWidth="1"/>
    <col min="7" max="7" width="5.5703125" style="2" bestFit="1" customWidth="1"/>
    <col min="8" max="8" width="7.5703125" style="2" customWidth="1"/>
    <col min="9" max="9" width="5.7109375" style="2" bestFit="1" customWidth="1"/>
    <col min="10" max="10" width="7.140625" style="2" customWidth="1"/>
    <col min="11" max="11" width="8.85546875" style="2" customWidth="1"/>
    <col min="12" max="12" width="10" style="2" customWidth="1"/>
    <col min="13" max="13" width="6.7109375" style="2" customWidth="1"/>
    <col min="14" max="14" width="7.85546875" style="2" customWidth="1"/>
    <col min="15" max="15" width="6.5703125" style="2" customWidth="1"/>
    <col min="16" max="16" width="7.140625" style="2" customWidth="1"/>
    <col min="17" max="17" width="7.28515625" style="2" customWidth="1"/>
    <col min="18" max="18" width="7.42578125" style="2" customWidth="1"/>
    <col min="19" max="19" width="7.140625" style="2" customWidth="1"/>
    <col min="20" max="20" width="6.5703125" style="2" customWidth="1"/>
    <col min="21" max="21" width="6.85546875" style="2" customWidth="1"/>
    <col min="22" max="22" width="7.140625" style="2" customWidth="1"/>
    <col min="23" max="23" width="9.140625" style="2"/>
    <col min="24" max="24" width="15.85546875" style="2" bestFit="1" customWidth="1"/>
    <col min="25" max="16384" width="9.140625" style="2"/>
  </cols>
  <sheetData>
    <row r="1" spans="1:24" s="21" customFormat="1" ht="17.25" customHeight="1" x14ac:dyDescent="0.25">
      <c r="A1" s="2686" t="s">
        <v>1966</v>
      </c>
      <c r="B1" s="2686"/>
      <c r="C1" s="2686"/>
      <c r="D1" s="2686"/>
      <c r="E1" s="2686"/>
      <c r="F1" s="2686"/>
      <c r="G1" s="2686"/>
      <c r="H1" s="2686"/>
      <c r="I1" s="2686"/>
      <c r="J1" s="2686"/>
      <c r="K1" s="2686"/>
      <c r="L1" s="2686" t="s">
        <v>1967</v>
      </c>
      <c r="M1" s="2686"/>
      <c r="N1" s="2686"/>
      <c r="O1" s="2686"/>
      <c r="P1" s="2686"/>
      <c r="Q1" s="2686"/>
      <c r="R1" s="2686"/>
      <c r="S1" s="2686"/>
      <c r="T1" s="2686"/>
      <c r="U1" s="2635" t="s">
        <v>1063</v>
      </c>
      <c r="V1" s="2635"/>
      <c r="W1" s="48"/>
    </row>
    <row r="2" spans="1:24" s="19" customFormat="1" ht="12.75" customHeight="1" x14ac:dyDescent="0.2">
      <c r="A2" s="845"/>
      <c r="B2" s="845"/>
      <c r="C2" s="845"/>
      <c r="D2" s="845"/>
      <c r="E2" s="845"/>
      <c r="F2" s="845"/>
      <c r="G2" s="845"/>
      <c r="I2" s="845"/>
      <c r="L2" s="845"/>
      <c r="M2" s="845"/>
      <c r="N2" s="845"/>
      <c r="O2" s="845"/>
      <c r="P2" s="845"/>
      <c r="Q2" s="845"/>
      <c r="R2" s="845"/>
      <c r="T2" s="85"/>
      <c r="U2" s="2687" t="s">
        <v>24</v>
      </c>
      <c r="V2" s="2687"/>
      <c r="W2" s="85"/>
    </row>
    <row r="3" spans="1:24" s="83" customFormat="1" ht="49.5" customHeight="1" x14ac:dyDescent="0.2">
      <c r="A3" s="2688" t="s">
        <v>474</v>
      </c>
      <c r="B3" s="1734" t="s">
        <v>1248</v>
      </c>
      <c r="C3" s="1734" t="s">
        <v>496</v>
      </c>
      <c r="D3" s="1734" t="s">
        <v>1968</v>
      </c>
      <c r="E3" s="1734" t="s">
        <v>261</v>
      </c>
      <c r="F3" s="1734" t="s">
        <v>1969</v>
      </c>
      <c r="G3" s="1734" t="s">
        <v>262</v>
      </c>
      <c r="H3" s="1734" t="s">
        <v>1241</v>
      </c>
      <c r="I3" s="1734" t="s">
        <v>1242</v>
      </c>
      <c r="J3" s="1734" t="s">
        <v>1243</v>
      </c>
      <c r="K3" s="1734" t="s">
        <v>263</v>
      </c>
      <c r="L3" s="1734" t="s">
        <v>1244</v>
      </c>
      <c r="M3" s="1734" t="s">
        <v>1245</v>
      </c>
      <c r="N3" s="1734" t="s">
        <v>1970</v>
      </c>
      <c r="O3" s="1734" t="s">
        <v>1246</v>
      </c>
      <c r="P3" s="1734" t="s">
        <v>1247</v>
      </c>
      <c r="Q3" s="1734" t="s">
        <v>1971</v>
      </c>
      <c r="R3" s="1734" t="s">
        <v>259</v>
      </c>
      <c r="S3" s="1734" t="s">
        <v>1972</v>
      </c>
      <c r="T3" s="1735" t="s">
        <v>260</v>
      </c>
      <c r="U3" s="1736" t="s">
        <v>638</v>
      </c>
      <c r="V3" s="2688" t="s">
        <v>474</v>
      </c>
      <c r="W3" s="86"/>
      <c r="X3" s="86"/>
    </row>
    <row r="4" spans="1:24" s="73" customFormat="1" x14ac:dyDescent="0.2">
      <c r="A4" s="2689"/>
      <c r="B4" s="1734">
        <v>1</v>
      </c>
      <c r="C4" s="1734">
        <v>2</v>
      </c>
      <c r="D4" s="1734">
        <v>3</v>
      </c>
      <c r="E4" s="1734">
        <v>4</v>
      </c>
      <c r="F4" s="1734">
        <v>5</v>
      </c>
      <c r="G4" s="1734">
        <v>6</v>
      </c>
      <c r="H4" s="1734">
        <v>7</v>
      </c>
      <c r="I4" s="1734">
        <v>8</v>
      </c>
      <c r="J4" s="1734">
        <v>9</v>
      </c>
      <c r="K4" s="1734">
        <v>10</v>
      </c>
      <c r="L4" s="1734">
        <v>11</v>
      </c>
      <c r="M4" s="1734">
        <v>12</v>
      </c>
      <c r="N4" s="1734">
        <v>13</v>
      </c>
      <c r="O4" s="1734">
        <v>14</v>
      </c>
      <c r="P4" s="1734">
        <v>15</v>
      </c>
      <c r="Q4" s="1734">
        <v>16</v>
      </c>
      <c r="R4" s="1734">
        <v>17</v>
      </c>
      <c r="S4" s="1734">
        <v>18</v>
      </c>
      <c r="T4" s="1734">
        <v>19</v>
      </c>
      <c r="U4" s="1734">
        <v>20</v>
      </c>
      <c r="V4" s="2689"/>
      <c r="W4" s="917"/>
      <c r="X4" s="918"/>
    </row>
    <row r="5" spans="1:24" s="922" customFormat="1" ht="9" customHeight="1" x14ac:dyDescent="0.2">
      <c r="A5" s="2680" t="s">
        <v>1961</v>
      </c>
      <c r="B5" s="2680"/>
      <c r="C5" s="2680"/>
      <c r="D5" s="919"/>
      <c r="E5" s="919"/>
      <c r="F5" s="919"/>
      <c r="G5" s="919"/>
      <c r="H5" s="919"/>
      <c r="I5" s="919"/>
      <c r="J5" s="919"/>
      <c r="K5" s="919"/>
      <c r="L5" s="919"/>
      <c r="M5" s="919"/>
      <c r="N5" s="919"/>
      <c r="O5" s="919"/>
      <c r="P5" s="919"/>
      <c r="Q5" s="919"/>
      <c r="R5" s="919"/>
      <c r="S5" s="919"/>
      <c r="T5" s="919"/>
      <c r="U5" s="919"/>
      <c r="V5" s="327"/>
      <c r="W5" s="920"/>
      <c r="X5" s="921"/>
    </row>
    <row r="6" spans="1:24" s="28" customFormat="1" ht="8.25" customHeight="1" x14ac:dyDescent="0.15">
      <c r="A6" s="923" t="s">
        <v>551</v>
      </c>
      <c r="B6" s="924">
        <v>70171</v>
      </c>
      <c r="C6" s="924">
        <v>16814</v>
      </c>
      <c r="D6" s="924">
        <v>7009</v>
      </c>
      <c r="E6" s="924">
        <v>73834</v>
      </c>
      <c r="F6" s="924">
        <v>5553</v>
      </c>
      <c r="G6" s="924">
        <v>29825</v>
      </c>
      <c r="H6" s="924">
        <v>62352</v>
      </c>
      <c r="I6" s="924">
        <v>3467</v>
      </c>
      <c r="J6" s="924">
        <v>46497</v>
      </c>
      <c r="K6" s="924">
        <v>14216</v>
      </c>
      <c r="L6" s="924">
        <v>37935</v>
      </c>
      <c r="M6" s="924">
        <v>14089</v>
      </c>
      <c r="N6" s="924">
        <v>9962</v>
      </c>
      <c r="O6" s="924">
        <v>9288</v>
      </c>
      <c r="P6" s="924">
        <v>56600</v>
      </c>
      <c r="Q6" s="925">
        <f>SUM(B6:P6)</f>
        <v>457612</v>
      </c>
      <c r="R6" s="924">
        <v>24725</v>
      </c>
      <c r="S6" s="924">
        <f>Q6+R6</f>
        <v>482337</v>
      </c>
      <c r="T6" s="924">
        <v>27208</v>
      </c>
      <c r="U6" s="924">
        <f>S6+T6</f>
        <v>509545</v>
      </c>
      <c r="V6" s="937" t="s">
        <v>551</v>
      </c>
    </row>
    <row r="7" spans="1:24" s="208" customFormat="1" ht="8.1" customHeight="1" x14ac:dyDescent="0.15">
      <c r="A7" s="162"/>
      <c r="B7" s="926">
        <f>(B6/S6)*100</f>
        <v>14.548127139323752</v>
      </c>
      <c r="C7" s="926">
        <f>(C6/S6)*100</f>
        <v>3.4859444745064136</v>
      </c>
      <c r="D7" s="926">
        <f>(D6/S6)*100</f>
        <v>1.4531333901400889</v>
      </c>
      <c r="E7" s="926">
        <f>(E6/S6)*100</f>
        <v>15.307554676502114</v>
      </c>
      <c r="F7" s="926">
        <f>(F6/S6)*100</f>
        <v>1.151269755378501</v>
      </c>
      <c r="G7" s="926">
        <f>(G6/S6)*100</f>
        <v>6.1834360623381581</v>
      </c>
      <c r="H7" s="926">
        <f>(H6/S6)*100</f>
        <v>12.927061369955032</v>
      </c>
      <c r="I7" s="926">
        <f>(I6/S6)*100</f>
        <v>0.71879204788353368</v>
      </c>
      <c r="J7" s="926">
        <f>(J6/S6)*100</f>
        <v>9.6399405394983173</v>
      </c>
      <c r="K7" s="926">
        <f>(K6/S6)*100</f>
        <v>2.9473169174249541</v>
      </c>
      <c r="L7" s="926">
        <f>(L6/S6)*100</f>
        <v>7.8648330938741999</v>
      </c>
      <c r="M7" s="926">
        <f>(M6/S6)*100</f>
        <v>2.9209867789533042</v>
      </c>
      <c r="N7" s="926">
        <f>(N6/S6)*100</f>
        <v>2.0653609405871829</v>
      </c>
      <c r="O7" s="926">
        <f>(O6/S6)*100</f>
        <v>1.9256246151549643</v>
      </c>
      <c r="P7" s="926">
        <f>(P6/S6)*100</f>
        <v>11.734534153506781</v>
      </c>
      <c r="Q7" s="926">
        <f>(Q6/S6)*100</f>
        <v>94.8739159550273</v>
      </c>
      <c r="R7" s="926">
        <f>(R6/S6)*100</f>
        <v>5.1260840449727052</v>
      </c>
      <c r="S7" s="926">
        <f>(S6/S6)*100</f>
        <v>100</v>
      </c>
      <c r="T7" s="927"/>
      <c r="U7" s="927"/>
      <c r="V7" s="259"/>
    </row>
    <row r="8" spans="1:24" s="28" customFormat="1" ht="8.1" customHeight="1" x14ac:dyDescent="0.15">
      <c r="A8" s="928" t="s">
        <v>560</v>
      </c>
      <c r="B8" s="924">
        <v>79010</v>
      </c>
      <c r="C8" s="924">
        <v>18890</v>
      </c>
      <c r="D8" s="924">
        <v>7866</v>
      </c>
      <c r="E8" s="924">
        <v>87606</v>
      </c>
      <c r="F8" s="924">
        <v>5720</v>
      </c>
      <c r="G8" s="924">
        <v>33513</v>
      </c>
      <c r="H8" s="924">
        <v>72971</v>
      </c>
      <c r="I8" s="924">
        <v>4069</v>
      </c>
      <c r="J8" s="924">
        <v>53132</v>
      </c>
      <c r="K8" s="924">
        <v>16265</v>
      </c>
      <c r="L8" s="924">
        <v>41337</v>
      </c>
      <c r="M8" s="924">
        <v>17132</v>
      </c>
      <c r="N8" s="924">
        <v>11853</v>
      </c>
      <c r="O8" s="924">
        <v>10453</v>
      </c>
      <c r="P8" s="924">
        <v>63544</v>
      </c>
      <c r="Q8" s="925">
        <f>SUM(B8:P8)</f>
        <v>523361</v>
      </c>
      <c r="R8" s="924">
        <v>26439</v>
      </c>
      <c r="S8" s="924">
        <f>Q8+R8</f>
        <v>549800</v>
      </c>
      <c r="T8" s="924">
        <v>35276</v>
      </c>
      <c r="U8" s="924">
        <f>S8+T8</f>
        <v>585076</v>
      </c>
      <c r="V8" s="937" t="s">
        <v>560</v>
      </c>
    </row>
    <row r="9" spans="1:24" s="208" customFormat="1" ht="8.1" customHeight="1" x14ac:dyDescent="0.15">
      <c r="A9" s="162"/>
      <c r="B9" s="926">
        <f>(B8/S8)*100</f>
        <v>14.370680247362678</v>
      </c>
      <c r="C9" s="926">
        <f>(C8/S8)*100</f>
        <v>3.4357948344852671</v>
      </c>
      <c r="D9" s="926">
        <f>(D8/S8)*100</f>
        <v>1.4307020734812659</v>
      </c>
      <c r="E9" s="926">
        <f>(E8/S8)*100</f>
        <v>15.934157875591124</v>
      </c>
      <c r="F9" s="926">
        <f>(F8/S8)*100</f>
        <v>1.0403783193888687</v>
      </c>
      <c r="G9" s="926">
        <f>(G8/S8)*100</f>
        <v>6.0954892688250268</v>
      </c>
      <c r="H9" s="926">
        <f>(H8/S8)*100</f>
        <v>13.272280829392507</v>
      </c>
      <c r="I9" s="926">
        <f>(I8/S8)*100</f>
        <v>0.74008730447435422</v>
      </c>
      <c r="J9" s="926">
        <f>(J8/S8)*100</f>
        <v>9.663877773735905</v>
      </c>
      <c r="K9" s="926">
        <f>(K8/S8)*100</f>
        <v>2.9583484903601307</v>
      </c>
      <c r="L9" s="926">
        <f>(L8/S8)*100</f>
        <v>7.5185522008002907</v>
      </c>
      <c r="M9" s="926">
        <f>(M8/S8)*100</f>
        <v>3.1160421971626042</v>
      </c>
      <c r="N9" s="926">
        <f>(N8/S8)*100</f>
        <v>2.1558748635867588</v>
      </c>
      <c r="O9" s="926">
        <f>(O8/S8)*100</f>
        <v>1.9012368133866859</v>
      </c>
      <c r="P9" s="926">
        <f>(P8/S8)*100</f>
        <v>11.557657329938159</v>
      </c>
      <c r="Q9" s="926">
        <f>(Q8/S8)*100</f>
        <v>95.191160421971617</v>
      </c>
      <c r="R9" s="926">
        <f>(R8/S8)*100</f>
        <v>4.8088395780283744</v>
      </c>
      <c r="S9" s="926">
        <f>(S8/S8)*100</f>
        <v>100</v>
      </c>
      <c r="T9" s="927"/>
      <c r="U9" s="927"/>
      <c r="V9" s="259"/>
    </row>
    <row r="10" spans="1:24" s="28" customFormat="1" ht="8.1" customHeight="1" x14ac:dyDescent="0.15">
      <c r="A10" s="928" t="s">
        <v>325</v>
      </c>
      <c r="B10" s="924">
        <v>89986</v>
      </c>
      <c r="C10" s="924">
        <v>20635</v>
      </c>
      <c r="D10" s="924">
        <v>9110</v>
      </c>
      <c r="E10" s="924">
        <v>101371</v>
      </c>
      <c r="F10" s="924">
        <v>6441</v>
      </c>
      <c r="G10" s="924">
        <v>38532</v>
      </c>
      <c r="H10" s="924">
        <v>86149</v>
      </c>
      <c r="I10" s="924">
        <v>4826</v>
      </c>
      <c r="J10" s="924">
        <v>59620</v>
      </c>
      <c r="K10" s="924">
        <v>18702</v>
      </c>
      <c r="L10" s="924">
        <v>45118</v>
      </c>
      <c r="M10" s="924">
        <v>19664</v>
      </c>
      <c r="N10" s="924">
        <v>14332</v>
      </c>
      <c r="O10" s="924">
        <v>12164</v>
      </c>
      <c r="P10" s="924">
        <v>72200</v>
      </c>
      <c r="Q10" s="925">
        <f>SUM(B10:P10)</f>
        <v>598850</v>
      </c>
      <c r="R10" s="924">
        <v>29832</v>
      </c>
      <c r="S10" s="924">
        <f>Q10+R10</f>
        <v>628682</v>
      </c>
      <c r="T10" s="924">
        <v>48390</v>
      </c>
      <c r="U10" s="924">
        <f>S10+T10</f>
        <v>677072</v>
      </c>
      <c r="V10" s="937" t="s">
        <v>325</v>
      </c>
    </row>
    <row r="11" spans="1:24" s="208" customFormat="1" ht="8.1" customHeight="1" x14ac:dyDescent="0.15">
      <c r="A11" s="162"/>
      <c r="B11" s="926">
        <f>(B10/S10)*100</f>
        <v>14.313436681820061</v>
      </c>
      <c r="C11" s="926">
        <f>(C10/S10)*100</f>
        <v>3.2822635290973818</v>
      </c>
      <c r="D11" s="926">
        <f>(D10/S10)*100</f>
        <v>1.4490632784142061</v>
      </c>
      <c r="E11" s="926">
        <f>(E10/S10)*100</f>
        <v>16.124368122516628</v>
      </c>
      <c r="F11" s="926">
        <f>(F10/S10)*100</f>
        <v>1.0245243223123932</v>
      </c>
      <c r="G11" s="926">
        <f>(G10/S10)*100</f>
        <v>6.1290127600281217</v>
      </c>
      <c r="H11" s="926">
        <f>(H10/S10)*100</f>
        <v>13.703112225258558</v>
      </c>
      <c r="I11" s="926">
        <f>(I10/S10)*100</f>
        <v>0.76763769282403505</v>
      </c>
      <c r="J11" s="926">
        <f>(J10/S10)*100</f>
        <v>9.4833317957250252</v>
      </c>
      <c r="K11" s="926">
        <f>(K10/S10)*100</f>
        <v>2.9747948883537307</v>
      </c>
      <c r="L11" s="926">
        <f>(L10/S10)*100</f>
        <v>7.1766012069695018</v>
      </c>
      <c r="M11" s="926">
        <f>(M10/S10)*100</f>
        <v>3.1278134255474148</v>
      </c>
      <c r="N11" s="926">
        <f>(N10/S10)*100</f>
        <v>2.2796898909146437</v>
      </c>
      <c r="O11" s="926">
        <f>(O10/S10)*100</f>
        <v>1.9348414619791883</v>
      </c>
      <c r="P11" s="926">
        <f>(P10/S10)*100</f>
        <v>11.484343435950132</v>
      </c>
      <c r="Q11" s="926">
        <f>(Q10/S10)*100</f>
        <v>95.25483471771102</v>
      </c>
      <c r="R11" s="926">
        <f>(R10/S10)*100</f>
        <v>4.7451652822889798</v>
      </c>
      <c r="S11" s="926">
        <f>(S10/S10)*100</f>
        <v>100</v>
      </c>
      <c r="T11" s="927"/>
      <c r="U11" s="927"/>
      <c r="V11" s="259"/>
    </row>
    <row r="12" spans="1:24" s="28" customFormat="1" ht="8.1" customHeight="1" x14ac:dyDescent="0.15">
      <c r="A12" s="928" t="s">
        <v>85</v>
      </c>
      <c r="B12" s="924">
        <v>97807</v>
      </c>
      <c r="C12" s="924">
        <v>22793</v>
      </c>
      <c r="D12" s="924">
        <v>10963</v>
      </c>
      <c r="E12" s="924">
        <v>116197</v>
      </c>
      <c r="F12" s="924">
        <v>7012</v>
      </c>
      <c r="G12" s="924">
        <v>44180</v>
      </c>
      <c r="H12" s="924">
        <v>96094</v>
      </c>
      <c r="I12" s="924">
        <v>5790</v>
      </c>
      <c r="J12" s="924">
        <v>67185</v>
      </c>
      <c r="K12" s="924">
        <v>20003</v>
      </c>
      <c r="L12" s="924">
        <v>49448</v>
      </c>
      <c r="M12" s="924">
        <v>22464</v>
      </c>
      <c r="N12" s="924">
        <v>16250</v>
      </c>
      <c r="O12" s="924">
        <v>13368</v>
      </c>
      <c r="P12" s="924">
        <v>85366</v>
      </c>
      <c r="Q12" s="925">
        <f>SUM(B12:P12)</f>
        <v>674920</v>
      </c>
      <c r="R12" s="924">
        <v>30152</v>
      </c>
      <c r="S12" s="924">
        <f>Q12+R12</f>
        <v>705072</v>
      </c>
      <c r="T12" s="924">
        <v>55901</v>
      </c>
      <c r="U12" s="924">
        <f>S12+T12</f>
        <v>760973</v>
      </c>
      <c r="V12" s="937" t="s">
        <v>85</v>
      </c>
    </row>
    <row r="13" spans="1:24" s="208" customFormat="1" ht="8.1" customHeight="1" x14ac:dyDescent="0.15">
      <c r="A13" s="162"/>
      <c r="B13" s="926">
        <f>(B12/S12)*100</f>
        <v>13.871916626954411</v>
      </c>
      <c r="C13" s="926">
        <f>(C12/S12)*100</f>
        <v>3.2327194953139538</v>
      </c>
      <c r="D13" s="926">
        <f>(D12/S12)*100</f>
        <v>1.5548766650781765</v>
      </c>
      <c r="E13" s="926">
        <f>(E12/S12)*100</f>
        <v>16.480160891369959</v>
      </c>
      <c r="F13" s="926">
        <f>(F12/S12)*100</f>
        <v>0.99450836226654871</v>
      </c>
      <c r="G13" s="926">
        <f>(G12/S12)*100</f>
        <v>6.266026732021694</v>
      </c>
      <c r="H13" s="926">
        <f>(H12/S12)*100</f>
        <v>13.628962715864478</v>
      </c>
      <c r="I13" s="926">
        <f>(I12/S12)*100</f>
        <v>0.82119272925318265</v>
      </c>
      <c r="J13" s="926">
        <f>(J12/S12)*100</f>
        <v>9.5288140785621902</v>
      </c>
      <c r="K13" s="926">
        <f>(K12/S12)*100</f>
        <v>2.8370152268137154</v>
      </c>
      <c r="L13" s="926">
        <f>(L12/S12)*100</f>
        <v>7.0131844691038641</v>
      </c>
      <c r="M13" s="926">
        <f>(M12/S12)*100</f>
        <v>3.1860575941180476</v>
      </c>
      <c r="N13" s="926">
        <f>(N12/S12)*100</f>
        <v>2.3047291624117823</v>
      </c>
      <c r="O13" s="926">
        <f>(O12/S12)*100</f>
        <v>1.8959765811151201</v>
      </c>
      <c r="P13" s="926">
        <f>(P12/S12)*100</f>
        <v>12.10741598021195</v>
      </c>
      <c r="Q13" s="926">
        <f>(Q12/S12)*100</f>
        <v>95.723557310459071</v>
      </c>
      <c r="R13" s="926">
        <f>(R12/S12)*100</f>
        <v>4.276442689540926</v>
      </c>
      <c r="S13" s="926">
        <f>(S12/S12)*100</f>
        <v>100</v>
      </c>
      <c r="T13" s="927"/>
      <c r="U13" s="927"/>
      <c r="V13" s="259"/>
    </row>
    <row r="14" spans="1:24" s="28" customFormat="1" ht="8.1" customHeight="1" x14ac:dyDescent="0.15">
      <c r="A14" s="929" t="s">
        <v>81</v>
      </c>
      <c r="B14" s="930">
        <v>110990</v>
      </c>
      <c r="C14" s="930">
        <v>24601</v>
      </c>
      <c r="D14" s="930">
        <v>12645</v>
      </c>
      <c r="E14" s="930">
        <v>128573</v>
      </c>
      <c r="F14" s="930">
        <v>8346</v>
      </c>
      <c r="G14" s="930">
        <v>49474</v>
      </c>
      <c r="H14" s="930">
        <v>106606</v>
      </c>
      <c r="I14" s="930">
        <v>7028</v>
      </c>
      <c r="J14" s="930">
        <v>80454</v>
      </c>
      <c r="K14" s="930">
        <v>23448</v>
      </c>
      <c r="L14" s="930">
        <v>54432</v>
      </c>
      <c r="M14" s="930">
        <v>25426</v>
      </c>
      <c r="N14" s="930">
        <v>18257</v>
      </c>
      <c r="O14" s="930">
        <v>15326</v>
      </c>
      <c r="P14" s="930">
        <v>95692</v>
      </c>
      <c r="Q14" s="925">
        <f>SUM(B14:P14)</f>
        <v>761298</v>
      </c>
      <c r="R14" s="930">
        <v>36241</v>
      </c>
      <c r="S14" s="924">
        <f>Q14+R14</f>
        <v>797539</v>
      </c>
      <c r="T14" s="930">
        <v>64604</v>
      </c>
      <c r="U14" s="924">
        <f>S14+T14</f>
        <v>862143</v>
      </c>
      <c r="V14" s="964" t="s">
        <v>81</v>
      </c>
    </row>
    <row r="15" spans="1:24" s="208" customFormat="1" ht="8.1" customHeight="1" x14ac:dyDescent="0.15">
      <c r="A15" s="162"/>
      <c r="B15" s="926">
        <f>(B14/S14)*100</f>
        <v>13.916560820223211</v>
      </c>
      <c r="C15" s="926">
        <f>(C14/S14)*100</f>
        <v>3.0846140439527097</v>
      </c>
      <c r="D15" s="926">
        <f>(D14/S14)*100</f>
        <v>1.5855024017634247</v>
      </c>
      <c r="E15" s="926">
        <f>(E14/S14)*100</f>
        <v>16.121217896554274</v>
      </c>
      <c r="F15" s="926">
        <f>(F14/S14)*100</f>
        <v>1.0464692008792047</v>
      </c>
      <c r="G15" s="926">
        <f>(G14/S14)*100</f>
        <v>6.2033330031509433</v>
      </c>
      <c r="H15" s="926">
        <f>(H14/S14)*100</f>
        <v>13.366869833324765</v>
      </c>
      <c r="I15" s="926">
        <f>(I14/S14)*100</f>
        <v>0.8812108247997904</v>
      </c>
      <c r="J15" s="926">
        <f>(J14/S14)*100</f>
        <v>10.08778254104188</v>
      </c>
      <c r="K15" s="926">
        <f>(K14/S14)*100</f>
        <v>2.9400443113126755</v>
      </c>
      <c r="L15" s="926">
        <f>(L14/S14)*100</f>
        <v>6.8249953920748698</v>
      </c>
      <c r="M15" s="926">
        <f>(M14/S14)*100</f>
        <v>3.1880572611496114</v>
      </c>
      <c r="N15" s="926">
        <f>(N14/S14)*100</f>
        <v>2.289167050137987</v>
      </c>
      <c r="O15" s="926">
        <f>(O14/S14)*100</f>
        <v>1.9216615112239026</v>
      </c>
      <c r="P15" s="926">
        <f>(P14/S14)*100</f>
        <v>11.998410109098113</v>
      </c>
      <c r="Q15" s="926">
        <f>(Q14/S14)*100</f>
        <v>95.455896200687363</v>
      </c>
      <c r="R15" s="926">
        <f>(R14/S14)*100</f>
        <v>4.5441037993126354</v>
      </c>
      <c r="S15" s="926">
        <f>(S14/S14)*100</f>
        <v>100</v>
      </c>
      <c r="T15" s="927"/>
      <c r="U15" s="927"/>
      <c r="V15" s="259"/>
    </row>
    <row r="16" spans="1:24" s="28" customFormat="1" ht="8.1" customHeight="1" x14ac:dyDescent="0.15">
      <c r="A16" s="928" t="s">
        <v>189</v>
      </c>
      <c r="B16" s="924">
        <v>125469</v>
      </c>
      <c r="C16" s="924">
        <v>28482</v>
      </c>
      <c r="D16" s="924">
        <v>14208</v>
      </c>
      <c r="E16" s="924">
        <v>146503</v>
      </c>
      <c r="F16" s="924">
        <v>11589</v>
      </c>
      <c r="G16" s="924">
        <v>57072</v>
      </c>
      <c r="H16" s="924">
        <v>121332</v>
      </c>
      <c r="I16" s="924">
        <v>8228</v>
      </c>
      <c r="J16" s="924">
        <v>94571</v>
      </c>
      <c r="K16" s="924">
        <v>27545</v>
      </c>
      <c r="L16" s="924">
        <v>60119</v>
      </c>
      <c r="M16" s="924">
        <v>30282</v>
      </c>
      <c r="N16" s="924">
        <v>21392</v>
      </c>
      <c r="O16" s="924">
        <v>17731</v>
      </c>
      <c r="P16" s="924">
        <v>104608</v>
      </c>
      <c r="Q16" s="925">
        <f>SUM(B16:P16)</f>
        <v>869131</v>
      </c>
      <c r="R16" s="924">
        <v>46698</v>
      </c>
      <c r="S16" s="924">
        <f>Q16+R16</f>
        <v>915829</v>
      </c>
      <c r="T16" s="924">
        <v>72513</v>
      </c>
      <c r="U16" s="924">
        <f>S16+T16</f>
        <v>988342</v>
      </c>
      <c r="V16" s="937" t="s">
        <v>189</v>
      </c>
    </row>
    <row r="17" spans="1:22" s="208" customFormat="1" ht="8.1" customHeight="1" x14ac:dyDescent="0.15">
      <c r="A17" s="162"/>
      <c r="B17" s="926">
        <f>(B16/S16)*100</f>
        <v>13.700046624424427</v>
      </c>
      <c r="C17" s="926">
        <f>(C16/S16)*100</f>
        <v>3.109969219144622</v>
      </c>
      <c r="D17" s="926">
        <f>(D16/S16)*100</f>
        <v>1.5513813168178776</v>
      </c>
      <c r="E17" s="926">
        <f>(E16/S16)*100</f>
        <v>15.996763587962381</v>
      </c>
      <c r="F17" s="926">
        <f>(F16/S16)*100</f>
        <v>1.2654109009432983</v>
      </c>
      <c r="G17" s="926">
        <f>(G16/S16)*100</f>
        <v>6.2317310327582991</v>
      </c>
      <c r="H17" s="926">
        <f>(H16/S16)*100</f>
        <v>13.248324741845913</v>
      </c>
      <c r="I17" s="926">
        <f>(I16/S16)*100</f>
        <v>0.89842099343873139</v>
      </c>
      <c r="J17" s="926">
        <f>(J16/S16)*100</f>
        <v>10.326272699379469</v>
      </c>
      <c r="K17" s="926">
        <f>(K16/S16)*100</f>
        <v>3.0076575430566188</v>
      </c>
      <c r="L17" s="926">
        <f>(L16/S16)*100</f>
        <v>6.5644350637509845</v>
      </c>
      <c r="M17" s="926">
        <f>(M16/S16)*100</f>
        <v>3.3065124602955356</v>
      </c>
      <c r="N17" s="926">
        <f>(N16/S16)*100</f>
        <v>2.3358072303890793</v>
      </c>
      <c r="O17" s="926">
        <f>(O16/S16)*100</f>
        <v>1.9360601160260269</v>
      </c>
      <c r="P17" s="926">
        <f>(P16/S16)*100</f>
        <v>11.422219650174869</v>
      </c>
      <c r="Q17" s="926">
        <f>(Q16/S16)*100</f>
        <v>94.901013180408128</v>
      </c>
      <c r="R17" s="926">
        <f>(R16/S16)*100</f>
        <v>5.0989868195918673</v>
      </c>
      <c r="S17" s="926">
        <f>(S16/S16)*100</f>
        <v>100</v>
      </c>
      <c r="T17" s="927"/>
      <c r="U17" s="927"/>
      <c r="V17" s="259"/>
    </row>
    <row r="18" spans="1:22" s="28" customFormat="1" ht="8.1" customHeight="1" x14ac:dyDescent="0.15">
      <c r="A18" s="928" t="s">
        <v>696</v>
      </c>
      <c r="B18" s="924">
        <v>138879</v>
      </c>
      <c r="C18" s="924">
        <v>31827</v>
      </c>
      <c r="D18" s="924">
        <v>16650</v>
      </c>
      <c r="E18" s="924">
        <v>167928</v>
      </c>
      <c r="F18" s="924">
        <v>14189</v>
      </c>
      <c r="G18" s="924">
        <v>68305</v>
      </c>
      <c r="H18" s="924">
        <v>137396</v>
      </c>
      <c r="I18" s="924">
        <v>9755</v>
      </c>
      <c r="J18" s="924">
        <v>112702</v>
      </c>
      <c r="K18" s="924">
        <v>36316</v>
      </c>
      <c r="L18" s="924">
        <v>68715</v>
      </c>
      <c r="M18" s="924">
        <v>33499</v>
      </c>
      <c r="N18" s="924">
        <v>25048</v>
      </c>
      <c r="O18" s="924">
        <v>20133</v>
      </c>
      <c r="P18" s="924">
        <v>117293</v>
      </c>
      <c r="Q18" s="925">
        <f>SUM(B18:P18)</f>
        <v>998635</v>
      </c>
      <c r="R18" s="924">
        <v>56569</v>
      </c>
      <c r="S18" s="924">
        <f>Q18+R18</f>
        <v>1055204</v>
      </c>
      <c r="T18" s="924">
        <v>89302</v>
      </c>
      <c r="U18" s="924">
        <f>S18+T18</f>
        <v>1144506</v>
      </c>
      <c r="V18" s="937" t="s">
        <v>696</v>
      </c>
    </row>
    <row r="19" spans="1:22" s="208" customFormat="1" ht="8.1" customHeight="1" x14ac:dyDescent="0.15">
      <c r="A19" s="162"/>
      <c r="B19" s="926">
        <f>(B18/S18)*100</f>
        <v>13.161341314096612</v>
      </c>
      <c r="C19" s="926">
        <f>(C18/S18)*100</f>
        <v>3.0161940250416035</v>
      </c>
      <c r="D19" s="926">
        <f>(D18/S18)*100</f>
        <v>1.5778939427826277</v>
      </c>
      <c r="E19" s="926">
        <f>(E18/S18)*100</f>
        <v>15.914268710126194</v>
      </c>
      <c r="F19" s="926">
        <f>(F18/S18)*100</f>
        <v>1.344668898146709</v>
      </c>
      <c r="G19" s="926">
        <f>(G18/S18)*100</f>
        <v>6.473155901607651</v>
      </c>
      <c r="H19" s="926">
        <f>(H18/S18)*100</f>
        <v>13.02079976952324</v>
      </c>
      <c r="I19" s="926">
        <f>(I18/S18)*100</f>
        <v>0.92446579050117317</v>
      </c>
      <c r="J19" s="926">
        <f>(J18/S18)*100</f>
        <v>10.68058877714641</v>
      </c>
      <c r="K19" s="926">
        <f>(K18/S18)*100</f>
        <v>3.441609394960595</v>
      </c>
      <c r="L19" s="926">
        <f>(L18/S18)*100</f>
        <v>6.5120109476461421</v>
      </c>
      <c r="M19" s="926">
        <f>(M18/S18)*100</f>
        <v>3.17464679815467</v>
      </c>
      <c r="N19" s="926">
        <f>(N18/S18)*100</f>
        <v>2.3737590077368926</v>
      </c>
      <c r="O19" s="926">
        <f>(O18/S18)*100</f>
        <v>1.9079722972998585</v>
      </c>
      <c r="P19" s="926">
        <f>(P18/S18)*100</f>
        <v>11.115670524372538</v>
      </c>
      <c r="Q19" s="926">
        <f>(Q18/S18)*100</f>
        <v>94.639046099142917</v>
      </c>
      <c r="R19" s="926">
        <f>(R18/S18)*100</f>
        <v>5.3609539008570861</v>
      </c>
      <c r="S19" s="926">
        <f>(S18/S18)*100</f>
        <v>100</v>
      </c>
      <c r="T19" s="927"/>
      <c r="U19" s="927"/>
      <c r="V19" s="259"/>
    </row>
    <row r="20" spans="1:22" s="28" customFormat="1" ht="8.1" customHeight="1" x14ac:dyDescent="0.15">
      <c r="A20" s="928" t="s">
        <v>804</v>
      </c>
      <c r="B20" s="924">
        <v>148758</v>
      </c>
      <c r="C20" s="924">
        <v>36995</v>
      </c>
      <c r="D20" s="924">
        <v>19461</v>
      </c>
      <c r="E20" s="924">
        <v>197127</v>
      </c>
      <c r="F20" s="924">
        <v>16381</v>
      </c>
      <c r="G20" s="924">
        <v>82432</v>
      </c>
      <c r="H20" s="924">
        <v>154579</v>
      </c>
      <c r="I20" s="924">
        <v>11263</v>
      </c>
      <c r="J20" s="924">
        <v>124281</v>
      </c>
      <c r="K20" s="924">
        <v>42237</v>
      </c>
      <c r="L20" s="924">
        <v>78820</v>
      </c>
      <c r="M20" s="924">
        <v>37678</v>
      </c>
      <c r="N20" s="924">
        <v>28429</v>
      </c>
      <c r="O20" s="924">
        <v>23868</v>
      </c>
      <c r="P20" s="924">
        <v>138952</v>
      </c>
      <c r="Q20" s="925">
        <f>SUM(B20:P20)</f>
        <v>1141261</v>
      </c>
      <c r="R20" s="924">
        <v>57662</v>
      </c>
      <c r="S20" s="924">
        <f>Q20+R20</f>
        <v>1198923</v>
      </c>
      <c r="T20" s="924">
        <v>96429</v>
      </c>
      <c r="U20" s="924">
        <f>S20+T20</f>
        <v>1295352</v>
      </c>
      <c r="V20" s="937" t="s">
        <v>804</v>
      </c>
    </row>
    <row r="21" spans="1:22" s="208" customFormat="1" ht="8.1" customHeight="1" x14ac:dyDescent="0.15">
      <c r="A21" s="162"/>
      <c r="B21" s="926">
        <f>(B20/S20)*100</f>
        <v>12.407635853178228</v>
      </c>
      <c r="C21" s="926">
        <f>(C20/S20)*100</f>
        <v>3.0856860699144151</v>
      </c>
      <c r="D21" s="926">
        <f>(D20/S20)*100</f>
        <v>1.623206828128245</v>
      </c>
      <c r="E21" s="926">
        <f>(E20/S20)*100</f>
        <v>16.442006701014162</v>
      </c>
      <c r="F21" s="926">
        <f>(F20/S20)*100</f>
        <v>1.3663095961959191</v>
      </c>
      <c r="G21" s="926">
        <f>(G20/S20)*100</f>
        <v>6.8755040982615228</v>
      </c>
      <c r="H21" s="926">
        <f>(H20/S20)*100</f>
        <v>12.893154939891888</v>
      </c>
      <c r="I21" s="926">
        <f>(I20/S20)*100</f>
        <v>0.93942646858889178</v>
      </c>
      <c r="J21" s="926">
        <f>(J20/S20)*100</f>
        <v>10.366053533045909</v>
      </c>
      <c r="K21" s="926">
        <f>(K20/S20)*100</f>
        <v>3.5229118133524842</v>
      </c>
      <c r="L21" s="926">
        <f>(L20/S20)*100</f>
        <v>6.5742337080863411</v>
      </c>
      <c r="M21" s="926">
        <f>(M20/S20)*100</f>
        <v>3.1426538651773299</v>
      </c>
      <c r="N21" s="926">
        <f>(N20/S20)*100</f>
        <v>2.3712114956506798</v>
      </c>
      <c r="O21" s="926">
        <f>(O20/S20)*100</f>
        <v>1.9907867310911542</v>
      </c>
      <c r="P21" s="926">
        <f>(P20/S20)*100</f>
        <v>11.589735120604075</v>
      </c>
      <c r="Q21" s="926">
        <f>(Q20/S20)*100</f>
        <v>95.190516822181237</v>
      </c>
      <c r="R21" s="926">
        <f>(R20/S20)*100</f>
        <v>4.809483177818759</v>
      </c>
      <c r="S21" s="926">
        <f>(S20/S20)*100</f>
        <v>100</v>
      </c>
      <c r="T21" s="927"/>
      <c r="U21" s="927"/>
      <c r="V21" s="259"/>
    </row>
    <row r="22" spans="1:22" s="28" customFormat="1" ht="8.1" customHeight="1" x14ac:dyDescent="0.15">
      <c r="A22" s="931" t="s">
        <v>978</v>
      </c>
      <c r="B22" s="924">
        <v>163968</v>
      </c>
      <c r="C22" s="924">
        <v>42308</v>
      </c>
      <c r="D22" s="924">
        <v>21080</v>
      </c>
      <c r="E22" s="924">
        <v>223221</v>
      </c>
      <c r="F22" s="924">
        <v>18401</v>
      </c>
      <c r="G22" s="924">
        <v>90834</v>
      </c>
      <c r="H22" s="924">
        <v>172575</v>
      </c>
      <c r="I22" s="924">
        <v>13035</v>
      </c>
      <c r="J22" s="924">
        <v>134317</v>
      </c>
      <c r="K22" s="924">
        <v>48563</v>
      </c>
      <c r="L22" s="924">
        <v>91229</v>
      </c>
      <c r="M22" s="924">
        <v>44728</v>
      </c>
      <c r="N22" s="924">
        <v>32767</v>
      </c>
      <c r="O22" s="924">
        <v>26924</v>
      </c>
      <c r="P22" s="924">
        <v>156551</v>
      </c>
      <c r="Q22" s="925">
        <f>SUM(B22:P22)</f>
        <v>1280501</v>
      </c>
      <c r="R22" s="924">
        <v>63173</v>
      </c>
      <c r="S22" s="924">
        <f>Q22+R22</f>
        <v>1343674</v>
      </c>
      <c r="T22" s="924">
        <v>89549</v>
      </c>
      <c r="U22" s="924">
        <f>S22+T22</f>
        <v>1433223</v>
      </c>
      <c r="V22" s="937" t="s">
        <v>978</v>
      </c>
    </row>
    <row r="23" spans="1:22" s="208" customFormat="1" ht="8.1" customHeight="1" x14ac:dyDescent="0.15">
      <c r="A23" s="162"/>
      <c r="B23" s="926">
        <f>(B22/S22)*100</f>
        <v>12.20295994415312</v>
      </c>
      <c r="C23" s="926">
        <f>(C22/S22)*100</f>
        <v>3.1486804090873233</v>
      </c>
      <c r="D23" s="926">
        <f>(D22/S22)*100</f>
        <v>1.5688329163174994</v>
      </c>
      <c r="E23" s="926">
        <f>(E22/S22)*100</f>
        <v>16.612734934217674</v>
      </c>
      <c r="F23" s="926">
        <f>(F22/S22)*100</f>
        <v>1.3694541979676618</v>
      </c>
      <c r="G23" s="926">
        <f>(G22/S22)*100</f>
        <v>6.7601218747999887</v>
      </c>
      <c r="H23" s="926">
        <f>(H22/S22)*100</f>
        <v>12.843517103106855</v>
      </c>
      <c r="I23" s="926">
        <f>(I22/S22)*100</f>
        <v>0.9701013787570496</v>
      </c>
      <c r="J23" s="926">
        <f>(J22/S22)*100</f>
        <v>9.9962490901811005</v>
      </c>
      <c r="K23" s="926">
        <f>(K22/S22)*100</f>
        <v>3.6141951098257463</v>
      </c>
      <c r="L23" s="926">
        <f>(L22/S22)*100</f>
        <v>6.7895188862774747</v>
      </c>
      <c r="M23" s="926">
        <f>(M22/S22)*100</f>
        <v>3.3287836186455944</v>
      </c>
      <c r="N23" s="926">
        <f>(N22/S22)*100</f>
        <v>2.4386123419817602</v>
      </c>
      <c r="O23" s="926">
        <f>(O22/S22)*100</f>
        <v>2.0037598405565635</v>
      </c>
      <c r="P23" s="926">
        <f>(P22/S22)*100</f>
        <v>11.650965933701181</v>
      </c>
      <c r="Q23" s="926">
        <f>(Q22/S22)*100</f>
        <v>95.298487579576602</v>
      </c>
      <c r="R23" s="926">
        <f>(R22/S22)*100</f>
        <v>4.7015124204234064</v>
      </c>
      <c r="S23" s="926">
        <f>(S22/S22)*100</f>
        <v>100</v>
      </c>
      <c r="T23" s="927"/>
      <c r="U23" s="927"/>
      <c r="V23" s="259"/>
    </row>
    <row r="24" spans="1:22" s="208" customFormat="1" ht="8.1" customHeight="1" x14ac:dyDescent="0.15">
      <c r="A24" s="932" t="s">
        <v>1029</v>
      </c>
      <c r="B24" s="924">
        <v>176500</v>
      </c>
      <c r="C24" s="924">
        <v>47581</v>
      </c>
      <c r="D24" s="924">
        <v>23876</v>
      </c>
      <c r="E24" s="924">
        <v>254483</v>
      </c>
      <c r="F24" s="924">
        <v>19868</v>
      </c>
      <c r="G24" s="924">
        <v>108484</v>
      </c>
      <c r="H24" s="924">
        <v>192585</v>
      </c>
      <c r="I24" s="924">
        <v>14928</v>
      </c>
      <c r="J24" s="924">
        <v>150025</v>
      </c>
      <c r="K24" s="924">
        <v>55761</v>
      </c>
      <c r="L24" s="924">
        <v>106061</v>
      </c>
      <c r="M24" s="924">
        <v>50674</v>
      </c>
      <c r="N24" s="924">
        <v>37624</v>
      </c>
      <c r="O24" s="924">
        <v>30135</v>
      </c>
      <c r="P24" s="924">
        <v>176402</v>
      </c>
      <c r="Q24" s="925">
        <f>SUM(B24:P24)</f>
        <v>1444987</v>
      </c>
      <c r="R24" s="924">
        <v>70815</v>
      </c>
      <c r="S24" s="924">
        <f>Q24+R24</f>
        <v>1515802</v>
      </c>
      <c r="T24" s="924">
        <v>98402</v>
      </c>
      <c r="U24" s="924">
        <f>S24+T24</f>
        <v>1614204</v>
      </c>
      <c r="V24" s="965" t="s">
        <v>1029</v>
      </c>
    </row>
    <row r="25" spans="1:22" s="162" customFormat="1" ht="8.1" customHeight="1" x14ac:dyDescent="0.15">
      <c r="B25" s="926">
        <f>(B24/S24)*100</f>
        <v>11.644000997491757</v>
      </c>
      <c r="C25" s="926">
        <f>(C24/S24)*100</f>
        <v>3.1389983652218429</v>
      </c>
      <c r="D25" s="926">
        <f>(D24/S24)*100</f>
        <v>1.5751397609978086</v>
      </c>
      <c r="E25" s="926">
        <f>(E24/S24)*100</f>
        <v>16.788670288071923</v>
      </c>
      <c r="F25" s="926">
        <f>(F24/S24)*100</f>
        <v>1.3107252794230382</v>
      </c>
      <c r="G25" s="926">
        <f>(G24/S24)*100</f>
        <v>7.1568714119654153</v>
      </c>
      <c r="H25" s="926">
        <f>(H24/S24)*100</f>
        <v>12.705155422673938</v>
      </c>
      <c r="I25" s="926">
        <f>(I24/S24)*100</f>
        <v>0.9848251948473481</v>
      </c>
      <c r="J25" s="926">
        <f>(J24/S24)*100</f>
        <v>9.8974008478679938</v>
      </c>
      <c r="K25" s="926">
        <f>(K24/S24)*100</f>
        <v>3.6786466834058804</v>
      </c>
      <c r="L25" s="926">
        <f>(L24/S24)*100</f>
        <v>6.9970220384984323</v>
      </c>
      <c r="M25" s="926">
        <f>(M24/S24)*100</f>
        <v>3.3430487623053673</v>
      </c>
      <c r="N25" s="926">
        <f>(N24/S24)*100</f>
        <v>2.4821183769384128</v>
      </c>
      <c r="O25" s="926">
        <f>(O24/S24)*100</f>
        <v>1.9880564875887483</v>
      </c>
      <c r="P25" s="926">
        <f>(P24/S24)*100</f>
        <v>11.637535773141874</v>
      </c>
      <c r="Q25" s="926">
        <f>(Q24/S24)*100</f>
        <v>95.328215690439777</v>
      </c>
      <c r="R25" s="926">
        <f>(R24/S24)*100</f>
        <v>4.6717843095602198</v>
      </c>
      <c r="S25" s="926">
        <f>(S24/S24)*100</f>
        <v>100</v>
      </c>
      <c r="T25" s="927"/>
      <c r="U25" s="927"/>
      <c r="V25" s="259"/>
    </row>
    <row r="26" spans="1:22" s="60" customFormat="1" ht="8.1" customHeight="1" x14ac:dyDescent="0.15">
      <c r="A26" s="932" t="s">
        <v>1150</v>
      </c>
      <c r="B26" s="924">
        <v>190315</v>
      </c>
      <c r="C26" s="924">
        <v>53076</v>
      </c>
      <c r="D26" s="924">
        <v>28578</v>
      </c>
      <c r="E26" s="924">
        <v>295111</v>
      </c>
      <c r="F26" s="924">
        <v>23829</v>
      </c>
      <c r="G26" s="924">
        <v>126353</v>
      </c>
      <c r="H26" s="924">
        <v>214257</v>
      </c>
      <c r="I26" s="924">
        <v>17058</v>
      </c>
      <c r="J26" s="924">
        <v>169165</v>
      </c>
      <c r="K26" s="924">
        <v>63601</v>
      </c>
      <c r="L26" s="924">
        <v>123740</v>
      </c>
      <c r="M26" s="924">
        <v>66711</v>
      </c>
      <c r="N26" s="924">
        <v>46512</v>
      </c>
      <c r="O26" s="924">
        <v>34758</v>
      </c>
      <c r="P26" s="924">
        <v>194248</v>
      </c>
      <c r="Q26" s="925">
        <f>SUM(B26:P26)</f>
        <v>1647312</v>
      </c>
      <c r="R26" s="924">
        <v>85552</v>
      </c>
      <c r="S26" s="924">
        <f>Q26+R26</f>
        <v>1732864</v>
      </c>
      <c r="T26" s="924">
        <v>99811</v>
      </c>
      <c r="U26" s="924">
        <f>S26+T26</f>
        <v>1832675</v>
      </c>
      <c r="V26" s="965" t="s">
        <v>1150</v>
      </c>
    </row>
    <row r="27" spans="1:22" s="162" customFormat="1" ht="8.1" customHeight="1" x14ac:dyDescent="0.15">
      <c r="B27" s="926">
        <f>(B26/S26)*100</f>
        <v>10.982685311715173</v>
      </c>
      <c r="C27" s="926">
        <f>(C26/S26)*100</f>
        <v>3.0629062638499041</v>
      </c>
      <c r="D27" s="926">
        <f>(D26/S26)*100</f>
        <v>1.6491773157039444</v>
      </c>
      <c r="E27" s="926">
        <f>(E26/S26)*100</f>
        <v>17.030245881961886</v>
      </c>
      <c r="F27" s="926">
        <f>(F26/S26)*100</f>
        <v>1.375122340818437</v>
      </c>
      <c r="G27" s="926">
        <f>(G26/S26)*100</f>
        <v>7.2915704867779585</v>
      </c>
      <c r="H27" s="926">
        <f>(H26/S26)*100</f>
        <v>12.364328648988034</v>
      </c>
      <c r="I27" s="926">
        <f>(I26/S26)*100</f>
        <v>0.98438192495198706</v>
      </c>
      <c r="J27" s="926">
        <f>(J26/S26)*100</f>
        <v>9.7621625240065004</v>
      </c>
      <c r="K27" s="926">
        <f>(K26/S26)*100</f>
        <v>3.6702822610429906</v>
      </c>
      <c r="L27" s="926">
        <f>(L26/S26)*100</f>
        <v>7.1407796572610422</v>
      </c>
      <c r="M27" s="926">
        <f>(M26/S26)*100</f>
        <v>3.8497539333727286</v>
      </c>
      <c r="N27" s="926">
        <f>(N26/S26)*100</f>
        <v>2.6841113901610281</v>
      </c>
      <c r="O27" s="926">
        <f>(O26/S26)*100</f>
        <v>2.0058123430344215</v>
      </c>
      <c r="P27" s="926">
        <f>(P26/S26)*100</f>
        <v>11.209650613089082</v>
      </c>
      <c r="Q27" s="926">
        <f>(Q26/S26)*100</f>
        <v>95.062970896735109</v>
      </c>
      <c r="R27" s="926">
        <f>(R26/S26)*100</f>
        <v>4.9370291032648836</v>
      </c>
      <c r="S27" s="926">
        <f>(S26/S26)*100</f>
        <v>100</v>
      </c>
      <c r="T27" s="927"/>
      <c r="U27" s="927"/>
      <c r="V27" s="259"/>
    </row>
    <row r="28" spans="1:22" s="60" customFormat="1" ht="8.1" customHeight="1" x14ac:dyDescent="0.15">
      <c r="A28" s="928" t="s">
        <v>1174</v>
      </c>
      <c r="B28" s="924">
        <v>205398</v>
      </c>
      <c r="C28" s="924">
        <v>59627</v>
      </c>
      <c r="D28" s="924">
        <v>34127</v>
      </c>
      <c r="E28" s="924">
        <v>341829</v>
      </c>
      <c r="F28" s="924">
        <v>26244</v>
      </c>
      <c r="G28" s="924">
        <v>146107</v>
      </c>
      <c r="H28" s="924">
        <v>243958</v>
      </c>
      <c r="I28" s="924">
        <v>19318</v>
      </c>
      <c r="J28" s="924">
        <v>187076</v>
      </c>
      <c r="K28" s="924">
        <v>73205</v>
      </c>
      <c r="L28" s="924">
        <v>144539</v>
      </c>
      <c r="M28" s="924">
        <v>78441</v>
      </c>
      <c r="N28" s="924">
        <v>56856</v>
      </c>
      <c r="O28" s="924">
        <v>38987</v>
      </c>
      <c r="P28" s="924">
        <v>214213</v>
      </c>
      <c r="Q28" s="925">
        <f>SUM(B28:P28)</f>
        <v>1869925</v>
      </c>
      <c r="R28" s="924">
        <v>105892</v>
      </c>
      <c r="S28" s="924">
        <f>Q28+R28</f>
        <v>1975817</v>
      </c>
      <c r="T28" s="924">
        <v>84901</v>
      </c>
      <c r="U28" s="924">
        <f>S28+T28</f>
        <v>2060718</v>
      </c>
      <c r="V28" s="937" t="s">
        <v>1174</v>
      </c>
    </row>
    <row r="29" spans="1:22" s="162" customFormat="1" ht="8.1" customHeight="1" x14ac:dyDescent="0.15">
      <c r="B29" s="926">
        <f>(B28/S28)*100</f>
        <v>10.395598377784987</v>
      </c>
      <c r="C29" s="926">
        <f>(C28/S28)*100</f>
        <v>3.017840214959179</v>
      </c>
      <c r="D29" s="926">
        <f>(D28/S28)*100</f>
        <v>1.7272348603134806</v>
      </c>
      <c r="E29" s="926">
        <f>(E28/S28)*100</f>
        <v>17.300640696987628</v>
      </c>
      <c r="F29" s="926">
        <f>(F28/S28)*100</f>
        <v>1.3282606638165377</v>
      </c>
      <c r="G29" s="926">
        <f>(G28/S28)*100</f>
        <v>7.3947637863223159</v>
      </c>
      <c r="H29" s="926">
        <f>(H28/S28)*100</f>
        <v>12.34719612190805</v>
      </c>
      <c r="I29" s="926">
        <f>(I28/S28)*100</f>
        <v>0.97772212709982753</v>
      </c>
      <c r="J29" s="926">
        <f>(J28/S28)*100</f>
        <v>9.4682857774783802</v>
      </c>
      <c r="K29" s="926">
        <f>(K28/S28)*100</f>
        <v>3.7050496073269943</v>
      </c>
      <c r="L29" s="926">
        <f>(L28/S28)*100</f>
        <v>7.315404210005279</v>
      </c>
      <c r="M29" s="926">
        <f>(M28/S28)*100</f>
        <v>3.9700539068142442</v>
      </c>
      <c r="N29" s="926">
        <f>(N28/S28)*100</f>
        <v>2.8775944330876797</v>
      </c>
      <c r="O29" s="926">
        <f>(O28/S28)*100</f>
        <v>1.9732090573165428</v>
      </c>
      <c r="P29" s="926">
        <f>(P28/S28)*100</f>
        <v>10.841742934694864</v>
      </c>
      <c r="Q29" s="926">
        <f>(Q28/S28)*100</f>
        <v>94.640596775915981</v>
      </c>
      <c r="R29" s="926">
        <f>(R28/S28)*100</f>
        <v>5.3594032240840122</v>
      </c>
      <c r="S29" s="926">
        <f>(S28/S28)*100</f>
        <v>100</v>
      </c>
      <c r="T29" s="927"/>
      <c r="U29" s="927"/>
      <c r="V29" s="259"/>
    </row>
    <row r="30" spans="1:22" s="60" customFormat="1" ht="8.1" customHeight="1" x14ac:dyDescent="0.15">
      <c r="A30" s="928" t="s">
        <v>1296</v>
      </c>
      <c r="B30" s="924">
        <v>227353</v>
      </c>
      <c r="C30" s="924">
        <v>66882</v>
      </c>
      <c r="D30" s="924">
        <v>38884</v>
      </c>
      <c r="E30" s="924">
        <v>404144</v>
      </c>
      <c r="F30" s="924">
        <v>29336</v>
      </c>
      <c r="G30" s="924">
        <v>169855</v>
      </c>
      <c r="H30" s="924">
        <v>279823</v>
      </c>
      <c r="I30" s="924">
        <v>22123</v>
      </c>
      <c r="J30" s="924">
        <v>204630</v>
      </c>
      <c r="K30" s="924">
        <v>83728</v>
      </c>
      <c r="L30" s="924">
        <v>166419</v>
      </c>
      <c r="M30" s="930">
        <v>90228</v>
      </c>
      <c r="N30" s="924">
        <v>64478</v>
      </c>
      <c r="O30" s="924">
        <v>44064</v>
      </c>
      <c r="P30" s="924">
        <v>236378</v>
      </c>
      <c r="Q30" s="925">
        <f>SUM(B30:P30)</f>
        <v>2128325</v>
      </c>
      <c r="R30" s="924">
        <v>122156</v>
      </c>
      <c r="S30" s="924">
        <f>Q30+R30</f>
        <v>2250481</v>
      </c>
      <c r="T30" s="924">
        <v>102628</v>
      </c>
      <c r="U30" s="924">
        <f>S30+T30</f>
        <v>2353109</v>
      </c>
      <c r="V30" s="937" t="s">
        <v>1296</v>
      </c>
    </row>
    <row r="31" spans="1:22" s="162" customFormat="1" ht="8.1" customHeight="1" x14ac:dyDescent="0.15">
      <c r="B31" s="926">
        <f>(B30/S30)*100</f>
        <v>10.102418105285048</v>
      </c>
      <c r="C31" s="926">
        <f>(C30/S30)*100</f>
        <v>2.97189800758149</v>
      </c>
      <c r="D31" s="926">
        <f>(D30/S30)*100</f>
        <v>1.7278084107353049</v>
      </c>
      <c r="E31" s="926">
        <f>(E30/S30)*100</f>
        <v>17.958116509315118</v>
      </c>
      <c r="F31" s="926">
        <f>(F30/S30)*100</f>
        <v>1.3035435535781019</v>
      </c>
      <c r="G31" s="926">
        <f>(G30/S30)*100</f>
        <v>7.5474976238413038</v>
      </c>
      <c r="H31" s="926">
        <f>(H30/S30)*100</f>
        <v>12.433919682059081</v>
      </c>
      <c r="I31" s="926">
        <f>(I30/S30)*100</f>
        <v>0.98303429355768834</v>
      </c>
      <c r="J31" s="926">
        <f>(J30/S30)*100</f>
        <v>9.0927228445830028</v>
      </c>
      <c r="K31" s="926">
        <f>(K30/S30)*100</f>
        <v>3.7204490951045575</v>
      </c>
      <c r="L31" s="926">
        <f>(L30/S30)*100</f>
        <v>7.3948191519946178</v>
      </c>
      <c r="M31" s="926">
        <f>(M30/S30)*100</f>
        <v>4.0092762391684262</v>
      </c>
      <c r="N31" s="926">
        <f>(N30/S30)*100</f>
        <v>2.8650763992230996</v>
      </c>
      <c r="O31" s="926">
        <f>(O30/S30)*100</f>
        <v>1.9579814270815885</v>
      </c>
      <c r="P31" s="926">
        <f>(P30/S30)*100</f>
        <v>10.503443486081419</v>
      </c>
      <c r="Q31" s="926">
        <f>(Q30/S30)*100</f>
        <v>94.572004829189851</v>
      </c>
      <c r="R31" s="926">
        <f>(R30/S30)*100</f>
        <v>5.427995170810151</v>
      </c>
      <c r="S31" s="926">
        <f>(S30/S30)*100</f>
        <v>100</v>
      </c>
      <c r="T31" s="927"/>
      <c r="U31" s="927"/>
      <c r="V31" s="259"/>
    </row>
    <row r="32" spans="1:22" s="60" customFormat="1" ht="8.1" customHeight="1" x14ac:dyDescent="0.15">
      <c r="A32" s="928" t="s">
        <v>1404</v>
      </c>
      <c r="B32" s="924">
        <v>248119</v>
      </c>
      <c r="C32" s="924">
        <v>74275</v>
      </c>
      <c r="D32" s="924">
        <v>43964</v>
      </c>
      <c r="E32" s="924">
        <v>481359</v>
      </c>
      <c r="F32" s="924">
        <v>32087</v>
      </c>
      <c r="G32" s="924">
        <v>196403</v>
      </c>
      <c r="H32" s="924">
        <v>322722</v>
      </c>
      <c r="I32" s="924">
        <v>25234</v>
      </c>
      <c r="J32" s="924">
        <v>226025</v>
      </c>
      <c r="K32" s="924">
        <v>94202</v>
      </c>
      <c r="L32" s="924">
        <v>190487</v>
      </c>
      <c r="M32" s="924">
        <v>98957</v>
      </c>
      <c r="N32" s="924">
        <v>73091</v>
      </c>
      <c r="O32" s="924">
        <v>52006</v>
      </c>
      <c r="P32" s="924">
        <v>260961</v>
      </c>
      <c r="Q32" s="925">
        <f>SUM(B32:P32)</f>
        <v>2419892</v>
      </c>
      <c r="R32" s="924">
        <v>122592</v>
      </c>
      <c r="S32" s="924">
        <f>Q32+R32</f>
        <v>2542484</v>
      </c>
      <c r="T32" s="924">
        <v>113610</v>
      </c>
      <c r="U32" s="924">
        <f>S32+T32</f>
        <v>2656094</v>
      </c>
      <c r="V32" s="937" t="s">
        <v>1404</v>
      </c>
    </row>
    <row r="33" spans="1:22" s="162" customFormat="1" ht="8.1" customHeight="1" x14ac:dyDescent="0.15">
      <c r="B33" s="926">
        <f>(B32/S32)*100</f>
        <v>9.7589208034347514</v>
      </c>
      <c r="C33" s="926">
        <f>(C32/S32)*100</f>
        <v>2.921355650615697</v>
      </c>
      <c r="D33" s="926">
        <f>(D32/S32)*100</f>
        <v>1.7291750901873915</v>
      </c>
      <c r="E33" s="926">
        <f>(E32/S32)*100</f>
        <v>18.932626518003655</v>
      </c>
      <c r="F33" s="926">
        <f>(F32/S32)*100</f>
        <v>1.2620335073888371</v>
      </c>
      <c r="G33" s="926">
        <f>(G32/S32)*100</f>
        <v>7.724847039352067</v>
      </c>
      <c r="H33" s="926">
        <f>(H32/S32)*100</f>
        <v>12.69317722353415</v>
      </c>
      <c r="I33" s="926">
        <f>(I32/S32)*100</f>
        <v>0.9924939547308852</v>
      </c>
      <c r="J33" s="926">
        <f>(J32/S32)*100</f>
        <v>8.8899281175417428</v>
      </c>
      <c r="K33" s="926">
        <f>(K32/S32)*100</f>
        <v>3.7051167283648585</v>
      </c>
      <c r="L33" s="926">
        <f>(L32/S32)*100</f>
        <v>7.4921612092740801</v>
      </c>
      <c r="M33" s="926">
        <f>(M32/S32)*100</f>
        <v>3.892138554264255</v>
      </c>
      <c r="N33" s="926">
        <f>(N32/S32)*100</f>
        <v>2.874787019308676</v>
      </c>
      <c r="O33" s="926">
        <f>(O32/S32)*100</f>
        <v>2.045479932223762</v>
      </c>
      <c r="P33" s="926">
        <f>(P32/S32)*100</f>
        <v>10.264017394013099</v>
      </c>
      <c r="Q33" s="926">
        <f>(Q32/S32)*100</f>
        <v>95.178258742237915</v>
      </c>
      <c r="R33" s="926">
        <f>(R32/S32)*100</f>
        <v>4.8217412577620937</v>
      </c>
      <c r="S33" s="926">
        <f>(S32/S32)*100</f>
        <v>100</v>
      </c>
      <c r="T33" s="927"/>
      <c r="U33" s="927"/>
      <c r="V33" s="259"/>
    </row>
    <row r="34" spans="1:22" s="208" customFormat="1" ht="8.1" customHeight="1" x14ac:dyDescent="0.15">
      <c r="A34" s="923" t="s">
        <v>1484</v>
      </c>
      <c r="B34" s="924">
        <v>270751</v>
      </c>
      <c r="C34" s="924">
        <v>83091</v>
      </c>
      <c r="D34" s="924">
        <v>46548</v>
      </c>
      <c r="E34" s="924">
        <v>507100</v>
      </c>
      <c r="F34" s="924">
        <v>33010</v>
      </c>
      <c r="G34" s="924">
        <v>222537</v>
      </c>
      <c r="H34" s="924">
        <v>349066</v>
      </c>
      <c r="I34" s="924">
        <v>27262</v>
      </c>
      <c r="J34" s="924">
        <v>241277</v>
      </c>
      <c r="K34" s="924">
        <v>99809</v>
      </c>
      <c r="L34" s="924">
        <v>212524</v>
      </c>
      <c r="M34" s="924">
        <v>106897</v>
      </c>
      <c r="N34" s="924">
        <v>81095</v>
      </c>
      <c r="O34" s="924">
        <v>58777</v>
      </c>
      <c r="P34" s="924">
        <v>286167</v>
      </c>
      <c r="Q34" s="925">
        <f>SUM(B34:P34)</f>
        <v>2625911</v>
      </c>
      <c r="R34" s="924">
        <v>113421</v>
      </c>
      <c r="S34" s="924">
        <f>Q34+R34</f>
        <v>2739332</v>
      </c>
      <c r="T34" s="924">
        <v>133898</v>
      </c>
      <c r="U34" s="924">
        <f>S34+T34</f>
        <v>2873230</v>
      </c>
      <c r="V34" s="937" t="s">
        <v>1484</v>
      </c>
    </row>
    <row r="35" spans="1:22" s="208" customFormat="1" ht="8.1" customHeight="1" x14ac:dyDescent="0.15">
      <c r="A35" s="162"/>
      <c r="B35" s="926">
        <f>(B34/S34)*100</f>
        <v>9.8838329928610325</v>
      </c>
      <c r="C35" s="926">
        <f>(C34/S34)*100</f>
        <v>3.0332577431286167</v>
      </c>
      <c r="D35" s="926">
        <f>(D34/S34)*100</f>
        <v>1.6992463856151792</v>
      </c>
      <c r="E35" s="926">
        <f>(E34/S34)*100</f>
        <v>18.511812368854887</v>
      </c>
      <c r="F35" s="926">
        <f>(F34/S34)*100</f>
        <v>1.2050383086095442</v>
      </c>
      <c r="G35" s="926">
        <f>(G34/S34)*100</f>
        <v>8.123768860437508</v>
      </c>
      <c r="H35" s="926">
        <f>(H34/S34)*100</f>
        <v>12.742741661105701</v>
      </c>
      <c r="I35" s="926">
        <f>(I34/S34)*100</f>
        <v>0.99520613054569518</v>
      </c>
      <c r="J35" s="926">
        <f>(J34/S34)*100</f>
        <v>8.8078772489059372</v>
      </c>
      <c r="K35" s="926">
        <f>(K34/S34)*100</f>
        <v>3.6435525157228117</v>
      </c>
      <c r="L35" s="926">
        <f>(L34/S34)*100</f>
        <v>7.758241790334286</v>
      </c>
      <c r="M35" s="926">
        <f>(M34/S34)*100</f>
        <v>3.90230172903467</v>
      </c>
      <c r="N35" s="926">
        <f>(N34/S34)*100</f>
        <v>2.9603932637591939</v>
      </c>
      <c r="O35" s="926">
        <f>(O34/S34)*100</f>
        <v>2.1456690901285422</v>
      </c>
      <c r="P35" s="926">
        <f>(P34/S34)*100</f>
        <v>10.446597929714251</v>
      </c>
      <c r="Q35" s="926">
        <f>(Q34/S34)*100</f>
        <v>95.85953801875786</v>
      </c>
      <c r="R35" s="926">
        <f>(R34/S34)*100</f>
        <v>4.1404619812421428</v>
      </c>
      <c r="S35" s="926">
        <f>(S34/S34)*100</f>
        <v>100</v>
      </c>
      <c r="T35" s="927"/>
      <c r="U35" s="927"/>
      <c r="V35" s="259"/>
    </row>
    <row r="36" spans="1:22" s="28" customFormat="1" ht="9" customHeight="1" x14ac:dyDescent="0.15">
      <c r="A36" s="928" t="s">
        <v>1973</v>
      </c>
      <c r="B36" s="924">
        <v>292221</v>
      </c>
      <c r="C36" s="924">
        <v>92389</v>
      </c>
      <c r="D36" s="924">
        <v>48718</v>
      </c>
      <c r="E36" s="924">
        <v>559627</v>
      </c>
      <c r="F36" s="924">
        <v>34921</v>
      </c>
      <c r="G36" s="924">
        <v>251150</v>
      </c>
      <c r="H36" s="924">
        <v>387606</v>
      </c>
      <c r="I36" s="924">
        <v>30911</v>
      </c>
      <c r="J36" s="924">
        <v>265227</v>
      </c>
      <c r="K36" s="924">
        <v>107014</v>
      </c>
      <c r="L36" s="924">
        <v>236065</v>
      </c>
      <c r="M36" s="924">
        <v>117376</v>
      </c>
      <c r="N36" s="924">
        <v>90419</v>
      </c>
      <c r="O36" s="924">
        <v>66427</v>
      </c>
      <c r="P36" s="924">
        <v>313313</v>
      </c>
      <c r="Q36" s="925">
        <f>SUM(B36:P36)</f>
        <v>2893384</v>
      </c>
      <c r="R36" s="924">
        <v>117681</v>
      </c>
      <c r="S36" s="924">
        <f>Q36+R36</f>
        <v>3011065</v>
      </c>
      <c r="T36" s="924">
        <v>186746</v>
      </c>
      <c r="U36" s="924">
        <f>S36+T36</f>
        <v>3197811</v>
      </c>
      <c r="V36" s="937" t="s">
        <v>1973</v>
      </c>
    </row>
    <row r="37" spans="1:22" s="208" customFormat="1" ht="8.1" customHeight="1" x14ac:dyDescent="0.15">
      <c r="A37" s="162"/>
      <c r="B37" s="926">
        <f>(B36/S36)*100</f>
        <v>9.7049050751146186</v>
      </c>
      <c r="C37" s="926">
        <f>(C36/S36)*100</f>
        <v>3.0683163598261745</v>
      </c>
      <c r="D37" s="926">
        <f>(D36/S36)*100</f>
        <v>1.6179657363756679</v>
      </c>
      <c r="E37" s="926">
        <f>(E36/S36)*100</f>
        <v>18.585683138690133</v>
      </c>
      <c r="F37" s="926">
        <f>(F36/S36)*100</f>
        <v>1.15975576747762</v>
      </c>
      <c r="G37" s="926">
        <f>(G36/S36)*100</f>
        <v>8.3409026374389121</v>
      </c>
      <c r="H37" s="926">
        <f>(H36/S36)*100</f>
        <v>12.872721113625909</v>
      </c>
      <c r="I37" s="926">
        <f>(I36/S36)*100</f>
        <v>1.0265802963403314</v>
      </c>
      <c r="J37" s="926">
        <f>(J36/S36)*100</f>
        <v>8.8084116417280924</v>
      </c>
      <c r="K37" s="926">
        <f>(K36/S36)*100</f>
        <v>3.5540249048094283</v>
      </c>
      <c r="L37" s="926">
        <f>(L36/S36)*100</f>
        <v>7.8399171057416561</v>
      </c>
      <c r="M37" s="926">
        <f>(M36/S36)*100</f>
        <v>3.8981556359626914</v>
      </c>
      <c r="N37" s="926">
        <f>(N36/S36)*100</f>
        <v>3.0028910036814218</v>
      </c>
      <c r="O37" s="926">
        <f>(O36/S36)*100</f>
        <v>2.2060965140241078</v>
      </c>
      <c r="P37" s="926">
        <f>(P36/S36)*100</f>
        <v>10.405388126792348</v>
      </c>
      <c r="Q37" s="926">
        <f>(Q36/S36)*100</f>
        <v>96.091715057629116</v>
      </c>
      <c r="R37" s="926">
        <f>(R36/S36)*100</f>
        <v>3.908284942370889</v>
      </c>
      <c r="S37" s="926">
        <f>(S36/S36)*100</f>
        <v>100</v>
      </c>
      <c r="T37" s="927"/>
      <c r="U37" s="927"/>
      <c r="V37" s="259"/>
    </row>
    <row r="38" spans="1:22" s="28" customFormat="1" ht="8.1" customHeight="1" x14ac:dyDescent="0.15">
      <c r="A38" s="933" t="s">
        <v>1962</v>
      </c>
      <c r="B38" s="934"/>
      <c r="C38" s="935"/>
      <c r="D38" s="935"/>
      <c r="E38" s="935"/>
      <c r="F38" s="935"/>
      <c r="G38" s="935"/>
      <c r="H38" s="935"/>
      <c r="I38" s="935"/>
      <c r="J38" s="935"/>
      <c r="K38" s="935"/>
      <c r="L38" s="935"/>
      <c r="M38" s="935"/>
      <c r="N38" s="935"/>
      <c r="O38" s="935"/>
      <c r="P38" s="935"/>
      <c r="Q38" s="935"/>
      <c r="R38" s="935"/>
      <c r="S38" s="935"/>
      <c r="T38" s="936"/>
      <c r="U38" s="936"/>
      <c r="V38" s="937"/>
    </row>
    <row r="39" spans="1:22" s="208" customFormat="1" ht="8.1" customHeight="1" x14ac:dyDescent="0.15">
      <c r="A39" s="1109" t="s">
        <v>551</v>
      </c>
      <c r="B39" s="938">
        <v>70171</v>
      </c>
      <c r="C39" s="938">
        <v>16814</v>
      </c>
      <c r="D39" s="938">
        <v>7009</v>
      </c>
      <c r="E39" s="938">
        <v>73834</v>
      </c>
      <c r="F39" s="938">
        <v>5553</v>
      </c>
      <c r="G39" s="938">
        <v>29825</v>
      </c>
      <c r="H39" s="938">
        <v>62352</v>
      </c>
      <c r="I39" s="938">
        <v>3467</v>
      </c>
      <c r="J39" s="938">
        <v>46497</v>
      </c>
      <c r="K39" s="938">
        <v>14216</v>
      </c>
      <c r="L39" s="938">
        <v>37935</v>
      </c>
      <c r="M39" s="938">
        <v>14089</v>
      </c>
      <c r="N39" s="938">
        <v>9962</v>
      </c>
      <c r="O39" s="938">
        <v>9288</v>
      </c>
      <c r="P39" s="938">
        <v>56600</v>
      </c>
      <c r="Q39" s="939">
        <f>SUM(B39:P39)</f>
        <v>457612</v>
      </c>
      <c r="R39" s="938">
        <v>24725</v>
      </c>
      <c r="S39" s="938">
        <f>Q39+R39</f>
        <v>482337</v>
      </c>
      <c r="T39" s="938">
        <v>27208</v>
      </c>
      <c r="U39" s="938">
        <f>S39+T39</f>
        <v>509545</v>
      </c>
      <c r="V39" s="259" t="s">
        <v>551</v>
      </c>
    </row>
    <row r="40" spans="1:22" s="28" customFormat="1" ht="8.1" customHeight="1" x14ac:dyDescent="0.15">
      <c r="A40" s="928"/>
      <c r="B40" s="935">
        <f>(B39/S39)*100</f>
        <v>14.548127139323752</v>
      </c>
      <c r="C40" s="935">
        <f>(C39/S39)*100</f>
        <v>3.4859444745064136</v>
      </c>
      <c r="D40" s="935">
        <f>(D39/S39)*100</f>
        <v>1.4531333901400889</v>
      </c>
      <c r="E40" s="935">
        <f>(E39/S39)*100</f>
        <v>15.307554676502114</v>
      </c>
      <c r="F40" s="935">
        <f>(F39/S39)*100</f>
        <v>1.151269755378501</v>
      </c>
      <c r="G40" s="935">
        <f>(G39/S39)*100</f>
        <v>6.1834360623381581</v>
      </c>
      <c r="H40" s="935">
        <f>(H39/S39)*100</f>
        <v>12.927061369955032</v>
      </c>
      <c r="I40" s="935">
        <f>(I39/S39)*100</f>
        <v>0.71879204788353368</v>
      </c>
      <c r="J40" s="935">
        <f>(J39/S39)*100</f>
        <v>9.6399405394983173</v>
      </c>
      <c r="K40" s="935">
        <f>(K39/S39)*100</f>
        <v>2.9473169174249541</v>
      </c>
      <c r="L40" s="935">
        <f>(L39/S39)*100</f>
        <v>7.8648330938741999</v>
      </c>
      <c r="M40" s="935">
        <f>(M39/S39)*100</f>
        <v>2.9209867789533042</v>
      </c>
      <c r="N40" s="935">
        <f>(N39/S39)*100</f>
        <v>2.0653609405871829</v>
      </c>
      <c r="O40" s="935">
        <f>(O39/S39)*100</f>
        <v>1.9256246151549643</v>
      </c>
      <c r="P40" s="935">
        <f>(P39/S39)*100</f>
        <v>11.734534153506781</v>
      </c>
      <c r="Q40" s="935">
        <f>(Q39/S39)*100</f>
        <v>94.8739159550273</v>
      </c>
      <c r="R40" s="935">
        <f>(R39/S39)*100</f>
        <v>5.1260840449727052</v>
      </c>
      <c r="S40" s="935">
        <f>(S39/S39)*100</f>
        <v>100</v>
      </c>
      <c r="T40" s="936"/>
      <c r="U40" s="936"/>
      <c r="V40" s="937"/>
    </row>
    <row r="41" spans="1:22" s="208" customFormat="1" ht="8.1" customHeight="1" x14ac:dyDescent="0.15">
      <c r="A41" s="162" t="s">
        <v>560</v>
      </c>
      <c r="B41" s="959">
        <v>74410</v>
      </c>
      <c r="C41" s="938">
        <v>18397</v>
      </c>
      <c r="D41" s="938">
        <v>7433</v>
      </c>
      <c r="E41" s="938">
        <v>81612</v>
      </c>
      <c r="F41" s="938">
        <v>5831</v>
      </c>
      <c r="G41" s="938">
        <v>31836</v>
      </c>
      <c r="H41" s="938">
        <v>67571</v>
      </c>
      <c r="I41" s="938">
        <v>3659</v>
      </c>
      <c r="J41" s="938">
        <v>50878</v>
      </c>
      <c r="K41" s="938">
        <v>15139</v>
      </c>
      <c r="L41" s="938">
        <v>39382</v>
      </c>
      <c r="M41" s="938">
        <v>15293</v>
      </c>
      <c r="N41" s="938">
        <v>10835</v>
      </c>
      <c r="O41" s="938">
        <v>9749</v>
      </c>
      <c r="P41" s="938">
        <v>58399</v>
      </c>
      <c r="Q41" s="708">
        <f>SUM(B41:P41)</f>
        <v>490424</v>
      </c>
      <c r="R41" s="938">
        <v>25959</v>
      </c>
      <c r="S41" s="802">
        <f>Q41+R41</f>
        <v>516383</v>
      </c>
      <c r="T41" s="938">
        <v>33121</v>
      </c>
      <c r="U41" s="802">
        <f>S41+T41</f>
        <v>549504</v>
      </c>
      <c r="V41" s="259" t="s">
        <v>560</v>
      </c>
    </row>
    <row r="42" spans="1:22" s="28" customFormat="1" ht="8.1" customHeight="1" x14ac:dyDescent="0.15">
      <c r="A42" s="928"/>
      <c r="B42" s="935">
        <f t="shared" ref="B42:S42" si="0">(B41/$S41)*100</f>
        <v>14.409846954682862</v>
      </c>
      <c r="C42" s="935">
        <f t="shared" si="0"/>
        <v>3.562665695811055</v>
      </c>
      <c r="D42" s="935">
        <f t="shared" si="0"/>
        <v>1.4394354577900512</v>
      </c>
      <c r="E42" s="935">
        <f t="shared" si="0"/>
        <v>15.804548174513878</v>
      </c>
      <c r="F42" s="935">
        <f t="shared" si="0"/>
        <v>1.1292006127235017</v>
      </c>
      <c r="G42" s="935">
        <f t="shared" si="0"/>
        <v>6.1651913405359977</v>
      </c>
      <c r="H42" s="935">
        <f t="shared" si="0"/>
        <v>13.085442394501756</v>
      </c>
      <c r="I42" s="935">
        <f t="shared" si="0"/>
        <v>0.70858258308271183</v>
      </c>
      <c r="J42" s="935">
        <f t="shared" si="0"/>
        <v>9.8527643241547462</v>
      </c>
      <c r="K42" s="935">
        <f t="shared" si="0"/>
        <v>2.9317386513498702</v>
      </c>
      <c r="L42" s="935">
        <f t="shared" si="0"/>
        <v>7.6265097805311166</v>
      </c>
      <c r="M42" s="935">
        <f t="shared" si="0"/>
        <v>2.9615614766558931</v>
      </c>
      <c r="N42" s="935">
        <f t="shared" si="0"/>
        <v>2.0982487804594654</v>
      </c>
      <c r="O42" s="935">
        <f t="shared" si="0"/>
        <v>1.8879397656390702</v>
      </c>
      <c r="P42" s="935">
        <f t="shared" si="0"/>
        <v>11.309241396405382</v>
      </c>
      <c r="Q42" s="935">
        <f t="shared" si="0"/>
        <v>94.972917388837345</v>
      </c>
      <c r="R42" s="935">
        <f t="shared" si="0"/>
        <v>5.027082611162645</v>
      </c>
      <c r="S42" s="935">
        <f t="shared" si="0"/>
        <v>100</v>
      </c>
      <c r="T42" s="960"/>
      <c r="U42" s="960"/>
      <c r="V42" s="937"/>
    </row>
    <row r="43" spans="1:22" s="208" customFormat="1" ht="8.1" customHeight="1" x14ac:dyDescent="0.15">
      <c r="A43" s="162" t="s">
        <v>325</v>
      </c>
      <c r="B43" s="959">
        <v>77292</v>
      </c>
      <c r="C43" s="938">
        <v>19685</v>
      </c>
      <c r="D43" s="938">
        <v>8003</v>
      </c>
      <c r="E43" s="938">
        <v>87596</v>
      </c>
      <c r="F43" s="938">
        <v>6284</v>
      </c>
      <c r="G43" s="938">
        <v>33742</v>
      </c>
      <c r="H43" s="938">
        <v>72481</v>
      </c>
      <c r="I43" s="938">
        <v>3866</v>
      </c>
      <c r="J43" s="938">
        <v>55079</v>
      </c>
      <c r="K43" s="938">
        <v>15733</v>
      </c>
      <c r="L43" s="938">
        <v>40877</v>
      </c>
      <c r="M43" s="938">
        <v>16289</v>
      </c>
      <c r="N43" s="938">
        <v>11609</v>
      </c>
      <c r="O43" s="938">
        <v>10321</v>
      </c>
      <c r="P43" s="938">
        <v>60261</v>
      </c>
      <c r="Q43" s="708">
        <f>SUM(B43:P43)</f>
        <v>519118</v>
      </c>
      <c r="R43" s="938">
        <v>28319</v>
      </c>
      <c r="S43" s="802">
        <f>Q43+R43</f>
        <v>547437</v>
      </c>
      <c r="T43" s="938">
        <v>42109</v>
      </c>
      <c r="U43" s="802">
        <f>S43+T43</f>
        <v>589546</v>
      </c>
      <c r="V43" s="259" t="s">
        <v>325</v>
      </c>
    </row>
    <row r="44" spans="1:22" s="28" customFormat="1" ht="8.1" customHeight="1" x14ac:dyDescent="0.15">
      <c r="A44" s="928"/>
      <c r="B44" s="935">
        <f t="shared" ref="B44:S44" si="1">(B43/$S43)*100</f>
        <v>14.118884912784486</v>
      </c>
      <c r="C44" s="935">
        <f t="shared" si="1"/>
        <v>3.5958475587145191</v>
      </c>
      <c r="D44" s="935">
        <f t="shared" si="1"/>
        <v>1.4619033788362861</v>
      </c>
      <c r="E44" s="935">
        <f t="shared" si="1"/>
        <v>16.001110630081637</v>
      </c>
      <c r="F44" s="935">
        <f t="shared" si="1"/>
        <v>1.1478946435845585</v>
      </c>
      <c r="G44" s="935">
        <f t="shared" si="1"/>
        <v>6.1636316142314094</v>
      </c>
      <c r="H44" s="935">
        <f t="shared" si="1"/>
        <v>13.240062326806553</v>
      </c>
      <c r="I44" s="935">
        <f t="shared" si="1"/>
        <v>0.70619998282907448</v>
      </c>
      <c r="J44" s="935">
        <f t="shared" si="1"/>
        <v>10.061249056969112</v>
      </c>
      <c r="K44" s="935">
        <f t="shared" si="1"/>
        <v>2.8739380056517922</v>
      </c>
      <c r="L44" s="935">
        <f t="shared" si="1"/>
        <v>7.4669779353605987</v>
      </c>
      <c r="M44" s="935">
        <f t="shared" si="1"/>
        <v>2.9755022039065682</v>
      </c>
      <c r="N44" s="935">
        <f t="shared" si="1"/>
        <v>2.12060931212176</v>
      </c>
      <c r="O44" s="935">
        <f t="shared" si="1"/>
        <v>1.8853310974596162</v>
      </c>
      <c r="P44" s="935">
        <f t="shared" si="1"/>
        <v>11.007841998257334</v>
      </c>
      <c r="Q44" s="935">
        <f t="shared" si="1"/>
        <v>94.826984657595304</v>
      </c>
      <c r="R44" s="935">
        <f t="shared" si="1"/>
        <v>5.1730153424046961</v>
      </c>
      <c r="S44" s="935">
        <f t="shared" si="1"/>
        <v>100</v>
      </c>
      <c r="T44" s="960"/>
      <c r="U44" s="960"/>
      <c r="V44" s="937"/>
    </row>
    <row r="45" spans="1:22" s="208" customFormat="1" ht="8.1" customHeight="1" x14ac:dyDescent="0.15">
      <c r="A45" s="162" t="s">
        <v>85</v>
      </c>
      <c r="B45" s="959">
        <v>79682</v>
      </c>
      <c r="C45" s="938">
        <v>20657</v>
      </c>
      <c r="D45" s="938">
        <v>8841</v>
      </c>
      <c r="E45" s="938">
        <v>93459</v>
      </c>
      <c r="F45" s="938">
        <v>6740</v>
      </c>
      <c r="G45" s="938">
        <v>35962</v>
      </c>
      <c r="H45" s="938">
        <v>76728</v>
      </c>
      <c r="I45" s="938">
        <v>4093</v>
      </c>
      <c r="J45" s="938">
        <v>59513</v>
      </c>
      <c r="K45" s="938">
        <v>15728</v>
      </c>
      <c r="L45" s="938">
        <v>42442</v>
      </c>
      <c r="M45" s="938">
        <v>17447</v>
      </c>
      <c r="N45" s="938">
        <v>12293</v>
      </c>
      <c r="O45" s="938">
        <v>10634</v>
      </c>
      <c r="P45" s="938">
        <v>62191</v>
      </c>
      <c r="Q45" s="708">
        <f>SUM(B45:P45)</f>
        <v>546410</v>
      </c>
      <c r="R45" s="938">
        <v>28646</v>
      </c>
      <c r="S45" s="802">
        <f>Q45+R45</f>
        <v>575056</v>
      </c>
      <c r="T45" s="938">
        <v>45558</v>
      </c>
      <c r="U45" s="802">
        <f>S45+T45</f>
        <v>620614</v>
      </c>
      <c r="V45" s="259" t="s">
        <v>85</v>
      </c>
    </row>
    <row r="46" spans="1:22" s="28" customFormat="1" ht="8.1" customHeight="1" x14ac:dyDescent="0.15">
      <c r="A46" s="928"/>
      <c r="B46" s="935">
        <f t="shared" ref="B46:S46" si="2">(B45/$S45)*100</f>
        <v>13.856389638574329</v>
      </c>
      <c r="C46" s="935">
        <f t="shared" si="2"/>
        <v>3.5921718928243509</v>
      </c>
      <c r="D46" s="935">
        <f t="shared" si="2"/>
        <v>1.5374154864917504</v>
      </c>
      <c r="E46" s="935">
        <f t="shared" si="2"/>
        <v>16.252156311733117</v>
      </c>
      <c r="F46" s="935">
        <f t="shared" si="2"/>
        <v>1.1720597646142288</v>
      </c>
      <c r="G46" s="935">
        <f t="shared" si="2"/>
        <v>6.2536518182576994</v>
      </c>
      <c r="H46" s="935">
        <f t="shared" si="2"/>
        <v>13.342700536991181</v>
      </c>
      <c r="I46" s="935">
        <f t="shared" si="2"/>
        <v>0.71175676803650434</v>
      </c>
      <c r="J46" s="935">
        <f t="shared" si="2"/>
        <v>10.34907904621463</v>
      </c>
      <c r="K46" s="935">
        <f t="shared" si="2"/>
        <v>2.73503797890988</v>
      </c>
      <c r="L46" s="935">
        <f t="shared" si="2"/>
        <v>7.3804985949194517</v>
      </c>
      <c r="M46" s="935">
        <f t="shared" si="2"/>
        <v>3.0339653877187613</v>
      </c>
      <c r="N46" s="935">
        <f t="shared" si="2"/>
        <v>2.1377048496146465</v>
      </c>
      <c r="O46" s="935">
        <f t="shared" si="2"/>
        <v>1.8492112072563367</v>
      </c>
      <c r="P46" s="935">
        <f t="shared" si="2"/>
        <v>10.81477282212515</v>
      </c>
      <c r="Q46" s="935">
        <f t="shared" si="2"/>
        <v>95.018572104282015</v>
      </c>
      <c r="R46" s="935">
        <f t="shared" si="2"/>
        <v>4.9814278957179825</v>
      </c>
      <c r="S46" s="935">
        <f t="shared" si="2"/>
        <v>100</v>
      </c>
      <c r="T46" s="960"/>
      <c r="U46" s="960"/>
      <c r="V46" s="937"/>
    </row>
    <row r="47" spans="1:22" s="208" customFormat="1" ht="8.1" customHeight="1" x14ac:dyDescent="0.15">
      <c r="A47" s="498" t="s">
        <v>81</v>
      </c>
      <c r="B47" s="959">
        <v>84904</v>
      </c>
      <c r="C47" s="938">
        <v>21607</v>
      </c>
      <c r="D47" s="938">
        <v>9561</v>
      </c>
      <c r="E47" s="938">
        <v>99671</v>
      </c>
      <c r="F47" s="938">
        <v>7412</v>
      </c>
      <c r="G47" s="938">
        <v>38554</v>
      </c>
      <c r="H47" s="938">
        <v>81219</v>
      </c>
      <c r="I47" s="938">
        <v>4339</v>
      </c>
      <c r="J47" s="938">
        <v>64006</v>
      </c>
      <c r="K47" s="938">
        <v>16711</v>
      </c>
      <c r="L47" s="938">
        <v>44078</v>
      </c>
      <c r="M47" s="938">
        <v>18882</v>
      </c>
      <c r="N47" s="938">
        <v>12930</v>
      </c>
      <c r="O47" s="938">
        <v>11360</v>
      </c>
      <c r="P47" s="938">
        <v>64191</v>
      </c>
      <c r="Q47" s="708">
        <f>SUM(B47:P47)</f>
        <v>579425</v>
      </c>
      <c r="R47" s="938">
        <v>27672</v>
      </c>
      <c r="S47" s="802">
        <f>Q47+R47</f>
        <v>607097</v>
      </c>
      <c r="T47" s="938">
        <v>49143</v>
      </c>
      <c r="U47" s="802">
        <f>S47+T47</f>
        <v>656240</v>
      </c>
      <c r="V47" s="966" t="s">
        <v>81</v>
      </c>
    </row>
    <row r="48" spans="1:22" s="28" customFormat="1" ht="8.1" customHeight="1" x14ac:dyDescent="0.15">
      <c r="A48" s="928"/>
      <c r="B48" s="935">
        <f t="shared" ref="B48:S48" si="3">(B47/$S47)*100</f>
        <v>13.98524453258705</v>
      </c>
      <c r="C48" s="935">
        <f t="shared" si="3"/>
        <v>3.5590688143739801</v>
      </c>
      <c r="D48" s="935">
        <f t="shared" si="3"/>
        <v>1.5748718903239516</v>
      </c>
      <c r="E48" s="935">
        <f t="shared" si="3"/>
        <v>16.417640014692875</v>
      </c>
      <c r="F48" s="935">
        <f t="shared" si="3"/>
        <v>1.2208922132706963</v>
      </c>
      <c r="G48" s="935">
        <f t="shared" si="3"/>
        <v>6.3505502415594215</v>
      </c>
      <c r="H48" s="935">
        <f t="shared" si="3"/>
        <v>13.378257510743751</v>
      </c>
      <c r="I48" s="935">
        <f t="shared" si="3"/>
        <v>0.71471280536718185</v>
      </c>
      <c r="J48" s="935">
        <f t="shared" si="3"/>
        <v>10.54296100952566</v>
      </c>
      <c r="K48" s="935">
        <f t="shared" si="3"/>
        <v>2.7526079028557215</v>
      </c>
      <c r="L48" s="935">
        <f t="shared" si="3"/>
        <v>7.2604542601923576</v>
      </c>
      <c r="M48" s="935">
        <f t="shared" si="3"/>
        <v>3.1102113830244589</v>
      </c>
      <c r="N48" s="935">
        <f t="shared" si="3"/>
        <v>2.1298079219630472</v>
      </c>
      <c r="O48" s="935">
        <f t="shared" si="3"/>
        <v>1.8712001541763508</v>
      </c>
      <c r="P48" s="935">
        <f t="shared" si="3"/>
        <v>10.573433899360399</v>
      </c>
      <c r="Q48" s="935">
        <f t="shared" si="3"/>
        <v>95.441914554016904</v>
      </c>
      <c r="R48" s="935">
        <f t="shared" si="3"/>
        <v>4.5580854459830968</v>
      </c>
      <c r="S48" s="935">
        <f t="shared" si="3"/>
        <v>100</v>
      </c>
      <c r="T48" s="960"/>
      <c r="U48" s="960"/>
      <c r="V48" s="937"/>
    </row>
    <row r="49" spans="1:27" s="208" customFormat="1" ht="8.1" customHeight="1" x14ac:dyDescent="0.15">
      <c r="A49" s="162" t="s">
        <v>189</v>
      </c>
      <c r="B49" s="938">
        <v>88206</v>
      </c>
      <c r="C49" s="938">
        <v>23051</v>
      </c>
      <c r="D49" s="938">
        <v>9907</v>
      </c>
      <c r="E49" s="938">
        <v>109651</v>
      </c>
      <c r="F49" s="938">
        <v>8402</v>
      </c>
      <c r="G49" s="938">
        <v>41235</v>
      </c>
      <c r="H49" s="938">
        <v>86650</v>
      </c>
      <c r="I49" s="938">
        <v>4608</v>
      </c>
      <c r="J49" s="938">
        <v>69409</v>
      </c>
      <c r="K49" s="938">
        <v>18456</v>
      </c>
      <c r="L49" s="938">
        <v>45790</v>
      </c>
      <c r="M49" s="938">
        <v>20552</v>
      </c>
      <c r="N49" s="938">
        <v>13659</v>
      </c>
      <c r="O49" s="938">
        <v>12080</v>
      </c>
      <c r="P49" s="938">
        <v>66265</v>
      </c>
      <c r="Q49" s="708">
        <f>SUM(B49:P49)</f>
        <v>617921</v>
      </c>
      <c r="R49" s="938">
        <v>28421</v>
      </c>
      <c r="S49" s="802">
        <f>Q49+R49</f>
        <v>646342</v>
      </c>
      <c r="T49" s="938">
        <v>51126</v>
      </c>
      <c r="U49" s="802">
        <f>S49+T49</f>
        <v>697468</v>
      </c>
      <c r="V49" s="259" t="s">
        <v>189</v>
      </c>
    </row>
    <row r="50" spans="1:27" s="28" customFormat="1" ht="8.1" customHeight="1" x14ac:dyDescent="0.15">
      <c r="A50" s="928"/>
      <c r="B50" s="935">
        <f t="shared" ref="B50:S50" si="4">(B49/$S49)*100</f>
        <v>13.646954708188543</v>
      </c>
      <c r="C50" s="935">
        <f t="shared" si="4"/>
        <v>3.5663781713086879</v>
      </c>
      <c r="D50" s="935">
        <f t="shared" si="4"/>
        <v>1.5327798595789845</v>
      </c>
      <c r="E50" s="935">
        <f t="shared" si="4"/>
        <v>16.964857614080472</v>
      </c>
      <c r="F50" s="935">
        <f t="shared" si="4"/>
        <v>1.2999309962837011</v>
      </c>
      <c r="G50" s="935">
        <f t="shared" si="4"/>
        <v>6.3797494205853873</v>
      </c>
      <c r="H50" s="935">
        <f t="shared" si="4"/>
        <v>13.406215285406178</v>
      </c>
      <c r="I50" s="935">
        <f t="shared" si="4"/>
        <v>0.71293525718582429</v>
      </c>
      <c r="J50" s="935">
        <f t="shared" si="4"/>
        <v>10.738742028214165</v>
      </c>
      <c r="K50" s="935">
        <f t="shared" si="4"/>
        <v>2.8554542332078063</v>
      </c>
      <c r="L50" s="935">
        <f t="shared" si="4"/>
        <v>7.0844846845787526</v>
      </c>
      <c r="M50" s="935">
        <f t="shared" si="4"/>
        <v>3.1797407564416362</v>
      </c>
      <c r="N50" s="935">
        <f t="shared" si="4"/>
        <v>2.11327749086397</v>
      </c>
      <c r="O50" s="935">
        <f t="shared" si="4"/>
        <v>1.8689795804697822</v>
      </c>
      <c r="P50" s="935">
        <f t="shared" si="4"/>
        <v>10.25231224336342</v>
      </c>
      <c r="Q50" s="935">
        <f t="shared" si="4"/>
        <v>95.602792329757307</v>
      </c>
      <c r="R50" s="935">
        <f t="shared" si="4"/>
        <v>4.3972076702426888</v>
      </c>
      <c r="S50" s="935">
        <f t="shared" si="4"/>
        <v>100</v>
      </c>
      <c r="T50" s="960"/>
      <c r="U50" s="960"/>
      <c r="V50" s="937"/>
    </row>
    <row r="51" spans="1:27" s="208" customFormat="1" ht="8.1" customHeight="1" x14ac:dyDescent="0.15">
      <c r="A51" s="162" t="s">
        <v>696</v>
      </c>
      <c r="B51" s="938">
        <v>90332</v>
      </c>
      <c r="C51" s="938">
        <v>24279</v>
      </c>
      <c r="D51" s="938">
        <v>10593</v>
      </c>
      <c r="E51" s="938">
        <v>120567</v>
      </c>
      <c r="F51" s="938">
        <v>9291</v>
      </c>
      <c r="G51" s="938">
        <v>44709</v>
      </c>
      <c r="H51" s="938">
        <v>92457</v>
      </c>
      <c r="I51" s="938">
        <v>4902</v>
      </c>
      <c r="J51" s="938">
        <v>75761</v>
      </c>
      <c r="K51" s="938">
        <v>21180</v>
      </c>
      <c r="L51" s="938">
        <v>47587</v>
      </c>
      <c r="M51" s="938">
        <v>22099</v>
      </c>
      <c r="N51" s="938">
        <v>14718</v>
      </c>
      <c r="O51" s="938">
        <v>12540</v>
      </c>
      <c r="P51" s="938">
        <v>68416</v>
      </c>
      <c r="Q51" s="708">
        <f>SUM(B51:P51)</f>
        <v>659431</v>
      </c>
      <c r="R51" s="938">
        <v>29062</v>
      </c>
      <c r="S51" s="802">
        <f>Q51+R51</f>
        <v>688493</v>
      </c>
      <c r="T51" s="938">
        <v>58267</v>
      </c>
      <c r="U51" s="802">
        <f>S51+T51</f>
        <v>746760</v>
      </c>
      <c r="V51" s="259" t="s">
        <v>696</v>
      </c>
    </row>
    <row r="52" spans="1:27" s="28" customFormat="1" ht="8.1" customHeight="1" x14ac:dyDescent="0.15">
      <c r="A52" s="928"/>
      <c r="B52" s="935">
        <f t="shared" ref="B52:S52" si="5">(B51/$S51)*100</f>
        <v>13.120249588594218</v>
      </c>
      <c r="C52" s="935">
        <f t="shared" si="5"/>
        <v>3.5263975087618902</v>
      </c>
      <c r="D52" s="935">
        <f t="shared" si="5"/>
        <v>1.5385777342689033</v>
      </c>
      <c r="E52" s="935">
        <f t="shared" si="5"/>
        <v>17.511724883186901</v>
      </c>
      <c r="F52" s="935">
        <f t="shared" si="5"/>
        <v>1.3494690577827226</v>
      </c>
      <c r="G52" s="935">
        <f t="shared" si="5"/>
        <v>6.4937479393399791</v>
      </c>
      <c r="H52" s="935">
        <f t="shared" si="5"/>
        <v>13.428894701906918</v>
      </c>
      <c r="I52" s="935">
        <f t="shared" si="5"/>
        <v>0.71198980962769409</v>
      </c>
      <c r="J52" s="935">
        <f t="shared" si="5"/>
        <v>11.003888202203944</v>
      </c>
      <c r="K52" s="935">
        <f t="shared" si="5"/>
        <v>3.0762839999825706</v>
      </c>
      <c r="L52" s="935">
        <f t="shared" si="5"/>
        <v>6.9117623563347772</v>
      </c>
      <c r="M52" s="935">
        <f t="shared" si="5"/>
        <v>3.2097639336928627</v>
      </c>
      <c r="N52" s="935">
        <f t="shared" si="5"/>
        <v>2.1377123659935542</v>
      </c>
      <c r="O52" s="935">
        <f t="shared" si="5"/>
        <v>1.8213692804429384</v>
      </c>
      <c r="P52" s="935">
        <f t="shared" si="5"/>
        <v>9.9370654458360512</v>
      </c>
      <c r="Q52" s="935">
        <f t="shared" si="5"/>
        <v>95.778896807955931</v>
      </c>
      <c r="R52" s="935">
        <f t="shared" si="5"/>
        <v>4.2211031920440734</v>
      </c>
      <c r="S52" s="935">
        <f t="shared" si="5"/>
        <v>100</v>
      </c>
      <c r="T52" s="960"/>
      <c r="U52" s="960"/>
      <c r="V52" s="937"/>
    </row>
    <row r="53" spans="1:27" s="208" customFormat="1" ht="8.1" customHeight="1" x14ac:dyDescent="0.15">
      <c r="A53" s="162" t="s">
        <v>804</v>
      </c>
      <c r="B53" s="938">
        <v>91656</v>
      </c>
      <c r="C53" s="938">
        <v>25779</v>
      </c>
      <c r="D53" s="938">
        <v>11584</v>
      </c>
      <c r="E53" s="938">
        <v>132994</v>
      </c>
      <c r="F53" s="938">
        <v>10126</v>
      </c>
      <c r="G53" s="938">
        <v>48305</v>
      </c>
      <c r="H53" s="938">
        <v>98173</v>
      </c>
      <c r="I53" s="938">
        <v>5220</v>
      </c>
      <c r="J53" s="938">
        <v>80514</v>
      </c>
      <c r="K53" s="938">
        <v>23110</v>
      </c>
      <c r="L53" s="938">
        <v>49509</v>
      </c>
      <c r="M53" s="938">
        <v>23542</v>
      </c>
      <c r="N53" s="938">
        <v>15645</v>
      </c>
      <c r="O53" s="938">
        <v>13137</v>
      </c>
      <c r="P53" s="938">
        <v>70642</v>
      </c>
      <c r="Q53" s="708">
        <f>SUM(B53:P53)</f>
        <v>699936</v>
      </c>
      <c r="R53" s="938">
        <v>29960</v>
      </c>
      <c r="S53" s="802">
        <f>Q53+R53</f>
        <v>729896</v>
      </c>
      <c r="T53" s="938">
        <v>58705</v>
      </c>
      <c r="U53" s="802">
        <f>S53+T53</f>
        <v>788601</v>
      </c>
      <c r="V53" s="259" t="s">
        <v>804</v>
      </c>
    </row>
    <row r="54" spans="1:27" s="28" customFormat="1" ht="8.1" customHeight="1" x14ac:dyDescent="0.15">
      <c r="A54" s="928"/>
      <c r="B54" s="935">
        <f t="shared" ref="B54:S54" si="6">(B53/$S53)*100</f>
        <v>12.55740543858303</v>
      </c>
      <c r="C54" s="935">
        <f t="shared" si="6"/>
        <v>3.531873033966483</v>
      </c>
      <c r="D54" s="935">
        <f t="shared" si="6"/>
        <v>1.5870754189637977</v>
      </c>
      <c r="E54" s="935">
        <f t="shared" si="6"/>
        <v>18.220952026042067</v>
      </c>
      <c r="F54" s="935">
        <f t="shared" si="6"/>
        <v>1.3873209333932506</v>
      </c>
      <c r="G54" s="935">
        <f t="shared" si="6"/>
        <v>6.6180661354494337</v>
      </c>
      <c r="H54" s="935">
        <f t="shared" si="6"/>
        <v>13.450272367570173</v>
      </c>
      <c r="I54" s="935">
        <f t="shared" si="6"/>
        <v>0.71517038043776104</v>
      </c>
      <c r="J54" s="935">
        <f t="shared" si="6"/>
        <v>11.03088659206243</v>
      </c>
      <c r="K54" s="935">
        <f t="shared" si="6"/>
        <v>3.1662045003671757</v>
      </c>
      <c r="L54" s="935">
        <f t="shared" si="6"/>
        <v>6.7830211427381437</v>
      </c>
      <c r="M54" s="935">
        <f t="shared" si="6"/>
        <v>3.2253910146103006</v>
      </c>
      <c r="N54" s="935">
        <f t="shared" si="6"/>
        <v>2.1434560540131744</v>
      </c>
      <c r="O54" s="935">
        <f t="shared" si="6"/>
        <v>1.7998454574350318</v>
      </c>
      <c r="P54" s="935">
        <f t="shared" si="6"/>
        <v>9.6783651369510171</v>
      </c>
      <c r="Q54" s="935">
        <f t="shared" si="6"/>
        <v>95.895305632583273</v>
      </c>
      <c r="R54" s="935">
        <f t="shared" si="6"/>
        <v>4.1046943674167284</v>
      </c>
      <c r="S54" s="935">
        <f t="shared" si="6"/>
        <v>100</v>
      </c>
      <c r="T54" s="960"/>
      <c r="U54" s="960"/>
      <c r="V54" s="937"/>
    </row>
    <row r="55" spans="1:27" s="208" customFormat="1" ht="8.1" customHeight="1" x14ac:dyDescent="0.15">
      <c r="A55" s="242" t="s">
        <v>978</v>
      </c>
      <c r="B55" s="938">
        <v>95151</v>
      </c>
      <c r="C55" s="938">
        <v>27419</v>
      </c>
      <c r="D55" s="938">
        <v>12127</v>
      </c>
      <c r="E55" s="938">
        <v>144653</v>
      </c>
      <c r="F55" s="938">
        <v>10585</v>
      </c>
      <c r="G55" s="938">
        <v>52209</v>
      </c>
      <c r="H55" s="938">
        <v>104776</v>
      </c>
      <c r="I55" s="938">
        <v>5570</v>
      </c>
      <c r="J55" s="938">
        <v>85382</v>
      </c>
      <c r="K55" s="938">
        <v>24790</v>
      </c>
      <c r="L55" s="938">
        <v>51615</v>
      </c>
      <c r="M55" s="938">
        <v>25165</v>
      </c>
      <c r="N55" s="938">
        <v>16781</v>
      </c>
      <c r="O55" s="938">
        <v>13802</v>
      </c>
      <c r="P55" s="938">
        <v>72955</v>
      </c>
      <c r="Q55" s="708">
        <f>SUM(B55:P55)</f>
        <v>742980</v>
      </c>
      <c r="R55" s="938">
        <v>31156</v>
      </c>
      <c r="S55" s="802">
        <f>Q55+R55</f>
        <v>774136</v>
      </c>
      <c r="T55" s="938">
        <v>51592</v>
      </c>
      <c r="U55" s="802">
        <f>S55+T55</f>
        <v>825728</v>
      </c>
      <c r="V55" s="259" t="s">
        <v>978</v>
      </c>
    </row>
    <row r="56" spans="1:27" s="28" customFormat="1" ht="8.1" customHeight="1" x14ac:dyDescent="0.15">
      <c r="A56" s="928"/>
      <c r="B56" s="935">
        <f t="shared" ref="B56:S56" si="7">(B55/$S55)*100</f>
        <v>12.291251149668792</v>
      </c>
      <c r="C56" s="935">
        <f t="shared" si="7"/>
        <v>3.5418841133857617</v>
      </c>
      <c r="D56" s="935">
        <f t="shared" si="7"/>
        <v>1.5665206113654448</v>
      </c>
      <c r="E56" s="935">
        <f t="shared" si="7"/>
        <v>18.685734806287268</v>
      </c>
      <c r="F56" s="935">
        <f t="shared" si="7"/>
        <v>1.3673308049231658</v>
      </c>
      <c r="G56" s="935">
        <f t="shared" si="7"/>
        <v>6.7441638161770028</v>
      </c>
      <c r="H56" s="935">
        <f t="shared" si="7"/>
        <v>13.53457273657342</v>
      </c>
      <c r="I56" s="935">
        <f t="shared" si="7"/>
        <v>0.71951181704506706</v>
      </c>
      <c r="J56" s="935">
        <f t="shared" si="7"/>
        <v>11.029328180061384</v>
      </c>
      <c r="K56" s="935">
        <f t="shared" si="7"/>
        <v>3.2022797027912406</v>
      </c>
      <c r="L56" s="935">
        <f t="shared" si="7"/>
        <v>6.6674331125280322</v>
      </c>
      <c r="M56" s="935">
        <f t="shared" si="7"/>
        <v>3.2507208035797328</v>
      </c>
      <c r="N56" s="935">
        <f t="shared" si="7"/>
        <v>2.1677069662178221</v>
      </c>
      <c r="O56" s="935">
        <f t="shared" si="7"/>
        <v>1.7828908615540422</v>
      </c>
      <c r="P56" s="935">
        <f t="shared" si="7"/>
        <v>9.4240546880651461</v>
      </c>
      <c r="Q56" s="935">
        <f t="shared" si="7"/>
        <v>95.975384170223322</v>
      </c>
      <c r="R56" s="935">
        <f t="shared" si="7"/>
        <v>4.0246158297766801</v>
      </c>
      <c r="S56" s="935">
        <f t="shared" si="7"/>
        <v>100</v>
      </c>
      <c r="T56" s="960"/>
      <c r="U56" s="960"/>
      <c r="V56" s="937"/>
    </row>
    <row r="57" spans="1:27" s="208" customFormat="1" ht="8.1" customHeight="1" x14ac:dyDescent="0.15">
      <c r="A57" s="940" t="s">
        <v>1029</v>
      </c>
      <c r="B57" s="938">
        <v>97480</v>
      </c>
      <c r="C57" s="938">
        <v>29170</v>
      </c>
      <c r="D57" s="938">
        <v>13290</v>
      </c>
      <c r="E57" s="938">
        <v>159568</v>
      </c>
      <c r="F57" s="938">
        <v>11243</v>
      </c>
      <c r="G57" s="938">
        <v>56698</v>
      </c>
      <c r="H57" s="938">
        <v>111426</v>
      </c>
      <c r="I57" s="938">
        <v>5950</v>
      </c>
      <c r="J57" s="938">
        <v>90475</v>
      </c>
      <c r="K57" s="938">
        <v>26719</v>
      </c>
      <c r="L57" s="938">
        <v>53888</v>
      </c>
      <c r="M57" s="938">
        <v>27637</v>
      </c>
      <c r="N57" s="938">
        <v>18125</v>
      </c>
      <c r="O57" s="938">
        <v>14517</v>
      </c>
      <c r="P57" s="938">
        <v>75352</v>
      </c>
      <c r="Q57" s="708">
        <f>SUM(B57:P57)</f>
        <v>791538</v>
      </c>
      <c r="R57" s="938">
        <v>33324</v>
      </c>
      <c r="S57" s="802">
        <f>Q57+R57</f>
        <v>824862</v>
      </c>
      <c r="T57" s="938">
        <v>53548</v>
      </c>
      <c r="U57" s="802">
        <f>S57+T57</f>
        <v>878410</v>
      </c>
      <c r="V57" s="967" t="s">
        <v>1029</v>
      </c>
    </row>
    <row r="58" spans="1:27" s="28" customFormat="1" ht="8.1" customHeight="1" x14ac:dyDescent="0.15">
      <c r="A58" s="928"/>
      <c r="B58" s="935">
        <f t="shared" ref="B58:S60" si="8">(B57/$S57)*100</f>
        <v>11.817734360414226</v>
      </c>
      <c r="C58" s="935">
        <f t="shared" si="8"/>
        <v>3.5363491105178806</v>
      </c>
      <c r="D58" s="935">
        <f t="shared" si="8"/>
        <v>1.6111785971471591</v>
      </c>
      <c r="E58" s="935">
        <f t="shared" si="8"/>
        <v>19.344811616973505</v>
      </c>
      <c r="F58" s="935">
        <f t="shared" si="8"/>
        <v>1.3630158741704674</v>
      </c>
      <c r="G58" s="935">
        <f t="shared" si="8"/>
        <v>6.8736346200940286</v>
      </c>
      <c r="H58" s="935">
        <f t="shared" si="8"/>
        <v>13.50844141201801</v>
      </c>
      <c r="I58" s="935">
        <f t="shared" si="8"/>
        <v>0.72133278051358896</v>
      </c>
      <c r="J58" s="935">
        <f t="shared" si="8"/>
        <v>10.968501397809574</v>
      </c>
      <c r="K58" s="935">
        <f t="shared" si="8"/>
        <v>3.2392084979063167</v>
      </c>
      <c r="L58" s="935">
        <f t="shared" si="8"/>
        <v>6.5329715758514766</v>
      </c>
      <c r="M58" s="935">
        <f t="shared" si="8"/>
        <v>3.350499841185556</v>
      </c>
      <c r="N58" s="935">
        <f t="shared" si="8"/>
        <v>2.197337251564504</v>
      </c>
      <c r="O58" s="935">
        <f t="shared" si="8"/>
        <v>1.7599307520530707</v>
      </c>
      <c r="P58" s="935">
        <f t="shared" si="8"/>
        <v>9.1351038113041927</v>
      </c>
      <c r="Q58" s="935">
        <f t="shared" si="8"/>
        <v>95.960051499523559</v>
      </c>
      <c r="R58" s="935">
        <f t="shared" si="8"/>
        <v>4.0399485004764433</v>
      </c>
      <c r="S58" s="935">
        <f t="shared" si="8"/>
        <v>100</v>
      </c>
      <c r="T58" s="960"/>
      <c r="U58" s="960"/>
      <c r="V58" s="937"/>
    </row>
    <row r="59" spans="1:27" s="208" customFormat="1" ht="8.1" customHeight="1" x14ac:dyDescent="0.15">
      <c r="A59" s="940" t="s">
        <v>1150</v>
      </c>
      <c r="B59" s="938">
        <v>99228</v>
      </c>
      <c r="C59" s="938">
        <v>30950</v>
      </c>
      <c r="D59" s="938">
        <v>14997</v>
      </c>
      <c r="E59" s="938">
        <v>178223</v>
      </c>
      <c r="F59" s="938">
        <v>12742</v>
      </c>
      <c r="G59" s="938">
        <v>61552</v>
      </c>
      <c r="H59" s="938">
        <v>118665</v>
      </c>
      <c r="I59" s="938">
        <v>6366</v>
      </c>
      <c r="J59" s="938">
        <v>95972</v>
      </c>
      <c r="K59" s="938">
        <v>28787</v>
      </c>
      <c r="L59" s="938">
        <v>56297</v>
      </c>
      <c r="M59" s="938">
        <v>30796</v>
      </c>
      <c r="N59" s="938">
        <v>20248</v>
      </c>
      <c r="O59" s="938">
        <v>15612</v>
      </c>
      <c r="P59" s="938">
        <v>77838</v>
      </c>
      <c r="Q59" s="708">
        <f>SUM(B59:P59)</f>
        <v>848273</v>
      </c>
      <c r="R59" s="938">
        <v>35266</v>
      </c>
      <c r="S59" s="802">
        <f>Q59+R59</f>
        <v>883539</v>
      </c>
      <c r="T59" s="938">
        <v>50891</v>
      </c>
      <c r="U59" s="802">
        <f>S59+T59</f>
        <v>934430</v>
      </c>
      <c r="V59" s="967" t="s">
        <v>1150</v>
      </c>
    </row>
    <row r="60" spans="1:27" s="28" customFormat="1" ht="8.1" customHeight="1" x14ac:dyDescent="0.15">
      <c r="A60" s="928"/>
      <c r="B60" s="935">
        <f t="shared" si="8"/>
        <v>11.230743634406631</v>
      </c>
      <c r="C60" s="935">
        <f t="shared" si="8"/>
        <v>3.5029579905357884</v>
      </c>
      <c r="D60" s="935">
        <f t="shared" si="8"/>
        <v>1.6973783839762593</v>
      </c>
      <c r="E60" s="935">
        <f t="shared" si="8"/>
        <v>20.171492146922773</v>
      </c>
      <c r="F60" s="935">
        <f t="shared" si="8"/>
        <v>1.4421547888661395</v>
      </c>
      <c r="G60" s="935">
        <f t="shared" si="8"/>
        <v>6.9665289251521436</v>
      </c>
      <c r="H60" s="935">
        <f t="shared" si="8"/>
        <v>13.430646524941173</v>
      </c>
      <c r="I60" s="935">
        <f t="shared" si="8"/>
        <v>0.7205114884572158</v>
      </c>
      <c r="J60" s="935">
        <f t="shared" si="8"/>
        <v>10.862225662930555</v>
      </c>
      <c r="K60" s="935">
        <f t="shared" si="8"/>
        <v>3.2581470653813809</v>
      </c>
      <c r="L60" s="935">
        <f t="shared" si="8"/>
        <v>6.3717617445296693</v>
      </c>
      <c r="M60" s="935">
        <f t="shared" si="8"/>
        <v>3.4855280864794875</v>
      </c>
      <c r="N60" s="935">
        <f t="shared" si="8"/>
        <v>2.2916928398180501</v>
      </c>
      <c r="O60" s="935">
        <f t="shared" si="8"/>
        <v>1.7669848190062918</v>
      </c>
      <c r="P60" s="935">
        <f t="shared" si="8"/>
        <v>8.8097978697035444</v>
      </c>
      <c r="Q60" s="935">
        <f t="shared" si="8"/>
        <v>96.00855197110711</v>
      </c>
      <c r="R60" s="935">
        <f t="shared" si="8"/>
        <v>3.9914480288928953</v>
      </c>
      <c r="S60" s="935">
        <f t="shared" si="8"/>
        <v>100</v>
      </c>
      <c r="T60" s="960"/>
      <c r="U60" s="960"/>
      <c r="V60" s="937"/>
    </row>
    <row r="61" spans="1:27" s="208" customFormat="1" ht="8.1" customHeight="1" x14ac:dyDescent="0.15">
      <c r="A61" s="162" t="s">
        <v>1174</v>
      </c>
      <c r="B61" s="938">
        <v>101173</v>
      </c>
      <c r="C61" s="938">
        <v>32879</v>
      </c>
      <c r="D61" s="938">
        <v>16330</v>
      </c>
      <c r="E61" s="938">
        <v>197765</v>
      </c>
      <c r="F61" s="938">
        <v>13820</v>
      </c>
      <c r="G61" s="938">
        <v>66951</v>
      </c>
      <c r="H61" s="938">
        <v>127417</v>
      </c>
      <c r="I61" s="938">
        <v>6820</v>
      </c>
      <c r="J61" s="938">
        <v>102463</v>
      </c>
      <c r="K61" s="938">
        <v>31413</v>
      </c>
      <c r="L61" s="938">
        <v>58997</v>
      </c>
      <c r="M61" s="938">
        <v>33615</v>
      </c>
      <c r="N61" s="938">
        <v>22547</v>
      </c>
      <c r="O61" s="938">
        <v>16804</v>
      </c>
      <c r="P61" s="938">
        <v>80653</v>
      </c>
      <c r="Q61" s="708">
        <f>SUM(B61:P61)</f>
        <v>909647</v>
      </c>
      <c r="R61" s="938">
        <v>38252</v>
      </c>
      <c r="S61" s="802">
        <f>Q61+R61</f>
        <v>947899</v>
      </c>
      <c r="T61" s="802">
        <v>40731</v>
      </c>
      <c r="U61" s="802">
        <f>S61+T61</f>
        <v>988630</v>
      </c>
      <c r="V61" s="259" t="s">
        <v>1174</v>
      </c>
    </row>
    <row r="62" spans="1:27" s="28" customFormat="1" ht="8.1" customHeight="1" x14ac:dyDescent="0.15">
      <c r="A62" s="928"/>
      <c r="B62" s="935">
        <f t="shared" ref="B62:S68" si="9">(B61/$S61)*100</f>
        <v>10.673394528319999</v>
      </c>
      <c r="C62" s="935">
        <f t="shared" si="9"/>
        <v>3.4686184920545329</v>
      </c>
      <c r="D62" s="935">
        <f t="shared" si="9"/>
        <v>1.7227573823793463</v>
      </c>
      <c r="E62" s="935">
        <f t="shared" si="9"/>
        <v>20.863509719917417</v>
      </c>
      <c r="F62" s="935">
        <f t="shared" si="9"/>
        <v>1.4579612384863789</v>
      </c>
      <c r="G62" s="935">
        <f t="shared" si="9"/>
        <v>7.0630942748119789</v>
      </c>
      <c r="H62" s="935">
        <f t="shared" si="9"/>
        <v>13.442043930840732</v>
      </c>
      <c r="I62" s="935">
        <f t="shared" si="9"/>
        <v>0.71948593679284401</v>
      </c>
      <c r="J62" s="935">
        <f t="shared" si="9"/>
        <v>10.809484976774952</v>
      </c>
      <c r="K62" s="935">
        <f t="shared" si="9"/>
        <v>3.313960664585573</v>
      </c>
      <c r="L62" s="935">
        <f t="shared" si="9"/>
        <v>6.2239753391447818</v>
      </c>
      <c r="M62" s="935">
        <f t="shared" si="9"/>
        <v>3.5462638952040249</v>
      </c>
      <c r="N62" s="935">
        <f t="shared" si="9"/>
        <v>2.3786289467548758</v>
      </c>
      <c r="O62" s="935">
        <f t="shared" si="9"/>
        <v>1.7727627099511656</v>
      </c>
      <c r="P62" s="935">
        <f t="shared" si="9"/>
        <v>8.508606929641239</v>
      </c>
      <c r="Q62" s="935">
        <f t="shared" si="9"/>
        <v>95.964548965659844</v>
      </c>
      <c r="R62" s="935">
        <f t="shared" si="9"/>
        <v>4.0354510343401566</v>
      </c>
      <c r="S62" s="935">
        <f t="shared" si="9"/>
        <v>100</v>
      </c>
      <c r="T62" s="960"/>
      <c r="U62" s="960"/>
      <c r="V62" s="937"/>
      <c r="W62" s="60"/>
      <c r="X62" s="60"/>
      <c r="Y62" s="60"/>
      <c r="Z62" s="60"/>
      <c r="AA62" s="60"/>
    </row>
    <row r="63" spans="1:27" s="208" customFormat="1" ht="8.1" customHeight="1" x14ac:dyDescent="0.15">
      <c r="A63" s="162" t="s">
        <v>1296</v>
      </c>
      <c r="B63" s="938">
        <v>104688</v>
      </c>
      <c r="C63" s="938">
        <v>34974</v>
      </c>
      <c r="D63" s="938">
        <v>17474</v>
      </c>
      <c r="E63" s="938">
        <v>224270</v>
      </c>
      <c r="F63" s="938">
        <v>15089</v>
      </c>
      <c r="G63" s="938">
        <v>73595</v>
      </c>
      <c r="H63" s="938">
        <v>136914</v>
      </c>
      <c r="I63" s="938">
        <v>7316</v>
      </c>
      <c r="J63" s="938">
        <v>109208</v>
      </c>
      <c r="K63" s="938">
        <v>33893</v>
      </c>
      <c r="L63" s="938">
        <v>61936</v>
      </c>
      <c r="M63" s="938">
        <v>36463</v>
      </c>
      <c r="N63" s="938">
        <v>24127</v>
      </c>
      <c r="O63" s="938">
        <v>17984</v>
      </c>
      <c r="P63" s="938">
        <v>83598</v>
      </c>
      <c r="Q63" s="708">
        <f>SUM(B63:P63)</f>
        <v>981529</v>
      </c>
      <c r="R63" s="938">
        <v>40909</v>
      </c>
      <c r="S63" s="802">
        <f>Q63+R63</f>
        <v>1022438</v>
      </c>
      <c r="T63" s="802">
        <v>46626</v>
      </c>
      <c r="U63" s="802">
        <f>S63+T63</f>
        <v>1069064</v>
      </c>
      <c r="V63" s="259" t="s">
        <v>1296</v>
      </c>
      <c r="W63" s="162"/>
      <c r="X63" s="941"/>
      <c r="Y63" s="162"/>
      <c r="Z63" s="162"/>
      <c r="AA63" s="162"/>
    </row>
    <row r="64" spans="1:27" ht="8.1" customHeight="1" x14ac:dyDescent="0.2">
      <c r="A64" s="928"/>
      <c r="B64" s="935">
        <f t="shared" si="9"/>
        <v>10.239056060122961</v>
      </c>
      <c r="C64" s="935">
        <f t="shared" si="9"/>
        <v>3.4206475111449302</v>
      </c>
      <c r="D64" s="935">
        <f t="shared" si="9"/>
        <v>1.7090522848329188</v>
      </c>
      <c r="E64" s="935">
        <f t="shared" si="9"/>
        <v>21.934826365999697</v>
      </c>
      <c r="F64" s="935">
        <f t="shared" si="9"/>
        <v>1.4757863068469677</v>
      </c>
      <c r="G64" s="935">
        <f t="shared" si="9"/>
        <v>7.1979914674532841</v>
      </c>
      <c r="H64" s="935">
        <f t="shared" si="9"/>
        <v>13.390934218016154</v>
      </c>
      <c r="I64" s="935">
        <f t="shared" si="9"/>
        <v>0.7155446100399242</v>
      </c>
      <c r="J64" s="935">
        <f t="shared" si="9"/>
        <v>10.681136655718976</v>
      </c>
      <c r="K64" s="935">
        <f t="shared" si="9"/>
        <v>3.3149198288795998</v>
      </c>
      <c r="L64" s="935">
        <f t="shared" si="9"/>
        <v>6.05767782496347</v>
      </c>
      <c r="M64" s="935">
        <f t="shared" si="9"/>
        <v>3.5662798135437059</v>
      </c>
      <c r="N64" s="935">
        <f t="shared" si="9"/>
        <v>2.3597518871559937</v>
      </c>
      <c r="O64" s="935">
        <f t="shared" si="9"/>
        <v>1.7589330599997259</v>
      </c>
      <c r="P64" s="935">
        <f t="shared" si="9"/>
        <v>8.1763392988132289</v>
      </c>
      <c r="Q64" s="935">
        <f t="shared" si="9"/>
        <v>95.998877193531541</v>
      </c>
      <c r="R64" s="935">
        <f t="shared" si="9"/>
        <v>4.0011228064684605</v>
      </c>
      <c r="S64" s="935">
        <f t="shared" si="9"/>
        <v>100</v>
      </c>
      <c r="T64" s="960"/>
      <c r="U64" s="960"/>
      <c r="V64" s="937"/>
      <c r="W64" s="68"/>
      <c r="X64" s="551"/>
      <c r="Y64" s="68"/>
      <c r="Z64" s="68"/>
      <c r="AA64" s="68"/>
    </row>
    <row r="65" spans="1:27" s="410" customFormat="1" ht="9" customHeight="1" x14ac:dyDescent="0.2">
      <c r="A65" s="162" t="s">
        <v>1404</v>
      </c>
      <c r="B65" s="938">
        <v>107991</v>
      </c>
      <c r="C65" s="938">
        <v>37146</v>
      </c>
      <c r="D65" s="938">
        <v>18501</v>
      </c>
      <c r="E65" s="938">
        <v>256118</v>
      </c>
      <c r="F65" s="938">
        <v>16535</v>
      </c>
      <c r="G65" s="938">
        <v>81139</v>
      </c>
      <c r="H65" s="938">
        <v>148058</v>
      </c>
      <c r="I65" s="938">
        <v>7870</v>
      </c>
      <c r="J65" s="938">
        <v>117056</v>
      </c>
      <c r="K65" s="938">
        <v>36394</v>
      </c>
      <c r="L65" s="938">
        <v>65173</v>
      </c>
      <c r="M65" s="938">
        <v>38795</v>
      </c>
      <c r="N65" s="938">
        <v>25976</v>
      </c>
      <c r="O65" s="938">
        <v>20105</v>
      </c>
      <c r="P65" s="938">
        <v>86706</v>
      </c>
      <c r="Q65" s="708">
        <f>SUM(B65:P65)</f>
        <v>1063563</v>
      </c>
      <c r="R65" s="938">
        <v>42231</v>
      </c>
      <c r="S65" s="802">
        <f>Q65+R65</f>
        <v>1105794</v>
      </c>
      <c r="T65" s="938">
        <v>49412</v>
      </c>
      <c r="U65" s="802">
        <f>S65+T65</f>
        <v>1155206</v>
      </c>
      <c r="V65" s="259" t="s">
        <v>1404</v>
      </c>
      <c r="W65" s="446"/>
      <c r="X65" s="942"/>
      <c r="Y65" s="446"/>
      <c r="Z65" s="446"/>
      <c r="AA65" s="446"/>
    </row>
    <row r="66" spans="1:27" ht="8.1" customHeight="1" x14ac:dyDescent="0.2">
      <c r="A66" s="928"/>
      <c r="B66" s="935">
        <f t="shared" si="9"/>
        <v>9.765923852001368</v>
      </c>
      <c r="C66" s="935">
        <f t="shared" si="9"/>
        <v>3.3592151883623895</v>
      </c>
      <c r="D66" s="935">
        <f t="shared" si="9"/>
        <v>1.6730964356833189</v>
      </c>
      <c r="E66" s="935">
        <f t="shared" si="9"/>
        <v>23.161456835540797</v>
      </c>
      <c r="F66" s="935">
        <f t="shared" si="9"/>
        <v>1.4953056355885455</v>
      </c>
      <c r="G66" s="935">
        <f t="shared" si="9"/>
        <v>7.3376234633213784</v>
      </c>
      <c r="H66" s="935">
        <f t="shared" si="9"/>
        <v>13.389293123312299</v>
      </c>
      <c r="I66" s="935">
        <f t="shared" si="9"/>
        <v>0.71170579692058378</v>
      </c>
      <c r="J66" s="935">
        <f t="shared" si="9"/>
        <v>10.585696793435305</v>
      </c>
      <c r="K66" s="935">
        <f t="shared" si="9"/>
        <v>3.2912097551623538</v>
      </c>
      <c r="L66" s="935">
        <f t="shared" si="9"/>
        <v>5.8937740664174338</v>
      </c>
      <c r="M66" s="935">
        <f t="shared" si="9"/>
        <v>3.5083388045151267</v>
      </c>
      <c r="N66" s="935">
        <f t="shared" si="9"/>
        <v>2.349081293622501</v>
      </c>
      <c r="O66" s="935">
        <f t="shared" si="9"/>
        <v>1.8181505777748839</v>
      </c>
      <c r="P66" s="935">
        <f t="shared" si="9"/>
        <v>7.8410626210668539</v>
      </c>
      <c r="Q66" s="935">
        <f t="shared" si="9"/>
        <v>96.180934242725129</v>
      </c>
      <c r="R66" s="935">
        <f t="shared" si="9"/>
        <v>3.819065757274863</v>
      </c>
      <c r="S66" s="935">
        <f t="shared" si="9"/>
        <v>100</v>
      </c>
      <c r="T66" s="960"/>
      <c r="U66" s="960"/>
      <c r="V66" s="937"/>
      <c r="W66" s="68"/>
      <c r="X66" s="551"/>
      <c r="Y66" s="68"/>
      <c r="Z66" s="68"/>
      <c r="AA66" s="68"/>
    </row>
    <row r="67" spans="1:27" s="410" customFormat="1" ht="8.25" customHeight="1" x14ac:dyDescent="0.2">
      <c r="A67" s="1109" t="s">
        <v>1484</v>
      </c>
      <c r="B67" s="938">
        <v>112423</v>
      </c>
      <c r="C67" s="938">
        <v>39383</v>
      </c>
      <c r="D67" s="938">
        <v>18681</v>
      </c>
      <c r="E67" s="938">
        <v>260728</v>
      </c>
      <c r="F67" s="938">
        <v>16814</v>
      </c>
      <c r="G67" s="938">
        <v>88169</v>
      </c>
      <c r="H67" s="938">
        <v>154029</v>
      </c>
      <c r="I67" s="938">
        <v>8007</v>
      </c>
      <c r="J67" s="938">
        <v>121355</v>
      </c>
      <c r="K67" s="938">
        <v>37521</v>
      </c>
      <c r="L67" s="938">
        <v>68317</v>
      </c>
      <c r="M67" s="938">
        <v>40906</v>
      </c>
      <c r="N67" s="938">
        <v>27290</v>
      </c>
      <c r="O67" s="938">
        <v>22109</v>
      </c>
      <c r="P67" s="938">
        <v>89319</v>
      </c>
      <c r="Q67" s="708">
        <f>SUM(B67:P67)</f>
        <v>1105051</v>
      </c>
      <c r="R67" s="938">
        <v>39546</v>
      </c>
      <c r="S67" s="802">
        <f>Q67+R67</f>
        <v>1144597</v>
      </c>
      <c r="T67" s="938">
        <v>55948</v>
      </c>
      <c r="U67" s="802">
        <f>S67+T67</f>
        <v>1200545</v>
      </c>
      <c r="V67" s="259" t="s">
        <v>1484</v>
      </c>
      <c r="W67" s="446"/>
      <c r="X67" s="446"/>
      <c r="Y67" s="446"/>
      <c r="Z67" s="446"/>
      <c r="AA67" s="446"/>
    </row>
    <row r="68" spans="1:27" ht="6.75" customHeight="1" x14ac:dyDescent="0.2">
      <c r="A68" s="928"/>
      <c r="B68" s="935">
        <f>(B67/$S67)*100</f>
        <v>9.822059641952583</v>
      </c>
      <c r="C68" s="935">
        <f t="shared" si="9"/>
        <v>3.4407743511471724</v>
      </c>
      <c r="D68" s="935">
        <f t="shared" si="9"/>
        <v>1.6321028274580485</v>
      </c>
      <c r="E68" s="935">
        <f t="shared" si="9"/>
        <v>22.779021786707464</v>
      </c>
      <c r="F68" s="935">
        <f t="shared" si="9"/>
        <v>1.4689886484063823</v>
      </c>
      <c r="G68" s="935">
        <f t="shared" si="9"/>
        <v>7.7030605531903369</v>
      </c>
      <c r="H68" s="935">
        <f t="shared" si="9"/>
        <v>13.457050822254471</v>
      </c>
      <c r="I68" s="935">
        <f t="shared" si="9"/>
        <v>0.69954752633459638</v>
      </c>
      <c r="J68" s="935">
        <f t="shared" si="9"/>
        <v>10.602421638358305</v>
      </c>
      <c r="K68" s="935">
        <f t="shared" si="9"/>
        <v>3.2780970070688635</v>
      </c>
      <c r="L68" s="935">
        <f t="shared" si="9"/>
        <v>5.9686509749719772</v>
      </c>
      <c r="M68" s="935">
        <f t="shared" si="9"/>
        <v>3.5738342840318467</v>
      </c>
      <c r="N68" s="935">
        <f t="shared" si="9"/>
        <v>2.3842452845848801</v>
      </c>
      <c r="O68" s="935">
        <f t="shared" si="9"/>
        <v>1.9315968851919059</v>
      </c>
      <c r="P68" s="935">
        <f t="shared" si="9"/>
        <v>7.8035325970625475</v>
      </c>
      <c r="Q68" s="935">
        <f t="shared" si="9"/>
        <v>96.544984828721383</v>
      </c>
      <c r="R68" s="935">
        <f t="shared" si="9"/>
        <v>3.4550151712786246</v>
      </c>
      <c r="S68" s="935">
        <f t="shared" si="9"/>
        <v>100</v>
      </c>
      <c r="T68" s="960"/>
      <c r="U68" s="960"/>
      <c r="V68" s="937"/>
      <c r="W68" s="943"/>
      <c r="X68" s="68"/>
    </row>
    <row r="69" spans="1:27" s="410" customFormat="1" ht="10.5" customHeight="1" x14ac:dyDescent="0.2">
      <c r="A69" s="162" t="s">
        <v>1536</v>
      </c>
      <c r="B69" s="938">
        <v>115405</v>
      </c>
      <c r="C69" s="938">
        <v>41643</v>
      </c>
      <c r="D69" s="938">
        <v>18735</v>
      </c>
      <c r="E69" s="938">
        <v>275764</v>
      </c>
      <c r="F69" s="938">
        <v>17611</v>
      </c>
      <c r="G69" s="938">
        <v>95824</v>
      </c>
      <c r="H69" s="938">
        <v>164109</v>
      </c>
      <c r="I69" s="938">
        <v>8556</v>
      </c>
      <c r="J69" s="938">
        <v>128718</v>
      </c>
      <c r="K69" s="938">
        <v>39139</v>
      </c>
      <c r="L69" s="938">
        <v>71662</v>
      </c>
      <c r="M69" s="938">
        <v>43424</v>
      </c>
      <c r="N69" s="938">
        <v>28807</v>
      </c>
      <c r="O69" s="938">
        <v>24308</v>
      </c>
      <c r="P69" s="938">
        <v>92044</v>
      </c>
      <c r="Q69" s="708">
        <f>SUM(B69:P69)</f>
        <v>1165749</v>
      </c>
      <c r="R69" s="938">
        <v>41497</v>
      </c>
      <c r="S69" s="802">
        <f>Q69+R69</f>
        <v>1207246</v>
      </c>
      <c r="T69" s="938">
        <v>74873</v>
      </c>
      <c r="U69" s="802">
        <f>S69+T69</f>
        <v>1282119</v>
      </c>
      <c r="V69" s="259" t="s">
        <v>1973</v>
      </c>
      <c r="W69" s="446"/>
      <c r="X69" s="446"/>
    </row>
    <row r="70" spans="1:27" ht="8.25" customHeight="1" thickBot="1" x14ac:dyDescent="0.25">
      <c r="A70" s="752"/>
      <c r="B70" s="961">
        <f>(B69/$S69)*100</f>
        <v>9.5593607268112706</v>
      </c>
      <c r="C70" s="961">
        <f t="shared" ref="C70:S70" si="10">(C69/$S69)*100</f>
        <v>3.4494212447173158</v>
      </c>
      <c r="D70" s="961">
        <f t="shared" si="10"/>
        <v>1.5518792358806737</v>
      </c>
      <c r="E70" s="961">
        <f t="shared" si="10"/>
        <v>22.842403288145082</v>
      </c>
      <c r="F70" s="961">
        <f t="shared" si="10"/>
        <v>1.4587747650437441</v>
      </c>
      <c r="G70" s="961">
        <f t="shared" si="10"/>
        <v>7.9374046383255781</v>
      </c>
      <c r="H70" s="961">
        <f t="shared" si="10"/>
        <v>13.59366690798727</v>
      </c>
      <c r="I70" s="961">
        <f t="shared" si="10"/>
        <v>0.70872050932452879</v>
      </c>
      <c r="J70" s="961">
        <f t="shared" si="10"/>
        <v>10.6621185740106</v>
      </c>
      <c r="K70" s="961">
        <f t="shared" si="10"/>
        <v>3.2420070143119131</v>
      </c>
      <c r="L70" s="961">
        <f t="shared" si="10"/>
        <v>5.9359898479680195</v>
      </c>
      <c r="M70" s="961">
        <f t="shared" si="10"/>
        <v>3.5969471010879306</v>
      </c>
      <c r="N70" s="961">
        <f t="shared" si="10"/>
        <v>2.3861748144123069</v>
      </c>
      <c r="O70" s="961">
        <f t="shared" si="10"/>
        <v>2.0135084315872653</v>
      </c>
      <c r="P70" s="961">
        <f t="shared" si="10"/>
        <v>7.6242952968988922</v>
      </c>
      <c r="Q70" s="961">
        <f t="shared" si="10"/>
        <v>96.562672396512397</v>
      </c>
      <c r="R70" s="961">
        <f t="shared" si="10"/>
        <v>3.4373276034876077</v>
      </c>
      <c r="S70" s="961">
        <f t="shared" si="10"/>
        <v>100</v>
      </c>
      <c r="T70" s="962"/>
      <c r="U70" s="962"/>
      <c r="V70" s="753"/>
      <c r="W70" s="68"/>
      <c r="X70" s="68"/>
    </row>
    <row r="71" spans="1:27" ht="12.75" customHeight="1" x14ac:dyDescent="0.2">
      <c r="A71" s="75" t="s">
        <v>266</v>
      </c>
      <c r="B71" s="2681" t="s">
        <v>1974</v>
      </c>
      <c r="C71" s="2681"/>
      <c r="D71" s="2681"/>
      <c r="E71" s="2681"/>
      <c r="F71" s="2681"/>
      <c r="G71" s="2681"/>
      <c r="H71" s="2681"/>
      <c r="I71" s="2681"/>
      <c r="J71" s="2681"/>
      <c r="K71" s="2681"/>
      <c r="L71" s="2682" t="s">
        <v>1975</v>
      </c>
      <c r="M71" s="2683"/>
      <c r="N71" s="2683"/>
      <c r="O71" s="2683"/>
      <c r="P71" s="2684"/>
      <c r="Q71" s="2683"/>
      <c r="R71" s="2683"/>
      <c r="S71" s="2683"/>
      <c r="T71" s="2683"/>
      <c r="U71" s="2685" t="s">
        <v>1540</v>
      </c>
      <c r="V71" s="2685"/>
      <c r="W71" s="68"/>
      <c r="X71" s="68"/>
    </row>
    <row r="72" spans="1:27" x14ac:dyDescent="0.2">
      <c r="H72" s="944"/>
      <c r="W72" s="68"/>
      <c r="X72" s="68"/>
    </row>
    <row r="73" spans="1:27" x14ac:dyDescent="0.2">
      <c r="H73" s="944"/>
      <c r="W73" s="68"/>
      <c r="X73" s="68"/>
    </row>
    <row r="74" spans="1:27" x14ac:dyDescent="0.2">
      <c r="H74" s="945"/>
      <c r="W74" s="68"/>
      <c r="X74" s="68"/>
    </row>
    <row r="75" spans="1:27" x14ac:dyDescent="0.2">
      <c r="H75" s="945"/>
      <c r="W75" s="68"/>
      <c r="X75" s="68"/>
    </row>
    <row r="76" spans="1:27" x14ac:dyDescent="0.2">
      <c r="H76" s="946"/>
    </row>
    <row r="77" spans="1:27" x14ac:dyDescent="0.2">
      <c r="H77" s="946"/>
    </row>
    <row r="78" spans="1:27" x14ac:dyDescent="0.2">
      <c r="H78" s="945"/>
    </row>
    <row r="79" spans="1:27" x14ac:dyDescent="0.2">
      <c r="H79" s="945"/>
    </row>
    <row r="80" spans="1:27" x14ac:dyDescent="0.2">
      <c r="H80" s="945"/>
    </row>
    <row r="81" spans="8:8" x14ac:dyDescent="0.2">
      <c r="H81" s="945"/>
    </row>
    <row r="82" spans="8:8" x14ac:dyDescent="0.2">
      <c r="H82" s="945"/>
    </row>
    <row r="83" spans="8:8" x14ac:dyDescent="0.2">
      <c r="H83" s="945"/>
    </row>
    <row r="84" spans="8:8" x14ac:dyDescent="0.2">
      <c r="H84" s="946"/>
    </row>
  </sheetData>
  <customSheetViews>
    <customSheetView guid="{A374FC54-96E3-45F0-9C12-8450400C12DF}" scale="180">
      <pane xSplit="1" ySplit="4" topLeftCell="N68" activePane="bottomRight" state="frozen"/>
      <selection pane="bottomRight" activeCell="P73" sqref="P73"/>
      <pageMargins left="0.62992125984252001" right="0.511811023622047" top="0.31496062992126" bottom="0.31496062992126" header="0.25" footer="0"/>
      <pageSetup paperSize="132" firstPageNumber="46" orientation="portrait" useFirstPageNumber="1" r:id="rId1"/>
      <headerFooter>
        <oddFooter>&amp;C&amp;"Times New Roman,Regular"&amp;8&amp;P</oddFooter>
      </headerFooter>
    </customSheetView>
  </customSheetViews>
  <mergeCells count="11">
    <mergeCell ref="A1:K1"/>
    <mergeCell ref="U1:V1"/>
    <mergeCell ref="U2:V2"/>
    <mergeCell ref="L1:T1"/>
    <mergeCell ref="A3:A4"/>
    <mergeCell ref="V3:V4"/>
    <mergeCell ref="A5:C5"/>
    <mergeCell ref="B71:K71"/>
    <mergeCell ref="L71:O71"/>
    <mergeCell ref="P71:T71"/>
    <mergeCell ref="U71:V71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A66"/>
  <sheetViews>
    <sheetView zoomScale="130" zoomScaleNormal="130" workbookViewId="0">
      <pane ySplit="4" topLeftCell="A15" activePane="bottomLeft" state="frozen"/>
      <selection activeCell="X47" sqref="X47:X50"/>
      <selection pane="bottomLeft" activeCell="A26" sqref="A26"/>
    </sheetView>
  </sheetViews>
  <sheetFormatPr defaultColWidth="9.140625" defaultRowHeight="11.25" x14ac:dyDescent="0.2"/>
  <cols>
    <col min="1" max="1" width="6.140625" style="8" customWidth="1"/>
    <col min="2" max="2" width="6.42578125" style="8" customWidth="1"/>
    <col min="3" max="3" width="6" style="8" customWidth="1"/>
    <col min="4" max="5" width="6.28515625" style="8" customWidth="1"/>
    <col min="6" max="6" width="6.140625" style="8" customWidth="1"/>
    <col min="7" max="7" width="5.5703125" style="8" customWidth="1"/>
    <col min="8" max="8" width="6.42578125" style="8" customWidth="1"/>
    <col min="9" max="9" width="5.42578125" style="8" customWidth="1"/>
    <col min="10" max="10" width="6" style="8" customWidth="1"/>
    <col min="11" max="11" width="5.42578125" style="8" customWidth="1"/>
    <col min="12" max="12" width="6.5703125" style="8" customWidth="1"/>
    <col min="13" max="13" width="6.7109375" style="8" customWidth="1"/>
    <col min="14" max="14" width="6.42578125" style="8" customWidth="1"/>
    <col min="15" max="15" width="5.42578125" style="8" customWidth="1"/>
    <col min="16" max="16" width="5.7109375" style="8" customWidth="1"/>
    <col min="17" max="17" width="5.140625" style="8" customWidth="1"/>
    <col min="18" max="18" width="6.140625" style="8" customWidth="1"/>
    <col min="19" max="19" width="4.85546875" style="8" customWidth="1"/>
    <col min="20" max="20" width="5.85546875" style="8" customWidth="1"/>
    <col min="21" max="21" width="6.85546875" style="8" customWidth="1"/>
    <col min="22" max="22" width="5.42578125" style="8" customWidth="1"/>
    <col min="23" max="23" width="6.7109375" style="8" customWidth="1"/>
    <col min="24" max="24" width="5.5703125" style="8" customWidth="1"/>
    <col min="25" max="25" width="6" style="8" customWidth="1"/>
    <col min="26" max="26" width="6.42578125" style="8" customWidth="1"/>
    <col min="27" max="16384" width="9.140625" style="8"/>
  </cols>
  <sheetData>
    <row r="1" spans="1:27" s="21" customFormat="1" ht="15.75" customHeight="1" x14ac:dyDescent="0.25">
      <c r="A1" s="912"/>
      <c r="B1" s="912"/>
      <c r="C1" s="913" t="s">
        <v>2004</v>
      </c>
      <c r="D1" s="913"/>
      <c r="E1" s="2699" t="s">
        <v>2388</v>
      </c>
      <c r="F1" s="2699"/>
      <c r="G1" s="2699"/>
      <c r="H1" s="2699"/>
      <c r="I1" s="2699"/>
      <c r="J1" s="2699"/>
      <c r="K1" s="2699"/>
      <c r="L1" s="2699"/>
      <c r="M1" s="2699"/>
      <c r="N1" s="2698" t="s">
        <v>1943</v>
      </c>
      <c r="O1" s="2698"/>
      <c r="P1" s="2698"/>
      <c r="Q1" s="2698"/>
      <c r="R1" s="2698"/>
      <c r="S1" s="2698"/>
      <c r="T1" s="2698"/>
      <c r="U1" s="2698"/>
      <c r="V1" s="2698"/>
      <c r="W1" s="2698"/>
      <c r="X1" s="2698"/>
      <c r="Y1" s="2693" t="s">
        <v>1064</v>
      </c>
      <c r="Z1" s="2694"/>
      <c r="AA1" s="48"/>
    </row>
    <row r="2" spans="1:27" s="87" customFormat="1" ht="11.25" customHeight="1" x14ac:dyDescent="0.2">
      <c r="A2" s="1596"/>
      <c r="B2" s="1596"/>
      <c r="E2" s="1596"/>
      <c r="F2" s="1596"/>
      <c r="G2" s="1596"/>
      <c r="H2" s="1596"/>
      <c r="I2" s="1596"/>
      <c r="J2" s="2695"/>
      <c r="K2" s="2695"/>
      <c r="L2" s="2695"/>
      <c r="M2" s="88"/>
      <c r="N2" s="88"/>
      <c r="O2" s="88"/>
      <c r="Y2" s="2696" t="s">
        <v>24</v>
      </c>
      <c r="Z2" s="2696"/>
    </row>
    <row r="3" spans="1:27" s="37" customFormat="1" ht="69" customHeight="1" x14ac:dyDescent="0.2">
      <c r="A3" s="2607" t="s">
        <v>474</v>
      </c>
      <c r="B3" s="1593" t="s">
        <v>1944</v>
      </c>
      <c r="C3" s="1593" t="s">
        <v>1240</v>
      </c>
      <c r="D3" s="1593" t="s">
        <v>261</v>
      </c>
      <c r="E3" s="1593" t="s">
        <v>1945</v>
      </c>
      <c r="F3" s="1593" t="s">
        <v>1946</v>
      </c>
      <c r="G3" s="1593" t="s">
        <v>262</v>
      </c>
      <c r="H3" s="1593" t="s">
        <v>1249</v>
      </c>
      <c r="I3" s="1593" t="s">
        <v>1947</v>
      </c>
      <c r="J3" s="1593" t="s">
        <v>1948</v>
      </c>
      <c r="K3" s="1593" t="s">
        <v>1949</v>
      </c>
      <c r="L3" s="1593" t="s">
        <v>2618</v>
      </c>
      <c r="M3" s="1593" t="s">
        <v>1951</v>
      </c>
      <c r="N3" s="1593" t="s">
        <v>1952</v>
      </c>
      <c r="O3" s="1593" t="s">
        <v>1953</v>
      </c>
      <c r="P3" s="1593" t="s">
        <v>1245</v>
      </c>
      <c r="Q3" s="1593" t="s">
        <v>264</v>
      </c>
      <c r="R3" s="1593" t="s">
        <v>1954</v>
      </c>
      <c r="S3" s="1593" t="s">
        <v>1955</v>
      </c>
      <c r="T3" s="1593" t="s">
        <v>1956</v>
      </c>
      <c r="U3" s="1593" t="s">
        <v>1957</v>
      </c>
      <c r="V3" s="1593" t="s">
        <v>1958</v>
      </c>
      <c r="W3" s="1593" t="s">
        <v>1959</v>
      </c>
      <c r="X3" s="1593" t="s">
        <v>260</v>
      </c>
      <c r="Y3" s="1592" t="s">
        <v>1960</v>
      </c>
      <c r="Z3" s="2607" t="s">
        <v>474</v>
      </c>
    </row>
    <row r="4" spans="1:27" s="44" customFormat="1" ht="11.25" customHeight="1" x14ac:dyDescent="0.15">
      <c r="A4" s="2350"/>
      <c r="B4" s="556">
        <v>1</v>
      </c>
      <c r="C4" s="556">
        <v>2</v>
      </c>
      <c r="D4" s="556">
        <v>3</v>
      </c>
      <c r="E4" s="556">
        <v>4</v>
      </c>
      <c r="F4" s="556">
        <v>5</v>
      </c>
      <c r="G4" s="556">
        <v>6</v>
      </c>
      <c r="H4" s="556">
        <v>7</v>
      </c>
      <c r="I4" s="556">
        <v>8</v>
      </c>
      <c r="J4" s="556">
        <v>9</v>
      </c>
      <c r="K4" s="556">
        <v>10</v>
      </c>
      <c r="L4" s="556">
        <v>11</v>
      </c>
      <c r="M4" s="556">
        <v>12</v>
      </c>
      <c r="N4" s="556">
        <v>13</v>
      </c>
      <c r="O4" s="556">
        <v>14</v>
      </c>
      <c r="P4" s="556">
        <v>15</v>
      </c>
      <c r="Q4" s="556">
        <v>16</v>
      </c>
      <c r="R4" s="556">
        <v>17</v>
      </c>
      <c r="S4" s="556">
        <v>18</v>
      </c>
      <c r="T4" s="556">
        <v>19</v>
      </c>
      <c r="U4" s="556">
        <v>20</v>
      </c>
      <c r="V4" s="556">
        <v>21</v>
      </c>
      <c r="W4" s="556">
        <v>22</v>
      </c>
      <c r="X4" s="556">
        <v>23</v>
      </c>
      <c r="Y4" s="556">
        <v>24</v>
      </c>
      <c r="Z4" s="2609"/>
    </row>
    <row r="5" spans="1:27" s="915" customFormat="1" ht="13.5" customHeight="1" x14ac:dyDescent="0.15">
      <c r="A5" s="2697" t="s">
        <v>1961</v>
      </c>
      <c r="B5" s="2697"/>
      <c r="C5" s="2697"/>
      <c r="D5" s="914"/>
      <c r="E5" s="914"/>
      <c r="F5" s="914"/>
      <c r="G5" s="914"/>
      <c r="H5" s="914"/>
      <c r="I5" s="914"/>
      <c r="J5" s="914"/>
      <c r="K5" s="914"/>
      <c r="L5" s="914"/>
      <c r="M5" s="914"/>
      <c r="N5" s="914"/>
      <c r="O5" s="914"/>
      <c r="P5" s="914"/>
      <c r="Q5" s="914"/>
      <c r="R5" s="914"/>
      <c r="S5" s="914"/>
      <c r="T5" s="914"/>
      <c r="U5" s="914"/>
      <c r="V5" s="914"/>
      <c r="W5" s="914"/>
      <c r="X5" s="914"/>
      <c r="Y5" s="914"/>
      <c r="Z5" s="203"/>
    </row>
    <row r="6" spans="1:27" ht="12" customHeight="1" x14ac:dyDescent="0.2">
      <c r="A6" s="372" t="s">
        <v>1150</v>
      </c>
      <c r="B6" s="275">
        <v>279505</v>
      </c>
      <c r="C6" s="275">
        <v>33052</v>
      </c>
      <c r="D6" s="275">
        <v>422387</v>
      </c>
      <c r="E6" s="275">
        <v>24555</v>
      </c>
      <c r="F6" s="275">
        <v>2103</v>
      </c>
      <c r="G6" s="275">
        <v>162843</v>
      </c>
      <c r="H6" s="275">
        <v>288510</v>
      </c>
      <c r="I6" s="275">
        <v>158030</v>
      </c>
      <c r="J6" s="275">
        <v>23886</v>
      </c>
      <c r="K6" s="275">
        <v>24833</v>
      </c>
      <c r="L6" s="275">
        <v>65072</v>
      </c>
      <c r="M6" s="275">
        <v>192509</v>
      </c>
      <c r="N6" s="275">
        <v>3906</v>
      </c>
      <c r="O6" s="275">
        <v>14244</v>
      </c>
      <c r="P6" s="275">
        <v>66730</v>
      </c>
      <c r="Q6" s="275">
        <v>54479</v>
      </c>
      <c r="R6" s="275">
        <v>54600</v>
      </c>
      <c r="S6" s="275">
        <v>3007</v>
      </c>
      <c r="T6" s="275">
        <v>113176</v>
      </c>
      <c r="U6" s="275">
        <f>SUM(B6:T6)</f>
        <v>1987427</v>
      </c>
      <c r="V6" s="275">
        <v>88394</v>
      </c>
      <c r="W6" s="275">
        <f>U6+V6</f>
        <v>2075821</v>
      </c>
      <c r="X6" s="275">
        <v>97254</v>
      </c>
      <c r="Y6" s="275">
        <f>W6+X6</f>
        <v>2173075</v>
      </c>
      <c r="Z6" s="332" t="s">
        <v>1150</v>
      </c>
    </row>
    <row r="7" spans="1:27" s="154" customFormat="1" ht="12" customHeight="1" x14ac:dyDescent="0.2">
      <c r="A7" s="1589"/>
      <c r="B7" s="916">
        <f t="shared" ref="B7:W7" si="0">(B6/$W6)*100</f>
        <v>13.464792966252869</v>
      </c>
      <c r="C7" s="916">
        <f t="shared" si="0"/>
        <v>1.592237480977406</v>
      </c>
      <c r="D7" s="916">
        <f t="shared" si="0"/>
        <v>20.347949076534057</v>
      </c>
      <c r="E7" s="916">
        <f t="shared" si="0"/>
        <v>1.1829054624652124</v>
      </c>
      <c r="F7" s="916">
        <f t="shared" si="0"/>
        <v>0.10130931327893879</v>
      </c>
      <c r="G7" s="916">
        <f t="shared" si="0"/>
        <v>7.8447515464965427</v>
      </c>
      <c r="H7" s="916">
        <f t="shared" si="0"/>
        <v>13.898597229722601</v>
      </c>
      <c r="I7" s="916">
        <f t="shared" si="0"/>
        <v>7.6128914776370404</v>
      </c>
      <c r="J7" s="916">
        <f t="shared" si="0"/>
        <v>1.1506772501097158</v>
      </c>
      <c r="K7" s="916">
        <f t="shared" si="0"/>
        <v>1.1962977539970931</v>
      </c>
      <c r="L7" s="916">
        <f t="shared" si="0"/>
        <v>3.1347596926709964</v>
      </c>
      <c r="M7" s="916">
        <f t="shared" si="0"/>
        <v>9.2738728435640638</v>
      </c>
      <c r="N7" s="916">
        <f t="shared" si="0"/>
        <v>0.18816651339397761</v>
      </c>
      <c r="O7" s="916">
        <f t="shared" si="0"/>
        <v>0.68618633302197063</v>
      </c>
      <c r="P7" s="916">
        <f t="shared" si="0"/>
        <v>3.2146317047568167</v>
      </c>
      <c r="Q7" s="916">
        <f t="shared" si="0"/>
        <v>2.6244555768536881</v>
      </c>
      <c r="R7" s="916">
        <f>(R6/$W6)*100</f>
        <v>2.6302845958297945</v>
      </c>
      <c r="S7" s="916">
        <f>(S6/$W6)*100</f>
        <v>0.14485834761282404</v>
      </c>
      <c r="T7" s="916">
        <f t="shared" si="0"/>
        <v>5.4521078647918104</v>
      </c>
      <c r="U7" s="916">
        <f t="shared" si="0"/>
        <v>95.741733029967421</v>
      </c>
      <c r="V7" s="916">
        <f t="shared" si="0"/>
        <v>4.2582669700325804</v>
      </c>
      <c r="W7" s="916">
        <f t="shared" si="0"/>
        <v>100</v>
      </c>
      <c r="X7" s="236"/>
      <c r="Y7" s="236"/>
      <c r="Z7" s="354"/>
    </row>
    <row r="8" spans="1:27" ht="12" customHeight="1" x14ac:dyDescent="0.2">
      <c r="A8" s="372" t="s">
        <v>1174</v>
      </c>
      <c r="B8" s="275">
        <v>301167</v>
      </c>
      <c r="C8" s="275">
        <v>39984</v>
      </c>
      <c r="D8" s="275">
        <v>466606</v>
      </c>
      <c r="E8" s="275">
        <v>29234</v>
      </c>
      <c r="F8" s="275">
        <v>2263</v>
      </c>
      <c r="G8" s="275">
        <v>188219</v>
      </c>
      <c r="H8" s="275">
        <v>324632</v>
      </c>
      <c r="I8" s="275">
        <v>178722</v>
      </c>
      <c r="J8" s="275">
        <v>26670</v>
      </c>
      <c r="K8" s="275">
        <v>27264</v>
      </c>
      <c r="L8" s="275">
        <v>72247</v>
      </c>
      <c r="M8" s="275">
        <v>214151</v>
      </c>
      <c r="N8" s="275">
        <v>4282</v>
      </c>
      <c r="O8" s="275">
        <v>15722</v>
      </c>
      <c r="P8" s="275">
        <v>78463</v>
      </c>
      <c r="Q8" s="275">
        <v>60858</v>
      </c>
      <c r="R8" s="275">
        <v>63515</v>
      </c>
      <c r="S8" s="275">
        <v>3365</v>
      </c>
      <c r="T8" s="275">
        <v>124429</v>
      </c>
      <c r="U8" s="275">
        <f>SUM(B8:T8)</f>
        <v>2221793</v>
      </c>
      <c r="V8" s="275">
        <v>102514</v>
      </c>
      <c r="W8" s="275">
        <f>U8+V8</f>
        <v>2324307</v>
      </c>
      <c r="X8" s="275">
        <v>80250</v>
      </c>
      <c r="Y8" s="275">
        <f>W8+X8</f>
        <v>2404557</v>
      </c>
      <c r="Z8" s="332" t="s">
        <v>1174</v>
      </c>
    </row>
    <row r="9" spans="1:27" s="154" customFormat="1" ht="12" customHeight="1" x14ac:dyDescent="0.2">
      <c r="A9" s="1589"/>
      <c r="B9" s="916">
        <f t="shared" ref="B9:W9" si="1">(B8/$W8)*100</f>
        <v>12.95728146066763</v>
      </c>
      <c r="C9" s="916">
        <f t="shared" si="1"/>
        <v>1.7202546823633882</v>
      </c>
      <c r="D9" s="916">
        <f t="shared" si="1"/>
        <v>20.075058931543897</v>
      </c>
      <c r="E9" s="916">
        <f t="shared" si="1"/>
        <v>1.2577512350993221</v>
      </c>
      <c r="F9" s="916">
        <f t="shared" si="1"/>
        <v>9.7362353596147158E-2</v>
      </c>
      <c r="G9" s="916">
        <f t="shared" si="1"/>
        <v>8.0978545433111897</v>
      </c>
      <c r="H9" s="916">
        <f t="shared" si="1"/>
        <v>13.966829682997986</v>
      </c>
      <c r="I9" s="916">
        <f t="shared" si="1"/>
        <v>7.6892596373886928</v>
      </c>
      <c r="J9" s="916">
        <f t="shared" si="1"/>
        <v>1.1474387849797811</v>
      </c>
      <c r="K9" s="916">
        <f t="shared" si="1"/>
        <v>1.1729947894146513</v>
      </c>
      <c r="L9" s="916">
        <f t="shared" si="1"/>
        <v>3.1083243306499528</v>
      </c>
      <c r="M9" s="916">
        <f t="shared" si="1"/>
        <v>9.2135419288415861</v>
      </c>
      <c r="N9" s="916">
        <f t="shared" si="1"/>
        <v>0.18422695452881224</v>
      </c>
      <c r="O9" s="916">
        <f t="shared" si="1"/>
        <v>0.67641666957075808</v>
      </c>
      <c r="P9" s="916">
        <f t="shared" si="1"/>
        <v>3.3757588821098077</v>
      </c>
      <c r="Q9" s="916">
        <f t="shared" si="1"/>
        <v>2.6183288180089805</v>
      </c>
      <c r="R9" s="916">
        <f t="shared" si="1"/>
        <v>2.7326424607420621</v>
      </c>
      <c r="S9" s="916">
        <f t="shared" si="1"/>
        <v>0.14477433488777516</v>
      </c>
      <c r="T9" s="916">
        <f t="shared" si="1"/>
        <v>5.3533805990344652</v>
      </c>
      <c r="U9" s="916">
        <f t="shared" si="1"/>
        <v>95.589481079736885</v>
      </c>
      <c r="V9" s="916">
        <f t="shared" si="1"/>
        <v>4.4105189202631152</v>
      </c>
      <c r="W9" s="916">
        <f t="shared" si="1"/>
        <v>100</v>
      </c>
      <c r="X9" s="236"/>
      <c r="Y9" s="236"/>
      <c r="Z9" s="354"/>
    </row>
    <row r="10" spans="1:27" ht="12" customHeight="1" x14ac:dyDescent="0.2">
      <c r="A10" s="372" t="s">
        <v>1296</v>
      </c>
      <c r="B10" s="275">
        <v>329380</v>
      </c>
      <c r="C10" s="275">
        <v>44276</v>
      </c>
      <c r="D10" s="275">
        <v>549024</v>
      </c>
      <c r="E10" s="275">
        <v>32625</v>
      </c>
      <c r="F10" s="275">
        <v>2487</v>
      </c>
      <c r="G10" s="275">
        <v>215693</v>
      </c>
      <c r="H10" s="275">
        <v>373716</v>
      </c>
      <c r="I10" s="277">
        <v>197806</v>
      </c>
      <c r="J10" s="275">
        <v>30106</v>
      </c>
      <c r="K10" s="275">
        <v>29460</v>
      </c>
      <c r="L10" s="275">
        <v>81724</v>
      </c>
      <c r="M10" s="275">
        <v>235990</v>
      </c>
      <c r="N10" s="275">
        <v>4714</v>
      </c>
      <c r="O10" s="275">
        <v>17269</v>
      </c>
      <c r="P10" s="275">
        <v>90249</v>
      </c>
      <c r="Q10" s="275">
        <v>68164</v>
      </c>
      <c r="R10" s="275">
        <v>73365</v>
      </c>
      <c r="S10" s="275">
        <v>3772</v>
      </c>
      <c r="T10" s="275">
        <v>136783</v>
      </c>
      <c r="U10" s="275">
        <f>SUM(B10:T10)</f>
        <v>2516603</v>
      </c>
      <c r="V10" s="275">
        <v>122645</v>
      </c>
      <c r="W10" s="275">
        <f>U10+V10</f>
        <v>2639248</v>
      </c>
      <c r="X10" s="275">
        <v>105543</v>
      </c>
      <c r="Y10" s="275">
        <f>W10+X10</f>
        <v>2744791</v>
      </c>
      <c r="Z10" s="332" t="s">
        <v>1296</v>
      </c>
    </row>
    <row r="11" spans="1:27" s="154" customFormat="1" ht="12" customHeight="1" x14ac:dyDescent="0.2">
      <c r="A11" s="1589"/>
      <c r="B11" s="916">
        <f t="shared" ref="B11:W11" si="2">(B10/$W10)*100</f>
        <v>12.480070080568405</v>
      </c>
      <c r="C11" s="916">
        <f t="shared" si="2"/>
        <v>1.6775990736755317</v>
      </c>
      <c r="D11" s="916">
        <f t="shared" si="2"/>
        <v>20.802289136905664</v>
      </c>
      <c r="E11" s="916">
        <f t="shared" si="2"/>
        <v>1.2361475693076209</v>
      </c>
      <c r="F11" s="916">
        <f t="shared" si="2"/>
        <v>9.4231387122392429E-2</v>
      </c>
      <c r="G11" s="916">
        <f t="shared" si="2"/>
        <v>8.1725173231162813</v>
      </c>
      <c r="H11" s="916">
        <f t="shared" si="2"/>
        <v>14.159942529084041</v>
      </c>
      <c r="I11" s="916">
        <f t="shared" si="2"/>
        <v>7.4947863937000232</v>
      </c>
      <c r="J11" s="916">
        <f t="shared" si="2"/>
        <v>1.1407037156038387</v>
      </c>
      <c r="K11" s="916">
        <f t="shared" si="2"/>
        <v>1.116227046492031</v>
      </c>
      <c r="L11" s="916">
        <f t="shared" si="2"/>
        <v>3.0964880905470045</v>
      </c>
      <c r="M11" s="916">
        <f t="shared" si="2"/>
        <v>8.9415621419434625</v>
      </c>
      <c r="N11" s="916">
        <f t="shared" si="2"/>
        <v>0.17861148327099235</v>
      </c>
      <c r="O11" s="916">
        <f t="shared" si="2"/>
        <v>0.65431516856316652</v>
      </c>
      <c r="P11" s="916">
        <f t="shared" si="2"/>
        <v>3.4194967657453939</v>
      </c>
      <c r="Q11" s="916">
        <f t="shared" si="2"/>
        <v>2.5827053766830552</v>
      </c>
      <c r="R11" s="916">
        <f t="shared" si="2"/>
        <v>2.7797690857395745</v>
      </c>
      <c r="S11" s="916">
        <f t="shared" si="2"/>
        <v>0.14291949828132863</v>
      </c>
      <c r="T11" s="916">
        <f t="shared" si="2"/>
        <v>5.1826505125702473</v>
      </c>
      <c r="U11" s="916">
        <f t="shared" si="2"/>
        <v>95.353032378920062</v>
      </c>
      <c r="V11" s="916">
        <f t="shared" si="2"/>
        <v>4.646967621079944</v>
      </c>
      <c r="W11" s="916">
        <f t="shared" si="2"/>
        <v>100</v>
      </c>
      <c r="X11" s="236"/>
      <c r="Y11" s="236"/>
      <c r="Z11" s="354"/>
    </row>
    <row r="12" spans="1:27" ht="12" customHeight="1" x14ac:dyDescent="0.2">
      <c r="A12" s="372" t="s">
        <v>1404</v>
      </c>
      <c r="B12" s="275">
        <v>353443</v>
      </c>
      <c r="C12" s="275">
        <v>52609</v>
      </c>
      <c r="D12" s="275">
        <v>625937</v>
      </c>
      <c r="E12" s="275">
        <v>38144</v>
      </c>
      <c r="F12" s="275">
        <v>2674</v>
      </c>
      <c r="G12" s="275">
        <v>250255</v>
      </c>
      <c r="H12" s="275">
        <v>418395</v>
      </c>
      <c r="I12" s="275">
        <v>219712</v>
      </c>
      <c r="J12" s="277">
        <v>33550</v>
      </c>
      <c r="K12" s="275">
        <v>32204</v>
      </c>
      <c r="L12" s="275">
        <v>93297</v>
      </c>
      <c r="M12" s="275">
        <v>260715</v>
      </c>
      <c r="N12" s="275">
        <v>5179</v>
      </c>
      <c r="O12" s="275">
        <v>20017</v>
      </c>
      <c r="P12" s="275">
        <v>99006</v>
      </c>
      <c r="Q12" s="275">
        <v>76961</v>
      </c>
      <c r="R12" s="275">
        <v>86811</v>
      </c>
      <c r="S12" s="275">
        <v>4244</v>
      </c>
      <c r="T12" s="275">
        <v>150690</v>
      </c>
      <c r="U12" s="275">
        <f>SUM(B12:T12)</f>
        <v>2823843</v>
      </c>
      <c r="V12" s="275">
        <v>127586</v>
      </c>
      <c r="W12" s="275">
        <f>U12+V12</f>
        <v>2951429</v>
      </c>
      <c r="X12" s="275">
        <v>120895</v>
      </c>
      <c r="Y12" s="275">
        <f>W12+X12</f>
        <v>3072324</v>
      </c>
      <c r="Z12" s="332" t="s">
        <v>1404</v>
      </c>
    </row>
    <row r="13" spans="1:27" s="154" customFormat="1" ht="12" customHeight="1" x14ac:dyDescent="0.2">
      <c r="A13" s="1589"/>
      <c r="B13" s="916">
        <f t="shared" ref="B13:W13" si="3">(B12/$W12)*100</f>
        <v>11.975317718976129</v>
      </c>
      <c r="C13" s="916">
        <f t="shared" si="3"/>
        <v>1.7824924807610145</v>
      </c>
      <c r="D13" s="916">
        <f t="shared" si="3"/>
        <v>21.20793012469553</v>
      </c>
      <c r="E13" s="916">
        <f t="shared" si="3"/>
        <v>1.2923909062355896</v>
      </c>
      <c r="F13" s="916">
        <f t="shared" si="3"/>
        <v>9.0600180454959281E-2</v>
      </c>
      <c r="G13" s="916">
        <f t="shared" si="3"/>
        <v>8.4791129991607459</v>
      </c>
      <c r="H13" s="916">
        <f t="shared" si="3"/>
        <v>14.176014398449022</v>
      </c>
      <c r="I13" s="916">
        <f t="shared" si="3"/>
        <v>7.4442583575617105</v>
      </c>
      <c r="J13" s="916">
        <f t="shared" si="3"/>
        <v>1.1367374922452818</v>
      </c>
      <c r="K13" s="916">
        <f t="shared" si="3"/>
        <v>1.0911324649856053</v>
      </c>
      <c r="L13" s="916">
        <f t="shared" si="3"/>
        <v>3.1610789214309412</v>
      </c>
      <c r="M13" s="916">
        <f t="shared" si="3"/>
        <v>8.8335175943585291</v>
      </c>
      <c r="N13" s="916">
        <f t="shared" si="3"/>
        <v>0.17547432108310923</v>
      </c>
      <c r="O13" s="916">
        <f t="shared" si="3"/>
        <v>0.67821384149847408</v>
      </c>
      <c r="P13" s="916">
        <f t="shared" si="3"/>
        <v>3.3545106455212035</v>
      </c>
      <c r="Q13" s="916">
        <f t="shared" si="3"/>
        <v>2.6075843261010179</v>
      </c>
      <c r="R13" s="916">
        <f t="shared" si="3"/>
        <v>2.9413209668943416</v>
      </c>
      <c r="S13" s="916">
        <f t="shared" si="3"/>
        <v>0.14379475162709318</v>
      </c>
      <c r="T13" s="916">
        <f t="shared" si="3"/>
        <v>5.1056623757508648</v>
      </c>
      <c r="U13" s="916">
        <f t="shared" si="3"/>
        <v>95.677144867791171</v>
      </c>
      <c r="V13" s="916">
        <f t="shared" si="3"/>
        <v>4.3228551322088391</v>
      </c>
      <c r="W13" s="916">
        <f t="shared" si="3"/>
        <v>100</v>
      </c>
      <c r="X13" s="236"/>
      <c r="Y13" s="236"/>
      <c r="Z13" s="354"/>
    </row>
    <row r="14" spans="1:27" ht="12" customHeight="1" x14ac:dyDescent="0.2">
      <c r="A14" s="372" t="s">
        <v>1484</v>
      </c>
      <c r="B14" s="275">
        <v>380446</v>
      </c>
      <c r="C14" s="275">
        <v>55224</v>
      </c>
      <c r="D14" s="275">
        <v>653064</v>
      </c>
      <c r="E14" s="275">
        <v>44523</v>
      </c>
      <c r="F14" s="275">
        <v>2761</v>
      </c>
      <c r="G14" s="275">
        <v>287880</v>
      </c>
      <c r="H14" s="275">
        <v>445757</v>
      </c>
      <c r="I14" s="275">
        <v>232252</v>
      </c>
      <c r="J14" s="275">
        <v>36015</v>
      </c>
      <c r="K14" s="275">
        <v>35107</v>
      </c>
      <c r="L14" s="275">
        <v>103217</v>
      </c>
      <c r="M14" s="275">
        <v>288001</v>
      </c>
      <c r="N14" s="275">
        <v>5656</v>
      </c>
      <c r="O14" s="275">
        <v>23005</v>
      </c>
      <c r="P14" s="275">
        <v>106965</v>
      </c>
      <c r="Q14" s="275">
        <v>85643</v>
      </c>
      <c r="R14" s="275">
        <v>101522</v>
      </c>
      <c r="S14" s="275">
        <v>4761</v>
      </c>
      <c r="T14" s="275">
        <v>165249</v>
      </c>
      <c r="U14" s="275">
        <f>SUM(B14:T14)</f>
        <v>3057048</v>
      </c>
      <c r="V14" s="275">
        <v>113421</v>
      </c>
      <c r="W14" s="275">
        <f>U14+V14</f>
        <v>3170469</v>
      </c>
      <c r="X14" s="275">
        <v>131232</v>
      </c>
      <c r="Y14" s="275">
        <f>W14+X14</f>
        <v>3301701</v>
      </c>
      <c r="Z14" s="332" t="s">
        <v>1484</v>
      </c>
    </row>
    <row r="15" spans="1:27" s="154" customFormat="1" ht="12" customHeight="1" x14ac:dyDescent="0.2">
      <c r="A15" s="1589"/>
      <c r="B15" s="916">
        <f t="shared" ref="B15:W15" si="4">(B14/$W14)*100</f>
        <v>11.999675757750667</v>
      </c>
      <c r="C15" s="916">
        <f t="shared" si="4"/>
        <v>1.7418243168439749</v>
      </c>
      <c r="D15" s="916">
        <f t="shared" si="4"/>
        <v>20.598340497888483</v>
      </c>
      <c r="E15" s="916">
        <f t="shared" si="4"/>
        <v>1.4043032750044238</v>
      </c>
      <c r="F15" s="916">
        <f t="shared" si="4"/>
        <v>8.7084907627231173E-2</v>
      </c>
      <c r="G15" s="916">
        <f t="shared" si="4"/>
        <v>9.0800446243126807</v>
      </c>
      <c r="H15" s="916">
        <f t="shared" si="4"/>
        <v>14.059654896483769</v>
      </c>
      <c r="I15" s="916">
        <f t="shared" si="4"/>
        <v>7.3254777132342257</v>
      </c>
      <c r="J15" s="916">
        <f t="shared" si="4"/>
        <v>1.1359518102842197</v>
      </c>
      <c r="K15" s="916">
        <f t="shared" si="4"/>
        <v>1.1073125143314759</v>
      </c>
      <c r="L15" s="916">
        <f t="shared" si="4"/>
        <v>3.2555751215356468</v>
      </c>
      <c r="M15" s="916">
        <f t="shared" si="4"/>
        <v>9.0838610943680571</v>
      </c>
      <c r="N15" s="916">
        <f t="shared" si="4"/>
        <v>0.17839631928273073</v>
      </c>
      <c r="O15" s="916">
        <f t="shared" si="4"/>
        <v>0.72560242664413377</v>
      </c>
      <c r="P15" s="916">
        <f t="shared" si="4"/>
        <v>3.3737910700278095</v>
      </c>
      <c r="Q15" s="916">
        <f t="shared" si="4"/>
        <v>2.701272272335733</v>
      </c>
      <c r="R15" s="916">
        <f t="shared" si="4"/>
        <v>3.2021129996855358</v>
      </c>
      <c r="S15" s="916">
        <f t="shared" si="4"/>
        <v>0.15016705730287852</v>
      </c>
      <c r="T15" s="916">
        <f t="shared" si="4"/>
        <v>5.2121310758755248</v>
      </c>
      <c r="U15" s="916">
        <f t="shared" si="4"/>
        <v>96.42257975081921</v>
      </c>
      <c r="V15" s="916">
        <f t="shared" si="4"/>
        <v>3.5774202491807996</v>
      </c>
      <c r="W15" s="916">
        <f t="shared" si="4"/>
        <v>100</v>
      </c>
      <c r="X15" s="236"/>
      <c r="Y15" s="236"/>
      <c r="Z15" s="354"/>
    </row>
    <row r="16" spans="1:27" ht="12" customHeight="1" x14ac:dyDescent="0.2">
      <c r="A16" s="372" t="s">
        <v>1536</v>
      </c>
      <c r="B16" s="277">
        <v>410661</v>
      </c>
      <c r="C16" s="277">
        <v>59102</v>
      </c>
      <c r="D16" s="277">
        <v>749659</v>
      </c>
      <c r="E16" s="277">
        <v>44902</v>
      </c>
      <c r="F16" s="277">
        <v>2968</v>
      </c>
      <c r="G16" s="277">
        <v>319490</v>
      </c>
      <c r="H16" s="277">
        <v>497652</v>
      </c>
      <c r="I16" s="277">
        <v>256215</v>
      </c>
      <c r="J16" s="277">
        <v>39857</v>
      </c>
      <c r="K16" s="277">
        <v>38448</v>
      </c>
      <c r="L16" s="277">
        <v>115271</v>
      </c>
      <c r="M16" s="277">
        <v>313028</v>
      </c>
      <c r="N16" s="277">
        <v>6273</v>
      </c>
      <c r="O16" s="277">
        <v>27138</v>
      </c>
      <c r="P16" s="277">
        <v>116996</v>
      </c>
      <c r="Q16" s="277">
        <v>95642</v>
      </c>
      <c r="R16" s="277">
        <v>118500</v>
      </c>
      <c r="S16" s="277">
        <v>5341</v>
      </c>
      <c r="T16" s="277">
        <v>180676</v>
      </c>
      <c r="U16" s="275">
        <f>SUM(B16:T16)</f>
        <v>3397819</v>
      </c>
      <c r="V16" s="277">
        <v>132366</v>
      </c>
      <c r="W16" s="275">
        <f>U16+V16</f>
        <v>3530185</v>
      </c>
      <c r="X16" s="277">
        <v>185812</v>
      </c>
      <c r="Y16" s="275">
        <f>W16+X16</f>
        <v>3715997</v>
      </c>
      <c r="Z16" s="332" t="s">
        <v>1536</v>
      </c>
    </row>
    <row r="17" spans="1:27" s="154" customFormat="1" ht="12" customHeight="1" x14ac:dyDescent="0.2">
      <c r="A17" s="1589"/>
      <c r="B17" s="916">
        <f t="shared" ref="B17:W19" si="5">(B16/$W16)*100</f>
        <v>11.632846437226378</v>
      </c>
      <c r="C17" s="916">
        <f t="shared" si="5"/>
        <v>1.6741898795672183</v>
      </c>
      <c r="D17" s="916">
        <f t="shared" si="5"/>
        <v>21.235685948470124</v>
      </c>
      <c r="E17" s="916">
        <f t="shared" si="5"/>
        <v>1.2719446714548954</v>
      </c>
      <c r="F17" s="916">
        <f t="shared" si="5"/>
        <v>8.4074913920941824E-2</v>
      </c>
      <c r="G17" s="916">
        <f t="shared" si="5"/>
        <v>9.0502339112539421</v>
      </c>
      <c r="H17" s="916">
        <f t="shared" si="5"/>
        <v>14.097051570951663</v>
      </c>
      <c r="I17" s="916">
        <f t="shared" si="5"/>
        <v>7.2578349293308992</v>
      </c>
      <c r="J17" s="916">
        <f t="shared" si="5"/>
        <v>1.1290343140656933</v>
      </c>
      <c r="K17" s="916">
        <f t="shared" si="5"/>
        <v>1.0891213916551115</v>
      </c>
      <c r="L17" s="916">
        <f t="shared" si="5"/>
        <v>3.2652962946701094</v>
      </c>
      <c r="M17" s="916">
        <f t="shared" si="5"/>
        <v>8.8671840144355052</v>
      </c>
      <c r="N17" s="916">
        <f t="shared" si="5"/>
        <v>0.17769606975271834</v>
      </c>
      <c r="O17" s="916">
        <f t="shared" si="5"/>
        <v>0.76874158153184602</v>
      </c>
      <c r="P17" s="916">
        <f t="shared" si="5"/>
        <v>3.3141605893175572</v>
      </c>
      <c r="Q17" s="916">
        <f t="shared" si="5"/>
        <v>2.709263112273153</v>
      </c>
      <c r="R17" s="916">
        <f t="shared" si="5"/>
        <v>3.3567645888246651</v>
      </c>
      <c r="S17" s="916">
        <f t="shared" si="5"/>
        <v>0.15129518707943068</v>
      </c>
      <c r="T17" s="916">
        <f t="shared" si="5"/>
        <v>5.1180320578100016</v>
      </c>
      <c r="U17" s="916">
        <f t="shared" si="5"/>
        <v>96.250451463591844</v>
      </c>
      <c r="V17" s="916">
        <f t="shared" si="5"/>
        <v>3.7495485364081489</v>
      </c>
      <c r="W17" s="916">
        <f t="shared" si="5"/>
        <v>100</v>
      </c>
      <c r="X17" s="236"/>
      <c r="Y17" s="236"/>
      <c r="Z17" s="354"/>
    </row>
    <row r="18" spans="1:27" s="154" customFormat="1" ht="12" customHeight="1" x14ac:dyDescent="0.2">
      <c r="A18" s="372" t="s">
        <v>1817</v>
      </c>
      <c r="B18" s="277">
        <v>445531</v>
      </c>
      <c r="C18" s="277">
        <v>58916</v>
      </c>
      <c r="D18" s="277">
        <v>864437</v>
      </c>
      <c r="E18" s="277">
        <v>50414</v>
      </c>
      <c r="F18" s="277">
        <v>3809</v>
      </c>
      <c r="G18" s="277">
        <v>369633</v>
      </c>
      <c r="H18" s="277">
        <v>567097</v>
      </c>
      <c r="I18" s="277">
        <v>285272</v>
      </c>
      <c r="J18" s="277">
        <v>44452</v>
      </c>
      <c r="K18" s="277">
        <v>41422</v>
      </c>
      <c r="L18" s="277">
        <v>129539</v>
      </c>
      <c r="M18" s="277">
        <v>340182</v>
      </c>
      <c r="N18" s="277">
        <v>6942</v>
      </c>
      <c r="O18" s="277">
        <v>31136</v>
      </c>
      <c r="P18" s="277">
        <v>127366</v>
      </c>
      <c r="Q18" s="277">
        <v>109514</v>
      </c>
      <c r="R18" s="277">
        <v>138207</v>
      </c>
      <c r="S18" s="277">
        <v>6074</v>
      </c>
      <c r="T18" s="277">
        <v>199886</v>
      </c>
      <c r="U18" s="275">
        <f>SUM(B18:T18)</f>
        <v>3819829</v>
      </c>
      <c r="V18" s="275">
        <v>151887</v>
      </c>
      <c r="W18" s="275">
        <f>U18+V18</f>
        <v>3971716</v>
      </c>
      <c r="X18" s="275">
        <v>157346</v>
      </c>
      <c r="Y18" s="275">
        <f>W18+X18</f>
        <v>4129062</v>
      </c>
      <c r="Z18" s="332" t="s">
        <v>1817</v>
      </c>
    </row>
    <row r="19" spans="1:27" s="154" customFormat="1" ht="12" customHeight="1" x14ac:dyDescent="0.2">
      <c r="A19" s="1589"/>
      <c r="B19" s="916">
        <f>(B18/$W18)*100</f>
        <v>11.217594611497901</v>
      </c>
      <c r="C19" s="916">
        <f t="shared" si="5"/>
        <v>1.4833890439296262</v>
      </c>
      <c r="D19" s="916">
        <f t="shared" si="5"/>
        <v>21.764824071006082</v>
      </c>
      <c r="E19" s="916">
        <f t="shared" si="5"/>
        <v>1.2693253999027121</v>
      </c>
      <c r="F19" s="916">
        <f t="shared" si="5"/>
        <v>9.5903131039580869E-2</v>
      </c>
      <c r="G19" s="916">
        <f t="shared" si="5"/>
        <v>9.306632196259752</v>
      </c>
      <c r="H19" s="916">
        <f t="shared" si="5"/>
        <v>14.278387477855919</v>
      </c>
      <c r="I19" s="916">
        <f t="shared" si="5"/>
        <v>7.1825880803159148</v>
      </c>
      <c r="J19" s="916">
        <f t="shared" si="5"/>
        <v>1.1192139619247701</v>
      </c>
      <c r="K19" s="916">
        <f t="shared" si="5"/>
        <v>1.0429245192757992</v>
      </c>
      <c r="L19" s="916">
        <f t="shared" si="5"/>
        <v>3.261537330463709</v>
      </c>
      <c r="M19" s="916">
        <f t="shared" si="5"/>
        <v>8.565113920532081</v>
      </c>
      <c r="N19" s="916">
        <f t="shared" si="5"/>
        <v>0.17478591117793921</v>
      </c>
      <c r="O19" s="916">
        <f t="shared" si="5"/>
        <v>0.78394326281133897</v>
      </c>
      <c r="P19" s="916">
        <f t="shared" si="5"/>
        <v>3.2068254628477968</v>
      </c>
      <c r="Q19" s="916">
        <f t="shared" si="5"/>
        <v>2.7573472020658074</v>
      </c>
      <c r="R19" s="916">
        <f t="shared" si="5"/>
        <v>3.4797805281142966</v>
      </c>
      <c r="S19" s="916">
        <f t="shared" si="5"/>
        <v>0.15293137777222743</v>
      </c>
      <c r="T19" s="916">
        <f t="shared" si="5"/>
        <v>5.0327364796475882</v>
      </c>
      <c r="U19" s="916">
        <f t="shared" si="5"/>
        <v>96.17578396844084</v>
      </c>
      <c r="V19" s="916">
        <f t="shared" si="5"/>
        <v>3.8242160315591551</v>
      </c>
      <c r="W19" s="916">
        <f>(W18/$W18)*100</f>
        <v>100</v>
      </c>
      <c r="X19" s="236"/>
      <c r="Y19" s="236"/>
      <c r="Z19" s="354"/>
    </row>
    <row r="20" spans="1:27" s="154" customFormat="1" ht="12" customHeight="1" x14ac:dyDescent="0.2">
      <c r="A20" s="372" t="s">
        <v>2066</v>
      </c>
      <c r="B20" s="277">
        <v>494158</v>
      </c>
      <c r="C20" s="277">
        <v>70244</v>
      </c>
      <c r="D20" s="277">
        <v>1003345</v>
      </c>
      <c r="E20" s="277">
        <v>55295</v>
      </c>
      <c r="F20" s="277">
        <v>4380</v>
      </c>
      <c r="G20" s="277">
        <v>420310</v>
      </c>
      <c r="H20" s="277">
        <v>647367</v>
      </c>
      <c r="I20" s="277">
        <v>324082</v>
      </c>
      <c r="J20" s="277">
        <v>51156</v>
      </c>
      <c r="K20" s="277">
        <v>47326</v>
      </c>
      <c r="L20" s="277">
        <v>144785</v>
      </c>
      <c r="M20" s="277">
        <v>373414</v>
      </c>
      <c r="N20" s="277">
        <v>8423</v>
      </c>
      <c r="O20" s="277">
        <v>37504</v>
      </c>
      <c r="P20" s="277">
        <v>147281</v>
      </c>
      <c r="Q20" s="277">
        <v>125974</v>
      </c>
      <c r="R20" s="277">
        <v>161533</v>
      </c>
      <c r="S20" s="277">
        <v>6912</v>
      </c>
      <c r="T20" s="277">
        <v>219599</v>
      </c>
      <c r="U20" s="277">
        <f>SUM(B20:T20)</f>
        <v>4343088</v>
      </c>
      <c r="V20" s="277">
        <v>147754</v>
      </c>
      <c r="W20" s="277">
        <f>U20+V20</f>
        <v>4490842</v>
      </c>
      <c r="X20" s="277">
        <v>179238</v>
      </c>
      <c r="Y20" s="277">
        <f>W20+X20</f>
        <v>4670080</v>
      </c>
      <c r="Z20" s="332" t="s">
        <v>2066</v>
      </c>
    </row>
    <row r="21" spans="1:27" s="154" customFormat="1" ht="12" customHeight="1" x14ac:dyDescent="0.2">
      <c r="A21" s="1589"/>
      <c r="B21" s="916">
        <f>(B20/$W20)*100</f>
        <v>11.003682605622732</v>
      </c>
      <c r="C21" s="916">
        <f t="shared" ref="C21:W21" si="6">(C20/$W20)*100</f>
        <v>1.5641610192476154</v>
      </c>
      <c r="D21" s="916">
        <f t="shared" si="6"/>
        <v>22.342024056958586</v>
      </c>
      <c r="E21" s="916">
        <f t="shared" si="6"/>
        <v>1.2312835766655785</v>
      </c>
      <c r="F21" s="916">
        <f t="shared" si="6"/>
        <v>9.7531821426805929E-2</v>
      </c>
      <c r="G21" s="916">
        <f t="shared" si="6"/>
        <v>9.3592693753198173</v>
      </c>
      <c r="H21" s="916">
        <f t="shared" si="6"/>
        <v>14.415270009499331</v>
      </c>
      <c r="I21" s="916">
        <f t="shared" si="6"/>
        <v>7.2165086190963752</v>
      </c>
      <c r="J21" s="916">
        <f t="shared" si="6"/>
        <v>1.1391182321711608</v>
      </c>
      <c r="K21" s="916">
        <f t="shared" si="6"/>
        <v>1.0538335572705519</v>
      </c>
      <c r="L21" s="916">
        <f t="shared" si="6"/>
        <v>3.224005654173538</v>
      </c>
      <c r="M21" s="916">
        <f t="shared" si="6"/>
        <v>8.3150108598788375</v>
      </c>
      <c r="N21" s="916">
        <f t="shared" si="6"/>
        <v>0.18755948216392382</v>
      </c>
      <c r="O21" s="916">
        <f t="shared" si="6"/>
        <v>0.83512178785181046</v>
      </c>
      <c r="P21" s="916">
        <f t="shared" si="6"/>
        <v>3.279585431863334</v>
      </c>
      <c r="Q21" s="916">
        <f t="shared" si="6"/>
        <v>2.805130975438459</v>
      </c>
      <c r="R21" s="916">
        <f t="shared" si="6"/>
        <v>3.5969423996658092</v>
      </c>
      <c r="S21" s="916">
        <f t="shared" si="6"/>
        <v>0.15391323052558964</v>
      </c>
      <c r="T21" s="916">
        <f t="shared" si="6"/>
        <v>4.8899293272842819</v>
      </c>
      <c r="U21" s="916">
        <f t="shared" si="6"/>
        <v>96.709882022124134</v>
      </c>
      <c r="V21" s="916">
        <f t="shared" si="6"/>
        <v>3.2901179778758638</v>
      </c>
      <c r="W21" s="916">
        <f t="shared" si="6"/>
        <v>100</v>
      </c>
      <c r="X21" s="236"/>
      <c r="Y21" s="236"/>
      <c r="Z21" s="354"/>
      <c r="AA21" s="724"/>
    </row>
    <row r="22" spans="1:27" s="154" customFormat="1" ht="12" customHeight="1" x14ac:dyDescent="0.2">
      <c r="A22" s="372" t="s">
        <v>2206</v>
      </c>
      <c r="B22" s="277">
        <v>558536</v>
      </c>
      <c r="C22" s="277">
        <v>73802</v>
      </c>
      <c r="D22" s="277">
        <v>1095229</v>
      </c>
      <c r="E22" s="277">
        <v>59646</v>
      </c>
      <c r="F22" s="277">
        <v>4708</v>
      </c>
      <c r="G22" s="277">
        <v>472379</v>
      </c>
      <c r="H22" s="277">
        <v>730353</v>
      </c>
      <c r="I22" s="277">
        <v>359554</v>
      </c>
      <c r="J22" s="277">
        <v>59718</v>
      </c>
      <c r="K22" s="277">
        <v>50188</v>
      </c>
      <c r="L22" s="277">
        <v>160769</v>
      </c>
      <c r="M22" s="277">
        <v>408979</v>
      </c>
      <c r="N22" s="277">
        <v>9907</v>
      </c>
      <c r="O22" s="277">
        <v>44634</v>
      </c>
      <c r="P22" s="277">
        <v>161463</v>
      </c>
      <c r="Q22" s="277">
        <v>147257</v>
      </c>
      <c r="R22" s="277">
        <v>186191</v>
      </c>
      <c r="S22" s="277">
        <v>7966</v>
      </c>
      <c r="T22" s="277">
        <v>245220</v>
      </c>
      <c r="U22" s="277">
        <v>4836497</v>
      </c>
      <c r="V22" s="277">
        <v>166157</v>
      </c>
      <c r="W22" s="277">
        <f>U22+V22</f>
        <v>5002654</v>
      </c>
      <c r="X22" s="277">
        <v>215427</v>
      </c>
      <c r="Y22" s="277">
        <f>W22+X22</f>
        <v>5218081</v>
      </c>
      <c r="Z22" s="332" t="s">
        <v>2206</v>
      </c>
      <c r="AA22" s="724"/>
    </row>
    <row r="23" spans="1:27" s="154" customFormat="1" ht="12" customHeight="1" x14ac:dyDescent="0.2">
      <c r="A23" s="1589"/>
      <c r="B23" s="916">
        <f>(B22/$W22)*100</f>
        <v>11.164793727489448</v>
      </c>
      <c r="C23" s="916">
        <f t="shared" ref="C23:W25" si="7">(C22/$W22)*100</f>
        <v>1.4752569336196346</v>
      </c>
      <c r="D23" s="916">
        <f t="shared" si="7"/>
        <v>21.892959217247483</v>
      </c>
      <c r="E23" s="916">
        <f t="shared" si="7"/>
        <v>1.1922871339892787</v>
      </c>
      <c r="F23" s="916">
        <f t="shared" si="7"/>
        <v>9.4110046387377577E-2</v>
      </c>
      <c r="G23" s="916">
        <f t="shared" si="7"/>
        <v>9.4425678849666603</v>
      </c>
      <c r="H23" s="916">
        <f t="shared" si="7"/>
        <v>14.59931068588793</v>
      </c>
      <c r="I23" s="916">
        <f t="shared" si="7"/>
        <v>7.1872649997381393</v>
      </c>
      <c r="J23" s="916">
        <f t="shared" si="7"/>
        <v>1.1937263700427814</v>
      </c>
      <c r="K23" s="916">
        <f t="shared" si="7"/>
        <v>1.00322748684998</v>
      </c>
      <c r="L23" s="916">
        <f t="shared" si="7"/>
        <v>3.2136741817443304</v>
      </c>
      <c r="M23" s="916">
        <f t="shared" si="7"/>
        <v>8.1752405822989171</v>
      </c>
      <c r="N23" s="916">
        <f t="shared" si="7"/>
        <v>0.19803488308405898</v>
      </c>
      <c r="O23" s="916">
        <f t="shared" si="7"/>
        <v>0.89220641683394453</v>
      </c>
      <c r="P23" s="916">
        <f t="shared" si="7"/>
        <v>3.2275468181489262</v>
      </c>
      <c r="Q23" s="916">
        <f t="shared" si="7"/>
        <v>2.9435775490369709</v>
      </c>
      <c r="R23" s="916">
        <f t="shared" si="7"/>
        <v>3.7218444449686103</v>
      </c>
      <c r="S23" s="916">
        <f t="shared" si="7"/>
        <v>0.15923547780837932</v>
      </c>
      <c r="T23" s="916">
        <f t="shared" si="7"/>
        <v>4.9017981255549552</v>
      </c>
      <c r="U23" s="916">
        <f t="shared" si="7"/>
        <v>96.678622986918541</v>
      </c>
      <c r="V23" s="916">
        <f t="shared" si="7"/>
        <v>3.3213770130814564</v>
      </c>
      <c r="W23" s="916">
        <f t="shared" si="7"/>
        <v>100</v>
      </c>
      <c r="X23" s="236"/>
      <c r="Y23" s="236"/>
      <c r="Z23" s="354"/>
      <c r="AA23" s="724"/>
    </row>
    <row r="24" spans="1:27" s="154" customFormat="1" ht="12" customHeight="1" x14ac:dyDescent="0.2">
      <c r="A24" s="372" t="s">
        <v>2596</v>
      </c>
      <c r="B24" s="277">
        <v>630038</v>
      </c>
      <c r="C24" s="277">
        <v>76882</v>
      </c>
      <c r="D24" s="277">
        <v>1237649</v>
      </c>
      <c r="E24" s="277">
        <v>66399</v>
      </c>
      <c r="F24" s="277">
        <v>4947</v>
      </c>
      <c r="G24" s="277">
        <v>490752</v>
      </c>
      <c r="H24" s="277">
        <v>820008</v>
      </c>
      <c r="I24" s="277">
        <v>398253</v>
      </c>
      <c r="J24" s="277">
        <v>68947</v>
      </c>
      <c r="K24" s="277">
        <v>54205</v>
      </c>
      <c r="L24" s="277">
        <v>179561</v>
      </c>
      <c r="M24" s="277">
        <v>445040</v>
      </c>
      <c r="N24" s="277">
        <v>11952</v>
      </c>
      <c r="O24" s="277">
        <v>54597</v>
      </c>
      <c r="P24" s="277">
        <v>172852</v>
      </c>
      <c r="Q24" s="277">
        <v>169656</v>
      </c>
      <c r="R24" s="277">
        <v>217022</v>
      </c>
      <c r="S24" s="277">
        <v>9193</v>
      </c>
      <c r="T24" s="277">
        <v>273962</v>
      </c>
      <c r="U24" s="277">
        <v>5381915</v>
      </c>
      <c r="V24" s="277">
        <v>133111</v>
      </c>
      <c r="W24" s="277">
        <f>U24+V24</f>
        <v>5515026</v>
      </c>
      <c r="X24" s="277">
        <v>302809</v>
      </c>
      <c r="Y24" s="277">
        <f>W24+X24</f>
        <v>5817835</v>
      </c>
      <c r="Z24" s="372" t="s">
        <v>2596</v>
      </c>
      <c r="AA24" s="724"/>
    </row>
    <row r="25" spans="1:27" s="154" customFormat="1" ht="12" customHeight="1" x14ac:dyDescent="0.2">
      <c r="A25" s="1589"/>
      <c r="B25" s="916">
        <f>(B24/$W24)*100</f>
        <v>11.424025924809783</v>
      </c>
      <c r="C25" s="916">
        <f t="shared" si="7"/>
        <v>1.3940460117504434</v>
      </c>
      <c r="D25" s="916">
        <f t="shared" si="7"/>
        <v>22.441399188326582</v>
      </c>
      <c r="E25" s="916">
        <f t="shared" si="7"/>
        <v>1.2039653122215561</v>
      </c>
      <c r="F25" s="916">
        <f t="shared" si="7"/>
        <v>8.9700393071582979E-2</v>
      </c>
      <c r="G25" s="916">
        <f t="shared" si="7"/>
        <v>8.8984530625966229</v>
      </c>
      <c r="H25" s="916">
        <f t="shared" si="7"/>
        <v>14.868615306618683</v>
      </c>
      <c r="I25" s="916">
        <f t="shared" si="7"/>
        <v>7.2212352217378486</v>
      </c>
      <c r="J25" s="916">
        <f t="shared" si="7"/>
        <v>1.2501663636762548</v>
      </c>
      <c r="K25" s="916">
        <f t="shared" si="7"/>
        <v>0.98286028025978478</v>
      </c>
      <c r="L25" s="916">
        <f t="shared" si="7"/>
        <v>3.2558504710585225</v>
      </c>
      <c r="M25" s="916">
        <f t="shared" si="7"/>
        <v>8.0695902430922359</v>
      </c>
      <c r="N25" s="916">
        <f t="shared" si="7"/>
        <v>0.21671702001042242</v>
      </c>
      <c r="O25" s="916">
        <f t="shared" si="7"/>
        <v>0.9899681343297384</v>
      </c>
      <c r="P25" s="916">
        <f t="shared" si="7"/>
        <v>3.1342009992337299</v>
      </c>
      <c r="Q25" s="916">
        <f t="shared" si="7"/>
        <v>3.076250229826659</v>
      </c>
      <c r="R25" s="916">
        <f t="shared" si="7"/>
        <v>3.9351038417588602</v>
      </c>
      <c r="S25" s="916">
        <f t="shared" si="7"/>
        <v>0.16669005730888667</v>
      </c>
      <c r="T25" s="916">
        <f t="shared" si="7"/>
        <v>4.9675559099812041</v>
      </c>
      <c r="U25" s="916">
        <f t="shared" si="7"/>
        <v>97.586393971669395</v>
      </c>
      <c r="V25" s="916">
        <f t="shared" si="7"/>
        <v>2.4136060283306007</v>
      </c>
      <c r="W25" s="916">
        <f t="shared" si="7"/>
        <v>100</v>
      </c>
      <c r="X25" s="236"/>
      <c r="Y25" s="236"/>
      <c r="Z25" s="354"/>
      <c r="AA25" s="724"/>
    </row>
    <row r="26" spans="1:27" ht="14.25" customHeight="1" x14ac:dyDescent="0.2">
      <c r="A26" s="1591" t="s">
        <v>1962</v>
      </c>
      <c r="B26" s="555"/>
      <c r="C26" s="555"/>
      <c r="D26" s="555"/>
      <c r="E26" s="555"/>
      <c r="F26" s="555"/>
      <c r="G26" s="555"/>
      <c r="H26" s="555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275"/>
      <c r="Y26" s="275"/>
      <c r="Z26" s="332"/>
    </row>
    <row r="27" spans="1:27" s="154" customFormat="1" ht="12" customHeight="1" x14ac:dyDescent="0.2">
      <c r="A27" s="1589" t="s">
        <v>1150</v>
      </c>
      <c r="B27" s="236">
        <v>279505</v>
      </c>
      <c r="C27" s="236">
        <v>33052</v>
      </c>
      <c r="D27" s="236">
        <v>422387</v>
      </c>
      <c r="E27" s="236">
        <v>24555</v>
      </c>
      <c r="F27" s="236">
        <v>2103</v>
      </c>
      <c r="G27" s="236">
        <v>162843</v>
      </c>
      <c r="H27" s="236">
        <v>288510</v>
      </c>
      <c r="I27" s="236">
        <v>158030</v>
      </c>
      <c r="J27" s="236">
        <v>23886</v>
      </c>
      <c r="K27" s="236">
        <v>24833</v>
      </c>
      <c r="L27" s="236">
        <v>65072</v>
      </c>
      <c r="M27" s="236">
        <v>192509</v>
      </c>
      <c r="N27" s="236">
        <v>3906</v>
      </c>
      <c r="O27" s="236">
        <v>14244</v>
      </c>
      <c r="P27" s="236">
        <v>66730</v>
      </c>
      <c r="Q27" s="236">
        <v>54479</v>
      </c>
      <c r="R27" s="236">
        <v>54600</v>
      </c>
      <c r="S27" s="236">
        <v>3007</v>
      </c>
      <c r="T27" s="236">
        <v>113176</v>
      </c>
      <c r="U27" s="236">
        <f>SUM(B27:T27)</f>
        <v>1987427</v>
      </c>
      <c r="V27" s="236">
        <v>88394</v>
      </c>
      <c r="W27" s="236">
        <f>U27+V27</f>
        <v>2075821</v>
      </c>
      <c r="X27" s="236">
        <v>97254</v>
      </c>
      <c r="Y27" s="236">
        <f>W27+X27</f>
        <v>2173075</v>
      </c>
      <c r="Z27" s="354" t="s">
        <v>1150</v>
      </c>
    </row>
    <row r="28" spans="1:27" ht="12" customHeight="1" x14ac:dyDescent="0.2">
      <c r="A28" s="372"/>
      <c r="B28" s="555">
        <f t="shared" ref="B28:W28" si="8">(B27/$W27)*100</f>
        <v>13.464792966252869</v>
      </c>
      <c r="C28" s="555">
        <f t="shared" si="8"/>
        <v>1.592237480977406</v>
      </c>
      <c r="D28" s="555">
        <f t="shared" si="8"/>
        <v>20.347949076534057</v>
      </c>
      <c r="E28" s="555">
        <f t="shared" si="8"/>
        <v>1.1829054624652124</v>
      </c>
      <c r="F28" s="555">
        <f t="shared" si="8"/>
        <v>0.10130931327893879</v>
      </c>
      <c r="G28" s="555">
        <f t="shared" si="8"/>
        <v>7.8447515464965427</v>
      </c>
      <c r="H28" s="555">
        <f t="shared" si="8"/>
        <v>13.898597229722601</v>
      </c>
      <c r="I28" s="555">
        <f t="shared" si="8"/>
        <v>7.6128914776370404</v>
      </c>
      <c r="J28" s="555">
        <f t="shared" si="8"/>
        <v>1.1506772501097158</v>
      </c>
      <c r="K28" s="555">
        <f t="shared" si="8"/>
        <v>1.1962977539970931</v>
      </c>
      <c r="L28" s="555">
        <f t="shared" si="8"/>
        <v>3.1347596926709964</v>
      </c>
      <c r="M28" s="555">
        <f t="shared" si="8"/>
        <v>9.2738728435640638</v>
      </c>
      <c r="N28" s="555">
        <f t="shared" si="8"/>
        <v>0.18816651339397761</v>
      </c>
      <c r="O28" s="555">
        <f t="shared" si="8"/>
        <v>0.68618633302197063</v>
      </c>
      <c r="P28" s="555">
        <f t="shared" si="8"/>
        <v>3.2146317047568167</v>
      </c>
      <c r="Q28" s="555">
        <f t="shared" si="8"/>
        <v>2.6244555768536881</v>
      </c>
      <c r="R28" s="555">
        <f>(R27/$W27)*100</f>
        <v>2.6302845958297945</v>
      </c>
      <c r="S28" s="555">
        <f>(S27/$W27)*100</f>
        <v>0.14485834761282404</v>
      </c>
      <c r="T28" s="555">
        <f t="shared" si="8"/>
        <v>5.4521078647918104</v>
      </c>
      <c r="U28" s="555">
        <f t="shared" si="8"/>
        <v>95.741733029967421</v>
      </c>
      <c r="V28" s="555">
        <f t="shared" si="8"/>
        <v>4.2582669700325804</v>
      </c>
      <c r="W28" s="555">
        <f t="shared" si="8"/>
        <v>100</v>
      </c>
      <c r="X28" s="275"/>
      <c r="Y28" s="275"/>
      <c r="Z28" s="332"/>
    </row>
    <row r="29" spans="1:27" s="154" customFormat="1" ht="12" customHeight="1" x14ac:dyDescent="0.2">
      <c r="A29" s="1589" t="s">
        <v>1174</v>
      </c>
      <c r="B29" s="236">
        <v>288438</v>
      </c>
      <c r="C29" s="236">
        <v>38766</v>
      </c>
      <c r="D29" s="236">
        <v>452319</v>
      </c>
      <c r="E29" s="236">
        <v>26291</v>
      </c>
      <c r="F29" s="236">
        <v>2180</v>
      </c>
      <c r="G29" s="236">
        <v>178734</v>
      </c>
      <c r="H29" s="236">
        <v>312225</v>
      </c>
      <c r="I29" s="236">
        <v>167710</v>
      </c>
      <c r="J29" s="236">
        <v>25173</v>
      </c>
      <c r="K29" s="236">
        <v>26907</v>
      </c>
      <c r="L29" s="236">
        <v>68524</v>
      </c>
      <c r="M29" s="236">
        <v>198921</v>
      </c>
      <c r="N29" s="236">
        <v>4061</v>
      </c>
      <c r="O29" s="236">
        <v>15155</v>
      </c>
      <c r="P29" s="236">
        <v>74220</v>
      </c>
      <c r="Q29" s="236">
        <v>57722</v>
      </c>
      <c r="R29" s="236">
        <v>60242</v>
      </c>
      <c r="S29" s="236">
        <v>3157</v>
      </c>
      <c r="T29" s="236">
        <v>116731</v>
      </c>
      <c r="U29" s="236">
        <f>SUM(B29:T29)</f>
        <v>2117476</v>
      </c>
      <c r="V29" s="236">
        <v>95147</v>
      </c>
      <c r="W29" s="236">
        <f>U29+V29</f>
        <v>2212623</v>
      </c>
      <c r="X29" s="236">
        <v>76394</v>
      </c>
      <c r="Y29" s="236">
        <f>W29+X29</f>
        <v>2289017</v>
      </c>
      <c r="Z29" s="354" t="s">
        <v>1174</v>
      </c>
    </row>
    <row r="30" spans="1:27" ht="12" customHeight="1" x14ac:dyDescent="0.2">
      <c r="A30" s="372"/>
      <c r="B30" s="555">
        <f t="shared" ref="B30:W30" si="9">(B29/$W29)*100</f>
        <v>13.036021048321381</v>
      </c>
      <c r="C30" s="555">
        <f t="shared" si="9"/>
        <v>1.7520381917751011</v>
      </c>
      <c r="D30" s="555">
        <f t="shared" si="9"/>
        <v>20.442660136860187</v>
      </c>
      <c r="E30" s="555">
        <f t="shared" si="9"/>
        <v>1.1882277279048443</v>
      </c>
      <c r="F30" s="555">
        <f t="shared" si="9"/>
        <v>9.8525596091155146E-2</v>
      </c>
      <c r="G30" s="555">
        <f t="shared" si="9"/>
        <v>8.0779238035580381</v>
      </c>
      <c r="H30" s="555">
        <f t="shared" si="9"/>
        <v>14.111079926404091</v>
      </c>
      <c r="I30" s="555">
        <f t="shared" si="9"/>
        <v>7.5796916148842346</v>
      </c>
      <c r="J30" s="555">
        <f t="shared" si="9"/>
        <v>1.1376994634874535</v>
      </c>
      <c r="K30" s="555">
        <f t="shared" si="9"/>
        <v>1.2160679880847303</v>
      </c>
      <c r="L30" s="555">
        <f t="shared" si="9"/>
        <v>3.0969577736469338</v>
      </c>
      <c r="M30" s="555">
        <f t="shared" si="9"/>
        <v>8.9902798624076485</v>
      </c>
      <c r="N30" s="555">
        <f t="shared" si="9"/>
        <v>0.18353781914045006</v>
      </c>
      <c r="O30" s="555">
        <f t="shared" si="9"/>
        <v>0.68493367374378744</v>
      </c>
      <c r="P30" s="555">
        <f t="shared" si="9"/>
        <v>3.3543897898557504</v>
      </c>
      <c r="Q30" s="555">
        <f t="shared" si="9"/>
        <v>2.6087589254925039</v>
      </c>
      <c r="R30" s="555">
        <f t="shared" si="9"/>
        <v>2.7226508989556737</v>
      </c>
      <c r="S30" s="555">
        <f t="shared" si="9"/>
        <v>0.14268133342191597</v>
      </c>
      <c r="T30" s="555">
        <f t="shared" si="9"/>
        <v>5.2756841088608404</v>
      </c>
      <c r="U30" s="555">
        <f t="shared" si="9"/>
        <v>95.699809682896714</v>
      </c>
      <c r="V30" s="555">
        <f t="shared" si="9"/>
        <v>4.3001903171032749</v>
      </c>
      <c r="W30" s="555">
        <f t="shared" si="9"/>
        <v>100</v>
      </c>
      <c r="X30" s="275"/>
      <c r="Y30" s="275"/>
      <c r="Z30" s="332"/>
    </row>
    <row r="31" spans="1:27" s="154" customFormat="1" ht="12" customHeight="1" x14ac:dyDescent="0.2">
      <c r="A31" s="1589" t="s">
        <v>1296</v>
      </c>
      <c r="B31" s="236">
        <v>298662</v>
      </c>
      <c r="C31" s="236">
        <v>42469</v>
      </c>
      <c r="D31" s="236">
        <v>499598</v>
      </c>
      <c r="E31" s="236">
        <v>28466</v>
      </c>
      <c r="F31" s="236">
        <v>2244</v>
      </c>
      <c r="G31" s="236">
        <v>196710</v>
      </c>
      <c r="H31" s="236">
        <v>339505</v>
      </c>
      <c r="I31" s="356">
        <v>179010</v>
      </c>
      <c r="J31" s="236">
        <v>26564</v>
      </c>
      <c r="K31" s="236">
        <v>28728</v>
      </c>
      <c r="L31" s="236">
        <v>73278</v>
      </c>
      <c r="M31" s="236">
        <v>205841</v>
      </c>
      <c r="N31" s="236">
        <v>4227</v>
      </c>
      <c r="O31" s="236">
        <v>16329</v>
      </c>
      <c r="P31" s="236">
        <v>80656</v>
      </c>
      <c r="Q31" s="236">
        <v>61120</v>
      </c>
      <c r="R31" s="236">
        <v>65783</v>
      </c>
      <c r="S31" s="236">
        <v>3322</v>
      </c>
      <c r="T31" s="236">
        <v>120489</v>
      </c>
      <c r="U31" s="236">
        <f>SUM(B31:T31)</f>
        <v>2273001</v>
      </c>
      <c r="V31" s="236">
        <v>101573</v>
      </c>
      <c r="W31" s="236">
        <f>U31+V31</f>
        <v>2374574</v>
      </c>
      <c r="X31" s="236">
        <v>94959</v>
      </c>
      <c r="Y31" s="236">
        <f>W31+X31</f>
        <v>2469533</v>
      </c>
      <c r="Z31" s="354" t="s">
        <v>1296</v>
      </c>
    </row>
    <row r="32" spans="1:27" ht="12" customHeight="1" x14ac:dyDescent="0.2">
      <c r="A32" s="372"/>
      <c r="B32" s="555">
        <f t="shared" ref="B32:W32" si="10">(B31/$W31)*100</f>
        <v>12.577498111240162</v>
      </c>
      <c r="C32" s="555">
        <f t="shared" si="10"/>
        <v>1.7884892195400102</v>
      </c>
      <c r="D32" s="555">
        <f t="shared" si="10"/>
        <v>21.039479081300478</v>
      </c>
      <c r="E32" s="555">
        <f t="shared" si="10"/>
        <v>1.1987834449463357</v>
      </c>
      <c r="F32" s="555">
        <f t="shared" si="10"/>
        <v>9.4501161050361021E-2</v>
      </c>
      <c r="G32" s="555">
        <f t="shared" si="10"/>
        <v>8.2840122059788417</v>
      </c>
      <c r="H32" s="555">
        <f t="shared" si="10"/>
        <v>14.297511890553844</v>
      </c>
      <c r="I32" s="555">
        <f t="shared" si="10"/>
        <v>7.5386153474265276</v>
      </c>
      <c r="J32" s="555">
        <f t="shared" si="10"/>
        <v>1.1186848672646126</v>
      </c>
      <c r="K32" s="555">
        <f t="shared" si="10"/>
        <v>1.2098170029655846</v>
      </c>
      <c r="L32" s="555">
        <f t="shared" si="10"/>
        <v>3.0859429944065755</v>
      </c>
      <c r="M32" s="555">
        <f t="shared" si="10"/>
        <v>8.6685443367947261</v>
      </c>
      <c r="N32" s="555">
        <f t="shared" si="10"/>
        <v>0.1780108768983405</v>
      </c>
      <c r="O32" s="555">
        <f t="shared" si="10"/>
        <v>0.68766018662715922</v>
      </c>
      <c r="P32" s="555">
        <f t="shared" si="10"/>
        <v>3.3966513572539747</v>
      </c>
      <c r="Q32" s="555">
        <f t="shared" si="10"/>
        <v>2.5739353669331848</v>
      </c>
      <c r="R32" s="555">
        <f t="shared" si="10"/>
        <v>2.7703074319856951</v>
      </c>
      <c r="S32" s="555">
        <f t="shared" si="10"/>
        <v>0.1398987776333776</v>
      </c>
      <c r="T32" s="555">
        <f t="shared" si="10"/>
        <v>5.0741311915316185</v>
      </c>
      <c r="U32" s="555">
        <f t="shared" si="10"/>
        <v>95.722474852331402</v>
      </c>
      <c r="V32" s="555">
        <f t="shared" si="10"/>
        <v>4.2775251476685918</v>
      </c>
      <c r="W32" s="555">
        <f t="shared" si="10"/>
        <v>100</v>
      </c>
      <c r="X32" s="275"/>
      <c r="Y32" s="275"/>
      <c r="Z32" s="332"/>
    </row>
    <row r="33" spans="1:26" s="154" customFormat="1" ht="12" customHeight="1" x14ac:dyDescent="0.2">
      <c r="A33" s="1589" t="s">
        <v>1404</v>
      </c>
      <c r="B33" s="236">
        <v>308399.90000000002</v>
      </c>
      <c r="C33" s="236">
        <v>47271</v>
      </c>
      <c r="D33" s="236">
        <v>561220</v>
      </c>
      <c r="E33" s="236">
        <v>30812</v>
      </c>
      <c r="F33" s="236">
        <v>2386</v>
      </c>
      <c r="G33" s="236">
        <v>217314</v>
      </c>
      <c r="H33" s="236">
        <v>369561</v>
      </c>
      <c r="I33" s="236">
        <v>191556</v>
      </c>
      <c r="J33" s="356">
        <v>28061</v>
      </c>
      <c r="K33" s="236">
        <v>30842</v>
      </c>
      <c r="L33" s="236">
        <v>79324</v>
      </c>
      <c r="M33" s="236">
        <v>213268</v>
      </c>
      <c r="N33" s="236">
        <v>4403</v>
      </c>
      <c r="O33" s="236">
        <v>17663</v>
      </c>
      <c r="P33" s="236">
        <v>85890</v>
      </c>
      <c r="Q33" s="236">
        <v>65434</v>
      </c>
      <c r="R33" s="236">
        <v>73809</v>
      </c>
      <c r="S33" s="236">
        <v>3504</v>
      </c>
      <c r="T33" s="236">
        <v>124429</v>
      </c>
      <c r="U33" s="236">
        <f>SUM(B33:T33)</f>
        <v>2455146.9</v>
      </c>
      <c r="V33" s="236">
        <v>106588</v>
      </c>
      <c r="W33" s="236">
        <f>U33+V33</f>
        <v>2561734.9</v>
      </c>
      <c r="X33" s="236">
        <v>104932</v>
      </c>
      <c r="Y33" s="236">
        <f>W33+X33</f>
        <v>2666666.9</v>
      </c>
      <c r="Z33" s="354" t="s">
        <v>1404</v>
      </c>
    </row>
    <row r="34" spans="1:26" ht="12" customHeight="1" x14ac:dyDescent="0.2">
      <c r="A34" s="372"/>
      <c r="B34" s="555">
        <f t="shared" ref="B34:W34" si="11">(B33/$W33)*100</f>
        <v>12.038712514710246</v>
      </c>
      <c r="C34" s="555">
        <f t="shared" si="11"/>
        <v>1.8452729047022003</v>
      </c>
      <c r="D34" s="555">
        <f t="shared" si="11"/>
        <v>21.907809430241983</v>
      </c>
      <c r="E34" s="555">
        <f t="shared" si="11"/>
        <v>1.2027786325587397</v>
      </c>
      <c r="F34" s="555">
        <f t="shared" si="11"/>
        <v>9.314000445557423E-2</v>
      </c>
      <c r="G34" s="555">
        <f t="shared" si="11"/>
        <v>8.4830791820027915</v>
      </c>
      <c r="H34" s="555">
        <f t="shared" si="11"/>
        <v>14.426199994386618</v>
      </c>
      <c r="I34" s="555">
        <f t="shared" si="11"/>
        <v>7.4775887231735032</v>
      </c>
      <c r="J34" s="555">
        <f t="shared" si="11"/>
        <v>1.095390471512099</v>
      </c>
      <c r="K34" s="555">
        <f t="shared" si="11"/>
        <v>1.2039497139223891</v>
      </c>
      <c r="L34" s="555">
        <f t="shared" si="11"/>
        <v>3.0964952696705659</v>
      </c>
      <c r="M34" s="555">
        <f t="shared" si="11"/>
        <v>8.3251393420919548</v>
      </c>
      <c r="N34" s="555">
        <f t="shared" si="11"/>
        <v>0.17187570813826208</v>
      </c>
      <c r="O34" s="555">
        <f t="shared" si="11"/>
        <v>0.68949367087125213</v>
      </c>
      <c r="P34" s="555">
        <f t="shared" si="11"/>
        <v>3.3528059441279421</v>
      </c>
      <c r="Q34" s="555">
        <f t="shared" si="11"/>
        <v>2.5542845983009403</v>
      </c>
      <c r="R34" s="555">
        <f t="shared" si="11"/>
        <v>2.8812114789863696</v>
      </c>
      <c r="S34" s="555">
        <f t="shared" si="11"/>
        <v>0.1367823032742381</v>
      </c>
      <c r="T34" s="555">
        <f t="shared" si="11"/>
        <v>4.8572160999172862</v>
      </c>
      <c r="U34" s="555">
        <f t="shared" si="11"/>
        <v>95.839225987044955</v>
      </c>
      <c r="V34" s="555">
        <f t="shared" si="11"/>
        <v>4.1607740129550486</v>
      </c>
      <c r="W34" s="555">
        <f t="shared" si="11"/>
        <v>100</v>
      </c>
      <c r="X34" s="275"/>
      <c r="Y34" s="275"/>
      <c r="Z34" s="332"/>
    </row>
    <row r="35" spans="1:26" s="154" customFormat="1" ht="12" customHeight="1" x14ac:dyDescent="0.2">
      <c r="A35" s="1589" t="s">
        <v>1484</v>
      </c>
      <c r="B35" s="236">
        <v>318950</v>
      </c>
      <c r="C35" s="236">
        <v>48765</v>
      </c>
      <c r="D35" s="236">
        <v>570654</v>
      </c>
      <c r="E35" s="236">
        <v>31020</v>
      </c>
      <c r="F35" s="236">
        <v>2438</v>
      </c>
      <c r="G35" s="236">
        <v>237146</v>
      </c>
      <c r="H35" s="236">
        <v>381439</v>
      </c>
      <c r="I35" s="236">
        <v>194870</v>
      </c>
      <c r="J35" s="236">
        <v>28535</v>
      </c>
      <c r="K35" s="236">
        <v>32868</v>
      </c>
      <c r="L35" s="236">
        <v>83068</v>
      </c>
      <c r="M35" s="236">
        <v>221109</v>
      </c>
      <c r="N35" s="236">
        <v>4552</v>
      </c>
      <c r="O35" s="236">
        <v>18781</v>
      </c>
      <c r="P35" s="236">
        <v>90602</v>
      </c>
      <c r="Q35" s="236">
        <v>68924</v>
      </c>
      <c r="R35" s="236">
        <v>81704</v>
      </c>
      <c r="S35" s="236">
        <v>3695</v>
      </c>
      <c r="T35" s="236">
        <v>128242</v>
      </c>
      <c r="U35" s="236">
        <f>SUM(B35:T35)</f>
        <v>2547362</v>
      </c>
      <c r="V35" s="236">
        <v>102703</v>
      </c>
      <c r="W35" s="236">
        <f>U35+V35</f>
        <v>2650065</v>
      </c>
      <c r="X35" s="236">
        <v>109691</v>
      </c>
      <c r="Y35" s="236">
        <f>W35+X35</f>
        <v>2759756</v>
      </c>
      <c r="Z35" s="354" t="s">
        <v>1484</v>
      </c>
    </row>
    <row r="36" spans="1:26" ht="12" customHeight="1" x14ac:dyDescent="0.2">
      <c r="A36" s="372"/>
      <c r="B36" s="555">
        <f t="shared" ref="B36:W36" si="12">(B35/$W35)*100</f>
        <v>12.035553844905692</v>
      </c>
      <c r="C36" s="555">
        <f t="shared" si="12"/>
        <v>1.8401435436489293</v>
      </c>
      <c r="D36" s="555">
        <f t="shared" si="12"/>
        <v>21.533585025272963</v>
      </c>
      <c r="E36" s="555">
        <f t="shared" si="12"/>
        <v>1.1705373264429364</v>
      </c>
      <c r="F36" s="555">
        <f t="shared" si="12"/>
        <v>9.1997743451575714E-2</v>
      </c>
      <c r="G36" s="555">
        <f t="shared" si="12"/>
        <v>8.9486861643016304</v>
      </c>
      <c r="H36" s="555">
        <f t="shared" si="12"/>
        <v>14.393571478435435</v>
      </c>
      <c r="I36" s="555">
        <f t="shared" si="12"/>
        <v>7.3534045391339458</v>
      </c>
      <c r="J36" s="555">
        <f t="shared" si="12"/>
        <v>1.0767660415876592</v>
      </c>
      <c r="K36" s="555">
        <f t="shared" si="12"/>
        <v>1.2402714650395368</v>
      </c>
      <c r="L36" s="555">
        <f t="shared" si="12"/>
        <v>3.1345646238865843</v>
      </c>
      <c r="M36" s="555">
        <f t="shared" si="12"/>
        <v>8.3435311964046157</v>
      </c>
      <c r="N36" s="555">
        <f t="shared" si="12"/>
        <v>0.17176937169465653</v>
      </c>
      <c r="O36" s="555">
        <f t="shared" si="12"/>
        <v>0.7086995979343903</v>
      </c>
      <c r="P36" s="555">
        <f t="shared" si="12"/>
        <v>3.418859537407573</v>
      </c>
      <c r="Q36" s="555">
        <f t="shared" si="12"/>
        <v>2.6008418661429058</v>
      </c>
      <c r="R36" s="555">
        <f t="shared" si="12"/>
        <v>3.0830941882557599</v>
      </c>
      <c r="S36" s="555">
        <f t="shared" si="12"/>
        <v>0.13943054226971791</v>
      </c>
      <c r="T36" s="555">
        <f t="shared" si="12"/>
        <v>4.8392020573080288</v>
      </c>
      <c r="U36" s="555">
        <f t="shared" si="12"/>
        <v>96.12451015352454</v>
      </c>
      <c r="V36" s="555">
        <f t="shared" si="12"/>
        <v>3.8754898464754639</v>
      </c>
      <c r="W36" s="555">
        <f t="shared" si="12"/>
        <v>100</v>
      </c>
      <c r="X36" s="275"/>
      <c r="Y36" s="275"/>
      <c r="Z36" s="332"/>
    </row>
    <row r="37" spans="1:26" s="154" customFormat="1" ht="12" customHeight="1" x14ac:dyDescent="0.2">
      <c r="A37" s="1589" t="s">
        <v>1536</v>
      </c>
      <c r="B37" s="356">
        <v>329075</v>
      </c>
      <c r="C37" s="356">
        <v>51932</v>
      </c>
      <c r="D37" s="356">
        <v>636764</v>
      </c>
      <c r="E37" s="356">
        <v>33980</v>
      </c>
      <c r="F37" s="356">
        <v>2599</v>
      </c>
      <c r="G37" s="356">
        <v>256305</v>
      </c>
      <c r="H37" s="356">
        <v>410589</v>
      </c>
      <c r="I37" s="356">
        <v>202740</v>
      </c>
      <c r="J37" s="356">
        <v>29828</v>
      </c>
      <c r="K37" s="356">
        <v>35206</v>
      </c>
      <c r="L37" s="356">
        <v>87901</v>
      </c>
      <c r="M37" s="356">
        <v>228668</v>
      </c>
      <c r="N37" s="356">
        <v>4784</v>
      </c>
      <c r="O37" s="356">
        <v>19911</v>
      </c>
      <c r="P37" s="356">
        <v>96081</v>
      </c>
      <c r="Q37" s="356">
        <v>72932</v>
      </c>
      <c r="R37" s="356">
        <v>90364</v>
      </c>
      <c r="S37" s="356">
        <v>3908</v>
      </c>
      <c r="T37" s="356">
        <v>132197</v>
      </c>
      <c r="U37" s="236">
        <f>SUM(B37:T37)</f>
        <v>2725764</v>
      </c>
      <c r="V37" s="356">
        <v>108180</v>
      </c>
      <c r="W37" s="236">
        <f>U37+V37</f>
        <v>2833944</v>
      </c>
      <c r="X37" s="356">
        <v>149165</v>
      </c>
      <c r="Y37" s="236">
        <f>W37+X37</f>
        <v>2983109</v>
      </c>
      <c r="Z37" s="354" t="s">
        <v>1536</v>
      </c>
    </row>
    <row r="38" spans="1:26" ht="12" customHeight="1" x14ac:dyDescent="0.2">
      <c r="A38" s="372"/>
      <c r="B38" s="555">
        <f t="shared" ref="B38:W42" si="13">(B37/$W37)*100</f>
        <v>11.61190905677741</v>
      </c>
      <c r="C38" s="555">
        <f t="shared" si="13"/>
        <v>1.8324991601810054</v>
      </c>
      <c r="D38" s="555">
        <f t="shared" si="13"/>
        <v>22.469180760099704</v>
      </c>
      <c r="E38" s="555">
        <f t="shared" si="13"/>
        <v>1.1990356901900672</v>
      </c>
      <c r="F38" s="555">
        <f t="shared" si="13"/>
        <v>9.1709645638728216E-2</v>
      </c>
      <c r="G38" s="555">
        <f t="shared" si="13"/>
        <v>9.0441095519177512</v>
      </c>
      <c r="H38" s="555">
        <f t="shared" si="13"/>
        <v>14.488253825763669</v>
      </c>
      <c r="I38" s="555">
        <f t="shared" si="13"/>
        <v>7.1539875170433849</v>
      </c>
      <c r="J38" s="555">
        <f t="shared" si="13"/>
        <v>1.0525260908472434</v>
      </c>
      <c r="K38" s="555">
        <f t="shared" si="13"/>
        <v>1.2422969543505447</v>
      </c>
      <c r="L38" s="555">
        <f t="shared" si="13"/>
        <v>3.10171972346666</v>
      </c>
      <c r="M38" s="555">
        <f t="shared" si="13"/>
        <v>8.068896209663988</v>
      </c>
      <c r="N38" s="555">
        <f t="shared" si="13"/>
        <v>0.16881067515801298</v>
      </c>
      <c r="O38" s="555">
        <f t="shared" si="13"/>
        <v>0.70258974771555116</v>
      </c>
      <c r="P38" s="555">
        <f t="shared" si="13"/>
        <v>3.3903633946189484</v>
      </c>
      <c r="Q38" s="555">
        <f t="shared" si="13"/>
        <v>2.5735159198629192</v>
      </c>
      <c r="R38" s="555">
        <f t="shared" si="13"/>
        <v>3.1886304034236388</v>
      </c>
      <c r="S38" s="555">
        <f t="shared" si="13"/>
        <v>0.13789969032556748</v>
      </c>
      <c r="T38" s="555">
        <f t="shared" si="13"/>
        <v>4.6647710752223759</v>
      </c>
      <c r="U38" s="555">
        <f t="shared" si="13"/>
        <v>96.18270509226717</v>
      </c>
      <c r="V38" s="555">
        <f t="shared" si="13"/>
        <v>3.8172949077328275</v>
      </c>
      <c r="W38" s="555">
        <f t="shared" si="13"/>
        <v>100</v>
      </c>
      <c r="X38" s="275"/>
      <c r="Y38" s="275"/>
      <c r="Z38" s="332"/>
    </row>
    <row r="39" spans="1:26" ht="12" customHeight="1" x14ac:dyDescent="0.2">
      <c r="A39" s="1589" t="s">
        <v>1817</v>
      </c>
      <c r="B39" s="356">
        <v>339125</v>
      </c>
      <c r="C39" s="356">
        <v>51352</v>
      </c>
      <c r="D39" s="356">
        <v>709425</v>
      </c>
      <c r="E39" s="356">
        <v>36070</v>
      </c>
      <c r="F39" s="356">
        <v>2848</v>
      </c>
      <c r="G39" s="356">
        <v>278628</v>
      </c>
      <c r="H39" s="356">
        <v>445317</v>
      </c>
      <c r="I39" s="356">
        <v>214399</v>
      </c>
      <c r="J39" s="356">
        <v>31428</v>
      </c>
      <c r="K39" s="356">
        <v>36891</v>
      </c>
      <c r="L39" s="356">
        <v>93061</v>
      </c>
      <c r="M39" s="356">
        <v>237134</v>
      </c>
      <c r="N39" s="356">
        <v>4987</v>
      </c>
      <c r="O39" s="356">
        <v>21108</v>
      </c>
      <c r="P39" s="356">
        <v>100802</v>
      </c>
      <c r="Q39" s="356">
        <v>78675</v>
      </c>
      <c r="R39" s="356">
        <v>99289</v>
      </c>
      <c r="S39" s="356">
        <v>4145</v>
      </c>
      <c r="T39" s="356">
        <v>136410</v>
      </c>
      <c r="U39" s="236">
        <f>SUM(B39:T39)</f>
        <v>2921094</v>
      </c>
      <c r="V39" s="356">
        <v>114056</v>
      </c>
      <c r="W39" s="236">
        <f>U39+V39</f>
        <v>3035150</v>
      </c>
      <c r="X39" s="356">
        <v>120242</v>
      </c>
      <c r="Y39" s="236">
        <f>W39+X39</f>
        <v>3155392</v>
      </c>
      <c r="Z39" s="354" t="s">
        <v>1817</v>
      </c>
    </row>
    <row r="40" spans="1:26" ht="12" customHeight="1" x14ac:dyDescent="0.2">
      <c r="A40" s="372"/>
      <c r="B40" s="555">
        <f>(B39/$W39)*100</f>
        <v>11.173253381216744</v>
      </c>
      <c r="C40" s="555">
        <f t="shared" si="13"/>
        <v>1.6919097902904305</v>
      </c>
      <c r="D40" s="555">
        <f t="shared" si="13"/>
        <v>23.373638864636014</v>
      </c>
      <c r="E40" s="555">
        <f t="shared" si="13"/>
        <v>1.1884091395812397</v>
      </c>
      <c r="F40" s="555">
        <f t="shared" si="13"/>
        <v>9.3833912656705598E-2</v>
      </c>
      <c r="G40" s="555">
        <f t="shared" si="13"/>
        <v>9.1800405251799742</v>
      </c>
      <c r="H40" s="555">
        <f t="shared" si="13"/>
        <v>14.671993146961434</v>
      </c>
      <c r="I40" s="555">
        <f t="shared" si="13"/>
        <v>7.0638683425860345</v>
      </c>
      <c r="J40" s="555">
        <f t="shared" si="13"/>
        <v>1.0354677693029999</v>
      </c>
      <c r="K40" s="555">
        <f t="shared" si="13"/>
        <v>1.2154588735317859</v>
      </c>
      <c r="L40" s="555">
        <f t="shared" si="13"/>
        <v>3.0661087590399156</v>
      </c>
      <c r="M40" s="555">
        <f t="shared" si="13"/>
        <v>7.8129252261008517</v>
      </c>
      <c r="N40" s="555">
        <f t="shared" si="13"/>
        <v>0.16430818905161193</v>
      </c>
      <c r="O40" s="555">
        <f t="shared" si="13"/>
        <v>0.69545162512561154</v>
      </c>
      <c r="P40" s="555">
        <f t="shared" si="13"/>
        <v>3.3211538144737491</v>
      </c>
      <c r="Q40" s="555">
        <f t="shared" si="13"/>
        <v>2.5921288898407</v>
      </c>
      <c r="R40" s="555">
        <f>(R39/$W39)*100</f>
        <v>3.2713045483748746</v>
      </c>
      <c r="S40" s="555">
        <f>(S39/$W39)*100</f>
        <v>0.13656656178442581</v>
      </c>
      <c r="T40" s="555">
        <f>(T39/$W39)*100</f>
        <v>4.4943413010889079</v>
      </c>
      <c r="U40" s="555">
        <f t="shared" si="13"/>
        <v>96.242162660824022</v>
      </c>
      <c r="V40" s="555">
        <f t="shared" si="13"/>
        <v>3.7578373391759881</v>
      </c>
      <c r="W40" s="555">
        <f t="shared" si="13"/>
        <v>100</v>
      </c>
      <c r="X40" s="275"/>
      <c r="Y40" s="275"/>
      <c r="Z40" s="332"/>
    </row>
    <row r="41" spans="1:26" ht="12" customHeight="1" x14ac:dyDescent="0.2">
      <c r="A41" s="1589" t="s">
        <v>2066</v>
      </c>
      <c r="B41" s="356">
        <v>350559</v>
      </c>
      <c r="C41" s="356">
        <v>57888</v>
      </c>
      <c r="D41" s="356">
        <v>772522</v>
      </c>
      <c r="E41" s="356">
        <v>36959</v>
      </c>
      <c r="F41" s="356">
        <v>3100</v>
      </c>
      <c r="G41" s="356">
        <v>298079</v>
      </c>
      <c r="H41" s="356">
        <v>473716</v>
      </c>
      <c r="I41" s="356">
        <v>226164</v>
      </c>
      <c r="J41" s="356">
        <v>33265</v>
      </c>
      <c r="K41" s="356">
        <v>39235</v>
      </c>
      <c r="L41" s="356">
        <v>95433</v>
      </c>
      <c r="M41" s="356">
        <v>245870</v>
      </c>
      <c r="N41" s="356">
        <v>5426</v>
      </c>
      <c r="O41" s="356">
        <v>22694</v>
      </c>
      <c r="P41" s="356">
        <v>107890</v>
      </c>
      <c r="Q41" s="356">
        <v>83021</v>
      </c>
      <c r="R41" s="356">
        <v>106457</v>
      </c>
      <c r="S41" s="356">
        <v>4408</v>
      </c>
      <c r="T41" s="356">
        <v>140833</v>
      </c>
      <c r="U41" s="356">
        <f>SUM(B41:T41)</f>
        <v>3103519</v>
      </c>
      <c r="V41" s="356">
        <v>106914</v>
      </c>
      <c r="W41" s="236">
        <f>U41+V41</f>
        <v>3210433</v>
      </c>
      <c r="X41" s="356">
        <v>128135</v>
      </c>
      <c r="Y41" s="236">
        <f>W41+X41</f>
        <v>3338568</v>
      </c>
      <c r="Z41" s="354" t="s">
        <v>2066</v>
      </c>
    </row>
    <row r="42" spans="1:26" ht="12" customHeight="1" x14ac:dyDescent="0.2">
      <c r="A42" s="372"/>
      <c r="B42" s="555">
        <f>(B41/$W41)*100</f>
        <v>10.919368197373998</v>
      </c>
      <c r="C42" s="555">
        <f t="shared" si="13"/>
        <v>1.8031212612130514</v>
      </c>
      <c r="D42" s="555">
        <f t="shared" si="13"/>
        <v>24.062860056571807</v>
      </c>
      <c r="E42" s="555">
        <f t="shared" si="13"/>
        <v>1.1512154279500615</v>
      </c>
      <c r="F42" s="555">
        <f t="shared" si="13"/>
        <v>9.6560183626320822E-2</v>
      </c>
      <c r="G42" s="555">
        <f t="shared" si="13"/>
        <v>9.2846977339193817</v>
      </c>
      <c r="H42" s="555">
        <f t="shared" si="13"/>
        <v>14.755517402169737</v>
      </c>
      <c r="I42" s="555">
        <f t="shared" si="13"/>
        <v>7.0446572160203935</v>
      </c>
      <c r="J42" s="555">
        <f t="shared" si="13"/>
        <v>1.0361530672030845</v>
      </c>
      <c r="K42" s="555">
        <f t="shared" si="13"/>
        <v>1.2221092917995797</v>
      </c>
      <c r="L42" s="555">
        <f t="shared" si="13"/>
        <v>2.9725896787131205</v>
      </c>
      <c r="M42" s="555">
        <f t="shared" si="13"/>
        <v>7.6584684994204828</v>
      </c>
      <c r="N42" s="555">
        <f t="shared" si="13"/>
        <v>0.16901146979239251</v>
      </c>
      <c r="O42" s="555">
        <f t="shared" si="13"/>
        <v>0.70688284103733046</v>
      </c>
      <c r="P42" s="555">
        <f t="shared" si="13"/>
        <v>3.3606058746592748</v>
      </c>
      <c r="Q42" s="555">
        <f t="shared" si="13"/>
        <v>2.5859751628518644</v>
      </c>
      <c r="R42" s="555">
        <f>(R41/$W41)*100</f>
        <v>3.3159701510668502</v>
      </c>
      <c r="S42" s="555">
        <f>(S41/$W41)*100</f>
        <v>0.13730235142736197</v>
      </c>
      <c r="T42" s="555">
        <f>(T41/$W41)*100</f>
        <v>4.3867291421437544</v>
      </c>
      <c r="U42" s="555">
        <f t="shared" si="13"/>
        <v>96.669795008959852</v>
      </c>
      <c r="V42" s="555">
        <f t="shared" si="13"/>
        <v>3.3302049910401497</v>
      </c>
      <c r="W42" s="555">
        <f>(W41/$W41)*100</f>
        <v>100</v>
      </c>
      <c r="X42" s="275"/>
      <c r="Y42" s="275"/>
      <c r="Z42" s="332"/>
    </row>
    <row r="43" spans="1:26" ht="12" customHeight="1" x14ac:dyDescent="0.2">
      <c r="A43" s="1589" t="s">
        <v>2206</v>
      </c>
      <c r="B43" s="356">
        <v>362141</v>
      </c>
      <c r="C43" s="356">
        <v>57224</v>
      </c>
      <c r="D43" s="356">
        <v>796907</v>
      </c>
      <c r="E43" s="356">
        <v>37320</v>
      </c>
      <c r="F43" s="356">
        <v>3223</v>
      </c>
      <c r="G43" s="356">
        <v>314847</v>
      </c>
      <c r="H43" s="356">
        <v>501036</v>
      </c>
      <c r="I43" s="356">
        <v>237794</v>
      </c>
      <c r="J43" s="356">
        <v>35128</v>
      </c>
      <c r="K43" s="356">
        <v>40826</v>
      </c>
      <c r="L43" s="356">
        <v>96585</v>
      </c>
      <c r="M43" s="356">
        <v>254477</v>
      </c>
      <c r="N43" s="356">
        <v>5840</v>
      </c>
      <c r="O43" s="356">
        <v>24704</v>
      </c>
      <c r="P43" s="356">
        <v>113914</v>
      </c>
      <c r="Q43" s="356">
        <v>88464</v>
      </c>
      <c r="R43" s="356">
        <v>116325</v>
      </c>
      <c r="S43" s="356">
        <v>4690</v>
      </c>
      <c r="T43" s="356">
        <v>145262</v>
      </c>
      <c r="U43" s="356">
        <f>SUM(B43:T43)</f>
        <v>3236707</v>
      </c>
      <c r="V43" s="356">
        <v>109311</v>
      </c>
      <c r="W43" s="356">
        <f>U43+V43</f>
        <v>3346018</v>
      </c>
      <c r="X43" s="356">
        <v>144088</v>
      </c>
      <c r="Y43" s="236">
        <f>W43+X43</f>
        <v>3490106</v>
      </c>
      <c r="Z43" s="354" t="s">
        <v>2206</v>
      </c>
    </row>
    <row r="44" spans="1:26" ht="12" customHeight="1" x14ac:dyDescent="0.2">
      <c r="A44" s="372"/>
      <c r="B44" s="555">
        <f>(B43/$W43)*100</f>
        <v>10.823043988406518</v>
      </c>
      <c r="C44" s="555">
        <f t="shared" ref="C44:Q46" si="14">(C43/$W43)*100</f>
        <v>1.7102119594096625</v>
      </c>
      <c r="D44" s="555">
        <f t="shared" si="14"/>
        <v>23.816578392584859</v>
      </c>
      <c r="E44" s="555">
        <f t="shared" si="14"/>
        <v>1.1153556257019537</v>
      </c>
      <c r="F44" s="555">
        <f t="shared" si="14"/>
        <v>9.6323450740551902E-2</v>
      </c>
      <c r="G44" s="555">
        <f t="shared" si="14"/>
        <v>9.4096026978934368</v>
      </c>
      <c r="H44" s="555">
        <f t="shared" si="14"/>
        <v>14.974097569110507</v>
      </c>
      <c r="I44" s="555">
        <f t="shared" si="14"/>
        <v>7.1067758750849519</v>
      </c>
      <c r="J44" s="555">
        <f t="shared" si="14"/>
        <v>1.0498449201408959</v>
      </c>
      <c r="K44" s="555">
        <f t="shared" si="14"/>
        <v>1.2201368910747044</v>
      </c>
      <c r="L44" s="555">
        <f t="shared" si="14"/>
        <v>2.886565463784116</v>
      </c>
      <c r="M44" s="555">
        <f t="shared" si="14"/>
        <v>7.6053685305936787</v>
      </c>
      <c r="N44" s="555">
        <f t="shared" si="14"/>
        <v>0.17453582138530038</v>
      </c>
      <c r="O44" s="555">
        <f t="shared" si="14"/>
        <v>0.73831043347644876</v>
      </c>
      <c r="P44" s="555">
        <f t="shared" si="14"/>
        <v>3.4044646502200528</v>
      </c>
      <c r="Q44" s="555">
        <f t="shared" si="14"/>
        <v>2.643859058737879</v>
      </c>
      <c r="R44" s="555">
        <f>(R43/$W43)*100</f>
        <v>3.4765204490830595</v>
      </c>
      <c r="S44" s="555">
        <f>(S43/$W43)*100</f>
        <v>0.1401666099823731</v>
      </c>
      <c r="T44" s="555">
        <f>(T43/$W43)*100</f>
        <v>4.341339466793066</v>
      </c>
      <c r="U44" s="555">
        <f t="shared" ref="U44:V46" si="15">(U43/$W43)*100</f>
        <v>96.733101854204008</v>
      </c>
      <c r="V44" s="555">
        <f t="shared" si="15"/>
        <v>3.266898145795988</v>
      </c>
      <c r="W44" s="555">
        <f>(W43/$W43)*100</f>
        <v>100</v>
      </c>
      <c r="X44" s="275"/>
      <c r="Y44" s="275"/>
      <c r="Z44" s="332"/>
    </row>
    <row r="45" spans="1:26" ht="12" customHeight="1" x14ac:dyDescent="0.2">
      <c r="A45" s="1589" t="s">
        <v>2596</v>
      </c>
      <c r="B45" s="356">
        <v>370902</v>
      </c>
      <c r="C45" s="356">
        <v>58171</v>
      </c>
      <c r="D45" s="356">
        <v>843340</v>
      </c>
      <c r="E45" s="356">
        <v>39282</v>
      </c>
      <c r="F45" s="356">
        <v>3330</v>
      </c>
      <c r="G45" s="356">
        <v>310282</v>
      </c>
      <c r="H45" s="356">
        <v>524932</v>
      </c>
      <c r="I45" s="356">
        <v>248100</v>
      </c>
      <c r="J45" s="356">
        <v>36667</v>
      </c>
      <c r="K45" s="356">
        <v>41923</v>
      </c>
      <c r="L45" s="356">
        <v>98170</v>
      </c>
      <c r="M45" s="356">
        <v>262562</v>
      </c>
      <c r="N45" s="356">
        <v>6197</v>
      </c>
      <c r="O45" s="356">
        <v>27092</v>
      </c>
      <c r="P45" s="356">
        <v>120410</v>
      </c>
      <c r="Q45" s="356">
        <v>92670</v>
      </c>
      <c r="R45" s="356">
        <v>123991</v>
      </c>
      <c r="S45" s="356">
        <v>4998</v>
      </c>
      <c r="T45" s="356">
        <v>149719</v>
      </c>
      <c r="U45" s="356">
        <v>3362736</v>
      </c>
      <c r="V45" s="356">
        <v>100054</v>
      </c>
      <c r="W45" s="356">
        <f>U45+V45</f>
        <v>3462790</v>
      </c>
      <c r="X45" s="356">
        <v>190129</v>
      </c>
      <c r="Y45" s="236">
        <f>W45+X45</f>
        <v>3652919</v>
      </c>
      <c r="Z45" s="1589" t="s">
        <v>2596</v>
      </c>
    </row>
    <row r="46" spans="1:26" ht="12" customHeight="1" thickBot="1" x14ac:dyDescent="0.25">
      <c r="A46" s="752"/>
      <c r="B46" s="538">
        <f>(B45/$W45)*100</f>
        <v>10.711074018349366</v>
      </c>
      <c r="C46" s="538">
        <f t="shared" si="14"/>
        <v>1.6798881826504062</v>
      </c>
      <c r="D46" s="538">
        <f t="shared" si="14"/>
        <v>24.354350104973157</v>
      </c>
      <c r="E46" s="538">
        <f t="shared" si="14"/>
        <v>1.1344031835600774</v>
      </c>
      <c r="F46" s="538">
        <f t="shared" si="14"/>
        <v>9.6165230926507236E-2</v>
      </c>
      <c r="G46" s="538">
        <f t="shared" si="14"/>
        <v>8.9604625172187742</v>
      </c>
      <c r="H46" s="538">
        <f t="shared" si="14"/>
        <v>15.159221321535524</v>
      </c>
      <c r="I46" s="538">
        <f t="shared" si="14"/>
        <v>7.1647428807406737</v>
      </c>
      <c r="J46" s="538">
        <f t="shared" si="14"/>
        <v>1.0588860427574298</v>
      </c>
      <c r="K46" s="538">
        <f t="shared" si="14"/>
        <v>1.2106711640035925</v>
      </c>
      <c r="L46" s="538">
        <f t="shared" si="14"/>
        <v>2.8349972132297943</v>
      </c>
      <c r="M46" s="538">
        <f t="shared" si="14"/>
        <v>7.5823829917494274</v>
      </c>
      <c r="N46" s="538">
        <f t="shared" si="14"/>
        <v>0.17895974055602565</v>
      </c>
      <c r="O46" s="538">
        <f t="shared" si="14"/>
        <v>0.78237490578406432</v>
      </c>
      <c r="P46" s="538">
        <f t="shared" si="14"/>
        <v>3.4772538906488695</v>
      </c>
      <c r="Q46" s="538">
        <f t="shared" si="14"/>
        <v>2.6761657507385661</v>
      </c>
      <c r="R46" s="538">
        <f>(R45/$W45)*100</f>
        <v>3.5806676119545222</v>
      </c>
      <c r="S46" s="538">
        <f>(S45/$W45)*100</f>
        <v>0.14433448173293789</v>
      </c>
      <c r="T46" s="538">
        <f>(T45/$W45)*100</f>
        <v>4.3236523150407615</v>
      </c>
      <c r="U46" s="538">
        <f t="shared" si="15"/>
        <v>97.110595791255022</v>
      </c>
      <c r="V46" s="538">
        <f t="shared" si="15"/>
        <v>2.8894042087449714</v>
      </c>
      <c r="W46" s="538">
        <f>(W45/$W45)*100</f>
        <v>100</v>
      </c>
      <c r="X46" s="706"/>
      <c r="Y46" s="706"/>
      <c r="Z46" s="753"/>
    </row>
    <row r="47" spans="1:26" ht="13.5" customHeight="1" x14ac:dyDescent="0.2">
      <c r="A47" s="75" t="s">
        <v>1963</v>
      </c>
      <c r="B47" s="2692" t="s">
        <v>1964</v>
      </c>
      <c r="C47" s="2692"/>
      <c r="D47" s="2692"/>
      <c r="E47" s="2692"/>
      <c r="F47" s="2692"/>
      <c r="G47" s="2692"/>
      <c r="H47" s="2692"/>
      <c r="I47" s="2692"/>
      <c r="J47" s="2692"/>
      <c r="K47" s="240"/>
      <c r="L47" s="1124"/>
      <c r="M47" s="548"/>
      <c r="N47" s="640" t="s">
        <v>1965</v>
      </c>
      <c r="O47" s="7"/>
      <c r="P47" s="7"/>
      <c r="Q47" s="7"/>
      <c r="R47" s="50"/>
      <c r="S47" s="984"/>
      <c r="T47" s="984"/>
      <c r="U47" s="50" t="s">
        <v>2158</v>
      </c>
      <c r="V47" s="984"/>
      <c r="W47" s="7"/>
      <c r="X47" s="2685"/>
      <c r="Y47" s="2685"/>
      <c r="Z47" s="7"/>
    </row>
    <row r="48" spans="1:26" ht="9.75" customHeight="1" x14ac:dyDescent="0.2">
      <c r="B48" s="2690"/>
      <c r="C48" s="2690"/>
      <c r="D48" s="2690"/>
      <c r="E48" s="1594"/>
      <c r="F48" s="2685"/>
      <c r="G48" s="2685"/>
      <c r="H48" s="1594"/>
      <c r="I48" s="1594"/>
      <c r="J48" s="1594"/>
      <c r="K48" s="1594"/>
      <c r="L48" s="1594"/>
      <c r="P48" s="2691"/>
      <c r="Q48" s="2691"/>
      <c r="R48" s="2691"/>
      <c r="S48" s="1590"/>
    </row>
    <row r="49" spans="2:26" ht="9.75" customHeight="1" x14ac:dyDescent="0.2"/>
    <row r="50" spans="2:26" ht="9.75" customHeight="1" x14ac:dyDescent="0.2">
      <c r="D50" s="665"/>
      <c r="H50" s="1125"/>
    </row>
    <row r="51" spans="2:26" ht="9.75" customHeight="1" x14ac:dyDescent="0.2"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</row>
    <row r="52" spans="2:26" ht="9.75" customHeight="1" x14ac:dyDescent="0.2">
      <c r="B52" s="665"/>
      <c r="C52" s="665"/>
      <c r="D52" s="665"/>
      <c r="E52" s="665"/>
      <c r="F52" s="665"/>
      <c r="G52" s="665"/>
      <c r="H52" s="665"/>
      <c r="I52" s="665"/>
      <c r="J52" s="665"/>
      <c r="K52" s="665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</row>
    <row r="53" spans="2:26" ht="9.75" customHeight="1" x14ac:dyDescent="0.2"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</row>
    <row r="54" spans="2:26" ht="9.75" customHeight="1" x14ac:dyDescent="0.2"/>
    <row r="55" spans="2:26" ht="9.75" customHeight="1" x14ac:dyDescent="0.2"/>
    <row r="56" spans="2:26" ht="9.75" customHeight="1" x14ac:dyDescent="0.2"/>
    <row r="57" spans="2:26" ht="9.75" customHeight="1" x14ac:dyDescent="0.2"/>
    <row r="58" spans="2:26" ht="9.75" customHeight="1" x14ac:dyDescent="0.2"/>
    <row r="59" spans="2:26" ht="9.75" customHeight="1" x14ac:dyDescent="0.2"/>
    <row r="60" spans="2:26" ht="9.75" customHeight="1" x14ac:dyDescent="0.2"/>
    <row r="61" spans="2:26" ht="9.75" customHeight="1" x14ac:dyDescent="0.2"/>
    <row r="62" spans="2:26" ht="9.75" customHeight="1" x14ac:dyDescent="0.2"/>
    <row r="63" spans="2:26" ht="9.75" customHeight="1" x14ac:dyDescent="0.2"/>
    <row r="64" spans="2:26" ht="9.75" customHeight="1" x14ac:dyDescent="0.2"/>
    <row r="65" ht="9.75" customHeight="1" x14ac:dyDescent="0.2"/>
    <row r="66" ht="9.75" customHeight="1" x14ac:dyDescent="0.2"/>
  </sheetData>
  <customSheetViews>
    <customSheetView guid="{A374FC54-96E3-45F0-9C12-8450400C12DF}" scale="170" topLeftCell="O1">
      <pane ySplit="4" topLeftCell="A35" activePane="bottomLeft" state="frozen"/>
      <selection pane="bottomLeft" activeCell="X40" sqref="X40"/>
      <pageMargins left="0.62992125984252001" right="0.511811023622047" top="0.511811023622047" bottom="0.511811023622047" header="0.25" footer="0"/>
      <pageSetup paperSize="132" firstPageNumber="48" orientation="portrait" useFirstPageNumber="1" r:id="rId1"/>
      <headerFooter>
        <oddFooter>&amp;C&amp;"Times New Roman,Regular"&amp;8&amp;P</oddFooter>
      </headerFooter>
    </customSheetView>
  </customSheetViews>
  <mergeCells count="13">
    <mergeCell ref="Y1:Z1"/>
    <mergeCell ref="J2:L2"/>
    <mergeCell ref="Y2:Z2"/>
    <mergeCell ref="Z3:Z4"/>
    <mergeCell ref="A5:C5"/>
    <mergeCell ref="A3:A4"/>
    <mergeCell ref="N1:X1"/>
    <mergeCell ref="E1:M1"/>
    <mergeCell ref="X47:Y47"/>
    <mergeCell ref="B48:D48"/>
    <mergeCell ref="F48:G48"/>
    <mergeCell ref="P48:R48"/>
    <mergeCell ref="B47:J47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819"/>
  <sheetViews>
    <sheetView showWhiteSpace="0" zoomScale="130" zoomScaleNormal="13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" sqref="E1:K1"/>
    </sheetView>
  </sheetViews>
  <sheetFormatPr defaultColWidth="9.140625" defaultRowHeight="11.25" x14ac:dyDescent="0.2"/>
  <cols>
    <col min="1" max="2" width="7" style="8" customWidth="1"/>
    <col min="3" max="3" width="8.28515625" style="8" customWidth="1"/>
    <col min="4" max="4" width="6.7109375" style="8" customWidth="1"/>
    <col min="5" max="5" width="6.85546875" style="8" customWidth="1"/>
    <col min="6" max="6" width="7.7109375" style="8" customWidth="1"/>
    <col min="7" max="7" width="7.140625" style="8" customWidth="1"/>
    <col min="8" max="8" width="9.28515625" style="8" customWidth="1"/>
    <col min="9" max="9" width="7.7109375" style="8" customWidth="1"/>
    <col min="10" max="10" width="9.5703125" style="1241" customWidth="1"/>
    <col min="11" max="11" width="7.140625" style="8" customWidth="1"/>
    <col min="12" max="12" width="12.140625" style="8" customWidth="1"/>
    <col min="13" max="13" width="9.5703125" style="8" customWidth="1"/>
    <col min="14" max="14" width="7.140625" style="8" customWidth="1"/>
    <col min="15" max="15" width="8.5703125" style="8" customWidth="1"/>
    <col min="16" max="16" width="6.85546875" style="8" customWidth="1"/>
    <col min="17" max="17" width="7.42578125" style="8" customWidth="1"/>
    <col min="18" max="18" width="8.28515625" style="8" customWidth="1"/>
    <col min="19" max="19" width="7.85546875" style="82" customWidth="1"/>
    <col min="20" max="20" width="7.85546875" style="8" customWidth="1"/>
    <col min="21" max="21" width="7.28515625" style="8" customWidth="1"/>
    <col min="22" max="22" width="9" style="8" customWidth="1"/>
    <col min="23" max="23" width="7" style="8" customWidth="1"/>
    <col min="24" max="24" width="7.28515625" style="8" customWidth="1"/>
    <col min="25" max="25" width="6.5703125" style="8" customWidth="1"/>
    <col min="26" max="26" width="7.42578125" style="8" customWidth="1"/>
    <col min="27" max="27" width="9.140625" style="8" customWidth="1"/>
    <col min="28" max="28" width="7.140625" style="8" customWidth="1"/>
    <col min="29" max="29" width="9.140625" style="8" customWidth="1"/>
    <col min="30" max="30" width="7.5703125" style="8" customWidth="1"/>
    <col min="31" max="31" width="12" style="8" customWidth="1"/>
    <col min="32" max="32" width="9.7109375" style="8" customWidth="1"/>
    <col min="33" max="33" width="8.140625" style="8" customWidth="1"/>
    <col min="34" max="34" width="10.28515625" style="8" customWidth="1"/>
    <col min="35" max="35" width="9.85546875" style="8" customWidth="1"/>
    <col min="36" max="36" width="7" style="8" customWidth="1"/>
    <col min="37" max="37" width="9" style="8" customWidth="1"/>
    <col min="38" max="38" width="5.7109375" style="8" customWidth="1"/>
    <col min="39" max="39" width="6.7109375" style="8" customWidth="1"/>
    <col min="40" max="16384" width="9.140625" style="8"/>
  </cols>
  <sheetData>
    <row r="1" spans="1:40" s="474" customFormat="1" ht="12.75" customHeight="1" x14ac:dyDescent="0.25">
      <c r="A1" s="1232"/>
      <c r="B1" s="1232"/>
      <c r="C1" s="1232"/>
      <c r="D1" s="1233" t="s">
        <v>2004</v>
      </c>
      <c r="E1" s="2292" t="s">
        <v>2229</v>
      </c>
      <c r="F1" s="2292"/>
      <c r="G1" s="2292"/>
      <c r="H1" s="2292"/>
      <c r="I1" s="2292"/>
      <c r="J1" s="2292"/>
      <c r="K1" s="2292"/>
      <c r="L1" s="2712" t="s">
        <v>2306</v>
      </c>
      <c r="M1" s="2712"/>
      <c r="N1" s="2712"/>
      <c r="O1" s="2712"/>
      <c r="P1" s="2712"/>
      <c r="Q1" s="2712"/>
      <c r="R1" s="2712"/>
      <c r="S1" s="2712"/>
      <c r="T1" s="2712"/>
      <c r="U1" s="2712"/>
      <c r="V1" s="1232"/>
      <c r="W1" s="1233" t="s">
        <v>2004</v>
      </c>
      <c r="X1" s="1233"/>
      <c r="Y1" s="2292" t="s">
        <v>2229</v>
      </c>
      <c r="Z1" s="2292"/>
      <c r="AA1" s="2292"/>
      <c r="AB1" s="2292"/>
      <c r="AC1" s="2292"/>
      <c r="AD1" s="2292"/>
      <c r="AE1" s="2324" t="s">
        <v>2307</v>
      </c>
      <c r="AF1" s="2324"/>
      <c r="AG1" s="2324"/>
      <c r="AH1" s="2324"/>
      <c r="AI1" s="2324"/>
      <c r="AJ1" s="2324"/>
      <c r="AK1" s="2324"/>
      <c r="AL1" s="2324"/>
      <c r="AM1" s="2324"/>
      <c r="AN1" s="2324"/>
    </row>
    <row r="2" spans="1:40" s="396" customFormat="1" ht="9.75" customHeight="1" x14ac:dyDescent="0.2">
      <c r="A2" s="1234"/>
      <c r="B2" s="1234"/>
      <c r="C2" s="1234"/>
      <c r="F2" s="1234"/>
      <c r="G2" s="1234"/>
      <c r="H2" s="1234"/>
      <c r="I2" s="1234"/>
      <c r="J2" s="1234"/>
      <c r="K2" s="2708"/>
      <c r="L2" s="2708"/>
      <c r="M2" s="1235"/>
      <c r="N2" s="1235"/>
      <c r="O2" s="1235"/>
      <c r="R2" s="2713" t="s">
        <v>2230</v>
      </c>
      <c r="S2" s="2713"/>
      <c r="T2" s="2713"/>
      <c r="U2" s="1234"/>
      <c r="V2" s="1234"/>
      <c r="Y2" s="1234"/>
      <c r="Z2" s="1234"/>
      <c r="AA2" s="1234"/>
      <c r="AB2" s="1234"/>
      <c r="AC2" s="1234"/>
      <c r="AD2" s="2708"/>
      <c r="AE2" s="2708"/>
      <c r="AF2" s="1235"/>
      <c r="AG2" s="1235"/>
      <c r="AH2" s="1235"/>
      <c r="AK2" s="2709" t="s">
        <v>24</v>
      </c>
      <c r="AL2" s="2709"/>
      <c r="AM2" s="2709"/>
    </row>
    <row r="3" spans="1:40" s="340" customFormat="1" ht="11.25" customHeight="1" x14ac:dyDescent="0.2">
      <c r="A3" s="2703" t="s">
        <v>474</v>
      </c>
      <c r="B3" s="1677"/>
      <c r="C3" s="1236" t="s">
        <v>147</v>
      </c>
      <c r="D3" s="2700" t="s">
        <v>2215</v>
      </c>
      <c r="E3" s="2701"/>
      <c r="F3" s="2701"/>
      <c r="G3" s="2701"/>
      <c r="H3" s="2702"/>
      <c r="I3" s="2700" t="s">
        <v>324</v>
      </c>
      <c r="J3" s="2701"/>
      <c r="K3" s="2701"/>
      <c r="L3" s="2701"/>
      <c r="M3" s="2701"/>
      <c r="N3" s="2701"/>
      <c r="O3" s="2702"/>
      <c r="P3" s="2710" t="s">
        <v>2220</v>
      </c>
      <c r="Q3" s="2703" t="s">
        <v>1958</v>
      </c>
      <c r="R3" s="2703" t="s">
        <v>2221</v>
      </c>
      <c r="S3" s="2705" t="s">
        <v>2222</v>
      </c>
      <c r="T3" s="2703" t="s">
        <v>474</v>
      </c>
      <c r="U3" s="2703" t="s">
        <v>474</v>
      </c>
      <c r="V3" s="1237" t="s">
        <v>147</v>
      </c>
      <c r="W3" s="2700" t="s">
        <v>2215</v>
      </c>
      <c r="X3" s="2701"/>
      <c r="Y3" s="2701"/>
      <c r="Z3" s="2701"/>
      <c r="AA3" s="2702"/>
      <c r="AB3" s="2700" t="s">
        <v>324</v>
      </c>
      <c r="AC3" s="2701"/>
      <c r="AD3" s="2701"/>
      <c r="AE3" s="2701"/>
      <c r="AF3" s="2701"/>
      <c r="AG3" s="2701"/>
      <c r="AH3" s="2702"/>
      <c r="AI3" s="2710" t="s">
        <v>2220</v>
      </c>
      <c r="AJ3" s="2703" t="s">
        <v>1958</v>
      </c>
      <c r="AK3" s="2703" t="s">
        <v>2233</v>
      </c>
      <c r="AL3" s="2705" t="s">
        <v>2222</v>
      </c>
      <c r="AM3" s="2703" t="s">
        <v>474</v>
      </c>
    </row>
    <row r="4" spans="1:40" s="159" customFormat="1" ht="58.5" customHeight="1" x14ac:dyDescent="0.2">
      <c r="A4" s="2707"/>
      <c r="B4" s="1678"/>
      <c r="C4" s="1231" t="s">
        <v>1944</v>
      </c>
      <c r="D4" s="1231" t="s">
        <v>1240</v>
      </c>
      <c r="E4" s="1231" t="s">
        <v>261</v>
      </c>
      <c r="F4" s="1231" t="s">
        <v>2214</v>
      </c>
      <c r="G4" s="1231" t="s">
        <v>262</v>
      </c>
      <c r="H4" s="1231" t="s">
        <v>470</v>
      </c>
      <c r="I4" s="1231" t="s">
        <v>2216</v>
      </c>
      <c r="J4" s="1231" t="s">
        <v>2296</v>
      </c>
      <c r="K4" s="1231" t="s">
        <v>1950</v>
      </c>
      <c r="L4" s="1231" t="s">
        <v>2217</v>
      </c>
      <c r="M4" s="1231" t="s">
        <v>2218</v>
      </c>
      <c r="N4" s="1231" t="s">
        <v>2219</v>
      </c>
      <c r="O4" s="1231" t="s">
        <v>470</v>
      </c>
      <c r="P4" s="2711"/>
      <c r="Q4" s="2704"/>
      <c r="R4" s="2704"/>
      <c r="S4" s="2706"/>
      <c r="T4" s="2707"/>
      <c r="U4" s="2707"/>
      <c r="V4" s="1231" t="s">
        <v>2297</v>
      </c>
      <c r="W4" s="1231" t="s">
        <v>1968</v>
      </c>
      <c r="X4" s="1231" t="s">
        <v>261</v>
      </c>
      <c r="Y4" s="1231" t="s">
        <v>2214</v>
      </c>
      <c r="Z4" s="1231" t="s">
        <v>262</v>
      </c>
      <c r="AA4" s="1231" t="s">
        <v>470</v>
      </c>
      <c r="AB4" s="1231" t="s">
        <v>2216</v>
      </c>
      <c r="AC4" s="1231" t="s">
        <v>2296</v>
      </c>
      <c r="AD4" s="1231" t="s">
        <v>1950</v>
      </c>
      <c r="AE4" s="1231" t="s">
        <v>2217</v>
      </c>
      <c r="AF4" s="1231" t="s">
        <v>2218</v>
      </c>
      <c r="AG4" s="1231" t="s">
        <v>2219</v>
      </c>
      <c r="AH4" s="1231" t="s">
        <v>470</v>
      </c>
      <c r="AI4" s="2711"/>
      <c r="AJ4" s="2704"/>
      <c r="AK4" s="2704"/>
      <c r="AL4" s="2706"/>
      <c r="AM4" s="2707"/>
    </row>
    <row r="5" spans="1:40" s="915" customFormat="1" ht="11.25" customHeight="1" x14ac:dyDescent="0.15">
      <c r="A5" s="2704"/>
      <c r="B5" s="1679"/>
      <c r="C5" s="1238">
        <v>1</v>
      </c>
      <c r="D5" s="1238">
        <v>2</v>
      </c>
      <c r="E5" s="1238">
        <v>3</v>
      </c>
      <c r="F5" s="1238">
        <v>4</v>
      </c>
      <c r="G5" s="1238">
        <v>5</v>
      </c>
      <c r="H5" s="1238" t="s">
        <v>2223</v>
      </c>
      <c r="I5" s="1238">
        <v>7</v>
      </c>
      <c r="J5" s="1238">
        <v>8</v>
      </c>
      <c r="K5" s="1238">
        <v>9</v>
      </c>
      <c r="L5" s="1238">
        <v>10</v>
      </c>
      <c r="M5" s="1238">
        <v>11</v>
      </c>
      <c r="N5" s="1238">
        <v>12</v>
      </c>
      <c r="O5" s="1238" t="s">
        <v>2298</v>
      </c>
      <c r="P5" s="1238" t="s">
        <v>2299</v>
      </c>
      <c r="Q5" s="1238">
        <v>15</v>
      </c>
      <c r="R5" s="1238" t="s">
        <v>2300</v>
      </c>
      <c r="S5" s="1239">
        <v>17</v>
      </c>
      <c r="T5" s="2704"/>
      <c r="U5" s="2704"/>
      <c r="V5" s="1238">
        <v>18</v>
      </c>
      <c r="W5" s="1238">
        <v>19</v>
      </c>
      <c r="X5" s="1238">
        <v>20</v>
      </c>
      <c r="Y5" s="1238">
        <v>21</v>
      </c>
      <c r="Z5" s="1238">
        <v>22</v>
      </c>
      <c r="AA5" s="1238" t="s">
        <v>2301</v>
      </c>
      <c r="AB5" s="1238">
        <v>24</v>
      </c>
      <c r="AC5" s="1238">
        <v>25</v>
      </c>
      <c r="AD5" s="1238">
        <v>26</v>
      </c>
      <c r="AE5" s="1238">
        <v>27</v>
      </c>
      <c r="AF5" s="1238">
        <v>28</v>
      </c>
      <c r="AG5" s="1238">
        <v>29</v>
      </c>
      <c r="AH5" s="1238" t="s">
        <v>2302</v>
      </c>
      <c r="AI5" s="1238" t="s">
        <v>2303</v>
      </c>
      <c r="AJ5" s="1238">
        <v>32</v>
      </c>
      <c r="AK5" s="1238" t="s">
        <v>2304</v>
      </c>
      <c r="AL5" s="1238">
        <v>34</v>
      </c>
      <c r="AM5" s="2704"/>
    </row>
    <row r="6" spans="1:40" s="915" customFormat="1" ht="9.9499999999999993" customHeight="1" x14ac:dyDescent="0.15">
      <c r="A6" s="2697" t="s">
        <v>1961</v>
      </c>
      <c r="B6" s="2697"/>
      <c r="C6" s="2697"/>
      <c r="D6" s="2697"/>
      <c r="E6" s="914"/>
      <c r="F6" s="914"/>
      <c r="G6" s="914"/>
      <c r="H6" s="914"/>
      <c r="I6" s="914"/>
      <c r="J6" s="914"/>
      <c r="K6" s="914"/>
      <c r="L6" s="914"/>
      <c r="M6" s="914"/>
      <c r="N6" s="914"/>
      <c r="O6" s="914"/>
      <c r="P6" s="914"/>
      <c r="Q6" s="914"/>
      <c r="R6" s="914"/>
      <c r="S6" s="1190"/>
      <c r="T6" s="203"/>
      <c r="U6" s="2697" t="s">
        <v>1962</v>
      </c>
      <c r="V6" s="2697"/>
      <c r="W6" s="2697"/>
      <c r="X6" s="914"/>
      <c r="Y6" s="914"/>
      <c r="Z6" s="914"/>
      <c r="AA6" s="914"/>
      <c r="AB6" s="914"/>
      <c r="AC6" s="914"/>
      <c r="AD6" s="914"/>
      <c r="AE6" s="914"/>
      <c r="AF6" s="914"/>
      <c r="AG6" s="914"/>
      <c r="AH6" s="914"/>
      <c r="AI6" s="914"/>
      <c r="AJ6" s="914"/>
      <c r="AK6" s="914"/>
      <c r="AL6" s="1190"/>
      <c r="AM6" s="203"/>
    </row>
    <row r="7" spans="1:40" s="154" customFormat="1" ht="9.9499999999999993" customHeight="1" x14ac:dyDescent="0.2">
      <c r="A7" s="1680" t="s">
        <v>1150</v>
      </c>
      <c r="B7" s="1676" t="s">
        <v>3063</v>
      </c>
      <c r="C7" s="356">
        <v>61639</v>
      </c>
      <c r="D7" s="356">
        <v>7042</v>
      </c>
      <c r="E7" s="356">
        <v>97951</v>
      </c>
      <c r="F7" s="356">
        <v>6423</v>
      </c>
      <c r="G7" s="356">
        <v>35105</v>
      </c>
      <c r="H7" s="356">
        <f t="shared" ref="H7:H10" si="0">D7+E7+F7+G7</f>
        <v>146521</v>
      </c>
      <c r="I7" s="356">
        <v>65169</v>
      </c>
      <c r="J7" s="356">
        <v>47435</v>
      </c>
      <c r="K7" s="356">
        <v>13708</v>
      </c>
      <c r="L7" s="356">
        <v>50252</v>
      </c>
      <c r="M7" s="356">
        <v>40331</v>
      </c>
      <c r="N7" s="356">
        <v>27403</v>
      </c>
      <c r="O7" s="356">
        <f t="shared" ref="O7:O50" si="1">I7+J7+K7+L7+M7+N7</f>
        <v>244298</v>
      </c>
      <c r="P7" s="356">
        <f>C7+H7+O7</f>
        <v>452458</v>
      </c>
      <c r="Q7" s="356">
        <v>19486</v>
      </c>
      <c r="R7" s="356">
        <f t="shared" ref="R7:R15" si="2">P7+Q7</f>
        <v>471944</v>
      </c>
      <c r="S7" s="237" t="s">
        <v>288</v>
      </c>
      <c r="T7" s="354" t="s">
        <v>2224</v>
      </c>
      <c r="U7" s="358" t="s">
        <v>2224</v>
      </c>
      <c r="V7" s="1240">
        <v>62406</v>
      </c>
      <c r="W7" s="1240">
        <v>7102</v>
      </c>
      <c r="X7" s="1240">
        <v>99718</v>
      </c>
      <c r="Y7" s="1240">
        <v>6790</v>
      </c>
      <c r="Z7" s="1240">
        <v>35724</v>
      </c>
      <c r="AA7" s="1240">
        <f t="shared" ref="AA7:AA10" si="3">W7+X7+Y7+Z7</f>
        <v>149334</v>
      </c>
      <c r="AB7" s="1240">
        <v>66580</v>
      </c>
      <c r="AC7" s="1240">
        <v>49470</v>
      </c>
      <c r="AD7" s="1240">
        <v>14016</v>
      </c>
      <c r="AE7" s="1240">
        <v>51834</v>
      </c>
      <c r="AF7" s="1240">
        <v>41234</v>
      </c>
      <c r="AG7" s="1240">
        <v>27717</v>
      </c>
      <c r="AH7" s="1240">
        <f t="shared" ref="AH7:AH49" si="4">AB7+AC7+AD7+AE7+AF7+AG7</f>
        <v>250851</v>
      </c>
      <c r="AI7" s="1240">
        <f>V7+AA7+AH7</f>
        <v>462591</v>
      </c>
      <c r="AJ7" s="1240">
        <v>21700</v>
      </c>
      <c r="AK7" s="1240">
        <f t="shared" ref="AK7:AK15" si="5">AI7+AJ7</f>
        <v>484291</v>
      </c>
      <c r="AL7" s="1184" t="s">
        <v>288</v>
      </c>
      <c r="AM7" s="354" t="s">
        <v>2224</v>
      </c>
    </row>
    <row r="8" spans="1:40" s="154" customFormat="1" ht="9.9499999999999993" customHeight="1" x14ac:dyDescent="0.2">
      <c r="A8" s="1680" t="s">
        <v>1150</v>
      </c>
      <c r="B8" s="372" t="s">
        <v>1274</v>
      </c>
      <c r="C8" s="277">
        <v>75020</v>
      </c>
      <c r="D8" s="277">
        <v>7828</v>
      </c>
      <c r="E8" s="277">
        <v>100244</v>
      </c>
      <c r="F8" s="277">
        <v>5928</v>
      </c>
      <c r="G8" s="277">
        <v>37499</v>
      </c>
      <c r="H8" s="277">
        <f t="shared" si="0"/>
        <v>151499</v>
      </c>
      <c r="I8" s="277">
        <v>70325</v>
      </c>
      <c r="J8" s="277">
        <v>51229</v>
      </c>
      <c r="K8" s="277">
        <v>15580</v>
      </c>
      <c r="L8" s="277">
        <v>51256</v>
      </c>
      <c r="M8" s="277">
        <v>30453</v>
      </c>
      <c r="N8" s="277">
        <v>28591</v>
      </c>
      <c r="O8" s="277">
        <f t="shared" si="1"/>
        <v>247434</v>
      </c>
      <c r="P8" s="277">
        <f>C8+H8+O8</f>
        <v>473953</v>
      </c>
      <c r="Q8" s="277">
        <v>23995</v>
      </c>
      <c r="R8" s="277">
        <f t="shared" si="2"/>
        <v>497948</v>
      </c>
      <c r="S8" s="276" t="s">
        <v>288</v>
      </c>
      <c r="T8" s="332" t="s">
        <v>2225</v>
      </c>
      <c r="U8" s="372" t="s">
        <v>2225</v>
      </c>
      <c r="V8" s="277">
        <v>74444</v>
      </c>
      <c r="W8" s="277">
        <v>7867</v>
      </c>
      <c r="X8" s="277">
        <v>102308</v>
      </c>
      <c r="Y8" s="277">
        <v>6171</v>
      </c>
      <c r="Z8" s="277">
        <v>38262</v>
      </c>
      <c r="AA8" s="277">
        <f t="shared" si="3"/>
        <v>154608</v>
      </c>
      <c r="AB8" s="277">
        <v>70373</v>
      </c>
      <c r="AC8" s="277">
        <v>51206</v>
      </c>
      <c r="AD8" s="277">
        <v>15602</v>
      </c>
      <c r="AE8" s="277">
        <v>51899</v>
      </c>
      <c r="AF8" s="277">
        <v>30490</v>
      </c>
      <c r="AG8" s="277">
        <v>28773</v>
      </c>
      <c r="AH8" s="277">
        <f t="shared" si="4"/>
        <v>248343</v>
      </c>
      <c r="AI8" s="277">
        <f>V8+AA8+AH8</f>
        <v>477395</v>
      </c>
      <c r="AJ8" s="277">
        <v>22766</v>
      </c>
      <c r="AK8" s="277">
        <f t="shared" si="5"/>
        <v>500161</v>
      </c>
      <c r="AL8" s="276" t="s">
        <v>288</v>
      </c>
      <c r="AM8" s="332" t="s">
        <v>2225</v>
      </c>
    </row>
    <row r="9" spans="1:40" s="154" customFormat="1" ht="9.9499999999999993" customHeight="1" x14ac:dyDescent="0.2">
      <c r="A9" s="1680" t="s">
        <v>1150</v>
      </c>
      <c r="B9" s="1676" t="s">
        <v>1159</v>
      </c>
      <c r="C9" s="356">
        <v>59667</v>
      </c>
      <c r="D9" s="356">
        <v>9221</v>
      </c>
      <c r="E9" s="356">
        <v>109440</v>
      </c>
      <c r="F9" s="356">
        <v>6636</v>
      </c>
      <c r="G9" s="356">
        <v>48054</v>
      </c>
      <c r="H9" s="356">
        <f t="shared" si="0"/>
        <v>173351</v>
      </c>
      <c r="I9" s="356">
        <v>72789</v>
      </c>
      <c r="J9" s="356">
        <v>53501</v>
      </c>
      <c r="K9" s="356">
        <v>17244</v>
      </c>
      <c r="L9" s="356">
        <v>54437</v>
      </c>
      <c r="M9" s="356">
        <v>42472</v>
      </c>
      <c r="N9" s="356">
        <v>29924</v>
      </c>
      <c r="O9" s="356">
        <f t="shared" si="1"/>
        <v>270367</v>
      </c>
      <c r="P9" s="356">
        <f>C9+H9+O9</f>
        <v>503385</v>
      </c>
      <c r="Q9" s="356">
        <v>20582</v>
      </c>
      <c r="R9" s="356">
        <f t="shared" si="2"/>
        <v>523967</v>
      </c>
      <c r="S9" s="237" t="s">
        <v>288</v>
      </c>
      <c r="T9" s="354" t="s">
        <v>2226</v>
      </c>
      <c r="U9" s="358" t="s">
        <v>2226</v>
      </c>
      <c r="V9" s="1240">
        <v>59130</v>
      </c>
      <c r="W9" s="1240">
        <v>9194</v>
      </c>
      <c r="X9" s="1240">
        <v>107845</v>
      </c>
      <c r="Y9" s="1240">
        <v>6381</v>
      </c>
      <c r="Z9" s="1240">
        <v>47666</v>
      </c>
      <c r="AA9" s="1240">
        <f t="shared" si="3"/>
        <v>171086</v>
      </c>
      <c r="AB9" s="1240">
        <v>71838</v>
      </c>
      <c r="AC9" s="1240">
        <v>52461</v>
      </c>
      <c r="AD9" s="1240">
        <v>17028</v>
      </c>
      <c r="AE9" s="1240">
        <v>53487</v>
      </c>
      <c r="AF9" s="1240">
        <v>41929</v>
      </c>
      <c r="AG9" s="1240">
        <v>29772</v>
      </c>
      <c r="AH9" s="1240">
        <f t="shared" si="4"/>
        <v>266515</v>
      </c>
      <c r="AI9" s="1240">
        <f>V9+AA9+AH9</f>
        <v>496731</v>
      </c>
      <c r="AJ9" s="1240">
        <v>21442</v>
      </c>
      <c r="AK9" s="1240">
        <f t="shared" si="5"/>
        <v>518173</v>
      </c>
      <c r="AL9" s="1184" t="s">
        <v>288</v>
      </c>
      <c r="AM9" s="354" t="s">
        <v>2226</v>
      </c>
    </row>
    <row r="10" spans="1:40" s="154" customFormat="1" ht="9.9499999999999993" customHeight="1" x14ac:dyDescent="0.2">
      <c r="A10" s="1680" t="s">
        <v>1150</v>
      </c>
      <c r="B10" s="372" t="s">
        <v>1160</v>
      </c>
      <c r="C10" s="277">
        <v>83179</v>
      </c>
      <c r="D10" s="277">
        <v>8961</v>
      </c>
      <c r="E10" s="277">
        <v>114752</v>
      </c>
      <c r="F10" s="277">
        <v>7671</v>
      </c>
      <c r="G10" s="277">
        <v>42184</v>
      </c>
      <c r="H10" s="277">
        <f t="shared" si="0"/>
        <v>173568</v>
      </c>
      <c r="I10" s="277">
        <v>80227</v>
      </c>
      <c r="J10" s="277">
        <v>54584</v>
      </c>
      <c r="K10" s="277">
        <v>18539</v>
      </c>
      <c r="L10" s="277">
        <v>54714</v>
      </c>
      <c r="M10" s="277">
        <v>62553</v>
      </c>
      <c r="N10" s="277">
        <v>30266</v>
      </c>
      <c r="O10" s="277">
        <f t="shared" si="1"/>
        <v>300883</v>
      </c>
      <c r="P10" s="277">
        <f>C10+H10+O10</f>
        <v>557630</v>
      </c>
      <c r="Q10" s="277">
        <v>24331</v>
      </c>
      <c r="R10" s="277">
        <f t="shared" si="2"/>
        <v>581961</v>
      </c>
      <c r="S10" s="276" t="s">
        <v>288</v>
      </c>
      <c r="T10" s="332" t="s">
        <v>2227</v>
      </c>
      <c r="U10" s="372" t="s">
        <v>2227</v>
      </c>
      <c r="V10" s="277">
        <v>83524</v>
      </c>
      <c r="W10" s="277">
        <v>8889</v>
      </c>
      <c r="X10" s="277">
        <v>112517</v>
      </c>
      <c r="Y10" s="277">
        <v>7315</v>
      </c>
      <c r="Z10" s="277">
        <v>41192</v>
      </c>
      <c r="AA10" s="277">
        <f t="shared" si="3"/>
        <v>169913</v>
      </c>
      <c r="AB10" s="277">
        <v>79718</v>
      </c>
      <c r="AC10" s="277">
        <v>53613</v>
      </c>
      <c r="AD10" s="277">
        <v>18426</v>
      </c>
      <c r="AE10" s="277">
        <v>53440</v>
      </c>
      <c r="AF10" s="277">
        <v>62156</v>
      </c>
      <c r="AG10" s="277">
        <v>29921</v>
      </c>
      <c r="AH10" s="277">
        <f t="shared" si="4"/>
        <v>297274</v>
      </c>
      <c r="AI10" s="277">
        <f>V10+AA10+AH10</f>
        <v>550711</v>
      </c>
      <c r="AJ10" s="277">
        <v>22485</v>
      </c>
      <c r="AK10" s="277">
        <f t="shared" si="5"/>
        <v>573196</v>
      </c>
      <c r="AL10" s="276" t="s">
        <v>288</v>
      </c>
      <c r="AM10" s="332" t="s">
        <v>2227</v>
      </c>
    </row>
    <row r="11" spans="1:40" s="177" customFormat="1" ht="9.9499999999999993" customHeight="1" x14ac:dyDescent="0.15"/>
    <row r="12" spans="1:40" s="154" customFormat="1" ht="9.9499999999999993" customHeight="1" x14ac:dyDescent="0.2">
      <c r="A12" s="778" t="s">
        <v>1174</v>
      </c>
      <c r="B12" s="1693" t="s">
        <v>3063</v>
      </c>
      <c r="C12" s="277">
        <v>67023</v>
      </c>
      <c r="D12" s="277">
        <v>8377</v>
      </c>
      <c r="E12" s="277">
        <v>107238</v>
      </c>
      <c r="F12" s="277">
        <v>8113</v>
      </c>
      <c r="G12" s="277">
        <v>40901</v>
      </c>
      <c r="H12" s="277">
        <f t="shared" ref="H12:H15" si="6">D12+G12+F12+E12</f>
        <v>164629</v>
      </c>
      <c r="I12" s="277">
        <v>69735</v>
      </c>
      <c r="J12" s="277">
        <v>55194</v>
      </c>
      <c r="K12" s="277">
        <v>16805</v>
      </c>
      <c r="L12" s="277">
        <v>56051</v>
      </c>
      <c r="M12" s="277">
        <v>44532</v>
      </c>
      <c r="N12" s="277">
        <v>28673</v>
      </c>
      <c r="O12" s="277">
        <f t="shared" si="1"/>
        <v>270990</v>
      </c>
      <c r="P12" s="277">
        <f t="shared" ref="P12:P45" si="7">O12+H12+C12</f>
        <v>502642</v>
      </c>
      <c r="Q12" s="277">
        <v>23697</v>
      </c>
      <c r="R12" s="277">
        <f t="shared" si="2"/>
        <v>526339</v>
      </c>
      <c r="S12" s="276">
        <v>11.53</v>
      </c>
      <c r="T12" s="332" t="s">
        <v>2224</v>
      </c>
      <c r="U12" s="372" t="s">
        <v>2224</v>
      </c>
      <c r="V12" s="277">
        <v>65516</v>
      </c>
      <c r="W12" s="277">
        <v>8119</v>
      </c>
      <c r="X12" s="277">
        <v>105828</v>
      </c>
      <c r="Y12" s="277">
        <v>7562</v>
      </c>
      <c r="Z12" s="277">
        <v>39421</v>
      </c>
      <c r="AA12" s="277">
        <f t="shared" ref="AA12:AA15" si="8">W12+Z12+Y12+X12</f>
        <v>160930</v>
      </c>
      <c r="AB12" s="277">
        <v>68554</v>
      </c>
      <c r="AC12" s="277">
        <v>52861</v>
      </c>
      <c r="AD12" s="277">
        <v>16289</v>
      </c>
      <c r="AE12" s="277">
        <v>53748</v>
      </c>
      <c r="AF12" s="277">
        <v>43151</v>
      </c>
      <c r="AG12" s="277">
        <v>28015</v>
      </c>
      <c r="AH12" s="277">
        <f t="shared" si="4"/>
        <v>262618</v>
      </c>
      <c r="AI12" s="277">
        <f t="shared" ref="AI12:AI45" si="9">AH12+AA12+V12</f>
        <v>489064</v>
      </c>
      <c r="AJ12" s="277">
        <v>24176</v>
      </c>
      <c r="AK12" s="277">
        <f t="shared" si="5"/>
        <v>513240</v>
      </c>
      <c r="AL12" s="276">
        <v>5.98</v>
      </c>
      <c r="AM12" s="332" t="s">
        <v>2224</v>
      </c>
    </row>
    <row r="13" spans="1:40" s="154" customFormat="1" ht="9.9499999999999993" customHeight="1" x14ac:dyDescent="0.2">
      <c r="A13" s="778" t="s">
        <v>1174</v>
      </c>
      <c r="B13" s="372" t="s">
        <v>1274</v>
      </c>
      <c r="C13" s="356">
        <v>81041</v>
      </c>
      <c r="D13" s="356">
        <v>9764</v>
      </c>
      <c r="E13" s="356">
        <v>111959</v>
      </c>
      <c r="F13" s="356">
        <v>7377</v>
      </c>
      <c r="G13" s="356">
        <v>44226</v>
      </c>
      <c r="H13" s="356">
        <f t="shared" si="6"/>
        <v>173326</v>
      </c>
      <c r="I13" s="356">
        <v>82320</v>
      </c>
      <c r="J13" s="356">
        <v>57404</v>
      </c>
      <c r="K13" s="356">
        <v>17281</v>
      </c>
      <c r="L13" s="356">
        <v>56796</v>
      </c>
      <c r="M13" s="356">
        <v>45828</v>
      </c>
      <c r="N13" s="356">
        <v>29749</v>
      </c>
      <c r="O13" s="356">
        <f t="shared" si="1"/>
        <v>289378</v>
      </c>
      <c r="P13" s="356">
        <f t="shared" si="7"/>
        <v>543745</v>
      </c>
      <c r="Q13" s="356">
        <v>27005</v>
      </c>
      <c r="R13" s="356">
        <f t="shared" si="2"/>
        <v>570750</v>
      </c>
      <c r="S13" s="237">
        <v>14.62</v>
      </c>
      <c r="T13" s="354" t="s">
        <v>2225</v>
      </c>
      <c r="U13" s="358" t="s">
        <v>2225</v>
      </c>
      <c r="V13" s="1240">
        <v>77340</v>
      </c>
      <c r="W13" s="1240">
        <v>9472</v>
      </c>
      <c r="X13" s="1240">
        <v>110767</v>
      </c>
      <c r="Y13" s="1240">
        <v>6776</v>
      </c>
      <c r="Z13" s="1240">
        <v>42675</v>
      </c>
      <c r="AA13" s="1240">
        <f t="shared" si="8"/>
        <v>169690</v>
      </c>
      <c r="AB13" s="1240">
        <v>79351</v>
      </c>
      <c r="AC13" s="1240">
        <v>54405</v>
      </c>
      <c r="AD13" s="1240">
        <v>16420</v>
      </c>
      <c r="AE13" s="1240">
        <v>53770</v>
      </c>
      <c r="AF13" s="1240">
        <v>43531</v>
      </c>
      <c r="AG13" s="1240">
        <v>28829</v>
      </c>
      <c r="AH13" s="1240">
        <f t="shared" si="4"/>
        <v>276306</v>
      </c>
      <c r="AI13" s="1240">
        <f t="shared" si="9"/>
        <v>523336</v>
      </c>
      <c r="AJ13" s="1240">
        <v>24636</v>
      </c>
      <c r="AK13" s="1240">
        <f t="shared" si="5"/>
        <v>547972</v>
      </c>
      <c r="AL13" s="1184">
        <v>9.56</v>
      </c>
      <c r="AM13" s="354" t="s">
        <v>2225</v>
      </c>
    </row>
    <row r="14" spans="1:40" s="154" customFormat="1" ht="9.9499999999999993" customHeight="1" x14ac:dyDescent="0.2">
      <c r="A14" s="778" t="s">
        <v>1174</v>
      </c>
      <c r="B14" s="1693" t="s">
        <v>1159</v>
      </c>
      <c r="C14" s="277">
        <v>65408</v>
      </c>
      <c r="D14" s="277">
        <v>11139</v>
      </c>
      <c r="E14" s="277">
        <v>121405</v>
      </c>
      <c r="F14" s="277">
        <v>7361</v>
      </c>
      <c r="G14" s="277">
        <v>51243</v>
      </c>
      <c r="H14" s="277">
        <f t="shared" si="6"/>
        <v>191148</v>
      </c>
      <c r="I14" s="277">
        <v>86751</v>
      </c>
      <c r="J14" s="277">
        <v>59813</v>
      </c>
      <c r="K14" s="277">
        <v>18364</v>
      </c>
      <c r="L14" s="277">
        <v>60607</v>
      </c>
      <c r="M14" s="277">
        <v>47747</v>
      </c>
      <c r="N14" s="277">
        <v>34201</v>
      </c>
      <c r="O14" s="277">
        <f t="shared" si="1"/>
        <v>307483</v>
      </c>
      <c r="P14" s="277">
        <f t="shared" si="7"/>
        <v>564039</v>
      </c>
      <c r="Q14" s="277">
        <v>28361</v>
      </c>
      <c r="R14" s="277">
        <f t="shared" si="2"/>
        <v>592400</v>
      </c>
      <c r="S14" s="276">
        <v>13.06</v>
      </c>
      <c r="T14" s="332" t="s">
        <v>2226</v>
      </c>
      <c r="U14" s="372" t="s">
        <v>2226</v>
      </c>
      <c r="V14" s="277">
        <v>62020</v>
      </c>
      <c r="W14" s="277">
        <v>10814</v>
      </c>
      <c r="X14" s="277">
        <v>115967</v>
      </c>
      <c r="Y14" s="277">
        <v>6513</v>
      </c>
      <c r="Z14" s="277">
        <v>48306</v>
      </c>
      <c r="AA14" s="277">
        <f t="shared" si="8"/>
        <v>181600</v>
      </c>
      <c r="AB14" s="277">
        <v>82500</v>
      </c>
      <c r="AC14" s="277">
        <v>56107</v>
      </c>
      <c r="AD14" s="277">
        <v>17213</v>
      </c>
      <c r="AE14" s="277">
        <v>55431</v>
      </c>
      <c r="AF14" s="277">
        <v>44735</v>
      </c>
      <c r="AG14" s="277">
        <v>31202</v>
      </c>
      <c r="AH14" s="277">
        <f t="shared" si="4"/>
        <v>287188</v>
      </c>
      <c r="AI14" s="277">
        <f t="shared" si="9"/>
        <v>530808</v>
      </c>
      <c r="AJ14" s="277">
        <v>25413</v>
      </c>
      <c r="AK14" s="277">
        <f t="shared" si="5"/>
        <v>556221</v>
      </c>
      <c r="AL14" s="276">
        <v>7.34</v>
      </c>
      <c r="AM14" s="332" t="s">
        <v>2226</v>
      </c>
    </row>
    <row r="15" spans="1:40" s="154" customFormat="1" ht="9.9499999999999993" customHeight="1" x14ac:dyDescent="0.2">
      <c r="A15" s="778" t="s">
        <v>1174</v>
      </c>
      <c r="B15" s="372" t="s">
        <v>1160</v>
      </c>
      <c r="C15" s="356">
        <v>87695</v>
      </c>
      <c r="D15" s="356">
        <v>10704</v>
      </c>
      <c r="E15" s="356">
        <v>126004</v>
      </c>
      <c r="F15" s="356">
        <v>8646</v>
      </c>
      <c r="G15" s="356">
        <v>51849</v>
      </c>
      <c r="H15" s="356">
        <f t="shared" si="6"/>
        <v>197203</v>
      </c>
      <c r="I15" s="356">
        <v>85826</v>
      </c>
      <c r="J15" s="356">
        <v>60246</v>
      </c>
      <c r="K15" s="356">
        <v>19796</v>
      </c>
      <c r="L15" s="356">
        <v>60701</v>
      </c>
      <c r="M15" s="356">
        <v>64729</v>
      </c>
      <c r="N15" s="356">
        <v>35171</v>
      </c>
      <c r="O15" s="356">
        <f t="shared" si="1"/>
        <v>326469</v>
      </c>
      <c r="P15" s="356">
        <f t="shared" si="7"/>
        <v>611367</v>
      </c>
      <c r="Q15" s="356">
        <v>23451</v>
      </c>
      <c r="R15" s="356">
        <f t="shared" si="2"/>
        <v>634818</v>
      </c>
      <c r="S15" s="237">
        <v>9.08</v>
      </c>
      <c r="T15" s="354" t="s">
        <v>2227</v>
      </c>
      <c r="U15" s="358" t="s">
        <v>2227</v>
      </c>
      <c r="V15" s="1240">
        <v>83562</v>
      </c>
      <c r="W15" s="1240">
        <v>10362</v>
      </c>
      <c r="X15" s="1240">
        <v>119757</v>
      </c>
      <c r="Y15" s="1240">
        <v>7618</v>
      </c>
      <c r="Z15" s="1240">
        <v>48333</v>
      </c>
      <c r="AA15" s="1240">
        <f t="shared" si="8"/>
        <v>186070</v>
      </c>
      <c r="AB15" s="1240">
        <v>81821</v>
      </c>
      <c r="AC15" s="1240">
        <v>56416</v>
      </c>
      <c r="AD15" s="1240">
        <v>18601</v>
      </c>
      <c r="AE15" s="1240">
        <v>55188</v>
      </c>
      <c r="AF15" s="1240">
        <v>60769</v>
      </c>
      <c r="AG15" s="1240">
        <v>31842</v>
      </c>
      <c r="AH15" s="1240">
        <f t="shared" si="4"/>
        <v>304637</v>
      </c>
      <c r="AI15" s="1240">
        <f t="shared" si="9"/>
        <v>574269</v>
      </c>
      <c r="AJ15" s="1240">
        <v>20922</v>
      </c>
      <c r="AK15" s="1240">
        <f t="shared" si="5"/>
        <v>595191</v>
      </c>
      <c r="AL15" s="1184">
        <v>3.84</v>
      </c>
      <c r="AM15" s="354" t="s">
        <v>2227</v>
      </c>
    </row>
    <row r="16" spans="1:40" s="177" customFormat="1" ht="9.9499999999999993" customHeight="1" x14ac:dyDescent="0.15">
      <c r="A16" s="1474"/>
      <c r="B16" s="1680"/>
      <c r="C16" s="453"/>
      <c r="D16" s="453"/>
      <c r="E16" s="453"/>
      <c r="F16" s="453"/>
      <c r="G16" s="453"/>
      <c r="H16" s="453"/>
      <c r="I16" s="453"/>
      <c r="J16" s="453"/>
      <c r="K16" s="453"/>
      <c r="L16" s="453"/>
      <c r="M16" s="453"/>
      <c r="N16" s="453"/>
      <c r="O16" s="453"/>
      <c r="P16" s="453"/>
      <c r="Q16" s="453"/>
      <c r="R16" s="453"/>
      <c r="S16" s="315"/>
      <c r="T16" s="337"/>
      <c r="U16" s="1474"/>
      <c r="V16" s="453"/>
      <c r="W16" s="453"/>
      <c r="X16" s="453"/>
      <c r="Y16" s="453"/>
      <c r="Z16" s="453"/>
      <c r="AA16" s="453"/>
      <c r="AB16" s="453"/>
      <c r="AC16" s="453"/>
      <c r="AD16" s="453"/>
      <c r="AE16" s="453"/>
      <c r="AF16" s="453"/>
      <c r="AG16" s="453"/>
      <c r="AH16" s="453"/>
      <c r="AI16" s="453"/>
      <c r="AJ16" s="453"/>
      <c r="AK16" s="453"/>
      <c r="AL16" s="315"/>
      <c r="AM16" s="337"/>
    </row>
    <row r="17" spans="1:39" s="154" customFormat="1" ht="9.9499999999999993" customHeight="1" x14ac:dyDescent="0.2">
      <c r="A17" s="1680" t="s">
        <v>1296</v>
      </c>
      <c r="B17" s="1693" t="s">
        <v>3063</v>
      </c>
      <c r="C17" s="356">
        <v>73848</v>
      </c>
      <c r="D17" s="356">
        <v>9923</v>
      </c>
      <c r="E17" s="356">
        <v>126182</v>
      </c>
      <c r="F17" s="356">
        <v>9403</v>
      </c>
      <c r="G17" s="356">
        <v>48481</v>
      </c>
      <c r="H17" s="356">
        <f t="shared" ref="H17:H20" si="10">D17+G17+F17+E17</f>
        <v>193989</v>
      </c>
      <c r="I17" s="356">
        <v>82857</v>
      </c>
      <c r="J17" s="356">
        <v>61663</v>
      </c>
      <c r="K17" s="356">
        <v>18861</v>
      </c>
      <c r="L17" s="356">
        <v>61328</v>
      </c>
      <c r="M17" s="356">
        <v>50467</v>
      </c>
      <c r="N17" s="356">
        <v>32433</v>
      </c>
      <c r="O17" s="356">
        <f t="shared" si="1"/>
        <v>307609</v>
      </c>
      <c r="P17" s="356">
        <f t="shared" si="7"/>
        <v>575446</v>
      </c>
      <c r="Q17" s="356">
        <v>29528</v>
      </c>
      <c r="R17" s="356">
        <f t="shared" ref="R17:R20" si="11">P17+Q17</f>
        <v>604974</v>
      </c>
      <c r="S17" s="237">
        <v>14.94</v>
      </c>
      <c r="T17" s="354" t="s">
        <v>2224</v>
      </c>
      <c r="U17" s="358" t="s">
        <v>2224</v>
      </c>
      <c r="V17" s="1240">
        <v>68377</v>
      </c>
      <c r="W17" s="1240">
        <v>9779</v>
      </c>
      <c r="X17" s="1240">
        <v>118338</v>
      </c>
      <c r="Y17" s="1240">
        <v>8274</v>
      </c>
      <c r="Z17" s="1240">
        <v>44958</v>
      </c>
      <c r="AA17" s="1240">
        <f t="shared" ref="AA17:AA20" si="12">W17+Z17+Y17+X17</f>
        <v>181349</v>
      </c>
      <c r="AB17" s="1240">
        <v>76873</v>
      </c>
      <c r="AC17" s="1240">
        <v>56866</v>
      </c>
      <c r="AD17" s="1240">
        <v>17265</v>
      </c>
      <c r="AE17" s="1240">
        <v>55418</v>
      </c>
      <c r="AF17" s="1240">
        <v>46132</v>
      </c>
      <c r="AG17" s="1240">
        <v>29121</v>
      </c>
      <c r="AH17" s="1240">
        <f t="shared" si="4"/>
        <v>281675</v>
      </c>
      <c r="AI17" s="1240">
        <f t="shared" si="9"/>
        <v>531401</v>
      </c>
      <c r="AJ17" s="1240">
        <v>26016</v>
      </c>
      <c r="AK17" s="1240">
        <f t="shared" ref="AK17:AK20" si="13">AI17+AJ17</f>
        <v>557417</v>
      </c>
      <c r="AL17" s="1184">
        <v>8.61</v>
      </c>
      <c r="AM17" s="354" t="s">
        <v>2224</v>
      </c>
    </row>
    <row r="18" spans="1:39" s="154" customFormat="1" ht="9.9499999999999993" customHeight="1" x14ac:dyDescent="0.2">
      <c r="A18" s="1680" t="s">
        <v>1296</v>
      </c>
      <c r="B18" s="372" t="s">
        <v>1274</v>
      </c>
      <c r="C18" s="277">
        <v>89291</v>
      </c>
      <c r="D18" s="277">
        <v>11049</v>
      </c>
      <c r="E18" s="277">
        <v>138359</v>
      </c>
      <c r="F18" s="277">
        <v>8298</v>
      </c>
      <c r="G18" s="277">
        <v>52577</v>
      </c>
      <c r="H18" s="277">
        <f t="shared" si="10"/>
        <v>210283</v>
      </c>
      <c r="I18" s="277">
        <v>93614</v>
      </c>
      <c r="J18" s="277">
        <v>63991</v>
      </c>
      <c r="K18" s="277">
        <v>19624</v>
      </c>
      <c r="L18" s="277">
        <v>62766</v>
      </c>
      <c r="M18" s="277">
        <v>49502</v>
      </c>
      <c r="N18" s="277">
        <v>34980</v>
      </c>
      <c r="O18" s="277">
        <f t="shared" si="1"/>
        <v>324477</v>
      </c>
      <c r="P18" s="277">
        <f t="shared" si="7"/>
        <v>624051</v>
      </c>
      <c r="Q18" s="277">
        <v>33413</v>
      </c>
      <c r="R18" s="277">
        <f t="shared" si="11"/>
        <v>657464</v>
      </c>
      <c r="S18" s="276">
        <v>15.19</v>
      </c>
      <c r="T18" s="332" t="s">
        <v>2225</v>
      </c>
      <c r="U18" s="372" t="s">
        <v>2225</v>
      </c>
      <c r="V18" s="277">
        <v>80469</v>
      </c>
      <c r="W18" s="277">
        <v>10732</v>
      </c>
      <c r="X18" s="277">
        <v>125088</v>
      </c>
      <c r="Y18" s="277">
        <v>7280</v>
      </c>
      <c r="Z18" s="277">
        <v>48808</v>
      </c>
      <c r="AA18" s="277">
        <f t="shared" si="12"/>
        <v>191908</v>
      </c>
      <c r="AB18" s="277">
        <v>85091</v>
      </c>
      <c r="AC18" s="277">
        <v>58526</v>
      </c>
      <c r="AD18" s="277">
        <v>17602</v>
      </c>
      <c r="AE18" s="277">
        <v>56387</v>
      </c>
      <c r="AF18" s="277">
        <v>44336</v>
      </c>
      <c r="AG18" s="277">
        <v>31073</v>
      </c>
      <c r="AH18" s="277">
        <f t="shared" si="4"/>
        <v>293015</v>
      </c>
      <c r="AI18" s="277">
        <f t="shared" si="9"/>
        <v>565392</v>
      </c>
      <c r="AJ18" s="277">
        <v>28288</v>
      </c>
      <c r="AK18" s="277">
        <f t="shared" si="13"/>
        <v>593680</v>
      </c>
      <c r="AL18" s="276">
        <v>8.34</v>
      </c>
      <c r="AM18" s="332" t="s">
        <v>2225</v>
      </c>
    </row>
    <row r="19" spans="1:39" s="154" customFormat="1" ht="9.9499999999999993" customHeight="1" x14ac:dyDescent="0.2">
      <c r="A19" s="1680" t="s">
        <v>1296</v>
      </c>
      <c r="B19" s="1693" t="s">
        <v>1159</v>
      </c>
      <c r="C19" s="356">
        <v>69509</v>
      </c>
      <c r="D19" s="356">
        <v>11425</v>
      </c>
      <c r="E19" s="356">
        <v>141775</v>
      </c>
      <c r="F19" s="356">
        <v>8280</v>
      </c>
      <c r="G19" s="356">
        <v>56288</v>
      </c>
      <c r="H19" s="356">
        <f t="shared" si="10"/>
        <v>217768</v>
      </c>
      <c r="I19" s="356">
        <v>96469</v>
      </c>
      <c r="J19" s="356">
        <v>65299</v>
      </c>
      <c r="K19" s="356">
        <v>20825</v>
      </c>
      <c r="L19" s="356">
        <v>67282</v>
      </c>
      <c r="M19" s="356">
        <v>60383</v>
      </c>
      <c r="N19" s="356">
        <v>38073</v>
      </c>
      <c r="O19" s="356">
        <f t="shared" si="1"/>
        <v>348331</v>
      </c>
      <c r="P19" s="356">
        <f t="shared" si="7"/>
        <v>635608</v>
      </c>
      <c r="Q19" s="356">
        <v>32692</v>
      </c>
      <c r="R19" s="356">
        <f t="shared" si="11"/>
        <v>668300</v>
      </c>
      <c r="S19" s="237">
        <v>12.81</v>
      </c>
      <c r="T19" s="354" t="s">
        <v>2226</v>
      </c>
      <c r="U19" s="358" t="s">
        <v>2226</v>
      </c>
      <c r="V19" s="356">
        <v>62316</v>
      </c>
      <c r="W19" s="356">
        <v>10899</v>
      </c>
      <c r="X19" s="356">
        <v>127775</v>
      </c>
      <c r="Y19" s="356">
        <v>7225</v>
      </c>
      <c r="Z19" s="356">
        <v>50840</v>
      </c>
      <c r="AA19" s="356">
        <f t="shared" si="12"/>
        <v>196739</v>
      </c>
      <c r="AB19" s="356">
        <v>86646</v>
      </c>
      <c r="AC19" s="356">
        <v>59275</v>
      </c>
      <c r="AD19" s="356">
        <v>18459</v>
      </c>
      <c r="AE19" s="356">
        <v>57753</v>
      </c>
      <c r="AF19" s="356">
        <v>53475</v>
      </c>
      <c r="AG19" s="356">
        <v>33322</v>
      </c>
      <c r="AH19" s="356">
        <f t="shared" si="4"/>
        <v>308930</v>
      </c>
      <c r="AI19" s="356">
        <f t="shared" si="9"/>
        <v>567985</v>
      </c>
      <c r="AJ19" s="356">
        <v>27040</v>
      </c>
      <c r="AK19" s="356">
        <f t="shared" si="13"/>
        <v>595025</v>
      </c>
      <c r="AL19" s="237">
        <v>6.98</v>
      </c>
      <c r="AM19" s="354" t="s">
        <v>2226</v>
      </c>
    </row>
    <row r="20" spans="1:39" s="154" customFormat="1" ht="9.9499999999999993" customHeight="1" x14ac:dyDescent="0.2">
      <c r="A20" s="1680" t="s">
        <v>1296</v>
      </c>
      <c r="B20" s="372" t="s">
        <v>1160</v>
      </c>
      <c r="C20" s="277">
        <v>96731</v>
      </c>
      <c r="D20" s="277">
        <v>11878</v>
      </c>
      <c r="E20" s="277">
        <v>142708</v>
      </c>
      <c r="F20" s="277">
        <v>9132</v>
      </c>
      <c r="G20" s="277">
        <v>58347</v>
      </c>
      <c r="H20" s="277">
        <f t="shared" si="10"/>
        <v>222065</v>
      </c>
      <c r="I20" s="277">
        <v>100775</v>
      </c>
      <c r="J20" s="277">
        <v>66421</v>
      </c>
      <c r="K20" s="277">
        <v>22414</v>
      </c>
      <c r="L20" s="277">
        <v>66596</v>
      </c>
      <c r="M20" s="277">
        <v>71427</v>
      </c>
      <c r="N20" s="277">
        <v>35067</v>
      </c>
      <c r="O20" s="277">
        <f t="shared" si="1"/>
        <v>362700</v>
      </c>
      <c r="P20" s="277">
        <f t="shared" si="7"/>
        <v>681496</v>
      </c>
      <c r="Q20" s="277">
        <v>27012</v>
      </c>
      <c r="R20" s="277">
        <f t="shared" si="11"/>
        <v>708508</v>
      </c>
      <c r="S20" s="276">
        <v>11.61</v>
      </c>
      <c r="T20" s="332" t="s">
        <v>2227</v>
      </c>
      <c r="U20" s="372" t="s">
        <v>2227</v>
      </c>
      <c r="V20" s="277">
        <v>87500</v>
      </c>
      <c r="W20" s="277">
        <v>11059</v>
      </c>
      <c r="X20" s="277">
        <v>128397</v>
      </c>
      <c r="Y20" s="277">
        <v>7931</v>
      </c>
      <c r="Z20" s="277">
        <v>52104</v>
      </c>
      <c r="AA20" s="277">
        <f t="shared" si="12"/>
        <v>199491</v>
      </c>
      <c r="AB20" s="277">
        <v>90893</v>
      </c>
      <c r="AC20" s="277">
        <v>59636</v>
      </c>
      <c r="AD20" s="277">
        <v>19952</v>
      </c>
      <c r="AE20" s="277">
        <v>56839</v>
      </c>
      <c r="AF20" s="277">
        <v>63617</v>
      </c>
      <c r="AG20" s="277">
        <v>30296</v>
      </c>
      <c r="AH20" s="277">
        <f t="shared" si="4"/>
        <v>321233</v>
      </c>
      <c r="AI20" s="277">
        <f t="shared" si="9"/>
        <v>608224</v>
      </c>
      <c r="AJ20" s="277">
        <v>20228</v>
      </c>
      <c r="AK20" s="277">
        <f t="shared" si="13"/>
        <v>628452</v>
      </c>
      <c r="AL20" s="276">
        <v>5.59</v>
      </c>
      <c r="AM20" s="332" t="s">
        <v>2227</v>
      </c>
    </row>
    <row r="21" spans="1:39" s="177" customFormat="1" ht="9.9499999999999993" customHeight="1" x14ac:dyDescent="0.15">
      <c r="A21" s="778"/>
      <c r="B21" s="778"/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2"/>
      <c r="T21" s="338"/>
      <c r="U21" s="778"/>
      <c r="V21" s="323"/>
      <c r="W21" s="323"/>
      <c r="X21" s="323"/>
      <c r="Y21" s="323"/>
      <c r="Z21" s="323"/>
      <c r="AA21" s="323"/>
      <c r="AB21" s="323"/>
      <c r="AC21" s="323"/>
      <c r="AD21" s="323"/>
      <c r="AE21" s="323"/>
      <c r="AF21" s="323"/>
      <c r="AG21" s="323"/>
      <c r="AH21" s="323"/>
      <c r="AI21" s="323"/>
      <c r="AJ21" s="323"/>
      <c r="AK21" s="323"/>
      <c r="AL21" s="322"/>
      <c r="AM21" s="338"/>
    </row>
    <row r="22" spans="1:39" s="154" customFormat="1" ht="9.9499999999999993" customHeight="1" x14ac:dyDescent="0.2">
      <c r="A22" s="778" t="s">
        <v>1404</v>
      </c>
      <c r="B22" s="1693" t="s">
        <v>3063</v>
      </c>
      <c r="C22" s="277">
        <v>78956</v>
      </c>
      <c r="D22" s="277">
        <v>11903</v>
      </c>
      <c r="E22" s="277">
        <v>151415</v>
      </c>
      <c r="F22" s="277">
        <v>10871</v>
      </c>
      <c r="G22" s="277">
        <v>55887</v>
      </c>
      <c r="H22" s="277">
        <f t="shared" ref="H22:H25" si="14">G22+F22+E22+D22</f>
        <v>230076</v>
      </c>
      <c r="I22" s="277">
        <v>94753</v>
      </c>
      <c r="J22" s="277">
        <v>67610</v>
      </c>
      <c r="K22" s="277">
        <v>21457</v>
      </c>
      <c r="L22" s="277">
        <v>67655</v>
      </c>
      <c r="M22" s="277">
        <v>61948</v>
      </c>
      <c r="N22" s="277">
        <v>34798</v>
      </c>
      <c r="O22" s="277">
        <f t="shared" si="1"/>
        <v>348221</v>
      </c>
      <c r="P22" s="277">
        <f t="shared" si="7"/>
        <v>657253</v>
      </c>
      <c r="Q22" s="277">
        <v>30920</v>
      </c>
      <c r="R22" s="277">
        <f t="shared" ref="R22:R25" si="15">P22+Q22</f>
        <v>688173</v>
      </c>
      <c r="S22" s="276">
        <v>13.75</v>
      </c>
      <c r="T22" s="332" t="s">
        <v>2224</v>
      </c>
      <c r="U22" s="372" t="s">
        <v>2224</v>
      </c>
      <c r="V22" s="277">
        <v>70142</v>
      </c>
      <c r="W22" s="277">
        <v>10904</v>
      </c>
      <c r="X22" s="277">
        <v>136939</v>
      </c>
      <c r="Y22" s="277">
        <v>9324</v>
      </c>
      <c r="Z22" s="277">
        <v>49519</v>
      </c>
      <c r="AA22" s="277">
        <f t="shared" ref="AA22:AA25" si="16">Z22+Y22+X22+W22</f>
        <v>206686</v>
      </c>
      <c r="AB22" s="277">
        <v>85455</v>
      </c>
      <c r="AC22" s="277">
        <v>60711</v>
      </c>
      <c r="AD22" s="277">
        <v>18628</v>
      </c>
      <c r="AE22" s="277">
        <v>57351</v>
      </c>
      <c r="AF22" s="277">
        <v>53949</v>
      </c>
      <c r="AG22" s="277">
        <v>29603</v>
      </c>
      <c r="AH22" s="277">
        <f t="shared" si="4"/>
        <v>305697</v>
      </c>
      <c r="AI22" s="277">
        <f t="shared" si="9"/>
        <v>582525</v>
      </c>
      <c r="AJ22" s="277">
        <v>28956</v>
      </c>
      <c r="AK22" s="277">
        <f t="shared" ref="AK22:AK25" si="17">AI22+AJ22</f>
        <v>611481</v>
      </c>
      <c r="AL22" s="276">
        <v>9.6999999999999993</v>
      </c>
      <c r="AM22" s="332" t="s">
        <v>2224</v>
      </c>
    </row>
    <row r="23" spans="1:39" s="154" customFormat="1" ht="9.9499999999999993" customHeight="1" x14ac:dyDescent="0.2">
      <c r="A23" s="778" t="s">
        <v>1404</v>
      </c>
      <c r="B23" s="372" t="s">
        <v>1274</v>
      </c>
      <c r="C23" s="356">
        <v>95307</v>
      </c>
      <c r="D23" s="356">
        <v>13035</v>
      </c>
      <c r="E23" s="356">
        <v>156266</v>
      </c>
      <c r="F23" s="356">
        <v>9033</v>
      </c>
      <c r="G23" s="356">
        <v>60751</v>
      </c>
      <c r="H23" s="356">
        <f t="shared" si="14"/>
        <v>239085</v>
      </c>
      <c r="I23" s="356">
        <v>103782</v>
      </c>
      <c r="J23" s="356">
        <v>70113</v>
      </c>
      <c r="K23" s="356">
        <v>22871</v>
      </c>
      <c r="L23" s="356">
        <v>69759</v>
      </c>
      <c r="M23" s="356">
        <v>61972</v>
      </c>
      <c r="N23" s="356">
        <v>38392</v>
      </c>
      <c r="O23" s="356">
        <f t="shared" si="1"/>
        <v>366889</v>
      </c>
      <c r="P23" s="356">
        <f t="shared" si="7"/>
        <v>701281</v>
      </c>
      <c r="Q23" s="356">
        <v>29151</v>
      </c>
      <c r="R23" s="356">
        <f t="shared" si="15"/>
        <v>730432</v>
      </c>
      <c r="S23" s="237">
        <v>11.1</v>
      </c>
      <c r="T23" s="354" t="s">
        <v>2225</v>
      </c>
      <c r="U23" s="358" t="s">
        <v>2225</v>
      </c>
      <c r="V23" s="356">
        <v>82726</v>
      </c>
      <c r="W23" s="356">
        <v>11973</v>
      </c>
      <c r="X23" s="356">
        <v>141024</v>
      </c>
      <c r="Y23" s="356">
        <v>7552</v>
      </c>
      <c r="Z23" s="356">
        <v>53570</v>
      </c>
      <c r="AA23" s="356">
        <f t="shared" si="16"/>
        <v>214119</v>
      </c>
      <c r="AB23" s="356">
        <v>91807</v>
      </c>
      <c r="AC23" s="356">
        <v>61652</v>
      </c>
      <c r="AD23" s="356">
        <v>19473</v>
      </c>
      <c r="AE23" s="356">
        <v>58872</v>
      </c>
      <c r="AF23" s="356">
        <v>53074</v>
      </c>
      <c r="AG23" s="356">
        <v>32160</v>
      </c>
      <c r="AH23" s="356">
        <f t="shared" si="4"/>
        <v>317038</v>
      </c>
      <c r="AI23" s="356">
        <f t="shared" si="9"/>
        <v>613883</v>
      </c>
      <c r="AJ23" s="356">
        <v>25210</v>
      </c>
      <c r="AK23" s="356">
        <f t="shared" si="17"/>
        <v>639093</v>
      </c>
      <c r="AL23" s="237">
        <v>7.65</v>
      </c>
      <c r="AM23" s="354" t="s">
        <v>2225</v>
      </c>
    </row>
    <row r="24" spans="1:39" s="154" customFormat="1" ht="9.9499999999999993" customHeight="1" x14ac:dyDescent="0.2">
      <c r="A24" s="778" t="s">
        <v>1404</v>
      </c>
      <c r="B24" s="1693" t="s">
        <v>1159</v>
      </c>
      <c r="C24" s="277">
        <v>75410</v>
      </c>
      <c r="D24" s="277">
        <v>13529</v>
      </c>
      <c r="E24" s="277">
        <v>158902</v>
      </c>
      <c r="F24" s="277">
        <v>9191</v>
      </c>
      <c r="G24" s="277">
        <v>64794</v>
      </c>
      <c r="H24" s="277">
        <f t="shared" si="14"/>
        <v>246416</v>
      </c>
      <c r="I24" s="277">
        <v>105048</v>
      </c>
      <c r="J24" s="277">
        <v>72892</v>
      </c>
      <c r="K24" s="277">
        <v>23871</v>
      </c>
      <c r="L24" s="277">
        <v>73937</v>
      </c>
      <c r="M24" s="277">
        <v>60545</v>
      </c>
      <c r="N24" s="277">
        <v>40691</v>
      </c>
      <c r="O24" s="277">
        <f t="shared" si="1"/>
        <v>376984</v>
      </c>
      <c r="P24" s="277">
        <f t="shared" si="7"/>
        <v>698810</v>
      </c>
      <c r="Q24" s="277">
        <v>33116</v>
      </c>
      <c r="R24" s="277">
        <f t="shared" si="15"/>
        <v>731926</v>
      </c>
      <c r="S24" s="276">
        <v>9.52</v>
      </c>
      <c r="T24" s="332" t="s">
        <v>2226</v>
      </c>
      <c r="U24" s="372" t="s">
        <v>2226</v>
      </c>
      <c r="V24" s="277">
        <v>65186</v>
      </c>
      <c r="W24" s="277">
        <v>12078</v>
      </c>
      <c r="X24" s="277">
        <v>141595</v>
      </c>
      <c r="Y24" s="277">
        <v>7347</v>
      </c>
      <c r="Z24" s="277">
        <v>55764</v>
      </c>
      <c r="AA24" s="277">
        <f t="shared" si="16"/>
        <v>216784</v>
      </c>
      <c r="AB24" s="277">
        <v>91716</v>
      </c>
      <c r="AC24" s="277">
        <v>63614</v>
      </c>
      <c r="AD24" s="277">
        <v>20061</v>
      </c>
      <c r="AE24" s="277">
        <v>59478</v>
      </c>
      <c r="AF24" s="277">
        <v>51347</v>
      </c>
      <c r="AG24" s="277">
        <v>33173</v>
      </c>
      <c r="AH24" s="277">
        <f t="shared" si="4"/>
        <v>319389</v>
      </c>
      <c r="AI24" s="277">
        <f t="shared" si="9"/>
        <v>601359</v>
      </c>
      <c r="AJ24" s="277">
        <v>27842</v>
      </c>
      <c r="AK24" s="277">
        <f t="shared" si="17"/>
        <v>629201</v>
      </c>
      <c r="AL24" s="276">
        <v>5.74</v>
      </c>
      <c r="AM24" s="332" t="s">
        <v>2226</v>
      </c>
    </row>
    <row r="25" spans="1:39" s="154" customFormat="1" ht="9.9499999999999993" customHeight="1" x14ac:dyDescent="0.2">
      <c r="A25" s="778" t="s">
        <v>1404</v>
      </c>
      <c r="B25" s="372" t="s">
        <v>1160</v>
      </c>
      <c r="C25" s="356">
        <v>103770</v>
      </c>
      <c r="D25" s="356">
        <v>14143</v>
      </c>
      <c r="E25" s="356">
        <v>159355</v>
      </c>
      <c r="F25" s="356">
        <v>11722</v>
      </c>
      <c r="G25" s="356">
        <v>68823</v>
      </c>
      <c r="H25" s="356">
        <f t="shared" si="14"/>
        <v>254043</v>
      </c>
      <c r="I25" s="356">
        <v>114812</v>
      </c>
      <c r="J25" s="356">
        <v>74850</v>
      </c>
      <c r="K25" s="356">
        <v>25097</v>
      </c>
      <c r="L25" s="356">
        <v>74561</v>
      </c>
      <c r="M25" s="356">
        <v>78312</v>
      </c>
      <c r="N25" s="356">
        <v>41054</v>
      </c>
      <c r="O25" s="356">
        <f t="shared" si="1"/>
        <v>408686</v>
      </c>
      <c r="P25" s="356">
        <f t="shared" si="7"/>
        <v>766499</v>
      </c>
      <c r="Q25" s="356">
        <v>34399</v>
      </c>
      <c r="R25" s="356">
        <f t="shared" si="15"/>
        <v>800898</v>
      </c>
      <c r="S25" s="237">
        <v>13.04</v>
      </c>
      <c r="T25" s="354" t="s">
        <v>2227</v>
      </c>
      <c r="U25" s="358" t="s">
        <v>2227</v>
      </c>
      <c r="V25" s="356">
        <v>90346</v>
      </c>
      <c r="W25" s="356">
        <v>12316</v>
      </c>
      <c r="X25" s="356">
        <v>141662</v>
      </c>
      <c r="Y25" s="356">
        <v>8975</v>
      </c>
      <c r="Z25" s="356">
        <v>58462</v>
      </c>
      <c r="AA25" s="356">
        <f t="shared" si="16"/>
        <v>221415</v>
      </c>
      <c r="AB25" s="356">
        <v>100582</v>
      </c>
      <c r="AC25" s="356">
        <v>64481</v>
      </c>
      <c r="AD25" s="356">
        <v>21161</v>
      </c>
      <c r="AE25" s="356">
        <v>59633</v>
      </c>
      <c r="AF25" s="356">
        <v>66765</v>
      </c>
      <c r="AG25" s="356">
        <v>32997</v>
      </c>
      <c r="AH25" s="356">
        <f t="shared" si="4"/>
        <v>345619</v>
      </c>
      <c r="AI25" s="356">
        <f t="shared" si="9"/>
        <v>657380</v>
      </c>
      <c r="AJ25" s="356">
        <v>24581</v>
      </c>
      <c r="AK25" s="356">
        <f t="shared" si="17"/>
        <v>681961</v>
      </c>
      <c r="AL25" s="237">
        <v>8.51</v>
      </c>
      <c r="AM25" s="354" t="s">
        <v>2227</v>
      </c>
    </row>
    <row r="26" spans="1:39" s="177" customFormat="1" ht="9.9499999999999993" customHeight="1" x14ac:dyDescent="0.15">
      <c r="A26" s="1474"/>
      <c r="B26" s="1680"/>
      <c r="C26" s="453"/>
      <c r="D26" s="453"/>
      <c r="E26" s="453"/>
      <c r="F26" s="453"/>
      <c r="G26" s="453"/>
      <c r="H26" s="453"/>
      <c r="I26" s="453"/>
      <c r="J26" s="453"/>
      <c r="K26" s="453"/>
      <c r="L26" s="453"/>
      <c r="M26" s="453"/>
      <c r="N26" s="453"/>
      <c r="O26" s="453"/>
      <c r="P26" s="453"/>
      <c r="Q26" s="453"/>
      <c r="R26" s="453"/>
      <c r="S26" s="315"/>
      <c r="T26" s="337"/>
      <c r="U26" s="1474"/>
      <c r="V26" s="453"/>
      <c r="W26" s="453"/>
      <c r="X26" s="453"/>
      <c r="Y26" s="453"/>
      <c r="Z26" s="453"/>
      <c r="AA26" s="453"/>
      <c r="AB26" s="453"/>
      <c r="AC26" s="453"/>
      <c r="AD26" s="453"/>
      <c r="AE26" s="453"/>
      <c r="AF26" s="453"/>
      <c r="AG26" s="453"/>
      <c r="AH26" s="453"/>
      <c r="AI26" s="453"/>
      <c r="AJ26" s="453"/>
      <c r="AK26" s="453"/>
      <c r="AL26" s="315"/>
      <c r="AM26" s="337"/>
    </row>
    <row r="27" spans="1:39" s="154" customFormat="1" ht="9.9499999999999993" customHeight="1" x14ac:dyDescent="0.2">
      <c r="A27" s="1680" t="s">
        <v>1484</v>
      </c>
      <c r="B27" s="1693" t="s">
        <v>3063</v>
      </c>
      <c r="C27" s="356">
        <v>84829</v>
      </c>
      <c r="D27" s="356">
        <v>13321</v>
      </c>
      <c r="E27" s="356">
        <v>166873</v>
      </c>
      <c r="F27" s="356">
        <v>13350</v>
      </c>
      <c r="G27" s="356">
        <v>69741</v>
      </c>
      <c r="H27" s="356">
        <f t="shared" ref="H27:H30" si="18">D27+E27+F27+G27</f>
        <v>263285</v>
      </c>
      <c r="I27" s="356">
        <v>105443</v>
      </c>
      <c r="J27" s="356">
        <v>74373</v>
      </c>
      <c r="K27" s="356">
        <v>23534</v>
      </c>
      <c r="L27" s="356">
        <v>75005</v>
      </c>
      <c r="M27" s="356">
        <v>64541</v>
      </c>
      <c r="N27" s="356">
        <v>42106</v>
      </c>
      <c r="O27" s="356">
        <f t="shared" si="1"/>
        <v>385002</v>
      </c>
      <c r="P27" s="356">
        <f t="shared" si="7"/>
        <v>733116</v>
      </c>
      <c r="Q27" s="356">
        <v>31342</v>
      </c>
      <c r="R27" s="356">
        <f t="shared" ref="R27:R30" si="19">P27+Q27</f>
        <v>764458</v>
      </c>
      <c r="S27" s="237">
        <v>11.08</v>
      </c>
      <c r="T27" s="354" t="s">
        <v>2224</v>
      </c>
      <c r="U27" s="358" t="s">
        <v>2224</v>
      </c>
      <c r="V27" s="356">
        <v>72734</v>
      </c>
      <c r="W27" s="356">
        <v>11792</v>
      </c>
      <c r="X27" s="356">
        <v>146330</v>
      </c>
      <c r="Y27" s="356">
        <v>9603</v>
      </c>
      <c r="Z27" s="356">
        <v>58385</v>
      </c>
      <c r="AA27" s="356">
        <f t="shared" ref="AA27:AA30" si="20">W27+X27+Y27+Z27</f>
        <v>226110</v>
      </c>
      <c r="AB27" s="356">
        <v>92145</v>
      </c>
      <c r="AC27" s="356">
        <v>63749</v>
      </c>
      <c r="AD27" s="356">
        <v>19351</v>
      </c>
      <c r="AE27" s="356">
        <v>59513</v>
      </c>
      <c r="AF27" s="356">
        <v>53852</v>
      </c>
      <c r="AG27" s="356">
        <v>33381</v>
      </c>
      <c r="AH27" s="356">
        <f t="shared" si="4"/>
        <v>321991</v>
      </c>
      <c r="AI27" s="356">
        <f t="shared" si="9"/>
        <v>620835</v>
      </c>
      <c r="AJ27" s="356">
        <v>31369</v>
      </c>
      <c r="AK27" s="356">
        <f t="shared" ref="AK27:AK30" si="21">AI27+AJ27</f>
        <v>652204</v>
      </c>
      <c r="AL27" s="237">
        <v>6.66</v>
      </c>
      <c r="AM27" s="354" t="s">
        <v>2224</v>
      </c>
    </row>
    <row r="28" spans="1:39" s="154" customFormat="1" ht="9.9499999999999993" customHeight="1" x14ac:dyDescent="0.2">
      <c r="A28" s="1680" t="s">
        <v>1484</v>
      </c>
      <c r="B28" s="372" t="s">
        <v>1274</v>
      </c>
      <c r="C28" s="277">
        <v>103894</v>
      </c>
      <c r="D28" s="277">
        <v>14657</v>
      </c>
      <c r="E28" s="277">
        <v>170652</v>
      </c>
      <c r="F28" s="277">
        <v>11148</v>
      </c>
      <c r="G28" s="277">
        <v>77349</v>
      </c>
      <c r="H28" s="277">
        <f t="shared" si="18"/>
        <v>273806</v>
      </c>
      <c r="I28" s="277">
        <v>117966</v>
      </c>
      <c r="J28" s="277">
        <v>76179</v>
      </c>
      <c r="K28" s="277">
        <v>25497</v>
      </c>
      <c r="L28" s="277">
        <v>77372</v>
      </c>
      <c r="M28" s="277">
        <v>70575</v>
      </c>
      <c r="N28" s="277">
        <v>45112</v>
      </c>
      <c r="O28" s="277">
        <f t="shared" si="1"/>
        <v>412701</v>
      </c>
      <c r="P28" s="277">
        <f t="shared" si="7"/>
        <v>790401</v>
      </c>
      <c r="Q28" s="277">
        <v>28667</v>
      </c>
      <c r="R28" s="277">
        <f t="shared" si="19"/>
        <v>819068</v>
      </c>
      <c r="S28" s="276">
        <v>12.13</v>
      </c>
      <c r="T28" s="332" t="s">
        <v>2225</v>
      </c>
      <c r="U28" s="372" t="s">
        <v>2225</v>
      </c>
      <c r="V28" s="277">
        <v>86465</v>
      </c>
      <c r="W28" s="277">
        <v>12972</v>
      </c>
      <c r="X28" s="277">
        <v>150188</v>
      </c>
      <c r="Y28" s="277">
        <v>7952</v>
      </c>
      <c r="Z28" s="277">
        <v>64117</v>
      </c>
      <c r="AA28" s="277">
        <f t="shared" si="20"/>
        <v>235229</v>
      </c>
      <c r="AB28" s="277">
        <v>100899</v>
      </c>
      <c r="AC28" s="277">
        <v>64519</v>
      </c>
      <c r="AD28" s="277">
        <v>20524</v>
      </c>
      <c r="AE28" s="277">
        <v>61151</v>
      </c>
      <c r="AF28" s="277">
        <v>57928</v>
      </c>
      <c r="AG28" s="277">
        <v>35223</v>
      </c>
      <c r="AH28" s="277">
        <f t="shared" si="4"/>
        <v>340244</v>
      </c>
      <c r="AI28" s="277">
        <f t="shared" si="9"/>
        <v>661938</v>
      </c>
      <c r="AJ28" s="277">
        <v>24065</v>
      </c>
      <c r="AK28" s="277">
        <f t="shared" si="21"/>
        <v>686003</v>
      </c>
      <c r="AL28" s="276">
        <v>7.34</v>
      </c>
      <c r="AM28" s="332" t="s">
        <v>2225</v>
      </c>
    </row>
    <row r="29" spans="1:39" s="154" customFormat="1" ht="9.9499999999999993" customHeight="1" x14ac:dyDescent="0.2">
      <c r="A29" s="1680" t="s">
        <v>1484</v>
      </c>
      <c r="B29" s="1693" t="s">
        <v>1159</v>
      </c>
      <c r="C29" s="356">
        <v>80960</v>
      </c>
      <c r="D29" s="356">
        <v>16169</v>
      </c>
      <c r="E29" s="356">
        <v>173955</v>
      </c>
      <c r="F29" s="356">
        <v>11334</v>
      </c>
      <c r="G29" s="356">
        <v>82038</v>
      </c>
      <c r="H29" s="356">
        <f t="shared" si="18"/>
        <v>283496</v>
      </c>
      <c r="I29" s="356">
        <v>118912</v>
      </c>
      <c r="J29" s="356">
        <v>78587</v>
      </c>
      <c r="K29" s="356">
        <v>29566</v>
      </c>
      <c r="L29" s="356">
        <v>81609</v>
      </c>
      <c r="M29" s="356">
        <v>68005</v>
      </c>
      <c r="N29" s="356">
        <v>43330</v>
      </c>
      <c r="O29" s="356">
        <f t="shared" si="1"/>
        <v>420009</v>
      </c>
      <c r="P29" s="356">
        <f t="shared" si="7"/>
        <v>784465</v>
      </c>
      <c r="Q29" s="356">
        <v>33667</v>
      </c>
      <c r="R29" s="356">
        <f t="shared" si="19"/>
        <v>818132</v>
      </c>
      <c r="S29" s="237">
        <v>11.78</v>
      </c>
      <c r="T29" s="354" t="s">
        <v>2226</v>
      </c>
      <c r="U29" s="358" t="s">
        <v>2226</v>
      </c>
      <c r="V29" s="356">
        <v>67541</v>
      </c>
      <c r="W29" s="356">
        <v>14210</v>
      </c>
      <c r="X29" s="356">
        <v>151518</v>
      </c>
      <c r="Y29" s="356">
        <v>7847</v>
      </c>
      <c r="Z29" s="356">
        <v>66814</v>
      </c>
      <c r="AA29" s="356">
        <f t="shared" si="20"/>
        <v>240389</v>
      </c>
      <c r="AB29" s="356">
        <v>100658</v>
      </c>
      <c r="AC29" s="356">
        <v>66105</v>
      </c>
      <c r="AD29" s="356">
        <v>23554</v>
      </c>
      <c r="AE29" s="356">
        <v>61489</v>
      </c>
      <c r="AF29" s="356">
        <v>55262</v>
      </c>
      <c r="AG29" s="356">
        <v>33317</v>
      </c>
      <c r="AH29" s="356">
        <f t="shared" si="4"/>
        <v>340385</v>
      </c>
      <c r="AI29" s="356">
        <f t="shared" si="9"/>
        <v>648315</v>
      </c>
      <c r="AJ29" s="356">
        <v>29282</v>
      </c>
      <c r="AK29" s="356">
        <f t="shared" si="21"/>
        <v>677597</v>
      </c>
      <c r="AL29" s="237">
        <v>7.69</v>
      </c>
      <c r="AM29" s="354" t="s">
        <v>2226</v>
      </c>
    </row>
    <row r="30" spans="1:39" s="154" customFormat="1" ht="9.9499999999999993" customHeight="1" x14ac:dyDescent="0.2">
      <c r="A30" s="1680" t="s">
        <v>1484</v>
      </c>
      <c r="B30" s="372" t="s">
        <v>1160</v>
      </c>
      <c r="C30" s="277">
        <v>110763</v>
      </c>
      <c r="D30" s="277">
        <v>11077</v>
      </c>
      <c r="E30" s="277">
        <v>141584</v>
      </c>
      <c r="F30" s="277">
        <v>11451</v>
      </c>
      <c r="G30" s="277">
        <v>58753</v>
      </c>
      <c r="H30" s="277">
        <f t="shared" si="18"/>
        <v>222865</v>
      </c>
      <c r="I30" s="277">
        <v>103436</v>
      </c>
      <c r="J30" s="277">
        <v>74235</v>
      </c>
      <c r="K30" s="277">
        <v>24620</v>
      </c>
      <c r="L30" s="277">
        <v>82676</v>
      </c>
      <c r="M30" s="277">
        <v>91008</v>
      </c>
      <c r="N30" s="277">
        <v>39462</v>
      </c>
      <c r="O30" s="277">
        <f t="shared" si="1"/>
        <v>415437</v>
      </c>
      <c r="P30" s="277">
        <f t="shared" si="7"/>
        <v>749065</v>
      </c>
      <c r="Q30" s="277">
        <v>19745</v>
      </c>
      <c r="R30" s="277">
        <f t="shared" si="19"/>
        <v>768810</v>
      </c>
      <c r="S30" s="276">
        <v>-4.01</v>
      </c>
      <c r="T30" s="332" t="s">
        <v>2227</v>
      </c>
      <c r="U30" s="372" t="s">
        <v>2227</v>
      </c>
      <c r="V30" s="277">
        <v>92211</v>
      </c>
      <c r="W30" s="277">
        <v>9792</v>
      </c>
      <c r="X30" s="277">
        <v>122618</v>
      </c>
      <c r="Y30" s="277">
        <v>8055</v>
      </c>
      <c r="Z30" s="277">
        <v>47830</v>
      </c>
      <c r="AA30" s="277">
        <f t="shared" si="20"/>
        <v>188295</v>
      </c>
      <c r="AB30" s="277">
        <v>87736</v>
      </c>
      <c r="AC30" s="277">
        <v>61900</v>
      </c>
      <c r="AD30" s="277">
        <v>19639</v>
      </c>
      <c r="AE30" s="277">
        <v>62289</v>
      </c>
      <c r="AF30" s="277">
        <v>74189</v>
      </c>
      <c r="AG30" s="277">
        <v>30016</v>
      </c>
      <c r="AH30" s="277">
        <f t="shared" si="4"/>
        <v>335769</v>
      </c>
      <c r="AI30" s="277">
        <f t="shared" si="9"/>
        <v>616275</v>
      </c>
      <c r="AJ30" s="277">
        <v>17985</v>
      </c>
      <c r="AK30" s="277">
        <f t="shared" si="21"/>
        <v>634260</v>
      </c>
      <c r="AL30" s="276">
        <v>-6.99</v>
      </c>
      <c r="AM30" s="332" t="s">
        <v>2227</v>
      </c>
    </row>
    <row r="31" spans="1:39" s="177" customFormat="1" ht="9.9499999999999993" customHeight="1" x14ac:dyDescent="0.15">
      <c r="A31" s="778"/>
      <c r="B31" s="778"/>
      <c r="C31" s="323"/>
      <c r="D31" s="323"/>
      <c r="E31" s="323"/>
      <c r="F31" s="323"/>
      <c r="G31" s="323"/>
      <c r="H31" s="323"/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2"/>
      <c r="T31" s="338"/>
      <c r="U31" s="778"/>
      <c r="V31" s="323"/>
      <c r="W31" s="323"/>
      <c r="X31" s="323"/>
      <c r="Y31" s="323"/>
      <c r="Z31" s="323"/>
      <c r="AA31" s="323"/>
      <c r="AB31" s="323"/>
      <c r="AC31" s="323"/>
      <c r="AD31" s="323"/>
      <c r="AE31" s="323"/>
      <c r="AF31" s="323"/>
      <c r="AG31" s="323"/>
      <c r="AH31" s="323"/>
      <c r="AI31" s="323"/>
      <c r="AJ31" s="323"/>
      <c r="AK31" s="323"/>
      <c r="AL31" s="322"/>
      <c r="AM31" s="338"/>
    </row>
    <row r="32" spans="1:39" s="154" customFormat="1" ht="9.9499999999999993" customHeight="1" x14ac:dyDescent="0.2">
      <c r="A32" s="778" t="s">
        <v>1536</v>
      </c>
      <c r="B32" s="1693" t="s">
        <v>3063</v>
      </c>
      <c r="C32" s="277">
        <v>91739</v>
      </c>
      <c r="D32" s="277">
        <v>13223</v>
      </c>
      <c r="E32" s="277">
        <v>171868</v>
      </c>
      <c r="F32" s="277">
        <v>13299</v>
      </c>
      <c r="G32" s="277">
        <v>70327</v>
      </c>
      <c r="H32" s="277">
        <f t="shared" ref="H32:H40" si="22">D32+E32+F32+G32</f>
        <v>268717</v>
      </c>
      <c r="I32" s="277">
        <v>106623</v>
      </c>
      <c r="J32" s="277">
        <v>75479</v>
      </c>
      <c r="K32" s="277">
        <v>24775</v>
      </c>
      <c r="L32" s="277">
        <v>83451</v>
      </c>
      <c r="M32" s="277">
        <v>75704</v>
      </c>
      <c r="N32" s="277">
        <v>39052</v>
      </c>
      <c r="O32" s="277">
        <f t="shared" si="1"/>
        <v>405084</v>
      </c>
      <c r="P32" s="277">
        <f t="shared" si="7"/>
        <v>765540</v>
      </c>
      <c r="Q32" s="277">
        <v>31365</v>
      </c>
      <c r="R32" s="277">
        <f t="shared" ref="R32:R40" si="23">P32+Q32</f>
        <v>796905</v>
      </c>
      <c r="S32" s="276">
        <v>4.24</v>
      </c>
      <c r="T32" s="332" t="s">
        <v>2224</v>
      </c>
      <c r="U32" s="372" t="s">
        <v>2224</v>
      </c>
      <c r="V32" s="277">
        <v>75193</v>
      </c>
      <c r="W32" s="277">
        <v>11489</v>
      </c>
      <c r="X32" s="277">
        <v>149164</v>
      </c>
      <c r="Y32" s="277">
        <v>9836</v>
      </c>
      <c r="Z32" s="277">
        <v>57506</v>
      </c>
      <c r="AA32" s="277">
        <f t="shared" ref="AA32:AA35" si="24">W32+X32+Y32+Z32</f>
        <v>227995</v>
      </c>
      <c r="AB32" s="277">
        <v>89796</v>
      </c>
      <c r="AC32" s="277">
        <v>62881</v>
      </c>
      <c r="AD32" s="277">
        <v>19299</v>
      </c>
      <c r="AE32" s="277">
        <v>62301</v>
      </c>
      <c r="AF32" s="277">
        <v>60451</v>
      </c>
      <c r="AG32" s="277">
        <v>29382</v>
      </c>
      <c r="AH32" s="277">
        <f t="shared" si="4"/>
        <v>324110</v>
      </c>
      <c r="AI32" s="277">
        <f t="shared" si="9"/>
        <v>627298</v>
      </c>
      <c r="AJ32" s="277">
        <v>30099</v>
      </c>
      <c r="AK32" s="277">
        <f t="shared" ref="AK32:AK35" si="25">AI32+AJ32</f>
        <v>657397</v>
      </c>
      <c r="AL32" s="276">
        <v>0.8</v>
      </c>
      <c r="AM32" s="332" t="s">
        <v>2224</v>
      </c>
    </row>
    <row r="33" spans="1:39" s="154" customFormat="1" ht="9.9499999999999993" customHeight="1" x14ac:dyDescent="0.2">
      <c r="A33" s="778" t="s">
        <v>1536</v>
      </c>
      <c r="B33" s="372" t="s">
        <v>1274</v>
      </c>
      <c r="C33" s="356">
        <v>112643</v>
      </c>
      <c r="D33" s="356">
        <v>14861</v>
      </c>
      <c r="E33" s="356">
        <v>181426</v>
      </c>
      <c r="F33" s="356">
        <v>11064</v>
      </c>
      <c r="G33" s="356">
        <v>76779</v>
      </c>
      <c r="H33" s="356">
        <f t="shared" si="22"/>
        <v>284130</v>
      </c>
      <c r="I33" s="356">
        <v>114039</v>
      </c>
      <c r="J33" s="356">
        <v>80880</v>
      </c>
      <c r="K33" s="356">
        <v>27590</v>
      </c>
      <c r="L33" s="356">
        <v>87506</v>
      </c>
      <c r="M33" s="356">
        <v>74344</v>
      </c>
      <c r="N33" s="356">
        <v>40430</v>
      </c>
      <c r="O33" s="356">
        <f t="shared" si="1"/>
        <v>424789</v>
      </c>
      <c r="P33" s="356">
        <f t="shared" si="7"/>
        <v>821562</v>
      </c>
      <c r="Q33" s="356">
        <v>35724</v>
      </c>
      <c r="R33" s="356">
        <f t="shared" si="23"/>
        <v>857286</v>
      </c>
      <c r="S33" s="237">
        <v>4.67</v>
      </c>
      <c r="T33" s="354" t="s">
        <v>2225</v>
      </c>
      <c r="U33" s="358" t="s">
        <v>2225</v>
      </c>
      <c r="V33" s="356">
        <v>89412</v>
      </c>
      <c r="W33" s="356">
        <v>12867</v>
      </c>
      <c r="X33" s="356">
        <v>156048</v>
      </c>
      <c r="Y33" s="356">
        <v>8512</v>
      </c>
      <c r="Z33" s="356">
        <v>62609</v>
      </c>
      <c r="AA33" s="356">
        <f t="shared" si="24"/>
        <v>240036</v>
      </c>
      <c r="AB33" s="356">
        <v>93973</v>
      </c>
      <c r="AC33" s="356">
        <v>66101</v>
      </c>
      <c r="AD33" s="356">
        <v>21034</v>
      </c>
      <c r="AE33" s="356">
        <v>65160</v>
      </c>
      <c r="AF33" s="356">
        <v>58041</v>
      </c>
      <c r="AG33" s="356">
        <v>30034</v>
      </c>
      <c r="AH33" s="356">
        <f t="shared" si="4"/>
        <v>334343</v>
      </c>
      <c r="AI33" s="356">
        <f t="shared" si="9"/>
        <v>663791</v>
      </c>
      <c r="AJ33" s="356">
        <v>28572</v>
      </c>
      <c r="AK33" s="356">
        <f t="shared" si="25"/>
        <v>692363</v>
      </c>
      <c r="AL33" s="237">
        <v>0.93</v>
      </c>
      <c r="AM33" s="354" t="s">
        <v>2225</v>
      </c>
    </row>
    <row r="34" spans="1:39" s="154" customFormat="1" ht="9.9499999999999993" customHeight="1" x14ac:dyDescent="0.2">
      <c r="A34" s="778" t="s">
        <v>1536</v>
      </c>
      <c r="B34" s="1693" t="s">
        <v>1159</v>
      </c>
      <c r="C34" s="277">
        <v>87880</v>
      </c>
      <c r="D34" s="277">
        <v>17113</v>
      </c>
      <c r="E34" s="277">
        <v>193812</v>
      </c>
      <c r="F34" s="277">
        <v>10708</v>
      </c>
      <c r="G34" s="277">
        <v>87468</v>
      </c>
      <c r="H34" s="277">
        <f t="shared" si="22"/>
        <v>309101</v>
      </c>
      <c r="I34" s="277">
        <v>130685</v>
      </c>
      <c r="J34" s="277">
        <v>88611</v>
      </c>
      <c r="K34" s="277">
        <v>30156</v>
      </c>
      <c r="L34" s="277">
        <v>86991</v>
      </c>
      <c r="M34" s="277">
        <v>80028</v>
      </c>
      <c r="N34" s="277">
        <v>54389</v>
      </c>
      <c r="O34" s="277">
        <f t="shared" si="1"/>
        <v>470860</v>
      </c>
      <c r="P34" s="277">
        <f t="shared" si="7"/>
        <v>867841</v>
      </c>
      <c r="Q34" s="277">
        <v>38892</v>
      </c>
      <c r="R34" s="277">
        <f t="shared" si="23"/>
        <v>906733</v>
      </c>
      <c r="S34" s="276">
        <v>10.83</v>
      </c>
      <c r="T34" s="332" t="s">
        <v>2226</v>
      </c>
      <c r="U34" s="372" t="s">
        <v>2226</v>
      </c>
      <c r="V34" s="277">
        <v>70234</v>
      </c>
      <c r="W34" s="277">
        <v>15082</v>
      </c>
      <c r="X34" s="277">
        <v>164498</v>
      </c>
      <c r="Y34" s="277">
        <v>8314</v>
      </c>
      <c r="Z34" s="277">
        <v>69752</v>
      </c>
      <c r="AA34" s="277">
        <f t="shared" si="24"/>
        <v>257646</v>
      </c>
      <c r="AB34" s="277">
        <v>107063</v>
      </c>
      <c r="AC34" s="277">
        <v>70600</v>
      </c>
      <c r="AD34" s="277">
        <v>22837</v>
      </c>
      <c r="AE34" s="277">
        <v>62379</v>
      </c>
      <c r="AF34" s="277">
        <v>62295</v>
      </c>
      <c r="AG34" s="277">
        <v>39423</v>
      </c>
      <c r="AH34" s="277">
        <f t="shared" si="4"/>
        <v>364597</v>
      </c>
      <c r="AI34" s="277">
        <f t="shared" si="9"/>
        <v>692477</v>
      </c>
      <c r="AJ34" s="277">
        <v>30052</v>
      </c>
      <c r="AK34" s="277">
        <f t="shared" si="25"/>
        <v>722529</v>
      </c>
      <c r="AL34" s="276">
        <v>6.63</v>
      </c>
      <c r="AM34" s="332" t="s">
        <v>2226</v>
      </c>
    </row>
    <row r="35" spans="1:39" s="154" customFormat="1" ht="9.9499999999999993" customHeight="1" x14ac:dyDescent="0.2">
      <c r="A35" s="778" t="s">
        <v>1536</v>
      </c>
      <c r="B35" s="372" t="s">
        <v>1160</v>
      </c>
      <c r="C35" s="356">
        <v>118398</v>
      </c>
      <c r="D35" s="356">
        <v>13905</v>
      </c>
      <c r="E35" s="356">
        <v>202552</v>
      </c>
      <c r="F35" s="356">
        <v>12798</v>
      </c>
      <c r="G35" s="356">
        <v>84914</v>
      </c>
      <c r="H35" s="356">
        <f t="shared" si="22"/>
        <v>314169</v>
      </c>
      <c r="I35" s="356">
        <v>146305</v>
      </c>
      <c r="J35" s="356">
        <v>89551</v>
      </c>
      <c r="K35" s="356">
        <v>32750</v>
      </c>
      <c r="L35" s="356">
        <v>88492</v>
      </c>
      <c r="M35" s="356">
        <v>101064</v>
      </c>
      <c r="N35" s="356">
        <v>52146</v>
      </c>
      <c r="O35" s="356">
        <f t="shared" si="1"/>
        <v>510308</v>
      </c>
      <c r="P35" s="356">
        <f t="shared" si="7"/>
        <v>942875</v>
      </c>
      <c r="Q35" s="356">
        <v>26385</v>
      </c>
      <c r="R35" s="356">
        <f t="shared" si="23"/>
        <v>969260</v>
      </c>
      <c r="S35" s="237">
        <v>26.07</v>
      </c>
      <c r="T35" s="354" t="s">
        <v>2227</v>
      </c>
      <c r="U35" s="358" t="s">
        <v>2227</v>
      </c>
      <c r="V35" s="356">
        <v>94237</v>
      </c>
      <c r="W35" s="356">
        <v>12493</v>
      </c>
      <c r="X35" s="356">
        <v>167055</v>
      </c>
      <c r="Y35" s="356">
        <v>9918</v>
      </c>
      <c r="Z35" s="356">
        <v>66438</v>
      </c>
      <c r="AA35" s="356">
        <f t="shared" si="24"/>
        <v>255904</v>
      </c>
      <c r="AB35" s="356">
        <v>119757</v>
      </c>
      <c r="AC35" s="356">
        <v>68192</v>
      </c>
      <c r="AD35" s="356">
        <v>24732</v>
      </c>
      <c r="AE35" s="356">
        <v>63520</v>
      </c>
      <c r="AF35" s="356">
        <v>78590</v>
      </c>
      <c r="AG35" s="356">
        <v>37266</v>
      </c>
      <c r="AH35" s="356">
        <f t="shared" si="4"/>
        <v>392057</v>
      </c>
      <c r="AI35" s="356">
        <f t="shared" si="9"/>
        <v>742198</v>
      </c>
      <c r="AJ35" s="356">
        <v>19457</v>
      </c>
      <c r="AK35" s="356">
        <f t="shared" si="25"/>
        <v>761655</v>
      </c>
      <c r="AL35" s="237">
        <v>20.09</v>
      </c>
      <c r="AM35" s="354" t="s">
        <v>2227</v>
      </c>
    </row>
    <row r="36" spans="1:39" s="177" customFormat="1" ht="9.9499999999999993" customHeight="1" x14ac:dyDescent="0.15">
      <c r="A36" s="1474"/>
      <c r="B36" s="1680"/>
      <c r="C36" s="453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  <c r="Q36" s="453"/>
      <c r="R36" s="453"/>
      <c r="S36" s="315"/>
      <c r="T36" s="337"/>
      <c r="U36" s="1474"/>
      <c r="V36" s="453"/>
      <c r="W36" s="453"/>
      <c r="X36" s="453"/>
      <c r="Y36" s="453"/>
      <c r="Z36" s="453"/>
      <c r="AA36" s="453"/>
      <c r="AB36" s="453"/>
      <c r="AC36" s="453"/>
      <c r="AD36" s="453"/>
      <c r="AE36" s="453"/>
      <c r="AF36" s="453"/>
      <c r="AG36" s="453"/>
      <c r="AH36" s="453"/>
      <c r="AI36" s="453"/>
      <c r="AJ36" s="453"/>
      <c r="AK36" s="453"/>
      <c r="AL36" s="315"/>
      <c r="AM36" s="337"/>
    </row>
    <row r="37" spans="1:39" s="154" customFormat="1" ht="9.9499999999999993" customHeight="1" x14ac:dyDescent="0.2">
      <c r="A37" s="1680" t="s">
        <v>1817</v>
      </c>
      <c r="B37" s="1693" t="s">
        <v>3063</v>
      </c>
      <c r="C37" s="356">
        <v>99598</v>
      </c>
      <c r="D37" s="356">
        <v>12759</v>
      </c>
      <c r="E37" s="356">
        <v>193283</v>
      </c>
      <c r="F37" s="356">
        <v>14051</v>
      </c>
      <c r="G37" s="356">
        <v>81242</v>
      </c>
      <c r="H37" s="356">
        <f t="shared" si="22"/>
        <v>301335</v>
      </c>
      <c r="I37" s="356">
        <v>120844</v>
      </c>
      <c r="J37" s="356">
        <v>85146</v>
      </c>
      <c r="K37" s="356">
        <v>30521</v>
      </c>
      <c r="L37" s="356">
        <v>87666</v>
      </c>
      <c r="M37" s="356">
        <v>81847</v>
      </c>
      <c r="N37" s="356">
        <v>44476</v>
      </c>
      <c r="O37" s="356">
        <f t="shared" si="1"/>
        <v>450500</v>
      </c>
      <c r="P37" s="356">
        <f t="shared" si="7"/>
        <v>851433</v>
      </c>
      <c r="Q37" s="356">
        <v>35431</v>
      </c>
      <c r="R37" s="356">
        <f t="shared" si="23"/>
        <v>886864</v>
      </c>
      <c r="S37" s="237">
        <v>10.24</v>
      </c>
      <c r="T37" s="354" t="s">
        <v>2224</v>
      </c>
      <c r="U37" s="358" t="s">
        <v>2224</v>
      </c>
      <c r="V37" s="356">
        <v>78137</v>
      </c>
      <c r="W37" s="356">
        <v>11087</v>
      </c>
      <c r="X37" s="356">
        <v>161113</v>
      </c>
      <c r="Y37" s="356">
        <v>10444</v>
      </c>
      <c r="Z37" s="356">
        <v>62086</v>
      </c>
      <c r="AA37" s="356">
        <f t="shared" ref="AA37:AA40" si="26">W37+X37+Y37+Z37</f>
        <v>244730</v>
      </c>
      <c r="AB37" s="356">
        <v>97761</v>
      </c>
      <c r="AC37" s="356">
        <v>67347</v>
      </c>
      <c r="AD37" s="356">
        <v>22507</v>
      </c>
      <c r="AE37" s="356">
        <v>62803</v>
      </c>
      <c r="AF37" s="356">
        <v>62262</v>
      </c>
      <c r="AG37" s="356">
        <v>31168</v>
      </c>
      <c r="AH37" s="356">
        <f t="shared" si="4"/>
        <v>343848</v>
      </c>
      <c r="AI37" s="356">
        <f t="shared" si="9"/>
        <v>666715</v>
      </c>
      <c r="AJ37" s="356">
        <v>30330</v>
      </c>
      <c r="AK37" s="356">
        <f t="shared" ref="AK37:AK40" si="27">AI37+AJ37</f>
        <v>697045</v>
      </c>
      <c r="AL37" s="237">
        <v>5.08</v>
      </c>
      <c r="AM37" s="354" t="s">
        <v>2224</v>
      </c>
    </row>
    <row r="38" spans="1:39" s="154" customFormat="1" ht="9.9499999999999993" customHeight="1" x14ac:dyDescent="0.2">
      <c r="A38" s="1680" t="s">
        <v>1817</v>
      </c>
      <c r="B38" s="372" t="s">
        <v>1274</v>
      </c>
      <c r="C38" s="277">
        <v>120789</v>
      </c>
      <c r="D38" s="277">
        <v>14334</v>
      </c>
      <c r="E38" s="277">
        <v>219598</v>
      </c>
      <c r="F38" s="277">
        <v>12310</v>
      </c>
      <c r="G38" s="277">
        <v>95952</v>
      </c>
      <c r="H38" s="277">
        <f t="shared" si="22"/>
        <v>342194</v>
      </c>
      <c r="I38" s="277">
        <v>139703</v>
      </c>
      <c r="J38" s="277">
        <v>91023</v>
      </c>
      <c r="K38" s="277">
        <v>32102</v>
      </c>
      <c r="L38" s="277">
        <v>91660</v>
      </c>
      <c r="M38" s="277">
        <v>79468</v>
      </c>
      <c r="N38" s="277">
        <v>51761</v>
      </c>
      <c r="O38" s="277">
        <f t="shared" si="1"/>
        <v>485717</v>
      </c>
      <c r="P38" s="277">
        <f t="shared" si="7"/>
        <v>948700</v>
      </c>
      <c r="Q38" s="277">
        <v>40934</v>
      </c>
      <c r="R38" s="277">
        <f t="shared" si="23"/>
        <v>989634</v>
      </c>
      <c r="S38" s="276">
        <v>14.73</v>
      </c>
      <c r="T38" s="332" t="s">
        <v>2225</v>
      </c>
      <c r="U38" s="372" t="s">
        <v>2225</v>
      </c>
      <c r="V38" s="277">
        <v>91382</v>
      </c>
      <c r="W38" s="277">
        <v>12522</v>
      </c>
      <c r="X38" s="277">
        <v>181070</v>
      </c>
      <c r="Y38" s="277">
        <v>8865</v>
      </c>
      <c r="Z38" s="277">
        <v>72388</v>
      </c>
      <c r="AA38" s="277">
        <f t="shared" si="26"/>
        <v>274845</v>
      </c>
      <c r="AB38" s="277">
        <v>110044</v>
      </c>
      <c r="AC38" s="277">
        <v>70012</v>
      </c>
      <c r="AD38" s="277">
        <v>23077</v>
      </c>
      <c r="AE38" s="277">
        <v>65167</v>
      </c>
      <c r="AF38" s="277">
        <v>58773</v>
      </c>
      <c r="AG38" s="277">
        <v>35684</v>
      </c>
      <c r="AH38" s="277">
        <f t="shared" si="4"/>
        <v>362757</v>
      </c>
      <c r="AI38" s="277">
        <f t="shared" si="9"/>
        <v>728984</v>
      </c>
      <c r="AJ38" s="277">
        <v>32144</v>
      </c>
      <c r="AK38" s="277">
        <f t="shared" si="27"/>
        <v>761128</v>
      </c>
      <c r="AL38" s="276">
        <v>9.3000000000000007</v>
      </c>
      <c r="AM38" s="332" t="s">
        <v>2225</v>
      </c>
    </row>
    <row r="39" spans="1:39" s="154" customFormat="1" ht="9.9499999999999993" customHeight="1" x14ac:dyDescent="0.2">
      <c r="A39" s="1680" t="s">
        <v>1817</v>
      </c>
      <c r="B39" s="1693" t="s">
        <v>1159</v>
      </c>
      <c r="C39" s="356">
        <v>95263</v>
      </c>
      <c r="D39" s="356">
        <v>17659</v>
      </c>
      <c r="E39" s="356">
        <v>235751</v>
      </c>
      <c r="F39" s="356">
        <v>12332</v>
      </c>
      <c r="G39" s="356">
        <v>108046</v>
      </c>
      <c r="H39" s="356">
        <f t="shared" si="22"/>
        <v>373788</v>
      </c>
      <c r="I39" s="356">
        <v>150972</v>
      </c>
      <c r="J39" s="356">
        <v>95645</v>
      </c>
      <c r="K39" s="356">
        <v>32766</v>
      </c>
      <c r="L39" s="356">
        <v>97143</v>
      </c>
      <c r="M39" s="356">
        <v>99539</v>
      </c>
      <c r="N39" s="356">
        <v>56257</v>
      </c>
      <c r="O39" s="356">
        <f t="shared" si="1"/>
        <v>532322</v>
      </c>
      <c r="P39" s="356">
        <f t="shared" si="7"/>
        <v>1001373</v>
      </c>
      <c r="Q39" s="356">
        <v>40769</v>
      </c>
      <c r="R39" s="356">
        <f t="shared" si="23"/>
        <v>1042142</v>
      </c>
      <c r="S39" s="237">
        <v>15.56</v>
      </c>
      <c r="T39" s="354" t="s">
        <v>2226</v>
      </c>
      <c r="U39" s="358" t="s">
        <v>2226</v>
      </c>
      <c r="V39" s="356">
        <v>72309</v>
      </c>
      <c r="W39" s="356">
        <v>15428</v>
      </c>
      <c r="X39" s="356">
        <v>194337</v>
      </c>
      <c r="Y39" s="356">
        <v>8731</v>
      </c>
      <c r="Z39" s="356">
        <v>80377</v>
      </c>
      <c r="AA39" s="356">
        <f t="shared" si="26"/>
        <v>298873</v>
      </c>
      <c r="AB39" s="356">
        <v>117864</v>
      </c>
      <c r="AC39" s="356">
        <v>72080</v>
      </c>
      <c r="AD39" s="356">
        <v>23375</v>
      </c>
      <c r="AE39" s="356">
        <v>66260</v>
      </c>
      <c r="AF39" s="356">
        <v>74066</v>
      </c>
      <c r="AG39" s="356">
        <v>38080</v>
      </c>
      <c r="AH39" s="356">
        <f t="shared" si="4"/>
        <v>391725</v>
      </c>
      <c r="AI39" s="356">
        <f t="shared" si="9"/>
        <v>762907</v>
      </c>
      <c r="AJ39" s="356">
        <v>32175</v>
      </c>
      <c r="AK39" s="356">
        <f t="shared" si="27"/>
        <v>795082</v>
      </c>
      <c r="AL39" s="237">
        <v>10.62</v>
      </c>
      <c r="AM39" s="354" t="s">
        <v>2226</v>
      </c>
    </row>
    <row r="40" spans="1:39" s="154" customFormat="1" ht="9.9499999999999993" customHeight="1" x14ac:dyDescent="0.2">
      <c r="A40" s="1680" t="s">
        <v>1817</v>
      </c>
      <c r="B40" s="372" t="s">
        <v>1160</v>
      </c>
      <c r="C40" s="277">
        <v>129881</v>
      </c>
      <c r="D40" s="277">
        <v>14163</v>
      </c>
      <c r="E40" s="277">
        <v>215805</v>
      </c>
      <c r="F40" s="277">
        <v>15531</v>
      </c>
      <c r="G40" s="277">
        <v>84394</v>
      </c>
      <c r="H40" s="277">
        <f t="shared" si="22"/>
        <v>329893</v>
      </c>
      <c r="I40" s="277">
        <v>155577</v>
      </c>
      <c r="J40" s="277">
        <v>99331</v>
      </c>
      <c r="K40" s="277">
        <v>34150</v>
      </c>
      <c r="L40" s="277">
        <v>101791</v>
      </c>
      <c r="M40" s="277">
        <v>114233</v>
      </c>
      <c r="N40" s="277">
        <v>53467</v>
      </c>
      <c r="O40" s="277">
        <f t="shared" si="1"/>
        <v>558549</v>
      </c>
      <c r="P40" s="277">
        <f t="shared" si="7"/>
        <v>1018323</v>
      </c>
      <c r="Q40" s="277">
        <v>34754</v>
      </c>
      <c r="R40" s="277">
        <f t="shared" si="23"/>
        <v>1053077</v>
      </c>
      <c r="S40" s="276">
        <v>9.5399999999999991</v>
      </c>
      <c r="T40" s="332" t="s">
        <v>2227</v>
      </c>
      <c r="U40" s="372" t="s">
        <v>2227</v>
      </c>
      <c r="V40" s="277">
        <v>97297</v>
      </c>
      <c r="W40" s="277">
        <v>12316</v>
      </c>
      <c r="X40" s="277">
        <v>172905</v>
      </c>
      <c r="Y40" s="277">
        <v>10877</v>
      </c>
      <c r="Z40" s="277">
        <v>63776</v>
      </c>
      <c r="AA40" s="277">
        <f t="shared" si="26"/>
        <v>259874</v>
      </c>
      <c r="AB40" s="277">
        <v>119649</v>
      </c>
      <c r="AC40" s="277">
        <v>73279</v>
      </c>
      <c r="AD40" s="277">
        <v>24102</v>
      </c>
      <c r="AE40" s="277">
        <v>68999</v>
      </c>
      <c r="AF40" s="277">
        <v>83665</v>
      </c>
      <c r="AG40" s="277">
        <v>35622</v>
      </c>
      <c r="AH40" s="277">
        <f t="shared" si="4"/>
        <v>405316</v>
      </c>
      <c r="AI40" s="277">
        <f t="shared" si="9"/>
        <v>762487</v>
      </c>
      <c r="AJ40" s="277">
        <v>19408</v>
      </c>
      <c r="AK40" s="277">
        <f t="shared" si="27"/>
        <v>781895</v>
      </c>
      <c r="AL40" s="276">
        <v>3.49</v>
      </c>
      <c r="AM40" s="332" t="s">
        <v>2227</v>
      </c>
    </row>
    <row r="41" spans="1:39" s="177" customFormat="1" ht="9.9499999999999993" customHeight="1" x14ac:dyDescent="0.15">
      <c r="A41" s="778"/>
      <c r="B41" s="778"/>
      <c r="C41" s="323"/>
      <c r="D41" s="323"/>
      <c r="E41" s="323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2"/>
      <c r="T41" s="338"/>
      <c r="U41" s="778"/>
      <c r="V41" s="323"/>
      <c r="W41" s="323"/>
      <c r="X41" s="323"/>
      <c r="Y41" s="323"/>
      <c r="Z41" s="323"/>
      <c r="AA41" s="323"/>
      <c r="AB41" s="323"/>
      <c r="AC41" s="323"/>
      <c r="AD41" s="323"/>
      <c r="AE41" s="323"/>
      <c r="AF41" s="323"/>
      <c r="AG41" s="323"/>
      <c r="AH41" s="323"/>
      <c r="AI41" s="323"/>
      <c r="AJ41" s="323"/>
      <c r="AK41" s="323"/>
      <c r="AL41" s="322"/>
      <c r="AM41" s="338"/>
    </row>
    <row r="42" spans="1:39" s="154" customFormat="1" ht="9.9499999999999993" customHeight="1" x14ac:dyDescent="0.2">
      <c r="A42" s="778" t="s">
        <v>2067</v>
      </c>
      <c r="B42" s="1693" t="s">
        <v>3063</v>
      </c>
      <c r="C42" s="277">
        <v>107781</v>
      </c>
      <c r="D42" s="277">
        <v>13870</v>
      </c>
      <c r="E42" s="277">
        <v>222382</v>
      </c>
      <c r="F42" s="277">
        <v>16629</v>
      </c>
      <c r="G42" s="277">
        <v>85710</v>
      </c>
      <c r="H42" s="277">
        <f t="shared" ref="H42:H45" si="28">D42+E42+F42+G42</f>
        <v>338591</v>
      </c>
      <c r="I42" s="277">
        <v>149307</v>
      </c>
      <c r="J42" s="277">
        <v>100246</v>
      </c>
      <c r="K42" s="277">
        <v>34505</v>
      </c>
      <c r="L42" s="277">
        <v>97628</v>
      </c>
      <c r="M42" s="277">
        <v>94311</v>
      </c>
      <c r="N42" s="277">
        <v>51964</v>
      </c>
      <c r="O42" s="277">
        <f>I42+J42+K42+L42+M42+N42</f>
        <v>527961</v>
      </c>
      <c r="P42" s="277">
        <f>O42+H42+C42</f>
        <v>974333</v>
      </c>
      <c r="Q42" s="277">
        <v>35084</v>
      </c>
      <c r="R42" s="277">
        <f t="shared" ref="R42:R50" si="29">P42+Q42</f>
        <v>1009417</v>
      </c>
      <c r="S42" s="276">
        <v>13.03</v>
      </c>
      <c r="T42" s="332" t="s">
        <v>2224</v>
      </c>
      <c r="U42" s="372" t="s">
        <v>2224</v>
      </c>
      <c r="V42" s="277">
        <v>78613</v>
      </c>
      <c r="W42" s="277">
        <v>12069</v>
      </c>
      <c r="X42" s="277">
        <v>176531</v>
      </c>
      <c r="Y42" s="277">
        <v>11340</v>
      </c>
      <c r="Z42" s="277">
        <v>62579</v>
      </c>
      <c r="AA42" s="277">
        <f t="shared" ref="AA42:AA45" si="30">W42+X42+Y42+Z42</f>
        <v>262519</v>
      </c>
      <c r="AB42" s="277">
        <v>112347</v>
      </c>
      <c r="AC42" s="277">
        <v>73149</v>
      </c>
      <c r="AD42" s="277">
        <v>23411</v>
      </c>
      <c r="AE42" s="277">
        <v>67316</v>
      </c>
      <c r="AF42" s="277">
        <v>66157</v>
      </c>
      <c r="AG42" s="277">
        <v>33881</v>
      </c>
      <c r="AH42" s="277">
        <f t="shared" si="4"/>
        <v>376261</v>
      </c>
      <c r="AI42" s="277">
        <f t="shared" si="9"/>
        <v>717393</v>
      </c>
      <c r="AJ42" s="277">
        <v>27869</v>
      </c>
      <c r="AK42" s="277">
        <f t="shared" ref="AK42:AK44" si="31">AI42+AJ42</f>
        <v>745262</v>
      </c>
      <c r="AL42" s="276">
        <v>6.18</v>
      </c>
      <c r="AM42" s="332" t="s">
        <v>2224</v>
      </c>
    </row>
    <row r="43" spans="1:39" s="154" customFormat="1" ht="9.9499999999999993" customHeight="1" x14ac:dyDescent="0.2">
      <c r="A43" s="778" t="s">
        <v>2067</v>
      </c>
      <c r="B43" s="372" t="s">
        <v>1274</v>
      </c>
      <c r="C43" s="356">
        <v>133942</v>
      </c>
      <c r="D43" s="356">
        <v>15763</v>
      </c>
      <c r="E43" s="356">
        <v>256840</v>
      </c>
      <c r="F43" s="356">
        <v>13464</v>
      </c>
      <c r="G43" s="356">
        <v>110178</v>
      </c>
      <c r="H43" s="356">
        <f t="shared" si="28"/>
        <v>396245</v>
      </c>
      <c r="I43" s="356">
        <v>159184</v>
      </c>
      <c r="J43" s="356">
        <v>104776</v>
      </c>
      <c r="K43" s="356">
        <v>35787</v>
      </c>
      <c r="L43" s="356">
        <v>101453</v>
      </c>
      <c r="M43" s="356">
        <v>98816</v>
      </c>
      <c r="N43" s="356">
        <v>55715</v>
      </c>
      <c r="O43" s="356">
        <f t="shared" si="1"/>
        <v>555731</v>
      </c>
      <c r="P43" s="356">
        <f t="shared" si="7"/>
        <v>1085918</v>
      </c>
      <c r="Q43" s="356">
        <v>40969</v>
      </c>
      <c r="R43" s="356">
        <f t="shared" si="29"/>
        <v>1126887</v>
      </c>
      <c r="S43" s="237">
        <v>13.99</v>
      </c>
      <c r="T43" s="354" t="s">
        <v>2225</v>
      </c>
      <c r="U43" s="358" t="s">
        <v>2225</v>
      </c>
      <c r="V43" s="356">
        <v>94795</v>
      </c>
      <c r="W43" s="356">
        <v>13282</v>
      </c>
      <c r="X43" s="356">
        <v>200527</v>
      </c>
      <c r="Y43" s="356">
        <v>9111</v>
      </c>
      <c r="Z43" s="356">
        <v>78651</v>
      </c>
      <c r="AA43" s="356">
        <f t="shared" si="30"/>
        <v>301571</v>
      </c>
      <c r="AB43" s="356">
        <v>116909</v>
      </c>
      <c r="AC43" s="356">
        <v>73647</v>
      </c>
      <c r="AD43" s="356">
        <v>23644</v>
      </c>
      <c r="AE43" s="356">
        <v>67915</v>
      </c>
      <c r="AF43" s="356">
        <v>67470</v>
      </c>
      <c r="AG43" s="356">
        <v>36134</v>
      </c>
      <c r="AH43" s="356">
        <f t="shared" si="4"/>
        <v>385719</v>
      </c>
      <c r="AI43" s="356">
        <f t="shared" si="9"/>
        <v>782085</v>
      </c>
      <c r="AJ43" s="356">
        <v>30407</v>
      </c>
      <c r="AK43" s="356">
        <f t="shared" si="31"/>
        <v>812492</v>
      </c>
      <c r="AL43" s="237">
        <v>6.9</v>
      </c>
      <c r="AM43" s="354" t="s">
        <v>2225</v>
      </c>
    </row>
    <row r="44" spans="1:39" s="154" customFormat="1" ht="9.9499999999999993" customHeight="1" x14ac:dyDescent="0.2">
      <c r="A44" s="778" t="s">
        <v>2067</v>
      </c>
      <c r="B44" s="1693" t="s">
        <v>1159</v>
      </c>
      <c r="C44" s="277">
        <v>104186</v>
      </c>
      <c r="D44" s="277">
        <v>21090</v>
      </c>
      <c r="E44" s="277">
        <v>264710</v>
      </c>
      <c r="F44" s="277">
        <v>13350</v>
      </c>
      <c r="G44" s="277">
        <v>122768</v>
      </c>
      <c r="H44" s="277">
        <f t="shared" si="28"/>
        <v>421918</v>
      </c>
      <c r="I44" s="277">
        <v>159129</v>
      </c>
      <c r="J44" s="277">
        <v>108073</v>
      </c>
      <c r="K44" s="277">
        <v>36584</v>
      </c>
      <c r="L44" s="277">
        <v>107757</v>
      </c>
      <c r="M44" s="277">
        <v>109972</v>
      </c>
      <c r="N44" s="277">
        <v>59331</v>
      </c>
      <c r="O44" s="277">
        <f t="shared" si="1"/>
        <v>580846</v>
      </c>
      <c r="P44" s="277">
        <f t="shared" si="7"/>
        <v>1106950</v>
      </c>
      <c r="Q44" s="277">
        <v>36367</v>
      </c>
      <c r="R44" s="277">
        <f t="shared" si="29"/>
        <v>1143317</v>
      </c>
      <c r="S44" s="276">
        <v>10.45</v>
      </c>
      <c r="T44" s="332" t="s">
        <v>2226</v>
      </c>
      <c r="U44" s="372" t="s">
        <v>2226</v>
      </c>
      <c r="V44" s="277">
        <v>73990</v>
      </c>
      <c r="W44" s="277">
        <v>17221</v>
      </c>
      <c r="X44" s="277">
        <v>201453</v>
      </c>
      <c r="Y44" s="277">
        <v>8992</v>
      </c>
      <c r="Z44" s="277">
        <v>86245</v>
      </c>
      <c r="AA44" s="277">
        <f t="shared" si="30"/>
        <v>313911</v>
      </c>
      <c r="AB44" s="277">
        <v>115916</v>
      </c>
      <c r="AC44" s="277">
        <v>75203</v>
      </c>
      <c r="AD44" s="277">
        <v>23971</v>
      </c>
      <c r="AE44" s="277">
        <v>68554</v>
      </c>
      <c r="AF44" s="277">
        <v>75059</v>
      </c>
      <c r="AG44" s="277">
        <v>38449</v>
      </c>
      <c r="AH44" s="277">
        <f t="shared" si="4"/>
        <v>397152</v>
      </c>
      <c r="AI44" s="277">
        <f t="shared" si="9"/>
        <v>785053</v>
      </c>
      <c r="AJ44" s="277">
        <v>28193</v>
      </c>
      <c r="AK44" s="277">
        <f t="shared" si="31"/>
        <v>813246</v>
      </c>
      <c r="AL44" s="276">
        <v>3.02</v>
      </c>
      <c r="AM44" s="332" t="s">
        <v>2226</v>
      </c>
    </row>
    <row r="45" spans="1:39" s="154" customFormat="1" ht="9.9499999999999993" customHeight="1" x14ac:dyDescent="0.2">
      <c r="A45" s="778" t="s">
        <v>2067</v>
      </c>
      <c r="B45" s="372" t="s">
        <v>1160</v>
      </c>
      <c r="C45" s="356">
        <v>148250</v>
      </c>
      <c r="D45" s="356">
        <v>19513</v>
      </c>
      <c r="E45" s="356">
        <v>259414</v>
      </c>
      <c r="F45" s="356">
        <v>16232</v>
      </c>
      <c r="G45" s="356">
        <v>101654</v>
      </c>
      <c r="H45" s="356">
        <f t="shared" si="28"/>
        <v>396813</v>
      </c>
      <c r="I45" s="356">
        <v>179746</v>
      </c>
      <c r="J45" s="356">
        <v>109468</v>
      </c>
      <c r="K45" s="356">
        <v>37908</v>
      </c>
      <c r="L45" s="356">
        <v>112502</v>
      </c>
      <c r="M45" s="356">
        <v>131689</v>
      </c>
      <c r="N45" s="356">
        <v>59503</v>
      </c>
      <c r="O45" s="356">
        <f t="shared" si="1"/>
        <v>630816</v>
      </c>
      <c r="P45" s="356">
        <f t="shared" si="7"/>
        <v>1175879</v>
      </c>
      <c r="Q45" s="356">
        <v>35335</v>
      </c>
      <c r="R45" s="356">
        <f t="shared" si="29"/>
        <v>1211214</v>
      </c>
      <c r="S45" s="237">
        <v>14.83</v>
      </c>
      <c r="T45" s="354" t="s">
        <v>2227</v>
      </c>
      <c r="U45" s="358" t="s">
        <v>2227</v>
      </c>
      <c r="V45" s="356">
        <v>103160</v>
      </c>
      <c r="W45" s="356">
        <v>15317</v>
      </c>
      <c r="X45" s="356">
        <v>194011</v>
      </c>
      <c r="Y45" s="356">
        <v>10616</v>
      </c>
      <c r="Z45" s="356">
        <v>70605</v>
      </c>
      <c r="AA45" s="356">
        <f t="shared" si="30"/>
        <v>290549</v>
      </c>
      <c r="AB45" s="356">
        <v>128544</v>
      </c>
      <c r="AC45" s="356">
        <v>76664</v>
      </c>
      <c r="AD45" s="356">
        <v>24406</v>
      </c>
      <c r="AE45" s="356">
        <v>70205</v>
      </c>
      <c r="AF45" s="356">
        <v>88684</v>
      </c>
      <c r="AG45" s="356">
        <v>36777</v>
      </c>
      <c r="AH45" s="356">
        <f t="shared" si="4"/>
        <v>425280</v>
      </c>
      <c r="AI45" s="356">
        <f t="shared" si="9"/>
        <v>818989</v>
      </c>
      <c r="AJ45" s="356">
        <v>20445</v>
      </c>
      <c r="AK45" s="356">
        <f t="shared" ref="AK45:AK50" si="32">AI45+AJ45</f>
        <v>839434</v>
      </c>
      <c r="AL45" s="237">
        <v>7.09</v>
      </c>
      <c r="AM45" s="354" t="s">
        <v>2227</v>
      </c>
    </row>
    <row r="46" spans="1:39" s="177" customFormat="1" ht="9.9499999999999993" customHeight="1" x14ac:dyDescent="0.15">
      <c r="A46" s="1474"/>
      <c r="B46" s="1680"/>
      <c r="C46" s="453"/>
      <c r="D46" s="453"/>
      <c r="E46" s="453"/>
      <c r="F46" s="453"/>
      <c r="G46" s="453"/>
      <c r="H46" s="45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315"/>
      <c r="T46" s="337"/>
      <c r="U46" s="1474"/>
      <c r="V46" s="453"/>
      <c r="W46" s="453"/>
      <c r="X46" s="453"/>
      <c r="Y46" s="453"/>
      <c r="Z46" s="453"/>
      <c r="AA46" s="453"/>
      <c r="AB46" s="453"/>
      <c r="AC46" s="453"/>
      <c r="AD46" s="453"/>
      <c r="AE46" s="453"/>
      <c r="AF46" s="453"/>
      <c r="AG46" s="453"/>
      <c r="AH46" s="453"/>
      <c r="AI46" s="453"/>
      <c r="AJ46" s="453"/>
      <c r="AK46" s="453"/>
      <c r="AL46" s="315"/>
      <c r="AM46" s="337"/>
    </row>
    <row r="47" spans="1:39" s="154" customFormat="1" ht="9.9499999999999993" customHeight="1" x14ac:dyDescent="0.2">
      <c r="A47" s="1680" t="s">
        <v>2305</v>
      </c>
      <c r="B47" s="1693" t="s">
        <v>3063</v>
      </c>
      <c r="C47" s="356">
        <v>119155</v>
      </c>
      <c r="D47" s="356">
        <v>22712</v>
      </c>
      <c r="E47" s="356">
        <v>259898</v>
      </c>
      <c r="F47" s="356">
        <v>17373</v>
      </c>
      <c r="G47" s="356">
        <v>95089</v>
      </c>
      <c r="H47" s="356">
        <f t="shared" ref="H47:H55" si="33">D47+E47+F47+G47</f>
        <v>395072</v>
      </c>
      <c r="I47" s="356">
        <v>168415</v>
      </c>
      <c r="J47" s="356">
        <v>112277</v>
      </c>
      <c r="K47" s="356">
        <v>38329</v>
      </c>
      <c r="L47" s="356">
        <v>110001</v>
      </c>
      <c r="M47" s="356">
        <v>108096</v>
      </c>
      <c r="N47" s="356">
        <v>58846</v>
      </c>
      <c r="O47" s="356">
        <f t="shared" si="1"/>
        <v>595964</v>
      </c>
      <c r="P47" s="356">
        <f>O47+H47+C47</f>
        <v>1110191</v>
      </c>
      <c r="Q47" s="356">
        <v>40162</v>
      </c>
      <c r="R47" s="356">
        <f t="shared" si="29"/>
        <v>1150353</v>
      </c>
      <c r="S47" s="237">
        <v>13.96</v>
      </c>
      <c r="T47" s="354" t="s">
        <v>2224</v>
      </c>
      <c r="U47" s="358" t="s">
        <v>2224</v>
      </c>
      <c r="V47" s="356">
        <v>79100</v>
      </c>
      <c r="W47" s="356">
        <v>17133</v>
      </c>
      <c r="X47" s="356">
        <v>188945</v>
      </c>
      <c r="Y47" s="356">
        <v>11274</v>
      </c>
      <c r="Z47" s="356">
        <v>65579</v>
      </c>
      <c r="AA47" s="356">
        <f t="shared" ref="AA47:AA55" si="34">W47+X47+Y47+Z47</f>
        <v>282931</v>
      </c>
      <c r="AB47" s="356">
        <v>118994</v>
      </c>
      <c r="AC47" s="356">
        <v>77311</v>
      </c>
      <c r="AD47" s="356">
        <v>23699</v>
      </c>
      <c r="AE47" s="356">
        <v>70173</v>
      </c>
      <c r="AF47" s="356">
        <v>71024</v>
      </c>
      <c r="AG47" s="356">
        <v>35823</v>
      </c>
      <c r="AH47" s="356">
        <f t="shared" si="4"/>
        <v>397024</v>
      </c>
      <c r="AI47" s="356">
        <f>AH47+AA47+V47</f>
        <v>759055</v>
      </c>
      <c r="AJ47" s="356">
        <v>29959</v>
      </c>
      <c r="AK47" s="356">
        <f t="shared" si="32"/>
        <v>789014</v>
      </c>
      <c r="AL47" s="237">
        <v>5.87</v>
      </c>
      <c r="AM47" s="354" t="s">
        <v>2224</v>
      </c>
    </row>
    <row r="48" spans="1:39" s="154" customFormat="1" ht="9.9499999999999993" customHeight="1" x14ac:dyDescent="0.2">
      <c r="A48" s="1680" t="s">
        <v>2305</v>
      </c>
      <c r="B48" s="372" t="s">
        <v>1274</v>
      </c>
      <c r="C48" s="277">
        <v>152805</v>
      </c>
      <c r="D48" s="277">
        <v>17648</v>
      </c>
      <c r="E48" s="277">
        <v>273802</v>
      </c>
      <c r="F48" s="277">
        <v>14429</v>
      </c>
      <c r="G48" s="277">
        <v>127536</v>
      </c>
      <c r="H48" s="277">
        <f t="shared" si="33"/>
        <v>433415</v>
      </c>
      <c r="I48" s="277">
        <v>186757</v>
      </c>
      <c r="J48" s="277">
        <v>116356</v>
      </c>
      <c r="K48" s="277">
        <v>39993</v>
      </c>
      <c r="L48" s="277">
        <v>112010</v>
      </c>
      <c r="M48" s="277">
        <v>116918</v>
      </c>
      <c r="N48" s="277">
        <v>61447</v>
      </c>
      <c r="O48" s="277">
        <f t="shared" si="1"/>
        <v>633481</v>
      </c>
      <c r="P48" s="277">
        <f>O48+H48+C48</f>
        <v>1219701</v>
      </c>
      <c r="Q48" s="277">
        <v>47898</v>
      </c>
      <c r="R48" s="277">
        <f t="shared" si="29"/>
        <v>1267599</v>
      </c>
      <c r="S48" s="276">
        <v>12.49</v>
      </c>
      <c r="T48" s="332" t="s">
        <v>2225</v>
      </c>
      <c r="U48" s="372" t="s">
        <v>2225</v>
      </c>
      <c r="V48" s="277">
        <v>98669</v>
      </c>
      <c r="W48" s="277">
        <v>12556</v>
      </c>
      <c r="X48" s="277">
        <v>196282</v>
      </c>
      <c r="Y48" s="277">
        <v>9178</v>
      </c>
      <c r="Z48" s="277">
        <v>86684</v>
      </c>
      <c r="AA48" s="277">
        <f t="shared" si="34"/>
        <v>304700</v>
      </c>
      <c r="AB48" s="277">
        <v>128534</v>
      </c>
      <c r="AC48" s="277">
        <v>77828</v>
      </c>
      <c r="AD48" s="277">
        <v>24108</v>
      </c>
      <c r="AE48" s="277">
        <v>70745</v>
      </c>
      <c r="AF48" s="277">
        <v>75402</v>
      </c>
      <c r="AG48" s="277">
        <v>36493</v>
      </c>
      <c r="AH48" s="277">
        <f t="shared" si="4"/>
        <v>413110</v>
      </c>
      <c r="AI48" s="277">
        <f>AH48+AA48+V48</f>
        <v>816479</v>
      </c>
      <c r="AJ48" s="277">
        <v>32298</v>
      </c>
      <c r="AK48" s="277">
        <f t="shared" si="32"/>
        <v>848777</v>
      </c>
      <c r="AL48" s="276">
        <v>4.47</v>
      </c>
      <c r="AM48" s="332" t="s">
        <v>2225</v>
      </c>
    </row>
    <row r="49" spans="1:40" s="154" customFormat="1" ht="9.9499999999999993" customHeight="1" x14ac:dyDescent="0.2">
      <c r="A49" s="1680" t="s">
        <v>2305</v>
      </c>
      <c r="B49" s="1693" t="s">
        <v>1159</v>
      </c>
      <c r="C49" s="356">
        <v>117574</v>
      </c>
      <c r="D49" s="356">
        <v>11483</v>
      </c>
      <c r="E49" s="356">
        <v>293796</v>
      </c>
      <c r="F49" s="356">
        <v>13453</v>
      </c>
      <c r="G49" s="1200">
        <v>140300</v>
      </c>
      <c r="H49" s="356">
        <f t="shared" si="33"/>
        <v>459032</v>
      </c>
      <c r="I49" s="356">
        <v>179997</v>
      </c>
      <c r="J49" s="356">
        <v>119281</v>
      </c>
      <c r="K49" s="356">
        <v>40666</v>
      </c>
      <c r="L49" s="356">
        <v>119363</v>
      </c>
      <c r="M49" s="356">
        <v>122332</v>
      </c>
      <c r="N49" s="356">
        <v>65656</v>
      </c>
      <c r="O49" s="356">
        <f t="shared" si="1"/>
        <v>647295</v>
      </c>
      <c r="P49" s="356">
        <f>O49+H49+C49</f>
        <v>1223901</v>
      </c>
      <c r="Q49" s="356">
        <v>43083</v>
      </c>
      <c r="R49" s="356">
        <f t="shared" si="29"/>
        <v>1266984</v>
      </c>
      <c r="S49" s="237">
        <v>10.82</v>
      </c>
      <c r="T49" s="354" t="s">
        <v>2226</v>
      </c>
      <c r="U49" s="1319" t="s">
        <v>2226</v>
      </c>
      <c r="V49" s="356">
        <v>76968</v>
      </c>
      <c r="W49" s="356">
        <v>9671</v>
      </c>
      <c r="X49" s="356">
        <v>217093</v>
      </c>
      <c r="Y49" s="356">
        <v>8414</v>
      </c>
      <c r="Z49" s="356">
        <v>93029</v>
      </c>
      <c r="AA49" s="356">
        <f t="shared" si="34"/>
        <v>328207</v>
      </c>
      <c r="AB49" s="356">
        <v>122697</v>
      </c>
      <c r="AC49" s="356">
        <v>78688</v>
      </c>
      <c r="AD49" s="356">
        <v>24274</v>
      </c>
      <c r="AE49" s="356">
        <v>71431</v>
      </c>
      <c r="AF49" s="356">
        <v>78752</v>
      </c>
      <c r="AG49" s="356">
        <v>38423</v>
      </c>
      <c r="AH49" s="356">
        <f t="shared" si="4"/>
        <v>414265</v>
      </c>
      <c r="AI49" s="356">
        <f>AH49+AA49+V49</f>
        <v>819440</v>
      </c>
      <c r="AJ49" s="356">
        <v>31351</v>
      </c>
      <c r="AK49" s="356">
        <f t="shared" si="32"/>
        <v>850791</v>
      </c>
      <c r="AL49" s="237">
        <v>4.62</v>
      </c>
      <c r="AM49" s="354" t="s">
        <v>2226</v>
      </c>
    </row>
    <row r="50" spans="1:40" s="154" customFormat="1" ht="9.9499999999999993" customHeight="1" x14ac:dyDescent="0.2">
      <c r="A50" s="1680" t="s">
        <v>2305</v>
      </c>
      <c r="B50" s="372" t="s">
        <v>1160</v>
      </c>
      <c r="C50" s="277">
        <v>169003</v>
      </c>
      <c r="D50" s="277">
        <v>21959</v>
      </c>
      <c r="E50" s="277">
        <v>267734</v>
      </c>
      <c r="F50" s="277">
        <v>19099</v>
      </c>
      <c r="G50" s="901">
        <v>109452</v>
      </c>
      <c r="H50" s="901">
        <f t="shared" si="33"/>
        <v>418244</v>
      </c>
      <c r="I50" s="277">
        <v>195184</v>
      </c>
      <c r="J50" s="277">
        <v>121546</v>
      </c>
      <c r="K50" s="277">
        <v>41781</v>
      </c>
      <c r="L50" s="277">
        <v>122147</v>
      </c>
      <c r="M50" s="277">
        <v>147565</v>
      </c>
      <c r="N50" s="277">
        <v>67235</v>
      </c>
      <c r="O50" s="277">
        <f t="shared" si="1"/>
        <v>695458</v>
      </c>
      <c r="P50" s="277">
        <f>O50+H50+C50</f>
        <v>1282705</v>
      </c>
      <c r="Q50" s="277">
        <v>35014</v>
      </c>
      <c r="R50" s="277">
        <f t="shared" si="29"/>
        <v>1317719</v>
      </c>
      <c r="S50" s="276">
        <v>8.7899999999999991</v>
      </c>
      <c r="T50" s="332" t="s">
        <v>2227</v>
      </c>
      <c r="U50" s="372" t="s">
        <v>2227</v>
      </c>
      <c r="V50" s="277">
        <v>107404</v>
      </c>
      <c r="W50" s="277">
        <v>17864</v>
      </c>
      <c r="X50" s="277">
        <v>194587</v>
      </c>
      <c r="Y50" s="277">
        <v>11676</v>
      </c>
      <c r="Z50" s="277">
        <v>69555</v>
      </c>
      <c r="AA50" s="277">
        <f t="shared" si="34"/>
        <v>293682</v>
      </c>
      <c r="AB50" s="277">
        <v>130811</v>
      </c>
      <c r="AC50" s="277">
        <v>79920</v>
      </c>
      <c r="AD50" s="277">
        <v>24503</v>
      </c>
      <c r="AE50" s="277">
        <v>72673</v>
      </c>
      <c r="AF50" s="277">
        <v>93527</v>
      </c>
      <c r="AG50" s="277">
        <v>39213</v>
      </c>
      <c r="AH50" s="277">
        <f t="shared" ref="AH50:AH55" si="35">AB50+AC50+AD50+AE50+AF50+AG50</f>
        <v>440647</v>
      </c>
      <c r="AI50" s="277">
        <f>AH50+AA50+V50</f>
        <v>841733</v>
      </c>
      <c r="AJ50" s="277">
        <v>15702</v>
      </c>
      <c r="AK50" s="277">
        <f t="shared" si="32"/>
        <v>857435</v>
      </c>
      <c r="AL50" s="276">
        <v>2.14</v>
      </c>
      <c r="AM50" s="332" t="s">
        <v>2227</v>
      </c>
    </row>
    <row r="51" spans="1:40" s="177" customFormat="1" ht="9.9499999999999993" customHeight="1" x14ac:dyDescent="0.15">
      <c r="A51" s="778"/>
      <c r="B51" s="778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2"/>
      <c r="T51" s="338"/>
      <c r="U51" s="778"/>
      <c r="V51" s="323"/>
      <c r="W51" s="323"/>
      <c r="X51" s="323"/>
      <c r="Y51" s="323"/>
      <c r="Z51" s="323"/>
      <c r="AA51" s="323"/>
      <c r="AB51" s="323"/>
      <c r="AC51" s="323"/>
      <c r="AD51" s="323"/>
      <c r="AE51" s="323"/>
      <c r="AF51" s="323"/>
      <c r="AG51" s="323"/>
      <c r="AH51" s="323"/>
      <c r="AI51" s="323"/>
      <c r="AJ51" s="323"/>
      <c r="AK51" s="323"/>
      <c r="AL51" s="322"/>
      <c r="AM51" s="338"/>
      <c r="AN51" s="178"/>
    </row>
    <row r="52" spans="1:40" s="154" customFormat="1" ht="9.9499999999999993" customHeight="1" x14ac:dyDescent="0.2">
      <c r="A52" s="778" t="s">
        <v>2478</v>
      </c>
      <c r="B52" s="1693" t="s">
        <v>3063</v>
      </c>
      <c r="C52" s="277">
        <v>130929.4</v>
      </c>
      <c r="D52" s="277">
        <v>24814.1</v>
      </c>
      <c r="E52" s="277">
        <v>276956.90000000002</v>
      </c>
      <c r="F52" s="277">
        <v>19474.2</v>
      </c>
      <c r="G52" s="901">
        <v>93033.7</v>
      </c>
      <c r="H52" s="901">
        <f t="shared" si="33"/>
        <v>414278.9</v>
      </c>
      <c r="I52" s="901">
        <v>191867.8</v>
      </c>
      <c r="J52" s="901">
        <v>121726.5</v>
      </c>
      <c r="K52" s="901">
        <v>42697.599999999999</v>
      </c>
      <c r="L52" s="901">
        <v>123217.7</v>
      </c>
      <c r="M52" s="901">
        <v>120620.9</v>
      </c>
      <c r="N52" s="901">
        <v>63400.6</v>
      </c>
      <c r="O52" s="901">
        <f t="shared" ref="O52:O55" si="36">I52+J52+K52+L52+M52+N52</f>
        <v>663531.1</v>
      </c>
      <c r="P52" s="901">
        <f>O52+H52+C52</f>
        <v>1208739.3999999999</v>
      </c>
      <c r="Q52" s="901">
        <v>31363.7</v>
      </c>
      <c r="R52" s="901">
        <f t="shared" ref="R52:R55" si="37">P52+Q52</f>
        <v>1240103.0999999999</v>
      </c>
      <c r="S52" s="805">
        <v>7.8</v>
      </c>
      <c r="T52" s="332" t="s">
        <v>2224</v>
      </c>
      <c r="U52" s="372" t="s">
        <v>2224</v>
      </c>
      <c r="V52" s="901">
        <v>78624</v>
      </c>
      <c r="W52" s="901">
        <v>18905.599999999999</v>
      </c>
      <c r="X52" s="901">
        <v>195678.1</v>
      </c>
      <c r="Y52" s="901">
        <v>11690.9</v>
      </c>
      <c r="Z52" s="901">
        <v>66823.8</v>
      </c>
      <c r="AA52" s="901">
        <f t="shared" si="34"/>
        <v>293098.40000000002</v>
      </c>
      <c r="AB52" s="901">
        <v>122109.2</v>
      </c>
      <c r="AC52" s="901">
        <v>78638.100000000006</v>
      </c>
      <c r="AD52" s="901">
        <v>23828.799999999999</v>
      </c>
      <c r="AE52" s="901">
        <v>72850</v>
      </c>
      <c r="AF52" s="901">
        <v>75038</v>
      </c>
      <c r="AG52" s="901">
        <v>36319.699999999997</v>
      </c>
      <c r="AH52" s="901">
        <f t="shared" si="35"/>
        <v>408783.8</v>
      </c>
      <c r="AI52" s="901">
        <f>AH52+AA52+V52</f>
        <v>780506.2</v>
      </c>
      <c r="AJ52" s="901">
        <v>28840.6</v>
      </c>
      <c r="AK52" s="901">
        <f t="shared" ref="AK52:AK55" si="38">AI52+AJ52</f>
        <v>809346.79999999993</v>
      </c>
      <c r="AL52" s="276">
        <v>2.58</v>
      </c>
      <c r="AM52" s="332" t="s">
        <v>2224</v>
      </c>
      <c r="AN52" s="153"/>
    </row>
    <row r="53" spans="1:40" s="154" customFormat="1" ht="9.9499999999999993" customHeight="1" x14ac:dyDescent="0.2">
      <c r="A53" s="778" t="s">
        <v>2478</v>
      </c>
      <c r="B53" s="372" t="s">
        <v>1274</v>
      </c>
      <c r="C53" s="356">
        <v>173136.6</v>
      </c>
      <c r="D53" s="356">
        <v>17510.7</v>
      </c>
      <c r="E53" s="356">
        <v>309389.40000000002</v>
      </c>
      <c r="F53" s="356">
        <v>16340.9</v>
      </c>
      <c r="G53" s="1200">
        <v>133868.5</v>
      </c>
      <c r="H53" s="1200">
        <f t="shared" si="33"/>
        <v>477109.50000000006</v>
      </c>
      <c r="I53" s="1200">
        <v>223068.5</v>
      </c>
      <c r="J53" s="1200">
        <v>129407.2</v>
      </c>
      <c r="K53" s="1200">
        <v>44490.7</v>
      </c>
      <c r="L53" s="1200">
        <v>125020.9</v>
      </c>
      <c r="M53" s="1200">
        <v>127346.1</v>
      </c>
      <c r="N53" s="1200">
        <v>64704.7</v>
      </c>
      <c r="O53" s="1200">
        <f t="shared" si="36"/>
        <v>714038.1</v>
      </c>
      <c r="P53" s="1200">
        <f>O53+H53+C53</f>
        <v>1364284.2000000002</v>
      </c>
      <c r="Q53" s="1200">
        <v>31758</v>
      </c>
      <c r="R53" s="1200">
        <f t="shared" si="37"/>
        <v>1396042.2000000002</v>
      </c>
      <c r="S53" s="494">
        <v>10.130000000000001</v>
      </c>
      <c r="T53" s="354" t="s">
        <v>2225</v>
      </c>
      <c r="U53" s="1532" t="s">
        <v>2225</v>
      </c>
      <c r="V53" s="1200">
        <v>100098.3</v>
      </c>
      <c r="W53" s="1200">
        <v>13158.1</v>
      </c>
      <c r="X53" s="1200">
        <v>215100.4</v>
      </c>
      <c r="Y53" s="1200">
        <v>9609.2000000000007</v>
      </c>
      <c r="Z53" s="1200">
        <v>90186.6</v>
      </c>
      <c r="AA53" s="1200">
        <f t="shared" si="34"/>
        <v>328054.30000000005</v>
      </c>
      <c r="AB53" s="1200">
        <v>138063.79999999999</v>
      </c>
      <c r="AC53" s="1200">
        <v>81457.5</v>
      </c>
      <c r="AD53" s="1200">
        <v>24113.3</v>
      </c>
      <c r="AE53" s="1200">
        <v>73174.5</v>
      </c>
      <c r="AF53" s="1200">
        <v>77068.899999999994</v>
      </c>
      <c r="AG53" s="1200">
        <v>36145.699999999997</v>
      </c>
      <c r="AH53" s="1200">
        <f t="shared" si="35"/>
        <v>430023.7</v>
      </c>
      <c r="AI53" s="1200">
        <f>AH53+AA53+V53</f>
        <v>858176.3</v>
      </c>
      <c r="AJ53" s="1200">
        <v>28255.3</v>
      </c>
      <c r="AK53" s="1200">
        <f t="shared" si="38"/>
        <v>886431.60000000009</v>
      </c>
      <c r="AL53" s="237">
        <v>4.4400000000000004</v>
      </c>
      <c r="AM53" s="354" t="s">
        <v>2225</v>
      </c>
      <c r="AN53" s="153"/>
    </row>
    <row r="54" spans="1:40" s="154" customFormat="1" ht="9.9499999999999993" customHeight="1" x14ac:dyDescent="0.2">
      <c r="A54" s="778" t="s">
        <v>2478</v>
      </c>
      <c r="B54" s="1693" t="s">
        <v>1159</v>
      </c>
      <c r="C54" s="277">
        <v>132732.6</v>
      </c>
      <c r="D54" s="277">
        <v>12328.7</v>
      </c>
      <c r="E54" s="277">
        <v>329921.59999999998</v>
      </c>
      <c r="F54" s="277">
        <v>16274.4</v>
      </c>
      <c r="G54" s="901">
        <v>161454.6</v>
      </c>
      <c r="H54" s="901">
        <f t="shared" si="33"/>
        <v>519979.30000000005</v>
      </c>
      <c r="I54" s="901">
        <v>212386.4</v>
      </c>
      <c r="J54" s="901">
        <v>133678</v>
      </c>
      <c r="K54" s="901">
        <v>45806.400000000001</v>
      </c>
      <c r="L54" s="901">
        <v>130216.1</v>
      </c>
      <c r="M54" s="901">
        <v>140667.79999999999</v>
      </c>
      <c r="N54" s="901">
        <v>74003.399999999994</v>
      </c>
      <c r="O54" s="901">
        <f t="shared" si="36"/>
        <v>736758.1</v>
      </c>
      <c r="P54" s="901">
        <f>O54+H54+C54</f>
        <v>1389470</v>
      </c>
      <c r="Q54" s="901">
        <v>31581.200000000001</v>
      </c>
      <c r="R54" s="901">
        <f t="shared" si="37"/>
        <v>1421051.2</v>
      </c>
      <c r="S54" s="805">
        <v>12.16</v>
      </c>
      <c r="T54" s="1471" t="s">
        <v>2226</v>
      </c>
      <c r="U54" s="372" t="s">
        <v>2226</v>
      </c>
      <c r="V54" s="901">
        <v>80192.399999999994</v>
      </c>
      <c r="W54" s="901">
        <v>9321.6</v>
      </c>
      <c r="X54" s="901">
        <v>232399.1</v>
      </c>
      <c r="Y54" s="901">
        <v>9599.4</v>
      </c>
      <c r="Z54" s="901">
        <v>102618.1</v>
      </c>
      <c r="AA54" s="901">
        <f t="shared" si="34"/>
        <v>353938.2</v>
      </c>
      <c r="AB54" s="901">
        <v>131779.70000000001</v>
      </c>
      <c r="AC54" s="901">
        <v>82580.100000000006</v>
      </c>
      <c r="AD54" s="901">
        <v>24913.599999999999</v>
      </c>
      <c r="AE54" s="901">
        <v>74054.3</v>
      </c>
      <c r="AF54" s="901">
        <v>83652.2</v>
      </c>
      <c r="AG54" s="901">
        <v>40660.1</v>
      </c>
      <c r="AH54" s="901">
        <f t="shared" si="35"/>
        <v>437640</v>
      </c>
      <c r="AI54" s="901">
        <f>AH54+AA54+V54</f>
        <v>871770.6</v>
      </c>
      <c r="AJ54" s="901">
        <v>24330.1</v>
      </c>
      <c r="AK54" s="901">
        <f t="shared" si="38"/>
        <v>896100.7</v>
      </c>
      <c r="AL54" s="276">
        <v>5.33</v>
      </c>
      <c r="AM54" s="332" t="s">
        <v>2226</v>
      </c>
      <c r="AN54" s="153"/>
    </row>
    <row r="55" spans="1:40" s="154" customFormat="1" ht="9.9499999999999993" customHeight="1" x14ac:dyDescent="0.2">
      <c r="A55" s="778" t="s">
        <v>2478</v>
      </c>
      <c r="B55" s="372" t="s">
        <v>1160</v>
      </c>
      <c r="C55" s="356">
        <v>186891.7</v>
      </c>
      <c r="D55" s="356">
        <v>24979</v>
      </c>
      <c r="E55" s="356">
        <v>293500.90000000002</v>
      </c>
      <c r="F55" s="356">
        <v>17307.8</v>
      </c>
      <c r="G55" s="1200">
        <v>119582.39999999999</v>
      </c>
      <c r="H55" s="356">
        <f t="shared" si="33"/>
        <v>455370.1</v>
      </c>
      <c r="I55" s="356">
        <v>219531.7</v>
      </c>
      <c r="J55" s="356">
        <v>134816</v>
      </c>
      <c r="K55" s="356">
        <v>46905.5</v>
      </c>
      <c r="L55" s="356">
        <v>132650.9</v>
      </c>
      <c r="M55" s="356">
        <v>159628.29999999999</v>
      </c>
      <c r="N55" s="356">
        <v>74889</v>
      </c>
      <c r="O55" s="356">
        <f t="shared" si="36"/>
        <v>768421.39999999991</v>
      </c>
      <c r="P55" s="356">
        <f>O55+H55+C55</f>
        <v>1410683.2</v>
      </c>
      <c r="Q55" s="356">
        <v>20964.7</v>
      </c>
      <c r="R55" s="356">
        <f t="shared" si="37"/>
        <v>1431647.9</v>
      </c>
      <c r="S55" s="494">
        <v>8.65</v>
      </c>
      <c r="T55" s="1541" t="s">
        <v>2227</v>
      </c>
      <c r="U55" s="1532" t="s">
        <v>2227</v>
      </c>
      <c r="V55" s="1200">
        <v>110650</v>
      </c>
      <c r="W55" s="1200">
        <v>17692.7</v>
      </c>
      <c r="X55" s="1200">
        <v>201148.6</v>
      </c>
      <c r="Y55" s="1200">
        <v>10023.200000000001</v>
      </c>
      <c r="Z55" s="1200">
        <v>71797.100000000006</v>
      </c>
      <c r="AA55" s="1200">
        <f t="shared" si="34"/>
        <v>300661.60000000003</v>
      </c>
      <c r="AB55" s="1200">
        <v>134765.5</v>
      </c>
      <c r="AC55" s="1200">
        <v>83088.399999999994</v>
      </c>
      <c r="AD55" s="1200">
        <v>25208.7</v>
      </c>
      <c r="AE55" s="1200">
        <v>75011.8</v>
      </c>
      <c r="AF55" s="1200">
        <v>93171.477476142158</v>
      </c>
      <c r="AG55" s="1200">
        <v>40449.5</v>
      </c>
      <c r="AH55" s="1200">
        <f t="shared" si="35"/>
        <v>451695.3774761422</v>
      </c>
      <c r="AI55" s="1200">
        <f>AH55+AA55+V55</f>
        <v>863006.97747614223</v>
      </c>
      <c r="AJ55" s="1200">
        <v>15580.3</v>
      </c>
      <c r="AK55" s="1200">
        <f t="shared" si="38"/>
        <v>878587.27747614228</v>
      </c>
      <c r="AL55" s="237">
        <v>2.4700000000000002</v>
      </c>
      <c r="AM55" s="354" t="s">
        <v>2227</v>
      </c>
      <c r="AN55" s="153"/>
    </row>
    <row r="56" spans="1:40" s="154" customFormat="1" ht="9.9499999999999993" customHeight="1" x14ac:dyDescent="0.2">
      <c r="A56" s="1533"/>
      <c r="B56" s="1680"/>
      <c r="C56" s="626"/>
      <c r="D56" s="626"/>
      <c r="E56" s="626"/>
      <c r="F56" s="626"/>
      <c r="G56" s="626"/>
      <c r="H56" s="626"/>
      <c r="I56" s="1542"/>
      <c r="J56" s="1543"/>
      <c r="K56" s="1542"/>
      <c r="L56" s="1542"/>
      <c r="M56" s="1542"/>
      <c r="N56" s="1542"/>
      <c r="O56" s="1542"/>
      <c r="P56" s="1542"/>
      <c r="Q56" s="1542"/>
      <c r="R56" s="1542"/>
      <c r="S56" s="1542"/>
      <c r="T56" s="337" t="s">
        <v>2729</v>
      </c>
      <c r="U56" s="1533" t="s">
        <v>2729</v>
      </c>
      <c r="V56" s="1542"/>
      <c r="W56" s="1542"/>
      <c r="X56" s="1542"/>
      <c r="Y56" s="1542"/>
      <c r="Z56" s="1542"/>
      <c r="AA56" s="1542"/>
      <c r="AB56" s="1542"/>
      <c r="AC56" s="1542"/>
      <c r="AD56" s="1542"/>
      <c r="AE56" s="1542"/>
      <c r="AF56" s="1542"/>
      <c r="AG56" s="1542"/>
      <c r="AH56" s="1542"/>
      <c r="AI56" s="1542"/>
      <c r="AJ56" s="1542"/>
      <c r="AK56" s="1542"/>
      <c r="AL56" s="1542"/>
      <c r="AM56" s="337" t="s">
        <v>2729</v>
      </c>
      <c r="AN56" s="153"/>
    </row>
    <row r="57" spans="1:40" s="154" customFormat="1" ht="9.9499999999999993" customHeight="1" thickBot="1" x14ac:dyDescent="0.25">
      <c r="A57" s="1680" t="s">
        <v>2729</v>
      </c>
      <c r="B57" s="986" t="s">
        <v>3063</v>
      </c>
      <c r="C57" s="1472">
        <v>143652.70000000001</v>
      </c>
      <c r="D57" s="1472">
        <v>29194.799999999999</v>
      </c>
      <c r="E57" s="1472">
        <v>311943.5</v>
      </c>
      <c r="F57" s="1472">
        <v>17106.2</v>
      </c>
      <c r="G57" s="1470">
        <v>109207.5</v>
      </c>
      <c r="H57" s="1472">
        <f t="shared" ref="H57" si="39">D57+E57+F57+G57</f>
        <v>467452</v>
      </c>
      <c r="I57" s="1472">
        <v>216276.8</v>
      </c>
      <c r="J57" s="1472">
        <v>135592.6</v>
      </c>
      <c r="K57" s="1472">
        <v>47096.1</v>
      </c>
      <c r="L57" s="1472">
        <v>132458.70000000001</v>
      </c>
      <c r="M57" s="1472">
        <v>134076.5</v>
      </c>
      <c r="N57" s="1472">
        <v>71092.899999999994</v>
      </c>
      <c r="O57" s="1472">
        <f t="shared" ref="O57" si="40">I57+J57+K57+L57+M57+N57</f>
        <v>736593.6</v>
      </c>
      <c r="P57" s="1472">
        <f>O57+H57+C57</f>
        <v>1347698.3</v>
      </c>
      <c r="Q57" s="1472">
        <v>37644.9</v>
      </c>
      <c r="R57" s="1472">
        <f t="shared" ref="R57" si="41">P57+Q57</f>
        <v>1385343.2</v>
      </c>
      <c r="S57" s="1453">
        <v>11.71</v>
      </c>
      <c r="T57" s="1473" t="s">
        <v>2224</v>
      </c>
      <c r="U57" s="986" t="s">
        <v>2224</v>
      </c>
      <c r="V57" s="1470">
        <v>80431.399999999994</v>
      </c>
      <c r="W57" s="1470">
        <v>20208.599999999999</v>
      </c>
      <c r="X57" s="1470">
        <v>207760.2</v>
      </c>
      <c r="Y57" s="1470">
        <v>10439.799999999999</v>
      </c>
      <c r="Z57" s="1470">
        <v>75113.5</v>
      </c>
      <c r="AA57" s="1470">
        <f t="shared" ref="AA57" si="42">W57+X57+Y57+Z57</f>
        <v>313522.09999999998</v>
      </c>
      <c r="AB57" s="1470">
        <v>127715.2</v>
      </c>
      <c r="AC57" s="1470">
        <v>81892.399999999994</v>
      </c>
      <c r="AD57" s="1470">
        <v>24223.200000000001</v>
      </c>
      <c r="AE57" s="1470">
        <v>74155</v>
      </c>
      <c r="AF57" s="1470">
        <v>78259.5</v>
      </c>
      <c r="AG57" s="1470">
        <v>37540.800000000003</v>
      </c>
      <c r="AH57" s="1470">
        <f t="shared" ref="AH57" si="43">AB57+AC57+AD57+AE57+AF57+AG57</f>
        <v>423786.1</v>
      </c>
      <c r="AI57" s="1470">
        <f>AH57+AA57+V57</f>
        <v>817739.6</v>
      </c>
      <c r="AJ57" s="1470">
        <v>28068.3</v>
      </c>
      <c r="AK57" s="1470">
        <f t="shared" ref="AK57" si="44">AI57+AJ57</f>
        <v>845807.9</v>
      </c>
      <c r="AL57" s="642">
        <v>4.5</v>
      </c>
      <c r="AM57" s="1469" t="s">
        <v>2224</v>
      </c>
      <c r="AN57" s="153"/>
    </row>
    <row r="58" spans="1:40" ht="9.9499999999999993" customHeight="1" x14ac:dyDescent="0.2">
      <c r="A58" s="640" t="s">
        <v>1965</v>
      </c>
      <c r="B58" s="640"/>
      <c r="C58" s="7"/>
      <c r="D58" s="7"/>
      <c r="E58" s="7"/>
      <c r="F58" s="50"/>
      <c r="G58" s="665"/>
      <c r="H58" s="558" t="s">
        <v>2184</v>
      </c>
      <c r="I58" s="665"/>
      <c r="J58" s="1125"/>
      <c r="K58" s="665"/>
      <c r="L58" s="665"/>
      <c r="M58" s="665"/>
      <c r="N58" s="665"/>
      <c r="O58" s="665"/>
      <c r="P58" s="665"/>
      <c r="Q58" s="665"/>
      <c r="R58" s="665"/>
      <c r="S58" s="665"/>
      <c r="T58" s="665"/>
      <c r="U58" s="665"/>
      <c r="V58" s="665"/>
      <c r="W58" s="665"/>
      <c r="X58" s="665"/>
      <c r="Y58" s="665"/>
      <c r="Z58" s="665"/>
      <c r="AA58" s="665"/>
      <c r="AB58" s="665"/>
      <c r="AC58" s="665"/>
      <c r="AD58" s="665"/>
      <c r="AE58" s="665"/>
      <c r="AF58" s="665"/>
      <c r="AG58" s="665"/>
      <c r="AH58" s="665"/>
      <c r="AI58" s="665"/>
      <c r="AJ58" s="665"/>
      <c r="AK58" s="665"/>
      <c r="AL58" s="665"/>
    </row>
    <row r="59" spans="1:40" ht="9.75" customHeight="1" x14ac:dyDescent="0.2">
      <c r="E59" s="665"/>
      <c r="I59" s="1125"/>
      <c r="J59" s="1125"/>
      <c r="AB59" s="665"/>
      <c r="AC59" s="665"/>
      <c r="AD59" s="665"/>
    </row>
    <row r="60" spans="1:40" ht="9.75" customHeight="1" x14ac:dyDescent="0.2">
      <c r="C60" s="665"/>
      <c r="D60" s="665"/>
      <c r="E60" s="665"/>
      <c r="F60" s="665"/>
      <c r="G60" s="665"/>
      <c r="H60" s="665"/>
      <c r="I60" s="665"/>
      <c r="J60" s="665"/>
      <c r="K60" s="665"/>
      <c r="L60" s="665"/>
      <c r="M60" s="665"/>
      <c r="N60" s="665"/>
      <c r="O60" s="665"/>
      <c r="P60" s="665"/>
      <c r="Q60" s="665"/>
      <c r="R60" s="665"/>
      <c r="S60" s="665"/>
      <c r="V60" s="665"/>
      <c r="W60" s="665"/>
      <c r="X60" s="665"/>
      <c r="AB60" s="665"/>
      <c r="AC60" s="665"/>
      <c r="AD60" s="665"/>
    </row>
    <row r="61" spans="1:40" ht="9.75" customHeight="1" x14ac:dyDescent="0.2">
      <c r="C61" s="665"/>
      <c r="D61" s="665"/>
      <c r="E61" s="665"/>
      <c r="F61" s="665"/>
      <c r="G61" s="665"/>
      <c r="I61" s="665"/>
      <c r="J61" s="665"/>
      <c r="K61" s="665"/>
      <c r="L61" s="665"/>
      <c r="V61" s="665"/>
      <c r="W61" s="665"/>
      <c r="X61" s="665"/>
      <c r="AB61" s="665"/>
      <c r="AC61" s="665"/>
      <c r="AD61" s="665"/>
    </row>
    <row r="62" spans="1:40" ht="9.75" customHeight="1" x14ac:dyDescent="0.2">
      <c r="C62" s="665"/>
      <c r="D62" s="665"/>
      <c r="E62" s="665"/>
      <c r="H62" s="665"/>
      <c r="I62" s="665"/>
      <c r="J62" s="665"/>
      <c r="K62" s="665"/>
      <c r="L62" s="665"/>
      <c r="M62" s="665"/>
      <c r="N62" s="665"/>
      <c r="O62" s="665"/>
      <c r="Q62" s="665"/>
      <c r="S62" s="8"/>
      <c r="T62" s="82"/>
      <c r="V62" s="665"/>
      <c r="W62" s="665"/>
      <c r="X62" s="665"/>
      <c r="AB62" s="665"/>
      <c r="AC62" s="665"/>
      <c r="AD62" s="665"/>
    </row>
    <row r="63" spans="1:40" ht="9.75" customHeight="1" x14ac:dyDescent="0.2">
      <c r="C63" s="665"/>
      <c r="D63" s="665"/>
      <c r="E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V63" s="665"/>
      <c r="W63" s="665"/>
      <c r="X63" s="665"/>
      <c r="AB63" s="665"/>
      <c r="AC63" s="665"/>
      <c r="AD63" s="665"/>
    </row>
    <row r="64" spans="1:40" ht="9.75" customHeight="1" x14ac:dyDescent="0.2">
      <c r="C64" s="665"/>
      <c r="D64" s="665"/>
      <c r="E64" s="665"/>
      <c r="F64" s="665"/>
      <c r="G64" s="665"/>
      <c r="I64" s="665"/>
      <c r="J64" s="665"/>
      <c r="K64" s="665"/>
      <c r="L64" s="665"/>
      <c r="V64" s="665"/>
      <c r="W64" s="665"/>
      <c r="X64" s="665"/>
      <c r="AB64" s="665"/>
      <c r="AC64" s="665"/>
      <c r="AD64" s="665"/>
    </row>
    <row r="65" spans="3:24" ht="9.75" customHeight="1" x14ac:dyDescent="0.2">
      <c r="C65" s="665"/>
      <c r="I65" s="665"/>
      <c r="J65" s="665"/>
      <c r="K65" s="665"/>
      <c r="L65" s="665"/>
      <c r="V65" s="665"/>
      <c r="W65" s="665"/>
      <c r="X65" s="665"/>
    </row>
    <row r="66" spans="3:24" ht="9.75" customHeight="1" x14ac:dyDescent="0.2">
      <c r="I66" s="1125"/>
      <c r="J66" s="1125"/>
    </row>
    <row r="67" spans="3:24" ht="9.75" customHeight="1" x14ac:dyDescent="0.2">
      <c r="C67" s="665"/>
      <c r="D67" s="665"/>
      <c r="E67" s="665"/>
      <c r="F67" s="665"/>
      <c r="G67" s="665"/>
      <c r="H67" s="665"/>
      <c r="I67" s="665"/>
      <c r="J67" s="665"/>
      <c r="K67" s="665"/>
      <c r="L67" s="665"/>
      <c r="M67" s="665"/>
      <c r="N67" s="665"/>
      <c r="O67" s="665"/>
      <c r="P67" s="665"/>
      <c r="Q67" s="665"/>
      <c r="R67" s="665"/>
      <c r="S67" s="665"/>
      <c r="T67" s="665"/>
      <c r="U67" s="665"/>
      <c r="V67" s="665"/>
      <c r="W67" s="665"/>
      <c r="X67" s="665"/>
    </row>
    <row r="68" spans="3:24" ht="9.75" customHeight="1" x14ac:dyDescent="0.2">
      <c r="I68" s="1125"/>
      <c r="J68" s="1125"/>
    </row>
    <row r="69" spans="3:24" ht="9.75" customHeight="1" x14ac:dyDescent="0.2">
      <c r="I69" s="1125"/>
      <c r="J69" s="1125"/>
    </row>
    <row r="70" spans="3:24" ht="9.75" customHeight="1" x14ac:dyDescent="0.2">
      <c r="I70" s="1125"/>
      <c r="J70" s="1125"/>
    </row>
    <row r="71" spans="3:24" ht="9.75" customHeight="1" x14ac:dyDescent="0.2">
      <c r="I71" s="1125"/>
      <c r="J71" s="1125"/>
    </row>
    <row r="72" spans="3:24" ht="9.75" customHeight="1" x14ac:dyDescent="0.2">
      <c r="I72" s="1125"/>
      <c r="J72" s="1125"/>
    </row>
    <row r="73" spans="3:24" ht="9.75" customHeight="1" x14ac:dyDescent="0.2">
      <c r="I73" s="1125"/>
      <c r="J73" s="1125"/>
    </row>
    <row r="74" spans="3:24" ht="9.75" customHeight="1" x14ac:dyDescent="0.2">
      <c r="I74" s="1125"/>
      <c r="J74" s="1125"/>
    </row>
    <row r="75" spans="3:24" ht="9.75" customHeight="1" x14ac:dyDescent="0.2">
      <c r="I75" s="1125"/>
      <c r="J75" s="1125"/>
    </row>
    <row r="76" spans="3:24" x14ac:dyDescent="0.2">
      <c r="I76" s="1125"/>
      <c r="J76" s="1125"/>
    </row>
    <row r="77" spans="3:24" x14ac:dyDescent="0.2">
      <c r="I77" s="1125"/>
      <c r="J77" s="1125"/>
    </row>
    <row r="78" spans="3:24" x14ac:dyDescent="0.2">
      <c r="I78" s="1125"/>
      <c r="J78" s="1125"/>
    </row>
    <row r="79" spans="3:24" x14ac:dyDescent="0.2">
      <c r="I79" s="1125"/>
      <c r="J79" s="1125"/>
    </row>
    <row r="80" spans="3:24" x14ac:dyDescent="0.2">
      <c r="I80" s="1125"/>
      <c r="J80" s="1125"/>
    </row>
    <row r="81" spans="9:10" x14ac:dyDescent="0.2">
      <c r="I81" s="1125"/>
      <c r="J81" s="1125"/>
    </row>
    <row r="82" spans="9:10" x14ac:dyDescent="0.2">
      <c r="I82" s="1125"/>
      <c r="J82" s="1125"/>
    </row>
    <row r="83" spans="9:10" x14ac:dyDescent="0.2">
      <c r="I83" s="1125"/>
      <c r="J83" s="1125"/>
    </row>
    <row r="84" spans="9:10" x14ac:dyDescent="0.2">
      <c r="I84" s="1125"/>
      <c r="J84" s="1125"/>
    </row>
    <row r="85" spans="9:10" x14ac:dyDescent="0.2">
      <c r="I85" s="1125"/>
      <c r="J85" s="1125"/>
    </row>
    <row r="86" spans="9:10" x14ac:dyDescent="0.2">
      <c r="I86" s="1125"/>
      <c r="J86" s="1125"/>
    </row>
    <row r="87" spans="9:10" x14ac:dyDescent="0.2">
      <c r="I87" s="1125"/>
      <c r="J87" s="1125"/>
    </row>
    <row r="88" spans="9:10" x14ac:dyDescent="0.2">
      <c r="I88" s="1125"/>
      <c r="J88" s="1125"/>
    </row>
    <row r="89" spans="9:10" x14ac:dyDescent="0.2">
      <c r="I89" s="1125"/>
      <c r="J89" s="1125"/>
    </row>
    <row r="90" spans="9:10" x14ac:dyDescent="0.2">
      <c r="I90" s="1125"/>
      <c r="J90" s="1125"/>
    </row>
    <row r="91" spans="9:10" x14ac:dyDescent="0.2">
      <c r="I91" s="1125"/>
      <c r="J91" s="1125"/>
    </row>
    <row r="92" spans="9:10" x14ac:dyDescent="0.2">
      <c r="I92" s="1125"/>
      <c r="J92" s="1125"/>
    </row>
    <row r="93" spans="9:10" x14ac:dyDescent="0.2">
      <c r="I93" s="1125"/>
      <c r="J93" s="1125"/>
    </row>
    <row r="94" spans="9:10" x14ac:dyDescent="0.2">
      <c r="I94" s="1125"/>
      <c r="J94" s="1125"/>
    </row>
    <row r="95" spans="9:10" x14ac:dyDescent="0.2">
      <c r="I95" s="1125"/>
      <c r="J95" s="1125"/>
    </row>
    <row r="96" spans="9:10" x14ac:dyDescent="0.2">
      <c r="I96" s="1125"/>
      <c r="J96" s="1125"/>
    </row>
    <row r="97" spans="9:10" x14ac:dyDescent="0.2">
      <c r="I97" s="1125"/>
      <c r="J97" s="1125"/>
    </row>
    <row r="98" spans="9:10" x14ac:dyDescent="0.2">
      <c r="I98" s="1125"/>
      <c r="J98" s="1125"/>
    </row>
    <row r="99" spans="9:10" x14ac:dyDescent="0.2">
      <c r="I99" s="1125"/>
      <c r="J99" s="1125"/>
    </row>
    <row r="100" spans="9:10" x14ac:dyDescent="0.2">
      <c r="I100" s="1125"/>
      <c r="J100" s="1125"/>
    </row>
    <row r="101" spans="9:10" x14ac:dyDescent="0.2">
      <c r="I101" s="1125"/>
      <c r="J101" s="1125"/>
    </row>
    <row r="102" spans="9:10" x14ac:dyDescent="0.2">
      <c r="I102" s="1125"/>
      <c r="J102" s="1125"/>
    </row>
    <row r="103" spans="9:10" x14ac:dyDescent="0.2">
      <c r="I103" s="1125"/>
      <c r="J103" s="1125"/>
    </row>
    <row r="104" spans="9:10" x14ac:dyDescent="0.2">
      <c r="I104" s="1125"/>
      <c r="J104" s="1125"/>
    </row>
    <row r="105" spans="9:10" x14ac:dyDescent="0.2">
      <c r="I105" s="1125"/>
      <c r="J105" s="1125"/>
    </row>
    <row r="106" spans="9:10" x14ac:dyDescent="0.2">
      <c r="I106" s="1125"/>
      <c r="J106" s="1125"/>
    </row>
    <row r="107" spans="9:10" x14ac:dyDescent="0.2">
      <c r="I107" s="1125"/>
      <c r="J107" s="1125"/>
    </row>
    <row r="108" spans="9:10" x14ac:dyDescent="0.2">
      <c r="I108" s="1125"/>
      <c r="J108" s="1125"/>
    </row>
    <row r="109" spans="9:10" x14ac:dyDescent="0.2">
      <c r="I109" s="1125"/>
      <c r="J109" s="1125"/>
    </row>
    <row r="110" spans="9:10" x14ac:dyDescent="0.2">
      <c r="I110" s="1125"/>
      <c r="J110" s="1125"/>
    </row>
    <row r="111" spans="9:10" x14ac:dyDescent="0.2">
      <c r="I111" s="1125"/>
      <c r="J111" s="1125"/>
    </row>
    <row r="112" spans="9:10" x14ac:dyDescent="0.2">
      <c r="I112" s="1125"/>
      <c r="J112" s="1125"/>
    </row>
    <row r="113" spans="9:10" x14ac:dyDescent="0.2">
      <c r="I113" s="1125"/>
      <c r="J113" s="1125"/>
    </row>
    <row r="114" spans="9:10" x14ac:dyDescent="0.2">
      <c r="I114" s="1125"/>
      <c r="J114" s="1125"/>
    </row>
    <row r="115" spans="9:10" x14ac:dyDescent="0.2">
      <c r="I115" s="1125"/>
      <c r="J115" s="1125"/>
    </row>
    <row r="116" spans="9:10" x14ac:dyDescent="0.2">
      <c r="I116" s="1125"/>
      <c r="J116" s="1125"/>
    </row>
    <row r="117" spans="9:10" x14ac:dyDescent="0.2">
      <c r="I117" s="1125"/>
      <c r="J117" s="1125"/>
    </row>
    <row r="118" spans="9:10" x14ac:dyDescent="0.2">
      <c r="I118" s="1125"/>
      <c r="J118" s="1125"/>
    </row>
    <row r="119" spans="9:10" x14ac:dyDescent="0.2">
      <c r="I119" s="1125"/>
      <c r="J119" s="1125"/>
    </row>
    <row r="120" spans="9:10" x14ac:dyDescent="0.2">
      <c r="I120" s="1125"/>
      <c r="J120" s="1125"/>
    </row>
    <row r="121" spans="9:10" x14ac:dyDescent="0.2">
      <c r="I121" s="1125"/>
      <c r="J121" s="1125"/>
    </row>
    <row r="122" spans="9:10" x14ac:dyDescent="0.2">
      <c r="I122" s="1125"/>
      <c r="J122" s="1125"/>
    </row>
    <row r="123" spans="9:10" x14ac:dyDescent="0.2">
      <c r="I123" s="1125"/>
      <c r="J123" s="1125"/>
    </row>
    <row r="124" spans="9:10" x14ac:dyDescent="0.2">
      <c r="I124" s="1125"/>
      <c r="J124" s="1125"/>
    </row>
    <row r="125" spans="9:10" x14ac:dyDescent="0.2">
      <c r="I125" s="1125"/>
      <c r="J125" s="1125"/>
    </row>
    <row r="126" spans="9:10" x14ac:dyDescent="0.2">
      <c r="I126" s="1125"/>
      <c r="J126" s="1125"/>
    </row>
    <row r="127" spans="9:10" x14ac:dyDescent="0.2">
      <c r="I127" s="1125"/>
      <c r="J127" s="1125"/>
    </row>
    <row r="128" spans="9:10" x14ac:dyDescent="0.2">
      <c r="I128" s="1125"/>
      <c r="J128" s="1125"/>
    </row>
    <row r="129" spans="9:10" x14ac:dyDescent="0.2">
      <c r="I129" s="1125"/>
      <c r="J129" s="1125"/>
    </row>
    <row r="130" spans="9:10" x14ac:dyDescent="0.2">
      <c r="I130" s="1125"/>
      <c r="J130" s="1125"/>
    </row>
    <row r="131" spans="9:10" x14ac:dyDescent="0.2">
      <c r="I131" s="1125"/>
      <c r="J131" s="1125"/>
    </row>
    <row r="132" spans="9:10" x14ac:dyDescent="0.2">
      <c r="I132" s="1125"/>
      <c r="J132" s="1125"/>
    </row>
    <row r="133" spans="9:10" x14ac:dyDescent="0.2">
      <c r="I133" s="1125"/>
      <c r="J133" s="1125"/>
    </row>
    <row r="134" spans="9:10" x14ac:dyDescent="0.2">
      <c r="I134" s="1125"/>
      <c r="J134" s="1125"/>
    </row>
    <row r="135" spans="9:10" x14ac:dyDescent="0.2">
      <c r="I135" s="1125"/>
      <c r="J135" s="1125"/>
    </row>
    <row r="136" spans="9:10" x14ac:dyDescent="0.2">
      <c r="I136" s="1125"/>
      <c r="J136" s="1125"/>
    </row>
    <row r="137" spans="9:10" x14ac:dyDescent="0.2">
      <c r="I137" s="1125"/>
      <c r="J137" s="1125"/>
    </row>
    <row r="138" spans="9:10" x14ac:dyDescent="0.2">
      <c r="I138" s="1125"/>
      <c r="J138" s="1125"/>
    </row>
    <row r="139" spans="9:10" x14ac:dyDescent="0.2">
      <c r="I139" s="1125"/>
      <c r="J139" s="1125"/>
    </row>
    <row r="140" spans="9:10" x14ac:dyDescent="0.2">
      <c r="I140" s="1125"/>
      <c r="J140" s="1125"/>
    </row>
    <row r="141" spans="9:10" x14ac:dyDescent="0.2">
      <c r="I141" s="1125"/>
      <c r="J141" s="1125"/>
    </row>
    <row r="142" spans="9:10" x14ac:dyDescent="0.2">
      <c r="I142" s="1125"/>
      <c r="J142" s="1125"/>
    </row>
    <row r="143" spans="9:10" x14ac:dyDescent="0.2">
      <c r="I143" s="1125"/>
      <c r="J143" s="1125"/>
    </row>
    <row r="144" spans="9:10" x14ac:dyDescent="0.2">
      <c r="I144" s="1125"/>
      <c r="J144" s="1125"/>
    </row>
    <row r="145" spans="9:10" x14ac:dyDescent="0.2">
      <c r="I145" s="1125"/>
      <c r="J145" s="1125"/>
    </row>
    <row r="146" spans="9:10" x14ac:dyDescent="0.2">
      <c r="I146" s="1125"/>
      <c r="J146" s="1125"/>
    </row>
    <row r="147" spans="9:10" x14ac:dyDescent="0.2">
      <c r="I147" s="1125"/>
      <c r="J147" s="1125"/>
    </row>
    <row r="148" spans="9:10" x14ac:dyDescent="0.2">
      <c r="I148" s="1125"/>
      <c r="J148" s="1125"/>
    </row>
    <row r="149" spans="9:10" x14ac:dyDescent="0.2">
      <c r="I149" s="1125"/>
      <c r="J149" s="1125"/>
    </row>
    <row r="150" spans="9:10" x14ac:dyDescent="0.2">
      <c r="I150" s="1125"/>
      <c r="J150" s="1125"/>
    </row>
    <row r="151" spans="9:10" x14ac:dyDescent="0.2">
      <c r="I151" s="1125"/>
      <c r="J151" s="1125"/>
    </row>
    <row r="152" spans="9:10" x14ac:dyDescent="0.2">
      <c r="I152" s="1125"/>
      <c r="J152" s="1125"/>
    </row>
    <row r="153" spans="9:10" x14ac:dyDescent="0.2">
      <c r="I153" s="1125"/>
      <c r="J153" s="1125"/>
    </row>
    <row r="154" spans="9:10" x14ac:dyDescent="0.2">
      <c r="I154" s="1125"/>
      <c r="J154" s="1125"/>
    </row>
    <row r="155" spans="9:10" x14ac:dyDescent="0.2">
      <c r="I155" s="1125"/>
      <c r="J155" s="1125"/>
    </row>
    <row r="156" spans="9:10" x14ac:dyDescent="0.2">
      <c r="I156" s="1125"/>
      <c r="J156" s="1125"/>
    </row>
    <row r="157" spans="9:10" x14ac:dyDescent="0.2">
      <c r="I157" s="1125"/>
      <c r="J157" s="1125"/>
    </row>
    <row r="158" spans="9:10" x14ac:dyDescent="0.2">
      <c r="I158" s="1125"/>
      <c r="J158" s="1125"/>
    </row>
    <row r="159" spans="9:10" x14ac:dyDescent="0.2">
      <c r="I159" s="1125"/>
      <c r="J159" s="1125"/>
    </row>
    <row r="160" spans="9:10" x14ac:dyDescent="0.2">
      <c r="I160" s="1125"/>
      <c r="J160" s="1125"/>
    </row>
    <row r="161" spans="9:10" x14ac:dyDescent="0.2">
      <c r="I161" s="1125"/>
      <c r="J161" s="1125"/>
    </row>
    <row r="162" spans="9:10" x14ac:dyDescent="0.2">
      <c r="I162" s="1125"/>
      <c r="J162" s="1125"/>
    </row>
    <row r="163" spans="9:10" x14ac:dyDescent="0.2">
      <c r="I163" s="1125"/>
      <c r="J163" s="1125"/>
    </row>
    <row r="164" spans="9:10" x14ac:dyDescent="0.2">
      <c r="I164" s="1125"/>
      <c r="J164" s="1125"/>
    </row>
    <row r="165" spans="9:10" x14ac:dyDescent="0.2">
      <c r="I165" s="1125"/>
      <c r="J165" s="1125"/>
    </row>
    <row r="166" spans="9:10" x14ac:dyDescent="0.2">
      <c r="I166" s="1125"/>
      <c r="J166" s="1125"/>
    </row>
    <row r="167" spans="9:10" x14ac:dyDescent="0.2">
      <c r="I167" s="1125"/>
      <c r="J167" s="1125"/>
    </row>
    <row r="168" spans="9:10" x14ac:dyDescent="0.2">
      <c r="I168" s="1125"/>
      <c r="J168" s="1125"/>
    </row>
    <row r="169" spans="9:10" x14ac:dyDescent="0.2">
      <c r="I169" s="1125"/>
      <c r="J169" s="1125"/>
    </row>
    <row r="170" spans="9:10" x14ac:dyDescent="0.2">
      <c r="I170" s="1125"/>
      <c r="J170" s="1125"/>
    </row>
    <row r="171" spans="9:10" x14ac:dyDescent="0.2">
      <c r="I171" s="1125"/>
      <c r="J171" s="1125"/>
    </row>
    <row r="172" spans="9:10" x14ac:dyDescent="0.2">
      <c r="I172" s="1125"/>
      <c r="J172" s="1125"/>
    </row>
    <row r="173" spans="9:10" x14ac:dyDescent="0.2">
      <c r="I173" s="1125"/>
      <c r="J173" s="1125"/>
    </row>
    <row r="174" spans="9:10" x14ac:dyDescent="0.2">
      <c r="I174" s="1125"/>
      <c r="J174" s="1125"/>
    </row>
    <row r="175" spans="9:10" x14ac:dyDescent="0.2">
      <c r="I175" s="1125"/>
      <c r="J175" s="1125"/>
    </row>
    <row r="176" spans="9:10" x14ac:dyDescent="0.2">
      <c r="I176" s="1125"/>
      <c r="J176" s="1125"/>
    </row>
    <row r="177" spans="9:10" x14ac:dyDescent="0.2">
      <c r="I177" s="1125"/>
      <c r="J177" s="1125"/>
    </row>
    <row r="178" spans="9:10" x14ac:dyDescent="0.2">
      <c r="I178" s="1125"/>
      <c r="J178" s="1125"/>
    </row>
    <row r="179" spans="9:10" x14ac:dyDescent="0.2">
      <c r="I179" s="1125"/>
      <c r="J179" s="1125"/>
    </row>
    <row r="180" spans="9:10" x14ac:dyDescent="0.2">
      <c r="I180" s="1125"/>
      <c r="J180" s="1125"/>
    </row>
    <row r="181" spans="9:10" x14ac:dyDescent="0.2">
      <c r="I181" s="1125"/>
      <c r="J181" s="1125"/>
    </row>
    <row r="182" spans="9:10" x14ac:dyDescent="0.2">
      <c r="I182" s="1125"/>
      <c r="J182" s="1125"/>
    </row>
    <row r="183" spans="9:10" x14ac:dyDescent="0.2">
      <c r="I183" s="1125"/>
      <c r="J183" s="1125"/>
    </row>
    <row r="184" spans="9:10" x14ac:dyDescent="0.2">
      <c r="I184" s="1125"/>
      <c r="J184" s="1125"/>
    </row>
    <row r="185" spans="9:10" x14ac:dyDescent="0.2">
      <c r="I185" s="1125"/>
      <c r="J185" s="1125"/>
    </row>
    <row r="186" spans="9:10" x14ac:dyDescent="0.2">
      <c r="I186" s="1125"/>
      <c r="J186" s="1125"/>
    </row>
    <row r="187" spans="9:10" x14ac:dyDescent="0.2">
      <c r="I187" s="1125"/>
      <c r="J187" s="1125"/>
    </row>
    <row r="188" spans="9:10" x14ac:dyDescent="0.2">
      <c r="I188" s="1125"/>
      <c r="J188" s="1125"/>
    </row>
    <row r="189" spans="9:10" x14ac:dyDescent="0.2">
      <c r="I189" s="1125"/>
      <c r="J189" s="1125"/>
    </row>
    <row r="190" spans="9:10" x14ac:dyDescent="0.2">
      <c r="I190" s="1125"/>
      <c r="J190" s="1125"/>
    </row>
    <row r="191" spans="9:10" x14ac:dyDescent="0.2">
      <c r="I191" s="1125"/>
      <c r="J191" s="1125"/>
    </row>
    <row r="192" spans="9:10" x14ac:dyDescent="0.2">
      <c r="I192" s="1125"/>
      <c r="J192" s="1125"/>
    </row>
    <row r="193" spans="9:10" x14ac:dyDescent="0.2">
      <c r="I193" s="1125"/>
      <c r="J193" s="1125"/>
    </row>
    <row r="194" spans="9:10" x14ac:dyDescent="0.2">
      <c r="I194" s="1125"/>
      <c r="J194" s="1125"/>
    </row>
    <row r="195" spans="9:10" x14ac:dyDescent="0.2">
      <c r="I195" s="1125"/>
      <c r="J195" s="1125"/>
    </row>
    <row r="196" spans="9:10" x14ac:dyDescent="0.2">
      <c r="I196" s="1125"/>
      <c r="J196" s="1125"/>
    </row>
    <row r="197" spans="9:10" x14ac:dyDescent="0.2">
      <c r="I197" s="1125"/>
      <c r="J197" s="1125"/>
    </row>
    <row r="198" spans="9:10" x14ac:dyDescent="0.2">
      <c r="I198" s="1125"/>
      <c r="J198" s="1125"/>
    </row>
    <row r="199" spans="9:10" x14ac:dyDescent="0.2">
      <c r="I199" s="1125"/>
      <c r="J199" s="1125"/>
    </row>
    <row r="200" spans="9:10" x14ac:dyDescent="0.2">
      <c r="I200" s="1125"/>
      <c r="J200" s="1125"/>
    </row>
    <row r="201" spans="9:10" x14ac:dyDescent="0.2">
      <c r="I201" s="1125"/>
      <c r="J201" s="1125"/>
    </row>
    <row r="202" spans="9:10" x14ac:dyDescent="0.2">
      <c r="I202" s="1125"/>
      <c r="J202" s="1125"/>
    </row>
    <row r="203" spans="9:10" x14ac:dyDescent="0.2">
      <c r="I203" s="1125"/>
      <c r="J203" s="1125"/>
    </row>
    <row r="204" spans="9:10" x14ac:dyDescent="0.2">
      <c r="I204" s="1125"/>
      <c r="J204" s="1125"/>
    </row>
    <row r="205" spans="9:10" x14ac:dyDescent="0.2">
      <c r="I205" s="1125"/>
      <c r="J205" s="1125"/>
    </row>
    <row r="206" spans="9:10" x14ac:dyDescent="0.2">
      <c r="I206" s="1125"/>
      <c r="J206" s="1125"/>
    </row>
    <row r="207" spans="9:10" x14ac:dyDescent="0.2">
      <c r="I207" s="1125"/>
      <c r="J207" s="1125"/>
    </row>
    <row r="208" spans="9:10" x14ac:dyDescent="0.2">
      <c r="I208" s="1125"/>
      <c r="J208" s="1125"/>
    </row>
    <row r="209" spans="9:10" x14ac:dyDescent="0.2">
      <c r="I209" s="1125"/>
      <c r="J209" s="1125"/>
    </row>
    <row r="210" spans="9:10" x14ac:dyDescent="0.2">
      <c r="I210" s="1125"/>
      <c r="J210" s="1125"/>
    </row>
    <row r="211" spans="9:10" x14ac:dyDescent="0.2">
      <c r="I211" s="1125"/>
      <c r="J211" s="1125"/>
    </row>
    <row r="212" spans="9:10" x14ac:dyDescent="0.2">
      <c r="I212" s="1125"/>
      <c r="J212" s="1125"/>
    </row>
    <row r="213" spans="9:10" x14ac:dyDescent="0.2">
      <c r="I213" s="1125"/>
      <c r="J213" s="1125"/>
    </row>
    <row r="214" spans="9:10" x14ac:dyDescent="0.2">
      <c r="I214" s="1125"/>
      <c r="J214" s="1125"/>
    </row>
    <row r="215" spans="9:10" x14ac:dyDescent="0.2">
      <c r="I215" s="1125"/>
      <c r="J215" s="1125"/>
    </row>
    <row r="216" spans="9:10" x14ac:dyDescent="0.2">
      <c r="I216" s="1125"/>
      <c r="J216" s="1125"/>
    </row>
    <row r="217" spans="9:10" x14ac:dyDescent="0.2">
      <c r="I217" s="1125"/>
      <c r="J217" s="1125"/>
    </row>
    <row r="218" spans="9:10" x14ac:dyDescent="0.2">
      <c r="I218" s="1125"/>
      <c r="J218" s="1125"/>
    </row>
    <row r="219" spans="9:10" x14ac:dyDescent="0.2">
      <c r="I219" s="1125"/>
      <c r="J219" s="1125"/>
    </row>
    <row r="220" spans="9:10" x14ac:dyDescent="0.2">
      <c r="I220" s="1125"/>
      <c r="J220" s="1125"/>
    </row>
    <row r="221" spans="9:10" x14ac:dyDescent="0.2">
      <c r="I221" s="1125"/>
      <c r="J221" s="1125"/>
    </row>
    <row r="222" spans="9:10" x14ac:dyDescent="0.2">
      <c r="I222" s="1125"/>
      <c r="J222" s="1125"/>
    </row>
    <row r="223" spans="9:10" x14ac:dyDescent="0.2">
      <c r="I223" s="1125"/>
      <c r="J223" s="1125"/>
    </row>
    <row r="224" spans="9:10" x14ac:dyDescent="0.2">
      <c r="I224" s="1125"/>
      <c r="J224" s="1125"/>
    </row>
    <row r="225" spans="9:10" x14ac:dyDescent="0.2">
      <c r="I225" s="1125"/>
      <c r="J225" s="1125"/>
    </row>
    <row r="226" spans="9:10" x14ac:dyDescent="0.2">
      <c r="I226" s="1125"/>
      <c r="J226" s="1125"/>
    </row>
    <row r="227" spans="9:10" x14ac:dyDescent="0.2">
      <c r="I227" s="1125"/>
      <c r="J227" s="1125"/>
    </row>
    <row r="228" spans="9:10" x14ac:dyDescent="0.2">
      <c r="I228" s="1125"/>
      <c r="J228" s="1125"/>
    </row>
    <row r="229" spans="9:10" x14ac:dyDescent="0.2">
      <c r="I229" s="1125"/>
      <c r="J229" s="1125"/>
    </row>
    <row r="230" spans="9:10" x14ac:dyDescent="0.2">
      <c r="I230" s="1125"/>
      <c r="J230" s="1125"/>
    </row>
    <row r="231" spans="9:10" x14ac:dyDescent="0.2">
      <c r="I231" s="1125"/>
      <c r="J231" s="1125"/>
    </row>
    <row r="232" spans="9:10" x14ac:dyDescent="0.2">
      <c r="I232" s="1125"/>
      <c r="J232" s="1125"/>
    </row>
    <row r="233" spans="9:10" x14ac:dyDescent="0.2">
      <c r="I233" s="1125"/>
      <c r="J233" s="1125"/>
    </row>
    <row r="234" spans="9:10" x14ac:dyDescent="0.2">
      <c r="I234" s="1125"/>
      <c r="J234" s="1125"/>
    </row>
    <row r="235" spans="9:10" x14ac:dyDescent="0.2">
      <c r="I235" s="1125"/>
      <c r="J235" s="1125"/>
    </row>
    <row r="236" spans="9:10" x14ac:dyDescent="0.2">
      <c r="I236" s="1125"/>
      <c r="J236" s="1125"/>
    </row>
    <row r="237" spans="9:10" x14ac:dyDescent="0.2">
      <c r="I237" s="1125"/>
      <c r="J237" s="1125"/>
    </row>
    <row r="238" spans="9:10" x14ac:dyDescent="0.2">
      <c r="I238" s="1125"/>
      <c r="J238" s="1125"/>
    </row>
    <row r="239" spans="9:10" x14ac:dyDescent="0.2">
      <c r="I239" s="1125"/>
      <c r="J239" s="1125"/>
    </row>
    <row r="240" spans="9:10" x14ac:dyDescent="0.2">
      <c r="I240" s="1125"/>
      <c r="J240" s="1125"/>
    </row>
    <row r="241" spans="9:10" x14ac:dyDescent="0.2">
      <c r="I241" s="1125"/>
      <c r="J241" s="1125"/>
    </row>
    <row r="242" spans="9:10" x14ac:dyDescent="0.2">
      <c r="I242" s="1125"/>
      <c r="J242" s="1125"/>
    </row>
    <row r="243" spans="9:10" x14ac:dyDescent="0.2">
      <c r="I243" s="1125"/>
      <c r="J243" s="1125"/>
    </row>
    <row r="244" spans="9:10" x14ac:dyDescent="0.2">
      <c r="I244" s="1125"/>
      <c r="J244" s="1125"/>
    </row>
    <row r="245" spans="9:10" x14ac:dyDescent="0.2">
      <c r="I245" s="1125"/>
      <c r="J245" s="1125"/>
    </row>
    <row r="246" spans="9:10" x14ac:dyDescent="0.2">
      <c r="I246" s="1125"/>
      <c r="J246" s="1125"/>
    </row>
    <row r="247" spans="9:10" x14ac:dyDescent="0.2">
      <c r="I247" s="1125"/>
      <c r="J247" s="1125"/>
    </row>
    <row r="248" spans="9:10" x14ac:dyDescent="0.2">
      <c r="I248" s="1125"/>
      <c r="J248" s="1125"/>
    </row>
    <row r="249" spans="9:10" x14ac:dyDescent="0.2">
      <c r="I249" s="1125"/>
      <c r="J249" s="1125"/>
    </row>
    <row r="250" spans="9:10" x14ac:dyDescent="0.2">
      <c r="I250" s="1125"/>
      <c r="J250" s="1125"/>
    </row>
    <row r="251" spans="9:10" x14ac:dyDescent="0.2">
      <c r="I251" s="1125"/>
      <c r="J251" s="1125"/>
    </row>
    <row r="252" spans="9:10" x14ac:dyDescent="0.2">
      <c r="I252" s="1125"/>
      <c r="J252" s="1125"/>
    </row>
    <row r="253" spans="9:10" x14ac:dyDescent="0.2">
      <c r="I253" s="1125"/>
      <c r="J253" s="1125"/>
    </row>
    <row r="254" spans="9:10" x14ac:dyDescent="0.2">
      <c r="I254" s="1125"/>
      <c r="J254" s="1125"/>
    </row>
    <row r="255" spans="9:10" x14ac:dyDescent="0.2">
      <c r="I255" s="1125"/>
      <c r="J255" s="1125"/>
    </row>
    <row r="256" spans="9:10" x14ac:dyDescent="0.2">
      <c r="I256" s="1125"/>
      <c r="J256" s="1125"/>
    </row>
    <row r="257" spans="9:10" x14ac:dyDescent="0.2">
      <c r="I257" s="1125"/>
      <c r="J257" s="1125"/>
    </row>
    <row r="258" spans="9:10" x14ac:dyDescent="0.2">
      <c r="I258" s="1125"/>
      <c r="J258" s="1125"/>
    </row>
    <row r="259" spans="9:10" x14ac:dyDescent="0.2">
      <c r="I259" s="1125"/>
      <c r="J259" s="1125"/>
    </row>
    <row r="260" spans="9:10" x14ac:dyDescent="0.2">
      <c r="I260" s="1125"/>
      <c r="J260" s="1125"/>
    </row>
    <row r="261" spans="9:10" x14ac:dyDescent="0.2">
      <c r="I261" s="1125"/>
      <c r="J261" s="1125"/>
    </row>
    <row r="262" spans="9:10" x14ac:dyDescent="0.2">
      <c r="I262" s="1125"/>
      <c r="J262" s="1125"/>
    </row>
    <row r="263" spans="9:10" x14ac:dyDescent="0.2">
      <c r="I263" s="1125"/>
      <c r="J263" s="1125"/>
    </row>
    <row r="264" spans="9:10" x14ac:dyDescent="0.2">
      <c r="I264" s="1125"/>
      <c r="J264" s="1125"/>
    </row>
    <row r="265" spans="9:10" x14ac:dyDescent="0.2">
      <c r="I265" s="1125"/>
      <c r="J265" s="1125"/>
    </row>
    <row r="266" spans="9:10" x14ac:dyDescent="0.2">
      <c r="I266" s="1125"/>
      <c r="J266" s="1125"/>
    </row>
    <row r="267" spans="9:10" x14ac:dyDescent="0.2">
      <c r="I267" s="1125"/>
      <c r="J267" s="1125"/>
    </row>
    <row r="268" spans="9:10" x14ac:dyDescent="0.2">
      <c r="I268" s="1125"/>
      <c r="J268" s="1125"/>
    </row>
    <row r="269" spans="9:10" x14ac:dyDescent="0.2">
      <c r="I269" s="1125"/>
      <c r="J269" s="1125"/>
    </row>
    <row r="270" spans="9:10" x14ac:dyDescent="0.2">
      <c r="I270" s="1125"/>
      <c r="J270" s="1125"/>
    </row>
    <row r="271" spans="9:10" x14ac:dyDescent="0.2">
      <c r="I271" s="1125"/>
      <c r="J271" s="1125"/>
    </row>
    <row r="272" spans="9:10" x14ac:dyDescent="0.2">
      <c r="I272" s="1125"/>
      <c r="J272" s="1125"/>
    </row>
    <row r="273" spans="9:10" x14ac:dyDescent="0.2">
      <c r="I273" s="1125"/>
      <c r="J273" s="1125"/>
    </row>
    <row r="274" spans="9:10" x14ac:dyDescent="0.2">
      <c r="I274" s="1125"/>
      <c r="J274" s="1125"/>
    </row>
    <row r="275" spans="9:10" x14ac:dyDescent="0.2">
      <c r="I275" s="1125"/>
      <c r="J275" s="1125"/>
    </row>
    <row r="276" spans="9:10" x14ac:dyDescent="0.2">
      <c r="I276" s="1125"/>
      <c r="J276" s="1125"/>
    </row>
    <row r="277" spans="9:10" x14ac:dyDescent="0.2">
      <c r="I277" s="1125"/>
      <c r="J277" s="1125"/>
    </row>
    <row r="278" spans="9:10" x14ac:dyDescent="0.2">
      <c r="I278" s="1125"/>
      <c r="J278" s="1125"/>
    </row>
    <row r="279" spans="9:10" x14ac:dyDescent="0.2">
      <c r="I279" s="1125"/>
      <c r="J279" s="1125"/>
    </row>
    <row r="280" spans="9:10" x14ac:dyDescent="0.2">
      <c r="I280" s="1125"/>
      <c r="J280" s="1125"/>
    </row>
    <row r="281" spans="9:10" x14ac:dyDescent="0.2">
      <c r="I281" s="1125"/>
      <c r="J281" s="1125"/>
    </row>
    <row r="282" spans="9:10" x14ac:dyDescent="0.2">
      <c r="I282" s="1125"/>
      <c r="J282" s="1125"/>
    </row>
    <row r="283" spans="9:10" x14ac:dyDescent="0.2">
      <c r="I283" s="1125"/>
      <c r="J283" s="1125"/>
    </row>
    <row r="284" spans="9:10" x14ac:dyDescent="0.2">
      <c r="I284" s="1125"/>
      <c r="J284" s="1125"/>
    </row>
    <row r="285" spans="9:10" x14ac:dyDescent="0.2">
      <c r="I285" s="1125"/>
      <c r="J285" s="1125"/>
    </row>
    <row r="286" spans="9:10" x14ac:dyDescent="0.2">
      <c r="I286" s="1125"/>
      <c r="J286" s="1125"/>
    </row>
    <row r="287" spans="9:10" x14ac:dyDescent="0.2">
      <c r="I287" s="1125"/>
      <c r="J287" s="1125"/>
    </row>
    <row r="288" spans="9:10" x14ac:dyDescent="0.2">
      <c r="I288" s="1125"/>
      <c r="J288" s="1125"/>
    </row>
    <row r="289" spans="9:10" x14ac:dyDescent="0.2">
      <c r="I289" s="1125"/>
      <c r="J289" s="1125"/>
    </row>
    <row r="290" spans="9:10" x14ac:dyDescent="0.2">
      <c r="I290" s="1125"/>
      <c r="J290" s="1125"/>
    </row>
    <row r="291" spans="9:10" x14ac:dyDescent="0.2">
      <c r="I291" s="1125"/>
      <c r="J291" s="1125"/>
    </row>
    <row r="292" spans="9:10" x14ac:dyDescent="0.2">
      <c r="I292" s="1125"/>
      <c r="J292" s="1125"/>
    </row>
    <row r="293" spans="9:10" x14ac:dyDescent="0.2">
      <c r="I293" s="1125"/>
      <c r="J293" s="1125"/>
    </row>
    <row r="294" spans="9:10" x14ac:dyDescent="0.2">
      <c r="I294" s="1125"/>
      <c r="J294" s="1125"/>
    </row>
    <row r="295" spans="9:10" x14ac:dyDescent="0.2">
      <c r="I295" s="1125"/>
      <c r="J295" s="1125"/>
    </row>
    <row r="296" spans="9:10" x14ac:dyDescent="0.2">
      <c r="I296" s="1125"/>
      <c r="J296" s="1125"/>
    </row>
    <row r="297" spans="9:10" x14ac:dyDescent="0.2">
      <c r="I297" s="1125"/>
      <c r="J297" s="1125"/>
    </row>
    <row r="298" spans="9:10" x14ac:dyDescent="0.2">
      <c r="I298" s="1125"/>
      <c r="J298" s="1125"/>
    </row>
    <row r="299" spans="9:10" x14ac:dyDescent="0.2">
      <c r="I299" s="1125"/>
      <c r="J299" s="1125"/>
    </row>
    <row r="300" spans="9:10" x14ac:dyDescent="0.2">
      <c r="I300" s="1125"/>
      <c r="J300" s="1125"/>
    </row>
    <row r="301" spans="9:10" x14ac:dyDescent="0.2">
      <c r="I301" s="1125"/>
      <c r="J301" s="1125"/>
    </row>
    <row r="302" spans="9:10" x14ac:dyDescent="0.2">
      <c r="I302" s="1125"/>
      <c r="J302" s="1125"/>
    </row>
    <row r="303" spans="9:10" x14ac:dyDescent="0.2">
      <c r="I303" s="1125"/>
      <c r="J303" s="1125"/>
    </row>
    <row r="304" spans="9:10" x14ac:dyDescent="0.2">
      <c r="I304" s="1125"/>
      <c r="J304" s="1125"/>
    </row>
    <row r="305" spans="9:10" x14ac:dyDescent="0.2">
      <c r="I305" s="1125"/>
      <c r="J305" s="1125"/>
    </row>
    <row r="306" spans="9:10" x14ac:dyDescent="0.2">
      <c r="I306" s="1125"/>
      <c r="J306" s="1125"/>
    </row>
    <row r="307" spans="9:10" x14ac:dyDescent="0.2">
      <c r="I307" s="1125"/>
      <c r="J307" s="1125"/>
    </row>
    <row r="308" spans="9:10" x14ac:dyDescent="0.2">
      <c r="I308" s="1125"/>
      <c r="J308" s="1125"/>
    </row>
    <row r="309" spans="9:10" x14ac:dyDescent="0.2">
      <c r="I309" s="1125"/>
      <c r="J309" s="1125"/>
    </row>
    <row r="310" spans="9:10" x14ac:dyDescent="0.2">
      <c r="I310" s="1125"/>
      <c r="J310" s="1125"/>
    </row>
    <row r="311" spans="9:10" x14ac:dyDescent="0.2">
      <c r="I311" s="1125"/>
      <c r="J311" s="1125"/>
    </row>
    <row r="312" spans="9:10" x14ac:dyDescent="0.2">
      <c r="I312" s="1125"/>
      <c r="J312" s="1125"/>
    </row>
    <row r="313" spans="9:10" x14ac:dyDescent="0.2">
      <c r="I313" s="1125"/>
      <c r="J313" s="1125"/>
    </row>
    <row r="314" spans="9:10" x14ac:dyDescent="0.2">
      <c r="I314" s="1125"/>
      <c r="J314" s="1125"/>
    </row>
    <row r="315" spans="9:10" x14ac:dyDescent="0.2">
      <c r="I315" s="1125"/>
      <c r="J315" s="1125"/>
    </row>
    <row r="316" spans="9:10" x14ac:dyDescent="0.2">
      <c r="I316" s="1125"/>
      <c r="J316" s="1125"/>
    </row>
    <row r="317" spans="9:10" x14ac:dyDescent="0.2">
      <c r="I317" s="1125"/>
      <c r="J317" s="1125"/>
    </row>
    <row r="318" spans="9:10" x14ac:dyDescent="0.2">
      <c r="I318" s="1125"/>
      <c r="J318" s="1125"/>
    </row>
    <row r="319" spans="9:10" x14ac:dyDescent="0.2">
      <c r="I319" s="1125"/>
      <c r="J319" s="1125"/>
    </row>
    <row r="320" spans="9:10" x14ac:dyDescent="0.2">
      <c r="I320" s="1125"/>
      <c r="J320" s="1125"/>
    </row>
    <row r="321" spans="9:10" x14ac:dyDescent="0.2">
      <c r="I321" s="1125"/>
      <c r="J321" s="1125"/>
    </row>
    <row r="322" spans="9:10" x14ac:dyDescent="0.2">
      <c r="I322" s="1125"/>
      <c r="J322" s="1125"/>
    </row>
    <row r="323" spans="9:10" x14ac:dyDescent="0.2">
      <c r="I323" s="1125"/>
      <c r="J323" s="1125"/>
    </row>
    <row r="324" spans="9:10" x14ac:dyDescent="0.2">
      <c r="I324" s="1125"/>
      <c r="J324" s="1125"/>
    </row>
    <row r="325" spans="9:10" x14ac:dyDescent="0.2">
      <c r="I325" s="1125"/>
      <c r="J325" s="1125"/>
    </row>
    <row r="326" spans="9:10" x14ac:dyDescent="0.2">
      <c r="I326" s="1125"/>
      <c r="J326" s="1125"/>
    </row>
    <row r="327" spans="9:10" x14ac:dyDescent="0.2">
      <c r="I327" s="1125"/>
      <c r="J327" s="1125"/>
    </row>
    <row r="328" spans="9:10" x14ac:dyDescent="0.2">
      <c r="I328" s="1125"/>
      <c r="J328" s="1125"/>
    </row>
    <row r="329" spans="9:10" x14ac:dyDescent="0.2">
      <c r="I329" s="1125"/>
      <c r="J329" s="1125"/>
    </row>
    <row r="330" spans="9:10" x14ac:dyDescent="0.2">
      <c r="I330" s="1125"/>
      <c r="J330" s="1125"/>
    </row>
    <row r="331" spans="9:10" x14ac:dyDescent="0.2">
      <c r="I331" s="1125"/>
      <c r="J331" s="1125"/>
    </row>
    <row r="332" spans="9:10" x14ac:dyDescent="0.2">
      <c r="I332" s="1125"/>
      <c r="J332" s="1125"/>
    </row>
    <row r="333" spans="9:10" x14ac:dyDescent="0.2">
      <c r="I333" s="1125"/>
      <c r="J333" s="1125"/>
    </row>
    <row r="334" spans="9:10" x14ac:dyDescent="0.2">
      <c r="I334" s="1125"/>
      <c r="J334" s="1125"/>
    </row>
    <row r="335" spans="9:10" x14ac:dyDescent="0.2">
      <c r="I335" s="1125"/>
      <c r="J335" s="1125"/>
    </row>
    <row r="336" spans="9:10" x14ac:dyDescent="0.2">
      <c r="I336" s="1125"/>
      <c r="J336" s="1125"/>
    </row>
    <row r="337" spans="9:10" x14ac:dyDescent="0.2">
      <c r="I337" s="1125"/>
      <c r="J337" s="1125"/>
    </row>
    <row r="338" spans="9:10" x14ac:dyDescent="0.2">
      <c r="I338" s="1125"/>
      <c r="J338" s="1125"/>
    </row>
    <row r="339" spans="9:10" x14ac:dyDescent="0.2">
      <c r="I339" s="1125"/>
      <c r="J339" s="1125"/>
    </row>
    <row r="340" spans="9:10" x14ac:dyDescent="0.2">
      <c r="I340" s="1125"/>
      <c r="J340" s="1125"/>
    </row>
    <row r="341" spans="9:10" x14ac:dyDescent="0.2">
      <c r="I341" s="1125"/>
      <c r="J341" s="1125"/>
    </row>
    <row r="342" spans="9:10" x14ac:dyDescent="0.2">
      <c r="I342" s="1125"/>
      <c r="J342" s="1125"/>
    </row>
    <row r="343" spans="9:10" x14ac:dyDescent="0.2">
      <c r="I343" s="1125"/>
      <c r="J343" s="1125"/>
    </row>
    <row r="344" spans="9:10" x14ac:dyDescent="0.2">
      <c r="I344" s="1125"/>
      <c r="J344" s="1125"/>
    </row>
    <row r="345" spans="9:10" x14ac:dyDescent="0.2">
      <c r="I345" s="1125"/>
      <c r="J345" s="1125"/>
    </row>
    <row r="346" spans="9:10" x14ac:dyDescent="0.2">
      <c r="I346" s="1125"/>
      <c r="J346" s="1125"/>
    </row>
    <row r="347" spans="9:10" x14ac:dyDescent="0.2">
      <c r="I347" s="1125"/>
      <c r="J347" s="1125"/>
    </row>
    <row r="348" spans="9:10" x14ac:dyDescent="0.2">
      <c r="I348" s="1125"/>
      <c r="J348" s="1125"/>
    </row>
    <row r="349" spans="9:10" x14ac:dyDescent="0.2">
      <c r="I349" s="1125"/>
      <c r="J349" s="1125"/>
    </row>
    <row r="350" spans="9:10" x14ac:dyDescent="0.2">
      <c r="I350" s="1125"/>
      <c r="J350" s="1125"/>
    </row>
    <row r="351" spans="9:10" x14ac:dyDescent="0.2">
      <c r="I351" s="1125"/>
      <c r="J351" s="1125"/>
    </row>
    <row r="352" spans="9:10" x14ac:dyDescent="0.2">
      <c r="I352" s="1125"/>
      <c r="J352" s="1125"/>
    </row>
    <row r="353" spans="9:10" x14ac:dyDescent="0.2">
      <c r="I353" s="1125"/>
      <c r="J353" s="1125"/>
    </row>
    <row r="354" spans="9:10" x14ac:dyDescent="0.2">
      <c r="I354" s="1125"/>
      <c r="J354" s="1125"/>
    </row>
    <row r="355" spans="9:10" x14ac:dyDescent="0.2">
      <c r="I355" s="1125"/>
      <c r="J355" s="1125"/>
    </row>
    <row r="356" spans="9:10" x14ac:dyDescent="0.2">
      <c r="I356" s="1125"/>
      <c r="J356" s="1125"/>
    </row>
    <row r="357" spans="9:10" x14ac:dyDescent="0.2">
      <c r="I357" s="1125"/>
      <c r="J357" s="1125"/>
    </row>
    <row r="358" spans="9:10" x14ac:dyDescent="0.2">
      <c r="I358" s="1125"/>
      <c r="J358" s="1125"/>
    </row>
    <row r="359" spans="9:10" x14ac:dyDescent="0.2">
      <c r="I359" s="1125"/>
      <c r="J359" s="1125"/>
    </row>
    <row r="360" spans="9:10" x14ac:dyDescent="0.2">
      <c r="I360" s="1125"/>
      <c r="J360" s="1125"/>
    </row>
    <row r="361" spans="9:10" x14ac:dyDescent="0.2">
      <c r="I361" s="1125"/>
      <c r="J361" s="1125"/>
    </row>
    <row r="362" spans="9:10" x14ac:dyDescent="0.2">
      <c r="I362" s="1125"/>
      <c r="J362" s="1125"/>
    </row>
    <row r="363" spans="9:10" x14ac:dyDescent="0.2">
      <c r="I363" s="1125"/>
      <c r="J363" s="1125"/>
    </row>
    <row r="364" spans="9:10" x14ac:dyDescent="0.2">
      <c r="I364" s="1125"/>
      <c r="J364" s="1125"/>
    </row>
    <row r="365" spans="9:10" x14ac:dyDescent="0.2">
      <c r="I365" s="1125"/>
      <c r="J365" s="1125"/>
    </row>
    <row r="366" spans="9:10" x14ac:dyDescent="0.2">
      <c r="I366" s="1125"/>
      <c r="J366" s="1125"/>
    </row>
    <row r="367" spans="9:10" x14ac:dyDescent="0.2">
      <c r="I367" s="1125"/>
      <c r="J367" s="1125"/>
    </row>
    <row r="368" spans="9:10" x14ac:dyDescent="0.2">
      <c r="I368" s="1125"/>
      <c r="J368" s="1125"/>
    </row>
    <row r="369" spans="9:10" x14ac:dyDescent="0.2">
      <c r="I369" s="1125"/>
      <c r="J369" s="1125"/>
    </row>
    <row r="370" spans="9:10" x14ac:dyDescent="0.2">
      <c r="I370" s="1125"/>
      <c r="J370" s="1125"/>
    </row>
    <row r="371" spans="9:10" x14ac:dyDescent="0.2">
      <c r="I371" s="1125"/>
      <c r="J371" s="1125"/>
    </row>
    <row r="372" spans="9:10" x14ac:dyDescent="0.2">
      <c r="I372" s="1125"/>
      <c r="J372" s="1125"/>
    </row>
    <row r="373" spans="9:10" x14ac:dyDescent="0.2">
      <c r="I373" s="1125"/>
      <c r="J373" s="1125"/>
    </row>
    <row r="374" spans="9:10" x14ac:dyDescent="0.2">
      <c r="I374" s="1125"/>
      <c r="J374" s="1125"/>
    </row>
    <row r="375" spans="9:10" x14ac:dyDescent="0.2">
      <c r="I375" s="1125"/>
      <c r="J375" s="1125"/>
    </row>
    <row r="376" spans="9:10" x14ac:dyDescent="0.2">
      <c r="I376" s="1125"/>
      <c r="J376" s="1125"/>
    </row>
    <row r="377" spans="9:10" x14ac:dyDescent="0.2">
      <c r="I377" s="1125"/>
      <c r="J377" s="1125"/>
    </row>
    <row r="378" spans="9:10" x14ac:dyDescent="0.2">
      <c r="I378" s="1125"/>
      <c r="J378" s="1125"/>
    </row>
    <row r="379" spans="9:10" x14ac:dyDescent="0.2">
      <c r="I379" s="1125"/>
      <c r="J379" s="1125"/>
    </row>
    <row r="380" spans="9:10" x14ac:dyDescent="0.2">
      <c r="I380" s="1125"/>
      <c r="J380" s="1125"/>
    </row>
    <row r="381" spans="9:10" x14ac:dyDescent="0.2">
      <c r="I381" s="1125"/>
      <c r="J381" s="1125"/>
    </row>
    <row r="382" spans="9:10" x14ac:dyDescent="0.2">
      <c r="I382" s="1125"/>
      <c r="J382" s="1125"/>
    </row>
    <row r="383" spans="9:10" x14ac:dyDescent="0.2">
      <c r="I383" s="1125"/>
      <c r="J383" s="1125"/>
    </row>
    <row r="384" spans="9:10" x14ac:dyDescent="0.2">
      <c r="I384" s="1125"/>
      <c r="J384" s="1125"/>
    </row>
    <row r="385" spans="9:10" x14ac:dyDescent="0.2">
      <c r="I385" s="1125"/>
      <c r="J385" s="1125"/>
    </row>
    <row r="386" spans="9:10" x14ac:dyDescent="0.2">
      <c r="I386" s="1125"/>
      <c r="J386" s="1125"/>
    </row>
    <row r="387" spans="9:10" x14ac:dyDescent="0.2">
      <c r="I387" s="1125"/>
      <c r="J387" s="1125"/>
    </row>
    <row r="388" spans="9:10" x14ac:dyDescent="0.2">
      <c r="I388" s="1125"/>
      <c r="J388" s="1125"/>
    </row>
    <row r="389" spans="9:10" x14ac:dyDescent="0.2">
      <c r="I389" s="1125"/>
      <c r="J389" s="1125"/>
    </row>
    <row r="390" spans="9:10" x14ac:dyDescent="0.2">
      <c r="I390" s="1125"/>
      <c r="J390" s="1125"/>
    </row>
    <row r="391" spans="9:10" x14ac:dyDescent="0.2">
      <c r="I391" s="1125"/>
      <c r="J391" s="1125"/>
    </row>
    <row r="392" spans="9:10" x14ac:dyDescent="0.2">
      <c r="I392" s="1125"/>
      <c r="J392" s="1125"/>
    </row>
    <row r="393" spans="9:10" x14ac:dyDescent="0.2">
      <c r="I393" s="1125"/>
      <c r="J393" s="1125"/>
    </row>
    <row r="394" spans="9:10" x14ac:dyDescent="0.2">
      <c r="I394" s="1125"/>
      <c r="J394" s="1125"/>
    </row>
    <row r="395" spans="9:10" x14ac:dyDescent="0.2">
      <c r="I395" s="1125"/>
      <c r="J395" s="1125"/>
    </row>
    <row r="396" spans="9:10" x14ac:dyDescent="0.2">
      <c r="I396" s="1125"/>
      <c r="J396" s="1125"/>
    </row>
    <row r="397" spans="9:10" x14ac:dyDescent="0.2">
      <c r="I397" s="1125"/>
      <c r="J397" s="1125"/>
    </row>
    <row r="398" spans="9:10" x14ac:dyDescent="0.2">
      <c r="I398" s="1125"/>
      <c r="J398" s="1125"/>
    </row>
    <row r="399" spans="9:10" x14ac:dyDescent="0.2">
      <c r="I399" s="1125"/>
      <c r="J399" s="1125"/>
    </row>
    <row r="400" spans="9:10" x14ac:dyDescent="0.2">
      <c r="I400" s="1125"/>
      <c r="J400" s="1125"/>
    </row>
    <row r="401" spans="9:10" x14ac:dyDescent="0.2">
      <c r="I401" s="1125"/>
      <c r="J401" s="1125"/>
    </row>
    <row r="402" spans="9:10" x14ac:dyDescent="0.2">
      <c r="I402" s="1125"/>
      <c r="J402" s="1125"/>
    </row>
    <row r="403" spans="9:10" x14ac:dyDescent="0.2">
      <c r="I403" s="1125"/>
      <c r="J403" s="1125"/>
    </row>
    <row r="404" spans="9:10" x14ac:dyDescent="0.2">
      <c r="I404" s="1125"/>
      <c r="J404" s="1125"/>
    </row>
    <row r="405" spans="9:10" x14ac:dyDescent="0.2">
      <c r="I405" s="1125"/>
      <c r="J405" s="1125"/>
    </row>
    <row r="406" spans="9:10" x14ac:dyDescent="0.2">
      <c r="I406" s="1125"/>
      <c r="J406" s="1125"/>
    </row>
    <row r="407" spans="9:10" x14ac:dyDescent="0.2">
      <c r="I407" s="1125"/>
      <c r="J407" s="1125"/>
    </row>
    <row r="408" spans="9:10" x14ac:dyDescent="0.2">
      <c r="I408" s="1125"/>
      <c r="J408" s="1125"/>
    </row>
    <row r="409" spans="9:10" x14ac:dyDescent="0.2">
      <c r="I409" s="1125"/>
      <c r="J409" s="1125"/>
    </row>
    <row r="410" spans="9:10" x14ac:dyDescent="0.2">
      <c r="I410" s="1125"/>
      <c r="J410" s="1125"/>
    </row>
    <row r="411" spans="9:10" x14ac:dyDescent="0.2">
      <c r="I411" s="1125"/>
      <c r="J411" s="1125"/>
    </row>
    <row r="412" spans="9:10" x14ac:dyDescent="0.2">
      <c r="I412" s="1125"/>
      <c r="J412" s="1125"/>
    </row>
    <row r="413" spans="9:10" x14ac:dyDescent="0.2">
      <c r="I413" s="1125"/>
      <c r="J413" s="1125"/>
    </row>
    <row r="414" spans="9:10" x14ac:dyDescent="0.2">
      <c r="I414" s="1125"/>
      <c r="J414" s="1125"/>
    </row>
    <row r="415" spans="9:10" x14ac:dyDescent="0.2">
      <c r="I415" s="1125"/>
      <c r="J415" s="1125"/>
    </row>
    <row r="416" spans="9:10" x14ac:dyDescent="0.2">
      <c r="I416" s="1125"/>
      <c r="J416" s="1125"/>
    </row>
    <row r="417" spans="9:10" x14ac:dyDescent="0.2">
      <c r="I417" s="1125"/>
      <c r="J417" s="1125"/>
    </row>
    <row r="418" spans="9:10" x14ac:dyDescent="0.2">
      <c r="I418" s="1125"/>
      <c r="J418" s="1125"/>
    </row>
    <row r="419" spans="9:10" x14ac:dyDescent="0.2">
      <c r="I419" s="1125"/>
      <c r="J419" s="1125"/>
    </row>
    <row r="420" spans="9:10" x14ac:dyDescent="0.2">
      <c r="I420" s="1125"/>
      <c r="J420" s="1125"/>
    </row>
    <row r="421" spans="9:10" x14ac:dyDescent="0.2">
      <c r="I421" s="1125"/>
      <c r="J421" s="1125"/>
    </row>
    <row r="422" spans="9:10" x14ac:dyDescent="0.2">
      <c r="I422" s="1125"/>
      <c r="J422" s="1125"/>
    </row>
    <row r="423" spans="9:10" x14ac:dyDescent="0.2">
      <c r="I423" s="1125"/>
      <c r="J423" s="1125"/>
    </row>
    <row r="424" spans="9:10" x14ac:dyDescent="0.2">
      <c r="I424" s="1125"/>
      <c r="J424" s="1125"/>
    </row>
    <row r="425" spans="9:10" x14ac:dyDescent="0.2">
      <c r="I425" s="1125"/>
      <c r="J425" s="1125"/>
    </row>
    <row r="426" spans="9:10" x14ac:dyDescent="0.2">
      <c r="I426" s="1125"/>
      <c r="J426" s="1125"/>
    </row>
    <row r="427" spans="9:10" x14ac:dyDescent="0.2">
      <c r="I427" s="1125"/>
      <c r="J427" s="1125"/>
    </row>
    <row r="428" spans="9:10" x14ac:dyDescent="0.2">
      <c r="I428" s="1125"/>
      <c r="J428" s="1125"/>
    </row>
    <row r="429" spans="9:10" x14ac:dyDescent="0.2">
      <c r="I429" s="1125"/>
      <c r="J429" s="1125"/>
    </row>
    <row r="430" spans="9:10" x14ac:dyDescent="0.2">
      <c r="I430" s="1125"/>
      <c r="J430" s="1125"/>
    </row>
    <row r="431" spans="9:10" x14ac:dyDescent="0.2">
      <c r="I431" s="1125"/>
      <c r="J431" s="1125"/>
    </row>
    <row r="432" spans="9:10" x14ac:dyDescent="0.2">
      <c r="I432" s="1125"/>
      <c r="J432" s="1125"/>
    </row>
    <row r="433" spans="9:10" x14ac:dyDescent="0.2">
      <c r="I433" s="1125"/>
      <c r="J433" s="1125"/>
    </row>
    <row r="434" spans="9:10" x14ac:dyDescent="0.2">
      <c r="I434" s="1125"/>
      <c r="J434" s="1125"/>
    </row>
    <row r="435" spans="9:10" x14ac:dyDescent="0.2">
      <c r="I435" s="1125"/>
      <c r="J435" s="1125"/>
    </row>
    <row r="436" spans="9:10" x14ac:dyDescent="0.2">
      <c r="I436" s="1125"/>
      <c r="J436" s="1125"/>
    </row>
    <row r="437" spans="9:10" x14ac:dyDescent="0.2">
      <c r="I437" s="1125"/>
      <c r="J437" s="1125"/>
    </row>
    <row r="438" spans="9:10" x14ac:dyDescent="0.2">
      <c r="I438" s="1125"/>
      <c r="J438" s="1125"/>
    </row>
    <row r="439" spans="9:10" x14ac:dyDescent="0.2">
      <c r="I439" s="1125"/>
      <c r="J439" s="1125"/>
    </row>
    <row r="440" spans="9:10" x14ac:dyDescent="0.2">
      <c r="I440" s="1125"/>
      <c r="J440" s="1125"/>
    </row>
    <row r="441" spans="9:10" x14ac:dyDescent="0.2">
      <c r="I441" s="1125"/>
      <c r="J441" s="1125"/>
    </row>
    <row r="442" spans="9:10" x14ac:dyDescent="0.2">
      <c r="I442" s="1125"/>
      <c r="J442" s="1125"/>
    </row>
    <row r="443" spans="9:10" x14ac:dyDescent="0.2">
      <c r="I443" s="1125"/>
      <c r="J443" s="1125"/>
    </row>
    <row r="444" spans="9:10" x14ac:dyDescent="0.2">
      <c r="I444" s="1125"/>
      <c r="J444" s="1125"/>
    </row>
    <row r="445" spans="9:10" x14ac:dyDescent="0.2">
      <c r="I445" s="1125"/>
      <c r="J445" s="1125"/>
    </row>
    <row r="446" spans="9:10" x14ac:dyDescent="0.2">
      <c r="I446" s="1125"/>
      <c r="J446" s="1125"/>
    </row>
    <row r="447" spans="9:10" x14ac:dyDescent="0.2">
      <c r="I447" s="1125"/>
      <c r="J447" s="1125"/>
    </row>
    <row r="448" spans="9:10" x14ac:dyDescent="0.2">
      <c r="I448" s="1125"/>
      <c r="J448" s="1125"/>
    </row>
    <row r="449" spans="9:10" x14ac:dyDescent="0.2">
      <c r="I449" s="1125"/>
      <c r="J449" s="1125"/>
    </row>
    <row r="450" spans="9:10" x14ac:dyDescent="0.2">
      <c r="I450" s="1125"/>
      <c r="J450" s="1125"/>
    </row>
    <row r="451" spans="9:10" x14ac:dyDescent="0.2">
      <c r="I451" s="1125"/>
      <c r="J451" s="1125"/>
    </row>
    <row r="452" spans="9:10" x14ac:dyDescent="0.2">
      <c r="I452" s="1125"/>
      <c r="J452" s="1125"/>
    </row>
    <row r="453" spans="9:10" x14ac:dyDescent="0.2">
      <c r="I453" s="1125"/>
      <c r="J453" s="1125"/>
    </row>
    <row r="454" spans="9:10" x14ac:dyDescent="0.2">
      <c r="I454" s="1125"/>
      <c r="J454" s="1125"/>
    </row>
    <row r="455" spans="9:10" x14ac:dyDescent="0.2">
      <c r="I455" s="1125"/>
      <c r="J455" s="1125"/>
    </row>
    <row r="456" spans="9:10" x14ac:dyDescent="0.2">
      <c r="I456" s="1125"/>
      <c r="J456" s="1125"/>
    </row>
    <row r="457" spans="9:10" x14ac:dyDescent="0.2">
      <c r="I457" s="1125"/>
      <c r="J457" s="1125"/>
    </row>
    <row r="458" spans="9:10" x14ac:dyDescent="0.2">
      <c r="I458" s="1125"/>
      <c r="J458" s="1125"/>
    </row>
    <row r="459" spans="9:10" x14ac:dyDescent="0.2">
      <c r="I459" s="1125"/>
      <c r="J459" s="1125"/>
    </row>
    <row r="460" spans="9:10" x14ac:dyDescent="0.2">
      <c r="I460" s="1125"/>
      <c r="J460" s="1125"/>
    </row>
    <row r="461" spans="9:10" x14ac:dyDescent="0.2">
      <c r="I461" s="1125"/>
      <c r="J461" s="1125"/>
    </row>
    <row r="462" spans="9:10" x14ac:dyDescent="0.2">
      <c r="I462" s="1125"/>
      <c r="J462" s="1125"/>
    </row>
    <row r="463" spans="9:10" x14ac:dyDescent="0.2">
      <c r="I463" s="1125"/>
      <c r="J463" s="1125"/>
    </row>
    <row r="464" spans="9:10" x14ac:dyDescent="0.2">
      <c r="I464" s="1125"/>
      <c r="J464" s="1125"/>
    </row>
    <row r="465" spans="9:10" x14ac:dyDescent="0.2">
      <c r="I465" s="1125"/>
      <c r="J465" s="1125"/>
    </row>
    <row r="466" spans="9:10" x14ac:dyDescent="0.2">
      <c r="I466" s="1125"/>
      <c r="J466" s="1125"/>
    </row>
    <row r="467" spans="9:10" x14ac:dyDescent="0.2">
      <c r="I467" s="1125"/>
      <c r="J467" s="1125"/>
    </row>
    <row r="468" spans="9:10" x14ac:dyDescent="0.2">
      <c r="I468" s="1125"/>
      <c r="J468" s="1125"/>
    </row>
    <row r="469" spans="9:10" x14ac:dyDescent="0.2">
      <c r="I469" s="1125"/>
      <c r="J469" s="1125"/>
    </row>
    <row r="470" spans="9:10" x14ac:dyDescent="0.2">
      <c r="I470" s="1125"/>
      <c r="J470" s="1125"/>
    </row>
    <row r="471" spans="9:10" x14ac:dyDescent="0.2">
      <c r="I471" s="1125"/>
      <c r="J471" s="1125"/>
    </row>
    <row r="472" spans="9:10" x14ac:dyDescent="0.2">
      <c r="I472" s="1125"/>
      <c r="J472" s="1125"/>
    </row>
    <row r="473" spans="9:10" x14ac:dyDescent="0.2">
      <c r="I473" s="1125"/>
      <c r="J473" s="1125"/>
    </row>
    <row r="474" spans="9:10" x14ac:dyDescent="0.2">
      <c r="I474" s="1125"/>
      <c r="J474" s="1125"/>
    </row>
    <row r="475" spans="9:10" x14ac:dyDescent="0.2">
      <c r="I475" s="1125"/>
      <c r="J475" s="1125"/>
    </row>
    <row r="476" spans="9:10" x14ac:dyDescent="0.2">
      <c r="I476" s="1125"/>
      <c r="J476" s="1125"/>
    </row>
    <row r="477" spans="9:10" x14ac:dyDescent="0.2">
      <c r="I477" s="1125"/>
      <c r="J477" s="1125"/>
    </row>
    <row r="478" spans="9:10" x14ac:dyDescent="0.2">
      <c r="I478" s="1125"/>
      <c r="J478" s="1125"/>
    </row>
    <row r="479" spans="9:10" x14ac:dyDescent="0.2">
      <c r="I479" s="1125"/>
      <c r="J479" s="1125"/>
    </row>
    <row r="480" spans="9:10" x14ac:dyDescent="0.2">
      <c r="I480" s="1125"/>
      <c r="J480" s="1125"/>
    </row>
    <row r="481" spans="9:10" x14ac:dyDescent="0.2">
      <c r="I481" s="1125"/>
      <c r="J481" s="1125"/>
    </row>
    <row r="482" spans="9:10" x14ac:dyDescent="0.2">
      <c r="I482" s="1125"/>
      <c r="J482" s="1125"/>
    </row>
    <row r="483" spans="9:10" x14ac:dyDescent="0.2">
      <c r="I483" s="1125"/>
      <c r="J483" s="1125"/>
    </row>
    <row r="484" spans="9:10" x14ac:dyDescent="0.2">
      <c r="I484" s="1125"/>
      <c r="J484" s="1125"/>
    </row>
    <row r="485" spans="9:10" x14ac:dyDescent="0.2">
      <c r="I485" s="1125"/>
      <c r="J485" s="1125"/>
    </row>
    <row r="486" spans="9:10" x14ac:dyDescent="0.2">
      <c r="I486" s="1125"/>
      <c r="J486" s="1125"/>
    </row>
    <row r="487" spans="9:10" x14ac:dyDescent="0.2">
      <c r="I487" s="1125"/>
      <c r="J487" s="1125"/>
    </row>
    <row r="488" spans="9:10" x14ac:dyDescent="0.2">
      <c r="I488" s="1125"/>
      <c r="J488" s="1125"/>
    </row>
    <row r="489" spans="9:10" x14ac:dyDescent="0.2">
      <c r="I489" s="1125"/>
      <c r="J489" s="1125"/>
    </row>
    <row r="490" spans="9:10" x14ac:dyDescent="0.2">
      <c r="I490" s="1125"/>
      <c r="J490" s="1125"/>
    </row>
    <row r="491" spans="9:10" x14ac:dyDescent="0.2">
      <c r="I491" s="1125"/>
      <c r="J491" s="1125"/>
    </row>
    <row r="492" spans="9:10" x14ac:dyDescent="0.2">
      <c r="I492" s="1125"/>
      <c r="J492" s="1125"/>
    </row>
    <row r="493" spans="9:10" x14ac:dyDescent="0.2">
      <c r="I493" s="1125"/>
      <c r="J493" s="1125"/>
    </row>
    <row r="494" spans="9:10" x14ac:dyDescent="0.2">
      <c r="I494" s="1125"/>
      <c r="J494" s="1125"/>
    </row>
    <row r="495" spans="9:10" x14ac:dyDescent="0.2">
      <c r="I495" s="1125"/>
      <c r="J495" s="1125"/>
    </row>
    <row r="496" spans="9:10" x14ac:dyDescent="0.2">
      <c r="I496" s="1125"/>
      <c r="J496" s="1125"/>
    </row>
    <row r="497" spans="9:10" x14ac:dyDescent="0.2">
      <c r="I497" s="1125"/>
      <c r="J497" s="1125"/>
    </row>
    <row r="498" spans="9:10" x14ac:dyDescent="0.2">
      <c r="I498" s="1125"/>
      <c r="J498" s="1125"/>
    </row>
    <row r="499" spans="9:10" x14ac:dyDescent="0.2">
      <c r="I499" s="1125"/>
      <c r="J499" s="1125"/>
    </row>
    <row r="500" spans="9:10" x14ac:dyDescent="0.2">
      <c r="I500" s="1125"/>
      <c r="J500" s="1125"/>
    </row>
    <row r="501" spans="9:10" x14ac:dyDescent="0.2">
      <c r="I501" s="1125"/>
      <c r="J501" s="1125"/>
    </row>
    <row r="502" spans="9:10" x14ac:dyDescent="0.2">
      <c r="I502" s="1125"/>
      <c r="J502" s="1125"/>
    </row>
    <row r="503" spans="9:10" x14ac:dyDescent="0.2">
      <c r="I503" s="1125"/>
      <c r="J503" s="1125"/>
    </row>
    <row r="504" spans="9:10" x14ac:dyDescent="0.2">
      <c r="I504" s="1125"/>
      <c r="J504" s="1125"/>
    </row>
    <row r="505" spans="9:10" x14ac:dyDescent="0.2">
      <c r="I505" s="1125"/>
      <c r="J505" s="1125"/>
    </row>
    <row r="506" spans="9:10" x14ac:dyDescent="0.2">
      <c r="I506" s="1125"/>
      <c r="J506" s="1125"/>
    </row>
    <row r="507" spans="9:10" x14ac:dyDescent="0.2">
      <c r="I507" s="1125"/>
      <c r="J507" s="1125"/>
    </row>
    <row r="508" spans="9:10" x14ac:dyDescent="0.2">
      <c r="I508" s="1125"/>
      <c r="J508" s="1125"/>
    </row>
    <row r="509" spans="9:10" x14ac:dyDescent="0.2">
      <c r="I509" s="1125"/>
      <c r="J509" s="1125"/>
    </row>
    <row r="510" spans="9:10" x14ac:dyDescent="0.2">
      <c r="I510" s="1125"/>
      <c r="J510" s="1125"/>
    </row>
    <row r="511" spans="9:10" x14ac:dyDescent="0.2">
      <c r="I511" s="1125"/>
      <c r="J511" s="1125"/>
    </row>
    <row r="512" spans="9:10" x14ac:dyDescent="0.2">
      <c r="I512" s="1125"/>
      <c r="J512" s="1125"/>
    </row>
    <row r="513" spans="9:10" x14ac:dyDescent="0.2">
      <c r="I513" s="1125"/>
      <c r="J513" s="1125"/>
    </row>
    <row r="514" spans="9:10" x14ac:dyDescent="0.2">
      <c r="I514" s="1125"/>
      <c r="J514" s="1125"/>
    </row>
    <row r="515" spans="9:10" x14ac:dyDescent="0.2">
      <c r="I515" s="1125"/>
      <c r="J515" s="1125"/>
    </row>
    <row r="516" spans="9:10" x14ac:dyDescent="0.2">
      <c r="I516" s="1125"/>
      <c r="J516" s="1125"/>
    </row>
    <row r="517" spans="9:10" x14ac:dyDescent="0.2">
      <c r="I517" s="1125"/>
      <c r="J517" s="1125"/>
    </row>
    <row r="518" spans="9:10" x14ac:dyDescent="0.2">
      <c r="I518" s="1125"/>
      <c r="J518" s="1125"/>
    </row>
    <row r="519" spans="9:10" x14ac:dyDescent="0.2">
      <c r="I519" s="1125"/>
      <c r="J519" s="1125"/>
    </row>
    <row r="520" spans="9:10" x14ac:dyDescent="0.2">
      <c r="I520" s="1125"/>
      <c r="J520" s="1125"/>
    </row>
    <row r="521" spans="9:10" x14ac:dyDescent="0.2">
      <c r="I521" s="1125"/>
      <c r="J521" s="1125"/>
    </row>
    <row r="522" spans="9:10" x14ac:dyDescent="0.2">
      <c r="I522" s="1125"/>
      <c r="J522" s="1125"/>
    </row>
    <row r="523" spans="9:10" x14ac:dyDescent="0.2">
      <c r="I523" s="1125"/>
      <c r="J523" s="1125"/>
    </row>
    <row r="524" spans="9:10" x14ac:dyDescent="0.2">
      <c r="I524" s="1125"/>
      <c r="J524" s="1125"/>
    </row>
    <row r="525" spans="9:10" x14ac:dyDescent="0.2">
      <c r="I525" s="1125"/>
      <c r="J525" s="1125"/>
    </row>
    <row r="526" spans="9:10" x14ac:dyDescent="0.2">
      <c r="I526" s="1125"/>
      <c r="J526" s="1125"/>
    </row>
    <row r="527" spans="9:10" x14ac:dyDescent="0.2">
      <c r="I527" s="1125"/>
      <c r="J527" s="1125"/>
    </row>
    <row r="528" spans="9:10" x14ac:dyDescent="0.2">
      <c r="I528" s="1125"/>
      <c r="J528" s="1125"/>
    </row>
    <row r="529" spans="9:10" x14ac:dyDescent="0.2">
      <c r="I529" s="1125"/>
      <c r="J529" s="1125"/>
    </row>
    <row r="530" spans="9:10" x14ac:dyDescent="0.2">
      <c r="I530" s="1125"/>
      <c r="J530" s="1125"/>
    </row>
    <row r="531" spans="9:10" x14ac:dyDescent="0.2">
      <c r="I531" s="1125"/>
      <c r="J531" s="1125"/>
    </row>
    <row r="532" spans="9:10" x14ac:dyDescent="0.2">
      <c r="I532" s="1125"/>
      <c r="J532" s="1125"/>
    </row>
    <row r="533" spans="9:10" x14ac:dyDescent="0.2">
      <c r="I533" s="1125"/>
      <c r="J533" s="1125"/>
    </row>
    <row r="534" spans="9:10" x14ac:dyDescent="0.2">
      <c r="I534" s="1125"/>
      <c r="J534" s="1125"/>
    </row>
    <row r="535" spans="9:10" x14ac:dyDescent="0.2">
      <c r="I535" s="1125"/>
      <c r="J535" s="1125"/>
    </row>
    <row r="536" spans="9:10" x14ac:dyDescent="0.2">
      <c r="I536" s="1125"/>
      <c r="J536" s="1125"/>
    </row>
    <row r="537" spans="9:10" x14ac:dyDescent="0.2">
      <c r="I537" s="1125"/>
      <c r="J537" s="1125"/>
    </row>
    <row r="538" spans="9:10" x14ac:dyDescent="0.2">
      <c r="I538" s="1125"/>
      <c r="J538" s="1125"/>
    </row>
    <row r="539" spans="9:10" x14ac:dyDescent="0.2">
      <c r="I539" s="1125"/>
      <c r="J539" s="1125"/>
    </row>
    <row r="540" spans="9:10" x14ac:dyDescent="0.2">
      <c r="I540" s="1125"/>
      <c r="J540" s="1125"/>
    </row>
    <row r="541" spans="9:10" x14ac:dyDescent="0.2">
      <c r="I541" s="1125"/>
      <c r="J541" s="1125"/>
    </row>
    <row r="542" spans="9:10" x14ac:dyDescent="0.2">
      <c r="I542" s="1125"/>
      <c r="J542" s="1125"/>
    </row>
    <row r="543" spans="9:10" x14ac:dyDescent="0.2">
      <c r="I543" s="1125"/>
      <c r="J543" s="1125"/>
    </row>
    <row r="544" spans="9:10" x14ac:dyDescent="0.2">
      <c r="I544" s="1125"/>
      <c r="J544" s="1125"/>
    </row>
    <row r="545" spans="9:10" x14ac:dyDescent="0.2">
      <c r="I545" s="1125"/>
      <c r="J545" s="1125"/>
    </row>
    <row r="546" spans="9:10" x14ac:dyDescent="0.2">
      <c r="I546" s="1125"/>
      <c r="J546" s="1125"/>
    </row>
    <row r="547" spans="9:10" x14ac:dyDescent="0.2">
      <c r="I547" s="1125"/>
      <c r="J547" s="1125"/>
    </row>
    <row r="548" spans="9:10" x14ac:dyDescent="0.2">
      <c r="I548" s="1125"/>
      <c r="J548" s="1125"/>
    </row>
    <row r="549" spans="9:10" x14ac:dyDescent="0.2">
      <c r="I549" s="1125"/>
      <c r="J549" s="1125"/>
    </row>
    <row r="550" spans="9:10" x14ac:dyDescent="0.2">
      <c r="I550" s="1125"/>
      <c r="J550" s="1125"/>
    </row>
    <row r="551" spans="9:10" x14ac:dyDescent="0.2">
      <c r="I551" s="1125"/>
      <c r="J551" s="1125"/>
    </row>
    <row r="552" spans="9:10" x14ac:dyDescent="0.2">
      <c r="I552" s="1125"/>
      <c r="J552" s="1125"/>
    </row>
    <row r="553" spans="9:10" x14ac:dyDescent="0.2">
      <c r="I553" s="1125"/>
      <c r="J553" s="1125"/>
    </row>
    <row r="554" spans="9:10" x14ac:dyDescent="0.2">
      <c r="I554" s="1125"/>
      <c r="J554" s="1125"/>
    </row>
    <row r="555" spans="9:10" x14ac:dyDescent="0.2">
      <c r="I555" s="1125"/>
      <c r="J555" s="1125"/>
    </row>
    <row r="556" spans="9:10" x14ac:dyDescent="0.2">
      <c r="I556" s="1125"/>
      <c r="J556" s="1125"/>
    </row>
    <row r="557" spans="9:10" x14ac:dyDescent="0.2">
      <c r="I557" s="1125"/>
      <c r="J557" s="1125"/>
    </row>
    <row r="558" spans="9:10" x14ac:dyDescent="0.2">
      <c r="I558" s="1125"/>
      <c r="J558" s="1125"/>
    </row>
    <row r="559" spans="9:10" x14ac:dyDescent="0.2">
      <c r="I559" s="1125"/>
      <c r="J559" s="1125"/>
    </row>
    <row r="560" spans="9:10" x14ac:dyDescent="0.2">
      <c r="I560" s="1125"/>
      <c r="J560" s="1125"/>
    </row>
    <row r="561" spans="9:10" x14ac:dyDescent="0.2">
      <c r="I561" s="1125"/>
      <c r="J561" s="1125"/>
    </row>
    <row r="562" spans="9:10" x14ac:dyDescent="0.2">
      <c r="I562" s="1125"/>
      <c r="J562" s="1125"/>
    </row>
    <row r="563" spans="9:10" x14ac:dyDescent="0.2">
      <c r="I563" s="1125"/>
      <c r="J563" s="1125"/>
    </row>
    <row r="564" spans="9:10" x14ac:dyDescent="0.2">
      <c r="I564" s="1125"/>
      <c r="J564" s="1125"/>
    </row>
    <row r="565" spans="9:10" x14ac:dyDescent="0.2">
      <c r="I565" s="1125"/>
      <c r="J565" s="1125"/>
    </row>
    <row r="566" spans="9:10" x14ac:dyDescent="0.2">
      <c r="I566" s="1125"/>
      <c r="J566" s="1125"/>
    </row>
    <row r="567" spans="9:10" x14ac:dyDescent="0.2">
      <c r="I567" s="1125"/>
      <c r="J567" s="1125"/>
    </row>
    <row r="568" spans="9:10" x14ac:dyDescent="0.2">
      <c r="I568" s="1125"/>
      <c r="J568" s="1125"/>
    </row>
    <row r="569" spans="9:10" x14ac:dyDescent="0.2">
      <c r="I569" s="1125"/>
      <c r="J569" s="1125"/>
    </row>
    <row r="570" spans="9:10" x14ac:dyDescent="0.2">
      <c r="I570" s="1125"/>
      <c r="J570" s="1125"/>
    </row>
    <row r="571" spans="9:10" x14ac:dyDescent="0.2">
      <c r="I571" s="1125"/>
      <c r="J571" s="1125"/>
    </row>
    <row r="572" spans="9:10" x14ac:dyDescent="0.2">
      <c r="I572" s="1125"/>
      <c r="J572" s="1125"/>
    </row>
    <row r="573" spans="9:10" x14ac:dyDescent="0.2">
      <c r="I573" s="1125"/>
      <c r="J573" s="1125"/>
    </row>
    <row r="574" spans="9:10" x14ac:dyDescent="0.2">
      <c r="I574" s="1125"/>
      <c r="J574" s="1125"/>
    </row>
    <row r="575" spans="9:10" x14ac:dyDescent="0.2">
      <c r="I575" s="1125"/>
      <c r="J575" s="1125"/>
    </row>
    <row r="576" spans="9:10" x14ac:dyDescent="0.2">
      <c r="I576" s="1125"/>
      <c r="J576" s="1125"/>
    </row>
    <row r="577" spans="9:10" x14ac:dyDescent="0.2">
      <c r="I577" s="1125"/>
      <c r="J577" s="1125"/>
    </row>
    <row r="578" spans="9:10" x14ac:dyDescent="0.2">
      <c r="I578" s="1125"/>
      <c r="J578" s="1125"/>
    </row>
    <row r="579" spans="9:10" x14ac:dyDescent="0.2">
      <c r="I579" s="1125"/>
      <c r="J579" s="1125"/>
    </row>
    <row r="580" spans="9:10" x14ac:dyDescent="0.2">
      <c r="I580" s="1125"/>
      <c r="J580" s="1125"/>
    </row>
    <row r="581" spans="9:10" x14ac:dyDescent="0.2">
      <c r="I581" s="1125"/>
      <c r="J581" s="1125"/>
    </row>
    <row r="582" spans="9:10" x14ac:dyDescent="0.2">
      <c r="I582" s="1125"/>
      <c r="J582" s="1125"/>
    </row>
    <row r="583" spans="9:10" x14ac:dyDescent="0.2">
      <c r="I583" s="1125"/>
      <c r="J583" s="1125"/>
    </row>
    <row r="584" spans="9:10" x14ac:dyDescent="0.2">
      <c r="I584" s="1125"/>
      <c r="J584" s="1125"/>
    </row>
    <row r="585" spans="9:10" x14ac:dyDescent="0.2">
      <c r="I585" s="1125"/>
      <c r="J585" s="1125"/>
    </row>
    <row r="586" spans="9:10" x14ac:dyDescent="0.2">
      <c r="I586" s="1125"/>
      <c r="J586" s="1125"/>
    </row>
    <row r="587" spans="9:10" x14ac:dyDescent="0.2">
      <c r="I587" s="1125"/>
      <c r="J587" s="1125"/>
    </row>
    <row r="588" spans="9:10" x14ac:dyDescent="0.2">
      <c r="I588" s="1125"/>
      <c r="J588" s="1125"/>
    </row>
    <row r="589" spans="9:10" x14ac:dyDescent="0.2">
      <c r="I589" s="1125"/>
      <c r="J589" s="1125"/>
    </row>
    <row r="590" spans="9:10" x14ac:dyDescent="0.2">
      <c r="I590" s="1125"/>
      <c r="J590" s="1125"/>
    </row>
    <row r="591" spans="9:10" x14ac:dyDescent="0.2">
      <c r="I591" s="1125"/>
      <c r="J591" s="1125"/>
    </row>
    <row r="592" spans="9:10" x14ac:dyDescent="0.2">
      <c r="I592" s="1125"/>
      <c r="J592" s="1125"/>
    </row>
    <row r="593" spans="9:10" x14ac:dyDescent="0.2">
      <c r="I593" s="1125"/>
      <c r="J593" s="1125"/>
    </row>
    <row r="594" spans="9:10" x14ac:dyDescent="0.2">
      <c r="I594" s="1125"/>
      <c r="J594" s="1125"/>
    </row>
    <row r="595" spans="9:10" x14ac:dyDescent="0.2">
      <c r="I595" s="1125"/>
      <c r="J595" s="1125"/>
    </row>
    <row r="596" spans="9:10" x14ac:dyDescent="0.2">
      <c r="I596" s="1125"/>
      <c r="J596" s="1125"/>
    </row>
    <row r="597" spans="9:10" x14ac:dyDescent="0.2">
      <c r="I597" s="1125"/>
      <c r="J597" s="1125"/>
    </row>
    <row r="598" spans="9:10" x14ac:dyDescent="0.2">
      <c r="I598" s="1125"/>
      <c r="J598" s="1125"/>
    </row>
    <row r="599" spans="9:10" x14ac:dyDescent="0.2">
      <c r="I599" s="1125"/>
      <c r="J599" s="1125"/>
    </row>
    <row r="600" spans="9:10" x14ac:dyDescent="0.2">
      <c r="I600" s="1125"/>
      <c r="J600" s="1125"/>
    </row>
    <row r="601" spans="9:10" x14ac:dyDescent="0.2">
      <c r="I601" s="1125"/>
      <c r="J601" s="1125"/>
    </row>
    <row r="602" spans="9:10" x14ac:dyDescent="0.2">
      <c r="I602" s="1125"/>
      <c r="J602" s="1125"/>
    </row>
    <row r="603" spans="9:10" x14ac:dyDescent="0.2">
      <c r="I603" s="1125"/>
      <c r="J603" s="1125"/>
    </row>
    <row r="604" spans="9:10" x14ac:dyDescent="0.2">
      <c r="I604" s="1125"/>
      <c r="J604" s="1125"/>
    </row>
    <row r="605" spans="9:10" x14ac:dyDescent="0.2">
      <c r="I605" s="1125"/>
      <c r="J605" s="1125"/>
    </row>
    <row r="606" spans="9:10" x14ac:dyDescent="0.2">
      <c r="I606" s="1125"/>
      <c r="J606" s="1125"/>
    </row>
    <row r="607" spans="9:10" x14ac:dyDescent="0.2">
      <c r="I607" s="1125"/>
      <c r="J607" s="1125"/>
    </row>
    <row r="608" spans="9:10" x14ac:dyDescent="0.2">
      <c r="I608" s="1125"/>
      <c r="J608" s="1125"/>
    </row>
    <row r="609" spans="9:10" x14ac:dyDescent="0.2">
      <c r="I609" s="1125"/>
      <c r="J609" s="1125"/>
    </row>
    <row r="610" spans="9:10" x14ac:dyDescent="0.2">
      <c r="I610" s="1125"/>
      <c r="J610" s="1125"/>
    </row>
    <row r="611" spans="9:10" x14ac:dyDescent="0.2">
      <c r="I611" s="1125"/>
      <c r="J611" s="1125"/>
    </row>
    <row r="612" spans="9:10" x14ac:dyDescent="0.2">
      <c r="I612" s="1125"/>
      <c r="J612" s="1125"/>
    </row>
    <row r="613" spans="9:10" x14ac:dyDescent="0.2">
      <c r="I613" s="1125"/>
      <c r="J613" s="1125"/>
    </row>
    <row r="614" spans="9:10" x14ac:dyDescent="0.2">
      <c r="I614" s="1125"/>
      <c r="J614" s="1125"/>
    </row>
    <row r="615" spans="9:10" x14ac:dyDescent="0.2">
      <c r="I615" s="1125"/>
      <c r="J615" s="1125"/>
    </row>
    <row r="616" spans="9:10" x14ac:dyDescent="0.2">
      <c r="I616" s="1125"/>
      <c r="J616" s="1125"/>
    </row>
    <row r="617" spans="9:10" x14ac:dyDescent="0.2">
      <c r="I617" s="1125"/>
      <c r="J617" s="1125"/>
    </row>
    <row r="618" spans="9:10" x14ac:dyDescent="0.2">
      <c r="I618" s="1125"/>
      <c r="J618" s="1125"/>
    </row>
    <row r="619" spans="9:10" x14ac:dyDescent="0.2">
      <c r="I619" s="1125"/>
      <c r="J619" s="1125"/>
    </row>
    <row r="620" spans="9:10" x14ac:dyDescent="0.2">
      <c r="I620" s="1125"/>
      <c r="J620" s="1125"/>
    </row>
    <row r="621" spans="9:10" x14ac:dyDescent="0.2">
      <c r="I621" s="1125"/>
      <c r="J621" s="1125"/>
    </row>
    <row r="622" spans="9:10" x14ac:dyDescent="0.2">
      <c r="I622" s="1125"/>
      <c r="J622" s="1125"/>
    </row>
    <row r="623" spans="9:10" x14ac:dyDescent="0.2">
      <c r="I623" s="1125"/>
      <c r="J623" s="1125"/>
    </row>
    <row r="624" spans="9:10" x14ac:dyDescent="0.2">
      <c r="I624" s="1125"/>
      <c r="J624" s="1125"/>
    </row>
    <row r="625" spans="9:10" x14ac:dyDescent="0.2">
      <c r="I625" s="1125"/>
      <c r="J625" s="1125"/>
    </row>
    <row r="626" spans="9:10" x14ac:dyDescent="0.2">
      <c r="I626" s="1125"/>
      <c r="J626" s="1125"/>
    </row>
    <row r="627" spans="9:10" x14ac:dyDescent="0.2">
      <c r="I627" s="1125"/>
      <c r="J627" s="1125"/>
    </row>
    <row r="628" spans="9:10" x14ac:dyDescent="0.2">
      <c r="I628" s="1125"/>
      <c r="J628" s="1125"/>
    </row>
    <row r="629" spans="9:10" x14ac:dyDescent="0.2">
      <c r="I629" s="1125"/>
      <c r="J629" s="1125"/>
    </row>
    <row r="630" spans="9:10" x14ac:dyDescent="0.2">
      <c r="I630" s="1125"/>
      <c r="J630" s="1125"/>
    </row>
    <row r="631" spans="9:10" x14ac:dyDescent="0.2">
      <c r="I631" s="1125"/>
      <c r="J631" s="1125"/>
    </row>
    <row r="632" spans="9:10" x14ac:dyDescent="0.2">
      <c r="I632" s="1125"/>
      <c r="J632" s="1125"/>
    </row>
    <row r="633" spans="9:10" x14ac:dyDescent="0.2">
      <c r="I633" s="1125"/>
      <c r="J633" s="1125"/>
    </row>
    <row r="634" spans="9:10" x14ac:dyDescent="0.2">
      <c r="I634" s="1125"/>
      <c r="J634" s="1125"/>
    </row>
    <row r="635" spans="9:10" x14ac:dyDescent="0.2">
      <c r="I635" s="1125"/>
      <c r="J635" s="1125"/>
    </row>
    <row r="636" spans="9:10" x14ac:dyDescent="0.2">
      <c r="I636" s="1125"/>
      <c r="J636" s="1125"/>
    </row>
    <row r="637" spans="9:10" x14ac:dyDescent="0.2">
      <c r="I637" s="1125"/>
      <c r="J637" s="1125"/>
    </row>
    <row r="638" spans="9:10" x14ac:dyDescent="0.2">
      <c r="I638" s="1125"/>
      <c r="J638" s="1125"/>
    </row>
    <row r="639" spans="9:10" x14ac:dyDescent="0.2">
      <c r="I639" s="1125"/>
      <c r="J639" s="1125"/>
    </row>
    <row r="640" spans="9:10" x14ac:dyDescent="0.2">
      <c r="I640" s="1125"/>
      <c r="J640" s="1125"/>
    </row>
    <row r="641" spans="9:10" x14ac:dyDescent="0.2">
      <c r="I641" s="1125"/>
      <c r="J641" s="1125"/>
    </row>
    <row r="642" spans="9:10" x14ac:dyDescent="0.2">
      <c r="I642" s="1125"/>
      <c r="J642" s="1125"/>
    </row>
    <row r="643" spans="9:10" x14ac:dyDescent="0.2">
      <c r="I643" s="1125"/>
      <c r="J643" s="1125"/>
    </row>
    <row r="644" spans="9:10" x14ac:dyDescent="0.2">
      <c r="I644" s="1125"/>
      <c r="J644" s="1125"/>
    </row>
    <row r="645" spans="9:10" x14ac:dyDescent="0.2">
      <c r="I645" s="1125"/>
      <c r="J645" s="1125"/>
    </row>
    <row r="646" spans="9:10" x14ac:dyDescent="0.2">
      <c r="I646" s="1125"/>
      <c r="J646" s="1125"/>
    </row>
    <row r="647" spans="9:10" x14ac:dyDescent="0.2">
      <c r="I647" s="1125"/>
      <c r="J647" s="1125"/>
    </row>
    <row r="648" spans="9:10" x14ac:dyDescent="0.2">
      <c r="I648" s="1125"/>
      <c r="J648" s="1125"/>
    </row>
    <row r="649" spans="9:10" x14ac:dyDescent="0.2">
      <c r="I649" s="1125"/>
      <c r="J649" s="1125"/>
    </row>
    <row r="650" spans="9:10" x14ac:dyDescent="0.2">
      <c r="I650" s="1125"/>
      <c r="J650" s="1125"/>
    </row>
    <row r="651" spans="9:10" x14ac:dyDescent="0.2">
      <c r="I651" s="1125"/>
      <c r="J651" s="1125"/>
    </row>
    <row r="652" spans="9:10" x14ac:dyDescent="0.2">
      <c r="I652" s="1125"/>
      <c r="J652" s="1125"/>
    </row>
    <row r="653" spans="9:10" x14ac:dyDescent="0.2">
      <c r="I653" s="1125"/>
      <c r="J653" s="1125"/>
    </row>
    <row r="654" spans="9:10" x14ac:dyDescent="0.2">
      <c r="I654" s="1125"/>
      <c r="J654" s="1125"/>
    </row>
    <row r="655" spans="9:10" x14ac:dyDescent="0.2">
      <c r="I655" s="1125"/>
      <c r="J655" s="1125"/>
    </row>
    <row r="656" spans="9:10" x14ac:dyDescent="0.2">
      <c r="I656" s="1125"/>
      <c r="J656" s="1125"/>
    </row>
    <row r="657" spans="9:10" x14ac:dyDescent="0.2">
      <c r="I657" s="1125"/>
      <c r="J657" s="1125"/>
    </row>
    <row r="658" spans="9:10" x14ac:dyDescent="0.2">
      <c r="I658" s="1125"/>
      <c r="J658" s="1125"/>
    </row>
    <row r="659" spans="9:10" x14ac:dyDescent="0.2">
      <c r="I659" s="1125"/>
      <c r="J659" s="1125"/>
    </row>
    <row r="660" spans="9:10" x14ac:dyDescent="0.2">
      <c r="I660" s="1125"/>
      <c r="J660" s="1125"/>
    </row>
    <row r="661" spans="9:10" x14ac:dyDescent="0.2">
      <c r="I661" s="1125"/>
      <c r="J661" s="1125"/>
    </row>
    <row r="662" spans="9:10" x14ac:dyDescent="0.2">
      <c r="I662" s="1125"/>
      <c r="J662" s="1125"/>
    </row>
    <row r="663" spans="9:10" x14ac:dyDescent="0.2">
      <c r="I663" s="1125"/>
      <c r="J663" s="1125"/>
    </row>
    <row r="664" spans="9:10" x14ac:dyDescent="0.2">
      <c r="I664" s="1125"/>
      <c r="J664" s="1125"/>
    </row>
    <row r="665" spans="9:10" x14ac:dyDescent="0.2">
      <c r="I665" s="1125"/>
      <c r="J665" s="1125"/>
    </row>
    <row r="666" spans="9:10" x14ac:dyDescent="0.2">
      <c r="I666" s="1125"/>
      <c r="J666" s="1125"/>
    </row>
    <row r="667" spans="9:10" x14ac:dyDescent="0.2">
      <c r="I667" s="1125"/>
      <c r="J667" s="1125"/>
    </row>
    <row r="668" spans="9:10" x14ac:dyDescent="0.2">
      <c r="I668" s="1125"/>
      <c r="J668" s="1125"/>
    </row>
    <row r="669" spans="9:10" x14ac:dyDescent="0.2">
      <c r="I669" s="1125"/>
      <c r="J669" s="1125"/>
    </row>
    <row r="670" spans="9:10" x14ac:dyDescent="0.2">
      <c r="I670" s="1125"/>
      <c r="J670" s="1125"/>
    </row>
    <row r="671" spans="9:10" x14ac:dyDescent="0.2">
      <c r="I671" s="1125"/>
      <c r="J671" s="1125"/>
    </row>
    <row r="672" spans="9:10" x14ac:dyDescent="0.2">
      <c r="I672" s="1125"/>
      <c r="J672" s="1125"/>
    </row>
    <row r="673" spans="9:10" x14ac:dyDescent="0.2">
      <c r="I673" s="1125"/>
      <c r="J673" s="1125"/>
    </row>
    <row r="674" spans="9:10" x14ac:dyDescent="0.2">
      <c r="I674" s="1125"/>
      <c r="J674" s="1125"/>
    </row>
    <row r="675" spans="9:10" x14ac:dyDescent="0.2">
      <c r="I675" s="1125"/>
      <c r="J675" s="1125"/>
    </row>
    <row r="676" spans="9:10" x14ac:dyDescent="0.2">
      <c r="I676" s="1125"/>
      <c r="J676" s="1125"/>
    </row>
    <row r="677" spans="9:10" x14ac:dyDescent="0.2">
      <c r="I677" s="1125"/>
      <c r="J677" s="1125"/>
    </row>
    <row r="678" spans="9:10" x14ac:dyDescent="0.2">
      <c r="I678" s="1125"/>
      <c r="J678" s="1125"/>
    </row>
    <row r="679" spans="9:10" x14ac:dyDescent="0.2">
      <c r="I679" s="1125"/>
      <c r="J679" s="1125"/>
    </row>
    <row r="680" spans="9:10" x14ac:dyDescent="0.2">
      <c r="I680" s="1125"/>
      <c r="J680" s="1125"/>
    </row>
    <row r="681" spans="9:10" x14ac:dyDescent="0.2">
      <c r="I681" s="1125"/>
      <c r="J681" s="1125"/>
    </row>
    <row r="682" spans="9:10" x14ac:dyDescent="0.2">
      <c r="I682" s="1125"/>
      <c r="J682" s="1125"/>
    </row>
    <row r="683" spans="9:10" x14ac:dyDescent="0.2">
      <c r="I683" s="1125"/>
      <c r="J683" s="1125"/>
    </row>
    <row r="684" spans="9:10" x14ac:dyDescent="0.2">
      <c r="I684" s="1125"/>
      <c r="J684" s="1125"/>
    </row>
    <row r="685" spans="9:10" x14ac:dyDescent="0.2">
      <c r="I685" s="1125"/>
      <c r="J685" s="1125"/>
    </row>
    <row r="686" spans="9:10" x14ac:dyDescent="0.2">
      <c r="I686" s="1125"/>
      <c r="J686" s="1125"/>
    </row>
    <row r="687" spans="9:10" x14ac:dyDescent="0.2">
      <c r="I687" s="1125"/>
      <c r="J687" s="1125"/>
    </row>
    <row r="688" spans="9:10" x14ac:dyDescent="0.2">
      <c r="I688" s="1125"/>
      <c r="J688" s="1125"/>
    </row>
    <row r="689" spans="9:10" x14ac:dyDescent="0.2">
      <c r="I689" s="1125"/>
      <c r="J689" s="1125"/>
    </row>
    <row r="690" spans="9:10" x14ac:dyDescent="0.2">
      <c r="I690" s="1125"/>
      <c r="J690" s="1125"/>
    </row>
    <row r="691" spans="9:10" x14ac:dyDescent="0.2">
      <c r="I691" s="1125"/>
      <c r="J691" s="1125"/>
    </row>
    <row r="692" spans="9:10" x14ac:dyDescent="0.2">
      <c r="I692" s="1125"/>
      <c r="J692" s="1125"/>
    </row>
    <row r="693" spans="9:10" x14ac:dyDescent="0.2">
      <c r="I693" s="1125"/>
      <c r="J693" s="1125"/>
    </row>
    <row r="694" spans="9:10" x14ac:dyDescent="0.2">
      <c r="I694" s="1125"/>
      <c r="J694" s="1125"/>
    </row>
    <row r="695" spans="9:10" x14ac:dyDescent="0.2">
      <c r="I695" s="1125"/>
      <c r="J695" s="1125"/>
    </row>
    <row r="696" spans="9:10" x14ac:dyDescent="0.2">
      <c r="I696" s="1125"/>
      <c r="J696" s="1125"/>
    </row>
    <row r="697" spans="9:10" x14ac:dyDescent="0.2">
      <c r="I697" s="1125"/>
      <c r="J697" s="1125"/>
    </row>
    <row r="698" spans="9:10" x14ac:dyDescent="0.2">
      <c r="I698" s="1125"/>
      <c r="J698" s="1125"/>
    </row>
    <row r="699" spans="9:10" x14ac:dyDescent="0.2">
      <c r="I699" s="1125"/>
      <c r="J699" s="1125"/>
    </row>
    <row r="700" spans="9:10" x14ac:dyDescent="0.2">
      <c r="I700" s="1125"/>
      <c r="J700" s="1125"/>
    </row>
    <row r="701" spans="9:10" x14ac:dyDescent="0.2">
      <c r="I701" s="1125"/>
      <c r="J701" s="1125"/>
    </row>
    <row r="702" spans="9:10" x14ac:dyDescent="0.2">
      <c r="I702" s="1125"/>
      <c r="J702" s="1125"/>
    </row>
    <row r="703" spans="9:10" x14ac:dyDescent="0.2">
      <c r="I703" s="1125"/>
      <c r="J703" s="1125"/>
    </row>
    <row r="704" spans="9:10" x14ac:dyDescent="0.2">
      <c r="I704" s="1125"/>
      <c r="J704" s="1125"/>
    </row>
    <row r="705" spans="9:10" x14ac:dyDescent="0.2">
      <c r="I705" s="1125"/>
      <c r="J705" s="1125"/>
    </row>
    <row r="706" spans="9:10" x14ac:dyDescent="0.2">
      <c r="I706" s="1125"/>
      <c r="J706" s="1125"/>
    </row>
    <row r="707" spans="9:10" x14ac:dyDescent="0.2">
      <c r="I707" s="1125"/>
      <c r="J707" s="1125"/>
    </row>
    <row r="708" spans="9:10" x14ac:dyDescent="0.2">
      <c r="I708" s="1125"/>
      <c r="J708" s="1125"/>
    </row>
    <row r="709" spans="9:10" x14ac:dyDescent="0.2">
      <c r="I709" s="1125"/>
      <c r="J709" s="1125"/>
    </row>
    <row r="710" spans="9:10" x14ac:dyDescent="0.2">
      <c r="I710" s="1125"/>
      <c r="J710" s="1125"/>
    </row>
    <row r="711" spans="9:10" x14ac:dyDescent="0.2">
      <c r="I711" s="1125"/>
      <c r="J711" s="1125"/>
    </row>
    <row r="712" spans="9:10" x14ac:dyDescent="0.2">
      <c r="I712" s="1125"/>
      <c r="J712" s="1125"/>
    </row>
    <row r="713" spans="9:10" x14ac:dyDescent="0.2">
      <c r="I713" s="1125"/>
      <c r="J713" s="1125"/>
    </row>
    <row r="714" spans="9:10" x14ac:dyDescent="0.2">
      <c r="I714" s="1125"/>
      <c r="J714" s="1125"/>
    </row>
    <row r="715" spans="9:10" x14ac:dyDescent="0.2">
      <c r="I715" s="1125"/>
      <c r="J715" s="1125"/>
    </row>
    <row r="716" spans="9:10" x14ac:dyDescent="0.2">
      <c r="I716" s="1125"/>
      <c r="J716" s="1125"/>
    </row>
    <row r="717" spans="9:10" x14ac:dyDescent="0.2">
      <c r="I717" s="1125"/>
      <c r="J717" s="1125"/>
    </row>
    <row r="718" spans="9:10" x14ac:dyDescent="0.2">
      <c r="I718" s="1125"/>
      <c r="J718" s="1125"/>
    </row>
    <row r="719" spans="9:10" x14ac:dyDescent="0.2">
      <c r="I719" s="1125"/>
      <c r="J719" s="1125"/>
    </row>
    <row r="720" spans="9:10" x14ac:dyDescent="0.2">
      <c r="I720" s="1125"/>
      <c r="J720" s="1125"/>
    </row>
    <row r="721" spans="9:10" x14ac:dyDescent="0.2">
      <c r="I721" s="1125"/>
      <c r="J721" s="1125"/>
    </row>
    <row r="722" spans="9:10" x14ac:dyDescent="0.2">
      <c r="I722" s="1125"/>
      <c r="J722" s="1125"/>
    </row>
    <row r="723" spans="9:10" x14ac:dyDescent="0.2">
      <c r="I723" s="1125"/>
      <c r="J723" s="1125"/>
    </row>
    <row r="724" spans="9:10" x14ac:dyDescent="0.2">
      <c r="I724" s="1125"/>
      <c r="J724" s="1125"/>
    </row>
    <row r="725" spans="9:10" x14ac:dyDescent="0.2">
      <c r="I725" s="1125"/>
      <c r="J725" s="1125"/>
    </row>
    <row r="726" spans="9:10" x14ac:dyDescent="0.2">
      <c r="I726" s="1125"/>
      <c r="J726" s="1125"/>
    </row>
    <row r="727" spans="9:10" x14ac:dyDescent="0.2">
      <c r="I727" s="1125"/>
      <c r="J727" s="1125"/>
    </row>
    <row r="728" spans="9:10" x14ac:dyDescent="0.2">
      <c r="I728" s="1125"/>
      <c r="J728" s="1125"/>
    </row>
    <row r="729" spans="9:10" x14ac:dyDescent="0.2">
      <c r="I729" s="1125"/>
      <c r="J729" s="1125"/>
    </row>
    <row r="730" spans="9:10" x14ac:dyDescent="0.2">
      <c r="I730" s="1125"/>
      <c r="J730" s="1125"/>
    </row>
    <row r="731" spans="9:10" x14ac:dyDescent="0.2">
      <c r="I731" s="1125"/>
      <c r="J731" s="1125"/>
    </row>
    <row r="732" spans="9:10" x14ac:dyDescent="0.2">
      <c r="I732" s="1125"/>
      <c r="J732" s="1125"/>
    </row>
    <row r="733" spans="9:10" x14ac:dyDescent="0.2">
      <c r="I733" s="1125"/>
      <c r="J733" s="1125"/>
    </row>
    <row r="734" spans="9:10" x14ac:dyDescent="0.2">
      <c r="I734" s="1125"/>
      <c r="J734" s="1125"/>
    </row>
    <row r="735" spans="9:10" x14ac:dyDescent="0.2">
      <c r="I735" s="1125"/>
      <c r="J735" s="1125"/>
    </row>
    <row r="736" spans="9:10" x14ac:dyDescent="0.2">
      <c r="I736" s="1125"/>
      <c r="J736" s="1125"/>
    </row>
    <row r="737" spans="9:10" x14ac:dyDescent="0.2">
      <c r="I737" s="1125"/>
      <c r="J737" s="1125"/>
    </row>
    <row r="738" spans="9:10" x14ac:dyDescent="0.2">
      <c r="I738" s="1125"/>
      <c r="J738" s="1125"/>
    </row>
    <row r="739" spans="9:10" x14ac:dyDescent="0.2">
      <c r="I739" s="1125"/>
      <c r="J739" s="1125"/>
    </row>
    <row r="740" spans="9:10" x14ac:dyDescent="0.2">
      <c r="I740" s="1125"/>
      <c r="J740" s="1125"/>
    </row>
    <row r="741" spans="9:10" x14ac:dyDescent="0.2">
      <c r="I741" s="1125"/>
      <c r="J741" s="1125"/>
    </row>
    <row r="742" spans="9:10" x14ac:dyDescent="0.2">
      <c r="I742" s="1125"/>
      <c r="J742" s="1125"/>
    </row>
    <row r="743" spans="9:10" x14ac:dyDescent="0.2">
      <c r="I743" s="1125"/>
      <c r="J743" s="1125"/>
    </row>
    <row r="744" spans="9:10" x14ac:dyDescent="0.2">
      <c r="I744" s="1125"/>
      <c r="J744" s="1125"/>
    </row>
    <row r="745" spans="9:10" x14ac:dyDescent="0.2">
      <c r="I745" s="1125"/>
      <c r="J745" s="1125"/>
    </row>
    <row r="746" spans="9:10" x14ac:dyDescent="0.2">
      <c r="I746" s="1125"/>
      <c r="J746" s="1125"/>
    </row>
    <row r="747" spans="9:10" x14ac:dyDescent="0.2">
      <c r="I747" s="1125"/>
      <c r="J747" s="1125"/>
    </row>
    <row r="748" spans="9:10" x14ac:dyDescent="0.2">
      <c r="I748" s="1125"/>
      <c r="J748" s="1125"/>
    </row>
    <row r="749" spans="9:10" x14ac:dyDescent="0.2">
      <c r="I749" s="1125"/>
      <c r="J749" s="1125"/>
    </row>
    <row r="750" spans="9:10" x14ac:dyDescent="0.2">
      <c r="I750" s="1125"/>
      <c r="J750" s="1125"/>
    </row>
    <row r="751" spans="9:10" x14ac:dyDescent="0.2">
      <c r="I751" s="1125"/>
      <c r="J751" s="1125"/>
    </row>
    <row r="752" spans="9:10" x14ac:dyDescent="0.2">
      <c r="I752" s="1125"/>
      <c r="J752" s="1125"/>
    </row>
    <row r="753" spans="9:10" x14ac:dyDescent="0.2">
      <c r="I753" s="1125"/>
      <c r="J753" s="1125"/>
    </row>
    <row r="754" spans="9:10" x14ac:dyDescent="0.2">
      <c r="I754" s="1125"/>
      <c r="J754" s="1125"/>
    </row>
    <row r="755" spans="9:10" x14ac:dyDescent="0.2">
      <c r="I755" s="1125"/>
      <c r="J755" s="1125"/>
    </row>
    <row r="756" spans="9:10" x14ac:dyDescent="0.2">
      <c r="I756" s="1125"/>
      <c r="J756" s="1125"/>
    </row>
    <row r="757" spans="9:10" x14ac:dyDescent="0.2">
      <c r="I757" s="1125"/>
      <c r="J757" s="1125"/>
    </row>
    <row r="758" spans="9:10" x14ac:dyDescent="0.2">
      <c r="I758" s="1125"/>
      <c r="J758" s="1125"/>
    </row>
    <row r="759" spans="9:10" x14ac:dyDescent="0.2">
      <c r="I759" s="1125"/>
      <c r="J759" s="1125"/>
    </row>
    <row r="760" spans="9:10" x14ac:dyDescent="0.2">
      <c r="I760" s="1125"/>
      <c r="J760" s="1125"/>
    </row>
    <row r="761" spans="9:10" x14ac:dyDescent="0.2">
      <c r="I761" s="1125"/>
      <c r="J761" s="1125"/>
    </row>
    <row r="762" spans="9:10" x14ac:dyDescent="0.2">
      <c r="I762" s="1125"/>
      <c r="J762" s="1125"/>
    </row>
    <row r="763" spans="9:10" x14ac:dyDescent="0.2">
      <c r="I763" s="1125"/>
      <c r="J763" s="1125"/>
    </row>
    <row r="764" spans="9:10" x14ac:dyDescent="0.2">
      <c r="I764" s="1125"/>
      <c r="J764" s="1125"/>
    </row>
    <row r="765" spans="9:10" x14ac:dyDescent="0.2">
      <c r="I765" s="1125"/>
      <c r="J765" s="1125"/>
    </row>
    <row r="766" spans="9:10" x14ac:dyDescent="0.2">
      <c r="I766" s="1125"/>
      <c r="J766" s="1125"/>
    </row>
    <row r="767" spans="9:10" x14ac:dyDescent="0.2">
      <c r="I767" s="1125"/>
      <c r="J767" s="1125"/>
    </row>
    <row r="768" spans="9:10" x14ac:dyDescent="0.2">
      <c r="I768" s="1125"/>
      <c r="J768" s="1125"/>
    </row>
    <row r="769" spans="9:10" x14ac:dyDescent="0.2">
      <c r="I769" s="1125"/>
      <c r="J769" s="1125"/>
    </row>
    <row r="770" spans="9:10" x14ac:dyDescent="0.2">
      <c r="I770" s="1125"/>
      <c r="J770" s="1125"/>
    </row>
    <row r="771" spans="9:10" x14ac:dyDescent="0.2">
      <c r="I771" s="1125"/>
      <c r="J771" s="1125"/>
    </row>
    <row r="772" spans="9:10" x14ac:dyDescent="0.2">
      <c r="I772" s="1125"/>
      <c r="J772" s="1125"/>
    </row>
    <row r="773" spans="9:10" x14ac:dyDescent="0.2">
      <c r="I773" s="1125"/>
      <c r="J773" s="1125"/>
    </row>
    <row r="774" spans="9:10" x14ac:dyDescent="0.2">
      <c r="I774" s="1125"/>
      <c r="J774" s="1125"/>
    </row>
    <row r="775" spans="9:10" x14ac:dyDescent="0.2">
      <c r="I775" s="1125"/>
      <c r="J775" s="1125"/>
    </row>
    <row r="776" spans="9:10" x14ac:dyDescent="0.2">
      <c r="I776" s="1125"/>
      <c r="J776" s="1125"/>
    </row>
    <row r="777" spans="9:10" x14ac:dyDescent="0.2">
      <c r="I777" s="1125"/>
      <c r="J777" s="1125"/>
    </row>
    <row r="778" spans="9:10" x14ac:dyDescent="0.2">
      <c r="I778" s="1125"/>
      <c r="J778" s="1125"/>
    </row>
    <row r="779" spans="9:10" x14ac:dyDescent="0.2">
      <c r="I779" s="1125"/>
      <c r="J779" s="1125"/>
    </row>
    <row r="780" spans="9:10" x14ac:dyDescent="0.2">
      <c r="I780" s="1125"/>
      <c r="J780" s="1125"/>
    </row>
    <row r="781" spans="9:10" x14ac:dyDescent="0.2">
      <c r="I781" s="1125"/>
      <c r="J781" s="1125"/>
    </row>
    <row r="782" spans="9:10" x14ac:dyDescent="0.2">
      <c r="I782" s="1125"/>
      <c r="J782" s="1125"/>
    </row>
    <row r="783" spans="9:10" x14ac:dyDescent="0.2">
      <c r="I783" s="1125"/>
      <c r="J783" s="1125"/>
    </row>
    <row r="784" spans="9:10" x14ac:dyDescent="0.2">
      <c r="I784" s="1125"/>
      <c r="J784" s="1125"/>
    </row>
    <row r="785" spans="9:10" x14ac:dyDescent="0.2">
      <c r="I785" s="1125"/>
      <c r="J785" s="1125"/>
    </row>
    <row r="786" spans="9:10" x14ac:dyDescent="0.2">
      <c r="I786" s="1125"/>
      <c r="J786" s="1125"/>
    </row>
    <row r="787" spans="9:10" x14ac:dyDescent="0.2">
      <c r="I787" s="1125"/>
      <c r="J787" s="1125"/>
    </row>
    <row r="788" spans="9:10" x14ac:dyDescent="0.2">
      <c r="I788" s="1125"/>
      <c r="J788" s="1125"/>
    </row>
    <row r="789" spans="9:10" x14ac:dyDescent="0.2">
      <c r="I789" s="1125"/>
      <c r="J789" s="1125"/>
    </row>
    <row r="790" spans="9:10" x14ac:dyDescent="0.2">
      <c r="I790" s="1125"/>
      <c r="J790" s="1125"/>
    </row>
    <row r="791" spans="9:10" x14ac:dyDescent="0.2">
      <c r="I791" s="1125"/>
      <c r="J791" s="1125"/>
    </row>
    <row r="792" spans="9:10" x14ac:dyDescent="0.2">
      <c r="I792" s="1125"/>
      <c r="J792" s="1125"/>
    </row>
    <row r="793" spans="9:10" x14ac:dyDescent="0.2">
      <c r="I793" s="1125"/>
      <c r="J793" s="1125"/>
    </row>
    <row r="794" spans="9:10" x14ac:dyDescent="0.2">
      <c r="I794" s="1125"/>
      <c r="J794" s="1125"/>
    </row>
    <row r="795" spans="9:10" x14ac:dyDescent="0.2">
      <c r="I795" s="1125"/>
      <c r="J795" s="1125"/>
    </row>
    <row r="796" spans="9:10" x14ac:dyDescent="0.2">
      <c r="I796" s="1125"/>
      <c r="J796" s="1125"/>
    </row>
    <row r="797" spans="9:10" x14ac:dyDescent="0.2">
      <c r="I797" s="1125"/>
      <c r="J797" s="1125"/>
    </row>
    <row r="798" spans="9:10" x14ac:dyDescent="0.2">
      <c r="I798" s="1125"/>
      <c r="J798" s="1125"/>
    </row>
    <row r="799" spans="9:10" x14ac:dyDescent="0.2">
      <c r="I799" s="1125"/>
      <c r="J799" s="1125"/>
    </row>
    <row r="800" spans="9:10" x14ac:dyDescent="0.2">
      <c r="I800" s="1125"/>
      <c r="J800" s="1125"/>
    </row>
    <row r="801" spans="9:10" x14ac:dyDescent="0.2">
      <c r="I801" s="1125"/>
      <c r="J801" s="1125"/>
    </row>
    <row r="802" spans="9:10" x14ac:dyDescent="0.2">
      <c r="I802" s="1125"/>
      <c r="J802" s="1125"/>
    </row>
    <row r="803" spans="9:10" x14ac:dyDescent="0.2">
      <c r="I803" s="1125"/>
      <c r="J803" s="1125"/>
    </row>
    <row r="804" spans="9:10" x14ac:dyDescent="0.2">
      <c r="I804" s="1125"/>
      <c r="J804" s="1125"/>
    </row>
    <row r="805" spans="9:10" x14ac:dyDescent="0.2">
      <c r="I805" s="1125"/>
      <c r="J805" s="1125"/>
    </row>
    <row r="806" spans="9:10" x14ac:dyDescent="0.2">
      <c r="I806" s="1125"/>
      <c r="J806" s="1125"/>
    </row>
    <row r="807" spans="9:10" x14ac:dyDescent="0.2">
      <c r="I807" s="1125"/>
      <c r="J807" s="1125"/>
    </row>
    <row r="808" spans="9:10" x14ac:dyDescent="0.2">
      <c r="I808" s="1125"/>
      <c r="J808" s="1125"/>
    </row>
    <row r="809" spans="9:10" x14ac:dyDescent="0.2">
      <c r="I809" s="1125"/>
      <c r="J809" s="1125"/>
    </row>
    <row r="810" spans="9:10" x14ac:dyDescent="0.2">
      <c r="I810" s="1125"/>
      <c r="J810" s="1125"/>
    </row>
    <row r="811" spans="9:10" x14ac:dyDescent="0.2">
      <c r="I811" s="1125"/>
      <c r="J811" s="1125"/>
    </row>
    <row r="812" spans="9:10" x14ac:dyDescent="0.2">
      <c r="I812" s="1125"/>
      <c r="J812" s="1125"/>
    </row>
    <row r="813" spans="9:10" x14ac:dyDescent="0.2">
      <c r="I813" s="1125"/>
      <c r="J813" s="1125"/>
    </row>
    <row r="814" spans="9:10" x14ac:dyDescent="0.2">
      <c r="I814" s="1125"/>
      <c r="J814" s="1125"/>
    </row>
    <row r="815" spans="9:10" x14ac:dyDescent="0.2">
      <c r="I815" s="1125"/>
      <c r="J815" s="1125"/>
    </row>
    <row r="816" spans="9:10" x14ac:dyDescent="0.2">
      <c r="I816" s="1125"/>
      <c r="J816" s="1125"/>
    </row>
    <row r="817" spans="9:10" x14ac:dyDescent="0.2">
      <c r="I817" s="1125"/>
      <c r="J817" s="1125"/>
    </row>
    <row r="818" spans="9:10" x14ac:dyDescent="0.2">
      <c r="I818" s="1125"/>
      <c r="J818" s="1125"/>
    </row>
    <row r="819" spans="9:10" x14ac:dyDescent="0.2">
      <c r="I819" s="1125"/>
      <c r="J819" s="1125"/>
    </row>
    <row r="820" spans="9:10" x14ac:dyDescent="0.2">
      <c r="I820" s="1125"/>
      <c r="J820" s="1125"/>
    </row>
    <row r="821" spans="9:10" x14ac:dyDescent="0.2">
      <c r="I821" s="1125"/>
      <c r="J821" s="1125"/>
    </row>
    <row r="822" spans="9:10" x14ac:dyDescent="0.2">
      <c r="I822" s="1125"/>
      <c r="J822" s="1125"/>
    </row>
    <row r="823" spans="9:10" x14ac:dyDescent="0.2">
      <c r="I823" s="1125"/>
      <c r="J823" s="1125"/>
    </row>
    <row r="824" spans="9:10" x14ac:dyDescent="0.2">
      <c r="I824" s="1125"/>
      <c r="J824" s="1125"/>
    </row>
    <row r="825" spans="9:10" x14ac:dyDescent="0.2">
      <c r="I825" s="1125"/>
      <c r="J825" s="1125"/>
    </row>
    <row r="826" spans="9:10" x14ac:dyDescent="0.2">
      <c r="I826" s="1125"/>
      <c r="J826" s="1125"/>
    </row>
    <row r="827" spans="9:10" x14ac:dyDescent="0.2">
      <c r="I827" s="1125"/>
      <c r="J827" s="1125"/>
    </row>
    <row r="828" spans="9:10" x14ac:dyDescent="0.2">
      <c r="I828" s="1125"/>
      <c r="J828" s="1125"/>
    </row>
    <row r="829" spans="9:10" x14ac:dyDescent="0.2">
      <c r="I829" s="1125"/>
      <c r="J829" s="1125"/>
    </row>
    <row r="830" spans="9:10" x14ac:dyDescent="0.2">
      <c r="I830" s="1125"/>
      <c r="J830" s="1125"/>
    </row>
    <row r="831" spans="9:10" x14ac:dyDescent="0.2">
      <c r="I831" s="1125"/>
      <c r="J831" s="1125"/>
    </row>
    <row r="832" spans="9:10" x14ac:dyDescent="0.2">
      <c r="I832" s="1125"/>
      <c r="J832" s="1125"/>
    </row>
    <row r="833" spans="9:10" x14ac:dyDescent="0.2">
      <c r="I833" s="1125"/>
      <c r="J833" s="1125"/>
    </row>
    <row r="834" spans="9:10" x14ac:dyDescent="0.2">
      <c r="I834" s="1125"/>
      <c r="J834" s="1125"/>
    </row>
    <row r="835" spans="9:10" x14ac:dyDescent="0.2">
      <c r="I835" s="1125"/>
      <c r="J835" s="1125"/>
    </row>
    <row r="836" spans="9:10" x14ac:dyDescent="0.2">
      <c r="I836" s="1125"/>
      <c r="J836" s="1125"/>
    </row>
    <row r="837" spans="9:10" x14ac:dyDescent="0.2">
      <c r="I837" s="1125"/>
      <c r="J837" s="1125"/>
    </row>
    <row r="838" spans="9:10" x14ac:dyDescent="0.2">
      <c r="I838" s="1125"/>
      <c r="J838" s="1125"/>
    </row>
    <row r="839" spans="9:10" x14ac:dyDescent="0.2">
      <c r="I839" s="1125"/>
      <c r="J839" s="1125"/>
    </row>
    <row r="840" spans="9:10" x14ac:dyDescent="0.2">
      <c r="I840" s="1125"/>
      <c r="J840" s="1125"/>
    </row>
    <row r="841" spans="9:10" x14ac:dyDescent="0.2">
      <c r="I841" s="1125"/>
      <c r="J841" s="1125"/>
    </row>
    <row r="842" spans="9:10" x14ac:dyDescent="0.2">
      <c r="I842" s="1125"/>
      <c r="J842" s="1125"/>
    </row>
    <row r="843" spans="9:10" x14ac:dyDescent="0.2">
      <c r="I843" s="1125"/>
      <c r="J843" s="1125"/>
    </row>
    <row r="844" spans="9:10" x14ac:dyDescent="0.2">
      <c r="I844" s="1125"/>
      <c r="J844" s="1125"/>
    </row>
    <row r="845" spans="9:10" x14ac:dyDescent="0.2">
      <c r="I845" s="1125"/>
      <c r="J845" s="1125"/>
    </row>
    <row r="846" spans="9:10" x14ac:dyDescent="0.2">
      <c r="I846" s="1125"/>
      <c r="J846" s="1125"/>
    </row>
    <row r="847" spans="9:10" x14ac:dyDescent="0.2">
      <c r="I847" s="1125"/>
      <c r="J847" s="1125"/>
    </row>
    <row r="848" spans="9:10" x14ac:dyDescent="0.2">
      <c r="I848" s="1125"/>
      <c r="J848" s="1125"/>
    </row>
    <row r="849" spans="9:10" x14ac:dyDescent="0.2">
      <c r="I849" s="1125"/>
      <c r="J849" s="1125"/>
    </row>
    <row r="850" spans="9:10" x14ac:dyDescent="0.2">
      <c r="I850" s="1125"/>
      <c r="J850" s="1125"/>
    </row>
    <row r="851" spans="9:10" x14ac:dyDescent="0.2">
      <c r="I851" s="1125"/>
      <c r="J851" s="1125"/>
    </row>
    <row r="852" spans="9:10" x14ac:dyDescent="0.2">
      <c r="I852" s="1125"/>
      <c r="J852" s="1125"/>
    </row>
    <row r="853" spans="9:10" x14ac:dyDescent="0.2">
      <c r="I853" s="1125"/>
      <c r="J853" s="1125"/>
    </row>
    <row r="854" spans="9:10" x14ac:dyDescent="0.2">
      <c r="I854" s="1125"/>
      <c r="J854" s="1125"/>
    </row>
    <row r="855" spans="9:10" x14ac:dyDescent="0.2">
      <c r="I855" s="1125"/>
      <c r="J855" s="1125"/>
    </row>
    <row r="856" spans="9:10" x14ac:dyDescent="0.2">
      <c r="I856" s="1125"/>
      <c r="J856" s="1125"/>
    </row>
    <row r="857" spans="9:10" x14ac:dyDescent="0.2">
      <c r="I857" s="1125"/>
      <c r="J857" s="1125"/>
    </row>
    <row r="858" spans="9:10" x14ac:dyDescent="0.2">
      <c r="I858" s="1125"/>
      <c r="J858" s="1125"/>
    </row>
    <row r="859" spans="9:10" x14ac:dyDescent="0.2">
      <c r="I859" s="1125"/>
      <c r="J859" s="1125"/>
    </row>
    <row r="860" spans="9:10" x14ac:dyDescent="0.2">
      <c r="I860" s="1125"/>
      <c r="J860" s="1125"/>
    </row>
    <row r="861" spans="9:10" x14ac:dyDescent="0.2">
      <c r="I861" s="1125"/>
      <c r="J861" s="1125"/>
    </row>
    <row r="862" spans="9:10" x14ac:dyDescent="0.2">
      <c r="I862" s="1125"/>
      <c r="J862" s="1125"/>
    </row>
    <row r="863" spans="9:10" x14ac:dyDescent="0.2">
      <c r="I863" s="1125"/>
      <c r="J863" s="1125"/>
    </row>
    <row r="864" spans="9:10" x14ac:dyDescent="0.2">
      <c r="I864" s="1125"/>
      <c r="J864" s="1125"/>
    </row>
    <row r="865" spans="9:10" x14ac:dyDescent="0.2">
      <c r="I865" s="1125"/>
      <c r="J865" s="1125"/>
    </row>
    <row r="866" spans="9:10" x14ac:dyDescent="0.2">
      <c r="I866" s="1125"/>
      <c r="J866" s="1125"/>
    </row>
    <row r="867" spans="9:10" x14ac:dyDescent="0.2">
      <c r="I867" s="1125"/>
      <c r="J867" s="1125"/>
    </row>
    <row r="868" spans="9:10" x14ac:dyDescent="0.2">
      <c r="I868" s="1125"/>
      <c r="J868" s="1125"/>
    </row>
    <row r="869" spans="9:10" x14ac:dyDescent="0.2">
      <c r="I869" s="1125"/>
      <c r="J869" s="1125"/>
    </row>
    <row r="870" spans="9:10" x14ac:dyDescent="0.2">
      <c r="I870" s="1125"/>
      <c r="J870" s="1125"/>
    </row>
    <row r="871" spans="9:10" x14ac:dyDescent="0.2">
      <c r="I871" s="1125"/>
      <c r="J871" s="1125"/>
    </row>
    <row r="872" spans="9:10" x14ac:dyDescent="0.2">
      <c r="I872" s="1125"/>
      <c r="J872" s="1125"/>
    </row>
    <row r="873" spans="9:10" x14ac:dyDescent="0.2">
      <c r="I873" s="1125"/>
      <c r="J873" s="1125"/>
    </row>
    <row r="874" spans="9:10" x14ac:dyDescent="0.2">
      <c r="I874" s="1125"/>
      <c r="J874" s="1125"/>
    </row>
    <row r="875" spans="9:10" x14ac:dyDescent="0.2">
      <c r="I875" s="1125"/>
      <c r="J875" s="1125"/>
    </row>
    <row r="876" spans="9:10" x14ac:dyDescent="0.2">
      <c r="I876" s="1125"/>
      <c r="J876" s="1125"/>
    </row>
    <row r="877" spans="9:10" x14ac:dyDescent="0.2">
      <c r="I877" s="1125"/>
      <c r="J877" s="1125"/>
    </row>
    <row r="878" spans="9:10" x14ac:dyDescent="0.2">
      <c r="I878" s="1125"/>
      <c r="J878" s="1125"/>
    </row>
    <row r="879" spans="9:10" x14ac:dyDescent="0.2">
      <c r="I879" s="1125"/>
      <c r="J879" s="1125"/>
    </row>
    <row r="880" spans="9:10" x14ac:dyDescent="0.2">
      <c r="I880" s="1125"/>
      <c r="J880" s="1125"/>
    </row>
    <row r="881" spans="9:10" x14ac:dyDescent="0.2">
      <c r="I881" s="1125"/>
      <c r="J881" s="1125"/>
    </row>
    <row r="882" spans="9:10" x14ac:dyDescent="0.2">
      <c r="I882" s="1125"/>
      <c r="J882" s="1125"/>
    </row>
    <row r="883" spans="9:10" x14ac:dyDescent="0.2">
      <c r="I883" s="1125"/>
      <c r="J883" s="1125"/>
    </row>
    <row r="884" spans="9:10" x14ac:dyDescent="0.2">
      <c r="I884" s="1125"/>
      <c r="J884" s="1125"/>
    </row>
    <row r="885" spans="9:10" x14ac:dyDescent="0.2">
      <c r="I885" s="1125"/>
      <c r="J885" s="1125"/>
    </row>
    <row r="886" spans="9:10" x14ac:dyDescent="0.2">
      <c r="I886" s="1125"/>
      <c r="J886" s="1125"/>
    </row>
    <row r="887" spans="9:10" x14ac:dyDescent="0.2">
      <c r="I887" s="1125"/>
      <c r="J887" s="1125"/>
    </row>
    <row r="888" spans="9:10" x14ac:dyDescent="0.2">
      <c r="I888" s="1125"/>
      <c r="J888" s="1125"/>
    </row>
    <row r="889" spans="9:10" x14ac:dyDescent="0.2">
      <c r="I889" s="1125"/>
      <c r="J889" s="1125"/>
    </row>
    <row r="890" spans="9:10" x14ac:dyDescent="0.2">
      <c r="I890" s="1125"/>
      <c r="J890" s="1125"/>
    </row>
    <row r="891" spans="9:10" x14ac:dyDescent="0.2">
      <c r="I891" s="1125"/>
      <c r="J891" s="1125"/>
    </row>
    <row r="892" spans="9:10" x14ac:dyDescent="0.2">
      <c r="I892" s="1125"/>
      <c r="J892" s="1125"/>
    </row>
    <row r="893" spans="9:10" x14ac:dyDescent="0.2">
      <c r="I893" s="1125"/>
      <c r="J893" s="1125"/>
    </row>
    <row r="894" spans="9:10" x14ac:dyDescent="0.2">
      <c r="I894" s="1125"/>
      <c r="J894" s="1125"/>
    </row>
    <row r="895" spans="9:10" x14ac:dyDescent="0.2">
      <c r="I895" s="1125"/>
      <c r="J895" s="1125"/>
    </row>
    <row r="896" spans="9:10" x14ac:dyDescent="0.2">
      <c r="I896" s="1125"/>
      <c r="J896" s="1125"/>
    </row>
    <row r="897" spans="9:10" x14ac:dyDescent="0.2">
      <c r="I897" s="1125"/>
      <c r="J897" s="1125"/>
    </row>
    <row r="898" spans="9:10" x14ac:dyDescent="0.2">
      <c r="I898" s="1125"/>
      <c r="J898" s="1125"/>
    </row>
    <row r="899" spans="9:10" x14ac:dyDescent="0.2">
      <c r="I899" s="1125"/>
      <c r="J899" s="1125"/>
    </row>
    <row r="900" spans="9:10" x14ac:dyDescent="0.2">
      <c r="I900" s="1125"/>
      <c r="J900" s="1125"/>
    </row>
    <row r="901" spans="9:10" x14ac:dyDescent="0.2">
      <c r="I901" s="1125"/>
      <c r="J901" s="1125"/>
    </row>
    <row r="902" spans="9:10" x14ac:dyDescent="0.2">
      <c r="I902" s="1125"/>
      <c r="J902" s="1125"/>
    </row>
    <row r="903" spans="9:10" x14ac:dyDescent="0.2">
      <c r="I903" s="1125"/>
      <c r="J903" s="1125"/>
    </row>
    <row r="904" spans="9:10" x14ac:dyDescent="0.2">
      <c r="I904" s="1125"/>
      <c r="J904" s="1125"/>
    </row>
    <row r="905" spans="9:10" x14ac:dyDescent="0.2">
      <c r="I905" s="1125"/>
      <c r="J905" s="1125"/>
    </row>
    <row r="906" spans="9:10" x14ac:dyDescent="0.2">
      <c r="I906" s="1125"/>
      <c r="J906" s="1125"/>
    </row>
    <row r="907" spans="9:10" x14ac:dyDescent="0.2">
      <c r="I907" s="1125"/>
      <c r="J907" s="1125"/>
    </row>
    <row r="908" spans="9:10" x14ac:dyDescent="0.2">
      <c r="I908" s="1125"/>
      <c r="J908" s="1125"/>
    </row>
    <row r="909" spans="9:10" x14ac:dyDescent="0.2">
      <c r="I909" s="1125"/>
      <c r="J909" s="1125"/>
    </row>
    <row r="910" spans="9:10" x14ac:dyDescent="0.2">
      <c r="I910" s="1125"/>
      <c r="J910" s="1125"/>
    </row>
    <row r="911" spans="9:10" x14ac:dyDescent="0.2">
      <c r="I911" s="1125"/>
      <c r="J911" s="1125"/>
    </row>
    <row r="912" spans="9:10" x14ac:dyDescent="0.2">
      <c r="I912" s="1125"/>
      <c r="J912" s="1125"/>
    </row>
    <row r="913" spans="9:10" x14ac:dyDescent="0.2">
      <c r="I913" s="1125"/>
      <c r="J913" s="1125"/>
    </row>
    <row r="914" spans="9:10" x14ac:dyDescent="0.2">
      <c r="I914" s="1125"/>
      <c r="J914" s="1125"/>
    </row>
    <row r="915" spans="9:10" x14ac:dyDescent="0.2">
      <c r="I915" s="1125"/>
      <c r="J915" s="1125"/>
    </row>
    <row r="916" spans="9:10" x14ac:dyDescent="0.2">
      <c r="I916" s="1125"/>
      <c r="J916" s="1125"/>
    </row>
    <row r="917" spans="9:10" x14ac:dyDescent="0.2">
      <c r="I917" s="1125"/>
      <c r="J917" s="1125"/>
    </row>
    <row r="918" spans="9:10" x14ac:dyDescent="0.2">
      <c r="I918" s="1125"/>
      <c r="J918" s="1125"/>
    </row>
    <row r="919" spans="9:10" x14ac:dyDescent="0.2">
      <c r="I919" s="1125"/>
      <c r="J919" s="1125"/>
    </row>
    <row r="920" spans="9:10" x14ac:dyDescent="0.2">
      <c r="I920" s="1125"/>
      <c r="J920" s="1125"/>
    </row>
    <row r="921" spans="9:10" x14ac:dyDescent="0.2">
      <c r="I921" s="1125"/>
      <c r="J921" s="1125"/>
    </row>
    <row r="922" spans="9:10" x14ac:dyDescent="0.2">
      <c r="I922" s="1125"/>
      <c r="J922" s="1125"/>
    </row>
    <row r="923" spans="9:10" x14ac:dyDescent="0.2">
      <c r="I923" s="1125"/>
      <c r="J923" s="1125"/>
    </row>
    <row r="924" spans="9:10" x14ac:dyDescent="0.2">
      <c r="I924" s="1125"/>
      <c r="J924" s="1125"/>
    </row>
    <row r="925" spans="9:10" x14ac:dyDescent="0.2">
      <c r="I925" s="1125"/>
      <c r="J925" s="1125"/>
    </row>
    <row r="926" spans="9:10" x14ac:dyDescent="0.2">
      <c r="I926" s="1125"/>
      <c r="J926" s="1125"/>
    </row>
    <row r="927" spans="9:10" x14ac:dyDescent="0.2">
      <c r="I927" s="1125"/>
      <c r="J927" s="1125"/>
    </row>
    <row r="928" spans="9:10" x14ac:dyDescent="0.2">
      <c r="I928" s="1125"/>
      <c r="J928" s="1125"/>
    </row>
    <row r="929" spans="9:10" x14ac:dyDescent="0.2">
      <c r="I929" s="1125"/>
      <c r="J929" s="1125"/>
    </row>
    <row r="930" spans="9:10" x14ac:dyDescent="0.2">
      <c r="I930" s="1125"/>
      <c r="J930" s="1125"/>
    </row>
    <row r="931" spans="9:10" x14ac:dyDescent="0.2">
      <c r="I931" s="1125"/>
      <c r="J931" s="1125"/>
    </row>
    <row r="932" spans="9:10" x14ac:dyDescent="0.2">
      <c r="I932" s="1125"/>
      <c r="J932" s="1125"/>
    </row>
    <row r="933" spans="9:10" x14ac:dyDescent="0.2">
      <c r="I933" s="1125"/>
      <c r="J933" s="1125"/>
    </row>
    <row r="934" spans="9:10" x14ac:dyDescent="0.2">
      <c r="I934" s="1125"/>
      <c r="J934" s="1125"/>
    </row>
    <row r="935" spans="9:10" x14ac:dyDescent="0.2">
      <c r="I935" s="1125"/>
      <c r="J935" s="1125"/>
    </row>
    <row r="936" spans="9:10" x14ac:dyDescent="0.2">
      <c r="I936" s="1125"/>
      <c r="J936" s="1125"/>
    </row>
    <row r="937" spans="9:10" x14ac:dyDescent="0.2">
      <c r="I937" s="1125"/>
      <c r="J937" s="1125"/>
    </row>
    <row r="938" spans="9:10" x14ac:dyDescent="0.2">
      <c r="I938" s="1125"/>
      <c r="J938" s="1125"/>
    </row>
    <row r="939" spans="9:10" x14ac:dyDescent="0.2">
      <c r="I939" s="1125"/>
      <c r="J939" s="1125"/>
    </row>
    <row r="940" spans="9:10" x14ac:dyDescent="0.2">
      <c r="I940" s="1125"/>
      <c r="J940" s="1125"/>
    </row>
    <row r="941" spans="9:10" x14ac:dyDescent="0.2">
      <c r="I941" s="1125"/>
      <c r="J941" s="1125"/>
    </row>
    <row r="942" spans="9:10" x14ac:dyDescent="0.2">
      <c r="I942" s="1125"/>
      <c r="J942" s="1125"/>
    </row>
    <row r="943" spans="9:10" x14ac:dyDescent="0.2">
      <c r="I943" s="1125"/>
      <c r="J943" s="1125"/>
    </row>
    <row r="944" spans="9:10" x14ac:dyDescent="0.2">
      <c r="I944" s="1125"/>
      <c r="J944" s="1125"/>
    </row>
    <row r="945" spans="9:10" x14ac:dyDescent="0.2">
      <c r="I945" s="1125"/>
      <c r="J945" s="1125"/>
    </row>
    <row r="946" spans="9:10" x14ac:dyDescent="0.2">
      <c r="I946" s="1125"/>
      <c r="J946" s="1125"/>
    </row>
    <row r="947" spans="9:10" x14ac:dyDescent="0.2">
      <c r="I947" s="1125"/>
      <c r="J947" s="1125"/>
    </row>
    <row r="948" spans="9:10" x14ac:dyDescent="0.2">
      <c r="I948" s="1125"/>
      <c r="J948" s="1125"/>
    </row>
    <row r="949" spans="9:10" x14ac:dyDescent="0.2">
      <c r="I949" s="1125"/>
      <c r="J949" s="1125"/>
    </row>
    <row r="950" spans="9:10" x14ac:dyDescent="0.2">
      <c r="I950" s="1125"/>
      <c r="J950" s="1125"/>
    </row>
    <row r="951" spans="9:10" x14ac:dyDescent="0.2">
      <c r="I951" s="1125"/>
      <c r="J951" s="1125"/>
    </row>
    <row r="952" spans="9:10" x14ac:dyDescent="0.2">
      <c r="I952" s="1125"/>
      <c r="J952" s="1125"/>
    </row>
    <row r="953" spans="9:10" x14ac:dyDescent="0.2">
      <c r="I953" s="1125"/>
      <c r="J953" s="1125"/>
    </row>
    <row r="954" spans="9:10" x14ac:dyDescent="0.2">
      <c r="I954" s="1125"/>
      <c r="J954" s="1125"/>
    </row>
    <row r="955" spans="9:10" x14ac:dyDescent="0.2">
      <c r="I955" s="1125"/>
      <c r="J955" s="1125"/>
    </row>
    <row r="956" spans="9:10" x14ac:dyDescent="0.2">
      <c r="I956" s="1125"/>
      <c r="J956" s="1125"/>
    </row>
    <row r="957" spans="9:10" x14ac:dyDescent="0.2">
      <c r="I957" s="1125"/>
      <c r="J957" s="1125"/>
    </row>
    <row r="958" spans="9:10" x14ac:dyDescent="0.2">
      <c r="I958" s="1125"/>
      <c r="J958" s="1125"/>
    </row>
    <row r="959" spans="9:10" x14ac:dyDescent="0.2">
      <c r="I959" s="1125"/>
      <c r="J959" s="1125"/>
    </row>
    <row r="960" spans="9:10" x14ac:dyDescent="0.2">
      <c r="I960" s="1125"/>
      <c r="J960" s="1125"/>
    </row>
    <row r="961" spans="9:10" x14ac:dyDescent="0.2">
      <c r="I961" s="1125"/>
      <c r="J961" s="1125"/>
    </row>
    <row r="962" spans="9:10" x14ac:dyDescent="0.2">
      <c r="I962" s="1125"/>
      <c r="J962" s="1125"/>
    </row>
    <row r="963" spans="9:10" x14ac:dyDescent="0.2">
      <c r="I963" s="1125"/>
      <c r="J963" s="1125"/>
    </row>
    <row r="964" spans="9:10" x14ac:dyDescent="0.2">
      <c r="I964" s="1125"/>
      <c r="J964" s="1125"/>
    </row>
    <row r="965" spans="9:10" x14ac:dyDescent="0.2">
      <c r="I965" s="1125"/>
      <c r="J965" s="1125"/>
    </row>
    <row r="966" spans="9:10" x14ac:dyDescent="0.2">
      <c r="I966" s="1125"/>
      <c r="J966" s="1125"/>
    </row>
    <row r="967" spans="9:10" x14ac:dyDescent="0.2">
      <c r="I967" s="1125"/>
      <c r="J967" s="1125"/>
    </row>
    <row r="968" spans="9:10" x14ac:dyDescent="0.2">
      <c r="I968" s="1125"/>
      <c r="J968" s="1125"/>
    </row>
    <row r="969" spans="9:10" x14ac:dyDescent="0.2">
      <c r="I969" s="1125"/>
      <c r="J969" s="1125"/>
    </row>
    <row r="970" spans="9:10" x14ac:dyDescent="0.2">
      <c r="I970" s="1125"/>
      <c r="J970" s="1125"/>
    </row>
    <row r="971" spans="9:10" x14ac:dyDescent="0.2">
      <c r="I971" s="1125"/>
      <c r="J971" s="1125"/>
    </row>
    <row r="972" spans="9:10" x14ac:dyDescent="0.2">
      <c r="I972" s="1125"/>
      <c r="J972" s="1125"/>
    </row>
    <row r="973" spans="9:10" x14ac:dyDescent="0.2">
      <c r="I973" s="1125"/>
      <c r="J973" s="1125"/>
    </row>
    <row r="974" spans="9:10" x14ac:dyDescent="0.2">
      <c r="I974" s="1125"/>
      <c r="J974" s="1125"/>
    </row>
    <row r="975" spans="9:10" x14ac:dyDescent="0.2">
      <c r="I975" s="1125"/>
      <c r="J975" s="1125"/>
    </row>
    <row r="976" spans="9:10" x14ac:dyDescent="0.2">
      <c r="I976" s="1125"/>
      <c r="J976" s="1125"/>
    </row>
    <row r="977" spans="9:10" x14ac:dyDescent="0.2">
      <c r="I977" s="1125"/>
      <c r="J977" s="1125"/>
    </row>
    <row r="978" spans="9:10" x14ac:dyDescent="0.2">
      <c r="I978" s="1125"/>
      <c r="J978" s="1125"/>
    </row>
    <row r="979" spans="9:10" x14ac:dyDescent="0.2">
      <c r="I979" s="1125"/>
      <c r="J979" s="1125"/>
    </row>
    <row r="980" spans="9:10" x14ac:dyDescent="0.2">
      <c r="I980" s="1125"/>
      <c r="J980" s="1125"/>
    </row>
    <row r="981" spans="9:10" x14ac:dyDescent="0.2">
      <c r="I981" s="1125"/>
      <c r="J981" s="1125"/>
    </row>
    <row r="982" spans="9:10" x14ac:dyDescent="0.2">
      <c r="I982" s="1125"/>
      <c r="J982" s="1125"/>
    </row>
    <row r="983" spans="9:10" x14ac:dyDescent="0.2">
      <c r="I983" s="1125"/>
      <c r="J983" s="1125"/>
    </row>
    <row r="984" spans="9:10" x14ac:dyDescent="0.2">
      <c r="I984" s="1125"/>
      <c r="J984" s="1125"/>
    </row>
    <row r="985" spans="9:10" x14ac:dyDescent="0.2">
      <c r="I985" s="1125"/>
      <c r="J985" s="1125"/>
    </row>
    <row r="986" spans="9:10" x14ac:dyDescent="0.2">
      <c r="I986" s="1125"/>
      <c r="J986" s="1125"/>
    </row>
    <row r="987" spans="9:10" x14ac:dyDescent="0.2">
      <c r="I987" s="1125"/>
      <c r="J987" s="1125"/>
    </row>
    <row r="988" spans="9:10" x14ac:dyDescent="0.2">
      <c r="I988" s="1125"/>
      <c r="J988" s="1125"/>
    </row>
    <row r="989" spans="9:10" x14ac:dyDescent="0.2">
      <c r="I989" s="1125"/>
      <c r="J989" s="1125"/>
    </row>
    <row r="990" spans="9:10" x14ac:dyDescent="0.2">
      <c r="I990" s="1125"/>
      <c r="J990" s="1125"/>
    </row>
    <row r="991" spans="9:10" x14ac:dyDescent="0.2">
      <c r="I991" s="1125"/>
      <c r="J991" s="1125"/>
    </row>
    <row r="992" spans="9:10" x14ac:dyDescent="0.2">
      <c r="I992" s="1125"/>
      <c r="J992" s="1125"/>
    </row>
    <row r="993" spans="9:10" x14ac:dyDescent="0.2">
      <c r="I993" s="1125"/>
      <c r="J993" s="1125"/>
    </row>
    <row r="994" spans="9:10" x14ac:dyDescent="0.2">
      <c r="I994" s="1125"/>
      <c r="J994" s="1125"/>
    </row>
    <row r="995" spans="9:10" x14ac:dyDescent="0.2">
      <c r="I995" s="1125"/>
      <c r="J995" s="1125"/>
    </row>
    <row r="996" spans="9:10" x14ac:dyDescent="0.2">
      <c r="I996" s="1125"/>
      <c r="J996" s="1125"/>
    </row>
    <row r="997" spans="9:10" x14ac:dyDescent="0.2">
      <c r="I997" s="1125"/>
      <c r="J997" s="1125"/>
    </row>
    <row r="998" spans="9:10" x14ac:dyDescent="0.2">
      <c r="I998" s="1125"/>
      <c r="J998" s="1125"/>
    </row>
    <row r="999" spans="9:10" x14ac:dyDescent="0.2">
      <c r="I999" s="1125"/>
      <c r="J999" s="1125"/>
    </row>
    <row r="1000" spans="9:10" x14ac:dyDescent="0.2">
      <c r="I1000" s="1125"/>
      <c r="J1000" s="1125"/>
    </row>
    <row r="1001" spans="9:10" x14ac:dyDescent="0.2">
      <c r="I1001" s="1125"/>
      <c r="J1001" s="1125"/>
    </row>
    <row r="1002" spans="9:10" x14ac:dyDescent="0.2">
      <c r="I1002" s="1125"/>
      <c r="J1002" s="1125"/>
    </row>
    <row r="1003" spans="9:10" x14ac:dyDescent="0.2">
      <c r="I1003" s="1125"/>
      <c r="J1003" s="1125"/>
    </row>
    <row r="1004" spans="9:10" x14ac:dyDescent="0.2">
      <c r="I1004" s="1125"/>
      <c r="J1004" s="1125"/>
    </row>
    <row r="1005" spans="9:10" x14ac:dyDescent="0.2">
      <c r="I1005" s="1125"/>
      <c r="J1005" s="1125"/>
    </row>
    <row r="1006" spans="9:10" x14ac:dyDescent="0.2">
      <c r="I1006" s="1125"/>
      <c r="J1006" s="1125"/>
    </row>
    <row r="1007" spans="9:10" x14ac:dyDescent="0.2">
      <c r="I1007" s="1125"/>
      <c r="J1007" s="1125"/>
    </row>
    <row r="1008" spans="9:10" x14ac:dyDescent="0.2">
      <c r="I1008" s="1125"/>
      <c r="J1008" s="1125"/>
    </row>
    <row r="1009" spans="9:10" x14ac:dyDescent="0.2">
      <c r="I1009" s="1125"/>
      <c r="J1009" s="1125"/>
    </row>
    <row r="1010" spans="9:10" x14ac:dyDescent="0.2">
      <c r="I1010" s="1125"/>
      <c r="J1010" s="1125"/>
    </row>
    <row r="1011" spans="9:10" x14ac:dyDescent="0.2">
      <c r="I1011" s="1125"/>
      <c r="J1011" s="1125"/>
    </row>
    <row r="1012" spans="9:10" x14ac:dyDescent="0.2">
      <c r="I1012" s="1125"/>
      <c r="J1012" s="1125"/>
    </row>
    <row r="1013" spans="9:10" x14ac:dyDescent="0.2">
      <c r="I1013" s="1125"/>
      <c r="J1013" s="1125"/>
    </row>
    <row r="1014" spans="9:10" x14ac:dyDescent="0.2">
      <c r="I1014" s="1125"/>
      <c r="J1014" s="1125"/>
    </row>
    <row r="1015" spans="9:10" x14ac:dyDescent="0.2">
      <c r="I1015" s="1125"/>
      <c r="J1015" s="1125"/>
    </row>
    <row r="1016" spans="9:10" x14ac:dyDescent="0.2">
      <c r="I1016" s="1125"/>
      <c r="J1016" s="1125"/>
    </row>
    <row r="1017" spans="9:10" x14ac:dyDescent="0.2">
      <c r="I1017" s="1125"/>
      <c r="J1017" s="1125"/>
    </row>
    <row r="1018" spans="9:10" x14ac:dyDescent="0.2">
      <c r="I1018" s="1125"/>
      <c r="J1018" s="1125"/>
    </row>
    <row r="1019" spans="9:10" x14ac:dyDescent="0.2">
      <c r="I1019" s="1125"/>
      <c r="J1019" s="1125"/>
    </row>
    <row r="1020" spans="9:10" x14ac:dyDescent="0.2">
      <c r="I1020" s="1125"/>
      <c r="J1020" s="1125"/>
    </row>
    <row r="1021" spans="9:10" x14ac:dyDescent="0.2">
      <c r="I1021" s="1125"/>
      <c r="J1021" s="1125"/>
    </row>
    <row r="1022" spans="9:10" x14ac:dyDescent="0.2">
      <c r="I1022" s="1125"/>
      <c r="J1022" s="1125"/>
    </row>
    <row r="1023" spans="9:10" x14ac:dyDescent="0.2">
      <c r="I1023" s="1125"/>
      <c r="J1023" s="1125"/>
    </row>
    <row r="1024" spans="9:10" x14ac:dyDescent="0.2">
      <c r="I1024" s="1125"/>
      <c r="J1024" s="1125"/>
    </row>
    <row r="1025" spans="9:10" x14ac:dyDescent="0.2">
      <c r="I1025" s="1125"/>
      <c r="J1025" s="1125"/>
    </row>
    <row r="1026" spans="9:10" x14ac:dyDescent="0.2">
      <c r="I1026" s="1125"/>
      <c r="J1026" s="1125"/>
    </row>
    <row r="1027" spans="9:10" x14ac:dyDescent="0.2">
      <c r="I1027" s="1125"/>
      <c r="J1027" s="1125"/>
    </row>
    <row r="1028" spans="9:10" x14ac:dyDescent="0.2">
      <c r="I1028" s="1125"/>
      <c r="J1028" s="1125"/>
    </row>
    <row r="1029" spans="9:10" x14ac:dyDescent="0.2">
      <c r="I1029" s="1125"/>
      <c r="J1029" s="1125"/>
    </row>
    <row r="1030" spans="9:10" x14ac:dyDescent="0.2">
      <c r="I1030" s="1125"/>
      <c r="J1030" s="1125"/>
    </row>
    <row r="1031" spans="9:10" x14ac:dyDescent="0.2">
      <c r="I1031" s="1125"/>
      <c r="J1031" s="1125"/>
    </row>
    <row r="1032" spans="9:10" x14ac:dyDescent="0.2">
      <c r="I1032" s="1125"/>
      <c r="J1032" s="1125"/>
    </row>
    <row r="1033" spans="9:10" x14ac:dyDescent="0.2">
      <c r="I1033" s="1125"/>
      <c r="J1033" s="1125"/>
    </row>
    <row r="1034" spans="9:10" x14ac:dyDescent="0.2">
      <c r="I1034" s="1125"/>
      <c r="J1034" s="1125"/>
    </row>
    <row r="1035" spans="9:10" x14ac:dyDescent="0.2">
      <c r="I1035" s="1125"/>
      <c r="J1035" s="1125"/>
    </row>
    <row r="1036" spans="9:10" x14ac:dyDescent="0.2">
      <c r="I1036" s="1125"/>
      <c r="J1036" s="1125"/>
    </row>
    <row r="1037" spans="9:10" x14ac:dyDescent="0.2">
      <c r="I1037" s="1125"/>
      <c r="J1037" s="1125"/>
    </row>
    <row r="1038" spans="9:10" x14ac:dyDescent="0.2">
      <c r="I1038" s="1125"/>
      <c r="J1038" s="1125"/>
    </row>
    <row r="1039" spans="9:10" x14ac:dyDescent="0.2">
      <c r="I1039" s="1125"/>
      <c r="J1039" s="1125"/>
    </row>
    <row r="1040" spans="9:10" x14ac:dyDescent="0.2">
      <c r="I1040" s="1125"/>
      <c r="J1040" s="1125"/>
    </row>
    <row r="1041" spans="9:10" x14ac:dyDescent="0.2">
      <c r="I1041" s="1125"/>
      <c r="J1041" s="1125"/>
    </row>
    <row r="1042" spans="9:10" x14ac:dyDescent="0.2">
      <c r="I1042" s="1125"/>
      <c r="J1042" s="1125"/>
    </row>
    <row r="1043" spans="9:10" x14ac:dyDescent="0.2">
      <c r="I1043" s="1125"/>
      <c r="J1043" s="1125"/>
    </row>
    <row r="1044" spans="9:10" x14ac:dyDescent="0.2">
      <c r="I1044" s="1125"/>
      <c r="J1044" s="1125"/>
    </row>
    <row r="1045" spans="9:10" x14ac:dyDescent="0.2">
      <c r="I1045" s="1125"/>
      <c r="J1045" s="1125"/>
    </row>
    <row r="1046" spans="9:10" x14ac:dyDescent="0.2">
      <c r="I1046" s="1125"/>
      <c r="J1046" s="1125"/>
    </row>
    <row r="1047" spans="9:10" x14ac:dyDescent="0.2">
      <c r="I1047" s="1125"/>
      <c r="J1047" s="1125"/>
    </row>
    <row r="1048" spans="9:10" x14ac:dyDescent="0.2">
      <c r="I1048" s="1125"/>
      <c r="J1048" s="1125"/>
    </row>
    <row r="1049" spans="9:10" x14ac:dyDescent="0.2">
      <c r="I1049" s="1125"/>
      <c r="J1049" s="1125"/>
    </row>
    <row r="1050" spans="9:10" x14ac:dyDescent="0.2">
      <c r="I1050" s="1125"/>
      <c r="J1050" s="1125"/>
    </row>
    <row r="1051" spans="9:10" x14ac:dyDescent="0.2">
      <c r="I1051" s="1125"/>
      <c r="J1051" s="1125"/>
    </row>
    <row r="1052" spans="9:10" x14ac:dyDescent="0.2">
      <c r="I1052" s="1125"/>
      <c r="J1052" s="1125"/>
    </row>
    <row r="1053" spans="9:10" x14ac:dyDescent="0.2">
      <c r="I1053" s="1125"/>
      <c r="J1053" s="1125"/>
    </row>
    <row r="1054" spans="9:10" x14ac:dyDescent="0.2">
      <c r="I1054" s="1125"/>
      <c r="J1054" s="1125"/>
    </row>
    <row r="1055" spans="9:10" x14ac:dyDescent="0.2">
      <c r="I1055" s="1125"/>
      <c r="J1055" s="1125"/>
    </row>
    <row r="1056" spans="9:10" x14ac:dyDescent="0.2">
      <c r="I1056" s="1125"/>
      <c r="J1056" s="1125"/>
    </row>
    <row r="1057" spans="9:10" x14ac:dyDescent="0.2">
      <c r="I1057" s="1125"/>
      <c r="J1057" s="1125"/>
    </row>
    <row r="1058" spans="9:10" x14ac:dyDescent="0.2">
      <c r="I1058" s="1125"/>
      <c r="J1058" s="1125"/>
    </row>
    <row r="1059" spans="9:10" x14ac:dyDescent="0.2">
      <c r="I1059" s="1125"/>
      <c r="J1059" s="1125"/>
    </row>
    <row r="1060" spans="9:10" x14ac:dyDescent="0.2">
      <c r="I1060" s="1125"/>
      <c r="J1060" s="1125"/>
    </row>
    <row r="1061" spans="9:10" x14ac:dyDescent="0.2">
      <c r="I1061" s="1125"/>
      <c r="J1061" s="1125"/>
    </row>
    <row r="1062" spans="9:10" x14ac:dyDescent="0.2">
      <c r="I1062" s="1125"/>
      <c r="J1062" s="1125"/>
    </row>
    <row r="1063" spans="9:10" x14ac:dyDescent="0.2">
      <c r="I1063" s="1125"/>
      <c r="J1063" s="1125"/>
    </row>
    <row r="1064" spans="9:10" x14ac:dyDescent="0.2">
      <c r="I1064" s="1125"/>
      <c r="J1064" s="1125"/>
    </row>
    <row r="1065" spans="9:10" x14ac:dyDescent="0.2">
      <c r="I1065" s="1125"/>
      <c r="J1065" s="1125"/>
    </row>
    <row r="1066" spans="9:10" x14ac:dyDescent="0.2">
      <c r="I1066" s="1125"/>
      <c r="J1066" s="1125"/>
    </row>
    <row r="1067" spans="9:10" x14ac:dyDescent="0.2">
      <c r="I1067" s="1125"/>
      <c r="J1067" s="1125"/>
    </row>
    <row r="1068" spans="9:10" x14ac:dyDescent="0.2">
      <c r="I1068" s="1125"/>
      <c r="J1068" s="1125"/>
    </row>
    <row r="1069" spans="9:10" x14ac:dyDescent="0.2">
      <c r="I1069" s="1125"/>
      <c r="J1069" s="1125"/>
    </row>
    <row r="1070" spans="9:10" x14ac:dyDescent="0.2">
      <c r="I1070" s="1125"/>
      <c r="J1070" s="1125"/>
    </row>
    <row r="1071" spans="9:10" x14ac:dyDescent="0.2">
      <c r="I1071" s="1125"/>
      <c r="J1071" s="1125"/>
    </row>
    <row r="1072" spans="9:10" x14ac:dyDescent="0.2">
      <c r="I1072" s="1125"/>
      <c r="J1072" s="1125"/>
    </row>
    <row r="1073" spans="9:10" x14ac:dyDescent="0.2">
      <c r="I1073" s="1125"/>
      <c r="J1073" s="1125"/>
    </row>
    <row r="1074" spans="9:10" x14ac:dyDescent="0.2">
      <c r="I1074" s="1125"/>
      <c r="J1074" s="1125"/>
    </row>
    <row r="1075" spans="9:10" x14ac:dyDescent="0.2">
      <c r="I1075" s="1125"/>
      <c r="J1075" s="1125"/>
    </row>
    <row r="1076" spans="9:10" x14ac:dyDescent="0.2">
      <c r="I1076" s="1125"/>
      <c r="J1076" s="1125"/>
    </row>
    <row r="1077" spans="9:10" x14ac:dyDescent="0.2">
      <c r="I1077" s="1125"/>
      <c r="J1077" s="1125"/>
    </row>
    <row r="1078" spans="9:10" x14ac:dyDescent="0.2">
      <c r="I1078" s="1125"/>
      <c r="J1078" s="1125"/>
    </row>
    <row r="1079" spans="9:10" x14ac:dyDescent="0.2">
      <c r="I1079" s="1125"/>
      <c r="J1079" s="1125"/>
    </row>
    <row r="1080" spans="9:10" x14ac:dyDescent="0.2">
      <c r="I1080" s="1125"/>
      <c r="J1080" s="1125"/>
    </row>
    <row r="1081" spans="9:10" x14ac:dyDescent="0.2">
      <c r="I1081" s="1125"/>
      <c r="J1081" s="1125"/>
    </row>
    <row r="1082" spans="9:10" x14ac:dyDescent="0.2">
      <c r="I1082" s="1125"/>
      <c r="J1082" s="1125"/>
    </row>
    <row r="1083" spans="9:10" x14ac:dyDescent="0.2">
      <c r="I1083" s="1125"/>
      <c r="J1083" s="1125"/>
    </row>
    <row r="1084" spans="9:10" x14ac:dyDescent="0.2">
      <c r="I1084" s="1125"/>
      <c r="J1084" s="1125"/>
    </row>
    <row r="1085" spans="9:10" x14ac:dyDescent="0.2">
      <c r="I1085" s="1125"/>
      <c r="J1085" s="1125"/>
    </row>
    <row r="1086" spans="9:10" x14ac:dyDescent="0.2">
      <c r="I1086" s="1125"/>
      <c r="J1086" s="1125"/>
    </row>
    <row r="1087" spans="9:10" x14ac:dyDescent="0.2">
      <c r="I1087" s="1125"/>
      <c r="J1087" s="1125"/>
    </row>
    <row r="1088" spans="9:10" x14ac:dyDescent="0.2">
      <c r="I1088" s="1125"/>
      <c r="J1088" s="1125"/>
    </row>
    <row r="1089" spans="9:10" x14ac:dyDescent="0.2">
      <c r="I1089" s="1125"/>
      <c r="J1089" s="1125"/>
    </row>
    <row r="1090" spans="9:10" x14ac:dyDescent="0.2">
      <c r="I1090" s="1125"/>
      <c r="J1090" s="1125"/>
    </row>
    <row r="1091" spans="9:10" x14ac:dyDescent="0.2">
      <c r="I1091" s="1125"/>
      <c r="J1091" s="1125"/>
    </row>
    <row r="1092" spans="9:10" x14ac:dyDescent="0.2">
      <c r="I1092" s="1125"/>
      <c r="J1092" s="1125"/>
    </row>
    <row r="1093" spans="9:10" x14ac:dyDescent="0.2">
      <c r="I1093" s="1125"/>
      <c r="J1093" s="1125"/>
    </row>
    <row r="1094" spans="9:10" x14ac:dyDescent="0.2">
      <c r="I1094" s="1125"/>
      <c r="J1094" s="1125"/>
    </row>
    <row r="1095" spans="9:10" x14ac:dyDescent="0.2">
      <c r="I1095" s="1125"/>
      <c r="J1095" s="1125"/>
    </row>
    <row r="1096" spans="9:10" x14ac:dyDescent="0.2">
      <c r="I1096" s="1125"/>
      <c r="J1096" s="1125"/>
    </row>
    <row r="1097" spans="9:10" x14ac:dyDescent="0.2">
      <c r="I1097" s="1125"/>
      <c r="J1097" s="1125"/>
    </row>
    <row r="1098" spans="9:10" x14ac:dyDescent="0.2">
      <c r="I1098" s="1125"/>
      <c r="J1098" s="1125"/>
    </row>
    <row r="1099" spans="9:10" x14ac:dyDescent="0.2">
      <c r="I1099" s="1125"/>
      <c r="J1099" s="1125"/>
    </row>
    <row r="1100" spans="9:10" x14ac:dyDescent="0.2">
      <c r="I1100" s="1125"/>
      <c r="J1100" s="1125"/>
    </row>
    <row r="1101" spans="9:10" x14ac:dyDescent="0.2">
      <c r="I1101" s="1125"/>
      <c r="J1101" s="1125"/>
    </row>
    <row r="1102" spans="9:10" x14ac:dyDescent="0.2">
      <c r="I1102" s="1125"/>
      <c r="J1102" s="1125"/>
    </row>
    <row r="1103" spans="9:10" x14ac:dyDescent="0.2">
      <c r="I1103" s="1125"/>
      <c r="J1103" s="1125"/>
    </row>
    <row r="1104" spans="9:10" x14ac:dyDescent="0.2">
      <c r="I1104" s="1125"/>
      <c r="J1104" s="1125"/>
    </row>
    <row r="1105" spans="9:10" x14ac:dyDescent="0.2">
      <c r="I1105" s="1125"/>
      <c r="J1105" s="1125"/>
    </row>
    <row r="1106" spans="9:10" x14ac:dyDescent="0.2">
      <c r="I1106" s="1125"/>
      <c r="J1106" s="1125"/>
    </row>
    <row r="1107" spans="9:10" x14ac:dyDescent="0.2">
      <c r="I1107" s="1125"/>
      <c r="J1107" s="1125"/>
    </row>
    <row r="1108" spans="9:10" x14ac:dyDescent="0.2">
      <c r="I1108" s="1125"/>
      <c r="J1108" s="1125"/>
    </row>
    <row r="1109" spans="9:10" x14ac:dyDescent="0.2">
      <c r="I1109" s="1125"/>
      <c r="J1109" s="1125"/>
    </row>
    <row r="1110" spans="9:10" x14ac:dyDescent="0.2">
      <c r="I1110" s="1125"/>
      <c r="J1110" s="1125"/>
    </row>
    <row r="1111" spans="9:10" x14ac:dyDescent="0.2">
      <c r="I1111" s="1125"/>
      <c r="J1111" s="1125"/>
    </row>
    <row r="1112" spans="9:10" x14ac:dyDescent="0.2">
      <c r="I1112" s="1125"/>
      <c r="J1112" s="1125"/>
    </row>
    <row r="1113" spans="9:10" x14ac:dyDescent="0.2">
      <c r="I1113" s="1125"/>
      <c r="J1113" s="1125"/>
    </row>
    <row r="1114" spans="9:10" x14ac:dyDescent="0.2">
      <c r="I1114" s="1125"/>
      <c r="J1114" s="1125"/>
    </row>
    <row r="1115" spans="9:10" x14ac:dyDescent="0.2">
      <c r="I1115" s="1125"/>
      <c r="J1115" s="1125"/>
    </row>
    <row r="1116" spans="9:10" x14ac:dyDescent="0.2">
      <c r="I1116" s="1125"/>
      <c r="J1116" s="1125"/>
    </row>
    <row r="1117" spans="9:10" x14ac:dyDescent="0.2">
      <c r="I1117" s="1125"/>
      <c r="J1117" s="1125"/>
    </row>
    <row r="1118" spans="9:10" x14ac:dyDescent="0.2">
      <c r="I1118" s="1125"/>
      <c r="J1118" s="1125"/>
    </row>
    <row r="1119" spans="9:10" x14ac:dyDescent="0.2">
      <c r="I1119" s="1125"/>
      <c r="J1119" s="1125"/>
    </row>
    <row r="1120" spans="9:10" x14ac:dyDescent="0.2">
      <c r="I1120" s="1125"/>
      <c r="J1120" s="1125"/>
    </row>
    <row r="1121" spans="9:10" x14ac:dyDescent="0.2">
      <c r="I1121" s="1125"/>
      <c r="J1121" s="1125"/>
    </row>
    <row r="1122" spans="9:10" x14ac:dyDescent="0.2">
      <c r="I1122" s="1125"/>
      <c r="J1122" s="1125"/>
    </row>
    <row r="1123" spans="9:10" x14ac:dyDescent="0.2">
      <c r="I1123" s="1125"/>
      <c r="J1123" s="1125"/>
    </row>
    <row r="1124" spans="9:10" x14ac:dyDescent="0.2">
      <c r="I1124" s="1125"/>
      <c r="J1124" s="1125"/>
    </row>
    <row r="1125" spans="9:10" x14ac:dyDescent="0.2">
      <c r="I1125" s="1125"/>
      <c r="J1125" s="1125"/>
    </row>
    <row r="1126" spans="9:10" x14ac:dyDescent="0.2">
      <c r="I1126" s="1125"/>
      <c r="J1126" s="1125"/>
    </row>
    <row r="1127" spans="9:10" x14ac:dyDescent="0.2">
      <c r="I1127" s="1125"/>
      <c r="J1127" s="1125"/>
    </row>
    <row r="1128" spans="9:10" x14ac:dyDescent="0.2">
      <c r="I1128" s="1125"/>
      <c r="J1128" s="1125"/>
    </row>
    <row r="1129" spans="9:10" x14ac:dyDescent="0.2">
      <c r="I1129" s="1125"/>
      <c r="J1129" s="1125"/>
    </row>
    <row r="1130" spans="9:10" x14ac:dyDescent="0.2">
      <c r="I1130" s="1125"/>
      <c r="J1130" s="1125"/>
    </row>
    <row r="1131" spans="9:10" x14ac:dyDescent="0.2">
      <c r="I1131" s="1125"/>
      <c r="J1131" s="1125"/>
    </row>
    <row r="1132" spans="9:10" x14ac:dyDescent="0.2">
      <c r="I1132" s="1125"/>
      <c r="J1132" s="1125"/>
    </row>
    <row r="1133" spans="9:10" x14ac:dyDescent="0.2">
      <c r="I1133" s="1125"/>
      <c r="J1133" s="1125"/>
    </row>
    <row r="1134" spans="9:10" x14ac:dyDescent="0.2">
      <c r="I1134" s="1125"/>
      <c r="J1134" s="1125"/>
    </row>
    <row r="1135" spans="9:10" x14ac:dyDescent="0.2">
      <c r="I1135" s="1125"/>
      <c r="J1135" s="1125"/>
    </row>
    <row r="1136" spans="9:10" x14ac:dyDescent="0.2">
      <c r="I1136" s="1125"/>
      <c r="J1136" s="1125"/>
    </row>
    <row r="1137" spans="9:10" x14ac:dyDescent="0.2">
      <c r="I1137" s="1125"/>
      <c r="J1137" s="1125"/>
    </row>
    <row r="1138" spans="9:10" x14ac:dyDescent="0.2">
      <c r="I1138" s="1125"/>
      <c r="J1138" s="1125"/>
    </row>
    <row r="1139" spans="9:10" x14ac:dyDescent="0.2">
      <c r="I1139" s="1125"/>
      <c r="J1139" s="1125"/>
    </row>
    <row r="1140" spans="9:10" x14ac:dyDescent="0.2">
      <c r="I1140" s="1125"/>
      <c r="J1140" s="1125"/>
    </row>
    <row r="1141" spans="9:10" x14ac:dyDescent="0.2">
      <c r="I1141" s="1125"/>
      <c r="J1141" s="1125"/>
    </row>
    <row r="1142" spans="9:10" x14ac:dyDescent="0.2">
      <c r="I1142" s="1125"/>
      <c r="J1142" s="1125"/>
    </row>
    <row r="1143" spans="9:10" x14ac:dyDescent="0.2">
      <c r="I1143" s="1125"/>
      <c r="J1143" s="1125"/>
    </row>
    <row r="1144" spans="9:10" x14ac:dyDescent="0.2">
      <c r="I1144" s="1125"/>
      <c r="J1144" s="1125"/>
    </row>
    <row r="1145" spans="9:10" x14ac:dyDescent="0.2">
      <c r="I1145" s="1125"/>
      <c r="J1145" s="1125"/>
    </row>
    <row r="1146" spans="9:10" x14ac:dyDescent="0.2">
      <c r="I1146" s="1125"/>
      <c r="J1146" s="1125"/>
    </row>
    <row r="1147" spans="9:10" x14ac:dyDescent="0.2">
      <c r="I1147" s="1125"/>
      <c r="J1147" s="1125"/>
    </row>
    <row r="1148" spans="9:10" x14ac:dyDescent="0.2">
      <c r="I1148" s="1125"/>
      <c r="J1148" s="1125"/>
    </row>
    <row r="1149" spans="9:10" x14ac:dyDescent="0.2">
      <c r="I1149" s="1125"/>
      <c r="J1149" s="1125"/>
    </row>
    <row r="1150" spans="9:10" x14ac:dyDescent="0.2">
      <c r="I1150" s="1125"/>
      <c r="J1150" s="1125"/>
    </row>
    <row r="1151" spans="9:10" x14ac:dyDescent="0.2">
      <c r="I1151" s="1125"/>
      <c r="J1151" s="1125"/>
    </row>
    <row r="1152" spans="9:10" x14ac:dyDescent="0.2">
      <c r="I1152" s="1125"/>
      <c r="J1152" s="1125"/>
    </row>
    <row r="1153" spans="9:10" x14ac:dyDescent="0.2">
      <c r="I1153" s="1125"/>
      <c r="J1153" s="1125"/>
    </row>
    <row r="1154" spans="9:10" x14ac:dyDescent="0.2">
      <c r="I1154" s="1125"/>
      <c r="J1154" s="1125"/>
    </row>
    <row r="1155" spans="9:10" x14ac:dyDescent="0.2">
      <c r="I1155" s="1125"/>
      <c r="J1155" s="1125"/>
    </row>
    <row r="1156" spans="9:10" x14ac:dyDescent="0.2">
      <c r="I1156" s="1125"/>
      <c r="J1156" s="1125"/>
    </row>
    <row r="1157" spans="9:10" x14ac:dyDescent="0.2">
      <c r="I1157" s="1125"/>
      <c r="J1157" s="1125"/>
    </row>
    <row r="1158" spans="9:10" x14ac:dyDescent="0.2">
      <c r="I1158" s="1125"/>
      <c r="J1158" s="1125"/>
    </row>
    <row r="1159" spans="9:10" x14ac:dyDescent="0.2">
      <c r="I1159" s="1125"/>
      <c r="J1159" s="1125"/>
    </row>
    <row r="1160" spans="9:10" x14ac:dyDescent="0.2">
      <c r="I1160" s="1125"/>
      <c r="J1160" s="1125"/>
    </row>
    <row r="1161" spans="9:10" x14ac:dyDescent="0.2">
      <c r="I1161" s="1125"/>
      <c r="J1161" s="1125"/>
    </row>
    <row r="1162" spans="9:10" x14ac:dyDescent="0.2">
      <c r="I1162" s="1125"/>
      <c r="J1162" s="1125"/>
    </row>
    <row r="1163" spans="9:10" x14ac:dyDescent="0.2">
      <c r="I1163" s="1125"/>
      <c r="J1163" s="1125"/>
    </row>
    <row r="1164" spans="9:10" x14ac:dyDescent="0.2">
      <c r="I1164" s="1125"/>
      <c r="J1164" s="1125"/>
    </row>
    <row r="1165" spans="9:10" x14ac:dyDescent="0.2">
      <c r="I1165" s="1125"/>
      <c r="J1165" s="1125"/>
    </row>
    <row r="1166" spans="9:10" x14ac:dyDescent="0.2">
      <c r="I1166" s="1125"/>
      <c r="J1166" s="1125"/>
    </row>
    <row r="1167" spans="9:10" x14ac:dyDescent="0.2">
      <c r="I1167" s="1125"/>
      <c r="J1167" s="1125"/>
    </row>
    <row r="1168" spans="9:10" x14ac:dyDescent="0.2">
      <c r="I1168" s="1125"/>
      <c r="J1168" s="1125"/>
    </row>
    <row r="1169" spans="9:10" x14ac:dyDescent="0.2">
      <c r="I1169" s="1125"/>
      <c r="J1169" s="1125"/>
    </row>
    <row r="1170" spans="9:10" x14ac:dyDescent="0.2">
      <c r="I1170" s="1125"/>
      <c r="J1170" s="1125"/>
    </row>
    <row r="1171" spans="9:10" x14ac:dyDescent="0.2">
      <c r="I1171" s="1125"/>
      <c r="J1171" s="1125"/>
    </row>
    <row r="1172" spans="9:10" x14ac:dyDescent="0.2">
      <c r="I1172" s="1125"/>
      <c r="J1172" s="1125"/>
    </row>
    <row r="1173" spans="9:10" x14ac:dyDescent="0.2">
      <c r="I1173" s="1125"/>
      <c r="J1173" s="1125"/>
    </row>
    <row r="1174" spans="9:10" x14ac:dyDescent="0.2">
      <c r="I1174" s="1125"/>
      <c r="J1174" s="1125"/>
    </row>
    <row r="1175" spans="9:10" x14ac:dyDescent="0.2">
      <c r="I1175" s="1125"/>
      <c r="J1175" s="1125"/>
    </row>
    <row r="1176" spans="9:10" x14ac:dyDescent="0.2">
      <c r="I1176" s="1125"/>
      <c r="J1176" s="1125"/>
    </row>
    <row r="1177" spans="9:10" x14ac:dyDescent="0.2">
      <c r="I1177" s="1125"/>
      <c r="J1177" s="1125"/>
    </row>
    <row r="1178" spans="9:10" x14ac:dyDescent="0.2">
      <c r="I1178" s="1125"/>
      <c r="J1178" s="1125"/>
    </row>
    <row r="1179" spans="9:10" x14ac:dyDescent="0.2">
      <c r="I1179" s="1125"/>
      <c r="J1179" s="1125"/>
    </row>
    <row r="1180" spans="9:10" x14ac:dyDescent="0.2">
      <c r="I1180" s="1125"/>
      <c r="J1180" s="1125"/>
    </row>
    <row r="1181" spans="9:10" x14ac:dyDescent="0.2">
      <c r="I1181" s="1125"/>
      <c r="J1181" s="1125"/>
    </row>
    <row r="1182" spans="9:10" x14ac:dyDescent="0.2">
      <c r="I1182" s="1125"/>
      <c r="J1182" s="1125"/>
    </row>
    <row r="1183" spans="9:10" x14ac:dyDescent="0.2">
      <c r="I1183" s="1125"/>
      <c r="J1183" s="1125"/>
    </row>
    <row r="1184" spans="9:10" x14ac:dyDescent="0.2">
      <c r="I1184" s="1125"/>
      <c r="J1184" s="1125"/>
    </row>
    <row r="1185" spans="9:10" x14ac:dyDescent="0.2">
      <c r="I1185" s="1125"/>
      <c r="J1185" s="1125"/>
    </row>
    <row r="1186" spans="9:10" x14ac:dyDescent="0.2">
      <c r="I1186" s="1125"/>
      <c r="J1186" s="1125"/>
    </row>
    <row r="1187" spans="9:10" x14ac:dyDescent="0.2">
      <c r="I1187" s="1125"/>
      <c r="J1187" s="1125"/>
    </row>
    <row r="1188" spans="9:10" x14ac:dyDescent="0.2">
      <c r="I1188" s="1125"/>
      <c r="J1188" s="1125"/>
    </row>
    <row r="1189" spans="9:10" x14ac:dyDescent="0.2">
      <c r="I1189" s="1125"/>
      <c r="J1189" s="1125"/>
    </row>
    <row r="1190" spans="9:10" x14ac:dyDescent="0.2">
      <c r="I1190" s="1125"/>
      <c r="J1190" s="1125"/>
    </row>
    <row r="1191" spans="9:10" x14ac:dyDescent="0.2">
      <c r="I1191" s="1125"/>
      <c r="J1191" s="1125"/>
    </row>
    <row r="1192" spans="9:10" x14ac:dyDescent="0.2">
      <c r="I1192" s="1125"/>
      <c r="J1192" s="1125"/>
    </row>
    <row r="1193" spans="9:10" x14ac:dyDescent="0.2">
      <c r="I1193" s="1125"/>
      <c r="J1193" s="1125"/>
    </row>
    <row r="1194" spans="9:10" x14ac:dyDescent="0.2">
      <c r="I1194" s="1125"/>
      <c r="J1194" s="1125"/>
    </row>
    <row r="1195" spans="9:10" x14ac:dyDescent="0.2">
      <c r="I1195" s="1125"/>
      <c r="J1195" s="1125"/>
    </row>
    <row r="1196" spans="9:10" x14ac:dyDescent="0.2">
      <c r="I1196" s="1125"/>
      <c r="J1196" s="1125"/>
    </row>
    <row r="1197" spans="9:10" x14ac:dyDescent="0.2">
      <c r="I1197" s="1125"/>
      <c r="J1197" s="1125"/>
    </row>
    <row r="1198" spans="9:10" x14ac:dyDescent="0.2">
      <c r="I1198" s="1125"/>
      <c r="J1198" s="1125"/>
    </row>
    <row r="1199" spans="9:10" x14ac:dyDescent="0.2">
      <c r="I1199" s="1125"/>
      <c r="J1199" s="1125"/>
    </row>
    <row r="1200" spans="9:10" x14ac:dyDescent="0.2">
      <c r="I1200" s="1125"/>
      <c r="J1200" s="1125"/>
    </row>
    <row r="1201" spans="9:10" x14ac:dyDescent="0.2">
      <c r="I1201" s="1125"/>
      <c r="J1201" s="1125"/>
    </row>
    <row r="1202" spans="9:10" x14ac:dyDescent="0.2">
      <c r="I1202" s="1125"/>
      <c r="J1202" s="1125"/>
    </row>
    <row r="1203" spans="9:10" x14ac:dyDescent="0.2">
      <c r="I1203" s="1125"/>
      <c r="J1203" s="1125"/>
    </row>
    <row r="1204" spans="9:10" x14ac:dyDescent="0.2">
      <c r="I1204" s="1125"/>
      <c r="J1204" s="1125"/>
    </row>
    <row r="1205" spans="9:10" x14ac:dyDescent="0.2">
      <c r="I1205" s="1125"/>
      <c r="J1205" s="1125"/>
    </row>
    <row r="1206" spans="9:10" x14ac:dyDescent="0.2">
      <c r="I1206" s="1125"/>
      <c r="J1206" s="1125"/>
    </row>
    <row r="1207" spans="9:10" x14ac:dyDescent="0.2">
      <c r="I1207" s="1125"/>
      <c r="J1207" s="1125"/>
    </row>
    <row r="1208" spans="9:10" x14ac:dyDescent="0.2">
      <c r="I1208" s="1125"/>
      <c r="J1208" s="1125"/>
    </row>
    <row r="1209" spans="9:10" x14ac:dyDescent="0.2">
      <c r="I1209" s="1125"/>
      <c r="J1209" s="1125"/>
    </row>
    <row r="1210" spans="9:10" x14ac:dyDescent="0.2">
      <c r="I1210" s="1125"/>
      <c r="J1210" s="1125"/>
    </row>
    <row r="1211" spans="9:10" x14ac:dyDescent="0.2">
      <c r="I1211" s="1125"/>
      <c r="J1211" s="1125"/>
    </row>
    <row r="1212" spans="9:10" x14ac:dyDescent="0.2">
      <c r="I1212" s="1125"/>
      <c r="J1212" s="1125"/>
    </row>
    <row r="1213" spans="9:10" x14ac:dyDescent="0.2">
      <c r="I1213" s="1125"/>
      <c r="J1213" s="1125"/>
    </row>
    <row r="1214" spans="9:10" x14ac:dyDescent="0.2">
      <c r="I1214" s="1125"/>
      <c r="J1214" s="1125"/>
    </row>
    <row r="1215" spans="9:10" x14ac:dyDescent="0.2">
      <c r="I1215" s="1125"/>
      <c r="J1215" s="1125"/>
    </row>
    <row r="1216" spans="9:10" x14ac:dyDescent="0.2">
      <c r="I1216" s="1125"/>
      <c r="J1216" s="1125"/>
    </row>
    <row r="1217" spans="9:10" x14ac:dyDescent="0.2">
      <c r="I1217" s="1125"/>
      <c r="J1217" s="1125"/>
    </row>
    <row r="1218" spans="9:10" x14ac:dyDescent="0.2">
      <c r="I1218" s="1125"/>
      <c r="J1218" s="1125"/>
    </row>
    <row r="1219" spans="9:10" x14ac:dyDescent="0.2">
      <c r="I1219" s="1125"/>
      <c r="J1219" s="1125"/>
    </row>
    <row r="1220" spans="9:10" x14ac:dyDescent="0.2">
      <c r="I1220" s="1125"/>
      <c r="J1220" s="1125"/>
    </row>
    <row r="1221" spans="9:10" x14ac:dyDescent="0.2">
      <c r="I1221" s="1125"/>
      <c r="J1221" s="1125"/>
    </row>
    <row r="1222" spans="9:10" x14ac:dyDescent="0.2">
      <c r="I1222" s="1125"/>
      <c r="J1222" s="1125"/>
    </row>
    <row r="1223" spans="9:10" x14ac:dyDescent="0.2">
      <c r="I1223" s="1125"/>
      <c r="J1223" s="1125"/>
    </row>
    <row r="1224" spans="9:10" x14ac:dyDescent="0.2">
      <c r="I1224" s="1125"/>
      <c r="J1224" s="1125"/>
    </row>
    <row r="1225" spans="9:10" x14ac:dyDescent="0.2">
      <c r="I1225" s="1125"/>
      <c r="J1225" s="1125"/>
    </row>
    <row r="1226" spans="9:10" x14ac:dyDescent="0.2">
      <c r="I1226" s="1125"/>
      <c r="J1226" s="1125"/>
    </row>
    <row r="1227" spans="9:10" x14ac:dyDescent="0.2">
      <c r="I1227" s="1125"/>
      <c r="J1227" s="1125"/>
    </row>
    <row r="1228" spans="9:10" x14ac:dyDescent="0.2">
      <c r="I1228" s="1125"/>
      <c r="J1228" s="1125"/>
    </row>
    <row r="1229" spans="9:10" x14ac:dyDescent="0.2">
      <c r="I1229" s="1125"/>
      <c r="J1229" s="1125"/>
    </row>
    <row r="1230" spans="9:10" x14ac:dyDescent="0.2">
      <c r="I1230" s="1125"/>
      <c r="J1230" s="1125"/>
    </row>
    <row r="1231" spans="9:10" x14ac:dyDescent="0.2">
      <c r="I1231" s="1125"/>
      <c r="J1231" s="1125"/>
    </row>
    <row r="1232" spans="9:10" x14ac:dyDescent="0.2">
      <c r="I1232" s="1125"/>
      <c r="J1232" s="1125"/>
    </row>
    <row r="1233" spans="9:10" x14ac:dyDescent="0.2">
      <c r="I1233" s="1125"/>
      <c r="J1233" s="1125"/>
    </row>
    <row r="1234" spans="9:10" x14ac:dyDescent="0.2">
      <c r="I1234" s="1125"/>
      <c r="J1234" s="1125"/>
    </row>
    <row r="1235" spans="9:10" x14ac:dyDescent="0.2">
      <c r="I1235" s="1125"/>
      <c r="J1235" s="1125"/>
    </row>
    <row r="1236" spans="9:10" x14ac:dyDescent="0.2">
      <c r="I1236" s="1125"/>
      <c r="J1236" s="1125"/>
    </row>
    <row r="1237" spans="9:10" x14ac:dyDescent="0.2">
      <c r="I1237" s="1125"/>
      <c r="J1237" s="1125"/>
    </row>
    <row r="1238" spans="9:10" x14ac:dyDescent="0.2">
      <c r="I1238" s="1125"/>
      <c r="J1238" s="1125"/>
    </row>
    <row r="1239" spans="9:10" x14ac:dyDescent="0.2">
      <c r="I1239" s="1125"/>
      <c r="J1239" s="1125"/>
    </row>
    <row r="1240" spans="9:10" x14ac:dyDescent="0.2">
      <c r="I1240" s="1125"/>
      <c r="J1240" s="1125"/>
    </row>
    <row r="1241" spans="9:10" x14ac:dyDescent="0.2">
      <c r="I1241" s="1125"/>
      <c r="J1241" s="1125"/>
    </row>
    <row r="1242" spans="9:10" x14ac:dyDescent="0.2">
      <c r="I1242" s="1125"/>
      <c r="J1242" s="1125"/>
    </row>
    <row r="1243" spans="9:10" x14ac:dyDescent="0.2">
      <c r="I1243" s="1125"/>
      <c r="J1243" s="1125"/>
    </row>
    <row r="1244" spans="9:10" x14ac:dyDescent="0.2">
      <c r="I1244" s="1125"/>
      <c r="J1244" s="1125"/>
    </row>
    <row r="1245" spans="9:10" x14ac:dyDescent="0.2">
      <c r="I1245" s="1125"/>
      <c r="J1245" s="1125"/>
    </row>
    <row r="1246" spans="9:10" x14ac:dyDescent="0.2">
      <c r="I1246" s="1125"/>
      <c r="J1246" s="1125"/>
    </row>
    <row r="1247" spans="9:10" x14ac:dyDescent="0.2">
      <c r="I1247" s="1125"/>
      <c r="J1247" s="1125"/>
    </row>
    <row r="1248" spans="9:10" x14ac:dyDescent="0.2">
      <c r="I1248" s="1125"/>
      <c r="J1248" s="1125"/>
    </row>
    <row r="1249" spans="9:10" x14ac:dyDescent="0.2">
      <c r="I1249" s="1125"/>
      <c r="J1249" s="1125"/>
    </row>
    <row r="1250" spans="9:10" x14ac:dyDescent="0.2">
      <c r="I1250" s="1125"/>
      <c r="J1250" s="1125"/>
    </row>
    <row r="1251" spans="9:10" x14ac:dyDescent="0.2">
      <c r="I1251" s="1125"/>
      <c r="J1251" s="1125"/>
    </row>
    <row r="1252" spans="9:10" x14ac:dyDescent="0.2">
      <c r="I1252" s="1125"/>
      <c r="J1252" s="1125"/>
    </row>
    <row r="1253" spans="9:10" x14ac:dyDescent="0.2">
      <c r="I1253" s="1125"/>
      <c r="J1253" s="1125"/>
    </row>
    <row r="1254" spans="9:10" x14ac:dyDescent="0.2">
      <c r="I1254" s="1125"/>
      <c r="J1254" s="1125"/>
    </row>
    <row r="1255" spans="9:10" x14ac:dyDescent="0.2">
      <c r="I1255" s="1125"/>
      <c r="J1255" s="1125"/>
    </row>
    <row r="1256" spans="9:10" x14ac:dyDescent="0.2">
      <c r="I1256" s="1125"/>
      <c r="J1256" s="1125"/>
    </row>
    <row r="1257" spans="9:10" x14ac:dyDescent="0.2">
      <c r="I1257" s="1125"/>
      <c r="J1257" s="1125"/>
    </row>
    <row r="1258" spans="9:10" x14ac:dyDescent="0.2">
      <c r="I1258" s="1125"/>
      <c r="J1258" s="1125"/>
    </row>
    <row r="1259" spans="9:10" x14ac:dyDescent="0.2">
      <c r="I1259" s="1125"/>
      <c r="J1259" s="1125"/>
    </row>
    <row r="1260" spans="9:10" x14ac:dyDescent="0.2">
      <c r="I1260" s="1125"/>
      <c r="J1260" s="1125"/>
    </row>
    <row r="1261" spans="9:10" x14ac:dyDescent="0.2">
      <c r="I1261" s="1125"/>
      <c r="J1261" s="1125"/>
    </row>
    <row r="1262" spans="9:10" x14ac:dyDescent="0.2">
      <c r="I1262" s="1125"/>
      <c r="J1262" s="1125"/>
    </row>
    <row r="1263" spans="9:10" x14ac:dyDescent="0.2">
      <c r="I1263" s="1125"/>
      <c r="J1263" s="1125"/>
    </row>
    <row r="1264" spans="9:10" x14ac:dyDescent="0.2">
      <c r="I1264" s="1125"/>
      <c r="J1264" s="1125"/>
    </row>
    <row r="1265" spans="9:10" x14ac:dyDescent="0.2">
      <c r="I1265" s="1125"/>
      <c r="J1265" s="1125"/>
    </row>
    <row r="1266" spans="9:10" x14ac:dyDescent="0.2">
      <c r="I1266" s="1125"/>
      <c r="J1266" s="1125"/>
    </row>
    <row r="1267" spans="9:10" x14ac:dyDescent="0.2">
      <c r="I1267" s="1125"/>
      <c r="J1267" s="1125"/>
    </row>
    <row r="1268" spans="9:10" x14ac:dyDescent="0.2">
      <c r="I1268" s="1125"/>
      <c r="J1268" s="1125"/>
    </row>
    <row r="1269" spans="9:10" x14ac:dyDescent="0.2">
      <c r="I1269" s="1125"/>
      <c r="J1269" s="1125"/>
    </row>
    <row r="1270" spans="9:10" x14ac:dyDescent="0.2">
      <c r="I1270" s="1125"/>
      <c r="J1270" s="1125"/>
    </row>
    <row r="1271" spans="9:10" x14ac:dyDescent="0.2">
      <c r="I1271" s="1125"/>
      <c r="J1271" s="1125"/>
    </row>
    <row r="1272" spans="9:10" x14ac:dyDescent="0.2">
      <c r="I1272" s="1125"/>
      <c r="J1272" s="1125"/>
    </row>
    <row r="1273" spans="9:10" x14ac:dyDescent="0.2">
      <c r="I1273" s="1125"/>
      <c r="J1273" s="1125"/>
    </row>
    <row r="1274" spans="9:10" x14ac:dyDescent="0.2">
      <c r="I1274" s="1125"/>
      <c r="J1274" s="1125"/>
    </row>
    <row r="1275" spans="9:10" x14ac:dyDescent="0.2">
      <c r="I1275" s="1125"/>
      <c r="J1275" s="1125"/>
    </row>
    <row r="1276" spans="9:10" x14ac:dyDescent="0.2">
      <c r="I1276" s="1125"/>
      <c r="J1276" s="1125"/>
    </row>
    <row r="1277" spans="9:10" x14ac:dyDescent="0.2">
      <c r="I1277" s="1125"/>
      <c r="J1277" s="1125"/>
    </row>
    <row r="1278" spans="9:10" x14ac:dyDescent="0.2">
      <c r="I1278" s="1125"/>
      <c r="J1278" s="1125"/>
    </row>
    <row r="1279" spans="9:10" x14ac:dyDescent="0.2">
      <c r="I1279" s="1125"/>
      <c r="J1279" s="1125"/>
    </row>
    <row r="1280" spans="9:10" x14ac:dyDescent="0.2">
      <c r="I1280" s="1125"/>
      <c r="J1280" s="1125"/>
    </row>
    <row r="1281" spans="9:10" x14ac:dyDescent="0.2">
      <c r="I1281" s="1125"/>
      <c r="J1281" s="1125"/>
    </row>
    <row r="1282" spans="9:10" x14ac:dyDescent="0.2">
      <c r="I1282" s="1125"/>
      <c r="J1282" s="1125"/>
    </row>
    <row r="1283" spans="9:10" x14ac:dyDescent="0.2">
      <c r="I1283" s="1125"/>
      <c r="J1283" s="1125"/>
    </row>
    <row r="1284" spans="9:10" x14ac:dyDescent="0.2">
      <c r="I1284" s="1125"/>
      <c r="J1284" s="1125"/>
    </row>
    <row r="1285" spans="9:10" x14ac:dyDescent="0.2">
      <c r="I1285" s="1125"/>
      <c r="J1285" s="1125"/>
    </row>
    <row r="1286" spans="9:10" x14ac:dyDescent="0.2">
      <c r="I1286" s="1125"/>
      <c r="J1286" s="1125"/>
    </row>
    <row r="1287" spans="9:10" x14ac:dyDescent="0.2">
      <c r="I1287" s="1125"/>
      <c r="J1287" s="1125"/>
    </row>
    <row r="1288" spans="9:10" x14ac:dyDescent="0.2">
      <c r="I1288" s="1125"/>
      <c r="J1288" s="1125"/>
    </row>
    <row r="1289" spans="9:10" x14ac:dyDescent="0.2">
      <c r="I1289" s="1125"/>
      <c r="J1289" s="1125"/>
    </row>
    <row r="1290" spans="9:10" x14ac:dyDescent="0.2">
      <c r="I1290" s="1125"/>
      <c r="J1290" s="1125"/>
    </row>
    <row r="1291" spans="9:10" x14ac:dyDescent="0.2">
      <c r="I1291" s="1125"/>
      <c r="J1291" s="1125"/>
    </row>
    <row r="1292" spans="9:10" x14ac:dyDescent="0.2">
      <c r="I1292" s="1125"/>
      <c r="J1292" s="1125"/>
    </row>
    <row r="1293" spans="9:10" x14ac:dyDescent="0.2">
      <c r="I1293" s="1125"/>
      <c r="J1293" s="1125"/>
    </row>
    <row r="1294" spans="9:10" x14ac:dyDescent="0.2">
      <c r="I1294" s="1125"/>
      <c r="J1294" s="1125"/>
    </row>
    <row r="1295" spans="9:10" x14ac:dyDescent="0.2">
      <c r="I1295" s="1125"/>
      <c r="J1295" s="1125"/>
    </row>
    <row r="1296" spans="9:10" x14ac:dyDescent="0.2">
      <c r="I1296" s="1125"/>
      <c r="J1296" s="1125"/>
    </row>
    <row r="1297" spans="9:10" x14ac:dyDescent="0.2">
      <c r="I1297" s="1125"/>
      <c r="J1297" s="1125"/>
    </row>
    <row r="1298" spans="9:10" x14ac:dyDescent="0.2">
      <c r="I1298" s="1125"/>
      <c r="J1298" s="1125"/>
    </row>
    <row r="1299" spans="9:10" x14ac:dyDescent="0.2">
      <c r="I1299" s="1125"/>
      <c r="J1299" s="1125"/>
    </row>
    <row r="1300" spans="9:10" x14ac:dyDescent="0.2">
      <c r="I1300" s="1125"/>
      <c r="J1300" s="1125"/>
    </row>
    <row r="1301" spans="9:10" x14ac:dyDescent="0.2">
      <c r="I1301" s="1125"/>
      <c r="J1301" s="1125"/>
    </row>
    <row r="1302" spans="9:10" x14ac:dyDescent="0.2">
      <c r="I1302" s="1125"/>
      <c r="J1302" s="1125"/>
    </row>
    <row r="1303" spans="9:10" x14ac:dyDescent="0.2">
      <c r="I1303" s="1125"/>
      <c r="J1303" s="1125"/>
    </row>
    <row r="1304" spans="9:10" x14ac:dyDescent="0.2">
      <c r="I1304" s="1125"/>
      <c r="J1304" s="1125"/>
    </row>
    <row r="1305" spans="9:10" x14ac:dyDescent="0.2">
      <c r="I1305" s="1125"/>
      <c r="J1305" s="1125"/>
    </row>
    <row r="1306" spans="9:10" x14ac:dyDescent="0.2">
      <c r="I1306" s="1125"/>
      <c r="J1306" s="1125"/>
    </row>
    <row r="1307" spans="9:10" x14ac:dyDescent="0.2">
      <c r="I1307" s="1125"/>
      <c r="J1307" s="1125"/>
    </row>
    <row r="1308" spans="9:10" x14ac:dyDescent="0.2">
      <c r="I1308" s="1125"/>
      <c r="J1308" s="1125"/>
    </row>
    <row r="1309" spans="9:10" x14ac:dyDescent="0.2">
      <c r="I1309" s="1125"/>
      <c r="J1309" s="1125"/>
    </row>
    <row r="1310" spans="9:10" x14ac:dyDescent="0.2">
      <c r="I1310" s="1125"/>
      <c r="J1310" s="1125"/>
    </row>
    <row r="1311" spans="9:10" x14ac:dyDescent="0.2">
      <c r="I1311" s="1125"/>
      <c r="J1311" s="1125"/>
    </row>
    <row r="1312" spans="9:10" x14ac:dyDescent="0.2">
      <c r="I1312" s="1125"/>
      <c r="J1312" s="1125"/>
    </row>
    <row r="1313" spans="9:10" x14ac:dyDescent="0.2">
      <c r="I1313" s="1125"/>
      <c r="J1313" s="1125"/>
    </row>
    <row r="1314" spans="9:10" x14ac:dyDescent="0.2">
      <c r="I1314" s="1125"/>
      <c r="J1314" s="1125"/>
    </row>
    <row r="1315" spans="9:10" x14ac:dyDescent="0.2">
      <c r="I1315" s="1125"/>
      <c r="J1315" s="1125"/>
    </row>
    <row r="1316" spans="9:10" x14ac:dyDescent="0.2">
      <c r="I1316" s="1125"/>
      <c r="J1316" s="1125"/>
    </row>
    <row r="1317" spans="9:10" x14ac:dyDescent="0.2">
      <c r="I1317" s="1125"/>
      <c r="J1317" s="1125"/>
    </row>
    <row r="1318" spans="9:10" x14ac:dyDescent="0.2">
      <c r="I1318" s="1125"/>
      <c r="J1318" s="1125"/>
    </row>
    <row r="1319" spans="9:10" x14ac:dyDescent="0.2">
      <c r="I1319" s="1125"/>
      <c r="J1319" s="1125"/>
    </row>
    <row r="1320" spans="9:10" x14ac:dyDescent="0.2">
      <c r="I1320" s="1125"/>
      <c r="J1320" s="1125"/>
    </row>
    <row r="1321" spans="9:10" x14ac:dyDescent="0.2">
      <c r="I1321" s="1125"/>
      <c r="J1321" s="1125"/>
    </row>
    <row r="1322" spans="9:10" x14ac:dyDescent="0.2">
      <c r="I1322" s="1125"/>
      <c r="J1322" s="1125"/>
    </row>
    <row r="1323" spans="9:10" x14ac:dyDescent="0.2">
      <c r="I1323" s="1125"/>
      <c r="J1323" s="1125"/>
    </row>
    <row r="1324" spans="9:10" x14ac:dyDescent="0.2">
      <c r="I1324" s="1125"/>
      <c r="J1324" s="1125"/>
    </row>
    <row r="1325" spans="9:10" x14ac:dyDescent="0.2">
      <c r="I1325" s="1125"/>
      <c r="J1325" s="1125"/>
    </row>
    <row r="1326" spans="9:10" x14ac:dyDescent="0.2">
      <c r="I1326" s="1125"/>
      <c r="J1326" s="1125"/>
    </row>
    <row r="1327" spans="9:10" x14ac:dyDescent="0.2">
      <c r="I1327" s="1125"/>
      <c r="J1327" s="1125"/>
    </row>
    <row r="1328" spans="9:10" x14ac:dyDescent="0.2">
      <c r="I1328" s="1125"/>
      <c r="J1328" s="1125"/>
    </row>
    <row r="1329" spans="9:10" x14ac:dyDescent="0.2">
      <c r="I1329" s="1125"/>
      <c r="J1329" s="1125"/>
    </row>
    <row r="1330" spans="9:10" x14ac:dyDescent="0.2">
      <c r="I1330" s="1125"/>
      <c r="J1330" s="1125"/>
    </row>
    <row r="1331" spans="9:10" x14ac:dyDescent="0.2">
      <c r="I1331" s="1125"/>
      <c r="J1331" s="1125"/>
    </row>
    <row r="1332" spans="9:10" x14ac:dyDescent="0.2">
      <c r="I1332" s="1125"/>
      <c r="J1332" s="1125"/>
    </row>
    <row r="1333" spans="9:10" x14ac:dyDescent="0.2">
      <c r="I1333" s="1125"/>
      <c r="J1333" s="1125"/>
    </row>
    <row r="1334" spans="9:10" x14ac:dyDescent="0.2">
      <c r="I1334" s="1125"/>
      <c r="J1334" s="1125"/>
    </row>
    <row r="1335" spans="9:10" x14ac:dyDescent="0.2">
      <c r="I1335" s="1125"/>
      <c r="J1335" s="1125"/>
    </row>
    <row r="1336" spans="9:10" x14ac:dyDescent="0.2">
      <c r="I1336" s="1125"/>
      <c r="J1336" s="1125"/>
    </row>
    <row r="1337" spans="9:10" x14ac:dyDescent="0.2">
      <c r="I1337" s="1125"/>
      <c r="J1337" s="1125"/>
    </row>
    <row r="1338" spans="9:10" x14ac:dyDescent="0.2">
      <c r="I1338" s="1125"/>
      <c r="J1338" s="1125"/>
    </row>
    <row r="1339" spans="9:10" x14ac:dyDescent="0.2">
      <c r="I1339" s="1125"/>
      <c r="J1339" s="1125"/>
    </row>
    <row r="1340" spans="9:10" x14ac:dyDescent="0.2">
      <c r="I1340" s="1125"/>
      <c r="J1340" s="1125"/>
    </row>
    <row r="1341" spans="9:10" x14ac:dyDescent="0.2">
      <c r="I1341" s="1125"/>
      <c r="J1341" s="1125"/>
    </row>
    <row r="1342" spans="9:10" x14ac:dyDescent="0.2">
      <c r="I1342" s="1125"/>
      <c r="J1342" s="1125"/>
    </row>
    <row r="1343" spans="9:10" x14ac:dyDescent="0.2">
      <c r="I1343" s="1125"/>
      <c r="J1343" s="1125"/>
    </row>
    <row r="1344" spans="9:10" x14ac:dyDescent="0.2">
      <c r="I1344" s="1125"/>
      <c r="J1344" s="1125"/>
    </row>
    <row r="1345" spans="9:10" x14ac:dyDescent="0.2">
      <c r="I1345" s="1125"/>
      <c r="J1345" s="1125"/>
    </row>
    <row r="1346" spans="9:10" x14ac:dyDescent="0.2">
      <c r="I1346" s="1125"/>
      <c r="J1346" s="1125"/>
    </row>
    <row r="1347" spans="9:10" x14ac:dyDescent="0.2">
      <c r="I1347" s="1125"/>
      <c r="J1347" s="1125"/>
    </row>
    <row r="1348" spans="9:10" x14ac:dyDescent="0.2">
      <c r="I1348" s="1125"/>
      <c r="J1348" s="1125"/>
    </row>
    <row r="1349" spans="9:10" x14ac:dyDescent="0.2">
      <c r="I1349" s="1125"/>
      <c r="J1349" s="1125"/>
    </row>
    <row r="1350" spans="9:10" x14ac:dyDescent="0.2">
      <c r="I1350" s="1125"/>
      <c r="J1350" s="1125"/>
    </row>
    <row r="1351" spans="9:10" x14ac:dyDescent="0.2">
      <c r="I1351" s="1125"/>
      <c r="J1351" s="1125"/>
    </row>
    <row r="1352" spans="9:10" x14ac:dyDescent="0.2">
      <c r="I1352" s="1125"/>
      <c r="J1352" s="1125"/>
    </row>
    <row r="1353" spans="9:10" x14ac:dyDescent="0.2">
      <c r="I1353" s="1125"/>
      <c r="J1353" s="1125"/>
    </row>
    <row r="1354" spans="9:10" x14ac:dyDescent="0.2">
      <c r="I1354" s="1125"/>
      <c r="J1354" s="1125"/>
    </row>
    <row r="1355" spans="9:10" x14ac:dyDescent="0.2">
      <c r="I1355" s="1125"/>
      <c r="J1355" s="1125"/>
    </row>
    <row r="1356" spans="9:10" x14ac:dyDescent="0.2">
      <c r="I1356" s="1125"/>
      <c r="J1356" s="1125"/>
    </row>
    <row r="1357" spans="9:10" x14ac:dyDescent="0.2">
      <c r="I1357" s="1125"/>
      <c r="J1357" s="1125"/>
    </row>
    <row r="1358" spans="9:10" x14ac:dyDescent="0.2">
      <c r="I1358" s="1125"/>
      <c r="J1358" s="1125"/>
    </row>
    <row r="1359" spans="9:10" x14ac:dyDescent="0.2">
      <c r="I1359" s="1125"/>
      <c r="J1359" s="1125"/>
    </row>
    <row r="1360" spans="9:10" x14ac:dyDescent="0.2">
      <c r="I1360" s="1125"/>
      <c r="J1360" s="1125"/>
    </row>
    <row r="1361" spans="9:10" x14ac:dyDescent="0.2">
      <c r="I1361" s="1125"/>
      <c r="J1361" s="1125"/>
    </row>
    <row r="1362" spans="9:10" x14ac:dyDescent="0.2">
      <c r="I1362" s="1125"/>
      <c r="J1362" s="1125"/>
    </row>
    <row r="1363" spans="9:10" x14ac:dyDescent="0.2">
      <c r="I1363" s="1125"/>
      <c r="J1363" s="1125"/>
    </row>
    <row r="1364" spans="9:10" x14ac:dyDescent="0.2">
      <c r="I1364" s="1125"/>
      <c r="J1364" s="1125"/>
    </row>
    <row r="1365" spans="9:10" x14ac:dyDescent="0.2">
      <c r="I1365" s="1125"/>
      <c r="J1365" s="1125"/>
    </row>
    <row r="1366" spans="9:10" x14ac:dyDescent="0.2">
      <c r="I1366" s="1125"/>
      <c r="J1366" s="1125"/>
    </row>
    <row r="1367" spans="9:10" x14ac:dyDescent="0.2">
      <c r="I1367" s="1125"/>
      <c r="J1367" s="1125"/>
    </row>
    <row r="1368" spans="9:10" x14ac:dyDescent="0.2">
      <c r="I1368" s="1125"/>
      <c r="J1368" s="1125"/>
    </row>
    <row r="1369" spans="9:10" x14ac:dyDescent="0.2">
      <c r="I1369" s="1125"/>
      <c r="J1369" s="1125"/>
    </row>
    <row r="1370" spans="9:10" x14ac:dyDescent="0.2">
      <c r="I1370" s="1125"/>
      <c r="J1370" s="1125"/>
    </row>
    <row r="1371" spans="9:10" x14ac:dyDescent="0.2">
      <c r="I1371" s="1125"/>
      <c r="J1371" s="1125"/>
    </row>
    <row r="1372" spans="9:10" x14ac:dyDescent="0.2">
      <c r="I1372" s="1125"/>
      <c r="J1372" s="1125"/>
    </row>
    <row r="1373" spans="9:10" x14ac:dyDescent="0.2">
      <c r="I1373" s="1125"/>
      <c r="J1373" s="1125"/>
    </row>
    <row r="1374" spans="9:10" x14ac:dyDescent="0.2">
      <c r="I1374" s="1125"/>
      <c r="J1374" s="1125"/>
    </row>
    <row r="1375" spans="9:10" x14ac:dyDescent="0.2">
      <c r="I1375" s="1125"/>
      <c r="J1375" s="1125"/>
    </row>
    <row r="1376" spans="9:10" x14ac:dyDescent="0.2">
      <c r="I1376" s="1125"/>
      <c r="J1376" s="1125"/>
    </row>
    <row r="1377" spans="9:10" x14ac:dyDescent="0.2">
      <c r="I1377" s="1125"/>
      <c r="J1377" s="1125"/>
    </row>
    <row r="1378" spans="9:10" x14ac:dyDescent="0.2">
      <c r="I1378" s="1125"/>
      <c r="J1378" s="1125"/>
    </row>
    <row r="1379" spans="9:10" x14ac:dyDescent="0.2">
      <c r="I1379" s="1125"/>
      <c r="J1379" s="1125"/>
    </row>
    <row r="1380" spans="9:10" x14ac:dyDescent="0.2">
      <c r="I1380" s="1125"/>
      <c r="J1380" s="1125"/>
    </row>
    <row r="1381" spans="9:10" x14ac:dyDescent="0.2">
      <c r="I1381" s="1125"/>
      <c r="J1381" s="1125"/>
    </row>
    <row r="1382" spans="9:10" x14ac:dyDescent="0.2">
      <c r="I1382" s="1125"/>
      <c r="J1382" s="1125"/>
    </row>
    <row r="1383" spans="9:10" x14ac:dyDescent="0.2">
      <c r="I1383" s="1125"/>
      <c r="J1383" s="1125"/>
    </row>
    <row r="1384" spans="9:10" x14ac:dyDescent="0.2">
      <c r="I1384" s="1125"/>
      <c r="J1384" s="1125"/>
    </row>
    <row r="1385" spans="9:10" x14ac:dyDescent="0.2">
      <c r="I1385" s="1125"/>
      <c r="J1385" s="1125"/>
    </row>
    <row r="1386" spans="9:10" x14ac:dyDescent="0.2">
      <c r="I1386" s="1125"/>
      <c r="J1386" s="1125"/>
    </row>
    <row r="1387" spans="9:10" x14ac:dyDescent="0.2">
      <c r="I1387" s="1125"/>
      <c r="J1387" s="1125"/>
    </row>
    <row r="1388" spans="9:10" x14ac:dyDescent="0.2">
      <c r="I1388" s="1125"/>
      <c r="J1388" s="1125"/>
    </row>
    <row r="1389" spans="9:10" x14ac:dyDescent="0.2">
      <c r="I1389" s="1125"/>
      <c r="J1389" s="1125"/>
    </row>
    <row r="1390" spans="9:10" x14ac:dyDescent="0.2">
      <c r="I1390" s="1125"/>
      <c r="J1390" s="1125"/>
    </row>
    <row r="1391" spans="9:10" x14ac:dyDescent="0.2">
      <c r="I1391" s="1125"/>
      <c r="J1391" s="1125"/>
    </row>
    <row r="1392" spans="9:10" x14ac:dyDescent="0.2">
      <c r="I1392" s="1125"/>
      <c r="J1392" s="1125"/>
    </row>
    <row r="1393" spans="9:10" x14ac:dyDescent="0.2">
      <c r="I1393" s="1125"/>
      <c r="J1393" s="1125"/>
    </row>
    <row r="1394" spans="9:10" x14ac:dyDescent="0.2">
      <c r="I1394" s="1125"/>
      <c r="J1394" s="1125"/>
    </row>
    <row r="1395" spans="9:10" x14ac:dyDescent="0.2">
      <c r="I1395" s="1125"/>
      <c r="J1395" s="1125"/>
    </row>
    <row r="1396" spans="9:10" x14ac:dyDescent="0.2">
      <c r="I1396" s="1125"/>
      <c r="J1396" s="1125"/>
    </row>
    <row r="1397" spans="9:10" x14ac:dyDescent="0.2">
      <c r="I1397" s="1125"/>
      <c r="J1397" s="1125"/>
    </row>
    <row r="1398" spans="9:10" x14ac:dyDescent="0.2">
      <c r="I1398" s="1125"/>
      <c r="J1398" s="1125"/>
    </row>
    <row r="1399" spans="9:10" x14ac:dyDescent="0.2">
      <c r="I1399" s="1125"/>
      <c r="J1399" s="1125"/>
    </row>
    <row r="1400" spans="9:10" x14ac:dyDescent="0.2">
      <c r="I1400" s="1125"/>
      <c r="J1400" s="1125"/>
    </row>
    <row r="1401" spans="9:10" x14ac:dyDescent="0.2">
      <c r="I1401" s="1125"/>
      <c r="J1401" s="1125"/>
    </row>
    <row r="1402" spans="9:10" x14ac:dyDescent="0.2">
      <c r="I1402" s="1125"/>
      <c r="J1402" s="1125"/>
    </row>
    <row r="1403" spans="9:10" x14ac:dyDescent="0.2">
      <c r="I1403" s="1125"/>
      <c r="J1403" s="1125"/>
    </row>
    <row r="1404" spans="9:10" x14ac:dyDescent="0.2">
      <c r="I1404" s="1125"/>
      <c r="J1404" s="1125"/>
    </row>
    <row r="1405" spans="9:10" x14ac:dyDescent="0.2">
      <c r="I1405" s="1125"/>
      <c r="J1405" s="1125"/>
    </row>
    <row r="1406" spans="9:10" x14ac:dyDescent="0.2">
      <c r="I1406" s="1125"/>
      <c r="J1406" s="1125"/>
    </row>
    <row r="1407" spans="9:10" x14ac:dyDescent="0.2">
      <c r="I1407" s="1125"/>
      <c r="J1407" s="1125"/>
    </row>
    <row r="1408" spans="9:10" x14ac:dyDescent="0.2">
      <c r="I1408" s="1125"/>
      <c r="J1408" s="1125"/>
    </row>
    <row r="1409" spans="9:10" x14ac:dyDescent="0.2">
      <c r="I1409" s="1125"/>
      <c r="J1409" s="1125"/>
    </row>
    <row r="1410" spans="9:10" x14ac:dyDescent="0.2">
      <c r="I1410" s="1125"/>
      <c r="J1410" s="1125"/>
    </row>
    <row r="1411" spans="9:10" x14ac:dyDescent="0.2">
      <c r="I1411" s="1125"/>
      <c r="J1411" s="1125"/>
    </row>
    <row r="1412" spans="9:10" x14ac:dyDescent="0.2">
      <c r="I1412" s="1125"/>
      <c r="J1412" s="1125"/>
    </row>
    <row r="1413" spans="9:10" x14ac:dyDescent="0.2">
      <c r="I1413" s="1125"/>
      <c r="J1413" s="1125"/>
    </row>
    <row r="1414" spans="9:10" x14ac:dyDescent="0.2">
      <c r="I1414" s="1125"/>
      <c r="J1414" s="1125"/>
    </row>
    <row r="1415" spans="9:10" x14ac:dyDescent="0.2">
      <c r="I1415" s="1125"/>
      <c r="J1415" s="1125"/>
    </row>
    <row r="1416" spans="9:10" x14ac:dyDescent="0.2">
      <c r="I1416" s="1125"/>
      <c r="J1416" s="1125"/>
    </row>
    <row r="1417" spans="9:10" x14ac:dyDescent="0.2">
      <c r="I1417" s="1125"/>
      <c r="J1417" s="1125"/>
    </row>
    <row r="1418" spans="9:10" x14ac:dyDescent="0.2">
      <c r="I1418" s="1125"/>
      <c r="J1418" s="1125"/>
    </row>
    <row r="1419" spans="9:10" x14ac:dyDescent="0.2">
      <c r="I1419" s="1125"/>
      <c r="J1419" s="1125"/>
    </row>
    <row r="1420" spans="9:10" x14ac:dyDescent="0.2">
      <c r="I1420" s="1125"/>
      <c r="J1420" s="1125"/>
    </row>
    <row r="1421" spans="9:10" x14ac:dyDescent="0.2">
      <c r="I1421" s="1125"/>
      <c r="J1421" s="1125"/>
    </row>
    <row r="1422" spans="9:10" x14ac:dyDescent="0.2">
      <c r="I1422" s="1125"/>
      <c r="J1422" s="1125"/>
    </row>
    <row r="1423" spans="9:10" x14ac:dyDescent="0.2">
      <c r="I1423" s="1125"/>
      <c r="J1423" s="1125"/>
    </row>
    <row r="1424" spans="9:10" x14ac:dyDescent="0.2">
      <c r="I1424" s="1125"/>
      <c r="J1424" s="1125"/>
    </row>
    <row r="1425" spans="9:10" x14ac:dyDescent="0.2">
      <c r="I1425" s="1125"/>
      <c r="J1425" s="1125"/>
    </row>
    <row r="1426" spans="9:10" x14ac:dyDescent="0.2">
      <c r="I1426" s="1125"/>
      <c r="J1426" s="1125"/>
    </row>
    <row r="1427" spans="9:10" x14ac:dyDescent="0.2">
      <c r="I1427" s="1125"/>
      <c r="J1427" s="1125"/>
    </row>
    <row r="1428" spans="9:10" x14ac:dyDescent="0.2">
      <c r="I1428" s="1125"/>
      <c r="J1428" s="1125"/>
    </row>
    <row r="1429" spans="9:10" x14ac:dyDescent="0.2">
      <c r="I1429" s="1125"/>
      <c r="J1429" s="1125"/>
    </row>
    <row r="1430" spans="9:10" x14ac:dyDescent="0.2">
      <c r="I1430" s="1125"/>
      <c r="J1430" s="1125"/>
    </row>
    <row r="1431" spans="9:10" x14ac:dyDescent="0.2">
      <c r="I1431" s="1125"/>
      <c r="J1431" s="1125"/>
    </row>
    <row r="1432" spans="9:10" x14ac:dyDescent="0.2">
      <c r="I1432" s="1125"/>
      <c r="J1432" s="1125"/>
    </row>
    <row r="1433" spans="9:10" x14ac:dyDescent="0.2">
      <c r="I1433" s="1125"/>
      <c r="J1433" s="1125"/>
    </row>
    <row r="1434" spans="9:10" x14ac:dyDescent="0.2">
      <c r="I1434" s="1125"/>
      <c r="J1434" s="1125"/>
    </row>
    <row r="1435" spans="9:10" x14ac:dyDescent="0.2">
      <c r="I1435" s="1125"/>
      <c r="J1435" s="1125"/>
    </row>
    <row r="1436" spans="9:10" x14ac:dyDescent="0.2">
      <c r="I1436" s="1125"/>
      <c r="J1436" s="1125"/>
    </row>
    <row r="1437" spans="9:10" x14ac:dyDescent="0.2">
      <c r="I1437" s="1125"/>
      <c r="J1437" s="1125"/>
    </row>
    <row r="1438" spans="9:10" x14ac:dyDescent="0.2">
      <c r="I1438" s="1125"/>
      <c r="J1438" s="1125"/>
    </row>
    <row r="1439" spans="9:10" x14ac:dyDescent="0.2">
      <c r="I1439" s="1125"/>
      <c r="J1439" s="1125"/>
    </row>
    <row r="1440" spans="9:10" x14ac:dyDescent="0.2">
      <c r="I1440" s="1125"/>
      <c r="J1440" s="1125"/>
    </row>
    <row r="1441" spans="9:10" x14ac:dyDescent="0.2">
      <c r="I1441" s="1125"/>
      <c r="J1441" s="1125"/>
    </row>
    <row r="1442" spans="9:10" x14ac:dyDescent="0.2">
      <c r="I1442" s="1125"/>
      <c r="J1442" s="1125"/>
    </row>
    <row r="1443" spans="9:10" x14ac:dyDescent="0.2">
      <c r="I1443" s="1125"/>
      <c r="J1443" s="1125"/>
    </row>
    <row r="1444" spans="9:10" x14ac:dyDescent="0.2">
      <c r="I1444" s="1125"/>
      <c r="J1444" s="1125"/>
    </row>
    <row r="1445" spans="9:10" x14ac:dyDescent="0.2">
      <c r="I1445" s="1125"/>
      <c r="J1445" s="1125"/>
    </row>
    <row r="1446" spans="9:10" x14ac:dyDescent="0.2">
      <c r="I1446" s="1125"/>
      <c r="J1446" s="1125"/>
    </row>
    <row r="1447" spans="9:10" x14ac:dyDescent="0.2">
      <c r="I1447" s="1125"/>
      <c r="J1447" s="1125"/>
    </row>
    <row r="1448" spans="9:10" x14ac:dyDescent="0.2">
      <c r="I1448" s="1125"/>
      <c r="J1448" s="1125"/>
    </row>
    <row r="1449" spans="9:10" x14ac:dyDescent="0.2">
      <c r="I1449" s="1125"/>
      <c r="J1449" s="1125"/>
    </row>
    <row r="1450" spans="9:10" x14ac:dyDescent="0.2">
      <c r="I1450" s="1125"/>
      <c r="J1450" s="1125"/>
    </row>
    <row r="1451" spans="9:10" x14ac:dyDescent="0.2">
      <c r="I1451" s="1125"/>
      <c r="J1451" s="1125"/>
    </row>
    <row r="1452" spans="9:10" x14ac:dyDescent="0.2">
      <c r="I1452" s="1125"/>
      <c r="J1452" s="1125"/>
    </row>
    <row r="1453" spans="9:10" x14ac:dyDescent="0.2">
      <c r="I1453" s="1125"/>
      <c r="J1453" s="1125"/>
    </row>
    <row r="1454" spans="9:10" x14ac:dyDescent="0.2">
      <c r="I1454" s="1125"/>
      <c r="J1454" s="1125"/>
    </row>
    <row r="1455" spans="9:10" x14ac:dyDescent="0.2">
      <c r="I1455" s="1125"/>
      <c r="J1455" s="1125"/>
    </row>
    <row r="1456" spans="9:10" x14ac:dyDescent="0.2">
      <c r="I1456" s="1125"/>
      <c r="J1456" s="1125"/>
    </row>
    <row r="1457" spans="9:10" x14ac:dyDescent="0.2">
      <c r="I1457" s="1125"/>
      <c r="J1457" s="1125"/>
    </row>
    <row r="1458" spans="9:10" x14ac:dyDescent="0.2">
      <c r="I1458" s="1125"/>
      <c r="J1458" s="1125"/>
    </row>
    <row r="1459" spans="9:10" x14ac:dyDescent="0.2">
      <c r="I1459" s="1125"/>
      <c r="J1459" s="1125"/>
    </row>
    <row r="1460" spans="9:10" x14ac:dyDescent="0.2">
      <c r="I1460" s="1125"/>
      <c r="J1460" s="1125"/>
    </row>
    <row r="1461" spans="9:10" x14ac:dyDescent="0.2">
      <c r="I1461" s="1125"/>
      <c r="J1461" s="1125"/>
    </row>
    <row r="1462" spans="9:10" x14ac:dyDescent="0.2">
      <c r="I1462" s="1125"/>
      <c r="J1462" s="1125"/>
    </row>
    <row r="1463" spans="9:10" x14ac:dyDescent="0.2">
      <c r="I1463" s="1125"/>
      <c r="J1463" s="1125"/>
    </row>
    <row r="1464" spans="9:10" x14ac:dyDescent="0.2">
      <c r="I1464" s="1125"/>
      <c r="J1464" s="1125"/>
    </row>
    <row r="1465" spans="9:10" x14ac:dyDescent="0.2">
      <c r="I1465" s="1125"/>
      <c r="J1465" s="1125"/>
    </row>
    <row r="1466" spans="9:10" x14ac:dyDescent="0.2">
      <c r="I1466" s="1125"/>
      <c r="J1466" s="1125"/>
    </row>
    <row r="1467" spans="9:10" x14ac:dyDescent="0.2">
      <c r="I1467" s="1125"/>
      <c r="J1467" s="1125"/>
    </row>
    <row r="1468" spans="9:10" x14ac:dyDescent="0.2">
      <c r="I1468" s="1125"/>
      <c r="J1468" s="1125"/>
    </row>
    <row r="1469" spans="9:10" x14ac:dyDescent="0.2">
      <c r="I1469" s="1125"/>
      <c r="J1469" s="1125"/>
    </row>
    <row r="1470" spans="9:10" x14ac:dyDescent="0.2">
      <c r="I1470" s="1125"/>
      <c r="J1470" s="1125"/>
    </row>
    <row r="1471" spans="9:10" x14ac:dyDescent="0.2">
      <c r="I1471" s="1125"/>
      <c r="J1471" s="1125"/>
    </row>
    <row r="1472" spans="9:10" x14ac:dyDescent="0.2">
      <c r="I1472" s="1125"/>
      <c r="J1472" s="1125"/>
    </row>
    <row r="1473" spans="9:10" x14ac:dyDescent="0.2">
      <c r="I1473" s="1125"/>
      <c r="J1473" s="1125"/>
    </row>
    <row r="1474" spans="9:10" x14ac:dyDescent="0.2">
      <c r="I1474" s="1125"/>
      <c r="J1474" s="1125"/>
    </row>
    <row r="1475" spans="9:10" x14ac:dyDescent="0.2">
      <c r="I1475" s="1125"/>
      <c r="J1475" s="1125"/>
    </row>
    <row r="1476" spans="9:10" x14ac:dyDescent="0.2">
      <c r="I1476" s="1125"/>
      <c r="J1476" s="1125"/>
    </row>
    <row r="1477" spans="9:10" x14ac:dyDescent="0.2">
      <c r="I1477" s="1125"/>
      <c r="J1477" s="1125"/>
    </row>
    <row r="1478" spans="9:10" x14ac:dyDescent="0.2">
      <c r="I1478" s="1125"/>
      <c r="J1478" s="1125"/>
    </row>
    <row r="1479" spans="9:10" x14ac:dyDescent="0.2">
      <c r="I1479" s="1125"/>
      <c r="J1479" s="1125"/>
    </row>
    <row r="1480" spans="9:10" x14ac:dyDescent="0.2">
      <c r="I1480" s="1125"/>
      <c r="J1480" s="1125"/>
    </row>
    <row r="1481" spans="9:10" x14ac:dyDescent="0.2">
      <c r="I1481" s="1125"/>
      <c r="J1481" s="1125"/>
    </row>
    <row r="1482" spans="9:10" x14ac:dyDescent="0.2">
      <c r="I1482" s="1125"/>
      <c r="J1482" s="1125"/>
    </row>
    <row r="1483" spans="9:10" x14ac:dyDescent="0.2">
      <c r="I1483" s="1125"/>
      <c r="J1483" s="1125"/>
    </row>
    <row r="1484" spans="9:10" x14ac:dyDescent="0.2">
      <c r="I1484" s="1125"/>
      <c r="J1484" s="1125"/>
    </row>
    <row r="1485" spans="9:10" x14ac:dyDescent="0.2">
      <c r="I1485" s="1125"/>
      <c r="J1485" s="1125"/>
    </row>
    <row r="1486" spans="9:10" x14ac:dyDescent="0.2">
      <c r="I1486" s="1125"/>
      <c r="J1486" s="1125"/>
    </row>
    <row r="1487" spans="9:10" x14ac:dyDescent="0.2">
      <c r="I1487" s="1125"/>
      <c r="J1487" s="1125"/>
    </row>
    <row r="1488" spans="9:10" x14ac:dyDescent="0.2">
      <c r="I1488" s="1125"/>
      <c r="J1488" s="1125"/>
    </row>
    <row r="1489" spans="9:10" x14ac:dyDescent="0.2">
      <c r="I1489" s="1125"/>
      <c r="J1489" s="1125"/>
    </row>
    <row r="1490" spans="9:10" x14ac:dyDescent="0.2">
      <c r="I1490" s="1125"/>
      <c r="J1490" s="1125"/>
    </row>
    <row r="1491" spans="9:10" x14ac:dyDescent="0.2">
      <c r="I1491" s="1125"/>
      <c r="J1491" s="1125"/>
    </row>
    <row r="1492" spans="9:10" x14ac:dyDescent="0.2">
      <c r="I1492" s="1125"/>
      <c r="J1492" s="1125"/>
    </row>
    <row r="1493" spans="9:10" x14ac:dyDescent="0.2">
      <c r="I1493" s="1125"/>
      <c r="J1493" s="1125"/>
    </row>
    <row r="1494" spans="9:10" x14ac:dyDescent="0.2">
      <c r="I1494" s="1125"/>
      <c r="J1494" s="1125"/>
    </row>
    <row r="1495" spans="9:10" x14ac:dyDescent="0.2">
      <c r="I1495" s="1125"/>
      <c r="J1495" s="1125"/>
    </row>
    <row r="1496" spans="9:10" x14ac:dyDescent="0.2">
      <c r="I1496" s="1125"/>
      <c r="J1496" s="1125"/>
    </row>
    <row r="1497" spans="9:10" x14ac:dyDescent="0.2">
      <c r="I1497" s="1125"/>
      <c r="J1497" s="1125"/>
    </row>
    <row r="1498" spans="9:10" x14ac:dyDescent="0.2">
      <c r="I1498" s="1125"/>
      <c r="J1498" s="1125"/>
    </row>
    <row r="1499" spans="9:10" x14ac:dyDescent="0.2">
      <c r="I1499" s="1125"/>
      <c r="J1499" s="1125"/>
    </row>
    <row r="1500" spans="9:10" x14ac:dyDescent="0.2">
      <c r="I1500" s="1125"/>
      <c r="J1500" s="1125"/>
    </row>
    <row r="1501" spans="9:10" x14ac:dyDescent="0.2">
      <c r="I1501" s="1125"/>
      <c r="J1501" s="1125"/>
    </row>
    <row r="1502" spans="9:10" x14ac:dyDescent="0.2">
      <c r="I1502" s="1125"/>
      <c r="J1502" s="1125"/>
    </row>
    <row r="1503" spans="9:10" x14ac:dyDescent="0.2">
      <c r="I1503" s="1125"/>
      <c r="J1503" s="1125"/>
    </row>
    <row r="1504" spans="9:10" x14ac:dyDescent="0.2">
      <c r="I1504" s="1125"/>
      <c r="J1504" s="1125"/>
    </row>
    <row r="1505" spans="9:10" x14ac:dyDescent="0.2">
      <c r="I1505" s="1125"/>
      <c r="J1505" s="1125"/>
    </row>
    <row r="1506" spans="9:10" x14ac:dyDescent="0.2">
      <c r="I1506" s="1125"/>
      <c r="J1506" s="1125"/>
    </row>
    <row r="1507" spans="9:10" x14ac:dyDescent="0.2">
      <c r="I1507" s="1125"/>
      <c r="J1507" s="1125"/>
    </row>
    <row r="1508" spans="9:10" x14ac:dyDescent="0.2">
      <c r="I1508" s="1125"/>
      <c r="J1508" s="1125"/>
    </row>
    <row r="1509" spans="9:10" x14ac:dyDescent="0.2">
      <c r="I1509" s="1125"/>
      <c r="J1509" s="1125"/>
    </row>
    <row r="1510" spans="9:10" x14ac:dyDescent="0.2">
      <c r="I1510" s="1125"/>
      <c r="J1510" s="1125"/>
    </row>
    <row r="1511" spans="9:10" x14ac:dyDescent="0.2">
      <c r="I1511" s="1125"/>
      <c r="J1511" s="1125"/>
    </row>
    <row r="1512" spans="9:10" x14ac:dyDescent="0.2">
      <c r="I1512" s="1125"/>
      <c r="J1512" s="1125"/>
    </row>
    <row r="1513" spans="9:10" x14ac:dyDescent="0.2">
      <c r="I1513" s="1125"/>
      <c r="J1513" s="1125"/>
    </row>
    <row r="1514" spans="9:10" x14ac:dyDescent="0.2">
      <c r="I1514" s="1125"/>
      <c r="J1514" s="1125"/>
    </row>
    <row r="1515" spans="9:10" x14ac:dyDescent="0.2">
      <c r="I1515" s="1125"/>
      <c r="J1515" s="1125"/>
    </row>
    <row r="1516" spans="9:10" x14ac:dyDescent="0.2">
      <c r="I1516" s="1125"/>
      <c r="J1516" s="1125"/>
    </row>
    <row r="1517" spans="9:10" x14ac:dyDescent="0.2">
      <c r="I1517" s="1125"/>
      <c r="J1517" s="1125"/>
    </row>
    <row r="1518" spans="9:10" x14ac:dyDescent="0.2">
      <c r="I1518" s="1125"/>
      <c r="J1518" s="1125"/>
    </row>
    <row r="1519" spans="9:10" x14ac:dyDescent="0.2">
      <c r="I1519" s="1125"/>
      <c r="J1519" s="1125"/>
    </row>
    <row r="1520" spans="9:10" x14ac:dyDescent="0.2">
      <c r="I1520" s="1125"/>
      <c r="J1520" s="1125"/>
    </row>
    <row r="1521" spans="9:10" x14ac:dyDescent="0.2">
      <c r="I1521" s="1125"/>
      <c r="J1521" s="1125"/>
    </row>
    <row r="1522" spans="9:10" x14ac:dyDescent="0.2">
      <c r="I1522" s="1125"/>
      <c r="J1522" s="1125"/>
    </row>
    <row r="1523" spans="9:10" x14ac:dyDescent="0.2">
      <c r="I1523" s="1125"/>
      <c r="J1523" s="1125"/>
    </row>
    <row r="1524" spans="9:10" x14ac:dyDescent="0.2">
      <c r="I1524" s="1125"/>
      <c r="J1524" s="1125"/>
    </row>
    <row r="1525" spans="9:10" x14ac:dyDescent="0.2">
      <c r="I1525" s="1125"/>
      <c r="J1525" s="1125"/>
    </row>
    <row r="1526" spans="9:10" x14ac:dyDescent="0.2">
      <c r="I1526" s="1125"/>
      <c r="J1526" s="1125"/>
    </row>
    <row r="1527" spans="9:10" x14ac:dyDescent="0.2">
      <c r="I1527" s="1125"/>
      <c r="J1527" s="1125"/>
    </row>
    <row r="1528" spans="9:10" x14ac:dyDescent="0.2">
      <c r="I1528" s="1125"/>
      <c r="J1528" s="1125"/>
    </row>
    <row r="1529" spans="9:10" x14ac:dyDescent="0.2">
      <c r="I1529" s="1125"/>
      <c r="J1529" s="1125"/>
    </row>
    <row r="1530" spans="9:10" x14ac:dyDescent="0.2">
      <c r="I1530" s="1125"/>
      <c r="J1530" s="1125"/>
    </row>
    <row r="1531" spans="9:10" x14ac:dyDescent="0.2">
      <c r="I1531" s="1125"/>
      <c r="J1531" s="1125"/>
    </row>
    <row r="1532" spans="9:10" x14ac:dyDescent="0.2">
      <c r="I1532" s="1125"/>
      <c r="J1532" s="1125"/>
    </row>
    <row r="1533" spans="9:10" x14ac:dyDescent="0.2">
      <c r="I1533" s="1125"/>
      <c r="J1533" s="1125"/>
    </row>
    <row r="1534" spans="9:10" x14ac:dyDescent="0.2">
      <c r="I1534" s="1125"/>
      <c r="J1534" s="1125"/>
    </row>
    <row r="1535" spans="9:10" x14ac:dyDescent="0.2">
      <c r="I1535" s="1125"/>
      <c r="J1535" s="1125"/>
    </row>
    <row r="1536" spans="9:10" x14ac:dyDescent="0.2">
      <c r="I1536" s="1125"/>
      <c r="J1536" s="1125"/>
    </row>
    <row r="1537" spans="9:10" x14ac:dyDescent="0.2">
      <c r="I1537" s="1125"/>
      <c r="J1537" s="1125"/>
    </row>
    <row r="1538" spans="9:10" x14ac:dyDescent="0.2">
      <c r="I1538" s="1125"/>
      <c r="J1538" s="1125"/>
    </row>
    <row r="1539" spans="9:10" x14ac:dyDescent="0.2">
      <c r="I1539" s="1125"/>
      <c r="J1539" s="1125"/>
    </row>
    <row r="1540" spans="9:10" x14ac:dyDescent="0.2">
      <c r="I1540" s="1125"/>
      <c r="J1540" s="1125"/>
    </row>
    <row r="1541" spans="9:10" x14ac:dyDescent="0.2">
      <c r="I1541" s="1125"/>
      <c r="J1541" s="1125"/>
    </row>
    <row r="1542" spans="9:10" x14ac:dyDescent="0.2">
      <c r="I1542" s="1125"/>
      <c r="J1542" s="1125"/>
    </row>
    <row r="1543" spans="9:10" x14ac:dyDescent="0.2">
      <c r="I1543" s="1125"/>
      <c r="J1543" s="1125"/>
    </row>
    <row r="1544" spans="9:10" x14ac:dyDescent="0.2">
      <c r="I1544" s="1125"/>
      <c r="J1544" s="1125"/>
    </row>
    <row r="1545" spans="9:10" x14ac:dyDescent="0.2">
      <c r="I1545" s="1125"/>
      <c r="J1545" s="1125"/>
    </row>
    <row r="1546" spans="9:10" x14ac:dyDescent="0.2">
      <c r="I1546" s="1125"/>
      <c r="J1546" s="1125"/>
    </row>
    <row r="1547" spans="9:10" x14ac:dyDescent="0.2">
      <c r="I1547" s="1125"/>
      <c r="J1547" s="1125"/>
    </row>
    <row r="1548" spans="9:10" x14ac:dyDescent="0.2">
      <c r="I1548" s="1125"/>
      <c r="J1548" s="1125"/>
    </row>
    <row r="1549" spans="9:10" x14ac:dyDescent="0.2">
      <c r="I1549" s="1125"/>
      <c r="J1549" s="1125"/>
    </row>
    <row r="1550" spans="9:10" x14ac:dyDescent="0.2">
      <c r="I1550" s="1125"/>
      <c r="J1550" s="1125"/>
    </row>
    <row r="1551" spans="9:10" x14ac:dyDescent="0.2">
      <c r="I1551" s="1125"/>
      <c r="J1551" s="1125"/>
    </row>
    <row r="1552" spans="9:10" x14ac:dyDescent="0.2">
      <c r="I1552" s="1125"/>
      <c r="J1552" s="1125"/>
    </row>
    <row r="1553" spans="9:10" x14ac:dyDescent="0.2">
      <c r="I1553" s="1125"/>
      <c r="J1553" s="1125"/>
    </row>
    <row r="1554" spans="9:10" x14ac:dyDescent="0.2">
      <c r="I1554" s="1125"/>
      <c r="J1554" s="1125"/>
    </row>
    <row r="1555" spans="9:10" x14ac:dyDescent="0.2">
      <c r="I1555" s="1125"/>
      <c r="J1555" s="1125"/>
    </row>
    <row r="1556" spans="9:10" x14ac:dyDescent="0.2">
      <c r="I1556" s="1125"/>
      <c r="J1556" s="1125"/>
    </row>
    <row r="1557" spans="9:10" x14ac:dyDescent="0.2">
      <c r="I1557" s="1125"/>
      <c r="J1557" s="1125"/>
    </row>
    <row r="1558" spans="9:10" x14ac:dyDescent="0.2">
      <c r="I1558" s="1125"/>
      <c r="J1558" s="1125"/>
    </row>
    <row r="1559" spans="9:10" x14ac:dyDescent="0.2">
      <c r="I1559" s="1125"/>
      <c r="J1559" s="1125"/>
    </row>
    <row r="1560" spans="9:10" x14ac:dyDescent="0.2">
      <c r="I1560" s="1125"/>
      <c r="J1560" s="1125"/>
    </row>
    <row r="1561" spans="9:10" x14ac:dyDescent="0.2">
      <c r="I1561" s="1125"/>
      <c r="J1561" s="1125"/>
    </row>
    <row r="1562" spans="9:10" x14ac:dyDescent="0.2">
      <c r="I1562" s="1125"/>
      <c r="J1562" s="1125"/>
    </row>
    <row r="1563" spans="9:10" x14ac:dyDescent="0.2">
      <c r="I1563" s="1125"/>
      <c r="J1563" s="1125"/>
    </row>
    <row r="1564" spans="9:10" x14ac:dyDescent="0.2">
      <c r="I1564" s="1125"/>
      <c r="J1564" s="1125"/>
    </row>
    <row r="1565" spans="9:10" x14ac:dyDescent="0.2">
      <c r="I1565" s="1125"/>
      <c r="J1565" s="1125"/>
    </row>
    <row r="1566" spans="9:10" x14ac:dyDescent="0.2">
      <c r="I1566" s="1125"/>
      <c r="J1566" s="1125"/>
    </row>
    <row r="1567" spans="9:10" x14ac:dyDescent="0.2">
      <c r="I1567" s="1125"/>
      <c r="J1567" s="1125"/>
    </row>
    <row r="1568" spans="9:10" x14ac:dyDescent="0.2">
      <c r="I1568" s="1125"/>
      <c r="J1568" s="1125"/>
    </row>
    <row r="1569" spans="9:10" x14ac:dyDescent="0.2">
      <c r="I1569" s="1125"/>
      <c r="J1569" s="1125"/>
    </row>
    <row r="1570" spans="9:10" x14ac:dyDescent="0.2">
      <c r="I1570" s="1125"/>
      <c r="J1570" s="1125"/>
    </row>
    <row r="1571" spans="9:10" x14ac:dyDescent="0.2">
      <c r="I1571" s="1125"/>
      <c r="J1571" s="1125"/>
    </row>
    <row r="1572" spans="9:10" x14ac:dyDescent="0.2">
      <c r="I1572" s="1125"/>
      <c r="J1572" s="1125"/>
    </row>
    <row r="1573" spans="9:10" x14ac:dyDescent="0.2">
      <c r="I1573" s="1125"/>
      <c r="J1573" s="1125"/>
    </row>
    <row r="1574" spans="9:10" x14ac:dyDescent="0.2">
      <c r="I1574" s="1125"/>
      <c r="J1574" s="1125"/>
    </row>
    <row r="1575" spans="9:10" x14ac:dyDescent="0.2">
      <c r="I1575" s="1125"/>
      <c r="J1575" s="1125"/>
    </row>
    <row r="1576" spans="9:10" x14ac:dyDescent="0.2">
      <c r="I1576" s="1125"/>
      <c r="J1576" s="1125"/>
    </row>
    <row r="1577" spans="9:10" x14ac:dyDescent="0.2">
      <c r="I1577" s="1125"/>
      <c r="J1577" s="1125"/>
    </row>
    <row r="1578" spans="9:10" x14ac:dyDescent="0.2">
      <c r="I1578" s="1125"/>
      <c r="J1578" s="1125"/>
    </row>
    <row r="1579" spans="9:10" x14ac:dyDescent="0.2">
      <c r="I1579" s="1125"/>
      <c r="J1579" s="1125"/>
    </row>
    <row r="1580" spans="9:10" x14ac:dyDescent="0.2">
      <c r="I1580" s="1125"/>
      <c r="J1580" s="1125"/>
    </row>
    <row r="1581" spans="9:10" x14ac:dyDescent="0.2">
      <c r="I1581" s="1125"/>
      <c r="J1581" s="1125"/>
    </row>
    <row r="1582" spans="9:10" x14ac:dyDescent="0.2">
      <c r="I1582" s="1125"/>
      <c r="J1582" s="1125"/>
    </row>
    <row r="1583" spans="9:10" x14ac:dyDescent="0.2">
      <c r="I1583" s="1125"/>
      <c r="J1583" s="1125"/>
    </row>
    <row r="1584" spans="9:10" x14ac:dyDescent="0.2">
      <c r="I1584" s="1125"/>
      <c r="J1584" s="1125"/>
    </row>
    <row r="1585" spans="9:10" x14ac:dyDescent="0.2">
      <c r="I1585" s="1125"/>
      <c r="J1585" s="1125"/>
    </row>
    <row r="1586" spans="9:10" x14ac:dyDescent="0.2">
      <c r="I1586" s="1125"/>
      <c r="J1586" s="1125"/>
    </row>
    <row r="1587" spans="9:10" x14ac:dyDescent="0.2">
      <c r="I1587" s="1125"/>
      <c r="J1587" s="1125"/>
    </row>
    <row r="1588" spans="9:10" x14ac:dyDescent="0.2">
      <c r="I1588" s="1125"/>
      <c r="J1588" s="1125"/>
    </row>
    <row r="1589" spans="9:10" x14ac:dyDescent="0.2">
      <c r="I1589" s="1125"/>
      <c r="J1589" s="1125"/>
    </row>
    <row r="1590" spans="9:10" x14ac:dyDescent="0.2">
      <c r="I1590" s="1125"/>
      <c r="J1590" s="1125"/>
    </row>
    <row r="1591" spans="9:10" x14ac:dyDescent="0.2">
      <c r="I1591" s="1125"/>
      <c r="J1591" s="1125"/>
    </row>
    <row r="1592" spans="9:10" x14ac:dyDescent="0.2">
      <c r="I1592" s="1125"/>
      <c r="J1592" s="1125"/>
    </row>
    <row r="1593" spans="9:10" x14ac:dyDescent="0.2">
      <c r="I1593" s="1125"/>
      <c r="J1593" s="1125"/>
    </row>
    <row r="1594" spans="9:10" x14ac:dyDescent="0.2">
      <c r="I1594" s="1125"/>
      <c r="J1594" s="1125"/>
    </row>
    <row r="1595" spans="9:10" x14ac:dyDescent="0.2">
      <c r="I1595" s="1125"/>
      <c r="J1595" s="1125"/>
    </row>
    <row r="1596" spans="9:10" x14ac:dyDescent="0.2">
      <c r="I1596" s="1125"/>
      <c r="J1596" s="1125"/>
    </row>
    <row r="1597" spans="9:10" x14ac:dyDescent="0.2">
      <c r="I1597" s="1125"/>
      <c r="J1597" s="1125"/>
    </row>
    <row r="1598" spans="9:10" x14ac:dyDescent="0.2">
      <c r="I1598" s="1125"/>
      <c r="J1598" s="1125"/>
    </row>
    <row r="1599" spans="9:10" x14ac:dyDescent="0.2">
      <c r="I1599" s="1125"/>
      <c r="J1599" s="1125"/>
    </row>
    <row r="1600" spans="9:10" x14ac:dyDescent="0.2">
      <c r="I1600" s="1125"/>
      <c r="J1600" s="1125"/>
    </row>
    <row r="1601" spans="9:10" x14ac:dyDescent="0.2">
      <c r="I1601" s="1125"/>
      <c r="J1601" s="1125"/>
    </row>
    <row r="1602" spans="9:10" x14ac:dyDescent="0.2">
      <c r="I1602" s="1125"/>
      <c r="J1602" s="1125"/>
    </row>
    <row r="1603" spans="9:10" x14ac:dyDescent="0.2">
      <c r="I1603" s="1125"/>
      <c r="J1603" s="1125"/>
    </row>
    <row r="1604" spans="9:10" x14ac:dyDescent="0.2">
      <c r="I1604" s="1125"/>
      <c r="J1604" s="1125"/>
    </row>
    <row r="1605" spans="9:10" x14ac:dyDescent="0.2">
      <c r="I1605" s="1125"/>
      <c r="J1605" s="1125"/>
    </row>
    <row r="1606" spans="9:10" x14ac:dyDescent="0.2">
      <c r="I1606" s="1125"/>
      <c r="J1606" s="1125"/>
    </row>
    <row r="1607" spans="9:10" x14ac:dyDescent="0.2">
      <c r="I1607" s="1125"/>
      <c r="J1607" s="1125"/>
    </row>
    <row r="1608" spans="9:10" x14ac:dyDescent="0.2">
      <c r="I1608" s="1125"/>
      <c r="J1608" s="1125"/>
    </row>
    <row r="1609" spans="9:10" x14ac:dyDescent="0.2">
      <c r="I1609" s="1125"/>
      <c r="J1609" s="1125"/>
    </row>
    <row r="1610" spans="9:10" x14ac:dyDescent="0.2">
      <c r="I1610" s="1125"/>
      <c r="J1610" s="1125"/>
    </row>
    <row r="1611" spans="9:10" x14ac:dyDescent="0.2">
      <c r="I1611" s="1125"/>
      <c r="J1611" s="1125"/>
    </row>
    <row r="1612" spans="9:10" x14ac:dyDescent="0.2">
      <c r="I1612" s="1125"/>
      <c r="J1612" s="1125"/>
    </row>
    <row r="1613" spans="9:10" x14ac:dyDescent="0.2">
      <c r="I1613" s="1125"/>
      <c r="J1613" s="1125"/>
    </row>
    <row r="1614" spans="9:10" x14ac:dyDescent="0.2">
      <c r="I1614" s="1125"/>
      <c r="J1614" s="1125"/>
    </row>
    <row r="1615" spans="9:10" x14ac:dyDescent="0.2">
      <c r="I1615" s="1125"/>
      <c r="J1615" s="1125"/>
    </row>
    <row r="1616" spans="9:10" x14ac:dyDescent="0.2">
      <c r="I1616" s="1125"/>
      <c r="J1616" s="1125"/>
    </row>
    <row r="1617" spans="9:10" x14ac:dyDescent="0.2">
      <c r="I1617" s="1125"/>
      <c r="J1617" s="1125"/>
    </row>
    <row r="1618" spans="9:10" x14ac:dyDescent="0.2">
      <c r="I1618" s="1125"/>
      <c r="J1618" s="1125"/>
    </row>
    <row r="1619" spans="9:10" x14ac:dyDescent="0.2">
      <c r="I1619" s="1125"/>
      <c r="J1619" s="1125"/>
    </row>
    <row r="1620" spans="9:10" x14ac:dyDescent="0.2">
      <c r="I1620" s="1125"/>
      <c r="J1620" s="1125"/>
    </row>
    <row r="1621" spans="9:10" x14ac:dyDescent="0.2">
      <c r="I1621" s="1125"/>
      <c r="J1621" s="1125"/>
    </row>
    <row r="1622" spans="9:10" x14ac:dyDescent="0.2">
      <c r="I1622" s="1125"/>
      <c r="J1622" s="1125"/>
    </row>
    <row r="1623" spans="9:10" x14ac:dyDescent="0.2">
      <c r="I1623" s="1125"/>
      <c r="J1623" s="1125"/>
    </row>
    <row r="1624" spans="9:10" x14ac:dyDescent="0.2">
      <c r="I1624" s="1125"/>
      <c r="J1624" s="1125"/>
    </row>
    <row r="1625" spans="9:10" x14ac:dyDescent="0.2">
      <c r="I1625" s="1125"/>
      <c r="J1625" s="1125"/>
    </row>
    <row r="1626" spans="9:10" x14ac:dyDescent="0.2">
      <c r="I1626" s="1125"/>
      <c r="J1626" s="1125"/>
    </row>
    <row r="1627" spans="9:10" x14ac:dyDescent="0.2">
      <c r="I1627" s="1125"/>
      <c r="J1627" s="1125"/>
    </row>
    <row r="1628" spans="9:10" x14ac:dyDescent="0.2">
      <c r="I1628" s="1125"/>
      <c r="J1628" s="1125"/>
    </row>
    <row r="1629" spans="9:10" x14ac:dyDescent="0.2">
      <c r="I1629" s="1125"/>
      <c r="J1629" s="1125"/>
    </row>
    <row r="1630" spans="9:10" x14ac:dyDescent="0.2">
      <c r="I1630" s="1125"/>
      <c r="J1630" s="1125"/>
    </row>
    <row r="1631" spans="9:10" x14ac:dyDescent="0.2">
      <c r="I1631" s="1125"/>
      <c r="J1631" s="1125"/>
    </row>
    <row r="1632" spans="9:10" x14ac:dyDescent="0.2">
      <c r="I1632" s="1125"/>
      <c r="J1632" s="1125"/>
    </row>
    <row r="1633" spans="9:10" x14ac:dyDescent="0.2">
      <c r="I1633" s="1125"/>
      <c r="J1633" s="1125"/>
    </row>
    <row r="1634" spans="9:10" x14ac:dyDescent="0.2">
      <c r="I1634" s="1125"/>
      <c r="J1634" s="1125"/>
    </row>
    <row r="1635" spans="9:10" x14ac:dyDescent="0.2">
      <c r="I1635" s="1125"/>
      <c r="J1635" s="1125"/>
    </row>
    <row r="1636" spans="9:10" x14ac:dyDescent="0.2">
      <c r="I1636" s="1125"/>
      <c r="J1636" s="1125"/>
    </row>
    <row r="1637" spans="9:10" x14ac:dyDescent="0.2">
      <c r="I1637" s="1125"/>
      <c r="J1637" s="1125"/>
    </row>
    <row r="1638" spans="9:10" x14ac:dyDescent="0.2">
      <c r="I1638" s="1125"/>
      <c r="J1638" s="1125"/>
    </row>
    <row r="1639" spans="9:10" x14ac:dyDescent="0.2">
      <c r="I1639" s="1125"/>
      <c r="J1639" s="1125"/>
    </row>
    <row r="1640" spans="9:10" x14ac:dyDescent="0.2">
      <c r="I1640" s="1125"/>
      <c r="J1640" s="1125"/>
    </row>
    <row r="1641" spans="9:10" x14ac:dyDescent="0.2">
      <c r="I1641" s="1125"/>
      <c r="J1641" s="1125"/>
    </row>
    <row r="1642" spans="9:10" x14ac:dyDescent="0.2">
      <c r="I1642" s="1125"/>
      <c r="J1642" s="1125"/>
    </row>
    <row r="1643" spans="9:10" x14ac:dyDescent="0.2">
      <c r="I1643" s="1125"/>
      <c r="J1643" s="1125"/>
    </row>
    <row r="1644" spans="9:10" x14ac:dyDescent="0.2">
      <c r="I1644" s="1125"/>
      <c r="J1644" s="1125"/>
    </row>
    <row r="1645" spans="9:10" x14ac:dyDescent="0.2">
      <c r="I1645" s="1125"/>
      <c r="J1645" s="1125"/>
    </row>
    <row r="1646" spans="9:10" x14ac:dyDescent="0.2">
      <c r="I1646" s="1125"/>
      <c r="J1646" s="1125"/>
    </row>
    <row r="1647" spans="9:10" x14ac:dyDescent="0.2">
      <c r="I1647" s="1125"/>
      <c r="J1647" s="1125"/>
    </row>
    <row r="1648" spans="9:10" x14ac:dyDescent="0.2">
      <c r="I1648" s="1125"/>
      <c r="J1648" s="1125"/>
    </row>
    <row r="1649" spans="9:10" x14ac:dyDescent="0.2">
      <c r="I1649" s="1125"/>
      <c r="J1649" s="1125"/>
    </row>
    <row r="1650" spans="9:10" x14ac:dyDescent="0.2">
      <c r="I1650" s="1125"/>
      <c r="J1650" s="1125"/>
    </row>
    <row r="1651" spans="9:10" x14ac:dyDescent="0.2">
      <c r="I1651" s="1125"/>
      <c r="J1651" s="1125"/>
    </row>
    <row r="1652" spans="9:10" x14ac:dyDescent="0.2">
      <c r="I1652" s="1125"/>
      <c r="J1652" s="1125"/>
    </row>
    <row r="1653" spans="9:10" x14ac:dyDescent="0.2">
      <c r="I1653" s="1125"/>
      <c r="J1653" s="1125"/>
    </row>
    <row r="1654" spans="9:10" x14ac:dyDescent="0.2">
      <c r="I1654" s="1125"/>
      <c r="J1654" s="1125"/>
    </row>
    <row r="1655" spans="9:10" x14ac:dyDescent="0.2">
      <c r="I1655" s="1125"/>
      <c r="J1655" s="1125"/>
    </row>
    <row r="1656" spans="9:10" x14ac:dyDescent="0.2">
      <c r="I1656" s="1125"/>
      <c r="J1656" s="1125"/>
    </row>
    <row r="1657" spans="9:10" x14ac:dyDescent="0.2">
      <c r="I1657" s="1125"/>
      <c r="J1657" s="1125"/>
    </row>
    <row r="1658" spans="9:10" x14ac:dyDescent="0.2">
      <c r="I1658" s="1125"/>
      <c r="J1658" s="1125"/>
    </row>
    <row r="1659" spans="9:10" x14ac:dyDescent="0.2">
      <c r="I1659" s="1125"/>
      <c r="J1659" s="1125"/>
    </row>
    <row r="1660" spans="9:10" x14ac:dyDescent="0.2">
      <c r="I1660" s="1125"/>
      <c r="J1660" s="1125"/>
    </row>
    <row r="1661" spans="9:10" x14ac:dyDescent="0.2">
      <c r="I1661" s="1125"/>
      <c r="J1661" s="1125"/>
    </row>
    <row r="1662" spans="9:10" x14ac:dyDescent="0.2">
      <c r="I1662" s="1125"/>
      <c r="J1662" s="1125"/>
    </row>
    <row r="1663" spans="9:10" x14ac:dyDescent="0.2">
      <c r="I1663" s="1125"/>
      <c r="J1663" s="1125"/>
    </row>
    <row r="1664" spans="9:10" x14ac:dyDescent="0.2">
      <c r="I1664" s="1125"/>
      <c r="J1664" s="1125"/>
    </row>
    <row r="1665" spans="9:10" x14ac:dyDescent="0.2">
      <c r="I1665" s="1125"/>
      <c r="J1665" s="1125"/>
    </row>
    <row r="1666" spans="9:10" x14ac:dyDescent="0.2">
      <c r="I1666" s="1125"/>
      <c r="J1666" s="1125"/>
    </row>
    <row r="1667" spans="9:10" x14ac:dyDescent="0.2">
      <c r="I1667" s="1125"/>
      <c r="J1667" s="1125"/>
    </row>
    <row r="1668" spans="9:10" x14ac:dyDescent="0.2">
      <c r="I1668" s="1125"/>
      <c r="J1668" s="1125"/>
    </row>
    <row r="1669" spans="9:10" x14ac:dyDescent="0.2">
      <c r="I1669" s="1125"/>
      <c r="J1669" s="1125"/>
    </row>
    <row r="1670" spans="9:10" x14ac:dyDescent="0.2">
      <c r="I1670" s="1125"/>
      <c r="J1670" s="1125"/>
    </row>
    <row r="1671" spans="9:10" x14ac:dyDescent="0.2">
      <c r="I1671" s="1125"/>
      <c r="J1671" s="1125"/>
    </row>
    <row r="1672" spans="9:10" x14ac:dyDescent="0.2">
      <c r="I1672" s="1125"/>
      <c r="J1672" s="1125"/>
    </row>
    <row r="1673" spans="9:10" x14ac:dyDescent="0.2">
      <c r="I1673" s="1125"/>
      <c r="J1673" s="1125"/>
    </row>
    <row r="1674" spans="9:10" x14ac:dyDescent="0.2">
      <c r="I1674" s="1125"/>
      <c r="J1674" s="1125"/>
    </row>
    <row r="1675" spans="9:10" x14ac:dyDescent="0.2">
      <c r="I1675" s="1125"/>
      <c r="J1675" s="1125"/>
    </row>
    <row r="1676" spans="9:10" x14ac:dyDescent="0.2">
      <c r="I1676" s="1125"/>
      <c r="J1676" s="1125"/>
    </row>
    <row r="1677" spans="9:10" x14ac:dyDescent="0.2">
      <c r="I1677" s="1125"/>
      <c r="J1677" s="1125"/>
    </row>
    <row r="1678" spans="9:10" x14ac:dyDescent="0.2">
      <c r="I1678" s="1125"/>
      <c r="J1678" s="1125"/>
    </row>
    <row r="1679" spans="9:10" x14ac:dyDescent="0.2">
      <c r="I1679" s="1125"/>
      <c r="J1679" s="1125"/>
    </row>
    <row r="1680" spans="9:10" x14ac:dyDescent="0.2">
      <c r="I1680" s="1125"/>
      <c r="J1680" s="1125"/>
    </row>
    <row r="1681" spans="9:10" x14ac:dyDescent="0.2">
      <c r="I1681" s="1125"/>
      <c r="J1681" s="1125"/>
    </row>
    <row r="1682" spans="9:10" x14ac:dyDescent="0.2">
      <c r="I1682" s="1125"/>
      <c r="J1682" s="1125"/>
    </row>
    <row r="1683" spans="9:10" x14ac:dyDescent="0.2">
      <c r="I1683" s="1125"/>
      <c r="J1683" s="1125"/>
    </row>
    <row r="1684" spans="9:10" x14ac:dyDescent="0.2">
      <c r="I1684" s="1125"/>
      <c r="J1684" s="1125"/>
    </row>
    <row r="1685" spans="9:10" x14ac:dyDescent="0.2">
      <c r="I1685" s="1125"/>
      <c r="J1685" s="1125"/>
    </row>
    <row r="1686" spans="9:10" x14ac:dyDescent="0.2">
      <c r="I1686" s="1125"/>
      <c r="J1686" s="1125"/>
    </row>
    <row r="1687" spans="9:10" x14ac:dyDescent="0.2">
      <c r="I1687" s="1125"/>
      <c r="J1687" s="1125"/>
    </row>
    <row r="1688" spans="9:10" x14ac:dyDescent="0.2">
      <c r="I1688" s="1125"/>
      <c r="J1688" s="1125"/>
    </row>
    <row r="1689" spans="9:10" x14ac:dyDescent="0.2">
      <c r="I1689" s="1125"/>
      <c r="J1689" s="1125"/>
    </row>
    <row r="1690" spans="9:10" x14ac:dyDescent="0.2">
      <c r="I1690" s="1125"/>
      <c r="J1690" s="1125"/>
    </row>
    <row r="1691" spans="9:10" x14ac:dyDescent="0.2">
      <c r="I1691" s="1125"/>
      <c r="J1691" s="1125"/>
    </row>
    <row r="1692" spans="9:10" x14ac:dyDescent="0.2">
      <c r="I1692" s="1125"/>
      <c r="J1692" s="1125"/>
    </row>
    <row r="1693" spans="9:10" x14ac:dyDescent="0.2">
      <c r="I1693" s="1125"/>
      <c r="J1693" s="1125"/>
    </row>
    <row r="1694" spans="9:10" x14ac:dyDescent="0.2">
      <c r="I1694" s="1125"/>
      <c r="J1694" s="1125"/>
    </row>
    <row r="1695" spans="9:10" x14ac:dyDescent="0.2">
      <c r="I1695" s="1125"/>
      <c r="J1695" s="1125"/>
    </row>
    <row r="1696" spans="9:10" x14ac:dyDescent="0.2">
      <c r="I1696" s="1125"/>
      <c r="J1696" s="1125"/>
    </row>
    <row r="1697" spans="9:10" x14ac:dyDescent="0.2">
      <c r="I1697" s="1125"/>
      <c r="J1697" s="1125"/>
    </row>
    <row r="1698" spans="9:10" x14ac:dyDescent="0.2">
      <c r="I1698" s="1125"/>
      <c r="J1698" s="1125"/>
    </row>
    <row r="1699" spans="9:10" x14ac:dyDescent="0.2">
      <c r="I1699" s="1125"/>
      <c r="J1699" s="1125"/>
    </row>
    <row r="1700" spans="9:10" x14ac:dyDescent="0.2">
      <c r="I1700" s="1125"/>
      <c r="J1700" s="1125"/>
    </row>
    <row r="1701" spans="9:10" x14ac:dyDescent="0.2">
      <c r="I1701" s="1125"/>
      <c r="J1701" s="1125"/>
    </row>
    <row r="1702" spans="9:10" x14ac:dyDescent="0.2">
      <c r="I1702" s="1125"/>
      <c r="J1702" s="1125"/>
    </row>
    <row r="1703" spans="9:10" x14ac:dyDescent="0.2">
      <c r="I1703" s="1125"/>
      <c r="J1703" s="1125"/>
    </row>
    <row r="1704" spans="9:10" x14ac:dyDescent="0.2">
      <c r="I1704" s="1125"/>
      <c r="J1704" s="1125"/>
    </row>
    <row r="1705" spans="9:10" x14ac:dyDescent="0.2">
      <c r="I1705" s="1125"/>
      <c r="J1705" s="1125"/>
    </row>
    <row r="1706" spans="9:10" x14ac:dyDescent="0.2">
      <c r="I1706" s="1125"/>
      <c r="J1706" s="1125"/>
    </row>
    <row r="1707" spans="9:10" x14ac:dyDescent="0.2">
      <c r="I1707" s="1125"/>
      <c r="J1707" s="1125"/>
    </row>
    <row r="1708" spans="9:10" x14ac:dyDescent="0.2">
      <c r="I1708" s="1125"/>
      <c r="J1708" s="1125"/>
    </row>
    <row r="1709" spans="9:10" x14ac:dyDescent="0.2">
      <c r="I1709" s="1125"/>
      <c r="J1709" s="1125"/>
    </row>
    <row r="1710" spans="9:10" x14ac:dyDescent="0.2">
      <c r="I1710" s="1125"/>
      <c r="J1710" s="1125"/>
    </row>
    <row r="1711" spans="9:10" x14ac:dyDescent="0.2">
      <c r="I1711" s="1125"/>
      <c r="J1711" s="1125"/>
    </row>
    <row r="1712" spans="9:10" x14ac:dyDescent="0.2">
      <c r="I1712" s="1125"/>
      <c r="J1712" s="1125"/>
    </row>
    <row r="1713" spans="9:10" x14ac:dyDescent="0.2">
      <c r="I1713" s="1125"/>
      <c r="J1713" s="1125"/>
    </row>
    <row r="1714" spans="9:10" x14ac:dyDescent="0.2">
      <c r="I1714" s="1125"/>
      <c r="J1714" s="1125"/>
    </row>
    <row r="1715" spans="9:10" x14ac:dyDescent="0.2">
      <c r="I1715" s="1125"/>
      <c r="J1715" s="1125"/>
    </row>
    <row r="1716" spans="9:10" x14ac:dyDescent="0.2">
      <c r="I1716" s="1125"/>
      <c r="J1716" s="1125"/>
    </row>
    <row r="1717" spans="9:10" x14ac:dyDescent="0.2">
      <c r="I1717" s="1125"/>
      <c r="J1717" s="1125"/>
    </row>
    <row r="1718" spans="9:10" x14ac:dyDescent="0.2">
      <c r="I1718" s="1125"/>
      <c r="J1718" s="1125"/>
    </row>
    <row r="1719" spans="9:10" x14ac:dyDescent="0.2">
      <c r="I1719" s="1125"/>
      <c r="J1719" s="1125"/>
    </row>
    <row r="1720" spans="9:10" x14ac:dyDescent="0.2">
      <c r="I1720" s="1125"/>
      <c r="J1720" s="1125"/>
    </row>
    <row r="1721" spans="9:10" x14ac:dyDescent="0.2">
      <c r="I1721" s="1125"/>
      <c r="J1721" s="1125"/>
    </row>
    <row r="1722" spans="9:10" x14ac:dyDescent="0.2">
      <c r="I1722" s="1125"/>
      <c r="J1722" s="1125"/>
    </row>
    <row r="1723" spans="9:10" x14ac:dyDescent="0.2">
      <c r="I1723" s="1125"/>
      <c r="J1723" s="1125"/>
    </row>
    <row r="1724" spans="9:10" x14ac:dyDescent="0.2">
      <c r="I1724" s="1125"/>
      <c r="J1724" s="1125"/>
    </row>
    <row r="1725" spans="9:10" x14ac:dyDescent="0.2">
      <c r="I1725" s="1125"/>
      <c r="J1725" s="1125"/>
    </row>
    <row r="1726" spans="9:10" x14ac:dyDescent="0.2">
      <c r="I1726" s="1125"/>
      <c r="J1726" s="1125"/>
    </row>
    <row r="1727" spans="9:10" x14ac:dyDescent="0.2">
      <c r="I1727" s="1125"/>
      <c r="J1727" s="1125"/>
    </row>
    <row r="1728" spans="9:10" x14ac:dyDescent="0.2">
      <c r="I1728" s="1125"/>
      <c r="J1728" s="1125"/>
    </row>
    <row r="1729" spans="9:10" x14ac:dyDescent="0.2">
      <c r="I1729" s="1125"/>
      <c r="J1729" s="1125"/>
    </row>
    <row r="1730" spans="9:10" x14ac:dyDescent="0.2">
      <c r="I1730" s="1125"/>
      <c r="J1730" s="1125"/>
    </row>
    <row r="1731" spans="9:10" x14ac:dyDescent="0.2">
      <c r="I1731" s="1125"/>
      <c r="J1731" s="1125"/>
    </row>
    <row r="1732" spans="9:10" x14ac:dyDescent="0.2">
      <c r="I1732" s="1125"/>
      <c r="J1732" s="1125"/>
    </row>
    <row r="1733" spans="9:10" x14ac:dyDescent="0.2">
      <c r="I1733" s="1125"/>
      <c r="J1733" s="1125"/>
    </row>
    <row r="1734" spans="9:10" x14ac:dyDescent="0.2">
      <c r="I1734" s="1125"/>
      <c r="J1734" s="1125"/>
    </row>
    <row r="1735" spans="9:10" x14ac:dyDescent="0.2">
      <c r="I1735" s="1125"/>
      <c r="J1735" s="1125"/>
    </row>
    <row r="1736" spans="9:10" x14ac:dyDescent="0.2">
      <c r="I1736" s="1125"/>
      <c r="J1736" s="1125"/>
    </row>
    <row r="1737" spans="9:10" x14ac:dyDescent="0.2">
      <c r="I1737" s="1125"/>
      <c r="J1737" s="1125"/>
    </row>
    <row r="1738" spans="9:10" x14ac:dyDescent="0.2">
      <c r="I1738" s="1125"/>
      <c r="J1738" s="1125"/>
    </row>
    <row r="1739" spans="9:10" x14ac:dyDescent="0.2">
      <c r="I1739" s="1125"/>
      <c r="J1739" s="1125"/>
    </row>
    <row r="1740" spans="9:10" x14ac:dyDescent="0.2">
      <c r="I1740" s="1125"/>
      <c r="J1740" s="1125"/>
    </row>
    <row r="1741" spans="9:10" x14ac:dyDescent="0.2">
      <c r="I1741" s="1125"/>
      <c r="J1741" s="1125"/>
    </row>
    <row r="1742" spans="9:10" x14ac:dyDescent="0.2">
      <c r="I1742" s="1125"/>
      <c r="J1742" s="1125"/>
    </row>
    <row r="1743" spans="9:10" x14ac:dyDescent="0.2">
      <c r="I1743" s="1125"/>
      <c r="J1743" s="1125"/>
    </row>
    <row r="1744" spans="9:10" x14ac:dyDescent="0.2">
      <c r="I1744" s="1125"/>
      <c r="J1744" s="1125"/>
    </row>
    <row r="1745" spans="9:10" x14ac:dyDescent="0.2">
      <c r="I1745" s="1125"/>
      <c r="J1745" s="1125"/>
    </row>
    <row r="1746" spans="9:10" x14ac:dyDescent="0.2">
      <c r="I1746" s="1125"/>
      <c r="J1746" s="1125"/>
    </row>
    <row r="1747" spans="9:10" x14ac:dyDescent="0.2">
      <c r="I1747" s="1125"/>
      <c r="J1747" s="1125"/>
    </row>
    <row r="1748" spans="9:10" x14ac:dyDescent="0.2">
      <c r="I1748" s="1125"/>
      <c r="J1748" s="1125"/>
    </row>
    <row r="1749" spans="9:10" x14ac:dyDescent="0.2">
      <c r="I1749" s="1125"/>
      <c r="J1749" s="1125"/>
    </row>
    <row r="1750" spans="9:10" x14ac:dyDescent="0.2">
      <c r="I1750" s="1125"/>
      <c r="J1750" s="1125"/>
    </row>
    <row r="1751" spans="9:10" x14ac:dyDescent="0.2">
      <c r="I1751" s="1125"/>
      <c r="J1751" s="1125"/>
    </row>
    <row r="1752" spans="9:10" x14ac:dyDescent="0.2">
      <c r="I1752" s="1125"/>
      <c r="J1752" s="1125"/>
    </row>
    <row r="1753" spans="9:10" x14ac:dyDescent="0.2">
      <c r="I1753" s="1125"/>
      <c r="J1753" s="1125"/>
    </row>
    <row r="1754" spans="9:10" x14ac:dyDescent="0.2">
      <c r="I1754" s="1125"/>
      <c r="J1754" s="1125"/>
    </row>
    <row r="1755" spans="9:10" x14ac:dyDescent="0.2">
      <c r="I1755" s="1125"/>
      <c r="J1755" s="1125"/>
    </row>
    <row r="1756" spans="9:10" x14ac:dyDescent="0.2">
      <c r="I1756" s="1125"/>
      <c r="J1756" s="1125"/>
    </row>
    <row r="1757" spans="9:10" x14ac:dyDescent="0.2">
      <c r="I1757" s="1125"/>
      <c r="J1757" s="1125"/>
    </row>
    <row r="1758" spans="9:10" x14ac:dyDescent="0.2">
      <c r="I1758" s="1125"/>
      <c r="J1758" s="1125"/>
    </row>
    <row r="1759" spans="9:10" x14ac:dyDescent="0.2">
      <c r="I1759" s="1125"/>
      <c r="J1759" s="1125"/>
    </row>
    <row r="1760" spans="9:10" x14ac:dyDescent="0.2">
      <c r="I1760" s="1125"/>
      <c r="J1760" s="1125"/>
    </row>
    <row r="1761" spans="9:10" x14ac:dyDescent="0.2">
      <c r="I1761" s="1125"/>
      <c r="J1761" s="1125"/>
    </row>
    <row r="1762" spans="9:10" x14ac:dyDescent="0.2">
      <c r="I1762" s="1125"/>
      <c r="J1762" s="1125"/>
    </row>
    <row r="1763" spans="9:10" x14ac:dyDescent="0.2">
      <c r="I1763" s="1125"/>
      <c r="J1763" s="1125"/>
    </row>
    <row r="1764" spans="9:10" x14ac:dyDescent="0.2">
      <c r="I1764" s="1125"/>
      <c r="J1764" s="1125"/>
    </row>
    <row r="1765" spans="9:10" x14ac:dyDescent="0.2">
      <c r="I1765" s="1125"/>
      <c r="J1765" s="1125"/>
    </row>
    <row r="1766" spans="9:10" x14ac:dyDescent="0.2">
      <c r="I1766" s="1125"/>
      <c r="J1766" s="1125"/>
    </row>
    <row r="1767" spans="9:10" x14ac:dyDescent="0.2">
      <c r="I1767" s="1125"/>
      <c r="J1767" s="1125"/>
    </row>
    <row r="1768" spans="9:10" x14ac:dyDescent="0.2">
      <c r="I1768" s="1125"/>
      <c r="J1768" s="1125"/>
    </row>
    <row r="1769" spans="9:10" x14ac:dyDescent="0.2">
      <c r="I1769" s="1125"/>
      <c r="J1769" s="1125"/>
    </row>
    <row r="1770" spans="9:10" x14ac:dyDescent="0.2">
      <c r="I1770" s="1125"/>
      <c r="J1770" s="1125"/>
    </row>
    <row r="1771" spans="9:10" x14ac:dyDescent="0.2">
      <c r="I1771" s="1125"/>
      <c r="J1771" s="1125"/>
    </row>
    <row r="1772" spans="9:10" x14ac:dyDescent="0.2">
      <c r="I1772" s="1125"/>
      <c r="J1772" s="1125"/>
    </row>
    <row r="1773" spans="9:10" x14ac:dyDescent="0.2">
      <c r="I1773" s="1125"/>
      <c r="J1773" s="1125"/>
    </row>
    <row r="1774" spans="9:10" x14ac:dyDescent="0.2">
      <c r="I1774" s="1125"/>
      <c r="J1774" s="1125"/>
    </row>
    <row r="1775" spans="9:10" x14ac:dyDescent="0.2">
      <c r="I1775" s="1125"/>
      <c r="J1775" s="1125"/>
    </row>
    <row r="1776" spans="9:10" x14ac:dyDescent="0.2">
      <c r="I1776" s="1125"/>
      <c r="J1776" s="1125"/>
    </row>
    <row r="1777" spans="9:10" x14ac:dyDescent="0.2">
      <c r="I1777" s="1125"/>
      <c r="J1777" s="1125"/>
    </row>
    <row r="1778" spans="9:10" x14ac:dyDescent="0.2">
      <c r="I1778" s="1125"/>
      <c r="J1778" s="1125"/>
    </row>
    <row r="1779" spans="9:10" x14ac:dyDescent="0.2">
      <c r="I1779" s="1125"/>
      <c r="J1779" s="1125"/>
    </row>
    <row r="1780" spans="9:10" x14ac:dyDescent="0.2">
      <c r="I1780" s="1125"/>
      <c r="J1780" s="1125"/>
    </row>
    <row r="1781" spans="9:10" x14ac:dyDescent="0.2">
      <c r="I1781" s="1125"/>
      <c r="J1781" s="1125"/>
    </row>
    <row r="1782" spans="9:10" x14ac:dyDescent="0.2">
      <c r="I1782" s="1125"/>
      <c r="J1782" s="1125"/>
    </row>
    <row r="1783" spans="9:10" x14ac:dyDescent="0.2">
      <c r="I1783" s="1125"/>
      <c r="J1783" s="1125"/>
    </row>
    <row r="1784" spans="9:10" x14ac:dyDescent="0.2">
      <c r="I1784" s="1125"/>
      <c r="J1784" s="1125"/>
    </row>
    <row r="1785" spans="9:10" x14ac:dyDescent="0.2">
      <c r="I1785" s="1125"/>
      <c r="J1785" s="1125"/>
    </row>
    <row r="1786" spans="9:10" x14ac:dyDescent="0.2">
      <c r="I1786" s="1125"/>
      <c r="J1786" s="1125"/>
    </row>
    <row r="1787" spans="9:10" x14ac:dyDescent="0.2">
      <c r="I1787" s="1125"/>
      <c r="J1787" s="1125"/>
    </row>
    <row r="1788" spans="9:10" x14ac:dyDescent="0.2">
      <c r="I1788" s="1125"/>
      <c r="J1788" s="1125"/>
    </row>
    <row r="1789" spans="9:10" x14ac:dyDescent="0.2">
      <c r="I1789" s="1125"/>
      <c r="J1789" s="1125"/>
    </row>
    <row r="1790" spans="9:10" x14ac:dyDescent="0.2">
      <c r="I1790" s="1125"/>
      <c r="J1790" s="1125"/>
    </row>
    <row r="1791" spans="9:10" x14ac:dyDescent="0.2">
      <c r="I1791" s="1125"/>
      <c r="J1791" s="1125"/>
    </row>
    <row r="1792" spans="9:10" x14ac:dyDescent="0.2">
      <c r="I1792" s="1125"/>
      <c r="J1792" s="1125"/>
    </row>
    <row r="1793" spans="9:10" x14ac:dyDescent="0.2">
      <c r="I1793" s="1125"/>
      <c r="J1793" s="1125"/>
    </row>
    <row r="1794" spans="9:10" x14ac:dyDescent="0.2">
      <c r="I1794" s="1125"/>
      <c r="J1794" s="1125"/>
    </row>
    <row r="1795" spans="9:10" x14ac:dyDescent="0.2">
      <c r="I1795" s="1125"/>
      <c r="J1795" s="1125"/>
    </row>
    <row r="1796" spans="9:10" x14ac:dyDescent="0.2">
      <c r="I1796" s="1125"/>
      <c r="J1796" s="1125"/>
    </row>
    <row r="1797" spans="9:10" x14ac:dyDescent="0.2">
      <c r="I1797" s="1125"/>
      <c r="J1797" s="1125"/>
    </row>
    <row r="1798" spans="9:10" x14ac:dyDescent="0.2">
      <c r="I1798" s="1125"/>
      <c r="J1798" s="1125"/>
    </row>
    <row r="1799" spans="9:10" x14ac:dyDescent="0.2">
      <c r="I1799" s="1125"/>
      <c r="J1799" s="1125"/>
    </row>
    <row r="1800" spans="9:10" x14ac:dyDescent="0.2">
      <c r="I1800" s="1125"/>
      <c r="J1800" s="1125"/>
    </row>
    <row r="1801" spans="9:10" x14ac:dyDescent="0.2">
      <c r="I1801" s="1125"/>
      <c r="J1801" s="1125"/>
    </row>
    <row r="1802" spans="9:10" x14ac:dyDescent="0.2">
      <c r="I1802" s="1125"/>
      <c r="J1802" s="1125"/>
    </row>
    <row r="1803" spans="9:10" x14ac:dyDescent="0.2">
      <c r="I1803" s="1125"/>
      <c r="J1803" s="1125"/>
    </row>
    <row r="1804" spans="9:10" x14ac:dyDescent="0.2">
      <c r="I1804" s="1125"/>
      <c r="J1804" s="1125"/>
    </row>
    <row r="1805" spans="9:10" x14ac:dyDescent="0.2">
      <c r="I1805" s="1125"/>
      <c r="J1805" s="1125"/>
    </row>
    <row r="1806" spans="9:10" x14ac:dyDescent="0.2">
      <c r="I1806" s="1125"/>
      <c r="J1806" s="1125"/>
    </row>
    <row r="1807" spans="9:10" x14ac:dyDescent="0.2">
      <c r="I1807" s="1125"/>
      <c r="J1807" s="1125"/>
    </row>
    <row r="1808" spans="9:10" x14ac:dyDescent="0.2">
      <c r="I1808" s="1125"/>
      <c r="J1808" s="1125"/>
    </row>
    <row r="1809" spans="9:10" x14ac:dyDescent="0.2">
      <c r="I1809" s="1125"/>
      <c r="J1809" s="1125"/>
    </row>
    <row r="1810" spans="9:10" x14ac:dyDescent="0.2">
      <c r="I1810" s="1125"/>
      <c r="J1810" s="1125"/>
    </row>
    <row r="1811" spans="9:10" x14ac:dyDescent="0.2">
      <c r="I1811" s="1125"/>
      <c r="J1811" s="1125"/>
    </row>
    <row r="1812" spans="9:10" x14ac:dyDescent="0.2">
      <c r="I1812" s="1125"/>
      <c r="J1812" s="1125"/>
    </row>
    <row r="1813" spans="9:10" x14ac:dyDescent="0.2">
      <c r="I1813" s="1125"/>
      <c r="J1813" s="1125"/>
    </row>
    <row r="1814" spans="9:10" x14ac:dyDescent="0.2">
      <c r="I1814" s="1125"/>
      <c r="J1814" s="1125"/>
    </row>
    <row r="1815" spans="9:10" x14ac:dyDescent="0.2">
      <c r="I1815" s="1125"/>
      <c r="J1815" s="1125"/>
    </row>
    <row r="1816" spans="9:10" x14ac:dyDescent="0.2">
      <c r="I1816" s="1125"/>
      <c r="J1816" s="1125"/>
    </row>
    <row r="1817" spans="9:10" x14ac:dyDescent="0.2">
      <c r="I1817" s="1125"/>
      <c r="J1817" s="1125"/>
    </row>
    <row r="1818" spans="9:10" x14ac:dyDescent="0.2">
      <c r="I1818" s="1125"/>
      <c r="J1818" s="1125"/>
    </row>
    <row r="1819" spans="9:10" x14ac:dyDescent="0.2">
      <c r="I1819" s="1125"/>
      <c r="J1819" s="1125"/>
    </row>
    <row r="1820" spans="9:10" x14ac:dyDescent="0.2">
      <c r="I1820" s="1125"/>
      <c r="J1820" s="1125"/>
    </row>
    <row r="1821" spans="9:10" x14ac:dyDescent="0.2">
      <c r="I1821" s="1125"/>
      <c r="J1821" s="1125"/>
    </row>
    <row r="1822" spans="9:10" x14ac:dyDescent="0.2">
      <c r="I1822" s="1125"/>
      <c r="J1822" s="1125"/>
    </row>
    <row r="1823" spans="9:10" x14ac:dyDescent="0.2">
      <c r="I1823" s="1125"/>
      <c r="J1823" s="1125"/>
    </row>
    <row r="1824" spans="9:10" x14ac:dyDescent="0.2">
      <c r="I1824" s="1125"/>
      <c r="J1824" s="1125"/>
    </row>
    <row r="1825" spans="9:10" x14ac:dyDescent="0.2">
      <c r="I1825" s="1125"/>
      <c r="J1825" s="1125"/>
    </row>
    <row r="1826" spans="9:10" x14ac:dyDescent="0.2">
      <c r="I1826" s="1125"/>
      <c r="J1826" s="1125"/>
    </row>
    <row r="1827" spans="9:10" x14ac:dyDescent="0.2">
      <c r="I1827" s="1125"/>
      <c r="J1827" s="1125"/>
    </row>
    <row r="1828" spans="9:10" x14ac:dyDescent="0.2">
      <c r="I1828" s="1125"/>
      <c r="J1828" s="1125"/>
    </row>
    <row r="1829" spans="9:10" x14ac:dyDescent="0.2">
      <c r="I1829" s="1125"/>
      <c r="J1829" s="1125"/>
    </row>
    <row r="1830" spans="9:10" x14ac:dyDescent="0.2">
      <c r="I1830" s="1125"/>
      <c r="J1830" s="1125"/>
    </row>
    <row r="1831" spans="9:10" x14ac:dyDescent="0.2">
      <c r="I1831" s="1125"/>
      <c r="J1831" s="1125"/>
    </row>
    <row r="1832" spans="9:10" x14ac:dyDescent="0.2">
      <c r="I1832" s="1125"/>
      <c r="J1832" s="1125"/>
    </row>
    <row r="1833" spans="9:10" x14ac:dyDescent="0.2">
      <c r="I1833" s="1125"/>
      <c r="J1833" s="1125"/>
    </row>
    <row r="1834" spans="9:10" x14ac:dyDescent="0.2">
      <c r="I1834" s="1125"/>
      <c r="J1834" s="1125"/>
    </row>
    <row r="1835" spans="9:10" x14ac:dyDescent="0.2">
      <c r="I1835" s="1125"/>
      <c r="J1835" s="1125"/>
    </row>
    <row r="1836" spans="9:10" x14ac:dyDescent="0.2">
      <c r="I1836" s="1125"/>
      <c r="J1836" s="1125"/>
    </row>
    <row r="1837" spans="9:10" x14ac:dyDescent="0.2">
      <c r="I1837" s="1125"/>
      <c r="J1837" s="1125"/>
    </row>
    <row r="1838" spans="9:10" x14ac:dyDescent="0.2">
      <c r="I1838" s="1125"/>
      <c r="J1838" s="1125"/>
    </row>
    <row r="1839" spans="9:10" x14ac:dyDescent="0.2">
      <c r="I1839" s="1125"/>
      <c r="J1839" s="1125"/>
    </row>
    <row r="1840" spans="9:10" x14ac:dyDescent="0.2">
      <c r="I1840" s="1125"/>
      <c r="J1840" s="1125"/>
    </row>
    <row r="1841" spans="9:10" x14ac:dyDescent="0.2">
      <c r="I1841" s="1125"/>
      <c r="J1841" s="1125"/>
    </row>
    <row r="1842" spans="9:10" x14ac:dyDescent="0.2">
      <c r="I1842" s="1125"/>
      <c r="J1842" s="1125"/>
    </row>
    <row r="1843" spans="9:10" x14ac:dyDescent="0.2">
      <c r="I1843" s="1125"/>
      <c r="J1843" s="1125"/>
    </row>
    <row r="1844" spans="9:10" x14ac:dyDescent="0.2">
      <c r="I1844" s="1125"/>
      <c r="J1844" s="1125"/>
    </row>
    <row r="1845" spans="9:10" x14ac:dyDescent="0.2">
      <c r="I1845" s="1125"/>
      <c r="J1845" s="1125"/>
    </row>
    <row r="1846" spans="9:10" x14ac:dyDescent="0.2">
      <c r="I1846" s="1125"/>
      <c r="J1846" s="1125"/>
    </row>
    <row r="1847" spans="9:10" x14ac:dyDescent="0.2">
      <c r="I1847" s="1125"/>
      <c r="J1847" s="1125"/>
    </row>
    <row r="1848" spans="9:10" x14ac:dyDescent="0.2">
      <c r="I1848" s="1125"/>
      <c r="J1848" s="1125"/>
    </row>
    <row r="1849" spans="9:10" x14ac:dyDescent="0.2">
      <c r="I1849" s="1125"/>
      <c r="J1849" s="1125"/>
    </row>
    <row r="1850" spans="9:10" x14ac:dyDescent="0.2">
      <c r="I1850" s="1125"/>
      <c r="J1850" s="1125"/>
    </row>
    <row r="1851" spans="9:10" x14ac:dyDescent="0.2">
      <c r="I1851" s="1125"/>
      <c r="J1851" s="1125"/>
    </row>
    <row r="1852" spans="9:10" x14ac:dyDescent="0.2">
      <c r="I1852" s="1125"/>
      <c r="J1852" s="1125"/>
    </row>
    <row r="1853" spans="9:10" x14ac:dyDescent="0.2">
      <c r="I1853" s="1125"/>
      <c r="J1853" s="1125"/>
    </row>
    <row r="1854" spans="9:10" x14ac:dyDescent="0.2">
      <c r="I1854" s="1125"/>
      <c r="J1854" s="1125"/>
    </row>
    <row r="1855" spans="9:10" x14ac:dyDescent="0.2">
      <c r="I1855" s="1125"/>
      <c r="J1855" s="1125"/>
    </row>
    <row r="1856" spans="9:10" x14ac:dyDescent="0.2">
      <c r="I1856" s="1125"/>
      <c r="J1856" s="1125"/>
    </row>
    <row r="1857" spans="9:10" x14ac:dyDescent="0.2">
      <c r="I1857" s="1125"/>
      <c r="J1857" s="1125"/>
    </row>
    <row r="1858" spans="9:10" x14ac:dyDescent="0.2">
      <c r="I1858" s="1125"/>
      <c r="J1858" s="1125"/>
    </row>
    <row r="1859" spans="9:10" x14ac:dyDescent="0.2">
      <c r="I1859" s="1125"/>
      <c r="J1859" s="1125"/>
    </row>
    <row r="1860" spans="9:10" x14ac:dyDescent="0.2">
      <c r="I1860" s="1125"/>
      <c r="J1860" s="1125"/>
    </row>
    <row r="1861" spans="9:10" x14ac:dyDescent="0.2">
      <c r="I1861" s="1125"/>
      <c r="J1861" s="1125"/>
    </row>
    <row r="1862" spans="9:10" x14ac:dyDescent="0.2">
      <c r="I1862" s="1125"/>
      <c r="J1862" s="1125"/>
    </row>
    <row r="1863" spans="9:10" x14ac:dyDescent="0.2">
      <c r="I1863" s="1125"/>
      <c r="J1863" s="1125"/>
    </row>
    <row r="1864" spans="9:10" x14ac:dyDescent="0.2">
      <c r="I1864" s="1125"/>
      <c r="J1864" s="1125"/>
    </row>
    <row r="1865" spans="9:10" x14ac:dyDescent="0.2">
      <c r="I1865" s="1125"/>
      <c r="J1865" s="1125"/>
    </row>
    <row r="1866" spans="9:10" x14ac:dyDescent="0.2">
      <c r="I1866" s="1125"/>
      <c r="J1866" s="1125"/>
    </row>
    <row r="1867" spans="9:10" x14ac:dyDescent="0.2">
      <c r="I1867" s="1125"/>
      <c r="J1867" s="1125"/>
    </row>
    <row r="1868" spans="9:10" x14ac:dyDescent="0.2">
      <c r="I1868" s="1125"/>
      <c r="J1868" s="1125"/>
    </row>
    <row r="1869" spans="9:10" x14ac:dyDescent="0.2">
      <c r="I1869" s="1125"/>
      <c r="J1869" s="1125"/>
    </row>
    <row r="1870" spans="9:10" x14ac:dyDescent="0.2">
      <c r="I1870" s="1125"/>
      <c r="J1870" s="1125"/>
    </row>
    <row r="1871" spans="9:10" x14ac:dyDescent="0.2">
      <c r="I1871" s="1125"/>
      <c r="J1871" s="1125"/>
    </row>
    <row r="1872" spans="9:10" x14ac:dyDescent="0.2">
      <c r="I1872" s="1125"/>
      <c r="J1872" s="1125"/>
    </row>
    <row r="1873" spans="9:10" x14ac:dyDescent="0.2">
      <c r="I1873" s="1125"/>
      <c r="J1873" s="1125"/>
    </row>
    <row r="1874" spans="9:10" x14ac:dyDescent="0.2">
      <c r="I1874" s="1125"/>
      <c r="J1874" s="1125"/>
    </row>
    <row r="1875" spans="9:10" x14ac:dyDescent="0.2">
      <c r="I1875" s="1125"/>
      <c r="J1875" s="1125"/>
    </row>
    <row r="1876" spans="9:10" x14ac:dyDescent="0.2">
      <c r="I1876" s="1125"/>
      <c r="J1876" s="1125"/>
    </row>
    <row r="1877" spans="9:10" x14ac:dyDescent="0.2">
      <c r="I1877" s="1125"/>
      <c r="J1877" s="1125"/>
    </row>
    <row r="1878" spans="9:10" x14ac:dyDescent="0.2">
      <c r="I1878" s="1125"/>
      <c r="J1878" s="1125"/>
    </row>
    <row r="1879" spans="9:10" x14ac:dyDescent="0.2">
      <c r="I1879" s="1125"/>
      <c r="J1879" s="1125"/>
    </row>
    <row r="1880" spans="9:10" x14ac:dyDescent="0.2">
      <c r="I1880" s="1125"/>
      <c r="J1880" s="1125"/>
    </row>
    <row r="1881" spans="9:10" x14ac:dyDescent="0.2">
      <c r="I1881" s="1125"/>
      <c r="J1881" s="1125"/>
    </row>
    <row r="1882" spans="9:10" x14ac:dyDescent="0.2">
      <c r="I1882" s="1125"/>
      <c r="J1882" s="1125"/>
    </row>
    <row r="1883" spans="9:10" x14ac:dyDescent="0.2">
      <c r="I1883" s="1125"/>
      <c r="J1883" s="1125"/>
    </row>
    <row r="1884" spans="9:10" x14ac:dyDescent="0.2">
      <c r="I1884" s="1125"/>
      <c r="J1884" s="1125"/>
    </row>
    <row r="1885" spans="9:10" x14ac:dyDescent="0.2">
      <c r="I1885" s="1125"/>
      <c r="J1885" s="1125"/>
    </row>
    <row r="1886" spans="9:10" x14ac:dyDescent="0.2">
      <c r="I1886" s="1125"/>
      <c r="J1886" s="1125"/>
    </row>
    <row r="1887" spans="9:10" x14ac:dyDescent="0.2">
      <c r="I1887" s="1125"/>
      <c r="J1887" s="1125"/>
    </row>
    <row r="1888" spans="9:10" x14ac:dyDescent="0.2">
      <c r="I1888" s="1125"/>
      <c r="J1888" s="1125"/>
    </row>
    <row r="1889" spans="9:10" x14ac:dyDescent="0.2">
      <c r="I1889" s="1125"/>
      <c r="J1889" s="1125"/>
    </row>
    <row r="1890" spans="9:10" x14ac:dyDescent="0.2">
      <c r="I1890" s="1125"/>
      <c r="J1890" s="1125"/>
    </row>
    <row r="1891" spans="9:10" x14ac:dyDescent="0.2">
      <c r="I1891" s="1125"/>
      <c r="J1891" s="1125"/>
    </row>
    <row r="1892" spans="9:10" x14ac:dyDescent="0.2">
      <c r="I1892" s="1125"/>
      <c r="J1892" s="1125"/>
    </row>
    <row r="1893" spans="9:10" x14ac:dyDescent="0.2">
      <c r="I1893" s="1125"/>
      <c r="J1893" s="1125"/>
    </row>
    <row r="1894" spans="9:10" x14ac:dyDescent="0.2">
      <c r="I1894" s="1125"/>
      <c r="J1894" s="1125"/>
    </row>
    <row r="1895" spans="9:10" x14ac:dyDescent="0.2">
      <c r="I1895" s="1125"/>
      <c r="J1895" s="1125"/>
    </row>
    <row r="1896" spans="9:10" x14ac:dyDescent="0.2">
      <c r="I1896" s="1125"/>
      <c r="J1896" s="1125"/>
    </row>
    <row r="1897" spans="9:10" x14ac:dyDescent="0.2">
      <c r="I1897" s="1125"/>
      <c r="J1897" s="1125"/>
    </row>
    <row r="1898" spans="9:10" x14ac:dyDescent="0.2">
      <c r="I1898" s="1125"/>
      <c r="J1898" s="1125"/>
    </row>
    <row r="1899" spans="9:10" x14ac:dyDescent="0.2">
      <c r="I1899" s="1125"/>
      <c r="J1899" s="1125"/>
    </row>
    <row r="1900" spans="9:10" x14ac:dyDescent="0.2">
      <c r="I1900" s="1125"/>
      <c r="J1900" s="1125"/>
    </row>
    <row r="1901" spans="9:10" x14ac:dyDescent="0.2">
      <c r="I1901" s="1125"/>
      <c r="J1901" s="1125"/>
    </row>
    <row r="1902" spans="9:10" x14ac:dyDescent="0.2">
      <c r="I1902" s="1125"/>
      <c r="J1902" s="1125"/>
    </row>
    <row r="1903" spans="9:10" x14ac:dyDescent="0.2">
      <c r="I1903" s="1125"/>
      <c r="J1903" s="1125"/>
    </row>
    <row r="1904" spans="9:10" x14ac:dyDescent="0.2">
      <c r="I1904" s="1125"/>
      <c r="J1904" s="1125"/>
    </row>
    <row r="1905" spans="9:10" x14ac:dyDescent="0.2">
      <c r="I1905" s="1125"/>
      <c r="J1905" s="1125"/>
    </row>
    <row r="1906" spans="9:10" x14ac:dyDescent="0.2">
      <c r="I1906" s="1125"/>
      <c r="J1906" s="1125"/>
    </row>
    <row r="1907" spans="9:10" x14ac:dyDescent="0.2">
      <c r="I1907" s="1125"/>
      <c r="J1907" s="1125"/>
    </row>
    <row r="1908" spans="9:10" x14ac:dyDescent="0.2">
      <c r="I1908" s="1125"/>
      <c r="J1908" s="1125"/>
    </row>
    <row r="1909" spans="9:10" x14ac:dyDescent="0.2">
      <c r="I1909" s="1125"/>
      <c r="J1909" s="1125"/>
    </row>
    <row r="1910" spans="9:10" x14ac:dyDescent="0.2">
      <c r="I1910" s="1125"/>
      <c r="J1910" s="1125"/>
    </row>
    <row r="1911" spans="9:10" x14ac:dyDescent="0.2">
      <c r="I1911" s="1125"/>
      <c r="J1911" s="1125"/>
    </row>
    <row r="1912" spans="9:10" x14ac:dyDescent="0.2">
      <c r="I1912" s="1125"/>
      <c r="J1912" s="1125"/>
    </row>
    <row r="1913" spans="9:10" x14ac:dyDescent="0.2">
      <c r="I1913" s="1125"/>
      <c r="J1913" s="1125"/>
    </row>
    <row r="1914" spans="9:10" x14ac:dyDescent="0.2">
      <c r="I1914" s="1125"/>
      <c r="J1914" s="1125"/>
    </row>
    <row r="1915" spans="9:10" x14ac:dyDescent="0.2">
      <c r="I1915" s="1125"/>
      <c r="J1915" s="1125"/>
    </row>
    <row r="1916" spans="9:10" x14ac:dyDescent="0.2">
      <c r="I1916" s="1125"/>
      <c r="J1916" s="1125"/>
    </row>
    <row r="1917" spans="9:10" x14ac:dyDescent="0.2">
      <c r="I1917" s="1125"/>
      <c r="J1917" s="1125"/>
    </row>
    <row r="1918" spans="9:10" x14ac:dyDescent="0.2">
      <c r="I1918" s="1125"/>
      <c r="J1918" s="1125"/>
    </row>
    <row r="1919" spans="9:10" x14ac:dyDescent="0.2">
      <c r="I1919" s="1125"/>
      <c r="J1919" s="1125"/>
    </row>
    <row r="1920" spans="9:10" x14ac:dyDescent="0.2">
      <c r="I1920" s="1125"/>
      <c r="J1920" s="1125"/>
    </row>
    <row r="1921" spans="9:10" x14ac:dyDescent="0.2">
      <c r="I1921" s="1125"/>
      <c r="J1921" s="1125"/>
    </row>
    <row r="1922" spans="9:10" x14ac:dyDescent="0.2">
      <c r="I1922" s="1125"/>
      <c r="J1922" s="1125"/>
    </row>
    <row r="1923" spans="9:10" x14ac:dyDescent="0.2">
      <c r="I1923" s="1125"/>
      <c r="J1923" s="1125"/>
    </row>
    <row r="1924" spans="9:10" x14ac:dyDescent="0.2">
      <c r="I1924" s="1125"/>
      <c r="J1924" s="1125"/>
    </row>
    <row r="1925" spans="9:10" x14ac:dyDescent="0.2">
      <c r="I1925" s="1125"/>
      <c r="J1925" s="1125"/>
    </row>
    <row r="1926" spans="9:10" x14ac:dyDescent="0.2">
      <c r="I1926" s="1125"/>
      <c r="J1926" s="1125"/>
    </row>
    <row r="1927" spans="9:10" x14ac:dyDescent="0.2">
      <c r="I1927" s="1125"/>
      <c r="J1927" s="1125"/>
    </row>
    <row r="1928" spans="9:10" x14ac:dyDescent="0.2">
      <c r="I1928" s="1125"/>
      <c r="J1928" s="1125"/>
    </row>
    <row r="1929" spans="9:10" x14ac:dyDescent="0.2">
      <c r="I1929" s="1125"/>
      <c r="J1929" s="1125"/>
    </row>
    <row r="1930" spans="9:10" x14ac:dyDescent="0.2">
      <c r="I1930" s="1125"/>
      <c r="J1930" s="1125"/>
    </row>
    <row r="1931" spans="9:10" x14ac:dyDescent="0.2">
      <c r="I1931" s="1125"/>
      <c r="J1931" s="1125"/>
    </row>
    <row r="1932" spans="9:10" x14ac:dyDescent="0.2">
      <c r="I1932" s="1125"/>
      <c r="J1932" s="1125"/>
    </row>
    <row r="1933" spans="9:10" x14ac:dyDescent="0.2">
      <c r="I1933" s="1125"/>
      <c r="J1933" s="1125"/>
    </row>
    <row r="1934" spans="9:10" x14ac:dyDescent="0.2">
      <c r="I1934" s="1125"/>
      <c r="J1934" s="1125"/>
    </row>
    <row r="1935" spans="9:10" x14ac:dyDescent="0.2">
      <c r="I1935" s="1125"/>
      <c r="J1935" s="1125"/>
    </row>
    <row r="1936" spans="9:10" x14ac:dyDescent="0.2">
      <c r="I1936" s="1125"/>
      <c r="J1936" s="1125"/>
    </row>
    <row r="1937" spans="9:10" x14ac:dyDescent="0.2">
      <c r="I1937" s="1125"/>
      <c r="J1937" s="1125"/>
    </row>
    <row r="1938" spans="9:10" x14ac:dyDescent="0.2">
      <c r="I1938" s="1125"/>
      <c r="J1938" s="1125"/>
    </row>
    <row r="1939" spans="9:10" x14ac:dyDescent="0.2">
      <c r="I1939" s="1125"/>
      <c r="J1939" s="1125"/>
    </row>
    <row r="1940" spans="9:10" x14ac:dyDescent="0.2">
      <c r="I1940" s="1125"/>
      <c r="J1940" s="1125"/>
    </row>
    <row r="1941" spans="9:10" x14ac:dyDescent="0.2">
      <c r="I1941" s="1125"/>
      <c r="J1941" s="1125"/>
    </row>
    <row r="1942" spans="9:10" x14ac:dyDescent="0.2">
      <c r="I1942" s="1125"/>
      <c r="J1942" s="1125"/>
    </row>
    <row r="1943" spans="9:10" x14ac:dyDescent="0.2">
      <c r="I1943" s="1125"/>
      <c r="J1943" s="1125"/>
    </row>
    <row r="1944" spans="9:10" x14ac:dyDescent="0.2">
      <c r="I1944" s="1125"/>
      <c r="J1944" s="1125"/>
    </row>
    <row r="1945" spans="9:10" x14ac:dyDescent="0.2">
      <c r="I1945" s="1125"/>
      <c r="J1945" s="1125"/>
    </row>
    <row r="1946" spans="9:10" x14ac:dyDescent="0.2">
      <c r="I1946" s="1125"/>
      <c r="J1946" s="1125"/>
    </row>
    <row r="1947" spans="9:10" x14ac:dyDescent="0.2">
      <c r="I1947" s="1125"/>
      <c r="J1947" s="1125"/>
    </row>
    <row r="1948" spans="9:10" x14ac:dyDescent="0.2">
      <c r="I1948" s="1125"/>
      <c r="J1948" s="1125"/>
    </row>
    <row r="1949" spans="9:10" x14ac:dyDescent="0.2">
      <c r="I1949" s="1125"/>
      <c r="J1949" s="1125"/>
    </row>
    <row r="1950" spans="9:10" x14ac:dyDescent="0.2">
      <c r="I1950" s="1125"/>
      <c r="J1950" s="1125"/>
    </row>
    <row r="1951" spans="9:10" x14ac:dyDescent="0.2">
      <c r="I1951" s="1125"/>
      <c r="J1951" s="1125"/>
    </row>
    <row r="1952" spans="9:10" x14ac:dyDescent="0.2">
      <c r="I1952" s="1125"/>
      <c r="J1952" s="1125"/>
    </row>
    <row r="1953" spans="9:10" x14ac:dyDescent="0.2">
      <c r="I1953" s="1125"/>
      <c r="J1953" s="1125"/>
    </row>
    <row r="1954" spans="9:10" x14ac:dyDescent="0.2">
      <c r="I1954" s="1125"/>
      <c r="J1954" s="1125"/>
    </row>
    <row r="1955" spans="9:10" x14ac:dyDescent="0.2">
      <c r="I1955" s="1125"/>
      <c r="J1955" s="1125"/>
    </row>
    <row r="1956" spans="9:10" x14ac:dyDescent="0.2">
      <c r="I1956" s="1125"/>
      <c r="J1956" s="1125"/>
    </row>
    <row r="1957" spans="9:10" x14ac:dyDescent="0.2">
      <c r="I1957" s="1125"/>
      <c r="J1957" s="1125"/>
    </row>
    <row r="1958" spans="9:10" x14ac:dyDescent="0.2">
      <c r="I1958" s="1125"/>
      <c r="J1958" s="1125"/>
    </row>
    <row r="1959" spans="9:10" x14ac:dyDescent="0.2">
      <c r="I1959" s="1125"/>
      <c r="J1959" s="1125"/>
    </row>
    <row r="1960" spans="9:10" x14ac:dyDescent="0.2">
      <c r="I1960" s="1125"/>
      <c r="J1960" s="1125"/>
    </row>
    <row r="1961" spans="9:10" x14ac:dyDescent="0.2">
      <c r="I1961" s="1125"/>
      <c r="J1961" s="1125"/>
    </row>
    <row r="1962" spans="9:10" x14ac:dyDescent="0.2">
      <c r="I1962" s="1125"/>
      <c r="J1962" s="1125"/>
    </row>
    <row r="1963" spans="9:10" x14ac:dyDescent="0.2">
      <c r="I1963" s="1125"/>
      <c r="J1963" s="1125"/>
    </row>
    <row r="1964" spans="9:10" x14ac:dyDescent="0.2">
      <c r="I1964" s="1125"/>
      <c r="J1964" s="1125"/>
    </row>
    <row r="1965" spans="9:10" x14ac:dyDescent="0.2">
      <c r="I1965" s="1125"/>
      <c r="J1965" s="1125"/>
    </row>
    <row r="1966" spans="9:10" x14ac:dyDescent="0.2">
      <c r="I1966" s="1125"/>
      <c r="J1966" s="1125"/>
    </row>
    <row r="1967" spans="9:10" x14ac:dyDescent="0.2">
      <c r="I1967" s="1125"/>
      <c r="J1967" s="1125"/>
    </row>
    <row r="1968" spans="9:10" x14ac:dyDescent="0.2">
      <c r="I1968" s="1125"/>
      <c r="J1968" s="1125"/>
    </row>
    <row r="1969" spans="9:10" x14ac:dyDescent="0.2">
      <c r="I1969" s="1125"/>
      <c r="J1969" s="1125"/>
    </row>
    <row r="1970" spans="9:10" x14ac:dyDescent="0.2">
      <c r="I1970" s="1125"/>
      <c r="J1970" s="1125"/>
    </row>
    <row r="1971" spans="9:10" x14ac:dyDescent="0.2">
      <c r="I1971" s="1125"/>
      <c r="J1971" s="1125"/>
    </row>
    <row r="1972" spans="9:10" x14ac:dyDescent="0.2">
      <c r="I1972" s="1125"/>
      <c r="J1972" s="1125"/>
    </row>
    <row r="1973" spans="9:10" x14ac:dyDescent="0.2">
      <c r="I1973" s="1125"/>
      <c r="J1973" s="1125"/>
    </row>
    <row r="1974" spans="9:10" x14ac:dyDescent="0.2">
      <c r="I1974" s="1125"/>
      <c r="J1974" s="1125"/>
    </row>
    <row r="1975" spans="9:10" x14ac:dyDescent="0.2">
      <c r="I1975" s="1125"/>
      <c r="J1975" s="1125"/>
    </row>
    <row r="1976" spans="9:10" x14ac:dyDescent="0.2">
      <c r="I1976" s="1125"/>
      <c r="J1976" s="1125"/>
    </row>
    <row r="1977" spans="9:10" x14ac:dyDescent="0.2">
      <c r="I1977" s="1125"/>
      <c r="J1977" s="1125"/>
    </row>
    <row r="1978" spans="9:10" x14ac:dyDescent="0.2">
      <c r="I1978" s="1125"/>
      <c r="J1978" s="1125"/>
    </row>
    <row r="1979" spans="9:10" x14ac:dyDescent="0.2">
      <c r="I1979" s="1125"/>
      <c r="J1979" s="1125"/>
    </row>
    <row r="1980" spans="9:10" x14ac:dyDescent="0.2">
      <c r="I1980" s="1125"/>
      <c r="J1980" s="1125"/>
    </row>
    <row r="1981" spans="9:10" x14ac:dyDescent="0.2">
      <c r="I1981" s="1125"/>
      <c r="J1981" s="1125"/>
    </row>
    <row r="1982" spans="9:10" x14ac:dyDescent="0.2">
      <c r="I1982" s="1125"/>
      <c r="J1982" s="1125"/>
    </row>
    <row r="1983" spans="9:10" x14ac:dyDescent="0.2">
      <c r="I1983" s="1125"/>
      <c r="J1983" s="1125"/>
    </row>
    <row r="1984" spans="9:10" x14ac:dyDescent="0.2">
      <c r="I1984" s="1125"/>
      <c r="J1984" s="1125"/>
    </row>
    <row r="1985" spans="9:10" x14ac:dyDescent="0.2">
      <c r="I1985" s="1125"/>
      <c r="J1985" s="1125"/>
    </row>
    <row r="1986" spans="9:10" x14ac:dyDescent="0.2">
      <c r="I1986" s="1125"/>
      <c r="J1986" s="1125"/>
    </row>
    <row r="1987" spans="9:10" x14ac:dyDescent="0.2">
      <c r="I1987" s="1125"/>
      <c r="J1987" s="1125"/>
    </row>
    <row r="1988" spans="9:10" x14ac:dyDescent="0.2">
      <c r="I1988" s="1125"/>
      <c r="J1988" s="1125"/>
    </row>
    <row r="1989" spans="9:10" x14ac:dyDescent="0.2">
      <c r="I1989" s="1125"/>
      <c r="J1989" s="1125"/>
    </row>
    <row r="1990" spans="9:10" x14ac:dyDescent="0.2">
      <c r="I1990" s="1125"/>
      <c r="J1990" s="1125"/>
    </row>
    <row r="1991" spans="9:10" x14ac:dyDescent="0.2">
      <c r="I1991" s="1125"/>
      <c r="J1991" s="1125"/>
    </row>
    <row r="1992" spans="9:10" x14ac:dyDescent="0.2">
      <c r="I1992" s="1125"/>
      <c r="J1992" s="1125"/>
    </row>
    <row r="1993" spans="9:10" x14ac:dyDescent="0.2">
      <c r="I1993" s="1125"/>
      <c r="J1993" s="1125"/>
    </row>
    <row r="1994" spans="9:10" x14ac:dyDescent="0.2">
      <c r="I1994" s="1125"/>
      <c r="J1994" s="1125"/>
    </row>
    <row r="1995" spans="9:10" x14ac:dyDescent="0.2">
      <c r="I1995" s="1125"/>
      <c r="J1995" s="1125"/>
    </row>
    <row r="1996" spans="9:10" x14ac:dyDescent="0.2">
      <c r="I1996" s="1125"/>
      <c r="J1996" s="1125"/>
    </row>
    <row r="1997" spans="9:10" x14ac:dyDescent="0.2">
      <c r="I1997" s="1125"/>
      <c r="J1997" s="1125"/>
    </row>
    <row r="1998" spans="9:10" x14ac:dyDescent="0.2">
      <c r="I1998" s="1125"/>
      <c r="J1998" s="1125"/>
    </row>
    <row r="1999" spans="9:10" x14ac:dyDescent="0.2">
      <c r="I1999" s="1125"/>
      <c r="J1999" s="1125"/>
    </row>
    <row r="2000" spans="9:10" x14ac:dyDescent="0.2">
      <c r="I2000" s="1125"/>
      <c r="J2000" s="1125"/>
    </row>
    <row r="2001" spans="9:10" x14ac:dyDescent="0.2">
      <c r="I2001" s="1125"/>
      <c r="J2001" s="1125"/>
    </row>
    <row r="2002" spans="9:10" x14ac:dyDescent="0.2">
      <c r="I2002" s="1125"/>
      <c r="J2002" s="1125"/>
    </row>
    <row r="2003" spans="9:10" x14ac:dyDescent="0.2">
      <c r="I2003" s="1125"/>
      <c r="J2003" s="1125"/>
    </row>
    <row r="2004" spans="9:10" x14ac:dyDescent="0.2">
      <c r="I2004" s="1125"/>
      <c r="J2004" s="1125"/>
    </row>
    <row r="2005" spans="9:10" x14ac:dyDescent="0.2">
      <c r="I2005" s="1125"/>
      <c r="J2005" s="1125"/>
    </row>
    <row r="2006" spans="9:10" x14ac:dyDescent="0.2">
      <c r="I2006" s="1125"/>
      <c r="J2006" s="1125"/>
    </row>
    <row r="2007" spans="9:10" x14ac:dyDescent="0.2">
      <c r="I2007" s="1125"/>
      <c r="J2007" s="1125"/>
    </row>
    <row r="2008" spans="9:10" x14ac:dyDescent="0.2">
      <c r="I2008" s="1125"/>
      <c r="J2008" s="1125"/>
    </row>
    <row r="2009" spans="9:10" x14ac:dyDescent="0.2">
      <c r="I2009" s="1125"/>
      <c r="J2009" s="1125"/>
    </row>
    <row r="2010" spans="9:10" x14ac:dyDescent="0.2">
      <c r="I2010" s="1125"/>
      <c r="J2010" s="1125"/>
    </row>
    <row r="2011" spans="9:10" x14ac:dyDescent="0.2">
      <c r="I2011" s="1125"/>
      <c r="J2011" s="1125"/>
    </row>
    <row r="2012" spans="9:10" x14ac:dyDescent="0.2">
      <c r="I2012" s="1125"/>
      <c r="J2012" s="1125"/>
    </row>
    <row r="2013" spans="9:10" x14ac:dyDescent="0.2">
      <c r="I2013" s="1125"/>
      <c r="J2013" s="1125"/>
    </row>
    <row r="2014" spans="9:10" x14ac:dyDescent="0.2">
      <c r="I2014" s="1125"/>
      <c r="J2014" s="1125"/>
    </row>
    <row r="2015" spans="9:10" x14ac:dyDescent="0.2">
      <c r="I2015" s="1125"/>
      <c r="J2015" s="1125"/>
    </row>
    <row r="2016" spans="9:10" x14ac:dyDescent="0.2">
      <c r="I2016" s="1125"/>
      <c r="J2016" s="1125"/>
    </row>
    <row r="2017" spans="9:10" x14ac:dyDescent="0.2">
      <c r="I2017" s="1125"/>
      <c r="J2017" s="1125"/>
    </row>
    <row r="2018" spans="9:10" x14ac:dyDescent="0.2">
      <c r="I2018" s="1125"/>
      <c r="J2018" s="1125"/>
    </row>
    <row r="2019" spans="9:10" x14ac:dyDescent="0.2">
      <c r="I2019" s="1125"/>
      <c r="J2019" s="1125"/>
    </row>
    <row r="2020" spans="9:10" x14ac:dyDescent="0.2">
      <c r="I2020" s="1125"/>
      <c r="J2020" s="1125"/>
    </row>
    <row r="2021" spans="9:10" x14ac:dyDescent="0.2">
      <c r="I2021" s="1125"/>
      <c r="J2021" s="1125"/>
    </row>
    <row r="2022" spans="9:10" x14ac:dyDescent="0.2">
      <c r="I2022" s="1125"/>
      <c r="J2022" s="1125"/>
    </row>
    <row r="2023" spans="9:10" x14ac:dyDescent="0.2">
      <c r="I2023" s="1125"/>
      <c r="J2023" s="1125"/>
    </row>
    <row r="2024" spans="9:10" x14ac:dyDescent="0.2">
      <c r="I2024" s="1125"/>
      <c r="J2024" s="1125"/>
    </row>
    <row r="2025" spans="9:10" x14ac:dyDescent="0.2">
      <c r="I2025" s="1125"/>
      <c r="J2025" s="1125"/>
    </row>
    <row r="2026" spans="9:10" x14ac:dyDescent="0.2">
      <c r="I2026" s="1125"/>
      <c r="J2026" s="1125"/>
    </row>
    <row r="2027" spans="9:10" x14ac:dyDescent="0.2">
      <c r="I2027" s="1125"/>
      <c r="J2027" s="1125"/>
    </row>
    <row r="2028" spans="9:10" x14ac:dyDescent="0.2">
      <c r="I2028" s="1125"/>
      <c r="J2028" s="1125"/>
    </row>
    <row r="2029" spans="9:10" x14ac:dyDescent="0.2">
      <c r="I2029" s="1125"/>
      <c r="J2029" s="1125"/>
    </row>
    <row r="2030" spans="9:10" x14ac:dyDescent="0.2">
      <c r="I2030" s="1125"/>
      <c r="J2030" s="1125"/>
    </row>
    <row r="2031" spans="9:10" x14ac:dyDescent="0.2">
      <c r="I2031" s="1125"/>
      <c r="J2031" s="1125"/>
    </row>
    <row r="2032" spans="9:10" x14ac:dyDescent="0.2">
      <c r="I2032" s="1125"/>
      <c r="J2032" s="1125"/>
    </row>
    <row r="2033" spans="9:10" x14ac:dyDescent="0.2">
      <c r="I2033" s="1125"/>
      <c r="J2033" s="1125"/>
    </row>
    <row r="2034" spans="9:10" x14ac:dyDescent="0.2">
      <c r="I2034" s="1125"/>
      <c r="J2034" s="1125"/>
    </row>
    <row r="2035" spans="9:10" x14ac:dyDescent="0.2">
      <c r="I2035" s="1125"/>
      <c r="J2035" s="1125"/>
    </row>
    <row r="2036" spans="9:10" x14ac:dyDescent="0.2">
      <c r="I2036" s="1125"/>
      <c r="J2036" s="1125"/>
    </row>
    <row r="2037" spans="9:10" x14ac:dyDescent="0.2">
      <c r="I2037" s="1125"/>
      <c r="J2037" s="1125"/>
    </row>
    <row r="2038" spans="9:10" x14ac:dyDescent="0.2">
      <c r="I2038" s="1125"/>
      <c r="J2038" s="1125"/>
    </row>
    <row r="2039" spans="9:10" x14ac:dyDescent="0.2">
      <c r="I2039" s="1125"/>
      <c r="J2039" s="1125"/>
    </row>
    <row r="2040" spans="9:10" x14ac:dyDescent="0.2">
      <c r="I2040" s="1125"/>
      <c r="J2040" s="1125"/>
    </row>
    <row r="2041" spans="9:10" x14ac:dyDescent="0.2">
      <c r="I2041" s="1125"/>
      <c r="J2041" s="1125"/>
    </row>
    <row r="2042" spans="9:10" x14ac:dyDescent="0.2">
      <c r="I2042" s="1125"/>
      <c r="J2042" s="1125"/>
    </row>
    <row r="2043" spans="9:10" x14ac:dyDescent="0.2">
      <c r="I2043" s="1125"/>
      <c r="J2043" s="1125"/>
    </row>
    <row r="2044" spans="9:10" x14ac:dyDescent="0.2">
      <c r="I2044" s="1125"/>
      <c r="J2044" s="1125"/>
    </row>
    <row r="2045" spans="9:10" x14ac:dyDescent="0.2">
      <c r="I2045" s="1125"/>
      <c r="J2045" s="1125"/>
    </row>
    <row r="2046" spans="9:10" x14ac:dyDescent="0.2">
      <c r="I2046" s="1125"/>
      <c r="J2046" s="1125"/>
    </row>
    <row r="2047" spans="9:10" x14ac:dyDescent="0.2">
      <c r="I2047" s="1125"/>
      <c r="J2047" s="1125"/>
    </row>
    <row r="2048" spans="9:10" x14ac:dyDescent="0.2">
      <c r="I2048" s="1125"/>
      <c r="J2048" s="1125"/>
    </row>
    <row r="2049" spans="9:10" x14ac:dyDescent="0.2">
      <c r="I2049" s="1125"/>
      <c r="J2049" s="1125"/>
    </row>
    <row r="2050" spans="9:10" x14ac:dyDescent="0.2">
      <c r="I2050" s="1125"/>
      <c r="J2050" s="1125"/>
    </row>
    <row r="2051" spans="9:10" x14ac:dyDescent="0.2">
      <c r="I2051" s="1125"/>
      <c r="J2051" s="1125"/>
    </row>
    <row r="2052" spans="9:10" x14ac:dyDescent="0.2">
      <c r="I2052" s="1125"/>
      <c r="J2052" s="1125"/>
    </row>
    <row r="2053" spans="9:10" x14ac:dyDescent="0.2">
      <c r="I2053" s="1125"/>
      <c r="J2053" s="1125"/>
    </row>
    <row r="2054" spans="9:10" x14ac:dyDescent="0.2">
      <c r="I2054" s="1125"/>
      <c r="J2054" s="1125"/>
    </row>
    <row r="2055" spans="9:10" x14ac:dyDescent="0.2">
      <c r="I2055" s="1125"/>
      <c r="J2055" s="1125"/>
    </row>
    <row r="2056" spans="9:10" x14ac:dyDescent="0.2">
      <c r="I2056" s="1125"/>
      <c r="J2056" s="1125"/>
    </row>
    <row r="2057" spans="9:10" x14ac:dyDescent="0.2">
      <c r="I2057" s="1125"/>
      <c r="J2057" s="1125"/>
    </row>
    <row r="2058" spans="9:10" x14ac:dyDescent="0.2">
      <c r="I2058" s="1125"/>
      <c r="J2058" s="1125"/>
    </row>
    <row r="2059" spans="9:10" x14ac:dyDescent="0.2">
      <c r="I2059" s="1125"/>
      <c r="J2059" s="1125"/>
    </row>
    <row r="2060" spans="9:10" x14ac:dyDescent="0.2">
      <c r="I2060" s="1125"/>
      <c r="J2060" s="1125"/>
    </row>
    <row r="2061" spans="9:10" x14ac:dyDescent="0.2">
      <c r="I2061" s="1125"/>
      <c r="J2061" s="1125"/>
    </row>
    <row r="2062" spans="9:10" x14ac:dyDescent="0.2">
      <c r="I2062" s="1125"/>
      <c r="J2062" s="1125"/>
    </row>
    <row r="2063" spans="9:10" x14ac:dyDescent="0.2">
      <c r="I2063" s="1125"/>
      <c r="J2063" s="1125"/>
    </row>
    <row r="2064" spans="9:10" x14ac:dyDescent="0.2">
      <c r="I2064" s="1125"/>
      <c r="J2064" s="1125"/>
    </row>
    <row r="2065" spans="9:10" x14ac:dyDescent="0.2">
      <c r="I2065" s="1125"/>
      <c r="J2065" s="1125"/>
    </row>
    <row r="2066" spans="9:10" x14ac:dyDescent="0.2">
      <c r="I2066" s="1125"/>
      <c r="J2066" s="1125"/>
    </row>
    <row r="2067" spans="9:10" x14ac:dyDescent="0.2">
      <c r="I2067" s="1125"/>
      <c r="J2067" s="1125"/>
    </row>
    <row r="2068" spans="9:10" x14ac:dyDescent="0.2">
      <c r="I2068" s="1125"/>
      <c r="J2068" s="1125"/>
    </row>
    <row r="2069" spans="9:10" x14ac:dyDescent="0.2">
      <c r="I2069" s="1125"/>
      <c r="J2069" s="1125"/>
    </row>
    <row r="2070" spans="9:10" x14ac:dyDescent="0.2">
      <c r="I2070" s="1125"/>
      <c r="J2070" s="1125"/>
    </row>
    <row r="2071" spans="9:10" x14ac:dyDescent="0.2">
      <c r="I2071" s="1125"/>
      <c r="J2071" s="1125"/>
    </row>
    <row r="2072" spans="9:10" x14ac:dyDescent="0.2">
      <c r="I2072" s="1125"/>
      <c r="J2072" s="1125"/>
    </row>
    <row r="2073" spans="9:10" x14ac:dyDescent="0.2">
      <c r="I2073" s="1125"/>
      <c r="J2073" s="1125"/>
    </row>
    <row r="2074" spans="9:10" x14ac:dyDescent="0.2">
      <c r="I2074" s="1125"/>
      <c r="J2074" s="1125"/>
    </row>
    <row r="2075" spans="9:10" x14ac:dyDescent="0.2">
      <c r="I2075" s="1125"/>
      <c r="J2075" s="1125"/>
    </row>
    <row r="2076" spans="9:10" x14ac:dyDescent="0.2">
      <c r="I2076" s="1125"/>
      <c r="J2076" s="1125"/>
    </row>
    <row r="2077" spans="9:10" x14ac:dyDescent="0.2">
      <c r="I2077" s="1125"/>
      <c r="J2077" s="1125"/>
    </row>
    <row r="2078" spans="9:10" x14ac:dyDescent="0.2">
      <c r="I2078" s="1125"/>
      <c r="J2078" s="1125"/>
    </row>
    <row r="2079" spans="9:10" x14ac:dyDescent="0.2">
      <c r="I2079" s="1125"/>
      <c r="J2079" s="1125"/>
    </row>
    <row r="2080" spans="9:10" x14ac:dyDescent="0.2">
      <c r="I2080" s="1125"/>
      <c r="J2080" s="1125"/>
    </row>
    <row r="2081" spans="9:10" x14ac:dyDescent="0.2">
      <c r="I2081" s="1125"/>
      <c r="J2081" s="1125"/>
    </row>
    <row r="2082" spans="9:10" x14ac:dyDescent="0.2">
      <c r="I2082" s="1125"/>
      <c r="J2082" s="1125"/>
    </row>
    <row r="2083" spans="9:10" x14ac:dyDescent="0.2">
      <c r="I2083" s="1125"/>
      <c r="J2083" s="1125"/>
    </row>
    <row r="2084" spans="9:10" x14ac:dyDescent="0.2">
      <c r="I2084" s="1125"/>
      <c r="J2084" s="1125"/>
    </row>
    <row r="2085" spans="9:10" x14ac:dyDescent="0.2">
      <c r="I2085" s="1125"/>
      <c r="J2085" s="1125"/>
    </row>
    <row r="2086" spans="9:10" x14ac:dyDescent="0.2">
      <c r="I2086" s="1125"/>
      <c r="J2086" s="1125"/>
    </row>
    <row r="2087" spans="9:10" x14ac:dyDescent="0.2">
      <c r="I2087" s="1125"/>
      <c r="J2087" s="1125"/>
    </row>
    <row r="2088" spans="9:10" x14ac:dyDescent="0.2">
      <c r="I2088" s="1125"/>
      <c r="J2088" s="1125"/>
    </row>
    <row r="2089" spans="9:10" x14ac:dyDescent="0.2">
      <c r="I2089" s="1125"/>
      <c r="J2089" s="1125"/>
    </row>
    <row r="2090" spans="9:10" x14ac:dyDescent="0.2">
      <c r="I2090" s="1125"/>
      <c r="J2090" s="1125"/>
    </row>
    <row r="2091" spans="9:10" x14ac:dyDescent="0.2">
      <c r="I2091" s="1125"/>
      <c r="J2091" s="1125"/>
    </row>
    <row r="2092" spans="9:10" x14ac:dyDescent="0.2">
      <c r="I2092" s="1125"/>
      <c r="J2092" s="1125"/>
    </row>
    <row r="2093" spans="9:10" x14ac:dyDescent="0.2">
      <c r="I2093" s="1125"/>
      <c r="J2093" s="1125"/>
    </row>
    <row r="2094" spans="9:10" x14ac:dyDescent="0.2">
      <c r="I2094" s="1125"/>
      <c r="J2094" s="1125"/>
    </row>
    <row r="2095" spans="9:10" x14ac:dyDescent="0.2">
      <c r="I2095" s="1125"/>
      <c r="J2095" s="1125"/>
    </row>
    <row r="2096" spans="9:10" x14ac:dyDescent="0.2">
      <c r="I2096" s="1125"/>
      <c r="J2096" s="1125"/>
    </row>
    <row r="2097" spans="9:10" x14ac:dyDescent="0.2">
      <c r="I2097" s="1125"/>
      <c r="J2097" s="1125"/>
    </row>
    <row r="2098" spans="9:10" x14ac:dyDescent="0.2">
      <c r="I2098" s="1125"/>
      <c r="J2098" s="1125"/>
    </row>
    <row r="2099" spans="9:10" x14ac:dyDescent="0.2">
      <c r="I2099" s="1125"/>
      <c r="J2099" s="1125"/>
    </row>
    <row r="2100" spans="9:10" x14ac:dyDescent="0.2">
      <c r="I2100" s="1125"/>
      <c r="J2100" s="1125"/>
    </row>
    <row r="2101" spans="9:10" x14ac:dyDescent="0.2">
      <c r="I2101" s="1125"/>
      <c r="J2101" s="1125"/>
    </row>
    <row r="2102" spans="9:10" x14ac:dyDescent="0.2">
      <c r="I2102" s="1125"/>
      <c r="J2102" s="1125"/>
    </row>
    <row r="2103" spans="9:10" x14ac:dyDescent="0.2">
      <c r="I2103" s="1125"/>
      <c r="J2103" s="1125"/>
    </row>
    <row r="2104" spans="9:10" x14ac:dyDescent="0.2">
      <c r="I2104" s="1125"/>
      <c r="J2104" s="1125"/>
    </row>
    <row r="2105" spans="9:10" x14ac:dyDescent="0.2">
      <c r="I2105" s="1125"/>
      <c r="J2105" s="1125"/>
    </row>
    <row r="2106" spans="9:10" x14ac:dyDescent="0.2">
      <c r="I2106" s="1125"/>
      <c r="J2106" s="1125"/>
    </row>
    <row r="2107" spans="9:10" x14ac:dyDescent="0.2">
      <c r="I2107" s="1125"/>
      <c r="J2107" s="1125"/>
    </row>
    <row r="2108" spans="9:10" x14ac:dyDescent="0.2">
      <c r="I2108" s="1125"/>
      <c r="J2108" s="1125"/>
    </row>
    <row r="2109" spans="9:10" x14ac:dyDescent="0.2">
      <c r="I2109" s="1125"/>
      <c r="J2109" s="1125"/>
    </row>
    <row r="2110" spans="9:10" x14ac:dyDescent="0.2">
      <c r="I2110" s="1125"/>
      <c r="J2110" s="1125"/>
    </row>
    <row r="2111" spans="9:10" x14ac:dyDescent="0.2">
      <c r="I2111" s="1125"/>
      <c r="J2111" s="1125"/>
    </row>
    <row r="2112" spans="9:10" x14ac:dyDescent="0.2">
      <c r="I2112" s="1125"/>
      <c r="J2112" s="1125"/>
    </row>
    <row r="2113" spans="9:10" x14ac:dyDescent="0.2">
      <c r="I2113" s="1125"/>
      <c r="J2113" s="1125"/>
    </row>
    <row r="2114" spans="9:10" x14ac:dyDescent="0.2">
      <c r="I2114" s="1125"/>
      <c r="J2114" s="1125"/>
    </row>
    <row r="2115" spans="9:10" x14ac:dyDescent="0.2">
      <c r="I2115" s="1125"/>
      <c r="J2115" s="1125"/>
    </row>
    <row r="2116" spans="9:10" x14ac:dyDescent="0.2">
      <c r="I2116" s="1125"/>
      <c r="J2116" s="1125"/>
    </row>
    <row r="2117" spans="9:10" x14ac:dyDescent="0.2">
      <c r="I2117" s="1125"/>
      <c r="J2117" s="1125"/>
    </row>
    <row r="2118" spans="9:10" x14ac:dyDescent="0.2">
      <c r="I2118" s="1125"/>
      <c r="J2118" s="1125"/>
    </row>
    <row r="2119" spans="9:10" x14ac:dyDescent="0.2">
      <c r="I2119" s="1125"/>
      <c r="J2119" s="1125"/>
    </row>
    <row r="2120" spans="9:10" x14ac:dyDescent="0.2">
      <c r="I2120" s="1125"/>
      <c r="J2120" s="1125"/>
    </row>
    <row r="2121" spans="9:10" x14ac:dyDescent="0.2">
      <c r="I2121" s="1125"/>
      <c r="J2121" s="1125"/>
    </row>
    <row r="2122" spans="9:10" x14ac:dyDescent="0.2">
      <c r="I2122" s="1125"/>
      <c r="J2122" s="1125"/>
    </row>
    <row r="2123" spans="9:10" x14ac:dyDescent="0.2">
      <c r="I2123" s="1125"/>
      <c r="J2123" s="1125"/>
    </row>
    <row r="2124" spans="9:10" x14ac:dyDescent="0.2">
      <c r="I2124" s="1125"/>
      <c r="J2124" s="1125"/>
    </row>
    <row r="2125" spans="9:10" x14ac:dyDescent="0.2">
      <c r="I2125" s="1125"/>
      <c r="J2125" s="1125"/>
    </row>
    <row r="2126" spans="9:10" x14ac:dyDescent="0.2">
      <c r="I2126" s="1125"/>
      <c r="J2126" s="1125"/>
    </row>
    <row r="2127" spans="9:10" x14ac:dyDescent="0.2">
      <c r="I2127" s="1125"/>
      <c r="J2127" s="1125"/>
    </row>
    <row r="2128" spans="9:10" x14ac:dyDescent="0.2">
      <c r="I2128" s="1125"/>
      <c r="J2128" s="1125"/>
    </row>
    <row r="2129" spans="9:10" x14ac:dyDescent="0.2">
      <c r="I2129" s="1125"/>
      <c r="J2129" s="1125"/>
    </row>
    <row r="2130" spans="9:10" x14ac:dyDescent="0.2">
      <c r="I2130" s="1125"/>
      <c r="J2130" s="1125"/>
    </row>
    <row r="2131" spans="9:10" x14ac:dyDescent="0.2">
      <c r="I2131" s="1125"/>
      <c r="J2131" s="1125"/>
    </row>
    <row r="2132" spans="9:10" x14ac:dyDescent="0.2">
      <c r="I2132" s="1125"/>
      <c r="J2132" s="1125"/>
    </row>
    <row r="2133" spans="9:10" x14ac:dyDescent="0.2">
      <c r="I2133" s="1125"/>
      <c r="J2133" s="1125"/>
    </row>
    <row r="2134" spans="9:10" x14ac:dyDescent="0.2">
      <c r="I2134" s="1125"/>
      <c r="J2134" s="1125"/>
    </row>
    <row r="2135" spans="9:10" x14ac:dyDescent="0.2">
      <c r="I2135" s="1125"/>
      <c r="J2135" s="1125"/>
    </row>
    <row r="2136" spans="9:10" x14ac:dyDescent="0.2">
      <c r="I2136" s="1125"/>
      <c r="J2136" s="1125"/>
    </row>
    <row r="2137" spans="9:10" x14ac:dyDescent="0.2">
      <c r="I2137" s="1125"/>
      <c r="J2137" s="1125"/>
    </row>
    <row r="2138" spans="9:10" x14ac:dyDescent="0.2">
      <c r="I2138" s="1125"/>
      <c r="J2138" s="1125"/>
    </row>
    <row r="2139" spans="9:10" x14ac:dyDescent="0.2">
      <c r="I2139" s="1125"/>
      <c r="J2139" s="1125"/>
    </row>
    <row r="2140" spans="9:10" x14ac:dyDescent="0.2">
      <c r="I2140" s="1125"/>
      <c r="J2140" s="1125"/>
    </row>
    <row r="2141" spans="9:10" x14ac:dyDescent="0.2">
      <c r="I2141" s="1125"/>
      <c r="J2141" s="1125"/>
    </row>
    <row r="2142" spans="9:10" x14ac:dyDescent="0.2">
      <c r="I2142" s="1125"/>
      <c r="J2142" s="1125"/>
    </row>
    <row r="2143" spans="9:10" x14ac:dyDescent="0.2">
      <c r="I2143" s="1125"/>
      <c r="J2143" s="1125"/>
    </row>
    <row r="2144" spans="9:10" x14ac:dyDescent="0.2">
      <c r="I2144" s="1125"/>
      <c r="J2144" s="1125"/>
    </row>
    <row r="2145" spans="9:10" x14ac:dyDescent="0.2">
      <c r="I2145" s="1125"/>
      <c r="J2145" s="1125"/>
    </row>
    <row r="2146" spans="9:10" x14ac:dyDescent="0.2">
      <c r="I2146" s="1125"/>
      <c r="J2146" s="1125"/>
    </row>
    <row r="2147" spans="9:10" x14ac:dyDescent="0.2">
      <c r="I2147" s="1125"/>
      <c r="J2147" s="1125"/>
    </row>
    <row r="2148" spans="9:10" x14ac:dyDescent="0.2">
      <c r="I2148" s="1125"/>
      <c r="J2148" s="1125"/>
    </row>
    <row r="2149" spans="9:10" x14ac:dyDescent="0.2">
      <c r="I2149" s="1125"/>
      <c r="J2149" s="1125"/>
    </row>
    <row r="2150" spans="9:10" x14ac:dyDescent="0.2">
      <c r="I2150" s="1125"/>
      <c r="J2150" s="1125"/>
    </row>
    <row r="2151" spans="9:10" x14ac:dyDescent="0.2">
      <c r="I2151" s="1125"/>
      <c r="J2151" s="1125"/>
    </row>
    <row r="2152" spans="9:10" x14ac:dyDescent="0.2">
      <c r="I2152" s="1125"/>
      <c r="J2152" s="1125"/>
    </row>
    <row r="2153" spans="9:10" x14ac:dyDescent="0.2">
      <c r="I2153" s="1125"/>
      <c r="J2153" s="1125"/>
    </row>
    <row r="2154" spans="9:10" x14ac:dyDescent="0.2">
      <c r="I2154" s="1125"/>
      <c r="J2154" s="1125"/>
    </row>
    <row r="2155" spans="9:10" x14ac:dyDescent="0.2">
      <c r="I2155" s="1125"/>
      <c r="J2155" s="1125"/>
    </row>
    <row r="2156" spans="9:10" x14ac:dyDescent="0.2">
      <c r="I2156" s="1125"/>
      <c r="J2156" s="1125"/>
    </row>
    <row r="2157" spans="9:10" x14ac:dyDescent="0.2">
      <c r="I2157" s="1125"/>
      <c r="J2157" s="1125"/>
    </row>
    <row r="2158" spans="9:10" x14ac:dyDescent="0.2">
      <c r="I2158" s="1125"/>
      <c r="J2158" s="1125"/>
    </row>
    <row r="2159" spans="9:10" x14ac:dyDescent="0.2">
      <c r="I2159" s="1125"/>
      <c r="J2159" s="1125"/>
    </row>
    <row r="2160" spans="9:10" x14ac:dyDescent="0.2">
      <c r="I2160" s="1125"/>
      <c r="J2160" s="1125"/>
    </row>
    <row r="2161" spans="9:10" x14ac:dyDescent="0.2">
      <c r="I2161" s="1125"/>
      <c r="J2161" s="1125"/>
    </row>
    <row r="2162" spans="9:10" x14ac:dyDescent="0.2">
      <c r="I2162" s="1125"/>
      <c r="J2162" s="1125"/>
    </row>
    <row r="2163" spans="9:10" x14ac:dyDescent="0.2">
      <c r="I2163" s="1125"/>
      <c r="J2163" s="1125"/>
    </row>
    <row r="2164" spans="9:10" x14ac:dyDescent="0.2">
      <c r="I2164" s="1125"/>
      <c r="J2164" s="1125"/>
    </row>
    <row r="2165" spans="9:10" x14ac:dyDescent="0.2">
      <c r="I2165" s="1125"/>
      <c r="J2165" s="1125"/>
    </row>
    <row r="2166" spans="9:10" x14ac:dyDescent="0.2">
      <c r="I2166" s="1125"/>
      <c r="J2166" s="1125"/>
    </row>
    <row r="2167" spans="9:10" x14ac:dyDescent="0.2">
      <c r="I2167" s="1125"/>
      <c r="J2167" s="1125"/>
    </row>
    <row r="2168" spans="9:10" x14ac:dyDescent="0.2">
      <c r="I2168" s="1125"/>
      <c r="J2168" s="1125"/>
    </row>
    <row r="2169" spans="9:10" x14ac:dyDescent="0.2">
      <c r="I2169" s="1125"/>
      <c r="J2169" s="1125"/>
    </row>
    <row r="2170" spans="9:10" x14ac:dyDescent="0.2">
      <c r="I2170" s="1125"/>
      <c r="J2170" s="1125"/>
    </row>
    <row r="2171" spans="9:10" x14ac:dyDescent="0.2">
      <c r="I2171" s="1125"/>
      <c r="J2171" s="1125"/>
    </row>
    <row r="2172" spans="9:10" x14ac:dyDescent="0.2">
      <c r="I2172" s="1125"/>
      <c r="J2172" s="1125"/>
    </row>
    <row r="2173" spans="9:10" x14ac:dyDescent="0.2">
      <c r="I2173" s="1125"/>
      <c r="J2173" s="1125"/>
    </row>
    <row r="2174" spans="9:10" x14ac:dyDescent="0.2">
      <c r="I2174" s="1125"/>
      <c r="J2174" s="1125"/>
    </row>
    <row r="2175" spans="9:10" x14ac:dyDescent="0.2">
      <c r="I2175" s="1125"/>
      <c r="J2175" s="1125"/>
    </row>
    <row r="2176" spans="9:10" x14ac:dyDescent="0.2">
      <c r="I2176" s="1125"/>
      <c r="J2176" s="1125"/>
    </row>
    <row r="2177" spans="9:10" x14ac:dyDescent="0.2">
      <c r="I2177" s="1125"/>
      <c r="J2177" s="1125"/>
    </row>
    <row r="2178" spans="9:10" x14ac:dyDescent="0.2">
      <c r="I2178" s="1125"/>
      <c r="J2178" s="1125"/>
    </row>
    <row r="2179" spans="9:10" x14ac:dyDescent="0.2">
      <c r="I2179" s="1125"/>
      <c r="J2179" s="1125"/>
    </row>
    <row r="2180" spans="9:10" x14ac:dyDescent="0.2">
      <c r="I2180" s="1125"/>
      <c r="J2180" s="1125"/>
    </row>
    <row r="2181" spans="9:10" x14ac:dyDescent="0.2">
      <c r="I2181" s="1125"/>
      <c r="J2181" s="1125"/>
    </row>
    <row r="2182" spans="9:10" x14ac:dyDescent="0.2">
      <c r="I2182" s="1125"/>
      <c r="J2182" s="1125"/>
    </row>
    <row r="2183" spans="9:10" x14ac:dyDescent="0.2">
      <c r="I2183" s="1125"/>
      <c r="J2183" s="1125"/>
    </row>
    <row r="2184" spans="9:10" x14ac:dyDescent="0.2">
      <c r="I2184" s="1125"/>
      <c r="J2184" s="1125"/>
    </row>
    <row r="2185" spans="9:10" x14ac:dyDescent="0.2">
      <c r="I2185" s="1125"/>
      <c r="J2185" s="1125"/>
    </row>
    <row r="2186" spans="9:10" x14ac:dyDescent="0.2">
      <c r="I2186" s="1125"/>
      <c r="J2186" s="1125"/>
    </row>
    <row r="2187" spans="9:10" x14ac:dyDescent="0.2">
      <c r="I2187" s="1125"/>
      <c r="J2187" s="1125"/>
    </row>
    <row r="2188" spans="9:10" x14ac:dyDescent="0.2">
      <c r="I2188" s="1125"/>
      <c r="J2188" s="1125"/>
    </row>
    <row r="2189" spans="9:10" x14ac:dyDescent="0.2">
      <c r="I2189" s="1125"/>
      <c r="J2189" s="1125"/>
    </row>
    <row r="2190" spans="9:10" x14ac:dyDescent="0.2">
      <c r="I2190" s="1125"/>
      <c r="J2190" s="1125"/>
    </row>
    <row r="2191" spans="9:10" x14ac:dyDescent="0.2">
      <c r="I2191" s="1125"/>
      <c r="J2191" s="1125"/>
    </row>
    <row r="2192" spans="9:10" x14ac:dyDescent="0.2">
      <c r="I2192" s="1125"/>
      <c r="J2192" s="1125"/>
    </row>
    <row r="2193" spans="9:10" x14ac:dyDescent="0.2">
      <c r="I2193" s="1125"/>
      <c r="J2193" s="1125"/>
    </row>
    <row r="2194" spans="9:10" x14ac:dyDescent="0.2">
      <c r="I2194" s="1125"/>
      <c r="J2194" s="1125"/>
    </row>
    <row r="2195" spans="9:10" x14ac:dyDescent="0.2">
      <c r="I2195" s="1125"/>
      <c r="J2195" s="1125"/>
    </row>
    <row r="2196" spans="9:10" x14ac:dyDescent="0.2">
      <c r="I2196" s="1125"/>
      <c r="J2196" s="1125"/>
    </row>
    <row r="2197" spans="9:10" x14ac:dyDescent="0.2">
      <c r="I2197" s="1125"/>
      <c r="J2197" s="1125"/>
    </row>
    <row r="2198" spans="9:10" x14ac:dyDescent="0.2">
      <c r="I2198" s="1125"/>
      <c r="J2198" s="1125"/>
    </row>
    <row r="2199" spans="9:10" x14ac:dyDescent="0.2">
      <c r="I2199" s="1125"/>
      <c r="J2199" s="1125"/>
    </row>
    <row r="2200" spans="9:10" x14ac:dyDescent="0.2">
      <c r="I2200" s="1125"/>
      <c r="J2200" s="1125"/>
    </row>
    <row r="2201" spans="9:10" x14ac:dyDescent="0.2">
      <c r="I2201" s="1125"/>
      <c r="J2201" s="1125"/>
    </row>
    <row r="2202" spans="9:10" x14ac:dyDescent="0.2">
      <c r="I2202" s="1125"/>
      <c r="J2202" s="1125"/>
    </row>
    <row r="2203" spans="9:10" x14ac:dyDescent="0.2">
      <c r="I2203" s="1125"/>
      <c r="J2203" s="1125"/>
    </row>
    <row r="2204" spans="9:10" x14ac:dyDescent="0.2">
      <c r="I2204" s="1125"/>
      <c r="J2204" s="1125"/>
    </row>
    <row r="2205" spans="9:10" x14ac:dyDescent="0.2">
      <c r="I2205" s="1125"/>
      <c r="J2205" s="1125"/>
    </row>
    <row r="2206" spans="9:10" x14ac:dyDescent="0.2">
      <c r="I2206" s="1125"/>
      <c r="J2206" s="1125"/>
    </row>
    <row r="2207" spans="9:10" x14ac:dyDescent="0.2">
      <c r="I2207" s="1125"/>
      <c r="J2207" s="1125"/>
    </row>
    <row r="2208" spans="9:10" x14ac:dyDescent="0.2">
      <c r="I2208" s="1125"/>
      <c r="J2208" s="1125"/>
    </row>
    <row r="2209" spans="9:10" x14ac:dyDescent="0.2">
      <c r="I2209" s="1125"/>
      <c r="J2209" s="1125"/>
    </row>
    <row r="2210" spans="9:10" x14ac:dyDescent="0.2">
      <c r="I2210" s="1125"/>
      <c r="J2210" s="1125"/>
    </row>
    <row r="2211" spans="9:10" x14ac:dyDescent="0.2">
      <c r="I2211" s="1125"/>
      <c r="J2211" s="1125"/>
    </row>
    <row r="2212" spans="9:10" x14ac:dyDescent="0.2">
      <c r="I2212" s="1125"/>
      <c r="J2212" s="1125"/>
    </row>
    <row r="2213" spans="9:10" x14ac:dyDescent="0.2">
      <c r="I2213" s="1125"/>
      <c r="J2213" s="1125"/>
    </row>
    <row r="2214" spans="9:10" x14ac:dyDescent="0.2">
      <c r="I2214" s="1125"/>
      <c r="J2214" s="1125"/>
    </row>
    <row r="2215" spans="9:10" x14ac:dyDescent="0.2">
      <c r="I2215" s="1125"/>
      <c r="J2215" s="1125"/>
    </row>
    <row r="2216" spans="9:10" x14ac:dyDescent="0.2">
      <c r="I2216" s="1125"/>
      <c r="J2216" s="1125"/>
    </row>
    <row r="2217" spans="9:10" x14ac:dyDescent="0.2">
      <c r="I2217" s="1125"/>
      <c r="J2217" s="1125"/>
    </row>
    <row r="2218" spans="9:10" x14ac:dyDescent="0.2">
      <c r="I2218" s="1125"/>
      <c r="J2218" s="1125"/>
    </row>
    <row r="2219" spans="9:10" x14ac:dyDescent="0.2">
      <c r="I2219" s="1125"/>
      <c r="J2219" s="1125"/>
    </row>
    <row r="2220" spans="9:10" x14ac:dyDescent="0.2">
      <c r="I2220" s="1125"/>
      <c r="J2220" s="1125"/>
    </row>
    <row r="2221" spans="9:10" x14ac:dyDescent="0.2">
      <c r="I2221" s="1125"/>
      <c r="J2221" s="1125"/>
    </row>
    <row r="2222" spans="9:10" x14ac:dyDescent="0.2">
      <c r="I2222" s="1125"/>
      <c r="J2222" s="1125"/>
    </row>
    <row r="2223" spans="9:10" x14ac:dyDescent="0.2">
      <c r="I2223" s="1125"/>
      <c r="J2223" s="1125"/>
    </row>
    <row r="2224" spans="9:10" x14ac:dyDescent="0.2">
      <c r="I2224" s="1125"/>
      <c r="J2224" s="1125"/>
    </row>
    <row r="2225" spans="9:10" x14ac:dyDescent="0.2">
      <c r="I2225" s="1125"/>
      <c r="J2225" s="1125"/>
    </row>
    <row r="2226" spans="9:10" x14ac:dyDescent="0.2">
      <c r="I2226" s="1125"/>
      <c r="J2226" s="1125"/>
    </row>
    <row r="2227" spans="9:10" x14ac:dyDescent="0.2">
      <c r="I2227" s="1125"/>
      <c r="J2227" s="1125"/>
    </row>
    <row r="2228" spans="9:10" x14ac:dyDescent="0.2">
      <c r="I2228" s="1125"/>
      <c r="J2228" s="1125"/>
    </row>
    <row r="2229" spans="9:10" x14ac:dyDescent="0.2">
      <c r="I2229" s="1125"/>
      <c r="J2229" s="1125"/>
    </row>
    <row r="2230" spans="9:10" x14ac:dyDescent="0.2">
      <c r="I2230" s="1125"/>
      <c r="J2230" s="1125"/>
    </row>
    <row r="2231" spans="9:10" x14ac:dyDescent="0.2">
      <c r="I2231" s="1125"/>
      <c r="J2231" s="1125"/>
    </row>
    <row r="2232" spans="9:10" x14ac:dyDescent="0.2">
      <c r="I2232" s="1125"/>
      <c r="J2232" s="1125"/>
    </row>
    <row r="2233" spans="9:10" x14ac:dyDescent="0.2">
      <c r="I2233" s="1125"/>
      <c r="J2233" s="1125"/>
    </row>
    <row r="2234" spans="9:10" x14ac:dyDescent="0.2">
      <c r="I2234" s="1125"/>
      <c r="J2234" s="1125"/>
    </row>
    <row r="2235" spans="9:10" x14ac:dyDescent="0.2">
      <c r="I2235" s="1125"/>
      <c r="J2235" s="1125"/>
    </row>
    <row r="2236" spans="9:10" x14ac:dyDescent="0.2">
      <c r="I2236" s="1125"/>
      <c r="J2236" s="1125"/>
    </row>
    <row r="2237" spans="9:10" x14ac:dyDescent="0.2">
      <c r="I2237" s="1125"/>
      <c r="J2237" s="1125"/>
    </row>
    <row r="2238" spans="9:10" x14ac:dyDescent="0.2">
      <c r="I2238" s="1125"/>
      <c r="J2238" s="1125"/>
    </row>
    <row r="2239" spans="9:10" x14ac:dyDescent="0.2">
      <c r="I2239" s="1125"/>
      <c r="J2239" s="1125"/>
    </row>
    <row r="2240" spans="9:10" x14ac:dyDescent="0.2">
      <c r="I2240" s="1125"/>
      <c r="J2240" s="1125"/>
    </row>
    <row r="2241" spans="9:10" x14ac:dyDescent="0.2">
      <c r="I2241" s="1125"/>
      <c r="J2241" s="1125"/>
    </row>
    <row r="2242" spans="9:10" x14ac:dyDescent="0.2">
      <c r="I2242" s="1125"/>
      <c r="J2242" s="1125"/>
    </row>
    <row r="2243" spans="9:10" x14ac:dyDescent="0.2">
      <c r="I2243" s="1125"/>
      <c r="J2243" s="1125"/>
    </row>
    <row r="2244" spans="9:10" x14ac:dyDescent="0.2">
      <c r="I2244" s="1125"/>
      <c r="J2244" s="1125"/>
    </row>
    <row r="2245" spans="9:10" x14ac:dyDescent="0.2">
      <c r="I2245" s="1125"/>
      <c r="J2245" s="1125"/>
    </row>
    <row r="2246" spans="9:10" x14ac:dyDescent="0.2">
      <c r="I2246" s="1125"/>
      <c r="J2246" s="1125"/>
    </row>
    <row r="2247" spans="9:10" x14ac:dyDescent="0.2">
      <c r="I2247" s="1125"/>
      <c r="J2247" s="1125"/>
    </row>
    <row r="2248" spans="9:10" x14ac:dyDescent="0.2">
      <c r="I2248" s="1125"/>
      <c r="J2248" s="1125"/>
    </row>
    <row r="2249" spans="9:10" x14ac:dyDescent="0.2">
      <c r="I2249" s="1125"/>
      <c r="J2249" s="1125"/>
    </row>
    <row r="2250" spans="9:10" x14ac:dyDescent="0.2">
      <c r="I2250" s="1125"/>
      <c r="J2250" s="1125"/>
    </row>
    <row r="2251" spans="9:10" x14ac:dyDescent="0.2">
      <c r="I2251" s="1125"/>
      <c r="J2251" s="1125"/>
    </row>
    <row r="2252" spans="9:10" x14ac:dyDescent="0.2">
      <c r="I2252" s="1125"/>
      <c r="J2252" s="1125"/>
    </row>
    <row r="2253" spans="9:10" x14ac:dyDescent="0.2">
      <c r="I2253" s="1125"/>
      <c r="J2253" s="1125"/>
    </row>
    <row r="2254" spans="9:10" x14ac:dyDescent="0.2">
      <c r="I2254" s="1125"/>
      <c r="J2254" s="1125"/>
    </row>
    <row r="2255" spans="9:10" x14ac:dyDescent="0.2">
      <c r="I2255" s="1125"/>
      <c r="J2255" s="1125"/>
    </row>
    <row r="2256" spans="9:10" x14ac:dyDescent="0.2">
      <c r="I2256" s="1125"/>
      <c r="J2256" s="1125"/>
    </row>
    <row r="2257" spans="9:10" x14ac:dyDescent="0.2">
      <c r="I2257" s="1125"/>
      <c r="J2257" s="1125"/>
    </row>
    <row r="2258" spans="9:10" x14ac:dyDescent="0.2">
      <c r="I2258" s="1125"/>
      <c r="J2258" s="1125"/>
    </row>
    <row r="2259" spans="9:10" x14ac:dyDescent="0.2">
      <c r="I2259" s="1125"/>
      <c r="J2259" s="1125"/>
    </row>
    <row r="2260" spans="9:10" x14ac:dyDescent="0.2">
      <c r="I2260" s="1125"/>
      <c r="J2260" s="1125"/>
    </row>
    <row r="2261" spans="9:10" x14ac:dyDescent="0.2">
      <c r="I2261" s="1125"/>
      <c r="J2261" s="1125"/>
    </row>
    <row r="2262" spans="9:10" x14ac:dyDescent="0.2">
      <c r="I2262" s="1125"/>
      <c r="J2262" s="1125"/>
    </row>
    <row r="2263" spans="9:10" x14ac:dyDescent="0.2">
      <c r="I2263" s="1125"/>
      <c r="J2263" s="1125"/>
    </row>
    <row r="2264" spans="9:10" x14ac:dyDescent="0.2">
      <c r="I2264" s="1125"/>
      <c r="J2264" s="1125"/>
    </row>
    <row r="2265" spans="9:10" x14ac:dyDescent="0.2">
      <c r="I2265" s="1125"/>
      <c r="J2265" s="1125"/>
    </row>
    <row r="2266" spans="9:10" x14ac:dyDescent="0.2">
      <c r="I2266" s="1125"/>
      <c r="J2266" s="1125"/>
    </row>
    <row r="2267" spans="9:10" x14ac:dyDescent="0.2">
      <c r="I2267" s="1125"/>
      <c r="J2267" s="1125"/>
    </row>
    <row r="2268" spans="9:10" x14ac:dyDescent="0.2">
      <c r="I2268" s="1125"/>
      <c r="J2268" s="1125"/>
    </row>
    <row r="2269" spans="9:10" x14ac:dyDescent="0.2">
      <c r="I2269" s="1125"/>
      <c r="J2269" s="1125"/>
    </row>
    <row r="2270" spans="9:10" x14ac:dyDescent="0.2">
      <c r="I2270" s="1125"/>
      <c r="J2270" s="1125"/>
    </row>
    <row r="2271" spans="9:10" x14ac:dyDescent="0.2">
      <c r="I2271" s="1125"/>
      <c r="J2271" s="1125"/>
    </row>
    <row r="2272" spans="9:10" x14ac:dyDescent="0.2">
      <c r="I2272" s="1125"/>
      <c r="J2272" s="1125"/>
    </row>
    <row r="2273" spans="9:10" x14ac:dyDescent="0.2">
      <c r="I2273" s="1125"/>
      <c r="J2273" s="1125"/>
    </row>
    <row r="2274" spans="9:10" x14ac:dyDescent="0.2">
      <c r="I2274" s="1125"/>
      <c r="J2274" s="1125"/>
    </row>
    <row r="2275" spans="9:10" x14ac:dyDescent="0.2">
      <c r="I2275" s="1125"/>
      <c r="J2275" s="1125"/>
    </row>
    <row r="2276" spans="9:10" x14ac:dyDescent="0.2">
      <c r="I2276" s="1125"/>
      <c r="J2276" s="1125"/>
    </row>
    <row r="2277" spans="9:10" x14ac:dyDescent="0.2">
      <c r="I2277" s="1125"/>
      <c r="J2277" s="1125"/>
    </row>
    <row r="2278" spans="9:10" x14ac:dyDescent="0.2">
      <c r="I2278" s="1125"/>
      <c r="J2278" s="1125"/>
    </row>
    <row r="2279" spans="9:10" x14ac:dyDescent="0.2">
      <c r="I2279" s="1125"/>
      <c r="J2279" s="1125"/>
    </row>
    <row r="2280" spans="9:10" x14ac:dyDescent="0.2">
      <c r="I2280" s="1125"/>
      <c r="J2280" s="1125"/>
    </row>
    <row r="2281" spans="9:10" x14ac:dyDescent="0.2">
      <c r="I2281" s="1125"/>
      <c r="J2281" s="1125"/>
    </row>
    <row r="2282" spans="9:10" x14ac:dyDescent="0.2">
      <c r="I2282" s="1125"/>
      <c r="J2282" s="1125"/>
    </row>
    <row r="2283" spans="9:10" x14ac:dyDescent="0.2">
      <c r="I2283" s="1125"/>
      <c r="J2283" s="1125"/>
    </row>
    <row r="2284" spans="9:10" x14ac:dyDescent="0.2">
      <c r="I2284" s="1125"/>
      <c r="J2284" s="1125"/>
    </row>
    <row r="2285" spans="9:10" x14ac:dyDescent="0.2">
      <c r="I2285" s="1125"/>
      <c r="J2285" s="1125"/>
    </row>
    <row r="2286" spans="9:10" x14ac:dyDescent="0.2">
      <c r="I2286" s="1125"/>
      <c r="J2286" s="1125"/>
    </row>
    <row r="2287" spans="9:10" x14ac:dyDescent="0.2">
      <c r="I2287" s="1125"/>
      <c r="J2287" s="1125"/>
    </row>
    <row r="2288" spans="9:10" x14ac:dyDescent="0.2">
      <c r="I2288" s="1125"/>
      <c r="J2288" s="1125"/>
    </row>
    <row r="2289" spans="9:10" x14ac:dyDescent="0.2">
      <c r="I2289" s="1125"/>
      <c r="J2289" s="1125"/>
    </row>
    <row r="2290" spans="9:10" x14ac:dyDescent="0.2">
      <c r="I2290" s="1125"/>
      <c r="J2290" s="1125"/>
    </row>
    <row r="2291" spans="9:10" x14ac:dyDescent="0.2">
      <c r="I2291" s="1125"/>
      <c r="J2291" s="1125"/>
    </row>
    <row r="2292" spans="9:10" x14ac:dyDescent="0.2">
      <c r="I2292" s="1125"/>
      <c r="J2292" s="1125"/>
    </row>
    <row r="2293" spans="9:10" x14ac:dyDescent="0.2">
      <c r="I2293" s="1125"/>
      <c r="J2293" s="1125"/>
    </row>
    <row r="2294" spans="9:10" x14ac:dyDescent="0.2">
      <c r="I2294" s="1125"/>
      <c r="J2294" s="1125"/>
    </row>
    <row r="2295" spans="9:10" x14ac:dyDescent="0.2">
      <c r="I2295" s="1125"/>
      <c r="J2295" s="1125"/>
    </row>
    <row r="2296" spans="9:10" x14ac:dyDescent="0.2">
      <c r="I2296" s="1125"/>
      <c r="J2296" s="1125"/>
    </row>
    <row r="2297" spans="9:10" x14ac:dyDescent="0.2">
      <c r="I2297" s="1125"/>
      <c r="J2297" s="1125"/>
    </row>
    <row r="2298" spans="9:10" x14ac:dyDescent="0.2">
      <c r="I2298" s="1125"/>
      <c r="J2298" s="1125"/>
    </row>
    <row r="2299" spans="9:10" x14ac:dyDescent="0.2">
      <c r="I2299" s="1125"/>
      <c r="J2299" s="1125"/>
    </row>
    <row r="2300" spans="9:10" x14ac:dyDescent="0.2">
      <c r="I2300" s="1125"/>
      <c r="J2300" s="1125"/>
    </row>
    <row r="2301" spans="9:10" x14ac:dyDescent="0.2">
      <c r="I2301" s="1125"/>
      <c r="J2301" s="1125"/>
    </row>
    <row r="2302" spans="9:10" x14ac:dyDescent="0.2">
      <c r="I2302" s="1125"/>
      <c r="J2302" s="1125"/>
    </row>
    <row r="2303" spans="9:10" x14ac:dyDescent="0.2">
      <c r="I2303" s="1125"/>
      <c r="J2303" s="1125"/>
    </row>
    <row r="2304" spans="9:10" x14ac:dyDescent="0.2">
      <c r="I2304" s="1125"/>
      <c r="J2304" s="1125"/>
    </row>
    <row r="2305" spans="9:10" x14ac:dyDescent="0.2">
      <c r="I2305" s="1125"/>
      <c r="J2305" s="1125"/>
    </row>
    <row r="2306" spans="9:10" x14ac:dyDescent="0.2">
      <c r="I2306" s="1125"/>
      <c r="J2306" s="1125"/>
    </row>
    <row r="2307" spans="9:10" x14ac:dyDescent="0.2">
      <c r="I2307" s="1125"/>
      <c r="J2307" s="1125"/>
    </row>
    <row r="2308" spans="9:10" x14ac:dyDescent="0.2">
      <c r="I2308" s="1125"/>
      <c r="J2308" s="1125"/>
    </row>
    <row r="2309" spans="9:10" x14ac:dyDescent="0.2">
      <c r="I2309" s="1125"/>
      <c r="J2309" s="1125"/>
    </row>
    <row r="2310" spans="9:10" x14ac:dyDescent="0.2">
      <c r="I2310" s="1125"/>
      <c r="J2310" s="1125"/>
    </row>
    <row r="2311" spans="9:10" x14ac:dyDescent="0.2">
      <c r="I2311" s="1125"/>
      <c r="J2311" s="1125"/>
    </row>
    <row r="2312" spans="9:10" x14ac:dyDescent="0.2">
      <c r="I2312" s="1125"/>
      <c r="J2312" s="1125"/>
    </row>
    <row r="2313" spans="9:10" x14ac:dyDescent="0.2">
      <c r="I2313" s="1125"/>
      <c r="J2313" s="1125"/>
    </row>
    <row r="2314" spans="9:10" x14ac:dyDescent="0.2">
      <c r="I2314" s="1125"/>
      <c r="J2314" s="1125"/>
    </row>
    <row r="2315" spans="9:10" x14ac:dyDescent="0.2">
      <c r="I2315" s="1125"/>
      <c r="J2315" s="1125"/>
    </row>
    <row r="2316" spans="9:10" x14ac:dyDescent="0.2">
      <c r="I2316" s="1125"/>
      <c r="J2316" s="1125"/>
    </row>
    <row r="2317" spans="9:10" x14ac:dyDescent="0.2">
      <c r="I2317" s="1125"/>
      <c r="J2317" s="1125"/>
    </row>
    <row r="2318" spans="9:10" x14ac:dyDescent="0.2">
      <c r="I2318" s="1125"/>
      <c r="J2318" s="1125"/>
    </row>
    <row r="2319" spans="9:10" x14ac:dyDescent="0.2">
      <c r="I2319" s="1125"/>
      <c r="J2319" s="1125"/>
    </row>
    <row r="2320" spans="9:10" x14ac:dyDescent="0.2">
      <c r="I2320" s="1125"/>
      <c r="J2320" s="1125"/>
    </row>
    <row r="2321" spans="9:10" x14ac:dyDescent="0.2">
      <c r="I2321" s="1125"/>
      <c r="J2321" s="1125"/>
    </row>
    <row r="2322" spans="9:10" x14ac:dyDescent="0.2">
      <c r="I2322" s="1125"/>
      <c r="J2322" s="1125"/>
    </row>
    <row r="2323" spans="9:10" x14ac:dyDescent="0.2">
      <c r="I2323" s="1125"/>
      <c r="J2323" s="1125"/>
    </row>
    <row r="2324" spans="9:10" x14ac:dyDescent="0.2">
      <c r="I2324" s="1125"/>
      <c r="J2324" s="1125"/>
    </row>
    <row r="2325" spans="9:10" x14ac:dyDescent="0.2">
      <c r="I2325" s="1125"/>
      <c r="J2325" s="1125"/>
    </row>
    <row r="2326" spans="9:10" x14ac:dyDescent="0.2">
      <c r="I2326" s="1125"/>
      <c r="J2326" s="1125"/>
    </row>
    <row r="2327" spans="9:10" x14ac:dyDescent="0.2">
      <c r="I2327" s="1125"/>
      <c r="J2327" s="1125"/>
    </row>
    <row r="2328" spans="9:10" x14ac:dyDescent="0.2">
      <c r="I2328" s="1125"/>
      <c r="J2328" s="1125"/>
    </row>
    <row r="2329" spans="9:10" x14ac:dyDescent="0.2">
      <c r="I2329" s="1125"/>
      <c r="J2329" s="1125"/>
    </row>
    <row r="2330" spans="9:10" x14ac:dyDescent="0.2">
      <c r="I2330" s="1125"/>
      <c r="J2330" s="1125"/>
    </row>
    <row r="2331" spans="9:10" x14ac:dyDescent="0.2">
      <c r="I2331" s="1125"/>
      <c r="J2331" s="1125"/>
    </row>
    <row r="2332" spans="9:10" x14ac:dyDescent="0.2">
      <c r="I2332" s="1125"/>
      <c r="J2332" s="1125"/>
    </row>
    <row r="2333" spans="9:10" x14ac:dyDescent="0.2">
      <c r="I2333" s="1125"/>
      <c r="J2333" s="1125"/>
    </row>
    <row r="2334" spans="9:10" x14ac:dyDescent="0.2">
      <c r="I2334" s="1125"/>
      <c r="J2334" s="1125"/>
    </row>
    <row r="2335" spans="9:10" x14ac:dyDescent="0.2">
      <c r="I2335" s="1125"/>
      <c r="J2335" s="1125"/>
    </row>
    <row r="2336" spans="9:10" x14ac:dyDescent="0.2">
      <c r="I2336" s="1125"/>
      <c r="J2336" s="1125"/>
    </row>
    <row r="2337" spans="9:10" x14ac:dyDescent="0.2">
      <c r="I2337" s="1125"/>
      <c r="J2337" s="1125"/>
    </row>
    <row r="2338" spans="9:10" x14ac:dyDescent="0.2">
      <c r="I2338" s="1125"/>
      <c r="J2338" s="1125"/>
    </row>
    <row r="2339" spans="9:10" x14ac:dyDescent="0.2">
      <c r="I2339" s="1125"/>
      <c r="J2339" s="1125"/>
    </row>
    <row r="2340" spans="9:10" x14ac:dyDescent="0.2">
      <c r="I2340" s="1125"/>
      <c r="J2340" s="1125"/>
    </row>
    <row r="2341" spans="9:10" x14ac:dyDescent="0.2">
      <c r="I2341" s="1125"/>
      <c r="J2341" s="1125"/>
    </row>
    <row r="2342" spans="9:10" x14ac:dyDescent="0.2">
      <c r="I2342" s="1125"/>
      <c r="J2342" s="1125"/>
    </row>
    <row r="2343" spans="9:10" x14ac:dyDescent="0.2">
      <c r="I2343" s="1125"/>
      <c r="J2343" s="1125"/>
    </row>
    <row r="2344" spans="9:10" x14ac:dyDescent="0.2">
      <c r="I2344" s="1125"/>
      <c r="J2344" s="1125"/>
    </row>
    <row r="2345" spans="9:10" x14ac:dyDescent="0.2">
      <c r="I2345" s="1125"/>
      <c r="J2345" s="1125"/>
    </row>
    <row r="2346" spans="9:10" x14ac:dyDescent="0.2">
      <c r="I2346" s="1125"/>
      <c r="J2346" s="1125"/>
    </row>
    <row r="2347" spans="9:10" x14ac:dyDescent="0.2">
      <c r="I2347" s="1125"/>
      <c r="J2347" s="1125"/>
    </row>
    <row r="2348" spans="9:10" x14ac:dyDescent="0.2">
      <c r="I2348" s="1125"/>
      <c r="J2348" s="1125"/>
    </row>
    <row r="2349" spans="9:10" x14ac:dyDescent="0.2">
      <c r="I2349" s="1125"/>
      <c r="J2349" s="1125"/>
    </row>
    <row r="2350" spans="9:10" x14ac:dyDescent="0.2">
      <c r="I2350" s="1125"/>
      <c r="J2350" s="1125"/>
    </row>
    <row r="2351" spans="9:10" x14ac:dyDescent="0.2">
      <c r="I2351" s="1125"/>
      <c r="J2351" s="1125"/>
    </row>
    <row r="2352" spans="9:10" x14ac:dyDescent="0.2">
      <c r="I2352" s="1125"/>
      <c r="J2352" s="1125"/>
    </row>
    <row r="2353" spans="9:10" x14ac:dyDescent="0.2">
      <c r="I2353" s="1125"/>
      <c r="J2353" s="1125"/>
    </row>
    <row r="2354" spans="9:10" x14ac:dyDescent="0.2">
      <c r="I2354" s="1125"/>
      <c r="J2354" s="1125"/>
    </row>
    <row r="2355" spans="9:10" x14ac:dyDescent="0.2">
      <c r="I2355" s="1125"/>
      <c r="J2355" s="1125"/>
    </row>
    <row r="2356" spans="9:10" x14ac:dyDescent="0.2">
      <c r="I2356" s="1125"/>
      <c r="J2356" s="1125"/>
    </row>
    <row r="2357" spans="9:10" x14ac:dyDescent="0.2">
      <c r="I2357" s="1125"/>
      <c r="J2357" s="1125"/>
    </row>
    <row r="2358" spans="9:10" x14ac:dyDescent="0.2">
      <c r="I2358" s="1125"/>
      <c r="J2358" s="1125"/>
    </row>
    <row r="2359" spans="9:10" x14ac:dyDescent="0.2">
      <c r="I2359" s="1125"/>
      <c r="J2359" s="1125"/>
    </row>
    <row r="2360" spans="9:10" x14ac:dyDescent="0.2">
      <c r="I2360" s="1125"/>
      <c r="J2360" s="1125"/>
    </row>
    <row r="2361" spans="9:10" x14ac:dyDescent="0.2">
      <c r="I2361" s="1125"/>
      <c r="J2361" s="1125"/>
    </row>
    <row r="2362" spans="9:10" x14ac:dyDescent="0.2">
      <c r="I2362" s="1125"/>
      <c r="J2362" s="1125"/>
    </row>
    <row r="2363" spans="9:10" x14ac:dyDescent="0.2">
      <c r="I2363" s="1125"/>
      <c r="J2363" s="1125"/>
    </row>
    <row r="2364" spans="9:10" x14ac:dyDescent="0.2">
      <c r="I2364" s="1125"/>
      <c r="J2364" s="1125"/>
    </row>
    <row r="2365" spans="9:10" x14ac:dyDescent="0.2">
      <c r="I2365" s="1125"/>
      <c r="J2365" s="1125"/>
    </row>
    <row r="2366" spans="9:10" x14ac:dyDescent="0.2">
      <c r="I2366" s="1125"/>
      <c r="J2366" s="1125"/>
    </row>
    <row r="2367" spans="9:10" x14ac:dyDescent="0.2">
      <c r="I2367" s="1125"/>
      <c r="J2367" s="1125"/>
    </row>
    <row r="2368" spans="9:10" x14ac:dyDescent="0.2">
      <c r="I2368" s="1125"/>
      <c r="J2368" s="1125"/>
    </row>
    <row r="2369" spans="9:10" x14ac:dyDescent="0.2">
      <c r="I2369" s="1125"/>
      <c r="J2369" s="1125"/>
    </row>
    <row r="2370" spans="9:10" x14ac:dyDescent="0.2">
      <c r="I2370" s="1125"/>
      <c r="J2370" s="1125"/>
    </row>
    <row r="2371" spans="9:10" x14ac:dyDescent="0.2">
      <c r="I2371" s="1125"/>
      <c r="J2371" s="1125"/>
    </row>
    <row r="2372" spans="9:10" x14ac:dyDescent="0.2">
      <c r="I2372" s="1125"/>
      <c r="J2372" s="1125"/>
    </row>
    <row r="2373" spans="9:10" x14ac:dyDescent="0.2">
      <c r="I2373" s="1125"/>
      <c r="J2373" s="1125"/>
    </row>
    <row r="2374" spans="9:10" x14ac:dyDescent="0.2">
      <c r="I2374" s="1125"/>
      <c r="J2374" s="1125"/>
    </row>
    <row r="2375" spans="9:10" x14ac:dyDescent="0.2">
      <c r="I2375" s="1125"/>
      <c r="J2375" s="1125"/>
    </row>
    <row r="2376" spans="9:10" x14ac:dyDescent="0.2">
      <c r="I2376" s="1125"/>
      <c r="J2376" s="1125"/>
    </row>
    <row r="2377" spans="9:10" x14ac:dyDescent="0.2">
      <c r="I2377" s="1125"/>
      <c r="J2377" s="1125"/>
    </row>
    <row r="2378" spans="9:10" x14ac:dyDescent="0.2">
      <c r="I2378" s="1125"/>
      <c r="J2378" s="1125"/>
    </row>
    <row r="2379" spans="9:10" x14ac:dyDescent="0.2">
      <c r="I2379" s="1125"/>
      <c r="J2379" s="1125"/>
    </row>
    <row r="2380" spans="9:10" x14ac:dyDescent="0.2">
      <c r="I2380" s="1125"/>
      <c r="J2380" s="1125"/>
    </row>
    <row r="2381" spans="9:10" x14ac:dyDescent="0.2">
      <c r="I2381" s="1125"/>
      <c r="J2381" s="1125"/>
    </row>
    <row r="2382" spans="9:10" x14ac:dyDescent="0.2">
      <c r="I2382" s="1125"/>
      <c r="J2382" s="1125"/>
    </row>
    <row r="2383" spans="9:10" x14ac:dyDescent="0.2">
      <c r="I2383" s="1125"/>
      <c r="J2383" s="1125"/>
    </row>
    <row r="2384" spans="9:10" x14ac:dyDescent="0.2">
      <c r="I2384" s="1125"/>
      <c r="J2384" s="1125"/>
    </row>
    <row r="2385" spans="9:10" x14ac:dyDescent="0.2">
      <c r="I2385" s="1125"/>
      <c r="J2385" s="1125"/>
    </row>
    <row r="2386" spans="9:10" x14ac:dyDescent="0.2">
      <c r="I2386" s="1125"/>
      <c r="J2386" s="1125"/>
    </row>
    <row r="2387" spans="9:10" x14ac:dyDescent="0.2">
      <c r="I2387" s="1125"/>
      <c r="J2387" s="1125"/>
    </row>
    <row r="2388" spans="9:10" x14ac:dyDescent="0.2">
      <c r="I2388" s="1125"/>
      <c r="J2388" s="1125"/>
    </row>
    <row r="2389" spans="9:10" x14ac:dyDescent="0.2">
      <c r="I2389" s="1125"/>
      <c r="J2389" s="1125"/>
    </row>
    <row r="2390" spans="9:10" x14ac:dyDescent="0.2">
      <c r="I2390" s="1125"/>
      <c r="J2390" s="1125"/>
    </row>
    <row r="2391" spans="9:10" x14ac:dyDescent="0.2">
      <c r="I2391" s="1125"/>
      <c r="J2391" s="1125"/>
    </row>
    <row r="2392" spans="9:10" x14ac:dyDescent="0.2">
      <c r="I2392" s="1125"/>
      <c r="J2392" s="1125"/>
    </row>
    <row r="2393" spans="9:10" x14ac:dyDescent="0.2">
      <c r="I2393" s="1125"/>
      <c r="J2393" s="1125"/>
    </row>
    <row r="2394" spans="9:10" x14ac:dyDescent="0.2">
      <c r="I2394" s="1125"/>
      <c r="J2394" s="1125"/>
    </row>
    <row r="2395" spans="9:10" x14ac:dyDescent="0.2">
      <c r="I2395" s="1125"/>
      <c r="J2395" s="1125"/>
    </row>
    <row r="2396" spans="9:10" x14ac:dyDescent="0.2">
      <c r="I2396" s="1125"/>
      <c r="J2396" s="1125"/>
    </row>
    <row r="2397" spans="9:10" x14ac:dyDescent="0.2">
      <c r="I2397" s="1125"/>
      <c r="J2397" s="1125"/>
    </row>
    <row r="2398" spans="9:10" x14ac:dyDescent="0.2">
      <c r="I2398" s="1125"/>
      <c r="J2398" s="1125"/>
    </row>
    <row r="2399" spans="9:10" x14ac:dyDescent="0.2">
      <c r="I2399" s="1125"/>
      <c r="J2399" s="1125"/>
    </row>
    <row r="2400" spans="9:10" x14ac:dyDescent="0.2">
      <c r="I2400" s="1125"/>
      <c r="J2400" s="1125"/>
    </row>
    <row r="2401" spans="9:10" x14ac:dyDescent="0.2">
      <c r="I2401" s="1125"/>
      <c r="J2401" s="1125"/>
    </row>
    <row r="2402" spans="9:10" x14ac:dyDescent="0.2">
      <c r="I2402" s="1125"/>
      <c r="J2402" s="1125"/>
    </row>
    <row r="2403" spans="9:10" x14ac:dyDescent="0.2">
      <c r="I2403" s="1125"/>
      <c r="J2403" s="1125"/>
    </row>
    <row r="2404" spans="9:10" x14ac:dyDescent="0.2">
      <c r="I2404" s="1125"/>
      <c r="J2404" s="1125"/>
    </row>
    <row r="2405" spans="9:10" x14ac:dyDescent="0.2">
      <c r="I2405" s="1125"/>
      <c r="J2405" s="1125"/>
    </row>
    <row r="2406" spans="9:10" x14ac:dyDescent="0.2">
      <c r="I2406" s="1125"/>
      <c r="J2406" s="1125"/>
    </row>
    <row r="2407" spans="9:10" x14ac:dyDescent="0.2">
      <c r="I2407" s="1125"/>
      <c r="J2407" s="1125"/>
    </row>
    <row r="2408" spans="9:10" x14ac:dyDescent="0.2">
      <c r="I2408" s="1125"/>
      <c r="J2408" s="1125"/>
    </row>
    <row r="2409" spans="9:10" x14ac:dyDescent="0.2">
      <c r="I2409" s="1125"/>
      <c r="J2409" s="1125"/>
    </row>
    <row r="2410" spans="9:10" x14ac:dyDescent="0.2">
      <c r="I2410" s="1125"/>
      <c r="J2410" s="1125"/>
    </row>
    <row r="2411" spans="9:10" x14ac:dyDescent="0.2">
      <c r="I2411" s="1125"/>
      <c r="J2411" s="1125"/>
    </row>
    <row r="2412" spans="9:10" x14ac:dyDescent="0.2">
      <c r="I2412" s="1125"/>
      <c r="J2412" s="1125"/>
    </row>
    <row r="2413" spans="9:10" x14ac:dyDescent="0.2">
      <c r="I2413" s="1125"/>
      <c r="J2413" s="1125"/>
    </row>
    <row r="2414" spans="9:10" x14ac:dyDescent="0.2">
      <c r="I2414" s="1125"/>
      <c r="J2414" s="1125"/>
    </row>
    <row r="2415" spans="9:10" x14ac:dyDescent="0.2">
      <c r="I2415" s="1125"/>
      <c r="J2415" s="1125"/>
    </row>
    <row r="2416" spans="9:10" x14ac:dyDescent="0.2">
      <c r="I2416" s="1125"/>
      <c r="J2416" s="1125"/>
    </row>
    <row r="2417" spans="9:10" x14ac:dyDescent="0.2">
      <c r="I2417" s="1125"/>
      <c r="J2417" s="1125"/>
    </row>
    <row r="2418" spans="9:10" x14ac:dyDescent="0.2">
      <c r="I2418" s="1125"/>
      <c r="J2418" s="1125"/>
    </row>
    <row r="2419" spans="9:10" x14ac:dyDescent="0.2">
      <c r="I2419" s="1125"/>
      <c r="J2419" s="1125"/>
    </row>
    <row r="2420" spans="9:10" x14ac:dyDescent="0.2">
      <c r="I2420" s="1125"/>
      <c r="J2420" s="1125"/>
    </row>
    <row r="2421" spans="9:10" x14ac:dyDescent="0.2">
      <c r="I2421" s="1125"/>
      <c r="J2421" s="1125"/>
    </row>
    <row r="2422" spans="9:10" x14ac:dyDescent="0.2">
      <c r="I2422" s="1125"/>
      <c r="J2422" s="1125"/>
    </row>
    <row r="2423" spans="9:10" x14ac:dyDescent="0.2">
      <c r="I2423" s="1125"/>
      <c r="J2423" s="1125"/>
    </row>
    <row r="2424" spans="9:10" x14ac:dyDescent="0.2">
      <c r="I2424" s="1125"/>
      <c r="J2424" s="1125"/>
    </row>
    <row r="2425" spans="9:10" x14ac:dyDescent="0.2">
      <c r="I2425" s="1125"/>
      <c r="J2425" s="1125"/>
    </row>
    <row r="2426" spans="9:10" x14ac:dyDescent="0.2">
      <c r="I2426" s="1125"/>
      <c r="J2426" s="1125"/>
    </row>
    <row r="2427" spans="9:10" x14ac:dyDescent="0.2">
      <c r="I2427" s="1125"/>
      <c r="J2427" s="1125"/>
    </row>
    <row r="2428" spans="9:10" x14ac:dyDescent="0.2">
      <c r="I2428" s="1125"/>
      <c r="J2428" s="1125"/>
    </row>
    <row r="2429" spans="9:10" x14ac:dyDescent="0.2">
      <c r="I2429" s="1125"/>
      <c r="J2429" s="1125"/>
    </row>
    <row r="2430" spans="9:10" x14ac:dyDescent="0.2">
      <c r="I2430" s="1125"/>
      <c r="J2430" s="1125"/>
    </row>
    <row r="2431" spans="9:10" x14ac:dyDescent="0.2">
      <c r="I2431" s="1125"/>
      <c r="J2431" s="1125"/>
    </row>
    <row r="2432" spans="9:10" x14ac:dyDescent="0.2">
      <c r="I2432" s="1125"/>
      <c r="J2432" s="1125"/>
    </row>
    <row r="2433" spans="9:10" x14ac:dyDescent="0.2">
      <c r="I2433" s="1125"/>
      <c r="J2433" s="1125"/>
    </row>
    <row r="2434" spans="9:10" x14ac:dyDescent="0.2">
      <c r="I2434" s="1125"/>
      <c r="J2434" s="1125"/>
    </row>
    <row r="2435" spans="9:10" x14ac:dyDescent="0.2">
      <c r="I2435" s="1125"/>
      <c r="J2435" s="1125"/>
    </row>
    <row r="2436" spans="9:10" x14ac:dyDescent="0.2">
      <c r="I2436" s="1125"/>
      <c r="J2436" s="1125"/>
    </row>
    <row r="2437" spans="9:10" x14ac:dyDescent="0.2">
      <c r="I2437" s="1125"/>
      <c r="J2437" s="1125"/>
    </row>
    <row r="2438" spans="9:10" x14ac:dyDescent="0.2">
      <c r="I2438" s="1125"/>
      <c r="J2438" s="1125"/>
    </row>
    <row r="2439" spans="9:10" x14ac:dyDescent="0.2">
      <c r="I2439" s="1125"/>
      <c r="J2439" s="1125"/>
    </row>
    <row r="2440" spans="9:10" x14ac:dyDescent="0.2">
      <c r="I2440" s="1125"/>
      <c r="J2440" s="1125"/>
    </row>
    <row r="2441" spans="9:10" x14ac:dyDescent="0.2">
      <c r="I2441" s="1125"/>
      <c r="J2441" s="1125"/>
    </row>
    <row r="2442" spans="9:10" x14ac:dyDescent="0.2">
      <c r="I2442" s="1125"/>
      <c r="J2442" s="1125"/>
    </row>
    <row r="2443" spans="9:10" x14ac:dyDescent="0.2">
      <c r="I2443" s="1125"/>
      <c r="J2443" s="1125"/>
    </row>
    <row r="2444" spans="9:10" x14ac:dyDescent="0.2">
      <c r="I2444" s="1125"/>
      <c r="J2444" s="1125"/>
    </row>
    <row r="2445" spans="9:10" x14ac:dyDescent="0.2">
      <c r="I2445" s="1125"/>
      <c r="J2445" s="1125"/>
    </row>
    <row r="2446" spans="9:10" x14ac:dyDescent="0.2">
      <c r="I2446" s="1125"/>
      <c r="J2446" s="1125"/>
    </row>
    <row r="2447" spans="9:10" x14ac:dyDescent="0.2">
      <c r="I2447" s="1125"/>
      <c r="J2447" s="1125"/>
    </row>
    <row r="2448" spans="9:10" x14ac:dyDescent="0.2">
      <c r="I2448" s="1125"/>
      <c r="J2448" s="1125"/>
    </row>
    <row r="2449" spans="9:10" x14ac:dyDescent="0.2">
      <c r="I2449" s="1125"/>
      <c r="J2449" s="1125"/>
    </row>
    <row r="2450" spans="9:10" x14ac:dyDescent="0.2">
      <c r="I2450" s="1125"/>
      <c r="J2450" s="1125"/>
    </row>
    <row r="2451" spans="9:10" x14ac:dyDescent="0.2">
      <c r="I2451" s="1125"/>
      <c r="J2451" s="1125"/>
    </row>
    <row r="2452" spans="9:10" x14ac:dyDescent="0.2">
      <c r="I2452" s="1125"/>
      <c r="J2452" s="1125"/>
    </row>
    <row r="2453" spans="9:10" x14ac:dyDescent="0.2">
      <c r="I2453" s="1125"/>
      <c r="J2453" s="1125"/>
    </row>
    <row r="2454" spans="9:10" x14ac:dyDescent="0.2">
      <c r="I2454" s="1125"/>
      <c r="J2454" s="1125"/>
    </row>
    <row r="2455" spans="9:10" x14ac:dyDescent="0.2">
      <c r="I2455" s="1125"/>
      <c r="J2455" s="1125"/>
    </row>
    <row r="2456" spans="9:10" x14ac:dyDescent="0.2">
      <c r="I2456" s="1125"/>
      <c r="J2456" s="1125"/>
    </row>
    <row r="2457" spans="9:10" x14ac:dyDescent="0.2">
      <c r="I2457" s="1125"/>
      <c r="J2457" s="1125"/>
    </row>
    <row r="2458" spans="9:10" x14ac:dyDescent="0.2">
      <c r="I2458" s="1125"/>
      <c r="J2458" s="1125"/>
    </row>
    <row r="2459" spans="9:10" x14ac:dyDescent="0.2">
      <c r="I2459" s="1125"/>
      <c r="J2459" s="1125"/>
    </row>
    <row r="2460" spans="9:10" x14ac:dyDescent="0.2">
      <c r="I2460" s="1125"/>
      <c r="J2460" s="1125"/>
    </row>
    <row r="2461" spans="9:10" x14ac:dyDescent="0.2">
      <c r="I2461" s="1125"/>
      <c r="J2461" s="1125"/>
    </row>
    <row r="2462" spans="9:10" x14ac:dyDescent="0.2">
      <c r="I2462" s="1125"/>
      <c r="J2462" s="1125"/>
    </row>
    <row r="2463" spans="9:10" x14ac:dyDescent="0.2">
      <c r="I2463" s="1125"/>
      <c r="J2463" s="1125"/>
    </row>
    <row r="2464" spans="9:10" x14ac:dyDescent="0.2">
      <c r="I2464" s="1125"/>
      <c r="J2464" s="1125"/>
    </row>
    <row r="2465" spans="9:10" x14ac:dyDescent="0.2">
      <c r="I2465" s="1125"/>
      <c r="J2465" s="1125"/>
    </row>
    <row r="2466" spans="9:10" x14ac:dyDescent="0.2">
      <c r="I2466" s="1125"/>
      <c r="J2466" s="1125"/>
    </row>
    <row r="2467" spans="9:10" x14ac:dyDescent="0.2">
      <c r="I2467" s="1125"/>
      <c r="J2467" s="1125"/>
    </row>
    <row r="2468" spans="9:10" x14ac:dyDescent="0.2">
      <c r="I2468" s="1125"/>
      <c r="J2468" s="1125"/>
    </row>
    <row r="2469" spans="9:10" x14ac:dyDescent="0.2">
      <c r="I2469" s="1125"/>
      <c r="J2469" s="1125"/>
    </row>
    <row r="2470" spans="9:10" x14ac:dyDescent="0.2">
      <c r="I2470" s="1125"/>
      <c r="J2470" s="1125"/>
    </row>
    <row r="2471" spans="9:10" x14ac:dyDescent="0.2">
      <c r="I2471" s="1125"/>
      <c r="J2471" s="1125"/>
    </row>
    <row r="2472" spans="9:10" x14ac:dyDescent="0.2">
      <c r="I2472" s="1125"/>
      <c r="J2472" s="1125"/>
    </row>
    <row r="2473" spans="9:10" x14ac:dyDescent="0.2">
      <c r="I2473" s="1125"/>
      <c r="J2473" s="1125"/>
    </row>
    <row r="2474" spans="9:10" x14ac:dyDescent="0.2">
      <c r="I2474" s="1125"/>
      <c r="J2474" s="1125"/>
    </row>
    <row r="2475" spans="9:10" x14ac:dyDescent="0.2">
      <c r="I2475" s="1125"/>
      <c r="J2475" s="1125"/>
    </row>
    <row r="2476" spans="9:10" x14ac:dyDescent="0.2">
      <c r="I2476" s="1125"/>
      <c r="J2476" s="1125"/>
    </row>
    <row r="2477" spans="9:10" x14ac:dyDescent="0.2">
      <c r="I2477" s="1125"/>
      <c r="J2477" s="1125"/>
    </row>
    <row r="2478" spans="9:10" x14ac:dyDescent="0.2">
      <c r="I2478" s="1125"/>
      <c r="J2478" s="1125"/>
    </row>
    <row r="2479" spans="9:10" x14ac:dyDescent="0.2">
      <c r="I2479" s="1125"/>
      <c r="J2479" s="1125"/>
    </row>
    <row r="2480" spans="9:10" x14ac:dyDescent="0.2">
      <c r="I2480" s="1125"/>
      <c r="J2480" s="1125"/>
    </row>
    <row r="2481" spans="9:10" x14ac:dyDescent="0.2">
      <c r="I2481" s="1125"/>
      <c r="J2481" s="1125"/>
    </row>
    <row r="2482" spans="9:10" x14ac:dyDescent="0.2">
      <c r="I2482" s="1125"/>
      <c r="J2482" s="1125"/>
    </row>
    <row r="2483" spans="9:10" x14ac:dyDescent="0.2">
      <c r="I2483" s="1125"/>
      <c r="J2483" s="1125"/>
    </row>
    <row r="2484" spans="9:10" x14ac:dyDescent="0.2">
      <c r="I2484" s="1125"/>
      <c r="J2484" s="1125"/>
    </row>
    <row r="2485" spans="9:10" x14ac:dyDescent="0.2">
      <c r="I2485" s="1125"/>
      <c r="J2485" s="1125"/>
    </row>
    <row r="2486" spans="9:10" x14ac:dyDescent="0.2">
      <c r="I2486" s="1125"/>
      <c r="J2486" s="1125"/>
    </row>
    <row r="2487" spans="9:10" x14ac:dyDescent="0.2">
      <c r="I2487" s="1125"/>
      <c r="J2487" s="1125"/>
    </row>
    <row r="2488" spans="9:10" x14ac:dyDescent="0.2">
      <c r="I2488" s="1125"/>
      <c r="J2488" s="1125"/>
    </row>
    <row r="2489" spans="9:10" x14ac:dyDescent="0.2">
      <c r="I2489" s="1125"/>
      <c r="J2489" s="1125"/>
    </row>
    <row r="2490" spans="9:10" x14ac:dyDescent="0.2">
      <c r="I2490" s="1125"/>
      <c r="J2490" s="1125"/>
    </row>
    <row r="2491" spans="9:10" x14ac:dyDescent="0.2">
      <c r="I2491" s="1125"/>
      <c r="J2491" s="1125"/>
    </row>
    <row r="2492" spans="9:10" x14ac:dyDescent="0.2">
      <c r="I2492" s="1125"/>
      <c r="J2492" s="1125"/>
    </row>
    <row r="2493" spans="9:10" x14ac:dyDescent="0.2">
      <c r="I2493" s="1125"/>
      <c r="J2493" s="1125"/>
    </row>
    <row r="2494" spans="9:10" x14ac:dyDescent="0.2">
      <c r="I2494" s="1125"/>
      <c r="J2494" s="1125"/>
    </row>
    <row r="2495" spans="9:10" x14ac:dyDescent="0.2">
      <c r="I2495" s="1125"/>
      <c r="J2495" s="1125"/>
    </row>
    <row r="2496" spans="9:10" x14ac:dyDescent="0.2">
      <c r="I2496" s="1125"/>
      <c r="J2496" s="1125"/>
    </row>
    <row r="2497" spans="9:10" x14ac:dyDescent="0.2">
      <c r="I2497" s="1125"/>
      <c r="J2497" s="1125"/>
    </row>
    <row r="2498" spans="9:10" x14ac:dyDescent="0.2">
      <c r="I2498" s="1125"/>
      <c r="J2498" s="1125"/>
    </row>
    <row r="2499" spans="9:10" x14ac:dyDescent="0.2">
      <c r="I2499" s="1125"/>
      <c r="J2499" s="1125"/>
    </row>
    <row r="2500" spans="9:10" x14ac:dyDescent="0.2">
      <c r="I2500" s="1125"/>
      <c r="J2500" s="1125"/>
    </row>
    <row r="2501" spans="9:10" x14ac:dyDescent="0.2">
      <c r="I2501" s="1125"/>
      <c r="J2501" s="1125"/>
    </row>
    <row r="2502" spans="9:10" x14ac:dyDescent="0.2">
      <c r="I2502" s="1125"/>
      <c r="J2502" s="1125"/>
    </row>
    <row r="2503" spans="9:10" x14ac:dyDescent="0.2">
      <c r="I2503" s="1125"/>
      <c r="J2503" s="1125"/>
    </row>
    <row r="2504" spans="9:10" x14ac:dyDescent="0.2">
      <c r="I2504" s="1125"/>
      <c r="J2504" s="1125"/>
    </row>
    <row r="2505" spans="9:10" x14ac:dyDescent="0.2">
      <c r="I2505" s="1125"/>
      <c r="J2505" s="1125"/>
    </row>
    <row r="2506" spans="9:10" x14ac:dyDescent="0.2">
      <c r="I2506" s="1125"/>
      <c r="J2506" s="1125"/>
    </row>
    <row r="2507" spans="9:10" x14ac:dyDescent="0.2">
      <c r="I2507" s="1125"/>
      <c r="J2507" s="1125"/>
    </row>
    <row r="2508" spans="9:10" x14ac:dyDescent="0.2">
      <c r="I2508" s="1125"/>
      <c r="J2508" s="1125"/>
    </row>
    <row r="2509" spans="9:10" x14ac:dyDescent="0.2">
      <c r="I2509" s="1125"/>
      <c r="J2509" s="1125"/>
    </row>
    <row r="2510" spans="9:10" x14ac:dyDescent="0.2">
      <c r="I2510" s="1125"/>
      <c r="J2510" s="1125"/>
    </row>
    <row r="2511" spans="9:10" x14ac:dyDescent="0.2">
      <c r="I2511" s="1125"/>
      <c r="J2511" s="1125"/>
    </row>
    <row r="2512" spans="9:10" x14ac:dyDescent="0.2">
      <c r="I2512" s="1125"/>
      <c r="J2512" s="1125"/>
    </row>
    <row r="2513" spans="9:10" x14ac:dyDescent="0.2">
      <c r="I2513" s="1125"/>
      <c r="J2513" s="1125"/>
    </row>
    <row r="2514" spans="9:10" x14ac:dyDescent="0.2">
      <c r="I2514" s="1125"/>
      <c r="J2514" s="1125"/>
    </row>
    <row r="2515" spans="9:10" x14ac:dyDescent="0.2">
      <c r="I2515" s="1125"/>
      <c r="J2515" s="1125"/>
    </row>
    <row r="2516" spans="9:10" x14ac:dyDescent="0.2">
      <c r="I2516" s="1125"/>
      <c r="J2516" s="1125"/>
    </row>
    <row r="2517" spans="9:10" x14ac:dyDescent="0.2">
      <c r="I2517" s="1125"/>
      <c r="J2517" s="1125"/>
    </row>
    <row r="2518" spans="9:10" x14ac:dyDescent="0.2">
      <c r="I2518" s="1125"/>
      <c r="J2518" s="1125"/>
    </row>
    <row r="2519" spans="9:10" x14ac:dyDescent="0.2">
      <c r="I2519" s="1125"/>
      <c r="J2519" s="1125"/>
    </row>
    <row r="2520" spans="9:10" x14ac:dyDescent="0.2">
      <c r="I2520" s="1125"/>
      <c r="J2520" s="1125"/>
    </row>
    <row r="2521" spans="9:10" x14ac:dyDescent="0.2">
      <c r="I2521" s="1125"/>
      <c r="J2521" s="1125"/>
    </row>
    <row r="2522" spans="9:10" x14ac:dyDescent="0.2">
      <c r="I2522" s="1125"/>
      <c r="J2522" s="1125"/>
    </row>
    <row r="2523" spans="9:10" x14ac:dyDescent="0.2">
      <c r="I2523" s="1125"/>
      <c r="J2523" s="1125"/>
    </row>
    <row r="2524" spans="9:10" x14ac:dyDescent="0.2">
      <c r="I2524" s="1125"/>
      <c r="J2524" s="1125"/>
    </row>
    <row r="2525" spans="9:10" x14ac:dyDescent="0.2">
      <c r="I2525" s="1125"/>
      <c r="J2525" s="1125"/>
    </row>
    <row r="2526" spans="9:10" x14ac:dyDescent="0.2">
      <c r="I2526" s="1125"/>
      <c r="J2526" s="1125"/>
    </row>
    <row r="2527" spans="9:10" x14ac:dyDescent="0.2">
      <c r="I2527" s="1125"/>
      <c r="J2527" s="1125"/>
    </row>
    <row r="2528" spans="9:10" x14ac:dyDescent="0.2">
      <c r="I2528" s="1125"/>
      <c r="J2528" s="1125"/>
    </row>
    <row r="2529" spans="9:10" x14ac:dyDescent="0.2">
      <c r="I2529" s="1125"/>
      <c r="J2529" s="1125"/>
    </row>
    <row r="2530" spans="9:10" x14ac:dyDescent="0.2">
      <c r="I2530" s="1125"/>
      <c r="J2530" s="1125"/>
    </row>
    <row r="2531" spans="9:10" x14ac:dyDescent="0.2">
      <c r="I2531" s="1125"/>
      <c r="J2531" s="1125"/>
    </row>
    <row r="2532" spans="9:10" x14ac:dyDescent="0.2">
      <c r="I2532" s="1125"/>
      <c r="J2532" s="1125"/>
    </row>
    <row r="2533" spans="9:10" x14ac:dyDescent="0.2">
      <c r="I2533" s="1125"/>
      <c r="J2533" s="1125"/>
    </row>
    <row r="2534" spans="9:10" x14ac:dyDescent="0.2">
      <c r="I2534" s="1125"/>
      <c r="J2534" s="1125"/>
    </row>
    <row r="2535" spans="9:10" x14ac:dyDescent="0.2">
      <c r="I2535" s="1125"/>
      <c r="J2535" s="1125"/>
    </row>
    <row r="2536" spans="9:10" x14ac:dyDescent="0.2">
      <c r="I2536" s="1125"/>
      <c r="J2536" s="1125"/>
    </row>
    <row r="2537" spans="9:10" x14ac:dyDescent="0.2">
      <c r="I2537" s="1125"/>
      <c r="J2537" s="1125"/>
    </row>
    <row r="2538" spans="9:10" x14ac:dyDescent="0.2">
      <c r="I2538" s="1125"/>
      <c r="J2538" s="1125"/>
    </row>
    <row r="2539" spans="9:10" x14ac:dyDescent="0.2">
      <c r="I2539" s="1125"/>
      <c r="J2539" s="1125"/>
    </row>
    <row r="2540" spans="9:10" x14ac:dyDescent="0.2">
      <c r="I2540" s="1125"/>
      <c r="J2540" s="1125"/>
    </row>
    <row r="2541" spans="9:10" x14ac:dyDescent="0.2">
      <c r="I2541" s="1125"/>
      <c r="J2541" s="1125"/>
    </row>
    <row r="2542" spans="9:10" x14ac:dyDescent="0.2">
      <c r="I2542" s="1125"/>
      <c r="J2542" s="1125"/>
    </row>
    <row r="2543" spans="9:10" x14ac:dyDescent="0.2">
      <c r="I2543" s="1125"/>
      <c r="J2543" s="1125"/>
    </row>
    <row r="2544" spans="9:10" x14ac:dyDescent="0.2">
      <c r="I2544" s="1125"/>
      <c r="J2544" s="1125"/>
    </row>
    <row r="2545" spans="9:10" x14ac:dyDescent="0.2">
      <c r="I2545" s="1125"/>
      <c r="J2545" s="1125"/>
    </row>
    <row r="2546" spans="9:10" x14ac:dyDescent="0.2">
      <c r="I2546" s="1125"/>
      <c r="J2546" s="1125"/>
    </row>
    <row r="2547" spans="9:10" x14ac:dyDescent="0.2">
      <c r="I2547" s="1125"/>
      <c r="J2547" s="1125"/>
    </row>
    <row r="2548" spans="9:10" x14ac:dyDescent="0.2">
      <c r="I2548" s="1125"/>
      <c r="J2548" s="1125"/>
    </row>
    <row r="2549" spans="9:10" x14ac:dyDescent="0.2">
      <c r="I2549" s="1125"/>
      <c r="J2549" s="1125"/>
    </row>
    <row r="2550" spans="9:10" x14ac:dyDescent="0.2">
      <c r="I2550" s="1125"/>
      <c r="J2550" s="1125"/>
    </row>
    <row r="2551" spans="9:10" x14ac:dyDescent="0.2">
      <c r="I2551" s="1125"/>
      <c r="J2551" s="1125"/>
    </row>
    <row r="2552" spans="9:10" x14ac:dyDescent="0.2">
      <c r="I2552" s="1125"/>
      <c r="J2552" s="1125"/>
    </row>
    <row r="2553" spans="9:10" x14ac:dyDescent="0.2">
      <c r="I2553" s="1125"/>
      <c r="J2553" s="1125"/>
    </row>
    <row r="2554" spans="9:10" x14ac:dyDescent="0.2">
      <c r="I2554" s="1125"/>
      <c r="J2554" s="1125"/>
    </row>
    <row r="2555" spans="9:10" x14ac:dyDescent="0.2">
      <c r="I2555" s="1125"/>
      <c r="J2555" s="1125"/>
    </row>
    <row r="2556" spans="9:10" x14ac:dyDescent="0.2">
      <c r="I2556" s="1125"/>
      <c r="J2556" s="1125"/>
    </row>
    <row r="2557" spans="9:10" x14ac:dyDescent="0.2">
      <c r="I2557" s="1125"/>
      <c r="J2557" s="1125"/>
    </row>
    <row r="2558" spans="9:10" x14ac:dyDescent="0.2">
      <c r="I2558" s="1125"/>
      <c r="J2558" s="1125"/>
    </row>
    <row r="2559" spans="9:10" x14ac:dyDescent="0.2">
      <c r="I2559" s="1125"/>
      <c r="J2559" s="1125"/>
    </row>
    <row r="2560" spans="9:10" x14ac:dyDescent="0.2">
      <c r="I2560" s="1125"/>
      <c r="J2560" s="1125"/>
    </row>
    <row r="2561" spans="9:10" x14ac:dyDescent="0.2">
      <c r="I2561" s="1125"/>
      <c r="J2561" s="1125"/>
    </row>
    <row r="2562" spans="9:10" x14ac:dyDescent="0.2">
      <c r="I2562" s="1125"/>
      <c r="J2562" s="1125"/>
    </row>
    <row r="2563" spans="9:10" x14ac:dyDescent="0.2">
      <c r="I2563" s="1125"/>
      <c r="J2563" s="1125"/>
    </row>
    <row r="2564" spans="9:10" x14ac:dyDescent="0.2">
      <c r="I2564" s="1125"/>
      <c r="J2564" s="1125"/>
    </row>
    <row r="2565" spans="9:10" x14ac:dyDescent="0.2">
      <c r="I2565" s="1125"/>
      <c r="J2565" s="1125"/>
    </row>
    <row r="2566" spans="9:10" x14ac:dyDescent="0.2">
      <c r="I2566" s="1125"/>
      <c r="J2566" s="1125"/>
    </row>
    <row r="2567" spans="9:10" x14ac:dyDescent="0.2">
      <c r="I2567" s="1125"/>
      <c r="J2567" s="1125"/>
    </row>
    <row r="2568" spans="9:10" x14ac:dyDescent="0.2">
      <c r="I2568" s="1125"/>
      <c r="J2568" s="1125"/>
    </row>
    <row r="2569" spans="9:10" x14ac:dyDescent="0.2">
      <c r="I2569" s="1125"/>
      <c r="J2569" s="1125"/>
    </row>
    <row r="2570" spans="9:10" x14ac:dyDescent="0.2">
      <c r="I2570" s="1125"/>
      <c r="J2570" s="1125"/>
    </row>
    <row r="2571" spans="9:10" x14ac:dyDescent="0.2">
      <c r="I2571" s="1125"/>
      <c r="J2571" s="1125"/>
    </row>
    <row r="2572" spans="9:10" x14ac:dyDescent="0.2">
      <c r="I2572" s="1125"/>
      <c r="J2572" s="1125"/>
    </row>
    <row r="2573" spans="9:10" x14ac:dyDescent="0.2">
      <c r="I2573" s="1125"/>
      <c r="J2573" s="1125"/>
    </row>
    <row r="2574" spans="9:10" x14ac:dyDescent="0.2">
      <c r="I2574" s="1125"/>
      <c r="J2574" s="1125"/>
    </row>
    <row r="2575" spans="9:10" x14ac:dyDescent="0.2">
      <c r="I2575" s="1125"/>
      <c r="J2575" s="1125"/>
    </row>
    <row r="2576" spans="9:10" x14ac:dyDescent="0.2">
      <c r="I2576" s="1125"/>
      <c r="J2576" s="1125"/>
    </row>
    <row r="2577" spans="9:10" x14ac:dyDescent="0.2">
      <c r="I2577" s="1125"/>
      <c r="J2577" s="1125"/>
    </row>
    <row r="2578" spans="9:10" x14ac:dyDescent="0.2">
      <c r="I2578" s="1125"/>
      <c r="J2578" s="1125"/>
    </row>
    <row r="2579" spans="9:10" x14ac:dyDescent="0.2">
      <c r="I2579" s="1125"/>
      <c r="J2579" s="1125"/>
    </row>
    <row r="2580" spans="9:10" x14ac:dyDescent="0.2">
      <c r="I2580" s="1125"/>
      <c r="J2580" s="1125"/>
    </row>
    <row r="2581" spans="9:10" x14ac:dyDescent="0.2">
      <c r="I2581" s="1125"/>
      <c r="J2581" s="1125"/>
    </row>
    <row r="2582" spans="9:10" x14ac:dyDescent="0.2">
      <c r="I2582" s="1125"/>
      <c r="J2582" s="1125"/>
    </row>
    <row r="2583" spans="9:10" x14ac:dyDescent="0.2">
      <c r="I2583" s="1125"/>
      <c r="J2583" s="1125"/>
    </row>
    <row r="2584" spans="9:10" x14ac:dyDescent="0.2">
      <c r="I2584" s="1125"/>
      <c r="J2584" s="1125"/>
    </row>
    <row r="2585" spans="9:10" x14ac:dyDescent="0.2">
      <c r="I2585" s="1125"/>
      <c r="J2585" s="1125"/>
    </row>
    <row r="2586" spans="9:10" x14ac:dyDescent="0.2">
      <c r="I2586" s="1125"/>
      <c r="J2586" s="1125"/>
    </row>
    <row r="2587" spans="9:10" x14ac:dyDescent="0.2">
      <c r="I2587" s="1125"/>
      <c r="J2587" s="1125"/>
    </row>
    <row r="2588" spans="9:10" x14ac:dyDescent="0.2">
      <c r="I2588" s="1125"/>
      <c r="J2588" s="1125"/>
    </row>
    <row r="2589" spans="9:10" x14ac:dyDescent="0.2">
      <c r="I2589" s="1125"/>
      <c r="J2589" s="1125"/>
    </row>
    <row r="2590" spans="9:10" x14ac:dyDescent="0.2">
      <c r="I2590" s="1125"/>
      <c r="J2590" s="1125"/>
    </row>
    <row r="2591" spans="9:10" x14ac:dyDescent="0.2">
      <c r="I2591" s="1125"/>
      <c r="J2591" s="1125"/>
    </row>
    <row r="2592" spans="9:10" x14ac:dyDescent="0.2">
      <c r="I2592" s="1125"/>
      <c r="J2592" s="1125"/>
    </row>
    <row r="2593" spans="9:10" x14ac:dyDescent="0.2">
      <c r="I2593" s="1125"/>
      <c r="J2593" s="1125"/>
    </row>
    <row r="2594" spans="9:10" x14ac:dyDescent="0.2">
      <c r="I2594" s="1125"/>
      <c r="J2594" s="1125"/>
    </row>
    <row r="2595" spans="9:10" x14ac:dyDescent="0.2">
      <c r="I2595" s="1125"/>
      <c r="J2595" s="1125"/>
    </row>
    <row r="2596" spans="9:10" x14ac:dyDescent="0.2">
      <c r="I2596" s="1125"/>
      <c r="J2596" s="1125"/>
    </row>
    <row r="2597" spans="9:10" x14ac:dyDescent="0.2">
      <c r="I2597" s="1125"/>
      <c r="J2597" s="1125"/>
    </row>
    <row r="2598" spans="9:10" x14ac:dyDescent="0.2">
      <c r="I2598" s="1125"/>
      <c r="J2598" s="1125"/>
    </row>
    <row r="2599" spans="9:10" x14ac:dyDescent="0.2">
      <c r="I2599" s="1125"/>
      <c r="J2599" s="1125"/>
    </row>
    <row r="2600" spans="9:10" x14ac:dyDescent="0.2">
      <c r="I2600" s="1125"/>
      <c r="J2600" s="1125"/>
    </row>
    <row r="2601" spans="9:10" x14ac:dyDescent="0.2">
      <c r="I2601" s="1125"/>
      <c r="J2601" s="1125"/>
    </row>
    <row r="2602" spans="9:10" x14ac:dyDescent="0.2">
      <c r="I2602" s="1125"/>
      <c r="J2602" s="1125"/>
    </row>
    <row r="2603" spans="9:10" x14ac:dyDescent="0.2">
      <c r="I2603" s="1125"/>
      <c r="J2603" s="1125"/>
    </row>
    <row r="2604" spans="9:10" x14ac:dyDescent="0.2">
      <c r="I2604" s="1125"/>
      <c r="J2604" s="1125"/>
    </row>
    <row r="2605" spans="9:10" x14ac:dyDescent="0.2">
      <c r="I2605" s="1125"/>
      <c r="J2605" s="1125"/>
    </row>
    <row r="2606" spans="9:10" x14ac:dyDescent="0.2">
      <c r="I2606" s="1125"/>
      <c r="J2606" s="1125"/>
    </row>
    <row r="2607" spans="9:10" x14ac:dyDescent="0.2">
      <c r="I2607" s="1125"/>
      <c r="J2607" s="1125"/>
    </row>
    <row r="2608" spans="9:10" x14ac:dyDescent="0.2">
      <c r="I2608" s="1125"/>
      <c r="J2608" s="1125"/>
    </row>
    <row r="2609" spans="9:10" x14ac:dyDescent="0.2">
      <c r="I2609" s="1125"/>
      <c r="J2609" s="1125"/>
    </row>
    <row r="2610" spans="9:10" x14ac:dyDescent="0.2">
      <c r="I2610" s="1125"/>
      <c r="J2610" s="1125"/>
    </row>
    <row r="2611" spans="9:10" x14ac:dyDescent="0.2">
      <c r="I2611" s="1125"/>
      <c r="J2611" s="1125"/>
    </row>
    <row r="2612" spans="9:10" x14ac:dyDescent="0.2">
      <c r="I2612" s="1125"/>
      <c r="J2612" s="1125"/>
    </row>
    <row r="2613" spans="9:10" x14ac:dyDescent="0.2">
      <c r="I2613" s="1125"/>
      <c r="J2613" s="1125"/>
    </row>
    <row r="2614" spans="9:10" x14ac:dyDescent="0.2">
      <c r="I2614" s="1125"/>
      <c r="J2614" s="1125"/>
    </row>
    <row r="2615" spans="9:10" x14ac:dyDescent="0.2">
      <c r="I2615" s="1125"/>
      <c r="J2615" s="1125"/>
    </row>
    <row r="2616" spans="9:10" x14ac:dyDescent="0.2">
      <c r="I2616" s="1125"/>
      <c r="J2616" s="1125"/>
    </row>
    <row r="2617" spans="9:10" x14ac:dyDescent="0.2">
      <c r="I2617" s="1125"/>
      <c r="J2617" s="1125"/>
    </row>
    <row r="2618" spans="9:10" x14ac:dyDescent="0.2">
      <c r="I2618" s="1125"/>
      <c r="J2618" s="1125"/>
    </row>
    <row r="2619" spans="9:10" x14ac:dyDescent="0.2">
      <c r="I2619" s="1125"/>
      <c r="J2619" s="1125"/>
    </row>
    <row r="2620" spans="9:10" x14ac:dyDescent="0.2">
      <c r="I2620" s="1125"/>
      <c r="J2620" s="1125"/>
    </row>
    <row r="2621" spans="9:10" x14ac:dyDescent="0.2">
      <c r="I2621" s="1125"/>
      <c r="J2621" s="1125"/>
    </row>
    <row r="2622" spans="9:10" x14ac:dyDescent="0.2">
      <c r="I2622" s="1125"/>
      <c r="J2622" s="1125"/>
    </row>
    <row r="2623" spans="9:10" x14ac:dyDescent="0.2">
      <c r="I2623" s="1125"/>
      <c r="J2623" s="1125"/>
    </row>
    <row r="2624" spans="9:10" x14ac:dyDescent="0.2">
      <c r="I2624" s="1125"/>
      <c r="J2624" s="1125"/>
    </row>
    <row r="2625" spans="9:10" x14ac:dyDescent="0.2">
      <c r="I2625" s="1125"/>
      <c r="J2625" s="1125"/>
    </row>
    <row r="2626" spans="9:10" x14ac:dyDescent="0.2">
      <c r="I2626" s="1125"/>
      <c r="J2626" s="1125"/>
    </row>
    <row r="2627" spans="9:10" x14ac:dyDescent="0.2">
      <c r="I2627" s="1125"/>
      <c r="J2627" s="1125"/>
    </row>
    <row r="2628" spans="9:10" x14ac:dyDescent="0.2">
      <c r="I2628" s="1125"/>
      <c r="J2628" s="1125"/>
    </row>
    <row r="2629" spans="9:10" x14ac:dyDescent="0.2">
      <c r="I2629" s="1125"/>
      <c r="J2629" s="1125"/>
    </row>
    <row r="2630" spans="9:10" x14ac:dyDescent="0.2">
      <c r="I2630" s="1125"/>
      <c r="J2630" s="1125"/>
    </row>
    <row r="2631" spans="9:10" x14ac:dyDescent="0.2">
      <c r="I2631" s="1125"/>
      <c r="J2631" s="1125"/>
    </row>
    <row r="2632" spans="9:10" x14ac:dyDescent="0.2">
      <c r="I2632" s="1125"/>
      <c r="J2632" s="1125"/>
    </row>
    <row r="2633" spans="9:10" x14ac:dyDescent="0.2">
      <c r="I2633" s="1125"/>
      <c r="J2633" s="1125"/>
    </row>
    <row r="2634" spans="9:10" x14ac:dyDescent="0.2">
      <c r="I2634" s="1125"/>
      <c r="J2634" s="1125"/>
    </row>
    <row r="2635" spans="9:10" x14ac:dyDescent="0.2">
      <c r="I2635" s="1125"/>
      <c r="J2635" s="1125"/>
    </row>
    <row r="2636" spans="9:10" x14ac:dyDescent="0.2">
      <c r="I2636" s="1125"/>
      <c r="J2636" s="1125"/>
    </row>
    <row r="2637" spans="9:10" x14ac:dyDescent="0.2">
      <c r="I2637" s="1125"/>
      <c r="J2637" s="1125"/>
    </row>
    <row r="2638" spans="9:10" x14ac:dyDescent="0.2">
      <c r="I2638" s="1125"/>
      <c r="J2638" s="1125"/>
    </row>
    <row r="2639" spans="9:10" x14ac:dyDescent="0.2">
      <c r="I2639" s="1125"/>
      <c r="J2639" s="1125"/>
    </row>
    <row r="2640" spans="9:10" x14ac:dyDescent="0.2">
      <c r="I2640" s="1125"/>
      <c r="J2640" s="1125"/>
    </row>
    <row r="2641" spans="9:10" x14ac:dyDescent="0.2">
      <c r="I2641" s="1125"/>
      <c r="J2641" s="1125"/>
    </row>
    <row r="2642" spans="9:10" x14ac:dyDescent="0.2">
      <c r="I2642" s="1125"/>
      <c r="J2642" s="1125"/>
    </row>
    <row r="2643" spans="9:10" x14ac:dyDescent="0.2">
      <c r="I2643" s="1125"/>
      <c r="J2643" s="1125"/>
    </row>
    <row r="2644" spans="9:10" x14ac:dyDescent="0.2">
      <c r="I2644" s="1125"/>
      <c r="J2644" s="1125"/>
    </row>
    <row r="2645" spans="9:10" x14ac:dyDescent="0.2">
      <c r="I2645" s="1125"/>
      <c r="J2645" s="1125"/>
    </row>
    <row r="2646" spans="9:10" x14ac:dyDescent="0.2">
      <c r="I2646" s="1125"/>
      <c r="J2646" s="1125"/>
    </row>
    <row r="2647" spans="9:10" x14ac:dyDescent="0.2">
      <c r="I2647" s="1125"/>
      <c r="J2647" s="1125"/>
    </row>
    <row r="2648" spans="9:10" x14ac:dyDescent="0.2">
      <c r="I2648" s="1125"/>
      <c r="J2648" s="1125"/>
    </row>
    <row r="2649" spans="9:10" x14ac:dyDescent="0.2">
      <c r="I2649" s="1125"/>
      <c r="J2649" s="1125"/>
    </row>
    <row r="2650" spans="9:10" x14ac:dyDescent="0.2">
      <c r="I2650" s="1125"/>
      <c r="J2650" s="1125"/>
    </row>
    <row r="2651" spans="9:10" x14ac:dyDescent="0.2">
      <c r="I2651" s="1125"/>
      <c r="J2651" s="1125"/>
    </row>
    <row r="2652" spans="9:10" x14ac:dyDescent="0.2">
      <c r="I2652" s="1125"/>
      <c r="J2652" s="1125"/>
    </row>
    <row r="2653" spans="9:10" x14ac:dyDescent="0.2">
      <c r="I2653" s="1125"/>
      <c r="J2653" s="1125"/>
    </row>
    <row r="2654" spans="9:10" x14ac:dyDescent="0.2">
      <c r="I2654" s="1125"/>
      <c r="J2654" s="1125"/>
    </row>
    <row r="2655" spans="9:10" x14ac:dyDescent="0.2">
      <c r="I2655" s="1125"/>
      <c r="J2655" s="1125"/>
    </row>
    <row r="2656" spans="9:10" x14ac:dyDescent="0.2">
      <c r="I2656" s="1125"/>
      <c r="J2656" s="1125"/>
    </row>
    <row r="2657" spans="9:10" x14ac:dyDescent="0.2">
      <c r="I2657" s="1125"/>
      <c r="J2657" s="1125"/>
    </row>
    <row r="2658" spans="9:10" x14ac:dyDescent="0.2">
      <c r="I2658" s="1125"/>
      <c r="J2658" s="1125"/>
    </row>
    <row r="2659" spans="9:10" x14ac:dyDescent="0.2">
      <c r="I2659" s="1125"/>
      <c r="J2659" s="1125"/>
    </row>
    <row r="2660" spans="9:10" x14ac:dyDescent="0.2">
      <c r="I2660" s="1125"/>
      <c r="J2660" s="1125"/>
    </row>
    <row r="2661" spans="9:10" x14ac:dyDescent="0.2">
      <c r="I2661" s="1125"/>
      <c r="J2661" s="1125"/>
    </row>
    <row r="2662" spans="9:10" x14ac:dyDescent="0.2">
      <c r="I2662" s="1125"/>
      <c r="J2662" s="1125"/>
    </row>
    <row r="2663" spans="9:10" x14ac:dyDescent="0.2">
      <c r="I2663" s="1125"/>
      <c r="J2663" s="1125"/>
    </row>
    <row r="2664" spans="9:10" x14ac:dyDescent="0.2">
      <c r="I2664" s="1125"/>
      <c r="J2664" s="1125"/>
    </row>
    <row r="2665" spans="9:10" x14ac:dyDescent="0.2">
      <c r="I2665" s="1125"/>
      <c r="J2665" s="1125"/>
    </row>
    <row r="2666" spans="9:10" x14ac:dyDescent="0.2">
      <c r="I2666" s="1125"/>
      <c r="J2666" s="1125"/>
    </row>
    <row r="2667" spans="9:10" x14ac:dyDescent="0.2">
      <c r="I2667" s="1125"/>
      <c r="J2667" s="1125"/>
    </row>
    <row r="2668" spans="9:10" x14ac:dyDescent="0.2">
      <c r="I2668" s="1125"/>
      <c r="J2668" s="1125"/>
    </row>
    <row r="2669" spans="9:10" x14ac:dyDescent="0.2">
      <c r="I2669" s="1125"/>
      <c r="J2669" s="1125"/>
    </row>
    <row r="2670" spans="9:10" x14ac:dyDescent="0.2">
      <c r="I2670" s="1125"/>
      <c r="J2670" s="1125"/>
    </row>
    <row r="2671" spans="9:10" x14ac:dyDescent="0.2">
      <c r="I2671" s="1125"/>
      <c r="J2671" s="1125"/>
    </row>
    <row r="2672" spans="9:10" x14ac:dyDescent="0.2">
      <c r="I2672" s="1125"/>
      <c r="J2672" s="1125"/>
    </row>
    <row r="2673" spans="9:10" x14ac:dyDescent="0.2">
      <c r="I2673" s="1125"/>
      <c r="J2673" s="1125"/>
    </row>
    <row r="2674" spans="9:10" x14ac:dyDescent="0.2">
      <c r="I2674" s="1125"/>
      <c r="J2674" s="1125"/>
    </row>
    <row r="2675" spans="9:10" x14ac:dyDescent="0.2">
      <c r="I2675" s="1125"/>
      <c r="J2675" s="1125"/>
    </row>
    <row r="2676" spans="9:10" x14ac:dyDescent="0.2">
      <c r="I2676" s="1125"/>
      <c r="J2676" s="1125"/>
    </row>
    <row r="2677" spans="9:10" x14ac:dyDescent="0.2">
      <c r="I2677" s="1125"/>
      <c r="J2677" s="1125"/>
    </row>
    <row r="2678" spans="9:10" x14ac:dyDescent="0.2">
      <c r="I2678" s="1125"/>
      <c r="J2678" s="1125"/>
    </row>
    <row r="2679" spans="9:10" x14ac:dyDescent="0.2">
      <c r="I2679" s="1125"/>
      <c r="J2679" s="1125"/>
    </row>
    <row r="2680" spans="9:10" x14ac:dyDescent="0.2">
      <c r="I2680" s="1125"/>
      <c r="J2680" s="1125"/>
    </row>
    <row r="2681" spans="9:10" x14ac:dyDescent="0.2">
      <c r="I2681" s="1125"/>
      <c r="J2681" s="1125"/>
    </row>
    <row r="2682" spans="9:10" x14ac:dyDescent="0.2">
      <c r="I2682" s="1125"/>
      <c r="J2682" s="1125"/>
    </row>
    <row r="2683" spans="9:10" x14ac:dyDescent="0.2">
      <c r="I2683" s="1125"/>
      <c r="J2683" s="1125"/>
    </row>
    <row r="2684" spans="9:10" x14ac:dyDescent="0.2">
      <c r="I2684" s="1125"/>
      <c r="J2684" s="1125"/>
    </row>
    <row r="2685" spans="9:10" x14ac:dyDescent="0.2">
      <c r="I2685" s="1125"/>
      <c r="J2685" s="1125"/>
    </row>
    <row r="2686" spans="9:10" x14ac:dyDescent="0.2">
      <c r="I2686" s="1125"/>
      <c r="J2686" s="1125"/>
    </row>
    <row r="2687" spans="9:10" x14ac:dyDescent="0.2">
      <c r="I2687" s="1125"/>
      <c r="J2687" s="1125"/>
    </row>
    <row r="2688" spans="9:10" x14ac:dyDescent="0.2">
      <c r="I2688" s="1125"/>
      <c r="J2688" s="1125"/>
    </row>
    <row r="2689" spans="9:10" x14ac:dyDescent="0.2">
      <c r="I2689" s="1125"/>
      <c r="J2689" s="1125"/>
    </row>
    <row r="2690" spans="9:10" x14ac:dyDescent="0.2">
      <c r="I2690" s="1125"/>
      <c r="J2690" s="1125"/>
    </row>
    <row r="2691" spans="9:10" x14ac:dyDescent="0.2">
      <c r="I2691" s="1125"/>
      <c r="J2691" s="1125"/>
    </row>
    <row r="2692" spans="9:10" x14ac:dyDescent="0.2">
      <c r="I2692" s="1125"/>
      <c r="J2692" s="1125"/>
    </row>
    <row r="2693" spans="9:10" x14ac:dyDescent="0.2">
      <c r="I2693" s="1125"/>
      <c r="J2693" s="1125"/>
    </row>
    <row r="2694" spans="9:10" x14ac:dyDescent="0.2">
      <c r="I2694" s="1125"/>
      <c r="J2694" s="1125"/>
    </row>
    <row r="2695" spans="9:10" x14ac:dyDescent="0.2">
      <c r="I2695" s="1125"/>
      <c r="J2695" s="1125"/>
    </row>
    <row r="2696" spans="9:10" x14ac:dyDescent="0.2">
      <c r="I2696" s="1125"/>
      <c r="J2696" s="1125"/>
    </row>
    <row r="2697" spans="9:10" x14ac:dyDescent="0.2">
      <c r="I2697" s="1125"/>
      <c r="J2697" s="1125"/>
    </row>
    <row r="2698" spans="9:10" x14ac:dyDescent="0.2">
      <c r="I2698" s="1125"/>
      <c r="J2698" s="1125"/>
    </row>
    <row r="2699" spans="9:10" x14ac:dyDescent="0.2">
      <c r="I2699" s="1125"/>
      <c r="J2699" s="1125"/>
    </row>
    <row r="2700" spans="9:10" x14ac:dyDescent="0.2">
      <c r="I2700" s="1125"/>
      <c r="J2700" s="1125"/>
    </row>
    <row r="2701" spans="9:10" x14ac:dyDescent="0.2">
      <c r="I2701" s="1125"/>
      <c r="J2701" s="1125"/>
    </row>
    <row r="2702" spans="9:10" x14ac:dyDescent="0.2">
      <c r="I2702" s="1125"/>
      <c r="J2702" s="1125"/>
    </row>
    <row r="2703" spans="9:10" x14ac:dyDescent="0.2">
      <c r="I2703" s="1125"/>
      <c r="J2703" s="1125"/>
    </row>
    <row r="2704" spans="9:10" x14ac:dyDescent="0.2">
      <c r="I2704" s="1125"/>
      <c r="J2704" s="1125"/>
    </row>
    <row r="2705" spans="9:10" x14ac:dyDescent="0.2">
      <c r="I2705" s="1125"/>
      <c r="J2705" s="1125"/>
    </row>
    <row r="2706" spans="9:10" x14ac:dyDescent="0.2">
      <c r="I2706" s="1125"/>
      <c r="J2706" s="1125"/>
    </row>
    <row r="2707" spans="9:10" x14ac:dyDescent="0.2">
      <c r="I2707" s="1125"/>
      <c r="J2707" s="1125"/>
    </row>
    <row r="2708" spans="9:10" x14ac:dyDescent="0.2">
      <c r="I2708" s="1125"/>
      <c r="J2708" s="1125"/>
    </row>
    <row r="2709" spans="9:10" x14ac:dyDescent="0.2">
      <c r="I2709" s="1125"/>
      <c r="J2709" s="1125"/>
    </row>
    <row r="2710" spans="9:10" x14ac:dyDescent="0.2">
      <c r="I2710" s="1125"/>
      <c r="J2710" s="1125"/>
    </row>
    <row r="2711" spans="9:10" x14ac:dyDescent="0.2">
      <c r="I2711" s="1125"/>
      <c r="J2711" s="1125"/>
    </row>
    <row r="2712" spans="9:10" x14ac:dyDescent="0.2">
      <c r="I2712" s="1125"/>
      <c r="J2712" s="1125"/>
    </row>
    <row r="2713" spans="9:10" x14ac:dyDescent="0.2">
      <c r="I2713" s="1125"/>
      <c r="J2713" s="1125"/>
    </row>
    <row r="2714" spans="9:10" x14ac:dyDescent="0.2">
      <c r="I2714" s="1125"/>
      <c r="J2714" s="1125"/>
    </row>
    <row r="2715" spans="9:10" x14ac:dyDescent="0.2">
      <c r="I2715" s="1125"/>
      <c r="J2715" s="1125"/>
    </row>
    <row r="2716" spans="9:10" x14ac:dyDescent="0.2">
      <c r="I2716" s="1125"/>
      <c r="J2716" s="1125"/>
    </row>
    <row r="2717" spans="9:10" x14ac:dyDescent="0.2">
      <c r="I2717" s="1125"/>
      <c r="J2717" s="1125"/>
    </row>
    <row r="2718" spans="9:10" x14ac:dyDescent="0.2">
      <c r="I2718" s="1125"/>
      <c r="J2718" s="1125"/>
    </row>
    <row r="2719" spans="9:10" x14ac:dyDescent="0.2">
      <c r="I2719" s="1125"/>
      <c r="J2719" s="1125"/>
    </row>
    <row r="2720" spans="9:10" x14ac:dyDescent="0.2">
      <c r="I2720" s="1125"/>
      <c r="J2720" s="1125"/>
    </row>
    <row r="2721" spans="9:10" x14ac:dyDescent="0.2">
      <c r="I2721" s="1125"/>
      <c r="J2721" s="1125"/>
    </row>
    <row r="2722" spans="9:10" x14ac:dyDescent="0.2">
      <c r="I2722" s="1125"/>
      <c r="J2722" s="1125"/>
    </row>
    <row r="2723" spans="9:10" x14ac:dyDescent="0.2">
      <c r="I2723" s="1125"/>
      <c r="J2723" s="1125"/>
    </row>
    <row r="2724" spans="9:10" x14ac:dyDescent="0.2">
      <c r="I2724" s="1125"/>
      <c r="J2724" s="1125"/>
    </row>
    <row r="2725" spans="9:10" x14ac:dyDescent="0.2">
      <c r="I2725" s="1125"/>
      <c r="J2725" s="1125"/>
    </row>
    <row r="2726" spans="9:10" x14ac:dyDescent="0.2">
      <c r="I2726" s="1125"/>
      <c r="J2726" s="1125"/>
    </row>
    <row r="2727" spans="9:10" x14ac:dyDescent="0.2">
      <c r="I2727" s="1125"/>
      <c r="J2727" s="1125"/>
    </row>
    <row r="2728" spans="9:10" x14ac:dyDescent="0.2">
      <c r="I2728" s="1125"/>
      <c r="J2728" s="1125"/>
    </row>
    <row r="2729" spans="9:10" x14ac:dyDescent="0.2">
      <c r="I2729" s="1125"/>
      <c r="J2729" s="1125"/>
    </row>
    <row r="2730" spans="9:10" x14ac:dyDescent="0.2">
      <c r="I2730" s="1125"/>
      <c r="J2730" s="1125"/>
    </row>
    <row r="2731" spans="9:10" x14ac:dyDescent="0.2">
      <c r="I2731" s="1125"/>
      <c r="J2731" s="1125"/>
    </row>
    <row r="2732" spans="9:10" x14ac:dyDescent="0.2">
      <c r="I2732" s="1125"/>
      <c r="J2732" s="1125"/>
    </row>
    <row r="2733" spans="9:10" x14ac:dyDescent="0.2">
      <c r="I2733" s="1125"/>
      <c r="J2733" s="1125"/>
    </row>
    <row r="2734" spans="9:10" x14ac:dyDescent="0.2">
      <c r="I2734" s="1125"/>
      <c r="J2734" s="1125"/>
    </row>
    <row r="2735" spans="9:10" x14ac:dyDescent="0.2">
      <c r="I2735" s="1125"/>
      <c r="J2735" s="1125"/>
    </row>
    <row r="2736" spans="9:10" x14ac:dyDescent="0.2">
      <c r="I2736" s="1125"/>
      <c r="J2736" s="1125"/>
    </row>
    <row r="2737" spans="9:10" x14ac:dyDescent="0.2">
      <c r="I2737" s="1125"/>
      <c r="J2737" s="1125"/>
    </row>
    <row r="2738" spans="9:10" x14ac:dyDescent="0.2">
      <c r="I2738" s="1125"/>
      <c r="J2738" s="1125"/>
    </row>
    <row r="2739" spans="9:10" x14ac:dyDescent="0.2">
      <c r="I2739" s="1125"/>
      <c r="J2739" s="1125"/>
    </row>
    <row r="2740" spans="9:10" x14ac:dyDescent="0.2">
      <c r="I2740" s="1125"/>
      <c r="J2740" s="1125"/>
    </row>
    <row r="2741" spans="9:10" x14ac:dyDescent="0.2">
      <c r="I2741" s="1125"/>
      <c r="J2741" s="1125"/>
    </row>
    <row r="2742" spans="9:10" x14ac:dyDescent="0.2">
      <c r="I2742" s="1125"/>
      <c r="J2742" s="1125"/>
    </row>
    <row r="2743" spans="9:10" x14ac:dyDescent="0.2">
      <c r="I2743" s="1125"/>
      <c r="J2743" s="1125"/>
    </row>
    <row r="2744" spans="9:10" x14ac:dyDescent="0.2">
      <c r="I2744" s="1125"/>
      <c r="J2744" s="1125"/>
    </row>
    <row r="2745" spans="9:10" x14ac:dyDescent="0.2">
      <c r="I2745" s="1125"/>
      <c r="J2745" s="1125"/>
    </row>
    <row r="2746" spans="9:10" x14ac:dyDescent="0.2">
      <c r="I2746" s="1125"/>
      <c r="J2746" s="1125"/>
    </row>
    <row r="2747" spans="9:10" x14ac:dyDescent="0.2">
      <c r="I2747" s="1125"/>
      <c r="J2747" s="1125"/>
    </row>
    <row r="2748" spans="9:10" x14ac:dyDescent="0.2">
      <c r="I2748" s="1125"/>
      <c r="J2748" s="1125"/>
    </row>
    <row r="2749" spans="9:10" x14ac:dyDescent="0.2">
      <c r="I2749" s="1125"/>
      <c r="J2749" s="1125"/>
    </row>
    <row r="2750" spans="9:10" x14ac:dyDescent="0.2">
      <c r="I2750" s="1125"/>
      <c r="J2750" s="1125"/>
    </row>
    <row r="2751" spans="9:10" x14ac:dyDescent="0.2">
      <c r="I2751" s="1125"/>
      <c r="J2751" s="1125"/>
    </row>
    <row r="2752" spans="9:10" x14ac:dyDescent="0.2">
      <c r="I2752" s="1125"/>
      <c r="J2752" s="1125"/>
    </row>
    <row r="2753" spans="9:10" x14ac:dyDescent="0.2">
      <c r="I2753" s="1125"/>
      <c r="J2753" s="1125"/>
    </row>
    <row r="2754" spans="9:10" x14ac:dyDescent="0.2">
      <c r="I2754" s="1125"/>
      <c r="J2754" s="1125"/>
    </row>
    <row r="2755" spans="9:10" x14ac:dyDescent="0.2">
      <c r="I2755" s="1125"/>
      <c r="J2755" s="1125"/>
    </row>
    <row r="2756" spans="9:10" x14ac:dyDescent="0.2">
      <c r="I2756" s="1125"/>
      <c r="J2756" s="1125"/>
    </row>
    <row r="2757" spans="9:10" x14ac:dyDescent="0.2">
      <c r="I2757" s="1125"/>
      <c r="J2757" s="1125"/>
    </row>
    <row r="2758" spans="9:10" x14ac:dyDescent="0.2">
      <c r="I2758" s="1125"/>
      <c r="J2758" s="1125"/>
    </row>
    <row r="2759" spans="9:10" x14ac:dyDescent="0.2">
      <c r="I2759" s="1125"/>
      <c r="J2759" s="1125"/>
    </row>
    <row r="2760" spans="9:10" x14ac:dyDescent="0.2">
      <c r="I2760" s="1125"/>
      <c r="J2760" s="1125"/>
    </row>
    <row r="2761" spans="9:10" x14ac:dyDescent="0.2">
      <c r="I2761" s="1125"/>
      <c r="J2761" s="1125"/>
    </row>
    <row r="2762" spans="9:10" x14ac:dyDescent="0.2">
      <c r="I2762" s="1125"/>
      <c r="J2762" s="1125"/>
    </row>
    <row r="2763" spans="9:10" x14ac:dyDescent="0.2">
      <c r="I2763" s="1125"/>
      <c r="J2763" s="1125"/>
    </row>
    <row r="2764" spans="9:10" x14ac:dyDescent="0.2">
      <c r="I2764" s="1125"/>
      <c r="J2764" s="1125"/>
    </row>
    <row r="2765" spans="9:10" x14ac:dyDescent="0.2">
      <c r="I2765" s="1125"/>
      <c r="J2765" s="1125"/>
    </row>
    <row r="2766" spans="9:10" x14ac:dyDescent="0.2">
      <c r="I2766" s="1125"/>
      <c r="J2766" s="1125"/>
    </row>
    <row r="2767" spans="9:10" x14ac:dyDescent="0.2">
      <c r="I2767" s="1125"/>
      <c r="J2767" s="1125"/>
    </row>
    <row r="2768" spans="9:10" x14ac:dyDescent="0.2">
      <c r="I2768" s="1125"/>
      <c r="J2768" s="1125"/>
    </row>
    <row r="2769" spans="9:10" x14ac:dyDescent="0.2">
      <c r="I2769" s="1125"/>
      <c r="J2769" s="1125"/>
    </row>
    <row r="2770" spans="9:10" x14ac:dyDescent="0.2">
      <c r="I2770" s="1125"/>
      <c r="J2770" s="1125"/>
    </row>
    <row r="2771" spans="9:10" x14ac:dyDescent="0.2">
      <c r="I2771" s="1125"/>
      <c r="J2771" s="1125"/>
    </row>
    <row r="2772" spans="9:10" x14ac:dyDescent="0.2">
      <c r="I2772" s="1125"/>
      <c r="J2772" s="1125"/>
    </row>
    <row r="2773" spans="9:10" x14ac:dyDescent="0.2">
      <c r="I2773" s="1125"/>
      <c r="J2773" s="1125"/>
    </row>
    <row r="2774" spans="9:10" x14ac:dyDescent="0.2">
      <c r="I2774" s="1125"/>
      <c r="J2774" s="1125"/>
    </row>
    <row r="2775" spans="9:10" x14ac:dyDescent="0.2">
      <c r="I2775" s="1125"/>
      <c r="J2775" s="1125"/>
    </row>
    <row r="2776" spans="9:10" x14ac:dyDescent="0.2">
      <c r="I2776" s="1125"/>
      <c r="J2776" s="1125"/>
    </row>
    <row r="2777" spans="9:10" x14ac:dyDescent="0.2">
      <c r="I2777" s="1125"/>
      <c r="J2777" s="1125"/>
    </row>
    <row r="2778" spans="9:10" x14ac:dyDescent="0.2">
      <c r="I2778" s="1125"/>
      <c r="J2778" s="1125"/>
    </row>
    <row r="2779" spans="9:10" x14ac:dyDescent="0.2">
      <c r="I2779" s="1125"/>
      <c r="J2779" s="1125"/>
    </row>
    <row r="2780" spans="9:10" x14ac:dyDescent="0.2">
      <c r="I2780" s="1125"/>
      <c r="J2780" s="1125"/>
    </row>
    <row r="2781" spans="9:10" x14ac:dyDescent="0.2">
      <c r="I2781" s="1125"/>
      <c r="J2781" s="1125"/>
    </row>
    <row r="2782" spans="9:10" x14ac:dyDescent="0.2">
      <c r="I2782" s="1125"/>
      <c r="J2782" s="1125"/>
    </row>
    <row r="2783" spans="9:10" x14ac:dyDescent="0.2">
      <c r="I2783" s="1125"/>
      <c r="J2783" s="1125"/>
    </row>
    <row r="2784" spans="9:10" x14ac:dyDescent="0.2">
      <c r="I2784" s="1125"/>
      <c r="J2784" s="1125"/>
    </row>
    <row r="2785" spans="9:10" x14ac:dyDescent="0.2">
      <c r="I2785" s="1125"/>
      <c r="J2785" s="1125"/>
    </row>
    <row r="2786" spans="9:10" x14ac:dyDescent="0.2">
      <c r="I2786" s="1125"/>
      <c r="J2786" s="1125"/>
    </row>
    <row r="2787" spans="9:10" x14ac:dyDescent="0.2">
      <c r="I2787" s="1125"/>
      <c r="J2787" s="1125"/>
    </row>
    <row r="2788" spans="9:10" x14ac:dyDescent="0.2">
      <c r="I2788" s="1125"/>
      <c r="J2788" s="1125"/>
    </row>
    <row r="2789" spans="9:10" x14ac:dyDescent="0.2">
      <c r="I2789" s="1125"/>
      <c r="J2789" s="1125"/>
    </row>
    <row r="2790" spans="9:10" x14ac:dyDescent="0.2">
      <c r="I2790" s="1125"/>
      <c r="J2790" s="1125"/>
    </row>
    <row r="2791" spans="9:10" x14ac:dyDescent="0.2">
      <c r="I2791" s="1125"/>
      <c r="J2791" s="1125"/>
    </row>
    <row r="2792" spans="9:10" x14ac:dyDescent="0.2">
      <c r="I2792" s="1125"/>
      <c r="J2792" s="1125"/>
    </row>
    <row r="2793" spans="9:10" x14ac:dyDescent="0.2">
      <c r="I2793" s="1125"/>
      <c r="J2793" s="1125"/>
    </row>
    <row r="2794" spans="9:10" x14ac:dyDescent="0.2">
      <c r="I2794" s="1125"/>
      <c r="J2794" s="1125"/>
    </row>
    <row r="2795" spans="9:10" x14ac:dyDescent="0.2">
      <c r="I2795" s="1125"/>
      <c r="J2795" s="1125"/>
    </row>
    <row r="2796" spans="9:10" x14ac:dyDescent="0.2">
      <c r="I2796" s="1125"/>
      <c r="J2796" s="1125"/>
    </row>
    <row r="2797" spans="9:10" x14ac:dyDescent="0.2">
      <c r="I2797" s="1125"/>
      <c r="J2797" s="1125"/>
    </row>
    <row r="2798" spans="9:10" x14ac:dyDescent="0.2">
      <c r="I2798" s="1125"/>
      <c r="J2798" s="1125"/>
    </row>
    <row r="2799" spans="9:10" x14ac:dyDescent="0.2">
      <c r="I2799" s="1125"/>
      <c r="J2799" s="1125"/>
    </row>
    <row r="2800" spans="9:10" x14ac:dyDescent="0.2">
      <c r="I2800" s="1125"/>
      <c r="J2800" s="1125"/>
    </row>
    <row r="2801" spans="9:10" x14ac:dyDescent="0.2">
      <c r="I2801" s="1125"/>
      <c r="J2801" s="1125"/>
    </row>
    <row r="2802" spans="9:10" x14ac:dyDescent="0.2">
      <c r="I2802" s="1125"/>
      <c r="J2802" s="1125"/>
    </row>
    <row r="2803" spans="9:10" x14ac:dyDescent="0.2">
      <c r="I2803" s="1125"/>
      <c r="J2803" s="1125"/>
    </row>
    <row r="2804" spans="9:10" x14ac:dyDescent="0.2">
      <c r="I2804" s="1125"/>
      <c r="J2804" s="1125"/>
    </row>
    <row r="2805" spans="9:10" x14ac:dyDescent="0.2">
      <c r="I2805" s="1125"/>
      <c r="J2805" s="1125"/>
    </row>
    <row r="2806" spans="9:10" x14ac:dyDescent="0.2">
      <c r="I2806" s="1125"/>
      <c r="J2806" s="1125"/>
    </row>
    <row r="2807" spans="9:10" x14ac:dyDescent="0.2">
      <c r="I2807" s="1125"/>
      <c r="J2807" s="1125"/>
    </row>
    <row r="2808" spans="9:10" x14ac:dyDescent="0.2">
      <c r="I2808" s="1125"/>
      <c r="J2808" s="1125"/>
    </row>
    <row r="2809" spans="9:10" x14ac:dyDescent="0.2">
      <c r="I2809" s="1125"/>
      <c r="J2809" s="1125"/>
    </row>
    <row r="2810" spans="9:10" x14ac:dyDescent="0.2">
      <c r="I2810" s="1125"/>
      <c r="J2810" s="1125"/>
    </row>
    <row r="2811" spans="9:10" x14ac:dyDescent="0.2">
      <c r="I2811" s="1125"/>
      <c r="J2811" s="1125"/>
    </row>
    <row r="2812" spans="9:10" x14ac:dyDescent="0.2">
      <c r="I2812" s="1125"/>
      <c r="J2812" s="1125"/>
    </row>
    <row r="2813" spans="9:10" x14ac:dyDescent="0.2">
      <c r="I2813" s="1125"/>
      <c r="J2813" s="1125"/>
    </row>
    <row r="2814" spans="9:10" x14ac:dyDescent="0.2">
      <c r="I2814" s="1125"/>
      <c r="J2814" s="1125"/>
    </row>
    <row r="2815" spans="9:10" x14ac:dyDescent="0.2">
      <c r="I2815" s="1125"/>
      <c r="J2815" s="1125"/>
    </row>
    <row r="2816" spans="9:10" x14ac:dyDescent="0.2">
      <c r="I2816" s="1125"/>
      <c r="J2816" s="1125"/>
    </row>
    <row r="2817" spans="9:10" x14ac:dyDescent="0.2">
      <c r="I2817" s="1125"/>
      <c r="J2817" s="1125"/>
    </row>
    <row r="2818" spans="9:10" x14ac:dyDescent="0.2">
      <c r="I2818" s="1125"/>
      <c r="J2818" s="1125"/>
    </row>
    <row r="2819" spans="9:10" x14ac:dyDescent="0.2">
      <c r="I2819" s="1125"/>
      <c r="J2819" s="1125"/>
    </row>
    <row r="2820" spans="9:10" x14ac:dyDescent="0.2">
      <c r="I2820" s="1125"/>
      <c r="J2820" s="1125"/>
    </row>
    <row r="2821" spans="9:10" x14ac:dyDescent="0.2">
      <c r="I2821" s="1125"/>
      <c r="J2821" s="1125"/>
    </row>
    <row r="2822" spans="9:10" x14ac:dyDescent="0.2">
      <c r="I2822" s="1125"/>
      <c r="J2822" s="1125"/>
    </row>
    <row r="2823" spans="9:10" x14ac:dyDescent="0.2">
      <c r="I2823" s="1125"/>
      <c r="J2823" s="1125"/>
    </row>
    <row r="2824" spans="9:10" x14ac:dyDescent="0.2">
      <c r="I2824" s="1125"/>
      <c r="J2824" s="1125"/>
    </row>
    <row r="2825" spans="9:10" x14ac:dyDescent="0.2">
      <c r="I2825" s="1125"/>
      <c r="J2825" s="1125"/>
    </row>
    <row r="2826" spans="9:10" x14ac:dyDescent="0.2">
      <c r="I2826" s="1125"/>
      <c r="J2826" s="1125"/>
    </row>
    <row r="2827" spans="9:10" x14ac:dyDescent="0.2">
      <c r="I2827" s="1125"/>
      <c r="J2827" s="1125"/>
    </row>
    <row r="2828" spans="9:10" x14ac:dyDescent="0.2">
      <c r="I2828" s="1125"/>
      <c r="J2828" s="1125"/>
    </row>
    <row r="2829" spans="9:10" x14ac:dyDescent="0.2">
      <c r="I2829" s="1125"/>
      <c r="J2829" s="1125"/>
    </row>
    <row r="2830" spans="9:10" x14ac:dyDescent="0.2">
      <c r="I2830" s="1125"/>
      <c r="J2830" s="1125"/>
    </row>
    <row r="2831" spans="9:10" x14ac:dyDescent="0.2">
      <c r="I2831" s="1125"/>
      <c r="J2831" s="1125"/>
    </row>
    <row r="2832" spans="9:10" x14ac:dyDescent="0.2">
      <c r="I2832" s="1125"/>
      <c r="J2832" s="1125"/>
    </row>
    <row r="2833" spans="9:10" x14ac:dyDescent="0.2">
      <c r="I2833" s="1125"/>
      <c r="J2833" s="1125"/>
    </row>
    <row r="2834" spans="9:10" x14ac:dyDescent="0.2">
      <c r="I2834" s="1125"/>
      <c r="J2834" s="1125"/>
    </row>
    <row r="2835" spans="9:10" x14ac:dyDescent="0.2">
      <c r="I2835" s="1125"/>
      <c r="J2835" s="1125"/>
    </row>
    <row r="2836" spans="9:10" x14ac:dyDescent="0.2">
      <c r="I2836" s="1125"/>
      <c r="J2836" s="1125"/>
    </row>
    <row r="2837" spans="9:10" x14ac:dyDescent="0.2">
      <c r="I2837" s="1125"/>
      <c r="J2837" s="1125"/>
    </row>
    <row r="2838" spans="9:10" x14ac:dyDescent="0.2">
      <c r="I2838" s="1125"/>
      <c r="J2838" s="1125"/>
    </row>
    <row r="2839" spans="9:10" x14ac:dyDescent="0.2">
      <c r="I2839" s="1125"/>
      <c r="J2839" s="1125"/>
    </row>
    <row r="2840" spans="9:10" x14ac:dyDescent="0.2">
      <c r="I2840" s="1125"/>
      <c r="J2840" s="1125"/>
    </row>
    <row r="2841" spans="9:10" x14ac:dyDescent="0.2">
      <c r="I2841" s="1125"/>
      <c r="J2841" s="1125"/>
    </row>
    <row r="2842" spans="9:10" x14ac:dyDescent="0.2">
      <c r="I2842" s="1125"/>
      <c r="J2842" s="1125"/>
    </row>
    <row r="2843" spans="9:10" x14ac:dyDescent="0.2">
      <c r="I2843" s="1125"/>
      <c r="J2843" s="1125"/>
    </row>
    <row r="2844" spans="9:10" x14ac:dyDescent="0.2">
      <c r="I2844" s="1125"/>
      <c r="J2844" s="1125"/>
    </row>
    <row r="2845" spans="9:10" x14ac:dyDescent="0.2">
      <c r="I2845" s="1125"/>
      <c r="J2845" s="1125"/>
    </row>
    <row r="2846" spans="9:10" x14ac:dyDescent="0.2">
      <c r="I2846" s="1125"/>
      <c r="J2846" s="1125"/>
    </row>
    <row r="2847" spans="9:10" x14ac:dyDescent="0.2">
      <c r="I2847" s="1125"/>
      <c r="J2847" s="1125"/>
    </row>
    <row r="2848" spans="9:10" x14ac:dyDescent="0.2">
      <c r="I2848" s="1125"/>
      <c r="J2848" s="1125"/>
    </row>
    <row r="2849" spans="9:10" x14ac:dyDescent="0.2">
      <c r="I2849" s="1125"/>
      <c r="J2849" s="1125"/>
    </row>
    <row r="2850" spans="9:10" x14ac:dyDescent="0.2">
      <c r="I2850" s="1125"/>
      <c r="J2850" s="1125"/>
    </row>
    <row r="2851" spans="9:10" x14ac:dyDescent="0.2">
      <c r="I2851" s="1125"/>
      <c r="J2851" s="1125"/>
    </row>
    <row r="2852" spans="9:10" x14ac:dyDescent="0.2">
      <c r="I2852" s="1125"/>
      <c r="J2852" s="1125"/>
    </row>
    <row r="2853" spans="9:10" x14ac:dyDescent="0.2">
      <c r="I2853" s="1125"/>
      <c r="J2853" s="1125"/>
    </row>
    <row r="2854" spans="9:10" x14ac:dyDescent="0.2">
      <c r="I2854" s="1125"/>
      <c r="J2854" s="1125"/>
    </row>
    <row r="2855" spans="9:10" x14ac:dyDescent="0.2">
      <c r="I2855" s="1125"/>
      <c r="J2855" s="1125"/>
    </row>
    <row r="2856" spans="9:10" x14ac:dyDescent="0.2">
      <c r="I2856" s="1125"/>
      <c r="J2856" s="1125"/>
    </row>
    <row r="2857" spans="9:10" x14ac:dyDescent="0.2">
      <c r="I2857" s="1125"/>
      <c r="J2857" s="1125"/>
    </row>
    <row r="2858" spans="9:10" x14ac:dyDescent="0.2">
      <c r="I2858" s="1125"/>
      <c r="J2858" s="1125"/>
    </row>
    <row r="2859" spans="9:10" x14ac:dyDescent="0.2">
      <c r="I2859" s="1125"/>
      <c r="J2859" s="1125"/>
    </row>
    <row r="2860" spans="9:10" x14ac:dyDescent="0.2">
      <c r="I2860" s="1125"/>
      <c r="J2860" s="1125"/>
    </row>
    <row r="2861" spans="9:10" x14ac:dyDescent="0.2">
      <c r="I2861" s="1125"/>
      <c r="J2861" s="1125"/>
    </row>
    <row r="2862" spans="9:10" x14ac:dyDescent="0.2">
      <c r="I2862" s="1125"/>
      <c r="J2862" s="1125"/>
    </row>
    <row r="2863" spans="9:10" x14ac:dyDescent="0.2">
      <c r="I2863" s="1125"/>
      <c r="J2863" s="1125"/>
    </row>
    <row r="2864" spans="9:10" x14ac:dyDescent="0.2">
      <c r="I2864" s="1125"/>
      <c r="J2864" s="1125"/>
    </row>
    <row r="2865" spans="9:10" x14ac:dyDescent="0.2">
      <c r="I2865" s="1125"/>
      <c r="J2865" s="1125"/>
    </row>
    <row r="2866" spans="9:10" x14ac:dyDescent="0.2">
      <c r="I2866" s="1125"/>
      <c r="J2866" s="1125"/>
    </row>
    <row r="2867" spans="9:10" x14ac:dyDescent="0.2">
      <c r="I2867" s="1125"/>
      <c r="J2867" s="1125"/>
    </row>
    <row r="2868" spans="9:10" x14ac:dyDescent="0.2">
      <c r="I2868" s="1125"/>
      <c r="J2868" s="1125"/>
    </row>
    <row r="2869" spans="9:10" x14ac:dyDescent="0.2">
      <c r="I2869" s="1125"/>
      <c r="J2869" s="1125"/>
    </row>
    <row r="2870" spans="9:10" x14ac:dyDescent="0.2">
      <c r="I2870" s="1125"/>
      <c r="J2870" s="1125"/>
    </row>
    <row r="2871" spans="9:10" x14ac:dyDescent="0.2">
      <c r="I2871" s="1125"/>
      <c r="J2871" s="1125"/>
    </row>
    <row r="2872" spans="9:10" x14ac:dyDescent="0.2">
      <c r="I2872" s="1125"/>
      <c r="J2872" s="1125"/>
    </row>
    <row r="2873" spans="9:10" x14ac:dyDescent="0.2">
      <c r="I2873" s="1125"/>
      <c r="J2873" s="1125"/>
    </row>
    <row r="2874" spans="9:10" x14ac:dyDescent="0.2">
      <c r="I2874" s="1125"/>
      <c r="J2874" s="1125"/>
    </row>
    <row r="2875" spans="9:10" x14ac:dyDescent="0.2">
      <c r="I2875" s="1125"/>
      <c r="J2875" s="1125"/>
    </row>
    <row r="2876" spans="9:10" x14ac:dyDescent="0.2">
      <c r="I2876" s="1125"/>
      <c r="J2876" s="1125"/>
    </row>
    <row r="2877" spans="9:10" x14ac:dyDescent="0.2">
      <c r="I2877" s="1125"/>
      <c r="J2877" s="1125"/>
    </row>
    <row r="2878" spans="9:10" x14ac:dyDescent="0.2">
      <c r="I2878" s="1125"/>
      <c r="J2878" s="1125"/>
    </row>
    <row r="2879" spans="9:10" x14ac:dyDescent="0.2">
      <c r="I2879" s="1125"/>
      <c r="J2879" s="1125"/>
    </row>
    <row r="2880" spans="9:10" x14ac:dyDescent="0.2">
      <c r="I2880" s="1125"/>
      <c r="J2880" s="1125"/>
    </row>
    <row r="2881" spans="9:10" x14ac:dyDescent="0.2">
      <c r="I2881" s="1125"/>
      <c r="J2881" s="1125"/>
    </row>
    <row r="2882" spans="9:10" x14ac:dyDescent="0.2">
      <c r="I2882" s="1125"/>
      <c r="J2882" s="1125"/>
    </row>
    <row r="2883" spans="9:10" x14ac:dyDescent="0.2">
      <c r="I2883" s="1125"/>
      <c r="J2883" s="1125"/>
    </row>
    <row r="2884" spans="9:10" x14ac:dyDescent="0.2">
      <c r="I2884" s="1125"/>
      <c r="J2884" s="1125"/>
    </row>
    <row r="2885" spans="9:10" x14ac:dyDescent="0.2">
      <c r="I2885" s="1125"/>
      <c r="J2885" s="1125"/>
    </row>
    <row r="2886" spans="9:10" x14ac:dyDescent="0.2">
      <c r="I2886" s="1125"/>
      <c r="J2886" s="1125"/>
    </row>
    <row r="2887" spans="9:10" x14ac:dyDescent="0.2">
      <c r="I2887" s="1125"/>
      <c r="J2887" s="1125"/>
    </row>
    <row r="2888" spans="9:10" x14ac:dyDescent="0.2">
      <c r="I2888" s="1125"/>
      <c r="J2888" s="1125"/>
    </row>
    <row r="2889" spans="9:10" x14ac:dyDescent="0.2">
      <c r="I2889" s="1125"/>
      <c r="J2889" s="1125"/>
    </row>
    <row r="2890" spans="9:10" x14ac:dyDescent="0.2">
      <c r="I2890" s="1125"/>
      <c r="J2890" s="1125"/>
    </row>
    <row r="2891" spans="9:10" x14ac:dyDescent="0.2">
      <c r="I2891" s="1125"/>
      <c r="J2891" s="1125"/>
    </row>
    <row r="2892" spans="9:10" x14ac:dyDescent="0.2">
      <c r="I2892" s="1125"/>
      <c r="J2892" s="1125"/>
    </row>
    <row r="2893" spans="9:10" x14ac:dyDescent="0.2">
      <c r="I2893" s="1125"/>
      <c r="J2893" s="1125"/>
    </row>
    <row r="2894" spans="9:10" x14ac:dyDescent="0.2">
      <c r="I2894" s="1125"/>
      <c r="J2894" s="1125"/>
    </row>
    <row r="2895" spans="9:10" x14ac:dyDescent="0.2">
      <c r="I2895" s="1125"/>
      <c r="J2895" s="1125"/>
    </row>
    <row r="2896" spans="9:10" x14ac:dyDescent="0.2">
      <c r="I2896" s="1125"/>
      <c r="J2896" s="1125"/>
    </row>
    <row r="2897" spans="9:10" x14ac:dyDescent="0.2">
      <c r="I2897" s="1125"/>
      <c r="J2897" s="1125"/>
    </row>
    <row r="2898" spans="9:10" x14ac:dyDescent="0.2">
      <c r="I2898" s="1125"/>
      <c r="J2898" s="1125"/>
    </row>
    <row r="2899" spans="9:10" x14ac:dyDescent="0.2">
      <c r="I2899" s="1125"/>
      <c r="J2899" s="1125"/>
    </row>
    <row r="2900" spans="9:10" x14ac:dyDescent="0.2">
      <c r="I2900" s="1125"/>
      <c r="J2900" s="1125"/>
    </row>
    <row r="2901" spans="9:10" x14ac:dyDescent="0.2">
      <c r="I2901" s="1125"/>
      <c r="J2901" s="1125"/>
    </row>
    <row r="2902" spans="9:10" x14ac:dyDescent="0.2">
      <c r="I2902" s="1125"/>
      <c r="J2902" s="1125"/>
    </row>
    <row r="2903" spans="9:10" x14ac:dyDescent="0.2">
      <c r="I2903" s="1125"/>
      <c r="J2903" s="1125"/>
    </row>
    <row r="2904" spans="9:10" x14ac:dyDescent="0.2">
      <c r="I2904" s="1125"/>
      <c r="J2904" s="1125"/>
    </row>
    <row r="2905" spans="9:10" x14ac:dyDescent="0.2">
      <c r="I2905" s="1125"/>
      <c r="J2905" s="1125"/>
    </row>
    <row r="2906" spans="9:10" x14ac:dyDescent="0.2">
      <c r="I2906" s="1125"/>
      <c r="J2906" s="1125"/>
    </row>
    <row r="2907" spans="9:10" x14ac:dyDescent="0.2">
      <c r="I2907" s="1125"/>
      <c r="J2907" s="1125"/>
    </row>
    <row r="2908" spans="9:10" x14ac:dyDescent="0.2">
      <c r="I2908" s="1125"/>
      <c r="J2908" s="1125"/>
    </row>
    <row r="2909" spans="9:10" x14ac:dyDescent="0.2">
      <c r="I2909" s="1125"/>
      <c r="J2909" s="1125"/>
    </row>
    <row r="2910" spans="9:10" x14ac:dyDescent="0.2">
      <c r="I2910" s="1125"/>
      <c r="J2910" s="1125"/>
    </row>
    <row r="2911" spans="9:10" x14ac:dyDescent="0.2">
      <c r="I2911" s="1125"/>
      <c r="J2911" s="1125"/>
    </row>
    <row r="2912" spans="9:10" x14ac:dyDescent="0.2">
      <c r="I2912" s="1125"/>
      <c r="J2912" s="1125"/>
    </row>
    <row r="2913" spans="9:10" x14ac:dyDescent="0.2">
      <c r="I2913" s="1125"/>
      <c r="J2913" s="1125"/>
    </row>
    <row r="2914" spans="9:10" x14ac:dyDescent="0.2">
      <c r="I2914" s="1125"/>
      <c r="J2914" s="1125"/>
    </row>
    <row r="2915" spans="9:10" x14ac:dyDescent="0.2">
      <c r="I2915" s="1125"/>
      <c r="J2915" s="1125"/>
    </row>
    <row r="2916" spans="9:10" x14ac:dyDescent="0.2">
      <c r="I2916" s="1125"/>
      <c r="J2916" s="1125"/>
    </row>
    <row r="2917" spans="9:10" x14ac:dyDescent="0.2">
      <c r="I2917" s="1125"/>
      <c r="J2917" s="1125"/>
    </row>
    <row r="2918" spans="9:10" x14ac:dyDescent="0.2">
      <c r="I2918" s="1125"/>
      <c r="J2918" s="1125"/>
    </row>
    <row r="2919" spans="9:10" x14ac:dyDescent="0.2">
      <c r="I2919" s="1125"/>
      <c r="J2919" s="1125"/>
    </row>
    <row r="2920" spans="9:10" x14ac:dyDescent="0.2">
      <c r="I2920" s="1125"/>
      <c r="J2920" s="1125"/>
    </row>
    <row r="2921" spans="9:10" x14ac:dyDescent="0.2">
      <c r="I2921" s="1125"/>
      <c r="J2921" s="1125"/>
    </row>
    <row r="2922" spans="9:10" x14ac:dyDescent="0.2">
      <c r="I2922" s="1125"/>
      <c r="J2922" s="1125"/>
    </row>
    <row r="2923" spans="9:10" x14ac:dyDescent="0.2">
      <c r="I2923" s="1125"/>
      <c r="J2923" s="1125"/>
    </row>
    <row r="2924" spans="9:10" x14ac:dyDescent="0.2">
      <c r="I2924" s="1125"/>
      <c r="J2924" s="1125"/>
    </row>
    <row r="2925" spans="9:10" x14ac:dyDescent="0.2">
      <c r="I2925" s="1125"/>
      <c r="J2925" s="1125"/>
    </row>
    <row r="2926" spans="9:10" x14ac:dyDescent="0.2">
      <c r="I2926" s="1125"/>
      <c r="J2926" s="1125"/>
    </row>
    <row r="2927" spans="9:10" x14ac:dyDescent="0.2">
      <c r="I2927" s="1125"/>
      <c r="J2927" s="1125"/>
    </row>
    <row r="2928" spans="9:10" x14ac:dyDescent="0.2">
      <c r="I2928" s="1125"/>
      <c r="J2928" s="1125"/>
    </row>
    <row r="2929" spans="9:10" x14ac:dyDescent="0.2">
      <c r="I2929" s="1125"/>
      <c r="J2929" s="1125"/>
    </row>
    <row r="2930" spans="9:10" x14ac:dyDescent="0.2">
      <c r="I2930" s="1125"/>
      <c r="J2930" s="1125"/>
    </row>
    <row r="2931" spans="9:10" x14ac:dyDescent="0.2">
      <c r="I2931" s="1125"/>
      <c r="J2931" s="1125"/>
    </row>
    <row r="2932" spans="9:10" x14ac:dyDescent="0.2">
      <c r="I2932" s="1125"/>
      <c r="J2932" s="1125"/>
    </row>
    <row r="2933" spans="9:10" x14ac:dyDescent="0.2">
      <c r="I2933" s="1125"/>
      <c r="J2933" s="1125"/>
    </row>
    <row r="2934" spans="9:10" x14ac:dyDescent="0.2">
      <c r="I2934" s="1125"/>
      <c r="J2934" s="1125"/>
    </row>
    <row r="2935" spans="9:10" x14ac:dyDescent="0.2">
      <c r="I2935" s="1125"/>
      <c r="J2935" s="1125"/>
    </row>
    <row r="2936" spans="9:10" x14ac:dyDescent="0.2">
      <c r="I2936" s="1125"/>
      <c r="J2936" s="1125"/>
    </row>
    <row r="2937" spans="9:10" x14ac:dyDescent="0.2">
      <c r="I2937" s="1125"/>
      <c r="J2937" s="1125"/>
    </row>
    <row r="2938" spans="9:10" x14ac:dyDescent="0.2">
      <c r="I2938" s="1125"/>
      <c r="J2938" s="1125"/>
    </row>
    <row r="2939" spans="9:10" x14ac:dyDescent="0.2">
      <c r="I2939" s="1125"/>
      <c r="J2939" s="1125"/>
    </row>
    <row r="2940" spans="9:10" x14ac:dyDescent="0.2">
      <c r="I2940" s="1125"/>
      <c r="J2940" s="1125"/>
    </row>
    <row r="2941" spans="9:10" x14ac:dyDescent="0.2">
      <c r="I2941" s="1125"/>
      <c r="J2941" s="1125"/>
    </row>
    <row r="2942" spans="9:10" x14ac:dyDescent="0.2">
      <c r="I2942" s="1125"/>
      <c r="J2942" s="1125"/>
    </row>
    <row r="2943" spans="9:10" x14ac:dyDescent="0.2">
      <c r="I2943" s="1125"/>
      <c r="J2943" s="1125"/>
    </row>
    <row r="2944" spans="9:10" x14ac:dyDescent="0.2">
      <c r="I2944" s="1125"/>
      <c r="J2944" s="1125"/>
    </row>
    <row r="2945" spans="9:10" x14ac:dyDescent="0.2">
      <c r="I2945" s="1125"/>
      <c r="J2945" s="1125"/>
    </row>
    <row r="2946" spans="9:10" x14ac:dyDescent="0.2">
      <c r="I2946" s="1125"/>
      <c r="J2946" s="1125"/>
    </row>
    <row r="2947" spans="9:10" x14ac:dyDescent="0.2">
      <c r="I2947" s="1125"/>
      <c r="J2947" s="1125"/>
    </row>
    <row r="2948" spans="9:10" x14ac:dyDescent="0.2">
      <c r="I2948" s="1125"/>
      <c r="J2948" s="1125"/>
    </row>
    <row r="2949" spans="9:10" x14ac:dyDescent="0.2">
      <c r="I2949" s="1125"/>
      <c r="J2949" s="1125"/>
    </row>
    <row r="2950" spans="9:10" x14ac:dyDescent="0.2">
      <c r="I2950" s="1125"/>
      <c r="J2950" s="1125"/>
    </row>
    <row r="2951" spans="9:10" x14ac:dyDescent="0.2">
      <c r="I2951" s="1125"/>
      <c r="J2951" s="1125"/>
    </row>
    <row r="2952" spans="9:10" x14ac:dyDescent="0.2">
      <c r="I2952" s="1125"/>
      <c r="J2952" s="1125"/>
    </row>
    <row r="2953" spans="9:10" x14ac:dyDescent="0.2">
      <c r="I2953" s="1125"/>
      <c r="J2953" s="1125"/>
    </row>
    <row r="2954" spans="9:10" x14ac:dyDescent="0.2">
      <c r="I2954" s="1125"/>
      <c r="J2954" s="1125"/>
    </row>
    <row r="2955" spans="9:10" x14ac:dyDescent="0.2">
      <c r="I2955" s="1125"/>
      <c r="J2955" s="1125"/>
    </row>
    <row r="2956" spans="9:10" x14ac:dyDescent="0.2">
      <c r="I2956" s="1125"/>
      <c r="J2956" s="1125"/>
    </row>
    <row r="2957" spans="9:10" x14ac:dyDescent="0.2">
      <c r="I2957" s="1125"/>
      <c r="J2957" s="1125"/>
    </row>
    <row r="2958" spans="9:10" x14ac:dyDescent="0.2">
      <c r="I2958" s="1125"/>
      <c r="J2958" s="1125"/>
    </row>
    <row r="2959" spans="9:10" x14ac:dyDescent="0.2">
      <c r="I2959" s="1125"/>
      <c r="J2959" s="1125"/>
    </row>
    <row r="2960" spans="9:10" x14ac:dyDescent="0.2">
      <c r="I2960" s="1125"/>
      <c r="J2960" s="1125"/>
    </row>
    <row r="2961" spans="9:10" x14ac:dyDescent="0.2">
      <c r="I2961" s="1125"/>
      <c r="J2961" s="1125"/>
    </row>
    <row r="2962" spans="9:10" x14ac:dyDescent="0.2">
      <c r="I2962" s="1125"/>
      <c r="J2962" s="1125"/>
    </row>
    <row r="2963" spans="9:10" x14ac:dyDescent="0.2">
      <c r="I2963" s="1125"/>
      <c r="J2963" s="1125"/>
    </row>
    <row r="2964" spans="9:10" x14ac:dyDescent="0.2">
      <c r="I2964" s="1125"/>
      <c r="J2964" s="1125"/>
    </row>
    <row r="2965" spans="9:10" x14ac:dyDescent="0.2">
      <c r="I2965" s="1125"/>
      <c r="J2965" s="1125"/>
    </row>
    <row r="2966" spans="9:10" x14ac:dyDescent="0.2">
      <c r="I2966" s="1125"/>
      <c r="J2966" s="1125"/>
    </row>
    <row r="2967" spans="9:10" x14ac:dyDescent="0.2">
      <c r="I2967" s="1125"/>
      <c r="J2967" s="1125"/>
    </row>
    <row r="2968" spans="9:10" x14ac:dyDescent="0.2">
      <c r="I2968" s="1125"/>
      <c r="J2968" s="1125"/>
    </row>
    <row r="2969" spans="9:10" x14ac:dyDescent="0.2">
      <c r="I2969" s="1125"/>
      <c r="J2969" s="1125"/>
    </row>
    <row r="2970" spans="9:10" x14ac:dyDescent="0.2">
      <c r="I2970" s="1125"/>
      <c r="J2970" s="1125"/>
    </row>
    <row r="2971" spans="9:10" x14ac:dyDescent="0.2">
      <c r="I2971" s="1125"/>
      <c r="J2971" s="1125"/>
    </row>
    <row r="2972" spans="9:10" x14ac:dyDescent="0.2">
      <c r="I2972" s="1125"/>
      <c r="J2972" s="1125"/>
    </row>
    <row r="2973" spans="9:10" x14ac:dyDescent="0.2">
      <c r="I2973" s="1125"/>
      <c r="J2973" s="1125"/>
    </row>
    <row r="2974" spans="9:10" x14ac:dyDescent="0.2">
      <c r="I2974" s="1125"/>
      <c r="J2974" s="1125"/>
    </row>
    <row r="2975" spans="9:10" x14ac:dyDescent="0.2">
      <c r="I2975" s="1125"/>
      <c r="J2975" s="1125"/>
    </row>
    <row r="2976" spans="9:10" x14ac:dyDescent="0.2">
      <c r="I2976" s="1125"/>
      <c r="J2976" s="1125"/>
    </row>
    <row r="2977" spans="9:10" x14ac:dyDescent="0.2">
      <c r="I2977" s="1125"/>
      <c r="J2977" s="1125"/>
    </row>
    <row r="2978" spans="9:10" x14ac:dyDescent="0.2">
      <c r="I2978" s="1125"/>
      <c r="J2978" s="1125"/>
    </row>
    <row r="2979" spans="9:10" x14ac:dyDescent="0.2">
      <c r="I2979" s="1125"/>
      <c r="J2979" s="1125"/>
    </row>
    <row r="2980" spans="9:10" x14ac:dyDescent="0.2">
      <c r="I2980" s="1125"/>
      <c r="J2980" s="1125"/>
    </row>
    <row r="2981" spans="9:10" x14ac:dyDescent="0.2">
      <c r="I2981" s="1125"/>
      <c r="J2981" s="1125"/>
    </row>
    <row r="2982" spans="9:10" x14ac:dyDescent="0.2">
      <c r="I2982" s="1125"/>
      <c r="J2982" s="1125"/>
    </row>
    <row r="2983" spans="9:10" x14ac:dyDescent="0.2">
      <c r="I2983" s="1125"/>
      <c r="J2983" s="1125"/>
    </row>
    <row r="2984" spans="9:10" x14ac:dyDescent="0.2">
      <c r="I2984" s="1125"/>
      <c r="J2984" s="1125"/>
    </row>
    <row r="2985" spans="9:10" x14ac:dyDescent="0.2">
      <c r="I2985" s="1125"/>
      <c r="J2985" s="1125"/>
    </row>
    <row r="2986" spans="9:10" x14ac:dyDescent="0.2">
      <c r="I2986" s="1125"/>
      <c r="J2986" s="1125"/>
    </row>
    <row r="2987" spans="9:10" x14ac:dyDescent="0.2">
      <c r="I2987" s="1125"/>
      <c r="J2987" s="1125"/>
    </row>
    <row r="2988" spans="9:10" x14ac:dyDescent="0.2">
      <c r="I2988" s="1125"/>
      <c r="J2988" s="1125"/>
    </row>
    <row r="2989" spans="9:10" x14ac:dyDescent="0.2">
      <c r="I2989" s="1125"/>
      <c r="J2989" s="1125"/>
    </row>
    <row r="2990" spans="9:10" x14ac:dyDescent="0.2">
      <c r="I2990" s="1125"/>
      <c r="J2990" s="1125"/>
    </row>
    <row r="2991" spans="9:10" x14ac:dyDescent="0.2">
      <c r="I2991" s="1125"/>
      <c r="J2991" s="1125"/>
    </row>
    <row r="2992" spans="9:10" x14ac:dyDescent="0.2">
      <c r="I2992" s="1125"/>
      <c r="J2992" s="1125"/>
    </row>
    <row r="2993" spans="9:10" x14ac:dyDescent="0.2">
      <c r="I2993" s="1125"/>
      <c r="J2993" s="1125"/>
    </row>
    <row r="2994" spans="9:10" x14ac:dyDescent="0.2">
      <c r="I2994" s="1125"/>
      <c r="J2994" s="1125"/>
    </row>
    <row r="2995" spans="9:10" x14ac:dyDescent="0.2">
      <c r="I2995" s="1125"/>
      <c r="J2995" s="1125"/>
    </row>
    <row r="2996" spans="9:10" x14ac:dyDescent="0.2">
      <c r="I2996" s="1125"/>
      <c r="J2996" s="1125"/>
    </row>
    <row r="2997" spans="9:10" x14ac:dyDescent="0.2">
      <c r="I2997" s="1125"/>
      <c r="J2997" s="1125"/>
    </row>
    <row r="2998" spans="9:10" x14ac:dyDescent="0.2">
      <c r="I2998" s="1125"/>
      <c r="J2998" s="1125"/>
    </row>
    <row r="2999" spans="9:10" x14ac:dyDescent="0.2">
      <c r="I2999" s="1125"/>
      <c r="J2999" s="1125"/>
    </row>
    <row r="3000" spans="9:10" x14ac:dyDescent="0.2">
      <c r="I3000" s="1125"/>
      <c r="J3000" s="1125"/>
    </row>
    <row r="3001" spans="9:10" x14ac:dyDescent="0.2">
      <c r="I3001" s="1125"/>
      <c r="J3001" s="1125"/>
    </row>
    <row r="3002" spans="9:10" x14ac:dyDescent="0.2">
      <c r="I3002" s="1125"/>
      <c r="J3002" s="1125"/>
    </row>
    <row r="3003" spans="9:10" x14ac:dyDescent="0.2">
      <c r="I3003" s="1125"/>
      <c r="J3003" s="1125"/>
    </row>
    <row r="3004" spans="9:10" x14ac:dyDescent="0.2">
      <c r="I3004" s="1125"/>
      <c r="J3004" s="1125"/>
    </row>
    <row r="3005" spans="9:10" x14ac:dyDescent="0.2">
      <c r="I3005" s="1125"/>
      <c r="J3005" s="1125"/>
    </row>
    <row r="3006" spans="9:10" x14ac:dyDescent="0.2">
      <c r="I3006" s="1125"/>
      <c r="J3006" s="1125"/>
    </row>
    <row r="3007" spans="9:10" x14ac:dyDescent="0.2">
      <c r="I3007" s="1125"/>
      <c r="J3007" s="1125"/>
    </row>
    <row r="3008" spans="9:10" x14ac:dyDescent="0.2">
      <c r="I3008" s="1125"/>
      <c r="J3008" s="1125"/>
    </row>
    <row r="3009" spans="9:10" x14ac:dyDescent="0.2">
      <c r="I3009" s="1125"/>
      <c r="J3009" s="1125"/>
    </row>
    <row r="3010" spans="9:10" x14ac:dyDescent="0.2">
      <c r="I3010" s="1125"/>
      <c r="J3010" s="1125"/>
    </row>
    <row r="3011" spans="9:10" x14ac:dyDescent="0.2">
      <c r="I3011" s="1125"/>
      <c r="J3011" s="1125"/>
    </row>
    <row r="3012" spans="9:10" x14ac:dyDescent="0.2">
      <c r="I3012" s="1125"/>
      <c r="J3012" s="1125"/>
    </row>
    <row r="3013" spans="9:10" x14ac:dyDescent="0.2">
      <c r="I3013" s="1125"/>
      <c r="J3013" s="1125"/>
    </row>
    <row r="3014" spans="9:10" x14ac:dyDescent="0.2">
      <c r="I3014" s="1125"/>
      <c r="J3014" s="1125"/>
    </row>
    <row r="3015" spans="9:10" x14ac:dyDescent="0.2">
      <c r="I3015" s="1125"/>
      <c r="J3015" s="1125"/>
    </row>
    <row r="3016" spans="9:10" x14ac:dyDescent="0.2">
      <c r="I3016" s="1125"/>
      <c r="J3016" s="1125"/>
    </row>
    <row r="3017" spans="9:10" x14ac:dyDescent="0.2">
      <c r="I3017" s="1125"/>
      <c r="J3017" s="1125"/>
    </row>
    <row r="3018" spans="9:10" x14ac:dyDescent="0.2">
      <c r="I3018" s="1125"/>
      <c r="J3018" s="1125"/>
    </row>
    <row r="3019" spans="9:10" x14ac:dyDescent="0.2">
      <c r="I3019" s="1125"/>
      <c r="J3019" s="1125"/>
    </row>
    <row r="3020" spans="9:10" x14ac:dyDescent="0.2">
      <c r="I3020" s="1125"/>
      <c r="J3020" s="1125"/>
    </row>
    <row r="3021" spans="9:10" x14ac:dyDescent="0.2">
      <c r="I3021" s="1125"/>
      <c r="J3021" s="1125"/>
    </row>
    <row r="3022" spans="9:10" x14ac:dyDescent="0.2">
      <c r="I3022" s="1125"/>
      <c r="J3022" s="1125"/>
    </row>
    <row r="3023" spans="9:10" x14ac:dyDescent="0.2">
      <c r="I3023" s="1125"/>
      <c r="J3023" s="1125"/>
    </row>
    <row r="3024" spans="9:10" x14ac:dyDescent="0.2">
      <c r="I3024" s="1125"/>
      <c r="J3024" s="1125"/>
    </row>
    <row r="3025" spans="9:10" x14ac:dyDescent="0.2">
      <c r="I3025" s="1125"/>
      <c r="J3025" s="1125"/>
    </row>
    <row r="3026" spans="9:10" x14ac:dyDescent="0.2">
      <c r="I3026" s="1125"/>
      <c r="J3026" s="1125"/>
    </row>
    <row r="3027" spans="9:10" x14ac:dyDescent="0.2">
      <c r="I3027" s="1125"/>
      <c r="J3027" s="1125"/>
    </row>
    <row r="3028" spans="9:10" x14ac:dyDescent="0.2">
      <c r="I3028" s="1125"/>
      <c r="J3028" s="1125"/>
    </row>
    <row r="3029" spans="9:10" x14ac:dyDescent="0.2">
      <c r="I3029" s="1125"/>
      <c r="J3029" s="1125"/>
    </row>
    <row r="3030" spans="9:10" x14ac:dyDescent="0.2">
      <c r="I3030" s="1125"/>
      <c r="J3030" s="1125"/>
    </row>
    <row r="3031" spans="9:10" x14ac:dyDescent="0.2">
      <c r="I3031" s="1125"/>
      <c r="J3031" s="1125"/>
    </row>
    <row r="3032" spans="9:10" x14ac:dyDescent="0.2">
      <c r="I3032" s="1125"/>
      <c r="J3032" s="1125"/>
    </row>
    <row r="3033" spans="9:10" x14ac:dyDescent="0.2">
      <c r="I3033" s="1125"/>
      <c r="J3033" s="1125"/>
    </row>
    <row r="3034" spans="9:10" x14ac:dyDescent="0.2">
      <c r="I3034" s="1125"/>
      <c r="J3034" s="1125"/>
    </row>
    <row r="3035" spans="9:10" x14ac:dyDescent="0.2">
      <c r="I3035" s="1125"/>
      <c r="J3035" s="1125"/>
    </row>
    <row r="3036" spans="9:10" x14ac:dyDescent="0.2">
      <c r="I3036" s="1125"/>
      <c r="J3036" s="1125"/>
    </row>
    <row r="3037" spans="9:10" x14ac:dyDescent="0.2">
      <c r="I3037" s="1125"/>
      <c r="J3037" s="1125"/>
    </row>
    <row r="3038" spans="9:10" x14ac:dyDescent="0.2">
      <c r="I3038" s="1125"/>
      <c r="J3038" s="1125"/>
    </row>
    <row r="3039" spans="9:10" x14ac:dyDescent="0.2">
      <c r="I3039" s="1125"/>
      <c r="J3039" s="1125"/>
    </row>
    <row r="3040" spans="9:10" x14ac:dyDescent="0.2">
      <c r="I3040" s="1125"/>
      <c r="J3040" s="1125"/>
    </row>
    <row r="3041" spans="9:10" x14ac:dyDescent="0.2">
      <c r="I3041" s="1125"/>
      <c r="J3041" s="1125"/>
    </row>
    <row r="3042" spans="9:10" x14ac:dyDescent="0.2">
      <c r="I3042" s="1125"/>
      <c r="J3042" s="1125"/>
    </row>
    <row r="3043" spans="9:10" x14ac:dyDescent="0.2">
      <c r="I3043" s="1125"/>
      <c r="J3043" s="1125"/>
    </row>
    <row r="3044" spans="9:10" x14ac:dyDescent="0.2">
      <c r="I3044" s="1125"/>
      <c r="J3044" s="1125"/>
    </row>
    <row r="3045" spans="9:10" x14ac:dyDescent="0.2">
      <c r="I3045" s="1125"/>
      <c r="J3045" s="1125"/>
    </row>
    <row r="3046" spans="9:10" x14ac:dyDescent="0.2">
      <c r="I3046" s="1125"/>
      <c r="J3046" s="1125"/>
    </row>
    <row r="3047" spans="9:10" x14ac:dyDescent="0.2">
      <c r="I3047" s="1125"/>
      <c r="J3047" s="1125"/>
    </row>
    <row r="3048" spans="9:10" x14ac:dyDescent="0.2">
      <c r="I3048" s="1125"/>
      <c r="J3048" s="1125"/>
    </row>
    <row r="3049" spans="9:10" x14ac:dyDescent="0.2">
      <c r="I3049" s="1125"/>
      <c r="J3049" s="1125"/>
    </row>
    <row r="3050" spans="9:10" x14ac:dyDescent="0.2">
      <c r="I3050" s="1125"/>
      <c r="J3050" s="1125"/>
    </row>
    <row r="3051" spans="9:10" x14ac:dyDescent="0.2">
      <c r="I3051" s="1125"/>
      <c r="J3051" s="1125"/>
    </row>
    <row r="3052" spans="9:10" x14ac:dyDescent="0.2">
      <c r="I3052" s="1125"/>
      <c r="J3052" s="1125"/>
    </row>
    <row r="3053" spans="9:10" x14ac:dyDescent="0.2">
      <c r="I3053" s="1125"/>
      <c r="J3053" s="1125"/>
    </row>
    <row r="3054" spans="9:10" x14ac:dyDescent="0.2">
      <c r="I3054" s="1125"/>
      <c r="J3054" s="1125"/>
    </row>
    <row r="3055" spans="9:10" x14ac:dyDescent="0.2">
      <c r="I3055" s="1125"/>
      <c r="J3055" s="1125"/>
    </row>
    <row r="3056" spans="9:10" x14ac:dyDescent="0.2">
      <c r="I3056" s="1125"/>
      <c r="J3056" s="1125"/>
    </row>
    <row r="3057" spans="9:10" x14ac:dyDescent="0.2">
      <c r="I3057" s="1125"/>
      <c r="J3057" s="1125"/>
    </row>
    <row r="3058" spans="9:10" x14ac:dyDescent="0.2">
      <c r="I3058" s="1125"/>
      <c r="J3058" s="1125"/>
    </row>
    <row r="3059" spans="9:10" x14ac:dyDescent="0.2">
      <c r="I3059" s="1125"/>
      <c r="J3059" s="1125"/>
    </row>
    <row r="3060" spans="9:10" x14ac:dyDescent="0.2">
      <c r="I3060" s="1125"/>
      <c r="J3060" s="1125"/>
    </row>
    <row r="3061" spans="9:10" x14ac:dyDescent="0.2">
      <c r="I3061" s="1125"/>
      <c r="J3061" s="1125"/>
    </row>
    <row r="3062" spans="9:10" x14ac:dyDescent="0.2">
      <c r="I3062" s="1125"/>
      <c r="J3062" s="1125"/>
    </row>
    <row r="3063" spans="9:10" x14ac:dyDescent="0.2">
      <c r="I3063" s="1125"/>
      <c r="J3063" s="1125"/>
    </row>
    <row r="3064" spans="9:10" x14ac:dyDescent="0.2">
      <c r="I3064" s="1125"/>
      <c r="J3064" s="1125"/>
    </row>
    <row r="3065" spans="9:10" x14ac:dyDescent="0.2">
      <c r="I3065" s="1125"/>
      <c r="J3065" s="1125"/>
    </row>
    <row r="3066" spans="9:10" x14ac:dyDescent="0.2">
      <c r="I3066" s="1125"/>
      <c r="J3066" s="1125"/>
    </row>
    <row r="3067" spans="9:10" x14ac:dyDescent="0.2">
      <c r="I3067" s="1125"/>
      <c r="J3067" s="1125"/>
    </row>
    <row r="3068" spans="9:10" x14ac:dyDescent="0.2">
      <c r="I3068" s="1125"/>
      <c r="J3068" s="1125"/>
    </row>
    <row r="3069" spans="9:10" x14ac:dyDescent="0.2">
      <c r="I3069" s="1125"/>
      <c r="J3069" s="1125"/>
    </row>
    <row r="3070" spans="9:10" x14ac:dyDescent="0.2">
      <c r="I3070" s="1125"/>
      <c r="J3070" s="1125"/>
    </row>
    <row r="3071" spans="9:10" x14ac:dyDescent="0.2">
      <c r="I3071" s="1125"/>
      <c r="J3071" s="1125"/>
    </row>
    <row r="3072" spans="9:10" x14ac:dyDescent="0.2">
      <c r="I3072" s="1125"/>
      <c r="J3072" s="1125"/>
    </row>
    <row r="3073" spans="9:10" x14ac:dyDescent="0.2">
      <c r="I3073" s="1125"/>
      <c r="J3073" s="1125"/>
    </row>
    <row r="3074" spans="9:10" x14ac:dyDescent="0.2">
      <c r="I3074" s="1125"/>
      <c r="J3074" s="1125"/>
    </row>
    <row r="3075" spans="9:10" x14ac:dyDescent="0.2">
      <c r="I3075" s="1125"/>
      <c r="J3075" s="1125"/>
    </row>
    <row r="3076" spans="9:10" x14ac:dyDescent="0.2">
      <c r="I3076" s="1125"/>
      <c r="J3076" s="1125"/>
    </row>
    <row r="3077" spans="9:10" x14ac:dyDescent="0.2">
      <c r="I3077" s="1125"/>
      <c r="J3077" s="1125"/>
    </row>
    <row r="3078" spans="9:10" x14ac:dyDescent="0.2">
      <c r="I3078" s="1125"/>
      <c r="J3078" s="1125"/>
    </row>
    <row r="3079" spans="9:10" x14ac:dyDescent="0.2">
      <c r="I3079" s="1125"/>
      <c r="J3079" s="1125"/>
    </row>
    <row r="3080" spans="9:10" x14ac:dyDescent="0.2">
      <c r="I3080" s="1125"/>
      <c r="J3080" s="1125"/>
    </row>
    <row r="3081" spans="9:10" x14ac:dyDescent="0.2">
      <c r="I3081" s="1125"/>
      <c r="J3081" s="1125"/>
    </row>
    <row r="3082" spans="9:10" x14ac:dyDescent="0.2">
      <c r="I3082" s="1125"/>
      <c r="J3082" s="1125"/>
    </row>
    <row r="3083" spans="9:10" x14ac:dyDescent="0.2">
      <c r="I3083" s="1125"/>
      <c r="J3083" s="1125"/>
    </row>
    <row r="3084" spans="9:10" x14ac:dyDescent="0.2">
      <c r="I3084" s="1125"/>
      <c r="J3084" s="1125"/>
    </row>
    <row r="3085" spans="9:10" x14ac:dyDescent="0.2">
      <c r="I3085" s="1125"/>
      <c r="J3085" s="1125"/>
    </row>
    <row r="3086" spans="9:10" x14ac:dyDescent="0.2">
      <c r="I3086" s="1125"/>
      <c r="J3086" s="1125"/>
    </row>
    <row r="3087" spans="9:10" x14ac:dyDescent="0.2">
      <c r="I3087" s="1125"/>
      <c r="J3087" s="1125"/>
    </row>
    <row r="3088" spans="9:10" x14ac:dyDescent="0.2">
      <c r="I3088" s="1125"/>
      <c r="J3088" s="1125"/>
    </row>
    <row r="3089" spans="9:10" x14ac:dyDescent="0.2">
      <c r="I3089" s="1125"/>
      <c r="J3089" s="1125"/>
    </row>
    <row r="3090" spans="9:10" x14ac:dyDescent="0.2">
      <c r="I3090" s="1125"/>
      <c r="J3090" s="1125"/>
    </row>
    <row r="3091" spans="9:10" x14ac:dyDescent="0.2">
      <c r="I3091" s="1125"/>
      <c r="J3091" s="1125"/>
    </row>
    <row r="3092" spans="9:10" x14ac:dyDescent="0.2">
      <c r="I3092" s="1125"/>
      <c r="J3092" s="1125"/>
    </row>
    <row r="3093" spans="9:10" x14ac:dyDescent="0.2">
      <c r="I3093" s="1125"/>
      <c r="J3093" s="1125"/>
    </row>
    <row r="3094" spans="9:10" x14ac:dyDescent="0.2">
      <c r="I3094" s="1125"/>
      <c r="J3094" s="1125"/>
    </row>
    <row r="3095" spans="9:10" x14ac:dyDescent="0.2">
      <c r="I3095" s="1125"/>
      <c r="J3095" s="1125"/>
    </row>
    <row r="3096" spans="9:10" x14ac:dyDescent="0.2">
      <c r="I3096" s="1125"/>
      <c r="J3096" s="1125"/>
    </row>
    <row r="3097" spans="9:10" x14ac:dyDescent="0.2">
      <c r="I3097" s="1125"/>
      <c r="J3097" s="1125"/>
    </row>
    <row r="3098" spans="9:10" x14ac:dyDescent="0.2">
      <c r="I3098" s="1125"/>
      <c r="J3098" s="1125"/>
    </row>
    <row r="3099" spans="9:10" x14ac:dyDescent="0.2">
      <c r="I3099" s="1125"/>
      <c r="J3099" s="1125"/>
    </row>
    <row r="3100" spans="9:10" x14ac:dyDescent="0.2">
      <c r="I3100" s="1125"/>
      <c r="J3100" s="1125"/>
    </row>
    <row r="3101" spans="9:10" x14ac:dyDescent="0.2">
      <c r="I3101" s="1125"/>
      <c r="J3101" s="1125"/>
    </row>
    <row r="3102" spans="9:10" x14ac:dyDescent="0.2">
      <c r="I3102" s="1125"/>
      <c r="J3102" s="1125"/>
    </row>
    <row r="3103" spans="9:10" x14ac:dyDescent="0.2">
      <c r="I3103" s="1125"/>
      <c r="J3103" s="1125"/>
    </row>
    <row r="3104" spans="9:10" x14ac:dyDescent="0.2">
      <c r="I3104" s="1125"/>
      <c r="J3104" s="1125"/>
    </row>
    <row r="3105" spans="9:10" x14ac:dyDescent="0.2">
      <c r="I3105" s="1125"/>
      <c r="J3105" s="1125"/>
    </row>
    <row r="3106" spans="9:10" x14ac:dyDescent="0.2">
      <c r="I3106" s="1125"/>
      <c r="J3106" s="1125"/>
    </row>
    <row r="3107" spans="9:10" x14ac:dyDescent="0.2">
      <c r="I3107" s="1125"/>
      <c r="J3107" s="1125"/>
    </row>
    <row r="3108" spans="9:10" x14ac:dyDescent="0.2">
      <c r="I3108" s="1125"/>
      <c r="J3108" s="1125"/>
    </row>
    <row r="3109" spans="9:10" x14ac:dyDescent="0.2">
      <c r="I3109" s="1125"/>
      <c r="J3109" s="1125"/>
    </row>
    <row r="3110" spans="9:10" x14ac:dyDescent="0.2">
      <c r="I3110" s="1125"/>
      <c r="J3110" s="1125"/>
    </row>
    <row r="3111" spans="9:10" x14ac:dyDescent="0.2">
      <c r="I3111" s="1125"/>
      <c r="J3111" s="1125"/>
    </row>
    <row r="3112" spans="9:10" x14ac:dyDescent="0.2">
      <c r="I3112" s="1125"/>
      <c r="J3112" s="1125"/>
    </row>
    <row r="3113" spans="9:10" x14ac:dyDescent="0.2">
      <c r="I3113" s="1125"/>
      <c r="J3113" s="1125"/>
    </row>
    <row r="3114" spans="9:10" x14ac:dyDescent="0.2">
      <c r="I3114" s="1125"/>
      <c r="J3114" s="1125"/>
    </row>
    <row r="3115" spans="9:10" x14ac:dyDescent="0.2">
      <c r="I3115" s="1125"/>
      <c r="J3115" s="1125"/>
    </row>
    <row r="3116" spans="9:10" x14ac:dyDescent="0.2">
      <c r="I3116" s="1125"/>
      <c r="J3116" s="1125"/>
    </row>
    <row r="3117" spans="9:10" x14ac:dyDescent="0.2">
      <c r="I3117" s="1125"/>
      <c r="J3117" s="1125"/>
    </row>
    <row r="3118" spans="9:10" x14ac:dyDescent="0.2">
      <c r="I3118" s="1125"/>
      <c r="J3118" s="1125"/>
    </row>
    <row r="3119" spans="9:10" x14ac:dyDescent="0.2">
      <c r="I3119" s="1125"/>
      <c r="J3119" s="1125"/>
    </row>
    <row r="3120" spans="9:10" x14ac:dyDescent="0.2">
      <c r="I3120" s="1125"/>
      <c r="J3120" s="1125"/>
    </row>
    <row r="3121" spans="9:10" x14ac:dyDescent="0.2">
      <c r="I3121" s="1125"/>
      <c r="J3121" s="1125"/>
    </row>
    <row r="3122" spans="9:10" x14ac:dyDescent="0.2">
      <c r="I3122" s="1125"/>
      <c r="J3122" s="1125"/>
    </row>
    <row r="3123" spans="9:10" x14ac:dyDescent="0.2">
      <c r="I3123" s="1125"/>
      <c r="J3123" s="1125"/>
    </row>
    <row r="3124" spans="9:10" x14ac:dyDescent="0.2">
      <c r="I3124" s="1125"/>
      <c r="J3124" s="1125"/>
    </row>
    <row r="3125" spans="9:10" x14ac:dyDescent="0.2">
      <c r="I3125" s="1125"/>
      <c r="J3125" s="1125"/>
    </row>
    <row r="3126" spans="9:10" x14ac:dyDescent="0.2">
      <c r="I3126" s="1125"/>
      <c r="J3126" s="1125"/>
    </row>
    <row r="3127" spans="9:10" x14ac:dyDescent="0.2">
      <c r="I3127" s="1125"/>
      <c r="J3127" s="1125"/>
    </row>
    <row r="3128" spans="9:10" x14ac:dyDescent="0.2">
      <c r="I3128" s="1125"/>
      <c r="J3128" s="1125"/>
    </row>
    <row r="3129" spans="9:10" x14ac:dyDescent="0.2">
      <c r="I3129" s="1125"/>
      <c r="J3129" s="1125"/>
    </row>
    <row r="3130" spans="9:10" x14ac:dyDescent="0.2">
      <c r="I3130" s="1125"/>
      <c r="J3130" s="1125"/>
    </row>
    <row r="3131" spans="9:10" x14ac:dyDescent="0.2">
      <c r="I3131" s="1125"/>
      <c r="J3131" s="1125"/>
    </row>
    <row r="3132" spans="9:10" x14ac:dyDescent="0.2">
      <c r="I3132" s="1125"/>
      <c r="J3132" s="1125"/>
    </row>
    <row r="3133" spans="9:10" x14ac:dyDescent="0.2">
      <c r="I3133" s="1125"/>
      <c r="J3133" s="1125"/>
    </row>
    <row r="3134" spans="9:10" x14ac:dyDescent="0.2">
      <c r="I3134" s="1125"/>
      <c r="J3134" s="1125"/>
    </row>
    <row r="3135" spans="9:10" x14ac:dyDescent="0.2">
      <c r="I3135" s="1125"/>
      <c r="J3135" s="1125"/>
    </row>
    <row r="3136" spans="9:10" x14ac:dyDescent="0.2">
      <c r="I3136" s="1125"/>
      <c r="J3136" s="1125"/>
    </row>
    <row r="3137" spans="9:10" x14ac:dyDescent="0.2">
      <c r="I3137" s="1125"/>
      <c r="J3137" s="1125"/>
    </row>
    <row r="3138" spans="9:10" x14ac:dyDescent="0.2">
      <c r="I3138" s="1125"/>
      <c r="J3138" s="1125"/>
    </row>
    <row r="3139" spans="9:10" x14ac:dyDescent="0.2">
      <c r="I3139" s="1125"/>
      <c r="J3139" s="1125"/>
    </row>
    <row r="3140" spans="9:10" x14ac:dyDescent="0.2">
      <c r="I3140" s="1125"/>
      <c r="J3140" s="1125"/>
    </row>
    <row r="3141" spans="9:10" x14ac:dyDescent="0.2">
      <c r="I3141" s="1125"/>
      <c r="J3141" s="1125"/>
    </row>
    <row r="3142" spans="9:10" x14ac:dyDescent="0.2">
      <c r="I3142" s="1125"/>
      <c r="J3142" s="1125"/>
    </row>
    <row r="3143" spans="9:10" x14ac:dyDescent="0.2">
      <c r="I3143" s="1125"/>
      <c r="J3143" s="1125"/>
    </row>
    <row r="3144" spans="9:10" x14ac:dyDescent="0.2">
      <c r="I3144" s="1125"/>
      <c r="J3144" s="1125"/>
    </row>
    <row r="3145" spans="9:10" x14ac:dyDescent="0.2">
      <c r="I3145" s="1125"/>
      <c r="J3145" s="1125"/>
    </row>
    <row r="3146" spans="9:10" x14ac:dyDescent="0.2">
      <c r="I3146" s="1125"/>
      <c r="J3146" s="1125"/>
    </row>
    <row r="3147" spans="9:10" x14ac:dyDescent="0.2">
      <c r="I3147" s="1125"/>
      <c r="J3147" s="1125"/>
    </row>
    <row r="3148" spans="9:10" x14ac:dyDescent="0.2">
      <c r="I3148" s="1125"/>
      <c r="J3148" s="1125"/>
    </row>
    <row r="3149" spans="9:10" x14ac:dyDescent="0.2">
      <c r="I3149" s="1125"/>
      <c r="J3149" s="1125"/>
    </row>
    <row r="3150" spans="9:10" x14ac:dyDescent="0.2">
      <c r="I3150" s="1125"/>
      <c r="J3150" s="1125"/>
    </row>
    <row r="3151" spans="9:10" x14ac:dyDescent="0.2">
      <c r="I3151" s="1125"/>
      <c r="J3151" s="1125"/>
    </row>
    <row r="3152" spans="9:10" x14ac:dyDescent="0.2">
      <c r="I3152" s="1125"/>
      <c r="J3152" s="1125"/>
    </row>
    <row r="3153" spans="9:10" x14ac:dyDescent="0.2">
      <c r="I3153" s="1125"/>
      <c r="J3153" s="1125"/>
    </row>
    <row r="3154" spans="9:10" x14ac:dyDescent="0.2">
      <c r="I3154" s="1125"/>
      <c r="J3154" s="1125"/>
    </row>
    <row r="3155" spans="9:10" x14ac:dyDescent="0.2">
      <c r="I3155" s="1125"/>
      <c r="J3155" s="1125"/>
    </row>
    <row r="3156" spans="9:10" x14ac:dyDescent="0.2">
      <c r="I3156" s="1125"/>
      <c r="J3156" s="1125"/>
    </row>
    <row r="3157" spans="9:10" x14ac:dyDescent="0.2">
      <c r="I3157" s="1125"/>
      <c r="J3157" s="1125"/>
    </row>
    <row r="3158" spans="9:10" x14ac:dyDescent="0.2">
      <c r="I3158" s="1125"/>
      <c r="J3158" s="1125"/>
    </row>
    <row r="3159" spans="9:10" x14ac:dyDescent="0.2">
      <c r="I3159" s="1125"/>
      <c r="J3159" s="1125"/>
    </row>
    <row r="3160" spans="9:10" x14ac:dyDescent="0.2">
      <c r="I3160" s="1125"/>
      <c r="J3160" s="1125"/>
    </row>
    <row r="3161" spans="9:10" x14ac:dyDescent="0.2">
      <c r="I3161" s="1125"/>
      <c r="J3161" s="1125"/>
    </row>
    <row r="3162" spans="9:10" x14ac:dyDescent="0.2">
      <c r="I3162" s="1125"/>
      <c r="J3162" s="1125"/>
    </row>
    <row r="3163" spans="9:10" x14ac:dyDescent="0.2">
      <c r="I3163" s="1125"/>
      <c r="J3163" s="1125"/>
    </row>
    <row r="3164" spans="9:10" x14ac:dyDescent="0.2">
      <c r="I3164" s="1125"/>
      <c r="J3164" s="1125"/>
    </row>
    <row r="3165" spans="9:10" x14ac:dyDescent="0.2">
      <c r="I3165" s="1125"/>
      <c r="J3165" s="1125"/>
    </row>
    <row r="3166" spans="9:10" x14ac:dyDescent="0.2">
      <c r="I3166" s="1125"/>
      <c r="J3166" s="1125"/>
    </row>
    <row r="3167" spans="9:10" x14ac:dyDescent="0.2">
      <c r="I3167" s="1125"/>
      <c r="J3167" s="1125"/>
    </row>
    <row r="3168" spans="9:10" x14ac:dyDescent="0.2">
      <c r="I3168" s="1125"/>
      <c r="J3168" s="1125"/>
    </row>
    <row r="3169" spans="9:10" x14ac:dyDescent="0.2">
      <c r="I3169" s="1125"/>
      <c r="J3169" s="1125"/>
    </row>
    <row r="3170" spans="9:10" x14ac:dyDescent="0.2">
      <c r="I3170" s="1125"/>
      <c r="J3170" s="1125"/>
    </row>
    <row r="3171" spans="9:10" x14ac:dyDescent="0.2">
      <c r="I3171" s="1125"/>
      <c r="J3171" s="1125"/>
    </row>
    <row r="3172" spans="9:10" x14ac:dyDescent="0.2">
      <c r="I3172" s="1125"/>
      <c r="J3172" s="1125"/>
    </row>
    <row r="3173" spans="9:10" x14ac:dyDescent="0.2">
      <c r="I3173" s="1125"/>
      <c r="J3173" s="1125"/>
    </row>
    <row r="3174" spans="9:10" x14ac:dyDescent="0.2">
      <c r="I3174" s="1125"/>
      <c r="J3174" s="1125"/>
    </row>
    <row r="3175" spans="9:10" x14ac:dyDescent="0.2">
      <c r="I3175" s="1125"/>
      <c r="J3175" s="1125"/>
    </row>
    <row r="3176" spans="9:10" x14ac:dyDescent="0.2">
      <c r="I3176" s="1125"/>
      <c r="J3176" s="1125"/>
    </row>
    <row r="3177" spans="9:10" x14ac:dyDescent="0.2">
      <c r="I3177" s="1125"/>
      <c r="J3177" s="1125"/>
    </row>
    <row r="3178" spans="9:10" x14ac:dyDescent="0.2">
      <c r="I3178" s="1125"/>
      <c r="J3178" s="1125"/>
    </row>
    <row r="3179" spans="9:10" x14ac:dyDescent="0.2">
      <c r="I3179" s="1125"/>
      <c r="J3179" s="1125"/>
    </row>
    <row r="3180" spans="9:10" x14ac:dyDescent="0.2">
      <c r="I3180" s="1125"/>
      <c r="J3180" s="1125"/>
    </row>
    <row r="3181" spans="9:10" x14ac:dyDescent="0.2">
      <c r="I3181" s="1125"/>
      <c r="J3181" s="1125"/>
    </row>
    <row r="3182" spans="9:10" x14ac:dyDescent="0.2">
      <c r="I3182" s="1125"/>
      <c r="J3182" s="1125"/>
    </row>
    <row r="3183" spans="9:10" x14ac:dyDescent="0.2">
      <c r="I3183" s="1125"/>
      <c r="J3183" s="1125"/>
    </row>
    <row r="3184" spans="9:10" x14ac:dyDescent="0.2">
      <c r="I3184" s="1125"/>
      <c r="J3184" s="1125"/>
    </row>
    <row r="3185" spans="9:10" x14ac:dyDescent="0.2">
      <c r="I3185" s="1125"/>
      <c r="J3185" s="1125"/>
    </row>
    <row r="3186" spans="9:10" x14ac:dyDescent="0.2">
      <c r="I3186" s="1125"/>
      <c r="J3186" s="1125"/>
    </row>
    <row r="3187" spans="9:10" x14ac:dyDescent="0.2">
      <c r="I3187" s="1125"/>
      <c r="J3187" s="1125"/>
    </row>
    <row r="3188" spans="9:10" x14ac:dyDescent="0.2">
      <c r="I3188" s="1125"/>
      <c r="J3188" s="1125"/>
    </row>
    <row r="3189" spans="9:10" x14ac:dyDescent="0.2">
      <c r="I3189" s="1125"/>
      <c r="J3189" s="1125"/>
    </row>
    <row r="3190" spans="9:10" x14ac:dyDescent="0.2">
      <c r="I3190" s="1125"/>
      <c r="J3190" s="1125"/>
    </row>
    <row r="3191" spans="9:10" x14ac:dyDescent="0.2">
      <c r="I3191" s="1125"/>
      <c r="J3191" s="1125"/>
    </row>
    <row r="3192" spans="9:10" x14ac:dyDescent="0.2">
      <c r="I3192" s="1125"/>
      <c r="J3192" s="1125"/>
    </row>
    <row r="3193" spans="9:10" x14ac:dyDescent="0.2">
      <c r="I3193" s="1125"/>
      <c r="J3193" s="1125"/>
    </row>
    <row r="3194" spans="9:10" x14ac:dyDescent="0.2">
      <c r="I3194" s="1125"/>
      <c r="J3194" s="1125"/>
    </row>
    <row r="3195" spans="9:10" x14ac:dyDescent="0.2">
      <c r="I3195" s="1125"/>
      <c r="J3195" s="1125"/>
    </row>
    <row r="3196" spans="9:10" x14ac:dyDescent="0.2">
      <c r="I3196" s="1125"/>
      <c r="J3196" s="1125"/>
    </row>
    <row r="3197" spans="9:10" x14ac:dyDescent="0.2">
      <c r="I3197" s="1125"/>
      <c r="J3197" s="1125"/>
    </row>
    <row r="3198" spans="9:10" x14ac:dyDescent="0.2">
      <c r="I3198" s="1125"/>
      <c r="J3198" s="1125"/>
    </row>
    <row r="3199" spans="9:10" x14ac:dyDescent="0.2">
      <c r="I3199" s="1125"/>
      <c r="J3199" s="1125"/>
    </row>
    <row r="3200" spans="9:10" x14ac:dyDescent="0.2">
      <c r="I3200" s="1125"/>
      <c r="J3200" s="1125"/>
    </row>
    <row r="3201" spans="9:10" x14ac:dyDescent="0.2">
      <c r="I3201" s="1125"/>
      <c r="J3201" s="1125"/>
    </row>
    <row r="3202" spans="9:10" x14ac:dyDescent="0.2">
      <c r="I3202" s="1125"/>
      <c r="J3202" s="1125"/>
    </row>
    <row r="3203" spans="9:10" x14ac:dyDescent="0.2">
      <c r="I3203" s="1125"/>
      <c r="J3203" s="1125"/>
    </row>
    <row r="3204" spans="9:10" x14ac:dyDescent="0.2">
      <c r="I3204" s="1125"/>
      <c r="J3204" s="1125"/>
    </row>
    <row r="3205" spans="9:10" x14ac:dyDescent="0.2">
      <c r="I3205" s="1125"/>
      <c r="J3205" s="1125"/>
    </row>
    <row r="3206" spans="9:10" x14ac:dyDescent="0.2">
      <c r="I3206" s="1125"/>
      <c r="J3206" s="1125"/>
    </row>
    <row r="3207" spans="9:10" x14ac:dyDescent="0.2">
      <c r="I3207" s="1125"/>
      <c r="J3207" s="1125"/>
    </row>
    <row r="3208" spans="9:10" x14ac:dyDescent="0.2">
      <c r="I3208" s="1125"/>
      <c r="J3208" s="1125"/>
    </row>
    <row r="3209" spans="9:10" x14ac:dyDescent="0.2">
      <c r="I3209" s="1125"/>
      <c r="J3209" s="1125"/>
    </row>
    <row r="3210" spans="9:10" x14ac:dyDescent="0.2">
      <c r="I3210" s="1125"/>
      <c r="J3210" s="1125"/>
    </row>
    <row r="3211" spans="9:10" x14ac:dyDescent="0.2">
      <c r="I3211" s="1125"/>
      <c r="J3211" s="1125"/>
    </row>
    <row r="3212" spans="9:10" x14ac:dyDescent="0.2">
      <c r="I3212" s="1125"/>
      <c r="J3212" s="1125"/>
    </row>
    <row r="3213" spans="9:10" x14ac:dyDescent="0.2">
      <c r="I3213" s="1125"/>
      <c r="J3213" s="1125"/>
    </row>
    <row r="3214" spans="9:10" x14ac:dyDescent="0.2">
      <c r="I3214" s="1125"/>
      <c r="J3214" s="1125"/>
    </row>
    <row r="3215" spans="9:10" x14ac:dyDescent="0.2">
      <c r="I3215" s="1125"/>
      <c r="J3215" s="1125"/>
    </row>
    <row r="3216" spans="9:10" x14ac:dyDescent="0.2">
      <c r="I3216" s="1125"/>
      <c r="J3216" s="1125"/>
    </row>
    <row r="3217" spans="9:10" x14ac:dyDescent="0.2">
      <c r="I3217" s="1125"/>
      <c r="J3217" s="1125"/>
    </row>
    <row r="3218" spans="9:10" x14ac:dyDescent="0.2">
      <c r="I3218" s="1125"/>
      <c r="J3218" s="1125"/>
    </row>
    <row r="3219" spans="9:10" x14ac:dyDescent="0.2">
      <c r="I3219" s="1125"/>
      <c r="J3219" s="1125"/>
    </row>
    <row r="3220" spans="9:10" x14ac:dyDescent="0.2">
      <c r="I3220" s="1125"/>
      <c r="J3220" s="1125"/>
    </row>
    <row r="3221" spans="9:10" x14ac:dyDescent="0.2">
      <c r="I3221" s="1125"/>
      <c r="J3221" s="1125"/>
    </row>
    <row r="3222" spans="9:10" x14ac:dyDescent="0.2">
      <c r="I3222" s="1125"/>
      <c r="J3222" s="1125"/>
    </row>
    <row r="3223" spans="9:10" x14ac:dyDescent="0.2">
      <c r="I3223" s="1125"/>
      <c r="J3223" s="1125"/>
    </row>
    <row r="3224" spans="9:10" x14ac:dyDescent="0.2">
      <c r="I3224" s="1125"/>
      <c r="J3224" s="1125"/>
    </row>
    <row r="3225" spans="9:10" x14ac:dyDescent="0.2">
      <c r="I3225" s="1125"/>
      <c r="J3225" s="1125"/>
    </row>
    <row r="3226" spans="9:10" x14ac:dyDescent="0.2">
      <c r="I3226" s="1125"/>
      <c r="J3226" s="1125"/>
    </row>
    <row r="3227" spans="9:10" x14ac:dyDescent="0.2">
      <c r="I3227" s="1125"/>
      <c r="J3227" s="1125"/>
    </row>
    <row r="3228" spans="9:10" x14ac:dyDescent="0.2">
      <c r="I3228" s="1125"/>
      <c r="J3228" s="1125"/>
    </row>
    <row r="3229" spans="9:10" x14ac:dyDescent="0.2">
      <c r="I3229" s="1125"/>
      <c r="J3229" s="1125"/>
    </row>
    <row r="3230" spans="9:10" x14ac:dyDescent="0.2">
      <c r="I3230" s="1125"/>
      <c r="J3230" s="1125"/>
    </row>
    <row r="3231" spans="9:10" x14ac:dyDescent="0.2">
      <c r="I3231" s="1125"/>
      <c r="J3231" s="1125"/>
    </row>
    <row r="3232" spans="9:10" x14ac:dyDescent="0.2">
      <c r="I3232" s="1125"/>
      <c r="J3232" s="1125"/>
    </row>
    <row r="3233" spans="9:10" x14ac:dyDescent="0.2">
      <c r="I3233" s="1125"/>
      <c r="J3233" s="1125"/>
    </row>
    <row r="3234" spans="9:10" x14ac:dyDescent="0.2">
      <c r="I3234" s="1125"/>
      <c r="J3234" s="1125"/>
    </row>
    <row r="3235" spans="9:10" x14ac:dyDescent="0.2">
      <c r="I3235" s="1125"/>
      <c r="J3235" s="1125"/>
    </row>
    <row r="3236" spans="9:10" x14ac:dyDescent="0.2">
      <c r="I3236" s="1125"/>
      <c r="J3236" s="1125"/>
    </row>
    <row r="3237" spans="9:10" x14ac:dyDescent="0.2">
      <c r="I3237" s="1125"/>
      <c r="J3237" s="1125"/>
    </row>
    <row r="3238" spans="9:10" x14ac:dyDescent="0.2">
      <c r="I3238" s="1125"/>
      <c r="J3238" s="1125"/>
    </row>
    <row r="3239" spans="9:10" x14ac:dyDescent="0.2">
      <c r="I3239" s="1125"/>
      <c r="J3239" s="1125"/>
    </row>
    <row r="3240" spans="9:10" x14ac:dyDescent="0.2">
      <c r="I3240" s="1125"/>
      <c r="J3240" s="1125"/>
    </row>
    <row r="3241" spans="9:10" x14ac:dyDescent="0.2">
      <c r="I3241" s="1125"/>
      <c r="J3241" s="1125"/>
    </row>
    <row r="3242" spans="9:10" x14ac:dyDescent="0.2">
      <c r="I3242" s="1125"/>
      <c r="J3242" s="1125"/>
    </row>
    <row r="3243" spans="9:10" x14ac:dyDescent="0.2">
      <c r="I3243" s="1125"/>
      <c r="J3243" s="1125"/>
    </row>
    <row r="3244" spans="9:10" x14ac:dyDescent="0.2">
      <c r="I3244" s="1125"/>
      <c r="J3244" s="1125"/>
    </row>
    <row r="3245" spans="9:10" x14ac:dyDescent="0.2">
      <c r="I3245" s="1125"/>
      <c r="J3245" s="1125"/>
    </row>
    <row r="3246" spans="9:10" x14ac:dyDescent="0.2">
      <c r="I3246" s="1125"/>
      <c r="J3246" s="1125"/>
    </row>
    <row r="3247" spans="9:10" x14ac:dyDescent="0.2">
      <c r="I3247" s="1125"/>
      <c r="J3247" s="1125"/>
    </row>
    <row r="3248" spans="9:10" x14ac:dyDescent="0.2">
      <c r="I3248" s="1125"/>
      <c r="J3248" s="1125"/>
    </row>
    <row r="3249" spans="9:10" x14ac:dyDescent="0.2">
      <c r="I3249" s="1125"/>
      <c r="J3249" s="1125"/>
    </row>
    <row r="3250" spans="9:10" x14ac:dyDescent="0.2">
      <c r="I3250" s="1125"/>
      <c r="J3250" s="1125"/>
    </row>
    <row r="3251" spans="9:10" x14ac:dyDescent="0.2">
      <c r="I3251" s="1125"/>
      <c r="J3251" s="1125"/>
    </row>
    <row r="3252" spans="9:10" x14ac:dyDescent="0.2">
      <c r="I3252" s="1125"/>
      <c r="J3252" s="1125"/>
    </row>
    <row r="3253" spans="9:10" x14ac:dyDescent="0.2">
      <c r="I3253" s="1125"/>
      <c r="J3253" s="1125"/>
    </row>
    <row r="3254" spans="9:10" x14ac:dyDescent="0.2">
      <c r="I3254" s="1125"/>
      <c r="J3254" s="1125"/>
    </row>
    <row r="3255" spans="9:10" x14ac:dyDescent="0.2">
      <c r="I3255" s="1125"/>
      <c r="J3255" s="1125"/>
    </row>
    <row r="3256" spans="9:10" x14ac:dyDescent="0.2">
      <c r="I3256" s="1125"/>
      <c r="J3256" s="1125"/>
    </row>
    <row r="3257" spans="9:10" x14ac:dyDescent="0.2">
      <c r="I3257" s="1125"/>
      <c r="J3257" s="1125"/>
    </row>
    <row r="3258" spans="9:10" x14ac:dyDescent="0.2">
      <c r="I3258" s="1125"/>
      <c r="J3258" s="1125"/>
    </row>
    <row r="3259" spans="9:10" x14ac:dyDescent="0.2">
      <c r="I3259" s="1125"/>
      <c r="J3259" s="1125"/>
    </row>
    <row r="3260" spans="9:10" x14ac:dyDescent="0.2">
      <c r="I3260" s="1125"/>
      <c r="J3260" s="1125"/>
    </row>
    <row r="3261" spans="9:10" x14ac:dyDescent="0.2">
      <c r="I3261" s="1125"/>
      <c r="J3261" s="1125"/>
    </row>
    <row r="3262" spans="9:10" x14ac:dyDescent="0.2">
      <c r="I3262" s="1125"/>
      <c r="J3262" s="1125"/>
    </row>
    <row r="3263" spans="9:10" x14ac:dyDescent="0.2">
      <c r="I3263" s="1125"/>
      <c r="J3263" s="1125"/>
    </row>
    <row r="3264" spans="9:10" x14ac:dyDescent="0.2">
      <c r="I3264" s="1125"/>
      <c r="J3264" s="1125"/>
    </row>
    <row r="3265" spans="9:10" x14ac:dyDescent="0.2">
      <c r="I3265" s="1125"/>
      <c r="J3265" s="1125"/>
    </row>
    <row r="3266" spans="9:10" x14ac:dyDescent="0.2">
      <c r="I3266" s="1125"/>
      <c r="J3266" s="1125"/>
    </row>
    <row r="3267" spans="9:10" x14ac:dyDescent="0.2">
      <c r="I3267" s="1125"/>
      <c r="J3267" s="1125"/>
    </row>
    <row r="3268" spans="9:10" x14ac:dyDescent="0.2">
      <c r="I3268" s="1125"/>
      <c r="J3268" s="1125"/>
    </row>
    <row r="3269" spans="9:10" x14ac:dyDescent="0.2">
      <c r="I3269" s="1125"/>
      <c r="J3269" s="1125"/>
    </row>
    <row r="3270" spans="9:10" x14ac:dyDescent="0.2">
      <c r="I3270" s="1125"/>
      <c r="J3270" s="1125"/>
    </row>
    <row r="3271" spans="9:10" x14ac:dyDescent="0.2">
      <c r="I3271" s="1125"/>
      <c r="J3271" s="1125"/>
    </row>
    <row r="3272" spans="9:10" x14ac:dyDescent="0.2">
      <c r="I3272" s="1125"/>
      <c r="J3272" s="1125"/>
    </row>
    <row r="3273" spans="9:10" x14ac:dyDescent="0.2">
      <c r="I3273" s="1125"/>
      <c r="J3273" s="1125"/>
    </row>
    <row r="3274" spans="9:10" x14ac:dyDescent="0.2">
      <c r="I3274" s="1125"/>
      <c r="J3274" s="1125"/>
    </row>
    <row r="3275" spans="9:10" x14ac:dyDescent="0.2">
      <c r="I3275" s="1125"/>
      <c r="J3275" s="1125"/>
    </row>
    <row r="3276" spans="9:10" x14ac:dyDescent="0.2">
      <c r="I3276" s="1125"/>
      <c r="J3276" s="1125"/>
    </row>
    <row r="3277" spans="9:10" x14ac:dyDescent="0.2">
      <c r="I3277" s="1125"/>
      <c r="J3277" s="1125"/>
    </row>
    <row r="3278" spans="9:10" x14ac:dyDescent="0.2">
      <c r="I3278" s="1125"/>
      <c r="J3278" s="1125"/>
    </row>
    <row r="3279" spans="9:10" x14ac:dyDescent="0.2">
      <c r="I3279" s="1125"/>
      <c r="J3279" s="1125"/>
    </row>
    <row r="3280" spans="9:10" x14ac:dyDescent="0.2">
      <c r="I3280" s="1125"/>
      <c r="J3280" s="1125"/>
    </row>
    <row r="3281" spans="9:10" x14ac:dyDescent="0.2">
      <c r="I3281" s="1125"/>
      <c r="J3281" s="1125"/>
    </row>
    <row r="3282" spans="9:10" x14ac:dyDescent="0.2">
      <c r="I3282" s="1125"/>
      <c r="J3282" s="1125"/>
    </row>
    <row r="3283" spans="9:10" x14ac:dyDescent="0.2">
      <c r="I3283" s="1125"/>
      <c r="J3283" s="1125"/>
    </row>
    <row r="3284" spans="9:10" x14ac:dyDescent="0.2">
      <c r="I3284" s="1125"/>
      <c r="J3284" s="1125"/>
    </row>
    <row r="3285" spans="9:10" x14ac:dyDescent="0.2">
      <c r="I3285" s="1125"/>
      <c r="J3285" s="1125"/>
    </row>
    <row r="3286" spans="9:10" x14ac:dyDescent="0.2">
      <c r="I3286" s="1125"/>
      <c r="J3286" s="1125"/>
    </row>
    <row r="3287" spans="9:10" x14ac:dyDescent="0.2">
      <c r="I3287" s="1125"/>
      <c r="J3287" s="1125"/>
    </row>
    <row r="3288" spans="9:10" x14ac:dyDescent="0.2">
      <c r="I3288" s="1125"/>
      <c r="J3288" s="1125"/>
    </row>
    <row r="3289" spans="9:10" x14ac:dyDescent="0.2">
      <c r="I3289" s="1125"/>
      <c r="J3289" s="1125"/>
    </row>
    <row r="3290" spans="9:10" x14ac:dyDescent="0.2">
      <c r="I3290" s="1125"/>
      <c r="J3290" s="1125"/>
    </row>
    <row r="3291" spans="9:10" x14ac:dyDescent="0.2">
      <c r="I3291" s="1125"/>
      <c r="J3291" s="1125"/>
    </row>
    <row r="3292" spans="9:10" x14ac:dyDescent="0.2">
      <c r="I3292" s="1125"/>
      <c r="J3292" s="1125"/>
    </row>
    <row r="3293" spans="9:10" x14ac:dyDescent="0.2">
      <c r="I3293" s="1125"/>
      <c r="J3293" s="1125"/>
    </row>
    <row r="3294" spans="9:10" x14ac:dyDescent="0.2">
      <c r="I3294" s="1125"/>
      <c r="J3294" s="1125"/>
    </row>
    <row r="3295" spans="9:10" x14ac:dyDescent="0.2">
      <c r="I3295" s="1125"/>
      <c r="J3295" s="1125"/>
    </row>
    <row r="3296" spans="9:10" x14ac:dyDescent="0.2">
      <c r="I3296" s="1125"/>
      <c r="J3296" s="1125"/>
    </row>
    <row r="3297" spans="9:10" x14ac:dyDescent="0.2">
      <c r="I3297" s="1125"/>
      <c r="J3297" s="1125"/>
    </row>
    <row r="3298" spans="9:10" x14ac:dyDescent="0.2">
      <c r="I3298" s="1125"/>
      <c r="J3298" s="1125"/>
    </row>
    <row r="3299" spans="9:10" x14ac:dyDescent="0.2">
      <c r="I3299" s="1125"/>
      <c r="J3299" s="1125"/>
    </row>
    <row r="3300" spans="9:10" x14ac:dyDescent="0.2">
      <c r="I3300" s="1125"/>
      <c r="J3300" s="1125"/>
    </row>
    <row r="3301" spans="9:10" x14ac:dyDescent="0.2">
      <c r="I3301" s="1125"/>
      <c r="J3301" s="1125"/>
    </row>
    <row r="3302" spans="9:10" x14ac:dyDescent="0.2">
      <c r="I3302" s="1125"/>
      <c r="J3302" s="1125"/>
    </row>
    <row r="3303" spans="9:10" x14ac:dyDescent="0.2">
      <c r="I3303" s="1125"/>
      <c r="J3303" s="1125"/>
    </row>
    <row r="3304" spans="9:10" x14ac:dyDescent="0.2">
      <c r="I3304" s="1125"/>
      <c r="J3304" s="1125"/>
    </row>
    <row r="3305" spans="9:10" x14ac:dyDescent="0.2">
      <c r="I3305" s="1125"/>
      <c r="J3305" s="1125"/>
    </row>
    <row r="3306" spans="9:10" x14ac:dyDescent="0.2">
      <c r="I3306" s="1125"/>
      <c r="J3306" s="1125"/>
    </row>
    <row r="3307" spans="9:10" x14ac:dyDescent="0.2">
      <c r="I3307" s="1125"/>
      <c r="J3307" s="1125"/>
    </row>
    <row r="3308" spans="9:10" x14ac:dyDescent="0.2">
      <c r="I3308" s="1125"/>
      <c r="J3308" s="1125"/>
    </row>
    <row r="3309" spans="9:10" x14ac:dyDescent="0.2">
      <c r="I3309" s="1125"/>
      <c r="J3309" s="1125"/>
    </row>
    <row r="3310" spans="9:10" x14ac:dyDescent="0.2">
      <c r="I3310" s="1125"/>
      <c r="J3310" s="1125"/>
    </row>
    <row r="3311" spans="9:10" x14ac:dyDescent="0.2">
      <c r="I3311" s="1125"/>
      <c r="J3311" s="1125"/>
    </row>
    <row r="3312" spans="9:10" x14ac:dyDescent="0.2">
      <c r="I3312" s="1125"/>
      <c r="J3312" s="1125"/>
    </row>
    <row r="3313" spans="9:10" x14ac:dyDescent="0.2">
      <c r="I3313" s="1125"/>
      <c r="J3313" s="1125"/>
    </row>
    <row r="3314" spans="9:10" x14ac:dyDescent="0.2">
      <c r="I3314" s="1125"/>
      <c r="J3314" s="1125"/>
    </row>
    <row r="3315" spans="9:10" x14ac:dyDescent="0.2">
      <c r="I3315" s="1125"/>
      <c r="J3315" s="1125"/>
    </row>
    <row r="3316" spans="9:10" x14ac:dyDescent="0.2">
      <c r="I3316" s="1125"/>
      <c r="J3316" s="1125"/>
    </row>
    <row r="3317" spans="9:10" x14ac:dyDescent="0.2">
      <c r="I3317" s="1125"/>
      <c r="J3317" s="1125"/>
    </row>
    <row r="3318" spans="9:10" x14ac:dyDescent="0.2">
      <c r="I3318" s="1125"/>
      <c r="J3318" s="1125"/>
    </row>
    <row r="3319" spans="9:10" x14ac:dyDescent="0.2">
      <c r="I3319" s="1125"/>
      <c r="J3319" s="1125"/>
    </row>
    <row r="3320" spans="9:10" x14ac:dyDescent="0.2">
      <c r="I3320" s="1125"/>
      <c r="J3320" s="1125"/>
    </row>
    <row r="3321" spans="9:10" x14ac:dyDescent="0.2">
      <c r="I3321" s="1125"/>
      <c r="J3321" s="1125"/>
    </row>
    <row r="3322" spans="9:10" x14ac:dyDescent="0.2">
      <c r="I3322" s="1125"/>
      <c r="J3322" s="1125"/>
    </row>
    <row r="3323" spans="9:10" x14ac:dyDescent="0.2">
      <c r="I3323" s="1125"/>
      <c r="J3323" s="1125"/>
    </row>
    <row r="3324" spans="9:10" x14ac:dyDescent="0.2">
      <c r="I3324" s="1125"/>
      <c r="J3324" s="1125"/>
    </row>
    <row r="3325" spans="9:10" x14ac:dyDescent="0.2">
      <c r="I3325" s="1125"/>
      <c r="J3325" s="1125"/>
    </row>
    <row r="3326" spans="9:10" x14ac:dyDescent="0.2">
      <c r="I3326" s="1125"/>
      <c r="J3326" s="1125"/>
    </row>
    <row r="3327" spans="9:10" x14ac:dyDescent="0.2">
      <c r="I3327" s="1125"/>
      <c r="J3327" s="1125"/>
    </row>
    <row r="3328" spans="9:10" x14ac:dyDescent="0.2">
      <c r="I3328" s="1125"/>
      <c r="J3328" s="1125"/>
    </row>
    <row r="3329" spans="9:10" x14ac:dyDescent="0.2">
      <c r="I3329" s="1125"/>
      <c r="J3329" s="1125"/>
    </row>
    <row r="3330" spans="9:10" x14ac:dyDescent="0.2">
      <c r="I3330" s="1125"/>
      <c r="J3330" s="1125"/>
    </row>
    <row r="3331" spans="9:10" x14ac:dyDescent="0.2">
      <c r="I3331" s="1125"/>
      <c r="J3331" s="1125"/>
    </row>
    <row r="3332" spans="9:10" x14ac:dyDescent="0.2">
      <c r="I3332" s="1125"/>
      <c r="J3332" s="1125"/>
    </row>
    <row r="3333" spans="9:10" x14ac:dyDescent="0.2">
      <c r="I3333" s="1125"/>
      <c r="J3333" s="1125"/>
    </row>
    <row r="3334" spans="9:10" x14ac:dyDescent="0.2">
      <c r="I3334" s="1125"/>
      <c r="J3334" s="1125"/>
    </row>
    <row r="3335" spans="9:10" x14ac:dyDescent="0.2">
      <c r="I3335" s="1125"/>
      <c r="J3335" s="1125"/>
    </row>
    <row r="3336" spans="9:10" x14ac:dyDescent="0.2">
      <c r="I3336" s="1125"/>
      <c r="J3336" s="1125"/>
    </row>
    <row r="3337" spans="9:10" x14ac:dyDescent="0.2">
      <c r="I3337" s="1125"/>
      <c r="J3337" s="1125"/>
    </row>
    <row r="3338" spans="9:10" x14ac:dyDescent="0.2">
      <c r="I3338" s="1125"/>
      <c r="J3338" s="1125"/>
    </row>
    <row r="3339" spans="9:10" x14ac:dyDescent="0.2">
      <c r="I3339" s="1125"/>
      <c r="J3339" s="1125"/>
    </row>
    <row r="3340" spans="9:10" x14ac:dyDescent="0.2">
      <c r="I3340" s="1125"/>
      <c r="J3340" s="1125"/>
    </row>
    <row r="3341" spans="9:10" x14ac:dyDescent="0.2">
      <c r="I3341" s="1125"/>
      <c r="J3341" s="1125"/>
    </row>
    <row r="3342" spans="9:10" x14ac:dyDescent="0.2">
      <c r="I3342" s="1125"/>
      <c r="J3342" s="1125"/>
    </row>
    <row r="3343" spans="9:10" x14ac:dyDescent="0.2">
      <c r="I3343" s="1125"/>
      <c r="J3343" s="1125"/>
    </row>
    <row r="3344" spans="9:10" x14ac:dyDescent="0.2">
      <c r="I3344" s="1125"/>
      <c r="J3344" s="1125"/>
    </row>
    <row r="3345" spans="9:10" x14ac:dyDescent="0.2">
      <c r="I3345" s="1125"/>
      <c r="J3345" s="1125"/>
    </row>
    <row r="3346" spans="9:10" x14ac:dyDescent="0.2">
      <c r="I3346" s="1125"/>
      <c r="J3346" s="1125"/>
    </row>
    <row r="3347" spans="9:10" x14ac:dyDescent="0.2">
      <c r="I3347" s="1125"/>
      <c r="J3347" s="1125"/>
    </row>
    <row r="3348" spans="9:10" x14ac:dyDescent="0.2">
      <c r="I3348" s="1125"/>
      <c r="J3348" s="1125"/>
    </row>
    <row r="3349" spans="9:10" x14ac:dyDescent="0.2">
      <c r="I3349" s="1125"/>
      <c r="J3349" s="1125"/>
    </row>
    <row r="3350" spans="9:10" x14ac:dyDescent="0.2">
      <c r="I3350" s="1125"/>
      <c r="J3350" s="1125"/>
    </row>
    <row r="3351" spans="9:10" x14ac:dyDescent="0.2">
      <c r="I3351" s="1125"/>
      <c r="J3351" s="1125"/>
    </row>
    <row r="3352" spans="9:10" x14ac:dyDescent="0.2">
      <c r="I3352" s="1125"/>
      <c r="J3352" s="1125"/>
    </row>
    <row r="3353" spans="9:10" x14ac:dyDescent="0.2">
      <c r="I3353" s="1125"/>
      <c r="J3353" s="1125"/>
    </row>
    <row r="3354" spans="9:10" x14ac:dyDescent="0.2">
      <c r="I3354" s="1125"/>
      <c r="J3354" s="1125"/>
    </row>
    <row r="3355" spans="9:10" x14ac:dyDescent="0.2">
      <c r="I3355" s="1125"/>
      <c r="J3355" s="1125"/>
    </row>
    <row r="3356" spans="9:10" x14ac:dyDescent="0.2">
      <c r="I3356" s="1125"/>
      <c r="J3356" s="1125"/>
    </row>
    <row r="3357" spans="9:10" x14ac:dyDescent="0.2">
      <c r="I3357" s="1125"/>
      <c r="J3357" s="1125"/>
    </row>
    <row r="3358" spans="9:10" x14ac:dyDescent="0.2">
      <c r="I3358" s="1125"/>
      <c r="J3358" s="1125"/>
    </row>
    <row r="3359" spans="9:10" x14ac:dyDescent="0.2">
      <c r="I3359" s="1125"/>
      <c r="J3359" s="1125"/>
    </row>
    <row r="3360" spans="9:10" x14ac:dyDescent="0.2">
      <c r="I3360" s="1125"/>
      <c r="J3360" s="1125"/>
    </row>
    <row r="3361" spans="9:10" x14ac:dyDescent="0.2">
      <c r="I3361" s="1125"/>
      <c r="J3361" s="1125"/>
    </row>
    <row r="3362" spans="9:10" x14ac:dyDescent="0.2">
      <c r="I3362" s="1125"/>
      <c r="J3362" s="1125"/>
    </row>
    <row r="3363" spans="9:10" x14ac:dyDescent="0.2">
      <c r="I3363" s="1125"/>
      <c r="J3363" s="1125"/>
    </row>
    <row r="3364" spans="9:10" x14ac:dyDescent="0.2">
      <c r="I3364" s="1125"/>
      <c r="J3364" s="1125"/>
    </row>
    <row r="3365" spans="9:10" x14ac:dyDescent="0.2">
      <c r="I3365" s="1125"/>
      <c r="J3365" s="1125"/>
    </row>
    <row r="3366" spans="9:10" x14ac:dyDescent="0.2">
      <c r="I3366" s="1125"/>
      <c r="J3366" s="1125"/>
    </row>
    <row r="3367" spans="9:10" x14ac:dyDescent="0.2">
      <c r="I3367" s="1125"/>
      <c r="J3367" s="1125"/>
    </row>
    <row r="3368" spans="9:10" x14ac:dyDescent="0.2">
      <c r="I3368" s="1125"/>
      <c r="J3368" s="1125"/>
    </row>
    <row r="3369" spans="9:10" x14ac:dyDescent="0.2">
      <c r="I3369" s="1125"/>
      <c r="J3369" s="1125"/>
    </row>
    <row r="3370" spans="9:10" x14ac:dyDescent="0.2">
      <c r="I3370" s="1125"/>
      <c r="J3370" s="1125"/>
    </row>
    <row r="3371" spans="9:10" x14ac:dyDescent="0.2">
      <c r="I3371" s="1125"/>
      <c r="J3371" s="1125"/>
    </row>
    <row r="3372" spans="9:10" x14ac:dyDescent="0.2">
      <c r="I3372" s="1125"/>
      <c r="J3372" s="1125"/>
    </row>
    <row r="3373" spans="9:10" x14ac:dyDescent="0.2">
      <c r="I3373" s="1125"/>
      <c r="J3373" s="1125"/>
    </row>
    <row r="3374" spans="9:10" x14ac:dyDescent="0.2">
      <c r="I3374" s="1125"/>
      <c r="J3374" s="1125"/>
    </row>
    <row r="3375" spans="9:10" x14ac:dyDescent="0.2">
      <c r="I3375" s="1125"/>
      <c r="J3375" s="1125"/>
    </row>
    <row r="3376" spans="9:10" x14ac:dyDescent="0.2">
      <c r="I3376" s="1125"/>
      <c r="J3376" s="1125"/>
    </row>
    <row r="3377" spans="9:10" x14ac:dyDescent="0.2">
      <c r="I3377" s="1125"/>
      <c r="J3377" s="1125"/>
    </row>
    <row r="3378" spans="9:10" x14ac:dyDescent="0.2">
      <c r="I3378" s="1125"/>
      <c r="J3378" s="1125"/>
    </row>
    <row r="3379" spans="9:10" x14ac:dyDescent="0.2">
      <c r="I3379" s="1125"/>
      <c r="J3379" s="1125"/>
    </row>
    <row r="3380" spans="9:10" x14ac:dyDescent="0.2">
      <c r="I3380" s="1125"/>
      <c r="J3380" s="1125"/>
    </row>
    <row r="3381" spans="9:10" x14ac:dyDescent="0.2">
      <c r="I3381" s="1125"/>
      <c r="J3381" s="1125"/>
    </row>
    <row r="3382" spans="9:10" x14ac:dyDescent="0.2">
      <c r="I3382" s="1125"/>
      <c r="J3382" s="1125"/>
    </row>
    <row r="3383" spans="9:10" x14ac:dyDescent="0.2">
      <c r="I3383" s="1125"/>
      <c r="J3383" s="1125"/>
    </row>
    <row r="3384" spans="9:10" x14ac:dyDescent="0.2">
      <c r="I3384" s="1125"/>
      <c r="J3384" s="1125"/>
    </row>
    <row r="3385" spans="9:10" x14ac:dyDescent="0.2">
      <c r="I3385" s="1125"/>
      <c r="J3385" s="1125"/>
    </row>
    <row r="3386" spans="9:10" x14ac:dyDescent="0.2">
      <c r="I3386" s="1125"/>
      <c r="J3386" s="1125"/>
    </row>
    <row r="3387" spans="9:10" x14ac:dyDescent="0.2">
      <c r="I3387" s="1125"/>
      <c r="J3387" s="1125"/>
    </row>
    <row r="3388" spans="9:10" x14ac:dyDescent="0.2">
      <c r="I3388" s="1125"/>
      <c r="J3388" s="1125"/>
    </row>
    <row r="3389" spans="9:10" x14ac:dyDescent="0.2">
      <c r="I3389" s="1125"/>
      <c r="J3389" s="1125"/>
    </row>
    <row r="3390" spans="9:10" x14ac:dyDescent="0.2">
      <c r="I3390" s="1125"/>
      <c r="J3390" s="1125"/>
    </row>
    <row r="3391" spans="9:10" x14ac:dyDescent="0.2">
      <c r="I3391" s="1125"/>
      <c r="J3391" s="1125"/>
    </row>
    <row r="3392" spans="9:10" x14ac:dyDescent="0.2">
      <c r="I3392" s="1125"/>
      <c r="J3392" s="1125"/>
    </row>
    <row r="3393" spans="9:10" x14ac:dyDescent="0.2">
      <c r="I3393" s="1125"/>
      <c r="J3393" s="1125"/>
    </row>
    <row r="3394" spans="9:10" x14ac:dyDescent="0.2">
      <c r="I3394" s="1125"/>
      <c r="J3394" s="1125"/>
    </row>
    <row r="3395" spans="9:10" x14ac:dyDescent="0.2">
      <c r="I3395" s="1125"/>
      <c r="J3395" s="1125"/>
    </row>
    <row r="3396" spans="9:10" x14ac:dyDescent="0.2">
      <c r="I3396" s="1125"/>
      <c r="J3396" s="1125"/>
    </row>
    <row r="3397" spans="9:10" x14ac:dyDescent="0.2">
      <c r="I3397" s="1125"/>
      <c r="J3397" s="1125"/>
    </row>
    <row r="3398" spans="9:10" x14ac:dyDescent="0.2">
      <c r="I3398" s="1125"/>
      <c r="J3398" s="1125"/>
    </row>
    <row r="3399" spans="9:10" x14ac:dyDescent="0.2">
      <c r="I3399" s="1125"/>
      <c r="J3399" s="1125"/>
    </row>
    <row r="3400" spans="9:10" x14ac:dyDescent="0.2">
      <c r="I3400" s="1125"/>
      <c r="J3400" s="1125"/>
    </row>
    <row r="3401" spans="9:10" x14ac:dyDescent="0.2">
      <c r="I3401" s="1125"/>
      <c r="J3401" s="1125"/>
    </row>
    <row r="3402" spans="9:10" x14ac:dyDescent="0.2">
      <c r="I3402" s="1125"/>
      <c r="J3402" s="1125"/>
    </row>
    <row r="3403" spans="9:10" x14ac:dyDescent="0.2">
      <c r="I3403" s="1125"/>
      <c r="J3403" s="1125"/>
    </row>
    <row r="3404" spans="9:10" x14ac:dyDescent="0.2">
      <c r="I3404" s="1125"/>
      <c r="J3404" s="1125"/>
    </row>
    <row r="3405" spans="9:10" x14ac:dyDescent="0.2">
      <c r="I3405" s="1125"/>
      <c r="J3405" s="1125"/>
    </row>
    <row r="3406" spans="9:10" x14ac:dyDescent="0.2">
      <c r="I3406" s="1125"/>
      <c r="J3406" s="1125"/>
    </row>
    <row r="3407" spans="9:10" x14ac:dyDescent="0.2">
      <c r="I3407" s="1125"/>
      <c r="J3407" s="1125"/>
    </row>
    <row r="3408" spans="9:10" x14ac:dyDescent="0.2">
      <c r="I3408" s="1125"/>
      <c r="J3408" s="1125"/>
    </row>
    <row r="3409" spans="9:10" x14ac:dyDescent="0.2">
      <c r="I3409" s="1125"/>
      <c r="J3409" s="1125"/>
    </row>
    <row r="3410" spans="9:10" x14ac:dyDescent="0.2">
      <c r="I3410" s="1125"/>
      <c r="J3410" s="1125"/>
    </row>
    <row r="3411" spans="9:10" x14ac:dyDescent="0.2">
      <c r="I3411" s="1125"/>
      <c r="J3411" s="1125"/>
    </row>
    <row r="3412" spans="9:10" x14ac:dyDescent="0.2">
      <c r="I3412" s="1125"/>
      <c r="J3412" s="1125"/>
    </row>
    <row r="3413" spans="9:10" x14ac:dyDescent="0.2">
      <c r="I3413" s="1125"/>
      <c r="J3413" s="1125"/>
    </row>
    <row r="3414" spans="9:10" x14ac:dyDescent="0.2">
      <c r="I3414" s="1125"/>
      <c r="J3414" s="1125"/>
    </row>
    <row r="3415" spans="9:10" x14ac:dyDescent="0.2">
      <c r="I3415" s="1125"/>
      <c r="J3415" s="1125"/>
    </row>
    <row r="3416" spans="9:10" x14ac:dyDescent="0.2">
      <c r="I3416" s="1125"/>
      <c r="J3416" s="1125"/>
    </row>
    <row r="3417" spans="9:10" x14ac:dyDescent="0.2">
      <c r="I3417" s="1125"/>
      <c r="J3417" s="1125"/>
    </row>
    <row r="3418" spans="9:10" x14ac:dyDescent="0.2">
      <c r="I3418" s="1125"/>
      <c r="J3418" s="1125"/>
    </row>
    <row r="3419" spans="9:10" x14ac:dyDescent="0.2">
      <c r="I3419" s="1125"/>
      <c r="J3419" s="1125"/>
    </row>
    <row r="3420" spans="9:10" x14ac:dyDescent="0.2">
      <c r="I3420" s="1125"/>
      <c r="J3420" s="1125"/>
    </row>
    <row r="3421" spans="9:10" x14ac:dyDescent="0.2">
      <c r="I3421" s="1125"/>
      <c r="J3421" s="1125"/>
    </row>
    <row r="3422" spans="9:10" x14ac:dyDescent="0.2">
      <c r="I3422" s="1125"/>
      <c r="J3422" s="1125"/>
    </row>
    <row r="3423" spans="9:10" x14ac:dyDescent="0.2">
      <c r="I3423" s="1125"/>
      <c r="J3423" s="1125"/>
    </row>
    <row r="3424" spans="9:10" x14ac:dyDescent="0.2">
      <c r="I3424" s="1125"/>
      <c r="J3424" s="1125"/>
    </row>
    <row r="3425" spans="9:10" x14ac:dyDescent="0.2">
      <c r="I3425" s="1125"/>
      <c r="J3425" s="1125"/>
    </row>
    <row r="3426" spans="9:10" x14ac:dyDescent="0.2">
      <c r="I3426" s="1125"/>
      <c r="J3426" s="1125"/>
    </row>
    <row r="3427" spans="9:10" x14ac:dyDescent="0.2">
      <c r="I3427" s="1125"/>
      <c r="J3427" s="1125"/>
    </row>
    <row r="3428" spans="9:10" x14ac:dyDescent="0.2">
      <c r="I3428" s="1125"/>
      <c r="J3428" s="1125"/>
    </row>
    <row r="3429" spans="9:10" x14ac:dyDescent="0.2">
      <c r="I3429" s="1125"/>
      <c r="J3429" s="1125"/>
    </row>
    <row r="3430" spans="9:10" x14ac:dyDescent="0.2">
      <c r="I3430" s="1125"/>
      <c r="J3430" s="1125"/>
    </row>
    <row r="3431" spans="9:10" x14ac:dyDescent="0.2">
      <c r="I3431" s="1125"/>
      <c r="J3431" s="1125"/>
    </row>
    <row r="3432" spans="9:10" x14ac:dyDescent="0.2">
      <c r="I3432" s="1125"/>
      <c r="J3432" s="1125"/>
    </row>
    <row r="3433" spans="9:10" x14ac:dyDescent="0.2">
      <c r="I3433" s="1125"/>
      <c r="J3433" s="1125"/>
    </row>
    <row r="3434" spans="9:10" x14ac:dyDescent="0.2">
      <c r="I3434" s="1125"/>
      <c r="J3434" s="1125"/>
    </row>
    <row r="3435" spans="9:10" x14ac:dyDescent="0.2">
      <c r="I3435" s="1125"/>
      <c r="J3435" s="1125"/>
    </row>
    <row r="3436" spans="9:10" x14ac:dyDescent="0.2">
      <c r="I3436" s="1125"/>
      <c r="J3436" s="1125"/>
    </row>
    <row r="3437" spans="9:10" x14ac:dyDescent="0.2">
      <c r="I3437" s="1125"/>
      <c r="J3437" s="1125"/>
    </row>
    <row r="3438" spans="9:10" x14ac:dyDescent="0.2">
      <c r="I3438" s="1125"/>
      <c r="J3438" s="1125"/>
    </row>
    <row r="3439" spans="9:10" x14ac:dyDescent="0.2">
      <c r="I3439" s="1125"/>
      <c r="J3439" s="1125"/>
    </row>
    <row r="3440" spans="9:10" x14ac:dyDescent="0.2">
      <c r="I3440" s="1125"/>
      <c r="J3440" s="1125"/>
    </row>
    <row r="3441" spans="9:10" x14ac:dyDescent="0.2">
      <c r="I3441" s="1125"/>
      <c r="J3441" s="1125"/>
    </row>
    <row r="3442" spans="9:10" x14ac:dyDescent="0.2">
      <c r="I3442" s="1125"/>
      <c r="J3442" s="1125"/>
    </row>
    <row r="3443" spans="9:10" x14ac:dyDescent="0.2">
      <c r="I3443" s="1125"/>
      <c r="J3443" s="1125"/>
    </row>
    <row r="3444" spans="9:10" x14ac:dyDescent="0.2">
      <c r="I3444" s="1125"/>
      <c r="J3444" s="1125"/>
    </row>
    <row r="3445" spans="9:10" x14ac:dyDescent="0.2">
      <c r="I3445" s="1125"/>
      <c r="J3445" s="1125"/>
    </row>
    <row r="3446" spans="9:10" x14ac:dyDescent="0.2">
      <c r="I3446" s="1125"/>
      <c r="J3446" s="1125"/>
    </row>
    <row r="3447" spans="9:10" x14ac:dyDescent="0.2">
      <c r="I3447" s="1125"/>
      <c r="J3447" s="1125"/>
    </row>
    <row r="3448" spans="9:10" x14ac:dyDescent="0.2">
      <c r="I3448" s="1125"/>
      <c r="J3448" s="1125"/>
    </row>
    <row r="3449" spans="9:10" x14ac:dyDescent="0.2">
      <c r="I3449" s="1125"/>
      <c r="J3449" s="1125"/>
    </row>
    <row r="3450" spans="9:10" x14ac:dyDescent="0.2">
      <c r="I3450" s="1125"/>
      <c r="J3450" s="1125"/>
    </row>
    <row r="3451" spans="9:10" x14ac:dyDescent="0.2">
      <c r="I3451" s="1125"/>
      <c r="J3451" s="1125"/>
    </row>
    <row r="3452" spans="9:10" x14ac:dyDescent="0.2">
      <c r="I3452" s="1125"/>
      <c r="J3452" s="1125"/>
    </row>
    <row r="3453" spans="9:10" x14ac:dyDescent="0.2">
      <c r="I3453" s="1125"/>
      <c r="J3453" s="1125"/>
    </row>
    <row r="3454" spans="9:10" x14ac:dyDescent="0.2">
      <c r="I3454" s="1125"/>
      <c r="J3454" s="1125"/>
    </row>
    <row r="3455" spans="9:10" x14ac:dyDescent="0.2">
      <c r="I3455" s="1125"/>
      <c r="J3455" s="1125"/>
    </row>
    <row r="3456" spans="9:10" x14ac:dyDescent="0.2">
      <c r="I3456" s="1125"/>
      <c r="J3456" s="1125"/>
    </row>
    <row r="3457" spans="9:10" x14ac:dyDescent="0.2">
      <c r="I3457" s="1125"/>
      <c r="J3457" s="1125"/>
    </row>
    <row r="3458" spans="9:10" x14ac:dyDescent="0.2">
      <c r="I3458" s="1125"/>
      <c r="J3458" s="1125"/>
    </row>
    <row r="3459" spans="9:10" x14ac:dyDescent="0.2">
      <c r="I3459" s="1125"/>
      <c r="J3459" s="1125"/>
    </row>
    <row r="3460" spans="9:10" x14ac:dyDescent="0.2">
      <c r="I3460" s="1125"/>
      <c r="J3460" s="1125"/>
    </row>
    <row r="3461" spans="9:10" x14ac:dyDescent="0.2">
      <c r="I3461" s="1125"/>
      <c r="J3461" s="1125"/>
    </row>
    <row r="3462" spans="9:10" x14ac:dyDescent="0.2">
      <c r="I3462" s="1125"/>
      <c r="J3462" s="1125"/>
    </row>
    <row r="3463" spans="9:10" x14ac:dyDescent="0.2">
      <c r="I3463" s="1125"/>
      <c r="J3463" s="1125"/>
    </row>
    <row r="3464" spans="9:10" x14ac:dyDescent="0.2">
      <c r="I3464" s="1125"/>
      <c r="J3464" s="1125"/>
    </row>
    <row r="3465" spans="9:10" x14ac:dyDescent="0.2">
      <c r="I3465" s="1125"/>
      <c r="J3465" s="1125"/>
    </row>
    <row r="3466" spans="9:10" x14ac:dyDescent="0.2">
      <c r="I3466" s="1125"/>
      <c r="J3466" s="1125"/>
    </row>
    <row r="3467" spans="9:10" x14ac:dyDescent="0.2">
      <c r="I3467" s="1125"/>
      <c r="J3467" s="1125"/>
    </row>
    <row r="3468" spans="9:10" x14ac:dyDescent="0.2">
      <c r="I3468" s="1125"/>
      <c r="J3468" s="1125"/>
    </row>
    <row r="3469" spans="9:10" x14ac:dyDescent="0.2">
      <c r="I3469" s="1125"/>
      <c r="J3469" s="1125"/>
    </row>
    <row r="3470" spans="9:10" x14ac:dyDescent="0.2">
      <c r="I3470" s="1125"/>
      <c r="J3470" s="1125"/>
    </row>
    <row r="3471" spans="9:10" x14ac:dyDescent="0.2">
      <c r="I3471" s="1125"/>
      <c r="J3471" s="1125"/>
    </row>
    <row r="3472" spans="9:10" x14ac:dyDescent="0.2">
      <c r="I3472" s="1125"/>
      <c r="J3472" s="1125"/>
    </row>
    <row r="3473" spans="9:10" x14ac:dyDescent="0.2">
      <c r="I3473" s="1125"/>
      <c r="J3473" s="1125"/>
    </row>
    <row r="3474" spans="9:10" x14ac:dyDescent="0.2">
      <c r="I3474" s="1125"/>
      <c r="J3474" s="1125"/>
    </row>
    <row r="3475" spans="9:10" x14ac:dyDescent="0.2">
      <c r="I3475" s="1125"/>
      <c r="J3475" s="1125"/>
    </row>
    <row r="3476" spans="9:10" x14ac:dyDescent="0.2">
      <c r="I3476" s="1125"/>
      <c r="J3476" s="1125"/>
    </row>
    <row r="3477" spans="9:10" x14ac:dyDescent="0.2">
      <c r="I3477" s="1125"/>
      <c r="J3477" s="1125"/>
    </row>
    <row r="3478" spans="9:10" x14ac:dyDescent="0.2">
      <c r="I3478" s="1125"/>
      <c r="J3478" s="1125"/>
    </row>
    <row r="3479" spans="9:10" x14ac:dyDescent="0.2">
      <c r="I3479" s="1125"/>
      <c r="J3479" s="1125"/>
    </row>
    <row r="3480" spans="9:10" x14ac:dyDescent="0.2">
      <c r="I3480" s="1125"/>
      <c r="J3480" s="1125"/>
    </row>
    <row r="3481" spans="9:10" x14ac:dyDescent="0.2">
      <c r="I3481" s="1125"/>
      <c r="J3481" s="1125"/>
    </row>
    <row r="3482" spans="9:10" x14ac:dyDescent="0.2">
      <c r="I3482" s="1125"/>
      <c r="J3482" s="1125"/>
    </row>
    <row r="3483" spans="9:10" x14ac:dyDescent="0.2">
      <c r="I3483" s="1125"/>
      <c r="J3483" s="1125"/>
    </row>
    <row r="3484" spans="9:10" x14ac:dyDescent="0.2">
      <c r="I3484" s="1125"/>
      <c r="J3484" s="1125"/>
    </row>
    <row r="3485" spans="9:10" x14ac:dyDescent="0.2">
      <c r="I3485" s="1125"/>
      <c r="J3485" s="1125"/>
    </row>
    <row r="3486" spans="9:10" x14ac:dyDescent="0.2">
      <c r="I3486" s="1125"/>
      <c r="J3486" s="1125"/>
    </row>
    <row r="3487" spans="9:10" x14ac:dyDescent="0.2">
      <c r="I3487" s="1125"/>
      <c r="J3487" s="1125"/>
    </row>
    <row r="3488" spans="9:10" x14ac:dyDescent="0.2">
      <c r="I3488" s="1125"/>
      <c r="J3488" s="1125"/>
    </row>
    <row r="3489" spans="9:10" x14ac:dyDescent="0.2">
      <c r="I3489" s="1125"/>
      <c r="J3489" s="1125"/>
    </row>
    <row r="3490" spans="9:10" x14ac:dyDescent="0.2">
      <c r="I3490" s="1125"/>
      <c r="J3490" s="1125"/>
    </row>
    <row r="3491" spans="9:10" x14ac:dyDescent="0.2">
      <c r="I3491" s="1125"/>
      <c r="J3491" s="1125"/>
    </row>
    <row r="3492" spans="9:10" x14ac:dyDescent="0.2">
      <c r="I3492" s="1125"/>
      <c r="J3492" s="1125"/>
    </row>
    <row r="3493" spans="9:10" x14ac:dyDescent="0.2">
      <c r="I3493" s="1125"/>
      <c r="J3493" s="1125"/>
    </row>
    <row r="3494" spans="9:10" x14ac:dyDescent="0.2">
      <c r="I3494" s="1125"/>
      <c r="J3494" s="1125"/>
    </row>
    <row r="3495" spans="9:10" x14ac:dyDescent="0.2">
      <c r="I3495" s="1125"/>
      <c r="J3495" s="1125"/>
    </row>
    <row r="3496" spans="9:10" x14ac:dyDescent="0.2">
      <c r="I3496" s="1125"/>
      <c r="J3496" s="1125"/>
    </row>
    <row r="3497" spans="9:10" x14ac:dyDescent="0.2">
      <c r="I3497" s="1125"/>
      <c r="J3497" s="1125"/>
    </row>
    <row r="3498" spans="9:10" x14ac:dyDescent="0.2">
      <c r="I3498" s="1125"/>
      <c r="J3498" s="1125"/>
    </row>
    <row r="3499" spans="9:10" x14ac:dyDescent="0.2">
      <c r="I3499" s="1125"/>
      <c r="J3499" s="1125"/>
    </row>
    <row r="3500" spans="9:10" x14ac:dyDescent="0.2">
      <c r="I3500" s="1125"/>
      <c r="J3500" s="1125"/>
    </row>
    <row r="3501" spans="9:10" x14ac:dyDescent="0.2">
      <c r="I3501" s="1125"/>
      <c r="J3501" s="1125"/>
    </row>
    <row r="3502" spans="9:10" x14ac:dyDescent="0.2">
      <c r="I3502" s="1125"/>
      <c r="J3502" s="1125"/>
    </row>
    <row r="3503" spans="9:10" x14ac:dyDescent="0.2">
      <c r="I3503" s="1125"/>
      <c r="J3503" s="1125"/>
    </row>
    <row r="3504" spans="9:10" x14ac:dyDescent="0.2">
      <c r="I3504" s="1125"/>
      <c r="J3504" s="1125"/>
    </row>
    <row r="3505" spans="9:10" x14ac:dyDescent="0.2">
      <c r="I3505" s="1125"/>
      <c r="J3505" s="1125"/>
    </row>
    <row r="3506" spans="9:10" x14ac:dyDescent="0.2">
      <c r="I3506" s="1125"/>
      <c r="J3506" s="1125"/>
    </row>
    <row r="3507" spans="9:10" x14ac:dyDescent="0.2">
      <c r="I3507" s="1125"/>
      <c r="J3507" s="1125"/>
    </row>
    <row r="3508" spans="9:10" x14ac:dyDescent="0.2">
      <c r="I3508" s="1125"/>
      <c r="J3508" s="1125"/>
    </row>
    <row r="3509" spans="9:10" x14ac:dyDescent="0.2">
      <c r="I3509" s="1125"/>
      <c r="J3509" s="1125"/>
    </row>
    <row r="3510" spans="9:10" x14ac:dyDescent="0.2">
      <c r="I3510" s="1125"/>
      <c r="J3510" s="1125"/>
    </row>
    <row r="3511" spans="9:10" x14ac:dyDescent="0.2">
      <c r="I3511" s="1125"/>
      <c r="J3511" s="1125"/>
    </row>
    <row r="3512" spans="9:10" x14ac:dyDescent="0.2">
      <c r="I3512" s="1125"/>
      <c r="J3512" s="1125"/>
    </row>
    <row r="3513" spans="9:10" x14ac:dyDescent="0.2">
      <c r="I3513" s="1125"/>
      <c r="J3513" s="1125"/>
    </row>
    <row r="3514" spans="9:10" x14ac:dyDescent="0.2">
      <c r="I3514" s="1125"/>
      <c r="J3514" s="1125"/>
    </row>
    <row r="3515" spans="9:10" x14ac:dyDescent="0.2">
      <c r="I3515" s="1125"/>
      <c r="J3515" s="1125"/>
    </row>
    <row r="3516" spans="9:10" x14ac:dyDescent="0.2">
      <c r="I3516" s="1125"/>
      <c r="J3516" s="1125"/>
    </row>
    <row r="3517" spans="9:10" x14ac:dyDescent="0.2">
      <c r="I3517" s="1125"/>
      <c r="J3517" s="1125"/>
    </row>
    <row r="3518" spans="9:10" x14ac:dyDescent="0.2">
      <c r="I3518" s="1125"/>
      <c r="J3518" s="1125"/>
    </row>
    <row r="3519" spans="9:10" x14ac:dyDescent="0.2">
      <c r="I3519" s="1125"/>
      <c r="J3519" s="1125"/>
    </row>
    <row r="3520" spans="9:10" x14ac:dyDescent="0.2">
      <c r="I3520" s="1125"/>
      <c r="J3520" s="1125"/>
    </row>
    <row r="3521" spans="9:10" x14ac:dyDescent="0.2">
      <c r="I3521" s="1125"/>
      <c r="J3521" s="1125"/>
    </row>
    <row r="3522" spans="9:10" x14ac:dyDescent="0.2">
      <c r="I3522" s="1125"/>
      <c r="J3522" s="1125"/>
    </row>
    <row r="3523" spans="9:10" x14ac:dyDescent="0.2">
      <c r="I3523" s="1125"/>
      <c r="J3523" s="1125"/>
    </row>
    <row r="3524" spans="9:10" x14ac:dyDescent="0.2">
      <c r="I3524" s="1125"/>
      <c r="J3524" s="1125"/>
    </row>
    <row r="3525" spans="9:10" x14ac:dyDescent="0.2">
      <c r="I3525" s="1125"/>
      <c r="J3525" s="1125"/>
    </row>
    <row r="3526" spans="9:10" x14ac:dyDescent="0.2">
      <c r="I3526" s="1125"/>
      <c r="J3526" s="1125"/>
    </row>
    <row r="3527" spans="9:10" x14ac:dyDescent="0.2">
      <c r="I3527" s="1125"/>
      <c r="J3527" s="1125"/>
    </row>
    <row r="3528" spans="9:10" x14ac:dyDescent="0.2">
      <c r="I3528" s="1125"/>
      <c r="J3528" s="1125"/>
    </row>
    <row r="3529" spans="9:10" x14ac:dyDescent="0.2">
      <c r="I3529" s="1125"/>
      <c r="J3529" s="1125"/>
    </row>
    <row r="3530" spans="9:10" x14ac:dyDescent="0.2">
      <c r="I3530" s="1125"/>
      <c r="J3530" s="1125"/>
    </row>
    <row r="3531" spans="9:10" x14ac:dyDescent="0.2">
      <c r="I3531" s="1125"/>
      <c r="J3531" s="1125"/>
    </row>
    <row r="3532" spans="9:10" x14ac:dyDescent="0.2">
      <c r="I3532" s="1125"/>
      <c r="J3532" s="1125"/>
    </row>
    <row r="3533" spans="9:10" x14ac:dyDescent="0.2">
      <c r="I3533" s="1125"/>
      <c r="J3533" s="1125"/>
    </row>
    <row r="3534" spans="9:10" x14ac:dyDescent="0.2">
      <c r="I3534" s="1125"/>
      <c r="J3534" s="1125"/>
    </row>
    <row r="3535" spans="9:10" x14ac:dyDescent="0.2">
      <c r="I3535" s="1125"/>
      <c r="J3535" s="1125"/>
    </row>
    <row r="3536" spans="9:10" x14ac:dyDescent="0.2">
      <c r="I3536" s="1125"/>
      <c r="J3536" s="1125"/>
    </row>
    <row r="3537" spans="9:10" x14ac:dyDescent="0.2">
      <c r="I3537" s="1125"/>
      <c r="J3537" s="1125"/>
    </row>
    <row r="3538" spans="9:10" x14ac:dyDescent="0.2">
      <c r="I3538" s="1125"/>
      <c r="J3538" s="1125"/>
    </row>
    <row r="3539" spans="9:10" x14ac:dyDescent="0.2">
      <c r="I3539" s="1125"/>
      <c r="J3539" s="1125"/>
    </row>
    <row r="3540" spans="9:10" x14ac:dyDescent="0.2">
      <c r="I3540" s="1125"/>
      <c r="J3540" s="1125"/>
    </row>
    <row r="3541" spans="9:10" x14ac:dyDescent="0.2">
      <c r="I3541" s="1125"/>
      <c r="J3541" s="1125"/>
    </row>
    <row r="3542" spans="9:10" x14ac:dyDescent="0.2">
      <c r="I3542" s="1125"/>
      <c r="J3542" s="1125"/>
    </row>
    <row r="3543" spans="9:10" x14ac:dyDescent="0.2">
      <c r="I3543" s="1125"/>
      <c r="J3543" s="1125"/>
    </row>
    <row r="3544" spans="9:10" x14ac:dyDescent="0.2">
      <c r="I3544" s="1125"/>
      <c r="J3544" s="1125"/>
    </row>
    <row r="3545" spans="9:10" x14ac:dyDescent="0.2">
      <c r="I3545" s="1125"/>
      <c r="J3545" s="1125"/>
    </row>
    <row r="3546" spans="9:10" x14ac:dyDescent="0.2">
      <c r="I3546" s="1125"/>
      <c r="J3546" s="1125"/>
    </row>
    <row r="3547" spans="9:10" x14ac:dyDescent="0.2">
      <c r="I3547" s="1125"/>
      <c r="J3547" s="1125"/>
    </row>
    <row r="3548" spans="9:10" x14ac:dyDescent="0.2">
      <c r="I3548" s="1125"/>
      <c r="J3548" s="1125"/>
    </row>
    <row r="3549" spans="9:10" x14ac:dyDescent="0.2">
      <c r="I3549" s="1125"/>
      <c r="J3549" s="1125"/>
    </row>
    <row r="3550" spans="9:10" x14ac:dyDescent="0.2">
      <c r="I3550" s="1125"/>
      <c r="J3550" s="1125"/>
    </row>
    <row r="3551" spans="9:10" x14ac:dyDescent="0.2">
      <c r="I3551" s="1125"/>
      <c r="J3551" s="1125"/>
    </row>
    <row r="3552" spans="9:10" x14ac:dyDescent="0.2">
      <c r="I3552" s="1125"/>
      <c r="J3552" s="1125"/>
    </row>
    <row r="3553" spans="9:10" x14ac:dyDescent="0.2">
      <c r="I3553" s="1125"/>
      <c r="J3553" s="1125"/>
    </row>
    <row r="3554" spans="9:10" x14ac:dyDescent="0.2">
      <c r="I3554" s="1125"/>
      <c r="J3554" s="1125"/>
    </row>
    <row r="3555" spans="9:10" x14ac:dyDescent="0.2">
      <c r="I3555" s="1125"/>
      <c r="J3555" s="1125"/>
    </row>
    <row r="3556" spans="9:10" x14ac:dyDescent="0.2">
      <c r="I3556" s="1125"/>
      <c r="J3556" s="1125"/>
    </row>
    <row r="3557" spans="9:10" x14ac:dyDescent="0.2">
      <c r="I3557" s="1125"/>
      <c r="J3557" s="1125"/>
    </row>
    <row r="3558" spans="9:10" x14ac:dyDescent="0.2">
      <c r="I3558" s="1125"/>
      <c r="J3558" s="1125"/>
    </row>
    <row r="3559" spans="9:10" x14ac:dyDescent="0.2">
      <c r="I3559" s="1125"/>
      <c r="J3559" s="1125"/>
    </row>
    <row r="3560" spans="9:10" x14ac:dyDescent="0.2">
      <c r="I3560" s="1125"/>
      <c r="J3560" s="1125"/>
    </row>
    <row r="3561" spans="9:10" x14ac:dyDescent="0.2">
      <c r="I3561" s="1125"/>
      <c r="J3561" s="1125"/>
    </row>
    <row r="3562" spans="9:10" x14ac:dyDescent="0.2">
      <c r="I3562" s="1125"/>
      <c r="J3562" s="1125"/>
    </row>
    <row r="3563" spans="9:10" x14ac:dyDescent="0.2">
      <c r="I3563" s="1125"/>
      <c r="J3563" s="1125"/>
    </row>
    <row r="3564" spans="9:10" x14ac:dyDescent="0.2">
      <c r="I3564" s="1125"/>
      <c r="J3564" s="1125"/>
    </row>
    <row r="3565" spans="9:10" x14ac:dyDescent="0.2">
      <c r="I3565" s="1125"/>
      <c r="J3565" s="1125"/>
    </row>
    <row r="3566" spans="9:10" x14ac:dyDescent="0.2">
      <c r="I3566" s="1125"/>
      <c r="J3566" s="1125"/>
    </row>
    <row r="3567" spans="9:10" x14ac:dyDescent="0.2">
      <c r="I3567" s="1125"/>
      <c r="J3567" s="1125"/>
    </row>
    <row r="3568" spans="9:10" x14ac:dyDescent="0.2">
      <c r="I3568" s="1125"/>
      <c r="J3568" s="1125"/>
    </row>
    <row r="3569" spans="9:10" x14ac:dyDescent="0.2">
      <c r="I3569" s="1125"/>
      <c r="J3569" s="1125"/>
    </row>
    <row r="3570" spans="9:10" x14ac:dyDescent="0.2">
      <c r="I3570" s="1125"/>
      <c r="J3570" s="1125"/>
    </row>
    <row r="3571" spans="9:10" x14ac:dyDescent="0.2">
      <c r="I3571" s="1125"/>
      <c r="J3571" s="1125"/>
    </row>
    <row r="3572" spans="9:10" x14ac:dyDescent="0.2">
      <c r="I3572" s="1125"/>
      <c r="J3572" s="1125"/>
    </row>
    <row r="3573" spans="9:10" x14ac:dyDescent="0.2">
      <c r="I3573" s="1125"/>
      <c r="J3573" s="1125"/>
    </row>
    <row r="3574" spans="9:10" x14ac:dyDescent="0.2">
      <c r="I3574" s="1125"/>
      <c r="J3574" s="1125"/>
    </row>
    <row r="3575" spans="9:10" x14ac:dyDescent="0.2">
      <c r="I3575" s="1125"/>
      <c r="J3575" s="1125"/>
    </row>
    <row r="3576" spans="9:10" x14ac:dyDescent="0.2">
      <c r="I3576" s="1125"/>
      <c r="J3576" s="1125"/>
    </row>
    <row r="3577" spans="9:10" x14ac:dyDescent="0.2">
      <c r="I3577" s="1125"/>
      <c r="J3577" s="1125"/>
    </row>
    <row r="3578" spans="9:10" x14ac:dyDescent="0.2">
      <c r="I3578" s="1125"/>
      <c r="J3578" s="1125"/>
    </row>
    <row r="3579" spans="9:10" x14ac:dyDescent="0.2">
      <c r="I3579" s="1125"/>
      <c r="J3579" s="1125"/>
    </row>
    <row r="3580" spans="9:10" x14ac:dyDescent="0.2">
      <c r="I3580" s="1125"/>
      <c r="J3580" s="1125"/>
    </row>
    <row r="3581" spans="9:10" x14ac:dyDescent="0.2">
      <c r="I3581" s="1125"/>
      <c r="J3581" s="1125"/>
    </row>
    <row r="3582" spans="9:10" x14ac:dyDescent="0.2">
      <c r="I3582" s="1125"/>
      <c r="J3582" s="1125"/>
    </row>
    <row r="3583" spans="9:10" x14ac:dyDescent="0.2">
      <c r="I3583" s="1125"/>
      <c r="J3583" s="1125"/>
    </row>
    <row r="3584" spans="9:10" x14ac:dyDescent="0.2">
      <c r="I3584" s="1125"/>
      <c r="J3584" s="1125"/>
    </row>
    <row r="3585" spans="9:10" x14ac:dyDescent="0.2">
      <c r="I3585" s="1125"/>
      <c r="J3585" s="1125"/>
    </row>
    <row r="3586" spans="9:10" x14ac:dyDescent="0.2">
      <c r="I3586" s="1125"/>
      <c r="J3586" s="1125"/>
    </row>
    <row r="3587" spans="9:10" x14ac:dyDescent="0.2">
      <c r="I3587" s="1125"/>
      <c r="J3587" s="1125"/>
    </row>
    <row r="3588" spans="9:10" x14ac:dyDescent="0.2">
      <c r="I3588" s="1125"/>
      <c r="J3588" s="1125"/>
    </row>
    <row r="3589" spans="9:10" x14ac:dyDescent="0.2">
      <c r="I3589" s="1125"/>
      <c r="J3589" s="1125"/>
    </row>
    <row r="3590" spans="9:10" x14ac:dyDescent="0.2">
      <c r="I3590" s="1125"/>
      <c r="J3590" s="1125"/>
    </row>
    <row r="3591" spans="9:10" x14ac:dyDescent="0.2">
      <c r="I3591" s="1125"/>
      <c r="J3591" s="1125"/>
    </row>
    <row r="3592" spans="9:10" x14ac:dyDescent="0.2">
      <c r="I3592" s="1125"/>
      <c r="J3592" s="1125"/>
    </row>
    <row r="3593" spans="9:10" x14ac:dyDescent="0.2">
      <c r="I3593" s="1125"/>
      <c r="J3593" s="1125"/>
    </row>
    <row r="3594" spans="9:10" x14ac:dyDescent="0.2">
      <c r="I3594" s="1125"/>
      <c r="J3594" s="1125"/>
    </row>
    <row r="3595" spans="9:10" x14ac:dyDescent="0.2">
      <c r="I3595" s="1125"/>
      <c r="J3595" s="1125"/>
    </row>
    <row r="3596" spans="9:10" x14ac:dyDescent="0.2">
      <c r="I3596" s="1125"/>
      <c r="J3596" s="1125"/>
    </row>
    <row r="3597" spans="9:10" x14ac:dyDescent="0.2">
      <c r="I3597" s="1125"/>
      <c r="J3597" s="1125"/>
    </row>
    <row r="3598" spans="9:10" x14ac:dyDescent="0.2">
      <c r="I3598" s="1125"/>
      <c r="J3598" s="1125"/>
    </row>
    <row r="3599" spans="9:10" x14ac:dyDescent="0.2">
      <c r="I3599" s="1125"/>
      <c r="J3599" s="1125"/>
    </row>
    <row r="3600" spans="9:10" x14ac:dyDescent="0.2">
      <c r="I3600" s="1125"/>
      <c r="J3600" s="1125"/>
    </row>
    <row r="3601" spans="9:10" x14ac:dyDescent="0.2">
      <c r="I3601" s="1125"/>
      <c r="J3601" s="1125"/>
    </row>
    <row r="3602" spans="9:10" x14ac:dyDescent="0.2">
      <c r="I3602" s="1125"/>
      <c r="J3602" s="1125"/>
    </row>
    <row r="3603" spans="9:10" x14ac:dyDescent="0.2">
      <c r="I3603" s="1125"/>
      <c r="J3603" s="1125"/>
    </row>
    <row r="3604" spans="9:10" x14ac:dyDescent="0.2">
      <c r="I3604" s="1125"/>
      <c r="J3604" s="1125"/>
    </row>
    <row r="3605" spans="9:10" x14ac:dyDescent="0.2">
      <c r="I3605" s="1125"/>
      <c r="J3605" s="1125"/>
    </row>
    <row r="3606" spans="9:10" x14ac:dyDescent="0.2">
      <c r="I3606" s="1125"/>
      <c r="J3606" s="1125"/>
    </row>
    <row r="3607" spans="9:10" x14ac:dyDescent="0.2">
      <c r="I3607" s="1125"/>
      <c r="J3607" s="1125"/>
    </row>
    <row r="3608" spans="9:10" x14ac:dyDescent="0.2">
      <c r="I3608" s="1125"/>
      <c r="J3608" s="1125"/>
    </row>
    <row r="3609" spans="9:10" x14ac:dyDescent="0.2">
      <c r="I3609" s="1125"/>
      <c r="J3609" s="1125"/>
    </row>
    <row r="3610" spans="9:10" x14ac:dyDescent="0.2">
      <c r="I3610" s="1125"/>
      <c r="J3610" s="1125"/>
    </row>
    <row r="3611" spans="9:10" x14ac:dyDescent="0.2">
      <c r="I3611" s="1125"/>
      <c r="J3611" s="1125"/>
    </row>
    <row r="3612" spans="9:10" x14ac:dyDescent="0.2">
      <c r="I3612" s="1125"/>
      <c r="J3612" s="1125"/>
    </row>
    <row r="3613" spans="9:10" x14ac:dyDescent="0.2">
      <c r="I3613" s="1125"/>
      <c r="J3613" s="1125"/>
    </row>
    <row r="3614" spans="9:10" x14ac:dyDescent="0.2">
      <c r="I3614" s="1125"/>
      <c r="J3614" s="1125"/>
    </row>
    <row r="3615" spans="9:10" x14ac:dyDescent="0.2">
      <c r="I3615" s="1125"/>
      <c r="J3615" s="1125"/>
    </row>
    <row r="3616" spans="9:10" x14ac:dyDescent="0.2">
      <c r="I3616" s="1125"/>
      <c r="J3616" s="1125"/>
    </row>
    <row r="3617" spans="9:10" x14ac:dyDescent="0.2">
      <c r="I3617" s="1125"/>
      <c r="J3617" s="1125"/>
    </row>
    <row r="3618" spans="9:10" x14ac:dyDescent="0.2">
      <c r="I3618" s="1125"/>
      <c r="J3618" s="1125"/>
    </row>
    <row r="3619" spans="9:10" x14ac:dyDescent="0.2">
      <c r="I3619" s="1125"/>
      <c r="J3619" s="1125"/>
    </row>
    <row r="3620" spans="9:10" x14ac:dyDescent="0.2">
      <c r="I3620" s="1125"/>
      <c r="J3620" s="1125"/>
    </row>
    <row r="3621" spans="9:10" x14ac:dyDescent="0.2">
      <c r="I3621" s="1125"/>
      <c r="J3621" s="1125"/>
    </row>
    <row r="3622" spans="9:10" x14ac:dyDescent="0.2">
      <c r="I3622" s="1125"/>
      <c r="J3622" s="1125"/>
    </row>
    <row r="3623" spans="9:10" x14ac:dyDescent="0.2">
      <c r="I3623" s="1125"/>
      <c r="J3623" s="1125"/>
    </row>
    <row r="3624" spans="9:10" x14ac:dyDescent="0.2">
      <c r="I3624" s="1125"/>
      <c r="J3624" s="1125"/>
    </row>
    <row r="3625" spans="9:10" x14ac:dyDescent="0.2">
      <c r="I3625" s="1125"/>
      <c r="J3625" s="1125"/>
    </row>
    <row r="3626" spans="9:10" x14ac:dyDescent="0.2">
      <c r="I3626" s="1125"/>
      <c r="J3626" s="1125"/>
    </row>
    <row r="3627" spans="9:10" x14ac:dyDescent="0.2">
      <c r="I3627" s="1125"/>
      <c r="J3627" s="1125"/>
    </row>
    <row r="3628" spans="9:10" x14ac:dyDescent="0.2">
      <c r="I3628" s="1125"/>
      <c r="J3628" s="1125"/>
    </row>
    <row r="3629" spans="9:10" x14ac:dyDescent="0.2">
      <c r="I3629" s="1125"/>
      <c r="J3629" s="1125"/>
    </row>
    <row r="3630" spans="9:10" x14ac:dyDescent="0.2">
      <c r="I3630" s="1125"/>
      <c r="J3630" s="1125"/>
    </row>
    <row r="3631" spans="9:10" x14ac:dyDescent="0.2">
      <c r="I3631" s="1125"/>
      <c r="J3631" s="1125"/>
    </row>
    <row r="3632" spans="9:10" x14ac:dyDescent="0.2">
      <c r="I3632" s="1125"/>
      <c r="J3632" s="1125"/>
    </row>
    <row r="3633" spans="9:10" x14ac:dyDescent="0.2">
      <c r="I3633" s="1125"/>
      <c r="J3633" s="1125"/>
    </row>
    <row r="3634" spans="9:10" x14ac:dyDescent="0.2">
      <c r="I3634" s="1125"/>
      <c r="J3634" s="1125"/>
    </row>
    <row r="3635" spans="9:10" x14ac:dyDescent="0.2">
      <c r="I3635" s="1125"/>
      <c r="J3635" s="1125"/>
    </row>
    <row r="3636" spans="9:10" x14ac:dyDescent="0.2">
      <c r="I3636" s="1125"/>
      <c r="J3636" s="1125"/>
    </row>
    <row r="3637" spans="9:10" x14ac:dyDescent="0.2">
      <c r="I3637" s="1125"/>
      <c r="J3637" s="1125"/>
    </row>
    <row r="3638" spans="9:10" x14ac:dyDescent="0.2">
      <c r="I3638" s="1125"/>
      <c r="J3638" s="1125"/>
    </row>
    <row r="3639" spans="9:10" x14ac:dyDescent="0.2">
      <c r="I3639" s="1125"/>
      <c r="J3639" s="1125"/>
    </row>
    <row r="3640" spans="9:10" x14ac:dyDescent="0.2">
      <c r="I3640" s="1125"/>
      <c r="J3640" s="1125"/>
    </row>
    <row r="3641" spans="9:10" x14ac:dyDescent="0.2">
      <c r="I3641" s="1125"/>
      <c r="J3641" s="1125"/>
    </row>
    <row r="3642" spans="9:10" x14ac:dyDescent="0.2">
      <c r="I3642" s="1125"/>
      <c r="J3642" s="1125"/>
    </row>
    <row r="3643" spans="9:10" x14ac:dyDescent="0.2">
      <c r="I3643" s="1125"/>
      <c r="J3643" s="1125"/>
    </row>
    <row r="3644" spans="9:10" x14ac:dyDescent="0.2">
      <c r="I3644" s="1125"/>
      <c r="J3644" s="1125"/>
    </row>
    <row r="3645" spans="9:10" x14ac:dyDescent="0.2">
      <c r="I3645" s="1125"/>
      <c r="J3645" s="1125"/>
    </row>
    <row r="3646" spans="9:10" x14ac:dyDescent="0.2">
      <c r="I3646" s="1125"/>
      <c r="J3646" s="1125"/>
    </row>
    <row r="3647" spans="9:10" x14ac:dyDescent="0.2">
      <c r="I3647" s="1125"/>
      <c r="J3647" s="1125"/>
    </row>
    <row r="3648" spans="9:10" x14ac:dyDescent="0.2">
      <c r="I3648" s="1125"/>
      <c r="J3648" s="1125"/>
    </row>
    <row r="3649" spans="9:10" x14ac:dyDescent="0.2">
      <c r="I3649" s="1125"/>
      <c r="J3649" s="1125"/>
    </row>
    <row r="3650" spans="9:10" x14ac:dyDescent="0.2">
      <c r="I3650" s="1125"/>
      <c r="J3650" s="1125"/>
    </row>
    <row r="3651" spans="9:10" x14ac:dyDescent="0.2">
      <c r="I3651" s="1125"/>
      <c r="J3651" s="1125"/>
    </row>
    <row r="3652" spans="9:10" x14ac:dyDescent="0.2">
      <c r="I3652" s="1125"/>
      <c r="J3652" s="1125"/>
    </row>
    <row r="3653" spans="9:10" x14ac:dyDescent="0.2">
      <c r="I3653" s="1125"/>
      <c r="J3653" s="1125"/>
    </row>
    <row r="3654" spans="9:10" x14ac:dyDescent="0.2">
      <c r="I3654" s="1125"/>
      <c r="J3654" s="1125"/>
    </row>
    <row r="3655" spans="9:10" x14ac:dyDescent="0.2">
      <c r="I3655" s="1125"/>
      <c r="J3655" s="1125"/>
    </row>
    <row r="3656" spans="9:10" x14ac:dyDescent="0.2">
      <c r="I3656" s="1125"/>
      <c r="J3656" s="1125"/>
    </row>
    <row r="3657" spans="9:10" x14ac:dyDescent="0.2">
      <c r="I3657" s="1125"/>
      <c r="J3657" s="1125"/>
    </row>
    <row r="3658" spans="9:10" x14ac:dyDescent="0.2">
      <c r="I3658" s="1125"/>
      <c r="J3658" s="1125"/>
    </row>
    <row r="3659" spans="9:10" x14ac:dyDescent="0.2">
      <c r="I3659" s="1125"/>
      <c r="J3659" s="1125"/>
    </row>
    <row r="3660" spans="9:10" x14ac:dyDescent="0.2">
      <c r="I3660" s="1125"/>
      <c r="J3660" s="1125"/>
    </row>
    <row r="3661" spans="9:10" x14ac:dyDescent="0.2">
      <c r="I3661" s="1125"/>
      <c r="J3661" s="1125"/>
    </row>
    <row r="3662" spans="9:10" x14ac:dyDescent="0.2">
      <c r="I3662" s="1125"/>
      <c r="J3662" s="1125"/>
    </row>
    <row r="3663" spans="9:10" x14ac:dyDescent="0.2">
      <c r="I3663" s="1125"/>
      <c r="J3663" s="1125"/>
    </row>
    <row r="3664" spans="9:10" x14ac:dyDescent="0.2">
      <c r="I3664" s="1125"/>
      <c r="J3664" s="1125"/>
    </row>
    <row r="3665" spans="9:10" x14ac:dyDescent="0.2">
      <c r="I3665" s="1125"/>
      <c r="J3665" s="1125"/>
    </row>
    <row r="3666" spans="9:10" x14ac:dyDescent="0.2">
      <c r="I3666" s="1125"/>
      <c r="J3666" s="1125"/>
    </row>
    <row r="3667" spans="9:10" x14ac:dyDescent="0.2">
      <c r="I3667" s="1125"/>
      <c r="J3667" s="1125"/>
    </row>
    <row r="3668" spans="9:10" x14ac:dyDescent="0.2">
      <c r="I3668" s="1125"/>
      <c r="J3668" s="1125"/>
    </row>
    <row r="3669" spans="9:10" x14ac:dyDescent="0.2">
      <c r="I3669" s="1125"/>
      <c r="J3669" s="1125"/>
    </row>
    <row r="3670" spans="9:10" x14ac:dyDescent="0.2">
      <c r="I3670" s="1125"/>
      <c r="J3670" s="1125"/>
    </row>
    <row r="3671" spans="9:10" x14ac:dyDescent="0.2">
      <c r="I3671" s="1125"/>
      <c r="J3671" s="1125"/>
    </row>
    <row r="3672" spans="9:10" x14ac:dyDescent="0.2">
      <c r="I3672" s="1125"/>
      <c r="J3672" s="1125"/>
    </row>
    <row r="3673" spans="9:10" x14ac:dyDescent="0.2">
      <c r="I3673" s="1125"/>
      <c r="J3673" s="1125"/>
    </row>
    <row r="3674" spans="9:10" x14ac:dyDescent="0.2">
      <c r="I3674" s="1125"/>
      <c r="J3674" s="1125"/>
    </row>
    <row r="3675" spans="9:10" x14ac:dyDescent="0.2">
      <c r="I3675" s="1125"/>
      <c r="J3675" s="1125"/>
    </row>
    <row r="3676" spans="9:10" x14ac:dyDescent="0.2">
      <c r="I3676" s="1125"/>
      <c r="J3676" s="1125"/>
    </row>
    <row r="3677" spans="9:10" x14ac:dyDescent="0.2">
      <c r="I3677" s="1125"/>
      <c r="J3677" s="1125"/>
    </row>
    <row r="3678" spans="9:10" x14ac:dyDescent="0.2">
      <c r="I3678" s="1125"/>
      <c r="J3678" s="1125"/>
    </row>
    <row r="3679" spans="9:10" x14ac:dyDescent="0.2">
      <c r="I3679" s="1125"/>
      <c r="J3679" s="1125"/>
    </row>
    <row r="3680" spans="9:10" x14ac:dyDescent="0.2">
      <c r="I3680" s="1125"/>
      <c r="J3680" s="1125"/>
    </row>
    <row r="3681" spans="9:10" x14ac:dyDescent="0.2">
      <c r="I3681" s="1125"/>
      <c r="J3681" s="1125"/>
    </row>
    <row r="3682" spans="9:10" x14ac:dyDescent="0.2">
      <c r="I3682" s="1125"/>
      <c r="J3682" s="1125"/>
    </row>
    <row r="3683" spans="9:10" x14ac:dyDescent="0.2">
      <c r="I3683" s="1125"/>
      <c r="J3683" s="1125"/>
    </row>
    <row r="3684" spans="9:10" x14ac:dyDescent="0.2">
      <c r="I3684" s="1125"/>
      <c r="J3684" s="1125"/>
    </row>
    <row r="3685" spans="9:10" x14ac:dyDescent="0.2">
      <c r="I3685" s="1125"/>
      <c r="J3685" s="1125"/>
    </row>
    <row r="3686" spans="9:10" x14ac:dyDescent="0.2">
      <c r="I3686" s="1125"/>
      <c r="J3686" s="1125"/>
    </row>
    <row r="3687" spans="9:10" x14ac:dyDescent="0.2">
      <c r="I3687" s="1125"/>
      <c r="J3687" s="1125"/>
    </row>
    <row r="3688" spans="9:10" x14ac:dyDescent="0.2">
      <c r="I3688" s="1125"/>
      <c r="J3688" s="1125"/>
    </row>
    <row r="3689" spans="9:10" x14ac:dyDescent="0.2">
      <c r="I3689" s="1125"/>
      <c r="J3689" s="1125"/>
    </row>
    <row r="3690" spans="9:10" x14ac:dyDescent="0.2">
      <c r="I3690" s="1125"/>
      <c r="J3690" s="1125"/>
    </row>
    <row r="3691" spans="9:10" x14ac:dyDescent="0.2">
      <c r="I3691" s="1125"/>
      <c r="J3691" s="1125"/>
    </row>
    <row r="3692" spans="9:10" x14ac:dyDescent="0.2">
      <c r="I3692" s="1125"/>
      <c r="J3692" s="1125"/>
    </row>
    <row r="3693" spans="9:10" x14ac:dyDescent="0.2">
      <c r="I3693" s="1125"/>
      <c r="J3693" s="1125"/>
    </row>
    <row r="3694" spans="9:10" x14ac:dyDescent="0.2">
      <c r="I3694" s="1125"/>
      <c r="J3694" s="1125"/>
    </row>
    <row r="3695" spans="9:10" x14ac:dyDescent="0.2">
      <c r="I3695" s="1125"/>
      <c r="J3695" s="1125"/>
    </row>
    <row r="3696" spans="9:10" x14ac:dyDescent="0.2">
      <c r="I3696" s="1125"/>
      <c r="J3696" s="1125"/>
    </row>
    <row r="3697" spans="9:10" x14ac:dyDescent="0.2">
      <c r="I3697" s="1125"/>
      <c r="J3697" s="1125"/>
    </row>
    <row r="3698" spans="9:10" x14ac:dyDescent="0.2">
      <c r="I3698" s="1125"/>
      <c r="J3698" s="1125"/>
    </row>
    <row r="3699" spans="9:10" x14ac:dyDescent="0.2">
      <c r="I3699" s="1125"/>
      <c r="J3699" s="1125"/>
    </row>
    <row r="3700" spans="9:10" x14ac:dyDescent="0.2">
      <c r="I3700" s="1125"/>
      <c r="J3700" s="1125"/>
    </row>
    <row r="3701" spans="9:10" x14ac:dyDescent="0.2">
      <c r="I3701" s="1125"/>
      <c r="J3701" s="1125"/>
    </row>
    <row r="3702" spans="9:10" x14ac:dyDescent="0.2">
      <c r="I3702" s="1125"/>
      <c r="J3702" s="1125"/>
    </row>
    <row r="3703" spans="9:10" x14ac:dyDescent="0.2">
      <c r="I3703" s="1125"/>
      <c r="J3703" s="1125"/>
    </row>
    <row r="3704" spans="9:10" x14ac:dyDescent="0.2">
      <c r="I3704" s="1125"/>
      <c r="J3704" s="1125"/>
    </row>
    <row r="3705" spans="9:10" x14ac:dyDescent="0.2">
      <c r="I3705" s="1125"/>
      <c r="J3705" s="1125"/>
    </row>
    <row r="3706" spans="9:10" x14ac:dyDescent="0.2">
      <c r="I3706" s="1125"/>
      <c r="J3706" s="1125"/>
    </row>
    <row r="3707" spans="9:10" x14ac:dyDescent="0.2">
      <c r="I3707" s="1125"/>
      <c r="J3707" s="1125"/>
    </row>
    <row r="3708" spans="9:10" x14ac:dyDescent="0.2">
      <c r="I3708" s="1125"/>
      <c r="J3708" s="1125"/>
    </row>
    <row r="3709" spans="9:10" x14ac:dyDescent="0.2">
      <c r="I3709" s="1125"/>
      <c r="J3709" s="1125"/>
    </row>
    <row r="3710" spans="9:10" x14ac:dyDescent="0.2">
      <c r="I3710" s="1125"/>
      <c r="J3710" s="1125"/>
    </row>
    <row r="3711" spans="9:10" x14ac:dyDescent="0.2">
      <c r="I3711" s="1125"/>
      <c r="J3711" s="1125"/>
    </row>
    <row r="3712" spans="9:10" x14ac:dyDescent="0.2">
      <c r="I3712" s="1125"/>
      <c r="J3712" s="1125"/>
    </row>
    <row r="3713" spans="9:10" x14ac:dyDescent="0.2">
      <c r="I3713" s="1125"/>
      <c r="J3713" s="1125"/>
    </row>
    <row r="3714" spans="9:10" x14ac:dyDescent="0.2">
      <c r="I3714" s="1125"/>
      <c r="J3714" s="1125"/>
    </row>
    <row r="3715" spans="9:10" x14ac:dyDescent="0.2">
      <c r="I3715" s="1125"/>
      <c r="J3715" s="1125"/>
    </row>
    <row r="3716" spans="9:10" x14ac:dyDescent="0.2">
      <c r="I3716" s="1125"/>
      <c r="J3716" s="1125"/>
    </row>
    <row r="3717" spans="9:10" x14ac:dyDescent="0.2">
      <c r="I3717" s="1125"/>
      <c r="J3717" s="1125"/>
    </row>
    <row r="3718" spans="9:10" x14ac:dyDescent="0.2">
      <c r="I3718" s="1125"/>
      <c r="J3718" s="1125"/>
    </row>
    <row r="3719" spans="9:10" x14ac:dyDescent="0.2">
      <c r="I3719" s="1125"/>
      <c r="J3719" s="1125"/>
    </row>
    <row r="3720" spans="9:10" x14ac:dyDescent="0.2">
      <c r="I3720" s="1125"/>
      <c r="J3720" s="1125"/>
    </row>
    <row r="3721" spans="9:10" x14ac:dyDescent="0.2">
      <c r="I3721" s="1125"/>
      <c r="J3721" s="1125"/>
    </row>
    <row r="3722" spans="9:10" x14ac:dyDescent="0.2">
      <c r="I3722" s="1125"/>
      <c r="J3722" s="1125"/>
    </row>
    <row r="3723" spans="9:10" x14ac:dyDescent="0.2">
      <c r="I3723" s="1125"/>
      <c r="J3723" s="1125"/>
    </row>
    <row r="3724" spans="9:10" x14ac:dyDescent="0.2">
      <c r="I3724" s="1125"/>
      <c r="J3724" s="1125"/>
    </row>
    <row r="3725" spans="9:10" x14ac:dyDescent="0.2">
      <c r="I3725" s="1125"/>
      <c r="J3725" s="1125"/>
    </row>
    <row r="3726" spans="9:10" x14ac:dyDescent="0.2">
      <c r="I3726" s="1125"/>
      <c r="J3726" s="1125"/>
    </row>
    <row r="3727" spans="9:10" x14ac:dyDescent="0.2">
      <c r="I3727" s="1125"/>
      <c r="J3727" s="1125"/>
    </row>
    <row r="3728" spans="9:10" x14ac:dyDescent="0.2">
      <c r="I3728" s="1125"/>
      <c r="J3728" s="1125"/>
    </row>
    <row r="3729" spans="9:10" x14ac:dyDescent="0.2">
      <c r="I3729" s="1125"/>
      <c r="J3729" s="1125"/>
    </row>
    <row r="3730" spans="9:10" x14ac:dyDescent="0.2">
      <c r="I3730" s="1125"/>
      <c r="J3730" s="1125"/>
    </row>
    <row r="3731" spans="9:10" x14ac:dyDescent="0.2">
      <c r="I3731" s="1125"/>
      <c r="J3731" s="1125"/>
    </row>
    <row r="3732" spans="9:10" x14ac:dyDescent="0.2">
      <c r="I3732" s="1125"/>
      <c r="J3732" s="1125"/>
    </row>
    <row r="3733" spans="9:10" x14ac:dyDescent="0.2">
      <c r="I3733" s="1125"/>
      <c r="J3733" s="1125"/>
    </row>
    <row r="3734" spans="9:10" x14ac:dyDescent="0.2">
      <c r="I3734" s="1125"/>
      <c r="J3734" s="1125"/>
    </row>
    <row r="3735" spans="9:10" x14ac:dyDescent="0.2">
      <c r="I3735" s="1125"/>
      <c r="J3735" s="1125"/>
    </row>
    <row r="3736" spans="9:10" x14ac:dyDescent="0.2">
      <c r="I3736" s="1125"/>
      <c r="J3736" s="1125"/>
    </row>
    <row r="3737" spans="9:10" x14ac:dyDescent="0.2">
      <c r="I3737" s="1125"/>
      <c r="J3737" s="1125"/>
    </row>
    <row r="3738" spans="9:10" x14ac:dyDescent="0.2">
      <c r="I3738" s="1125"/>
      <c r="J3738" s="1125"/>
    </row>
    <row r="3739" spans="9:10" x14ac:dyDescent="0.2">
      <c r="I3739" s="1125"/>
      <c r="J3739" s="1125"/>
    </row>
    <row r="3740" spans="9:10" x14ac:dyDescent="0.2">
      <c r="I3740" s="1125"/>
      <c r="J3740" s="1125"/>
    </row>
    <row r="3741" spans="9:10" x14ac:dyDescent="0.2">
      <c r="I3741" s="1125"/>
      <c r="J3741" s="1125"/>
    </row>
    <row r="3742" spans="9:10" x14ac:dyDescent="0.2">
      <c r="I3742" s="1125"/>
      <c r="J3742" s="1125"/>
    </row>
    <row r="3743" spans="9:10" x14ac:dyDescent="0.2">
      <c r="I3743" s="1125"/>
      <c r="J3743" s="1125"/>
    </row>
    <row r="3744" spans="9:10" x14ac:dyDescent="0.2">
      <c r="I3744" s="1125"/>
      <c r="J3744" s="1125"/>
    </row>
    <row r="3745" spans="9:10" x14ac:dyDescent="0.2">
      <c r="I3745" s="1125"/>
      <c r="J3745" s="1125"/>
    </row>
    <row r="3746" spans="9:10" x14ac:dyDescent="0.2">
      <c r="I3746" s="1125"/>
      <c r="J3746" s="1125"/>
    </row>
    <row r="3747" spans="9:10" x14ac:dyDescent="0.2">
      <c r="I3747" s="1125"/>
      <c r="J3747" s="1125"/>
    </row>
    <row r="3748" spans="9:10" x14ac:dyDescent="0.2">
      <c r="I3748" s="1125"/>
      <c r="J3748" s="1125"/>
    </row>
    <row r="3749" spans="9:10" x14ac:dyDescent="0.2">
      <c r="I3749" s="1125"/>
      <c r="J3749" s="1125"/>
    </row>
    <row r="3750" spans="9:10" x14ac:dyDescent="0.2">
      <c r="I3750" s="1125"/>
      <c r="J3750" s="1125"/>
    </row>
    <row r="3751" spans="9:10" x14ac:dyDescent="0.2">
      <c r="I3751" s="1125"/>
      <c r="J3751" s="1125"/>
    </row>
    <row r="3752" spans="9:10" x14ac:dyDescent="0.2">
      <c r="I3752" s="1125"/>
      <c r="J3752" s="1125"/>
    </row>
    <row r="3753" spans="9:10" x14ac:dyDescent="0.2">
      <c r="I3753" s="1125"/>
      <c r="J3753" s="1125"/>
    </row>
    <row r="3754" spans="9:10" x14ac:dyDescent="0.2">
      <c r="I3754" s="1125"/>
      <c r="J3754" s="1125"/>
    </row>
    <row r="3755" spans="9:10" x14ac:dyDescent="0.2">
      <c r="I3755" s="1125"/>
      <c r="J3755" s="1125"/>
    </row>
    <row r="3756" spans="9:10" x14ac:dyDescent="0.2">
      <c r="I3756" s="1125"/>
      <c r="J3756" s="1125"/>
    </row>
    <row r="3757" spans="9:10" x14ac:dyDescent="0.2">
      <c r="I3757" s="1125"/>
      <c r="J3757" s="1125"/>
    </row>
    <row r="3758" spans="9:10" x14ac:dyDescent="0.2">
      <c r="I3758" s="1125"/>
      <c r="J3758" s="1125"/>
    </row>
    <row r="3759" spans="9:10" x14ac:dyDescent="0.2">
      <c r="I3759" s="1125"/>
      <c r="J3759" s="1125"/>
    </row>
    <row r="3760" spans="9:10" x14ac:dyDescent="0.2">
      <c r="I3760" s="1125"/>
      <c r="J3760" s="1125"/>
    </row>
    <row r="3761" spans="9:10" x14ac:dyDescent="0.2">
      <c r="I3761" s="1125"/>
      <c r="J3761" s="1125"/>
    </row>
    <row r="3762" spans="9:10" x14ac:dyDescent="0.2">
      <c r="I3762" s="1125"/>
      <c r="J3762" s="1125"/>
    </row>
    <row r="3763" spans="9:10" x14ac:dyDescent="0.2">
      <c r="I3763" s="1125"/>
      <c r="J3763" s="1125"/>
    </row>
    <row r="3764" spans="9:10" x14ac:dyDescent="0.2">
      <c r="I3764" s="1125"/>
      <c r="J3764" s="1125"/>
    </row>
    <row r="3765" spans="9:10" x14ac:dyDescent="0.2">
      <c r="I3765" s="1125"/>
      <c r="J3765" s="1125"/>
    </row>
    <row r="3766" spans="9:10" x14ac:dyDescent="0.2">
      <c r="I3766" s="1125"/>
      <c r="J3766" s="1125"/>
    </row>
    <row r="3767" spans="9:10" x14ac:dyDescent="0.2">
      <c r="I3767" s="1125"/>
      <c r="J3767" s="1125"/>
    </row>
    <row r="3768" spans="9:10" x14ac:dyDescent="0.2">
      <c r="I3768" s="1125"/>
      <c r="J3768" s="1125"/>
    </row>
    <row r="3769" spans="9:10" x14ac:dyDescent="0.2">
      <c r="I3769" s="1125"/>
      <c r="J3769" s="1125"/>
    </row>
    <row r="3770" spans="9:10" x14ac:dyDescent="0.2">
      <c r="I3770" s="1125"/>
      <c r="J3770" s="1125"/>
    </row>
    <row r="3771" spans="9:10" x14ac:dyDescent="0.2">
      <c r="I3771" s="1125"/>
      <c r="J3771" s="1125"/>
    </row>
    <row r="3772" spans="9:10" x14ac:dyDescent="0.2">
      <c r="I3772" s="1125"/>
      <c r="J3772" s="1125"/>
    </row>
    <row r="3773" spans="9:10" x14ac:dyDescent="0.2">
      <c r="I3773" s="1125"/>
      <c r="J3773" s="1125"/>
    </row>
    <row r="3774" spans="9:10" x14ac:dyDescent="0.2">
      <c r="I3774" s="1125"/>
      <c r="J3774" s="1125"/>
    </row>
    <row r="3775" spans="9:10" x14ac:dyDescent="0.2">
      <c r="I3775" s="1125"/>
      <c r="J3775" s="1125"/>
    </row>
    <row r="3776" spans="9:10" x14ac:dyDescent="0.2">
      <c r="I3776" s="1125"/>
      <c r="J3776" s="1125"/>
    </row>
    <row r="3777" spans="9:10" x14ac:dyDescent="0.2">
      <c r="I3777" s="1125"/>
      <c r="J3777" s="1125"/>
    </row>
    <row r="3778" spans="9:10" x14ac:dyDescent="0.2">
      <c r="I3778" s="1125"/>
      <c r="J3778" s="1125"/>
    </row>
    <row r="3779" spans="9:10" x14ac:dyDescent="0.2">
      <c r="I3779" s="1125"/>
      <c r="J3779" s="1125"/>
    </row>
    <row r="3780" spans="9:10" x14ac:dyDescent="0.2">
      <c r="I3780" s="1125"/>
      <c r="J3780" s="1125"/>
    </row>
    <row r="3781" spans="9:10" x14ac:dyDescent="0.2">
      <c r="I3781" s="1125"/>
      <c r="J3781" s="1125"/>
    </row>
    <row r="3782" spans="9:10" x14ac:dyDescent="0.2">
      <c r="I3782" s="1125"/>
      <c r="J3782" s="1125"/>
    </row>
    <row r="3783" spans="9:10" x14ac:dyDescent="0.2">
      <c r="I3783" s="1125"/>
      <c r="J3783" s="1125"/>
    </row>
    <row r="3784" spans="9:10" x14ac:dyDescent="0.2">
      <c r="I3784" s="1125"/>
      <c r="J3784" s="1125"/>
    </row>
    <row r="3785" spans="9:10" x14ac:dyDescent="0.2">
      <c r="I3785" s="1125"/>
      <c r="J3785" s="1125"/>
    </row>
    <row r="3786" spans="9:10" x14ac:dyDescent="0.2">
      <c r="I3786" s="1125"/>
      <c r="J3786" s="1125"/>
    </row>
    <row r="3787" spans="9:10" x14ac:dyDescent="0.2">
      <c r="I3787" s="1125"/>
      <c r="J3787" s="1125"/>
    </row>
    <row r="3788" spans="9:10" x14ac:dyDescent="0.2">
      <c r="I3788" s="1125"/>
      <c r="J3788" s="1125"/>
    </row>
    <row r="3789" spans="9:10" x14ac:dyDescent="0.2">
      <c r="I3789" s="1125"/>
      <c r="J3789" s="1125"/>
    </row>
    <row r="3790" spans="9:10" x14ac:dyDescent="0.2">
      <c r="I3790" s="1125"/>
      <c r="J3790" s="1125"/>
    </row>
    <row r="3791" spans="9:10" x14ac:dyDescent="0.2">
      <c r="I3791" s="1125"/>
      <c r="J3791" s="1125"/>
    </row>
    <row r="3792" spans="9:10" x14ac:dyDescent="0.2">
      <c r="I3792" s="1125"/>
      <c r="J3792" s="1125"/>
    </row>
    <row r="3793" spans="9:10" x14ac:dyDescent="0.2">
      <c r="I3793" s="1125"/>
      <c r="J3793" s="1125"/>
    </row>
    <row r="3794" spans="9:10" x14ac:dyDescent="0.2">
      <c r="I3794" s="1125"/>
      <c r="J3794" s="1125"/>
    </row>
    <row r="3795" spans="9:10" x14ac:dyDescent="0.2">
      <c r="I3795" s="1125"/>
      <c r="J3795" s="1125"/>
    </row>
    <row r="3796" spans="9:10" x14ac:dyDescent="0.2">
      <c r="I3796" s="1125"/>
      <c r="J3796" s="1125"/>
    </row>
    <row r="3797" spans="9:10" x14ac:dyDescent="0.2">
      <c r="I3797" s="1125"/>
      <c r="J3797" s="1125"/>
    </row>
    <row r="3798" spans="9:10" x14ac:dyDescent="0.2">
      <c r="I3798" s="1125"/>
      <c r="J3798" s="1125"/>
    </row>
    <row r="3799" spans="9:10" x14ac:dyDescent="0.2">
      <c r="I3799" s="1125"/>
      <c r="J3799" s="1125"/>
    </row>
    <row r="3800" spans="9:10" x14ac:dyDescent="0.2">
      <c r="I3800" s="1125"/>
      <c r="J3800" s="1125"/>
    </row>
    <row r="3801" spans="9:10" x14ac:dyDescent="0.2">
      <c r="I3801" s="1125"/>
      <c r="J3801" s="1125"/>
    </row>
    <row r="3802" spans="9:10" x14ac:dyDescent="0.2">
      <c r="I3802" s="1125"/>
      <c r="J3802" s="1125"/>
    </row>
    <row r="3803" spans="9:10" x14ac:dyDescent="0.2">
      <c r="I3803" s="1125"/>
      <c r="J3803" s="1125"/>
    </row>
    <row r="3804" spans="9:10" x14ac:dyDescent="0.2">
      <c r="I3804" s="1125"/>
      <c r="J3804" s="1125"/>
    </row>
    <row r="3805" spans="9:10" x14ac:dyDescent="0.2">
      <c r="I3805" s="1125"/>
      <c r="J3805" s="1125"/>
    </row>
    <row r="3806" spans="9:10" x14ac:dyDescent="0.2">
      <c r="I3806" s="1125"/>
      <c r="J3806" s="1125"/>
    </row>
    <row r="3807" spans="9:10" x14ac:dyDescent="0.2">
      <c r="I3807" s="1125"/>
      <c r="J3807" s="1125"/>
    </row>
    <row r="3808" spans="9:10" x14ac:dyDescent="0.2">
      <c r="I3808" s="1125"/>
      <c r="J3808" s="1125"/>
    </row>
    <row r="3809" spans="9:10" x14ac:dyDescent="0.2">
      <c r="I3809" s="1125"/>
      <c r="J3809" s="1125"/>
    </row>
    <row r="3810" spans="9:10" x14ac:dyDescent="0.2">
      <c r="I3810" s="1125"/>
      <c r="J3810" s="1125"/>
    </row>
    <row r="3811" spans="9:10" x14ac:dyDescent="0.2">
      <c r="I3811" s="1125"/>
      <c r="J3811" s="1125"/>
    </row>
    <row r="3812" spans="9:10" x14ac:dyDescent="0.2">
      <c r="I3812" s="1125"/>
      <c r="J3812" s="1125"/>
    </row>
    <row r="3813" spans="9:10" x14ac:dyDescent="0.2">
      <c r="I3813" s="1125"/>
      <c r="J3813" s="1125"/>
    </row>
    <row r="3814" spans="9:10" x14ac:dyDescent="0.2">
      <c r="I3814" s="1125"/>
      <c r="J3814" s="1125"/>
    </row>
    <row r="3815" spans="9:10" x14ac:dyDescent="0.2">
      <c r="I3815" s="1125"/>
      <c r="J3815" s="1125"/>
    </row>
    <row r="3816" spans="9:10" x14ac:dyDescent="0.2">
      <c r="I3816" s="1125"/>
      <c r="J3816" s="1125"/>
    </row>
    <row r="3817" spans="9:10" x14ac:dyDescent="0.2">
      <c r="I3817" s="1125"/>
      <c r="J3817" s="1125"/>
    </row>
    <row r="3818" spans="9:10" x14ac:dyDescent="0.2">
      <c r="I3818" s="1125"/>
      <c r="J3818" s="1125"/>
    </row>
    <row r="3819" spans="9:10" x14ac:dyDescent="0.2">
      <c r="I3819" s="1125"/>
      <c r="J3819" s="1125"/>
    </row>
    <row r="3820" spans="9:10" x14ac:dyDescent="0.2">
      <c r="I3820" s="1125"/>
      <c r="J3820" s="1125"/>
    </row>
    <row r="3821" spans="9:10" x14ac:dyDescent="0.2">
      <c r="I3821" s="1125"/>
      <c r="J3821" s="1125"/>
    </row>
    <row r="3822" spans="9:10" x14ac:dyDescent="0.2">
      <c r="I3822" s="1125"/>
      <c r="J3822" s="1125"/>
    </row>
    <row r="3823" spans="9:10" x14ac:dyDescent="0.2">
      <c r="I3823" s="1125"/>
      <c r="J3823" s="1125"/>
    </row>
    <row r="3824" spans="9:10" x14ac:dyDescent="0.2">
      <c r="I3824" s="1125"/>
      <c r="J3824" s="1125"/>
    </row>
    <row r="3825" spans="9:10" x14ac:dyDescent="0.2">
      <c r="I3825" s="1125"/>
      <c r="J3825" s="1125"/>
    </row>
    <row r="3826" spans="9:10" x14ac:dyDescent="0.2">
      <c r="I3826" s="1125"/>
      <c r="J3826" s="1125"/>
    </row>
    <row r="3827" spans="9:10" x14ac:dyDescent="0.2">
      <c r="I3827" s="1125"/>
      <c r="J3827" s="1125"/>
    </row>
    <row r="3828" spans="9:10" x14ac:dyDescent="0.2">
      <c r="I3828" s="1125"/>
      <c r="J3828" s="1125"/>
    </row>
    <row r="3829" spans="9:10" x14ac:dyDescent="0.2">
      <c r="I3829" s="1125"/>
      <c r="J3829" s="1125"/>
    </row>
    <row r="3830" spans="9:10" x14ac:dyDescent="0.2">
      <c r="I3830" s="1125"/>
      <c r="J3830" s="1125"/>
    </row>
    <row r="3831" spans="9:10" x14ac:dyDescent="0.2">
      <c r="I3831" s="1125"/>
      <c r="J3831" s="1125"/>
    </row>
    <row r="3832" spans="9:10" x14ac:dyDescent="0.2">
      <c r="I3832" s="1125"/>
      <c r="J3832" s="1125"/>
    </row>
    <row r="3833" spans="9:10" x14ac:dyDescent="0.2">
      <c r="I3833" s="1125"/>
      <c r="J3833" s="1125"/>
    </row>
    <row r="3834" spans="9:10" x14ac:dyDescent="0.2">
      <c r="I3834" s="1125"/>
      <c r="J3834" s="1125"/>
    </row>
    <row r="3835" spans="9:10" x14ac:dyDescent="0.2">
      <c r="I3835" s="1125"/>
      <c r="J3835" s="1125"/>
    </row>
    <row r="3836" spans="9:10" x14ac:dyDescent="0.2">
      <c r="I3836" s="1125"/>
      <c r="J3836" s="1125"/>
    </row>
    <row r="3837" spans="9:10" x14ac:dyDescent="0.2">
      <c r="I3837" s="1125"/>
      <c r="J3837" s="1125"/>
    </row>
    <row r="3838" spans="9:10" x14ac:dyDescent="0.2">
      <c r="I3838" s="1125"/>
      <c r="J3838" s="1125"/>
    </row>
    <row r="3839" spans="9:10" x14ac:dyDescent="0.2">
      <c r="I3839" s="1125"/>
      <c r="J3839" s="1125"/>
    </row>
    <row r="3840" spans="9:10" x14ac:dyDescent="0.2">
      <c r="I3840" s="1125"/>
      <c r="J3840" s="1125"/>
    </row>
    <row r="3841" spans="9:10" x14ac:dyDescent="0.2">
      <c r="I3841" s="1125"/>
      <c r="J3841" s="1125"/>
    </row>
    <row r="3842" spans="9:10" x14ac:dyDescent="0.2">
      <c r="I3842" s="1125"/>
      <c r="J3842" s="1125"/>
    </row>
    <row r="3843" spans="9:10" x14ac:dyDescent="0.2">
      <c r="I3843" s="1125"/>
      <c r="J3843" s="1125"/>
    </row>
    <row r="3844" spans="9:10" x14ac:dyDescent="0.2">
      <c r="I3844" s="1125"/>
      <c r="J3844" s="1125"/>
    </row>
    <row r="3845" spans="9:10" x14ac:dyDescent="0.2">
      <c r="I3845" s="1125"/>
      <c r="J3845" s="1125"/>
    </row>
    <row r="3846" spans="9:10" x14ac:dyDescent="0.2">
      <c r="I3846" s="1125"/>
      <c r="J3846" s="1125"/>
    </row>
    <row r="3847" spans="9:10" x14ac:dyDescent="0.2">
      <c r="I3847" s="1125"/>
      <c r="J3847" s="1125"/>
    </row>
    <row r="3848" spans="9:10" x14ac:dyDescent="0.2">
      <c r="I3848" s="1125"/>
      <c r="J3848" s="1125"/>
    </row>
    <row r="3849" spans="9:10" x14ac:dyDescent="0.2">
      <c r="I3849" s="1125"/>
      <c r="J3849" s="1125"/>
    </row>
    <row r="3850" spans="9:10" x14ac:dyDescent="0.2">
      <c r="I3850" s="1125"/>
      <c r="J3850" s="1125"/>
    </row>
    <row r="3851" spans="9:10" x14ac:dyDescent="0.2">
      <c r="I3851" s="1125"/>
      <c r="J3851" s="1125"/>
    </row>
    <row r="3852" spans="9:10" x14ac:dyDescent="0.2">
      <c r="I3852" s="1125"/>
      <c r="J3852" s="1125"/>
    </row>
    <row r="3853" spans="9:10" x14ac:dyDescent="0.2">
      <c r="I3853" s="1125"/>
      <c r="J3853" s="1125"/>
    </row>
    <row r="3854" spans="9:10" x14ac:dyDescent="0.2">
      <c r="I3854" s="1125"/>
      <c r="J3854" s="1125"/>
    </row>
    <row r="3855" spans="9:10" x14ac:dyDescent="0.2">
      <c r="I3855" s="1125"/>
      <c r="J3855" s="1125"/>
    </row>
    <row r="3856" spans="9:10" x14ac:dyDescent="0.2">
      <c r="I3856" s="1125"/>
      <c r="J3856" s="1125"/>
    </row>
    <row r="3857" spans="9:10" x14ac:dyDescent="0.2">
      <c r="I3857" s="1125"/>
      <c r="J3857" s="1125"/>
    </row>
    <row r="3858" spans="9:10" x14ac:dyDescent="0.2">
      <c r="I3858" s="1125"/>
      <c r="J3858" s="1125"/>
    </row>
    <row r="3859" spans="9:10" x14ac:dyDescent="0.2">
      <c r="I3859" s="1125"/>
      <c r="J3859" s="1125"/>
    </row>
    <row r="3860" spans="9:10" x14ac:dyDescent="0.2">
      <c r="I3860" s="1125"/>
      <c r="J3860" s="1125"/>
    </row>
    <row r="3861" spans="9:10" x14ac:dyDescent="0.2">
      <c r="I3861" s="1125"/>
      <c r="J3861" s="1125"/>
    </row>
    <row r="3862" spans="9:10" x14ac:dyDescent="0.2">
      <c r="I3862" s="1125"/>
      <c r="J3862" s="1125"/>
    </row>
    <row r="3863" spans="9:10" x14ac:dyDescent="0.2">
      <c r="I3863" s="1125"/>
      <c r="J3863" s="1125"/>
    </row>
    <row r="3864" spans="9:10" x14ac:dyDescent="0.2">
      <c r="I3864" s="1125"/>
      <c r="J3864" s="1125"/>
    </row>
    <row r="3865" spans="9:10" x14ac:dyDescent="0.2">
      <c r="I3865" s="1125"/>
      <c r="J3865" s="1125"/>
    </row>
    <row r="3866" spans="9:10" x14ac:dyDescent="0.2">
      <c r="I3866" s="1125"/>
      <c r="J3866" s="1125"/>
    </row>
    <row r="3867" spans="9:10" x14ac:dyDescent="0.2">
      <c r="I3867" s="1125"/>
      <c r="J3867" s="1125"/>
    </row>
    <row r="3868" spans="9:10" x14ac:dyDescent="0.2">
      <c r="I3868" s="1125"/>
      <c r="J3868" s="1125"/>
    </row>
    <row r="3869" spans="9:10" x14ac:dyDescent="0.2">
      <c r="I3869" s="1125"/>
      <c r="J3869" s="1125"/>
    </row>
    <row r="3870" spans="9:10" x14ac:dyDescent="0.2">
      <c r="I3870" s="1125"/>
      <c r="J3870" s="1125"/>
    </row>
    <row r="3871" spans="9:10" x14ac:dyDescent="0.2">
      <c r="I3871" s="1125"/>
      <c r="J3871" s="1125"/>
    </row>
    <row r="3872" spans="9:10" x14ac:dyDescent="0.2">
      <c r="I3872" s="1125"/>
      <c r="J3872" s="1125"/>
    </row>
    <row r="3873" spans="9:10" x14ac:dyDescent="0.2">
      <c r="I3873" s="1125"/>
      <c r="J3873" s="1125"/>
    </row>
    <row r="3874" spans="9:10" x14ac:dyDescent="0.2">
      <c r="I3874" s="1125"/>
      <c r="J3874" s="1125"/>
    </row>
    <row r="3875" spans="9:10" x14ac:dyDescent="0.2">
      <c r="I3875" s="1125"/>
      <c r="J3875" s="1125"/>
    </row>
    <row r="3876" spans="9:10" x14ac:dyDescent="0.2">
      <c r="I3876" s="1125"/>
      <c r="J3876" s="1125"/>
    </row>
    <row r="3877" spans="9:10" x14ac:dyDescent="0.2">
      <c r="I3877" s="1125"/>
      <c r="J3877" s="1125"/>
    </row>
    <row r="3878" spans="9:10" x14ac:dyDescent="0.2">
      <c r="I3878" s="1125"/>
      <c r="J3878" s="1125"/>
    </row>
    <row r="3879" spans="9:10" x14ac:dyDescent="0.2">
      <c r="I3879" s="1125"/>
      <c r="J3879" s="1125"/>
    </row>
    <row r="3880" spans="9:10" x14ac:dyDescent="0.2">
      <c r="I3880" s="1125"/>
      <c r="J3880" s="1125"/>
    </row>
    <row r="3881" spans="9:10" x14ac:dyDescent="0.2">
      <c r="I3881" s="1125"/>
      <c r="J3881" s="1125"/>
    </row>
    <row r="3882" spans="9:10" x14ac:dyDescent="0.2">
      <c r="I3882" s="1125"/>
      <c r="J3882" s="1125"/>
    </row>
    <row r="3883" spans="9:10" x14ac:dyDescent="0.2">
      <c r="I3883" s="1125"/>
      <c r="J3883" s="1125"/>
    </row>
    <row r="3884" spans="9:10" x14ac:dyDescent="0.2">
      <c r="I3884" s="1125"/>
      <c r="J3884" s="1125"/>
    </row>
    <row r="3885" spans="9:10" x14ac:dyDescent="0.2">
      <c r="I3885" s="1125"/>
      <c r="J3885" s="1125"/>
    </row>
    <row r="3886" spans="9:10" x14ac:dyDescent="0.2">
      <c r="I3886" s="1125"/>
      <c r="J3886" s="1125"/>
    </row>
    <row r="3887" spans="9:10" x14ac:dyDescent="0.2">
      <c r="I3887" s="1125"/>
      <c r="J3887" s="1125"/>
    </row>
    <row r="3888" spans="9:10" x14ac:dyDescent="0.2">
      <c r="I3888" s="1125"/>
      <c r="J3888" s="1125"/>
    </row>
    <row r="3889" spans="9:10" x14ac:dyDescent="0.2">
      <c r="I3889" s="1125"/>
      <c r="J3889" s="1125"/>
    </row>
    <row r="3890" spans="9:10" x14ac:dyDescent="0.2">
      <c r="I3890" s="1125"/>
      <c r="J3890" s="1125"/>
    </row>
    <row r="3891" spans="9:10" x14ac:dyDescent="0.2">
      <c r="I3891" s="1125"/>
      <c r="J3891" s="1125"/>
    </row>
    <row r="3892" spans="9:10" x14ac:dyDescent="0.2">
      <c r="I3892" s="1125"/>
      <c r="J3892" s="1125"/>
    </row>
    <row r="3893" spans="9:10" x14ac:dyDescent="0.2">
      <c r="I3893" s="1125"/>
      <c r="J3893" s="1125"/>
    </row>
    <row r="3894" spans="9:10" x14ac:dyDescent="0.2">
      <c r="I3894" s="1125"/>
      <c r="J3894" s="1125"/>
    </row>
    <row r="3895" spans="9:10" x14ac:dyDescent="0.2">
      <c r="I3895" s="1125"/>
      <c r="J3895" s="1125"/>
    </row>
    <row r="3896" spans="9:10" x14ac:dyDescent="0.2">
      <c r="I3896" s="1125"/>
      <c r="J3896" s="1125"/>
    </row>
    <row r="3897" spans="9:10" x14ac:dyDescent="0.2">
      <c r="I3897" s="1125"/>
      <c r="J3897" s="1125"/>
    </row>
    <row r="3898" spans="9:10" x14ac:dyDescent="0.2">
      <c r="I3898" s="1125"/>
      <c r="J3898" s="1125"/>
    </row>
    <row r="3899" spans="9:10" x14ac:dyDescent="0.2">
      <c r="I3899" s="1125"/>
      <c r="J3899" s="1125"/>
    </row>
    <row r="3900" spans="9:10" x14ac:dyDescent="0.2">
      <c r="I3900" s="1125"/>
      <c r="J3900" s="1125"/>
    </row>
    <row r="3901" spans="9:10" x14ac:dyDescent="0.2">
      <c r="I3901" s="1125"/>
      <c r="J3901" s="1125"/>
    </row>
    <row r="3902" spans="9:10" x14ac:dyDescent="0.2">
      <c r="I3902" s="1125"/>
      <c r="J3902" s="1125"/>
    </row>
    <row r="3903" spans="9:10" x14ac:dyDescent="0.2">
      <c r="I3903" s="1125"/>
      <c r="J3903" s="1125"/>
    </row>
    <row r="3904" spans="9:10" x14ac:dyDescent="0.2">
      <c r="I3904" s="1125"/>
      <c r="J3904" s="1125"/>
    </row>
    <row r="3905" spans="9:10" x14ac:dyDescent="0.2">
      <c r="I3905" s="1125"/>
      <c r="J3905" s="1125"/>
    </row>
    <row r="3906" spans="9:10" x14ac:dyDescent="0.2">
      <c r="I3906" s="1125"/>
      <c r="J3906" s="1125"/>
    </row>
    <row r="3907" spans="9:10" x14ac:dyDescent="0.2">
      <c r="I3907" s="1125"/>
      <c r="J3907" s="1125"/>
    </row>
    <row r="3908" spans="9:10" x14ac:dyDescent="0.2">
      <c r="I3908" s="1125"/>
      <c r="J3908" s="1125"/>
    </row>
    <row r="3909" spans="9:10" x14ac:dyDescent="0.2">
      <c r="I3909" s="1125"/>
      <c r="J3909" s="1125"/>
    </row>
    <row r="3910" spans="9:10" x14ac:dyDescent="0.2">
      <c r="I3910" s="1125"/>
      <c r="J3910" s="1125"/>
    </row>
    <row r="3911" spans="9:10" x14ac:dyDescent="0.2">
      <c r="I3911" s="1125"/>
      <c r="J3911" s="1125"/>
    </row>
    <row r="3912" spans="9:10" x14ac:dyDescent="0.2">
      <c r="I3912" s="1125"/>
      <c r="J3912" s="1125"/>
    </row>
    <row r="3913" spans="9:10" x14ac:dyDescent="0.2">
      <c r="I3913" s="1125"/>
      <c r="J3913" s="1125"/>
    </row>
    <row r="3914" spans="9:10" x14ac:dyDescent="0.2">
      <c r="I3914" s="1125"/>
      <c r="J3914" s="1125"/>
    </row>
    <row r="3915" spans="9:10" x14ac:dyDescent="0.2">
      <c r="I3915" s="1125"/>
      <c r="J3915" s="1125"/>
    </row>
    <row r="3916" spans="9:10" x14ac:dyDescent="0.2">
      <c r="I3916" s="1125"/>
      <c r="J3916" s="1125"/>
    </row>
    <row r="3917" spans="9:10" x14ac:dyDescent="0.2">
      <c r="I3917" s="1125"/>
      <c r="J3917" s="1125"/>
    </row>
    <row r="3918" spans="9:10" x14ac:dyDescent="0.2">
      <c r="I3918" s="1125"/>
      <c r="J3918" s="1125"/>
    </row>
    <row r="3919" spans="9:10" x14ac:dyDescent="0.2">
      <c r="I3919" s="1125"/>
      <c r="J3919" s="1125"/>
    </row>
    <row r="3920" spans="9:10" x14ac:dyDescent="0.2">
      <c r="I3920" s="1125"/>
      <c r="J3920" s="1125"/>
    </row>
    <row r="3921" spans="9:10" x14ac:dyDescent="0.2">
      <c r="I3921" s="1125"/>
      <c r="J3921" s="1125"/>
    </row>
    <row r="3922" spans="9:10" x14ac:dyDescent="0.2">
      <c r="I3922" s="1125"/>
      <c r="J3922" s="1125"/>
    </row>
    <row r="3923" spans="9:10" x14ac:dyDescent="0.2">
      <c r="I3923" s="1125"/>
      <c r="J3923" s="1125"/>
    </row>
    <row r="3924" spans="9:10" x14ac:dyDescent="0.2">
      <c r="I3924" s="1125"/>
      <c r="J3924" s="1125"/>
    </row>
    <row r="3925" spans="9:10" x14ac:dyDescent="0.2">
      <c r="I3925" s="1125"/>
      <c r="J3925" s="1125"/>
    </row>
    <row r="3926" spans="9:10" x14ac:dyDescent="0.2">
      <c r="I3926" s="1125"/>
      <c r="J3926" s="1125"/>
    </row>
    <row r="3927" spans="9:10" x14ac:dyDescent="0.2">
      <c r="I3927" s="1125"/>
      <c r="J3927" s="1125"/>
    </row>
    <row r="3928" spans="9:10" x14ac:dyDescent="0.2">
      <c r="I3928" s="1125"/>
      <c r="J3928" s="1125"/>
    </row>
    <row r="3929" spans="9:10" x14ac:dyDescent="0.2">
      <c r="I3929" s="1125"/>
      <c r="J3929" s="1125"/>
    </row>
    <row r="3930" spans="9:10" x14ac:dyDescent="0.2">
      <c r="I3930" s="1125"/>
      <c r="J3930" s="1125"/>
    </row>
    <row r="3931" spans="9:10" x14ac:dyDescent="0.2">
      <c r="I3931" s="1125"/>
      <c r="J3931" s="1125"/>
    </row>
    <row r="3932" spans="9:10" x14ac:dyDescent="0.2">
      <c r="I3932" s="1125"/>
      <c r="J3932" s="1125"/>
    </row>
    <row r="3933" spans="9:10" x14ac:dyDescent="0.2">
      <c r="I3933" s="1125"/>
      <c r="J3933" s="1125"/>
    </row>
    <row r="3934" spans="9:10" x14ac:dyDescent="0.2">
      <c r="I3934" s="1125"/>
      <c r="J3934" s="1125"/>
    </row>
    <row r="3935" spans="9:10" x14ac:dyDescent="0.2">
      <c r="I3935" s="1125"/>
      <c r="J3935" s="1125"/>
    </row>
    <row r="3936" spans="9:10" x14ac:dyDescent="0.2">
      <c r="I3936" s="1125"/>
      <c r="J3936" s="1125"/>
    </row>
    <row r="3937" spans="9:10" x14ac:dyDescent="0.2">
      <c r="I3937" s="1125"/>
      <c r="J3937" s="1125"/>
    </row>
    <row r="3938" spans="9:10" x14ac:dyDescent="0.2">
      <c r="I3938" s="1125"/>
      <c r="J3938" s="1125"/>
    </row>
    <row r="3939" spans="9:10" x14ac:dyDescent="0.2">
      <c r="I3939" s="1125"/>
      <c r="J3939" s="1125"/>
    </row>
    <row r="3940" spans="9:10" x14ac:dyDescent="0.2">
      <c r="I3940" s="1125"/>
      <c r="J3940" s="1125"/>
    </row>
    <row r="3941" spans="9:10" x14ac:dyDescent="0.2">
      <c r="I3941" s="1125"/>
      <c r="J3941" s="1125"/>
    </row>
    <row r="3942" spans="9:10" x14ac:dyDescent="0.2">
      <c r="I3942" s="1125"/>
      <c r="J3942" s="1125"/>
    </row>
    <row r="3943" spans="9:10" x14ac:dyDescent="0.2">
      <c r="I3943" s="1125"/>
      <c r="J3943" s="1125"/>
    </row>
    <row r="3944" spans="9:10" x14ac:dyDescent="0.2">
      <c r="I3944" s="1125"/>
      <c r="J3944" s="1125"/>
    </row>
    <row r="3945" spans="9:10" x14ac:dyDescent="0.2">
      <c r="I3945" s="1125"/>
      <c r="J3945" s="1125"/>
    </row>
    <row r="3946" spans="9:10" x14ac:dyDescent="0.2">
      <c r="I3946" s="1125"/>
      <c r="J3946" s="1125"/>
    </row>
    <row r="3947" spans="9:10" x14ac:dyDescent="0.2">
      <c r="I3947" s="1125"/>
      <c r="J3947" s="1125"/>
    </row>
    <row r="3948" spans="9:10" x14ac:dyDescent="0.2">
      <c r="I3948" s="1125"/>
      <c r="J3948" s="1125"/>
    </row>
    <row r="3949" spans="9:10" x14ac:dyDescent="0.2">
      <c r="I3949" s="1125"/>
      <c r="J3949" s="1125"/>
    </row>
    <row r="3950" spans="9:10" x14ac:dyDescent="0.2">
      <c r="I3950" s="1125"/>
      <c r="J3950" s="1125"/>
    </row>
    <row r="3951" spans="9:10" x14ac:dyDescent="0.2">
      <c r="I3951" s="1125"/>
      <c r="J3951" s="1125"/>
    </row>
    <row r="3952" spans="9:10" x14ac:dyDescent="0.2">
      <c r="I3952" s="1125"/>
      <c r="J3952" s="1125"/>
    </row>
    <row r="3953" spans="9:10" x14ac:dyDescent="0.2">
      <c r="I3953" s="1125"/>
      <c r="J3953" s="1125"/>
    </row>
    <row r="3954" spans="9:10" x14ac:dyDescent="0.2">
      <c r="I3954" s="1125"/>
      <c r="J3954" s="1125"/>
    </row>
    <row r="3955" spans="9:10" x14ac:dyDescent="0.2">
      <c r="I3955" s="1125"/>
      <c r="J3955" s="1125"/>
    </row>
    <row r="3956" spans="9:10" x14ac:dyDescent="0.2">
      <c r="I3956" s="1125"/>
      <c r="J3956" s="1125"/>
    </row>
    <row r="3957" spans="9:10" x14ac:dyDescent="0.2">
      <c r="I3957" s="1125"/>
      <c r="J3957" s="1125"/>
    </row>
    <row r="3958" spans="9:10" x14ac:dyDescent="0.2">
      <c r="I3958" s="1125"/>
      <c r="J3958" s="1125"/>
    </row>
    <row r="3959" spans="9:10" x14ac:dyDescent="0.2">
      <c r="I3959" s="1125"/>
      <c r="J3959" s="1125"/>
    </row>
    <row r="3960" spans="9:10" x14ac:dyDescent="0.2">
      <c r="I3960" s="1125"/>
      <c r="J3960" s="1125"/>
    </row>
    <row r="3961" spans="9:10" x14ac:dyDescent="0.2">
      <c r="I3961" s="1125"/>
      <c r="J3961" s="1125"/>
    </row>
    <row r="3962" spans="9:10" x14ac:dyDescent="0.2">
      <c r="I3962" s="1125"/>
      <c r="J3962" s="1125"/>
    </row>
    <row r="3963" spans="9:10" x14ac:dyDescent="0.2">
      <c r="I3963" s="1125"/>
      <c r="J3963" s="1125"/>
    </row>
    <row r="3964" spans="9:10" x14ac:dyDescent="0.2">
      <c r="I3964" s="1125"/>
      <c r="J3964" s="1125"/>
    </row>
    <row r="3965" spans="9:10" x14ac:dyDescent="0.2">
      <c r="I3965" s="1125"/>
      <c r="J3965" s="1125"/>
    </row>
    <row r="3966" spans="9:10" x14ac:dyDescent="0.2">
      <c r="I3966" s="1125"/>
      <c r="J3966" s="1125"/>
    </row>
    <row r="3967" spans="9:10" x14ac:dyDescent="0.2">
      <c r="I3967" s="1125"/>
      <c r="J3967" s="1125"/>
    </row>
    <row r="3968" spans="9:10" x14ac:dyDescent="0.2">
      <c r="I3968" s="1125"/>
      <c r="J3968" s="1125"/>
    </row>
    <row r="3969" spans="9:10" x14ac:dyDescent="0.2">
      <c r="I3969" s="1125"/>
      <c r="J3969" s="1125"/>
    </row>
    <row r="3970" spans="9:10" x14ac:dyDescent="0.2">
      <c r="I3970" s="1125"/>
      <c r="J3970" s="1125"/>
    </row>
    <row r="3971" spans="9:10" x14ac:dyDescent="0.2">
      <c r="I3971" s="1125"/>
      <c r="J3971" s="1125"/>
    </row>
    <row r="3972" spans="9:10" x14ac:dyDescent="0.2">
      <c r="I3972" s="1125"/>
      <c r="J3972" s="1125"/>
    </row>
    <row r="3973" spans="9:10" x14ac:dyDescent="0.2">
      <c r="I3973" s="1125"/>
      <c r="J3973" s="1125"/>
    </row>
    <row r="3974" spans="9:10" x14ac:dyDescent="0.2">
      <c r="I3974" s="1125"/>
      <c r="J3974" s="1125"/>
    </row>
    <row r="3975" spans="9:10" x14ac:dyDescent="0.2">
      <c r="I3975" s="1125"/>
      <c r="J3975" s="1125"/>
    </row>
    <row r="3976" spans="9:10" x14ac:dyDescent="0.2">
      <c r="I3976" s="1125"/>
      <c r="J3976" s="1125"/>
    </row>
    <row r="3977" spans="9:10" x14ac:dyDescent="0.2">
      <c r="I3977" s="1125"/>
      <c r="J3977" s="1125"/>
    </row>
    <row r="3978" spans="9:10" x14ac:dyDescent="0.2">
      <c r="I3978" s="1125"/>
      <c r="J3978" s="1125"/>
    </row>
    <row r="3979" spans="9:10" x14ac:dyDescent="0.2">
      <c r="I3979" s="1125"/>
      <c r="J3979" s="1125"/>
    </row>
    <row r="3980" spans="9:10" x14ac:dyDescent="0.2">
      <c r="I3980" s="1125"/>
      <c r="J3980" s="1125"/>
    </row>
    <row r="3981" spans="9:10" x14ac:dyDescent="0.2">
      <c r="I3981" s="1125"/>
      <c r="J3981" s="1125"/>
    </row>
    <row r="3982" spans="9:10" x14ac:dyDescent="0.2">
      <c r="I3982" s="1125"/>
      <c r="J3982" s="1125"/>
    </row>
    <row r="3983" spans="9:10" x14ac:dyDescent="0.2">
      <c r="I3983" s="1125"/>
      <c r="J3983" s="1125"/>
    </row>
    <row r="3984" spans="9:10" x14ac:dyDescent="0.2">
      <c r="I3984" s="1125"/>
      <c r="J3984" s="1125"/>
    </row>
    <row r="3985" spans="9:10" x14ac:dyDescent="0.2">
      <c r="I3985" s="1125"/>
      <c r="J3985" s="1125"/>
    </row>
    <row r="3986" spans="9:10" x14ac:dyDescent="0.2">
      <c r="I3986" s="1125"/>
      <c r="J3986" s="1125"/>
    </row>
    <row r="3987" spans="9:10" x14ac:dyDescent="0.2">
      <c r="I3987" s="1125"/>
      <c r="J3987" s="1125"/>
    </row>
    <row r="3988" spans="9:10" x14ac:dyDescent="0.2">
      <c r="I3988" s="1125"/>
      <c r="J3988" s="1125"/>
    </row>
    <row r="3989" spans="9:10" x14ac:dyDescent="0.2">
      <c r="I3989" s="1125"/>
      <c r="J3989" s="1125"/>
    </row>
    <row r="3990" spans="9:10" x14ac:dyDescent="0.2">
      <c r="I3990" s="1125"/>
      <c r="J3990" s="1125"/>
    </row>
    <row r="3991" spans="9:10" x14ac:dyDescent="0.2">
      <c r="I3991" s="1125"/>
      <c r="J3991" s="1125"/>
    </row>
    <row r="3992" spans="9:10" x14ac:dyDescent="0.2">
      <c r="I3992" s="1125"/>
      <c r="J3992" s="1125"/>
    </row>
    <row r="3993" spans="9:10" x14ac:dyDescent="0.2">
      <c r="I3993" s="1125"/>
      <c r="J3993" s="1125"/>
    </row>
    <row r="3994" spans="9:10" x14ac:dyDescent="0.2">
      <c r="I3994" s="1125"/>
      <c r="J3994" s="1125"/>
    </row>
    <row r="3995" spans="9:10" x14ac:dyDescent="0.2">
      <c r="I3995" s="1125"/>
      <c r="J3995" s="1125"/>
    </row>
    <row r="3996" spans="9:10" x14ac:dyDescent="0.2">
      <c r="I3996" s="1125"/>
      <c r="J3996" s="1125"/>
    </row>
    <row r="3997" spans="9:10" x14ac:dyDescent="0.2">
      <c r="I3997" s="1125"/>
      <c r="J3997" s="1125"/>
    </row>
    <row r="3998" spans="9:10" x14ac:dyDescent="0.2">
      <c r="I3998" s="1125"/>
      <c r="J3998" s="1125"/>
    </row>
    <row r="3999" spans="9:10" x14ac:dyDescent="0.2">
      <c r="I3999" s="1125"/>
      <c r="J3999" s="1125"/>
    </row>
    <row r="4000" spans="9:10" x14ac:dyDescent="0.2">
      <c r="I4000" s="1125"/>
      <c r="J4000" s="1125"/>
    </row>
    <row r="4001" spans="9:10" x14ac:dyDescent="0.2">
      <c r="I4001" s="1125"/>
      <c r="J4001" s="1125"/>
    </row>
    <row r="4002" spans="9:10" x14ac:dyDescent="0.2">
      <c r="I4002" s="1125"/>
      <c r="J4002" s="1125"/>
    </row>
    <row r="4003" spans="9:10" x14ac:dyDescent="0.2">
      <c r="I4003" s="1125"/>
      <c r="J4003" s="1125"/>
    </row>
    <row r="4004" spans="9:10" x14ac:dyDescent="0.2">
      <c r="I4004" s="1125"/>
      <c r="J4004" s="1125"/>
    </row>
    <row r="4005" spans="9:10" x14ac:dyDescent="0.2">
      <c r="I4005" s="1125"/>
      <c r="J4005" s="1125"/>
    </row>
    <row r="4006" spans="9:10" x14ac:dyDescent="0.2">
      <c r="I4006" s="1125"/>
      <c r="J4006" s="1125"/>
    </row>
    <row r="4007" spans="9:10" x14ac:dyDescent="0.2">
      <c r="I4007" s="1125"/>
      <c r="J4007" s="1125"/>
    </row>
    <row r="4008" spans="9:10" x14ac:dyDescent="0.2">
      <c r="I4008" s="1125"/>
      <c r="J4008" s="1125"/>
    </row>
    <row r="4009" spans="9:10" x14ac:dyDescent="0.2">
      <c r="I4009" s="1125"/>
      <c r="J4009" s="1125"/>
    </row>
    <row r="4010" spans="9:10" x14ac:dyDescent="0.2">
      <c r="I4010" s="1125"/>
      <c r="J4010" s="1125"/>
    </row>
    <row r="4011" spans="9:10" x14ac:dyDescent="0.2">
      <c r="I4011" s="1125"/>
      <c r="J4011" s="1125"/>
    </row>
    <row r="4012" spans="9:10" x14ac:dyDescent="0.2">
      <c r="I4012" s="1125"/>
      <c r="J4012" s="1125"/>
    </row>
    <row r="4013" spans="9:10" x14ac:dyDescent="0.2">
      <c r="I4013" s="1125"/>
      <c r="J4013" s="1125"/>
    </row>
    <row r="4014" spans="9:10" x14ac:dyDescent="0.2">
      <c r="I4014" s="1125"/>
      <c r="J4014" s="1125"/>
    </row>
    <row r="4015" spans="9:10" x14ac:dyDescent="0.2">
      <c r="I4015" s="1125"/>
      <c r="J4015" s="1125"/>
    </row>
    <row r="4016" spans="9:10" x14ac:dyDescent="0.2">
      <c r="I4016" s="1125"/>
      <c r="J4016" s="1125"/>
    </row>
    <row r="4017" spans="9:10" x14ac:dyDescent="0.2">
      <c r="I4017" s="1125"/>
      <c r="J4017" s="1125"/>
    </row>
    <row r="4018" spans="9:10" x14ac:dyDescent="0.2">
      <c r="I4018" s="1125"/>
      <c r="J4018" s="1125"/>
    </row>
    <row r="4019" spans="9:10" x14ac:dyDescent="0.2">
      <c r="I4019" s="1125"/>
      <c r="J4019" s="1125"/>
    </row>
    <row r="4020" spans="9:10" x14ac:dyDescent="0.2">
      <c r="I4020" s="1125"/>
      <c r="J4020" s="1125"/>
    </row>
    <row r="4021" spans="9:10" x14ac:dyDescent="0.2">
      <c r="I4021" s="1125"/>
      <c r="J4021" s="1125"/>
    </row>
    <row r="4022" spans="9:10" x14ac:dyDescent="0.2">
      <c r="I4022" s="1125"/>
      <c r="J4022" s="1125"/>
    </row>
    <row r="4023" spans="9:10" x14ac:dyDescent="0.2">
      <c r="I4023" s="1125"/>
      <c r="J4023" s="1125"/>
    </row>
    <row r="4024" spans="9:10" x14ac:dyDescent="0.2">
      <c r="I4024" s="1125"/>
      <c r="J4024" s="1125"/>
    </row>
    <row r="4025" spans="9:10" x14ac:dyDescent="0.2">
      <c r="I4025" s="1125"/>
      <c r="J4025" s="1125"/>
    </row>
    <row r="4026" spans="9:10" x14ac:dyDescent="0.2">
      <c r="I4026" s="1125"/>
      <c r="J4026" s="1125"/>
    </row>
    <row r="4027" spans="9:10" x14ac:dyDescent="0.2">
      <c r="I4027" s="1125"/>
      <c r="J4027" s="1125"/>
    </row>
    <row r="4028" spans="9:10" x14ac:dyDescent="0.2">
      <c r="I4028" s="1125"/>
      <c r="J4028" s="1125"/>
    </row>
    <row r="4029" spans="9:10" x14ac:dyDescent="0.2">
      <c r="I4029" s="1125"/>
      <c r="J4029" s="1125"/>
    </row>
    <row r="4030" spans="9:10" x14ac:dyDescent="0.2">
      <c r="I4030" s="1125"/>
      <c r="J4030" s="1125"/>
    </row>
    <row r="4031" spans="9:10" x14ac:dyDescent="0.2">
      <c r="I4031" s="1125"/>
      <c r="J4031" s="1125"/>
    </row>
    <row r="4032" spans="9:10" x14ac:dyDescent="0.2">
      <c r="I4032" s="1125"/>
      <c r="J4032" s="1125"/>
    </row>
    <row r="4033" spans="9:10" x14ac:dyDescent="0.2">
      <c r="I4033" s="1125"/>
      <c r="J4033" s="1125"/>
    </row>
    <row r="4034" spans="9:10" x14ac:dyDescent="0.2">
      <c r="I4034" s="1125"/>
      <c r="J4034" s="1125"/>
    </row>
    <row r="4035" spans="9:10" x14ac:dyDescent="0.2">
      <c r="I4035" s="1125"/>
      <c r="J4035" s="1125"/>
    </row>
    <row r="4036" spans="9:10" x14ac:dyDescent="0.2">
      <c r="I4036" s="1125"/>
      <c r="J4036" s="1125"/>
    </row>
    <row r="4037" spans="9:10" x14ac:dyDescent="0.2">
      <c r="I4037" s="1125"/>
      <c r="J4037" s="1125"/>
    </row>
    <row r="4038" spans="9:10" x14ac:dyDescent="0.2">
      <c r="I4038" s="1125"/>
      <c r="J4038" s="1125"/>
    </row>
    <row r="4039" spans="9:10" x14ac:dyDescent="0.2">
      <c r="I4039" s="1125"/>
      <c r="J4039" s="1125"/>
    </row>
    <row r="4040" spans="9:10" x14ac:dyDescent="0.2">
      <c r="I4040" s="1125"/>
      <c r="J4040" s="1125"/>
    </row>
    <row r="4041" spans="9:10" x14ac:dyDescent="0.2">
      <c r="I4041" s="1125"/>
      <c r="J4041" s="1125"/>
    </row>
    <row r="4042" spans="9:10" x14ac:dyDescent="0.2">
      <c r="I4042" s="1125"/>
      <c r="J4042" s="1125"/>
    </row>
    <row r="4043" spans="9:10" x14ac:dyDescent="0.2">
      <c r="I4043" s="1125"/>
      <c r="J4043" s="1125"/>
    </row>
    <row r="4044" spans="9:10" x14ac:dyDescent="0.2">
      <c r="I4044" s="1125"/>
      <c r="J4044" s="1125"/>
    </row>
    <row r="4045" spans="9:10" x14ac:dyDescent="0.2">
      <c r="I4045" s="1125"/>
      <c r="J4045" s="1125"/>
    </row>
    <row r="4046" spans="9:10" x14ac:dyDescent="0.2">
      <c r="I4046" s="1125"/>
      <c r="J4046" s="1125"/>
    </row>
    <row r="4047" spans="9:10" x14ac:dyDescent="0.2">
      <c r="I4047" s="1125"/>
      <c r="J4047" s="1125"/>
    </row>
    <row r="4048" spans="9:10" x14ac:dyDescent="0.2">
      <c r="I4048" s="1125"/>
      <c r="J4048" s="1125"/>
    </row>
    <row r="4049" spans="9:10" x14ac:dyDescent="0.2">
      <c r="I4049" s="1125"/>
      <c r="J4049" s="1125"/>
    </row>
    <row r="4050" spans="9:10" x14ac:dyDescent="0.2">
      <c r="I4050" s="1125"/>
      <c r="J4050" s="1125"/>
    </row>
    <row r="4051" spans="9:10" x14ac:dyDescent="0.2">
      <c r="I4051" s="1125"/>
      <c r="J4051" s="1125"/>
    </row>
    <row r="4052" spans="9:10" x14ac:dyDescent="0.2">
      <c r="I4052" s="1125"/>
      <c r="J4052" s="1125"/>
    </row>
    <row r="4053" spans="9:10" x14ac:dyDescent="0.2">
      <c r="I4053" s="1125"/>
      <c r="J4053" s="1125"/>
    </row>
    <row r="4054" spans="9:10" x14ac:dyDescent="0.2">
      <c r="I4054" s="1125"/>
      <c r="J4054" s="1125"/>
    </row>
    <row r="4055" spans="9:10" x14ac:dyDescent="0.2">
      <c r="I4055" s="1125"/>
      <c r="J4055" s="1125"/>
    </row>
    <row r="4056" spans="9:10" x14ac:dyDescent="0.2">
      <c r="I4056" s="1125"/>
      <c r="J4056" s="1125"/>
    </row>
    <row r="4057" spans="9:10" x14ac:dyDescent="0.2">
      <c r="I4057" s="1125"/>
      <c r="J4057" s="1125"/>
    </row>
    <row r="4058" spans="9:10" x14ac:dyDescent="0.2">
      <c r="I4058" s="1125"/>
      <c r="J4058" s="1125"/>
    </row>
    <row r="4059" spans="9:10" x14ac:dyDescent="0.2">
      <c r="I4059" s="1125"/>
      <c r="J4059" s="1125"/>
    </row>
    <row r="4060" spans="9:10" x14ac:dyDescent="0.2">
      <c r="I4060" s="1125"/>
      <c r="J4060" s="1125"/>
    </row>
    <row r="4061" spans="9:10" x14ac:dyDescent="0.2">
      <c r="I4061" s="1125"/>
      <c r="J4061" s="1125"/>
    </row>
    <row r="4062" spans="9:10" x14ac:dyDescent="0.2">
      <c r="I4062" s="1125"/>
      <c r="J4062" s="1125"/>
    </row>
    <row r="4063" spans="9:10" x14ac:dyDescent="0.2">
      <c r="I4063" s="1125"/>
      <c r="J4063" s="1125"/>
    </row>
    <row r="4064" spans="9:10" x14ac:dyDescent="0.2">
      <c r="I4064" s="1125"/>
      <c r="J4064" s="1125"/>
    </row>
    <row r="4065" spans="9:10" x14ac:dyDescent="0.2">
      <c r="I4065" s="1125"/>
      <c r="J4065" s="1125"/>
    </row>
    <row r="4066" spans="9:10" x14ac:dyDescent="0.2">
      <c r="I4066" s="1125"/>
      <c r="J4066" s="1125"/>
    </row>
    <row r="4067" spans="9:10" x14ac:dyDescent="0.2">
      <c r="I4067" s="1125"/>
      <c r="J4067" s="1125"/>
    </row>
    <row r="4068" spans="9:10" x14ac:dyDescent="0.2">
      <c r="I4068" s="1125"/>
      <c r="J4068" s="1125"/>
    </row>
    <row r="4069" spans="9:10" x14ac:dyDescent="0.2">
      <c r="I4069" s="1125"/>
      <c r="J4069" s="1125"/>
    </row>
    <row r="4070" spans="9:10" x14ac:dyDescent="0.2">
      <c r="I4070" s="1125"/>
      <c r="J4070" s="1125"/>
    </row>
    <row r="4071" spans="9:10" x14ac:dyDescent="0.2">
      <c r="I4071" s="1125"/>
      <c r="J4071" s="1125"/>
    </row>
    <row r="4072" spans="9:10" x14ac:dyDescent="0.2">
      <c r="I4072" s="1125"/>
      <c r="J4072" s="1125"/>
    </row>
    <row r="4073" spans="9:10" x14ac:dyDescent="0.2">
      <c r="I4073" s="1125"/>
      <c r="J4073" s="1125"/>
    </row>
    <row r="4074" spans="9:10" x14ac:dyDescent="0.2">
      <c r="I4074" s="1125"/>
      <c r="J4074" s="1125"/>
    </row>
    <row r="4075" spans="9:10" x14ac:dyDescent="0.2">
      <c r="I4075" s="1125"/>
      <c r="J4075" s="1125"/>
    </row>
    <row r="4076" spans="9:10" x14ac:dyDescent="0.2">
      <c r="I4076" s="1125"/>
      <c r="J4076" s="1125"/>
    </row>
    <row r="4077" spans="9:10" x14ac:dyDescent="0.2">
      <c r="I4077" s="1125"/>
      <c r="J4077" s="1125"/>
    </row>
    <row r="4078" spans="9:10" x14ac:dyDescent="0.2">
      <c r="I4078" s="1125"/>
      <c r="J4078" s="1125"/>
    </row>
    <row r="4079" spans="9:10" x14ac:dyDescent="0.2">
      <c r="I4079" s="1125"/>
      <c r="J4079" s="1125"/>
    </row>
    <row r="4080" spans="9:10" x14ac:dyDescent="0.2">
      <c r="I4080" s="1125"/>
      <c r="J4080" s="1125"/>
    </row>
    <row r="4081" spans="9:10" x14ac:dyDescent="0.2">
      <c r="I4081" s="1125"/>
      <c r="J4081" s="1125"/>
    </row>
    <row r="4082" spans="9:10" x14ac:dyDescent="0.2">
      <c r="I4082" s="1125"/>
      <c r="J4082" s="1125"/>
    </row>
    <row r="4083" spans="9:10" x14ac:dyDescent="0.2">
      <c r="I4083" s="1125"/>
      <c r="J4083" s="1125"/>
    </row>
    <row r="4084" spans="9:10" x14ac:dyDescent="0.2">
      <c r="I4084" s="1125"/>
      <c r="J4084" s="1125"/>
    </row>
    <row r="4085" spans="9:10" x14ac:dyDescent="0.2">
      <c r="I4085" s="1125"/>
      <c r="J4085" s="1125"/>
    </row>
    <row r="4086" spans="9:10" x14ac:dyDescent="0.2">
      <c r="I4086" s="1125"/>
      <c r="J4086" s="1125"/>
    </row>
    <row r="4087" spans="9:10" x14ac:dyDescent="0.2">
      <c r="I4087" s="1125"/>
      <c r="J4087" s="1125"/>
    </row>
    <row r="4088" spans="9:10" x14ac:dyDescent="0.2">
      <c r="I4088" s="1125"/>
      <c r="J4088" s="1125"/>
    </row>
    <row r="4089" spans="9:10" x14ac:dyDescent="0.2">
      <c r="I4089" s="1125"/>
      <c r="J4089" s="1125"/>
    </row>
    <row r="4090" spans="9:10" x14ac:dyDescent="0.2">
      <c r="I4090" s="1125"/>
      <c r="J4090" s="1125"/>
    </row>
    <row r="4091" spans="9:10" x14ac:dyDescent="0.2">
      <c r="I4091" s="1125"/>
      <c r="J4091" s="1125"/>
    </row>
    <row r="4092" spans="9:10" x14ac:dyDescent="0.2">
      <c r="I4092" s="1125"/>
      <c r="J4092" s="1125"/>
    </row>
    <row r="4093" spans="9:10" x14ac:dyDescent="0.2">
      <c r="I4093" s="1125"/>
      <c r="J4093" s="1125"/>
    </row>
    <row r="4094" spans="9:10" x14ac:dyDescent="0.2">
      <c r="I4094" s="1125"/>
      <c r="J4094" s="1125"/>
    </row>
    <row r="4095" spans="9:10" x14ac:dyDescent="0.2">
      <c r="I4095" s="1125"/>
      <c r="J4095" s="1125"/>
    </row>
    <row r="4096" spans="9:10" x14ac:dyDescent="0.2">
      <c r="I4096" s="1125"/>
      <c r="J4096" s="1125"/>
    </row>
    <row r="4097" spans="9:10" x14ac:dyDescent="0.2">
      <c r="I4097" s="1125"/>
      <c r="J4097" s="1125"/>
    </row>
    <row r="4098" spans="9:10" x14ac:dyDescent="0.2">
      <c r="I4098" s="1125"/>
      <c r="J4098" s="1125"/>
    </row>
    <row r="4099" spans="9:10" x14ac:dyDescent="0.2">
      <c r="I4099" s="1125"/>
      <c r="J4099" s="1125"/>
    </row>
    <row r="4100" spans="9:10" x14ac:dyDescent="0.2">
      <c r="I4100" s="1125"/>
      <c r="J4100" s="1125"/>
    </row>
    <row r="4101" spans="9:10" x14ac:dyDescent="0.2">
      <c r="I4101" s="1125"/>
      <c r="J4101" s="1125"/>
    </row>
    <row r="4102" spans="9:10" x14ac:dyDescent="0.2">
      <c r="I4102" s="1125"/>
      <c r="J4102" s="1125"/>
    </row>
    <row r="4103" spans="9:10" x14ac:dyDescent="0.2">
      <c r="I4103" s="1125"/>
      <c r="J4103" s="1125"/>
    </row>
    <row r="4104" spans="9:10" x14ac:dyDescent="0.2">
      <c r="I4104" s="1125"/>
      <c r="J4104" s="1125"/>
    </row>
    <row r="4105" spans="9:10" x14ac:dyDescent="0.2">
      <c r="I4105" s="1125"/>
      <c r="J4105" s="1125"/>
    </row>
    <row r="4106" spans="9:10" x14ac:dyDescent="0.2">
      <c r="I4106" s="1125"/>
      <c r="J4106" s="1125"/>
    </row>
    <row r="4107" spans="9:10" x14ac:dyDescent="0.2">
      <c r="I4107" s="1125"/>
      <c r="J4107" s="1125"/>
    </row>
    <row r="4108" spans="9:10" x14ac:dyDescent="0.2">
      <c r="I4108" s="1125"/>
      <c r="J4108" s="1125"/>
    </row>
    <row r="4109" spans="9:10" x14ac:dyDescent="0.2">
      <c r="I4109" s="1125"/>
      <c r="J4109" s="1125"/>
    </row>
    <row r="4110" spans="9:10" x14ac:dyDescent="0.2">
      <c r="I4110" s="1125"/>
      <c r="J4110" s="1125"/>
    </row>
    <row r="4111" spans="9:10" x14ac:dyDescent="0.2">
      <c r="I4111" s="1125"/>
      <c r="J4111" s="1125"/>
    </row>
    <row r="4112" spans="9:10" x14ac:dyDescent="0.2">
      <c r="I4112" s="1125"/>
      <c r="J4112" s="1125"/>
    </row>
    <row r="4113" spans="9:10" x14ac:dyDescent="0.2">
      <c r="I4113" s="1125"/>
      <c r="J4113" s="1125"/>
    </row>
    <row r="4114" spans="9:10" x14ac:dyDescent="0.2">
      <c r="I4114" s="1125"/>
      <c r="J4114" s="1125"/>
    </row>
    <row r="4115" spans="9:10" x14ac:dyDescent="0.2">
      <c r="I4115" s="1125"/>
      <c r="J4115" s="1125"/>
    </row>
    <row r="4116" spans="9:10" x14ac:dyDescent="0.2">
      <c r="I4116" s="1125"/>
      <c r="J4116" s="1125"/>
    </row>
    <row r="4117" spans="9:10" x14ac:dyDescent="0.2">
      <c r="I4117" s="1125"/>
      <c r="J4117" s="1125"/>
    </row>
    <row r="4118" spans="9:10" x14ac:dyDescent="0.2">
      <c r="I4118" s="1125"/>
      <c r="J4118" s="1125"/>
    </row>
    <row r="4119" spans="9:10" x14ac:dyDescent="0.2">
      <c r="I4119" s="1125"/>
      <c r="J4119" s="1125"/>
    </row>
    <row r="4120" spans="9:10" x14ac:dyDescent="0.2">
      <c r="I4120" s="1125"/>
      <c r="J4120" s="1125"/>
    </row>
    <row r="4121" spans="9:10" x14ac:dyDescent="0.2">
      <c r="I4121" s="1125"/>
      <c r="J4121" s="1125"/>
    </row>
    <row r="4122" spans="9:10" x14ac:dyDescent="0.2">
      <c r="I4122" s="1125"/>
      <c r="J4122" s="1125"/>
    </row>
    <row r="4123" spans="9:10" x14ac:dyDescent="0.2">
      <c r="I4123" s="1125"/>
      <c r="J4123" s="1125"/>
    </row>
    <row r="4124" spans="9:10" x14ac:dyDescent="0.2">
      <c r="I4124" s="1125"/>
      <c r="J4124" s="1125"/>
    </row>
    <row r="4125" spans="9:10" x14ac:dyDescent="0.2">
      <c r="I4125" s="1125"/>
      <c r="J4125" s="1125"/>
    </row>
    <row r="4126" spans="9:10" x14ac:dyDescent="0.2">
      <c r="I4126" s="1125"/>
      <c r="J4126" s="1125"/>
    </row>
    <row r="4127" spans="9:10" x14ac:dyDescent="0.2">
      <c r="I4127" s="1125"/>
      <c r="J4127" s="1125"/>
    </row>
    <row r="4128" spans="9:10" x14ac:dyDescent="0.2">
      <c r="I4128" s="1125"/>
      <c r="J4128" s="1125"/>
    </row>
    <row r="4129" spans="9:10" x14ac:dyDescent="0.2">
      <c r="I4129" s="1125"/>
      <c r="J4129" s="1125"/>
    </row>
    <row r="4130" spans="9:10" x14ac:dyDescent="0.2">
      <c r="I4130" s="1125"/>
      <c r="J4130" s="1125"/>
    </row>
    <row r="4131" spans="9:10" x14ac:dyDescent="0.2">
      <c r="I4131" s="1125"/>
      <c r="J4131" s="1125"/>
    </row>
    <row r="4132" spans="9:10" x14ac:dyDescent="0.2">
      <c r="I4132" s="1125"/>
      <c r="J4132" s="1125"/>
    </row>
    <row r="4133" spans="9:10" x14ac:dyDescent="0.2">
      <c r="I4133" s="1125"/>
      <c r="J4133" s="1125"/>
    </row>
    <row r="4134" spans="9:10" x14ac:dyDescent="0.2">
      <c r="I4134" s="1125"/>
      <c r="J4134" s="1125"/>
    </row>
    <row r="4135" spans="9:10" x14ac:dyDescent="0.2">
      <c r="I4135" s="1125"/>
      <c r="J4135" s="1125"/>
    </row>
    <row r="4136" spans="9:10" x14ac:dyDescent="0.2">
      <c r="I4136" s="1125"/>
      <c r="J4136" s="1125"/>
    </row>
    <row r="4137" spans="9:10" x14ac:dyDescent="0.2">
      <c r="I4137" s="1125"/>
      <c r="J4137" s="1125"/>
    </row>
    <row r="4138" spans="9:10" x14ac:dyDescent="0.2">
      <c r="I4138" s="1125"/>
      <c r="J4138" s="1125"/>
    </row>
    <row r="4139" spans="9:10" x14ac:dyDescent="0.2">
      <c r="I4139" s="1125"/>
      <c r="J4139" s="1125"/>
    </row>
    <row r="4140" spans="9:10" x14ac:dyDescent="0.2">
      <c r="I4140" s="1125"/>
      <c r="J4140" s="1125"/>
    </row>
    <row r="4141" spans="9:10" x14ac:dyDescent="0.2">
      <c r="I4141" s="1125"/>
      <c r="J4141" s="1125"/>
    </row>
    <row r="4142" spans="9:10" x14ac:dyDescent="0.2">
      <c r="I4142" s="1125"/>
      <c r="J4142" s="1125"/>
    </row>
    <row r="4143" spans="9:10" x14ac:dyDescent="0.2">
      <c r="I4143" s="1125"/>
      <c r="J4143" s="1125"/>
    </row>
    <row r="4144" spans="9:10" x14ac:dyDescent="0.2">
      <c r="I4144" s="1125"/>
      <c r="J4144" s="1125"/>
    </row>
    <row r="4145" spans="9:10" x14ac:dyDescent="0.2">
      <c r="I4145" s="1125"/>
      <c r="J4145" s="1125"/>
    </row>
    <row r="4146" spans="9:10" x14ac:dyDescent="0.2">
      <c r="I4146" s="1125"/>
      <c r="J4146" s="1125"/>
    </row>
    <row r="4147" spans="9:10" x14ac:dyDescent="0.2">
      <c r="I4147" s="1125"/>
      <c r="J4147" s="1125"/>
    </row>
    <row r="4148" spans="9:10" x14ac:dyDescent="0.2">
      <c r="I4148" s="1125"/>
      <c r="J4148" s="1125"/>
    </row>
    <row r="4149" spans="9:10" x14ac:dyDescent="0.2">
      <c r="I4149" s="1125"/>
      <c r="J4149" s="1125"/>
    </row>
    <row r="4150" spans="9:10" x14ac:dyDescent="0.2">
      <c r="I4150" s="1125"/>
      <c r="J4150" s="1125"/>
    </row>
    <row r="4151" spans="9:10" x14ac:dyDescent="0.2">
      <c r="I4151" s="1125"/>
      <c r="J4151" s="1125"/>
    </row>
    <row r="4152" spans="9:10" x14ac:dyDescent="0.2">
      <c r="I4152" s="1125"/>
      <c r="J4152" s="1125"/>
    </row>
    <row r="4153" spans="9:10" x14ac:dyDescent="0.2">
      <c r="I4153" s="1125"/>
      <c r="J4153" s="1125"/>
    </row>
    <row r="4154" spans="9:10" x14ac:dyDescent="0.2">
      <c r="I4154" s="1125"/>
      <c r="J4154" s="1125"/>
    </row>
    <row r="4155" spans="9:10" x14ac:dyDescent="0.2">
      <c r="I4155" s="1125"/>
      <c r="J4155" s="1125"/>
    </row>
    <row r="4156" spans="9:10" x14ac:dyDescent="0.2">
      <c r="I4156" s="1125"/>
      <c r="J4156" s="1125"/>
    </row>
    <row r="4157" spans="9:10" x14ac:dyDescent="0.2">
      <c r="I4157" s="1125"/>
      <c r="J4157" s="1125"/>
    </row>
    <row r="4158" spans="9:10" x14ac:dyDescent="0.2">
      <c r="I4158" s="1125"/>
      <c r="J4158" s="1125"/>
    </row>
    <row r="4159" spans="9:10" x14ac:dyDescent="0.2">
      <c r="I4159" s="1125"/>
      <c r="J4159" s="1125"/>
    </row>
    <row r="4160" spans="9:10" x14ac:dyDescent="0.2">
      <c r="I4160" s="1125"/>
      <c r="J4160" s="1125"/>
    </row>
    <row r="4161" spans="9:10" x14ac:dyDescent="0.2">
      <c r="I4161" s="1125"/>
      <c r="J4161" s="1125"/>
    </row>
    <row r="4162" spans="9:10" x14ac:dyDescent="0.2">
      <c r="I4162" s="1125"/>
      <c r="J4162" s="1125"/>
    </row>
    <row r="4163" spans="9:10" x14ac:dyDescent="0.2">
      <c r="I4163" s="1125"/>
      <c r="J4163" s="1125"/>
    </row>
    <row r="4164" spans="9:10" x14ac:dyDescent="0.2">
      <c r="I4164" s="1125"/>
      <c r="J4164" s="1125"/>
    </row>
    <row r="4165" spans="9:10" x14ac:dyDescent="0.2">
      <c r="I4165" s="1125"/>
      <c r="J4165" s="1125"/>
    </row>
    <row r="4166" spans="9:10" x14ac:dyDescent="0.2">
      <c r="I4166" s="1125"/>
      <c r="J4166" s="1125"/>
    </row>
    <row r="4167" spans="9:10" x14ac:dyDescent="0.2">
      <c r="I4167" s="1125"/>
      <c r="J4167" s="1125"/>
    </row>
    <row r="4168" spans="9:10" x14ac:dyDescent="0.2">
      <c r="I4168" s="1125"/>
      <c r="J4168" s="1125"/>
    </row>
    <row r="4169" spans="9:10" x14ac:dyDescent="0.2">
      <c r="I4169" s="1125"/>
      <c r="J4169" s="1125"/>
    </row>
    <row r="4170" spans="9:10" x14ac:dyDescent="0.2">
      <c r="I4170" s="1125"/>
      <c r="J4170" s="1125"/>
    </row>
    <row r="4171" spans="9:10" x14ac:dyDescent="0.2">
      <c r="I4171" s="1125"/>
      <c r="J4171" s="1125"/>
    </row>
    <row r="4172" spans="9:10" x14ac:dyDescent="0.2">
      <c r="I4172" s="1125"/>
      <c r="J4172" s="1125"/>
    </row>
    <row r="4173" spans="9:10" x14ac:dyDescent="0.2">
      <c r="I4173" s="1125"/>
      <c r="J4173" s="1125"/>
    </row>
    <row r="4174" spans="9:10" x14ac:dyDescent="0.2">
      <c r="I4174" s="1125"/>
      <c r="J4174" s="1125"/>
    </row>
    <row r="4175" spans="9:10" x14ac:dyDescent="0.2">
      <c r="I4175" s="1125"/>
      <c r="J4175" s="1125"/>
    </row>
    <row r="4176" spans="9:10" x14ac:dyDescent="0.2">
      <c r="I4176" s="1125"/>
      <c r="J4176" s="1125"/>
    </row>
    <row r="4177" spans="9:10" x14ac:dyDescent="0.2">
      <c r="I4177" s="1125"/>
      <c r="J4177" s="1125"/>
    </row>
    <row r="4178" spans="9:10" x14ac:dyDescent="0.2">
      <c r="I4178" s="1125"/>
      <c r="J4178" s="1125"/>
    </row>
    <row r="4179" spans="9:10" x14ac:dyDescent="0.2">
      <c r="I4179" s="1125"/>
      <c r="J4179" s="1125"/>
    </row>
    <row r="4180" spans="9:10" x14ac:dyDescent="0.2">
      <c r="I4180" s="1125"/>
      <c r="J4180" s="1125"/>
    </row>
    <row r="4181" spans="9:10" x14ac:dyDescent="0.2">
      <c r="I4181" s="1125"/>
      <c r="J4181" s="1125"/>
    </row>
    <row r="4182" spans="9:10" x14ac:dyDescent="0.2">
      <c r="I4182" s="1125"/>
      <c r="J4182" s="1125"/>
    </row>
    <row r="4183" spans="9:10" x14ac:dyDescent="0.2">
      <c r="I4183" s="1125"/>
      <c r="J4183" s="1125"/>
    </row>
    <row r="4184" spans="9:10" x14ac:dyDescent="0.2">
      <c r="I4184" s="1125"/>
      <c r="J4184" s="1125"/>
    </row>
    <row r="4185" spans="9:10" x14ac:dyDescent="0.2">
      <c r="I4185" s="1125"/>
      <c r="J4185" s="1125"/>
    </row>
    <row r="4186" spans="9:10" x14ac:dyDescent="0.2">
      <c r="I4186" s="1125"/>
      <c r="J4186" s="1125"/>
    </row>
    <row r="4187" spans="9:10" x14ac:dyDescent="0.2">
      <c r="I4187" s="1125"/>
      <c r="J4187" s="1125"/>
    </row>
    <row r="4188" spans="9:10" x14ac:dyDescent="0.2">
      <c r="I4188" s="1125"/>
      <c r="J4188" s="1125"/>
    </row>
    <row r="4189" spans="9:10" x14ac:dyDescent="0.2">
      <c r="I4189" s="1125"/>
      <c r="J4189" s="1125"/>
    </row>
    <row r="4190" spans="9:10" x14ac:dyDescent="0.2">
      <c r="I4190" s="1125"/>
      <c r="J4190" s="1125"/>
    </row>
    <row r="4191" spans="9:10" x14ac:dyDescent="0.2">
      <c r="I4191" s="1125"/>
      <c r="J4191" s="1125"/>
    </row>
    <row r="4192" spans="9:10" x14ac:dyDescent="0.2">
      <c r="I4192" s="1125"/>
      <c r="J4192" s="1125"/>
    </row>
    <row r="4193" spans="9:10" x14ac:dyDescent="0.2">
      <c r="I4193" s="1125"/>
      <c r="J4193" s="1125"/>
    </row>
    <row r="4194" spans="9:10" x14ac:dyDescent="0.2">
      <c r="I4194" s="1125"/>
      <c r="J4194" s="1125"/>
    </row>
    <row r="4195" spans="9:10" x14ac:dyDescent="0.2">
      <c r="I4195" s="1125"/>
      <c r="J4195" s="1125"/>
    </row>
    <row r="4196" spans="9:10" x14ac:dyDescent="0.2">
      <c r="I4196" s="1125"/>
      <c r="J4196" s="1125"/>
    </row>
    <row r="4197" spans="9:10" x14ac:dyDescent="0.2">
      <c r="I4197" s="1125"/>
      <c r="J4197" s="1125"/>
    </row>
    <row r="4198" spans="9:10" x14ac:dyDescent="0.2">
      <c r="I4198" s="1125"/>
      <c r="J4198" s="1125"/>
    </row>
    <row r="4199" spans="9:10" x14ac:dyDescent="0.2">
      <c r="I4199" s="1125"/>
      <c r="J4199" s="1125"/>
    </row>
    <row r="4200" spans="9:10" x14ac:dyDescent="0.2">
      <c r="I4200" s="1125"/>
      <c r="J4200" s="1125"/>
    </row>
    <row r="4201" spans="9:10" x14ac:dyDescent="0.2">
      <c r="I4201" s="1125"/>
      <c r="J4201" s="1125"/>
    </row>
    <row r="4202" spans="9:10" x14ac:dyDescent="0.2">
      <c r="I4202" s="1125"/>
      <c r="J4202" s="1125"/>
    </row>
    <row r="4203" spans="9:10" x14ac:dyDescent="0.2">
      <c r="I4203" s="1125"/>
      <c r="J4203" s="1125"/>
    </row>
    <row r="4204" spans="9:10" x14ac:dyDescent="0.2">
      <c r="I4204" s="1125"/>
      <c r="J4204" s="1125"/>
    </row>
    <row r="4205" spans="9:10" x14ac:dyDescent="0.2">
      <c r="I4205" s="1125"/>
      <c r="J4205" s="1125"/>
    </row>
    <row r="4206" spans="9:10" x14ac:dyDescent="0.2">
      <c r="I4206" s="1125"/>
      <c r="J4206" s="1125"/>
    </row>
    <row r="4207" spans="9:10" x14ac:dyDescent="0.2">
      <c r="I4207" s="1125"/>
      <c r="J4207" s="1125"/>
    </row>
    <row r="4208" spans="9:10" x14ac:dyDescent="0.2">
      <c r="I4208" s="1125"/>
      <c r="J4208" s="1125"/>
    </row>
    <row r="4209" spans="9:10" x14ac:dyDescent="0.2">
      <c r="I4209" s="1125"/>
      <c r="J4209" s="1125"/>
    </row>
    <row r="4210" spans="9:10" x14ac:dyDescent="0.2">
      <c r="I4210" s="1125"/>
      <c r="J4210" s="1125"/>
    </row>
    <row r="4211" spans="9:10" x14ac:dyDescent="0.2">
      <c r="I4211" s="1125"/>
      <c r="J4211" s="1125"/>
    </row>
    <row r="4212" spans="9:10" x14ac:dyDescent="0.2">
      <c r="I4212" s="1125"/>
      <c r="J4212" s="1125"/>
    </row>
    <row r="4213" spans="9:10" x14ac:dyDescent="0.2">
      <c r="I4213" s="1125"/>
      <c r="J4213" s="1125"/>
    </row>
    <row r="4214" spans="9:10" x14ac:dyDescent="0.2">
      <c r="I4214" s="1125"/>
      <c r="J4214" s="1125"/>
    </row>
    <row r="4215" spans="9:10" x14ac:dyDescent="0.2">
      <c r="I4215" s="1125"/>
      <c r="J4215" s="1125"/>
    </row>
    <row r="4216" spans="9:10" x14ac:dyDescent="0.2">
      <c r="I4216" s="1125"/>
      <c r="J4216" s="1125"/>
    </row>
    <row r="4217" spans="9:10" x14ac:dyDescent="0.2">
      <c r="I4217" s="1125"/>
      <c r="J4217" s="1125"/>
    </row>
    <row r="4218" spans="9:10" x14ac:dyDescent="0.2">
      <c r="I4218" s="1125"/>
      <c r="J4218" s="1125"/>
    </row>
    <row r="4219" spans="9:10" x14ac:dyDescent="0.2">
      <c r="I4219" s="1125"/>
      <c r="J4219" s="1125"/>
    </row>
    <row r="4220" spans="9:10" x14ac:dyDescent="0.2">
      <c r="I4220" s="1125"/>
      <c r="J4220" s="1125"/>
    </row>
    <row r="4221" spans="9:10" x14ac:dyDescent="0.2">
      <c r="I4221" s="1125"/>
      <c r="J4221" s="1125"/>
    </row>
    <row r="4222" spans="9:10" x14ac:dyDescent="0.2">
      <c r="I4222" s="1125"/>
      <c r="J4222" s="1125"/>
    </row>
    <row r="4223" spans="9:10" x14ac:dyDescent="0.2">
      <c r="I4223" s="1125"/>
      <c r="J4223" s="1125"/>
    </row>
    <row r="4224" spans="9:10" x14ac:dyDescent="0.2">
      <c r="I4224" s="1125"/>
      <c r="J4224" s="1125"/>
    </row>
    <row r="4225" spans="9:10" x14ac:dyDescent="0.2">
      <c r="I4225" s="1125"/>
      <c r="J4225" s="1125"/>
    </row>
    <row r="4226" spans="9:10" x14ac:dyDescent="0.2">
      <c r="I4226" s="1125"/>
      <c r="J4226" s="1125"/>
    </row>
    <row r="4227" spans="9:10" x14ac:dyDescent="0.2">
      <c r="I4227" s="1125"/>
      <c r="J4227" s="1125"/>
    </row>
    <row r="4228" spans="9:10" x14ac:dyDescent="0.2">
      <c r="I4228" s="1125"/>
      <c r="J4228" s="1125"/>
    </row>
    <row r="4229" spans="9:10" x14ac:dyDescent="0.2">
      <c r="I4229" s="1125"/>
      <c r="J4229" s="1125"/>
    </row>
    <row r="4230" spans="9:10" x14ac:dyDescent="0.2">
      <c r="I4230" s="1125"/>
      <c r="J4230" s="1125"/>
    </row>
    <row r="4231" spans="9:10" x14ac:dyDescent="0.2">
      <c r="I4231" s="1125"/>
      <c r="J4231" s="1125"/>
    </row>
    <row r="4232" spans="9:10" x14ac:dyDescent="0.2">
      <c r="I4232" s="1125"/>
      <c r="J4232" s="1125"/>
    </row>
    <row r="4233" spans="9:10" x14ac:dyDescent="0.2">
      <c r="I4233" s="1125"/>
      <c r="J4233" s="1125"/>
    </row>
    <row r="4234" spans="9:10" x14ac:dyDescent="0.2">
      <c r="I4234" s="1125"/>
      <c r="J4234" s="1125"/>
    </row>
    <row r="4235" spans="9:10" x14ac:dyDescent="0.2">
      <c r="I4235" s="1125"/>
      <c r="J4235" s="1125"/>
    </row>
    <row r="4236" spans="9:10" x14ac:dyDescent="0.2">
      <c r="I4236" s="1125"/>
      <c r="J4236" s="1125"/>
    </row>
    <row r="4237" spans="9:10" x14ac:dyDescent="0.2">
      <c r="I4237" s="1125"/>
      <c r="J4237" s="1125"/>
    </row>
    <row r="4238" spans="9:10" x14ac:dyDescent="0.2">
      <c r="I4238" s="1125"/>
      <c r="J4238" s="1125"/>
    </row>
    <row r="4239" spans="9:10" x14ac:dyDescent="0.2">
      <c r="I4239" s="1125"/>
      <c r="J4239" s="1125"/>
    </row>
    <row r="4240" spans="9:10" x14ac:dyDescent="0.2">
      <c r="I4240" s="1125"/>
      <c r="J4240" s="1125"/>
    </row>
    <row r="4241" spans="9:10" x14ac:dyDescent="0.2">
      <c r="I4241" s="1125"/>
      <c r="J4241" s="1125"/>
    </row>
    <row r="4242" spans="9:10" x14ac:dyDescent="0.2">
      <c r="I4242" s="1125"/>
      <c r="J4242" s="1125"/>
    </row>
    <row r="4243" spans="9:10" x14ac:dyDescent="0.2">
      <c r="I4243" s="1125"/>
      <c r="J4243" s="1125"/>
    </row>
    <row r="4244" spans="9:10" x14ac:dyDescent="0.2">
      <c r="I4244" s="1125"/>
      <c r="J4244" s="1125"/>
    </row>
    <row r="4245" spans="9:10" x14ac:dyDescent="0.2">
      <c r="I4245" s="1125"/>
      <c r="J4245" s="1125"/>
    </row>
    <row r="4246" spans="9:10" x14ac:dyDescent="0.2">
      <c r="I4246" s="1125"/>
      <c r="J4246" s="1125"/>
    </row>
    <row r="4247" spans="9:10" x14ac:dyDescent="0.2">
      <c r="I4247" s="1125"/>
      <c r="J4247" s="1125"/>
    </row>
    <row r="4248" spans="9:10" x14ac:dyDescent="0.2">
      <c r="I4248" s="1125"/>
      <c r="J4248" s="1125"/>
    </row>
    <row r="4249" spans="9:10" x14ac:dyDescent="0.2">
      <c r="I4249" s="1125"/>
      <c r="J4249" s="1125"/>
    </row>
    <row r="4250" spans="9:10" x14ac:dyDescent="0.2">
      <c r="I4250" s="1125"/>
      <c r="J4250" s="1125"/>
    </row>
    <row r="4251" spans="9:10" x14ac:dyDescent="0.2">
      <c r="I4251" s="1125"/>
      <c r="J4251" s="1125"/>
    </row>
    <row r="4252" spans="9:10" x14ac:dyDescent="0.2">
      <c r="I4252" s="1125"/>
      <c r="J4252" s="1125"/>
    </row>
    <row r="4253" spans="9:10" x14ac:dyDescent="0.2">
      <c r="I4253" s="1125"/>
      <c r="J4253" s="1125"/>
    </row>
    <row r="4254" spans="9:10" x14ac:dyDescent="0.2">
      <c r="I4254" s="1125"/>
      <c r="J4254" s="1125"/>
    </row>
    <row r="4255" spans="9:10" x14ac:dyDescent="0.2">
      <c r="I4255" s="1125"/>
      <c r="J4255" s="1125"/>
    </row>
    <row r="4256" spans="9:10" x14ac:dyDescent="0.2">
      <c r="I4256" s="1125"/>
      <c r="J4256" s="1125"/>
    </row>
    <row r="4257" spans="9:10" x14ac:dyDescent="0.2">
      <c r="I4257" s="1125"/>
      <c r="J4257" s="1125"/>
    </row>
    <row r="4258" spans="9:10" x14ac:dyDescent="0.2">
      <c r="I4258" s="1125"/>
      <c r="J4258" s="1125"/>
    </row>
    <row r="4259" spans="9:10" x14ac:dyDescent="0.2">
      <c r="I4259" s="1125"/>
      <c r="J4259" s="1125"/>
    </row>
    <row r="4260" spans="9:10" x14ac:dyDescent="0.2">
      <c r="I4260" s="1125"/>
      <c r="J4260" s="1125"/>
    </row>
    <row r="4261" spans="9:10" x14ac:dyDescent="0.2">
      <c r="I4261" s="1125"/>
      <c r="J4261" s="1125"/>
    </row>
    <row r="4262" spans="9:10" x14ac:dyDescent="0.2">
      <c r="I4262" s="1125"/>
      <c r="J4262" s="1125"/>
    </row>
    <row r="4263" spans="9:10" x14ac:dyDescent="0.2">
      <c r="I4263" s="1125"/>
      <c r="J4263" s="1125"/>
    </row>
    <row r="4264" spans="9:10" x14ac:dyDescent="0.2">
      <c r="I4264" s="1125"/>
      <c r="J4264" s="1125"/>
    </row>
    <row r="4265" spans="9:10" x14ac:dyDescent="0.2">
      <c r="I4265" s="1125"/>
      <c r="J4265" s="1125"/>
    </row>
    <row r="4266" spans="9:10" x14ac:dyDescent="0.2">
      <c r="I4266" s="1125"/>
      <c r="J4266" s="1125"/>
    </row>
    <row r="4267" spans="9:10" x14ac:dyDescent="0.2">
      <c r="I4267" s="1125"/>
      <c r="J4267" s="1125"/>
    </row>
    <row r="4268" spans="9:10" x14ac:dyDescent="0.2">
      <c r="I4268" s="1125"/>
      <c r="J4268" s="1125"/>
    </row>
    <row r="4269" spans="9:10" x14ac:dyDescent="0.2">
      <c r="I4269" s="1125"/>
      <c r="J4269" s="1125"/>
    </row>
    <row r="4270" spans="9:10" x14ac:dyDescent="0.2">
      <c r="I4270" s="1125"/>
      <c r="J4270" s="1125"/>
    </row>
    <row r="4271" spans="9:10" x14ac:dyDescent="0.2">
      <c r="I4271" s="1125"/>
      <c r="J4271" s="1125"/>
    </row>
    <row r="4272" spans="9:10" x14ac:dyDescent="0.2">
      <c r="I4272" s="1125"/>
      <c r="J4272" s="1125"/>
    </row>
    <row r="4273" spans="9:10" x14ac:dyDescent="0.2">
      <c r="I4273" s="1125"/>
      <c r="J4273" s="1125"/>
    </row>
    <row r="4274" spans="9:10" x14ac:dyDescent="0.2">
      <c r="I4274" s="1125"/>
      <c r="J4274" s="1125"/>
    </row>
    <row r="4275" spans="9:10" x14ac:dyDescent="0.2">
      <c r="I4275" s="1125"/>
      <c r="J4275" s="1125"/>
    </row>
    <row r="4276" spans="9:10" x14ac:dyDescent="0.2">
      <c r="I4276" s="1125"/>
      <c r="J4276" s="1125"/>
    </row>
    <row r="4277" spans="9:10" x14ac:dyDescent="0.2">
      <c r="I4277" s="1125"/>
      <c r="J4277" s="1125"/>
    </row>
    <row r="4278" spans="9:10" x14ac:dyDescent="0.2">
      <c r="I4278" s="1125"/>
      <c r="J4278" s="1125"/>
    </row>
    <row r="4279" spans="9:10" x14ac:dyDescent="0.2">
      <c r="I4279" s="1125"/>
      <c r="J4279" s="1125"/>
    </row>
    <row r="4280" spans="9:10" x14ac:dyDescent="0.2">
      <c r="I4280" s="1125"/>
      <c r="J4280" s="1125"/>
    </row>
    <row r="4281" spans="9:10" x14ac:dyDescent="0.2">
      <c r="I4281" s="1125"/>
      <c r="J4281" s="1125"/>
    </row>
    <row r="4282" spans="9:10" x14ac:dyDescent="0.2">
      <c r="I4282" s="1125"/>
      <c r="J4282" s="1125"/>
    </row>
    <row r="4283" spans="9:10" x14ac:dyDescent="0.2">
      <c r="I4283" s="1125"/>
      <c r="J4283" s="1125"/>
    </row>
    <row r="4284" spans="9:10" x14ac:dyDescent="0.2">
      <c r="I4284" s="1125"/>
      <c r="J4284" s="1125"/>
    </row>
    <row r="4285" spans="9:10" x14ac:dyDescent="0.2">
      <c r="I4285" s="1125"/>
      <c r="J4285" s="1125"/>
    </row>
    <row r="4286" spans="9:10" x14ac:dyDescent="0.2">
      <c r="I4286" s="1125"/>
      <c r="J4286" s="1125"/>
    </row>
    <row r="4287" spans="9:10" x14ac:dyDescent="0.2">
      <c r="I4287" s="1125"/>
      <c r="J4287" s="1125"/>
    </row>
    <row r="4288" spans="9:10" x14ac:dyDescent="0.2">
      <c r="I4288" s="1125"/>
      <c r="J4288" s="1125"/>
    </row>
    <row r="4289" spans="9:10" x14ac:dyDescent="0.2">
      <c r="I4289" s="1125"/>
      <c r="J4289" s="1125"/>
    </row>
    <row r="4290" spans="9:10" x14ac:dyDescent="0.2">
      <c r="I4290" s="1125"/>
      <c r="J4290" s="1125"/>
    </row>
    <row r="4291" spans="9:10" x14ac:dyDescent="0.2">
      <c r="I4291" s="1125"/>
      <c r="J4291" s="1125"/>
    </row>
    <row r="4292" spans="9:10" x14ac:dyDescent="0.2">
      <c r="I4292" s="1125"/>
      <c r="J4292" s="1125"/>
    </row>
    <row r="4293" spans="9:10" x14ac:dyDescent="0.2">
      <c r="I4293" s="1125"/>
      <c r="J4293" s="1125"/>
    </row>
    <row r="4294" spans="9:10" x14ac:dyDescent="0.2">
      <c r="I4294" s="1125"/>
      <c r="J4294" s="1125"/>
    </row>
    <row r="4295" spans="9:10" x14ac:dyDescent="0.2">
      <c r="I4295" s="1125"/>
      <c r="J4295" s="1125"/>
    </row>
    <row r="4296" spans="9:10" x14ac:dyDescent="0.2">
      <c r="I4296" s="1125"/>
      <c r="J4296" s="1125"/>
    </row>
    <row r="4297" spans="9:10" x14ac:dyDescent="0.2">
      <c r="I4297" s="1125"/>
      <c r="J4297" s="1125"/>
    </row>
    <row r="4298" spans="9:10" x14ac:dyDescent="0.2">
      <c r="I4298" s="1125"/>
      <c r="J4298" s="1125"/>
    </row>
    <row r="4299" spans="9:10" x14ac:dyDescent="0.2">
      <c r="I4299" s="1125"/>
      <c r="J4299" s="1125"/>
    </row>
    <row r="4300" spans="9:10" x14ac:dyDescent="0.2">
      <c r="I4300" s="1125"/>
      <c r="J4300" s="1125"/>
    </row>
    <row r="4301" spans="9:10" x14ac:dyDescent="0.2">
      <c r="I4301" s="1125"/>
      <c r="J4301" s="1125"/>
    </row>
    <row r="4302" spans="9:10" x14ac:dyDescent="0.2">
      <c r="I4302" s="1125"/>
      <c r="J4302" s="1125"/>
    </row>
    <row r="4303" spans="9:10" x14ac:dyDescent="0.2">
      <c r="I4303" s="1125"/>
      <c r="J4303" s="1125"/>
    </row>
    <row r="4304" spans="9:10" x14ac:dyDescent="0.2">
      <c r="I4304" s="1125"/>
      <c r="J4304" s="1125"/>
    </row>
    <row r="4305" spans="9:10" x14ac:dyDescent="0.2">
      <c r="I4305" s="1125"/>
      <c r="J4305" s="1125"/>
    </row>
    <row r="4306" spans="9:10" x14ac:dyDescent="0.2">
      <c r="I4306" s="1125"/>
      <c r="J4306" s="1125"/>
    </row>
    <row r="4307" spans="9:10" x14ac:dyDescent="0.2">
      <c r="I4307" s="1125"/>
      <c r="J4307" s="1125"/>
    </row>
    <row r="4308" spans="9:10" x14ac:dyDescent="0.2">
      <c r="I4308" s="1125"/>
      <c r="J4308" s="1125"/>
    </row>
    <row r="4309" spans="9:10" x14ac:dyDescent="0.2">
      <c r="I4309" s="1125"/>
      <c r="J4309" s="1125"/>
    </row>
    <row r="4310" spans="9:10" x14ac:dyDescent="0.2">
      <c r="I4310" s="1125"/>
      <c r="J4310" s="1125"/>
    </row>
    <row r="4311" spans="9:10" x14ac:dyDescent="0.2">
      <c r="I4311" s="1125"/>
      <c r="J4311" s="1125"/>
    </row>
    <row r="4312" spans="9:10" x14ac:dyDescent="0.2">
      <c r="I4312" s="1125"/>
      <c r="J4312" s="1125"/>
    </row>
    <row r="4313" spans="9:10" x14ac:dyDescent="0.2">
      <c r="I4313" s="1125"/>
      <c r="J4313" s="1125"/>
    </row>
    <row r="4314" spans="9:10" x14ac:dyDescent="0.2">
      <c r="I4314" s="1125"/>
      <c r="J4314" s="1125"/>
    </row>
    <row r="4315" spans="9:10" x14ac:dyDescent="0.2">
      <c r="I4315" s="1125"/>
      <c r="J4315" s="1125"/>
    </row>
    <row r="4316" spans="9:10" x14ac:dyDescent="0.2">
      <c r="I4316" s="1125"/>
      <c r="J4316" s="1125"/>
    </row>
    <row r="4317" spans="9:10" x14ac:dyDescent="0.2">
      <c r="I4317" s="1125"/>
      <c r="J4317" s="1125"/>
    </row>
    <row r="4318" spans="9:10" x14ac:dyDescent="0.2">
      <c r="I4318" s="1125"/>
      <c r="J4318" s="1125"/>
    </row>
    <row r="4319" spans="9:10" x14ac:dyDescent="0.2">
      <c r="I4319" s="1125"/>
      <c r="J4319" s="1125"/>
    </row>
    <row r="4320" spans="9:10" x14ac:dyDescent="0.2">
      <c r="I4320" s="1125"/>
      <c r="J4320" s="1125"/>
    </row>
    <row r="4321" spans="9:10" x14ac:dyDescent="0.2">
      <c r="I4321" s="1125"/>
      <c r="J4321" s="1125"/>
    </row>
    <row r="4322" spans="9:10" x14ac:dyDescent="0.2">
      <c r="I4322" s="1125"/>
      <c r="J4322" s="1125"/>
    </row>
    <row r="4323" spans="9:10" x14ac:dyDescent="0.2">
      <c r="I4323" s="1125"/>
      <c r="J4323" s="1125"/>
    </row>
    <row r="4324" spans="9:10" x14ac:dyDescent="0.2">
      <c r="I4324" s="1125"/>
      <c r="J4324" s="1125"/>
    </row>
    <row r="4325" spans="9:10" x14ac:dyDescent="0.2">
      <c r="I4325" s="1125"/>
      <c r="J4325" s="1125"/>
    </row>
    <row r="4326" spans="9:10" x14ac:dyDescent="0.2">
      <c r="I4326" s="1125"/>
      <c r="J4326" s="1125"/>
    </row>
    <row r="4327" spans="9:10" x14ac:dyDescent="0.2">
      <c r="I4327" s="1125"/>
      <c r="J4327" s="1125"/>
    </row>
    <row r="4328" spans="9:10" x14ac:dyDescent="0.2">
      <c r="I4328" s="1125"/>
      <c r="J4328" s="1125"/>
    </row>
    <row r="4329" spans="9:10" x14ac:dyDescent="0.2">
      <c r="I4329" s="1125"/>
      <c r="J4329" s="1125"/>
    </row>
    <row r="4330" spans="9:10" x14ac:dyDescent="0.2">
      <c r="I4330" s="1125"/>
      <c r="J4330" s="1125"/>
    </row>
    <row r="4331" spans="9:10" x14ac:dyDescent="0.2">
      <c r="I4331" s="1125"/>
      <c r="J4331" s="1125"/>
    </row>
    <row r="4332" spans="9:10" x14ac:dyDescent="0.2">
      <c r="I4332" s="1125"/>
      <c r="J4332" s="1125"/>
    </row>
    <row r="4333" spans="9:10" x14ac:dyDescent="0.2">
      <c r="I4333" s="1125"/>
      <c r="J4333" s="1125"/>
    </row>
    <row r="4334" spans="9:10" x14ac:dyDescent="0.2">
      <c r="I4334" s="1125"/>
      <c r="J4334" s="1125"/>
    </row>
    <row r="4335" spans="9:10" x14ac:dyDescent="0.2">
      <c r="I4335" s="1125"/>
      <c r="J4335" s="1125"/>
    </row>
    <row r="4336" spans="9:10" x14ac:dyDescent="0.2">
      <c r="I4336" s="1125"/>
      <c r="J4336" s="1125"/>
    </row>
    <row r="4337" spans="9:10" x14ac:dyDescent="0.2">
      <c r="I4337" s="1125"/>
      <c r="J4337" s="1125"/>
    </row>
    <row r="4338" spans="9:10" x14ac:dyDescent="0.2">
      <c r="I4338" s="1125"/>
      <c r="J4338" s="1125"/>
    </row>
    <row r="4339" spans="9:10" x14ac:dyDescent="0.2">
      <c r="I4339" s="1125"/>
      <c r="J4339" s="1125"/>
    </row>
    <row r="4340" spans="9:10" x14ac:dyDescent="0.2">
      <c r="I4340" s="1125"/>
      <c r="J4340" s="1125"/>
    </row>
    <row r="4341" spans="9:10" x14ac:dyDescent="0.2">
      <c r="I4341" s="1125"/>
      <c r="J4341" s="1125"/>
    </row>
    <row r="4342" spans="9:10" x14ac:dyDescent="0.2">
      <c r="I4342" s="1125"/>
      <c r="J4342" s="1125"/>
    </row>
    <row r="4343" spans="9:10" x14ac:dyDescent="0.2">
      <c r="I4343" s="1125"/>
      <c r="J4343" s="1125"/>
    </row>
    <row r="4344" spans="9:10" x14ac:dyDescent="0.2">
      <c r="I4344" s="1125"/>
      <c r="J4344" s="1125"/>
    </row>
    <row r="4345" spans="9:10" x14ac:dyDescent="0.2">
      <c r="I4345" s="1125"/>
      <c r="J4345" s="1125"/>
    </row>
    <row r="4346" spans="9:10" x14ac:dyDescent="0.2">
      <c r="I4346" s="1125"/>
      <c r="J4346" s="1125"/>
    </row>
    <row r="4347" spans="9:10" x14ac:dyDescent="0.2">
      <c r="I4347" s="1125"/>
      <c r="J4347" s="1125"/>
    </row>
    <row r="4348" spans="9:10" x14ac:dyDescent="0.2">
      <c r="I4348" s="1125"/>
      <c r="J4348" s="1125"/>
    </row>
    <row r="4349" spans="9:10" x14ac:dyDescent="0.2">
      <c r="I4349" s="1125"/>
      <c r="J4349" s="1125"/>
    </row>
    <row r="4350" spans="9:10" x14ac:dyDescent="0.2">
      <c r="I4350" s="1125"/>
      <c r="J4350" s="1125"/>
    </row>
    <row r="4351" spans="9:10" x14ac:dyDescent="0.2">
      <c r="I4351" s="1125"/>
      <c r="J4351" s="1125"/>
    </row>
    <row r="4352" spans="9:10" x14ac:dyDescent="0.2">
      <c r="I4352" s="1125"/>
      <c r="J4352" s="1125"/>
    </row>
    <row r="4353" spans="9:10" x14ac:dyDescent="0.2">
      <c r="I4353" s="1125"/>
      <c r="J4353" s="1125"/>
    </row>
    <row r="4354" spans="9:10" x14ac:dyDescent="0.2">
      <c r="I4354" s="1125"/>
      <c r="J4354" s="1125"/>
    </row>
    <row r="4355" spans="9:10" x14ac:dyDescent="0.2">
      <c r="I4355" s="1125"/>
      <c r="J4355" s="1125"/>
    </row>
    <row r="4356" spans="9:10" x14ac:dyDescent="0.2">
      <c r="I4356" s="1125"/>
      <c r="J4356" s="1125"/>
    </row>
    <row r="4357" spans="9:10" x14ac:dyDescent="0.2">
      <c r="I4357" s="1125"/>
      <c r="J4357" s="1125"/>
    </row>
    <row r="4358" spans="9:10" x14ac:dyDescent="0.2">
      <c r="I4358" s="1125"/>
      <c r="J4358" s="1125"/>
    </row>
    <row r="4359" spans="9:10" x14ac:dyDescent="0.2">
      <c r="I4359" s="1125"/>
      <c r="J4359" s="1125"/>
    </row>
    <row r="4360" spans="9:10" x14ac:dyDescent="0.2">
      <c r="I4360" s="1125"/>
      <c r="J4360" s="1125"/>
    </row>
    <row r="4361" spans="9:10" x14ac:dyDescent="0.2">
      <c r="I4361" s="1125"/>
      <c r="J4361" s="1125"/>
    </row>
    <row r="4362" spans="9:10" x14ac:dyDescent="0.2">
      <c r="I4362" s="1125"/>
      <c r="J4362" s="1125"/>
    </row>
    <row r="4363" spans="9:10" x14ac:dyDescent="0.2">
      <c r="I4363" s="1125"/>
      <c r="J4363" s="1125"/>
    </row>
    <row r="4364" spans="9:10" x14ac:dyDescent="0.2">
      <c r="I4364" s="1125"/>
      <c r="J4364" s="1125"/>
    </row>
    <row r="4365" spans="9:10" x14ac:dyDescent="0.2">
      <c r="I4365" s="1125"/>
      <c r="J4365" s="1125"/>
    </row>
    <row r="4366" spans="9:10" x14ac:dyDescent="0.2">
      <c r="I4366" s="1125"/>
      <c r="J4366" s="1125"/>
    </row>
    <row r="4367" spans="9:10" x14ac:dyDescent="0.2">
      <c r="I4367" s="1125"/>
      <c r="J4367" s="1125"/>
    </row>
    <row r="4368" spans="9:10" x14ac:dyDescent="0.2">
      <c r="I4368" s="1125"/>
      <c r="J4368" s="1125"/>
    </row>
    <row r="4369" spans="9:10" x14ac:dyDescent="0.2">
      <c r="I4369" s="1125"/>
      <c r="J4369" s="1125"/>
    </row>
    <row r="4370" spans="9:10" x14ac:dyDescent="0.2">
      <c r="I4370" s="1125"/>
      <c r="J4370" s="1125"/>
    </row>
    <row r="4371" spans="9:10" x14ac:dyDescent="0.2">
      <c r="I4371" s="1125"/>
      <c r="J4371" s="1125"/>
    </row>
    <row r="4372" spans="9:10" x14ac:dyDescent="0.2">
      <c r="I4372" s="1125"/>
      <c r="J4372" s="1125"/>
    </row>
    <row r="4373" spans="9:10" x14ac:dyDescent="0.2">
      <c r="I4373" s="1125"/>
      <c r="J4373" s="1125"/>
    </row>
    <row r="4374" spans="9:10" x14ac:dyDescent="0.2">
      <c r="I4374" s="1125"/>
      <c r="J4374" s="1125"/>
    </row>
    <row r="4375" spans="9:10" x14ac:dyDescent="0.2">
      <c r="I4375" s="1125"/>
      <c r="J4375" s="1125"/>
    </row>
    <row r="4376" spans="9:10" x14ac:dyDescent="0.2">
      <c r="I4376" s="1125"/>
      <c r="J4376" s="1125"/>
    </row>
    <row r="4377" spans="9:10" x14ac:dyDescent="0.2">
      <c r="I4377" s="1125"/>
      <c r="J4377" s="1125"/>
    </row>
    <row r="4378" spans="9:10" x14ac:dyDescent="0.2">
      <c r="I4378" s="1125"/>
      <c r="J4378" s="1125"/>
    </row>
    <row r="4379" spans="9:10" x14ac:dyDescent="0.2">
      <c r="I4379" s="1125"/>
      <c r="J4379" s="1125"/>
    </row>
    <row r="4380" spans="9:10" x14ac:dyDescent="0.2">
      <c r="I4380" s="1125"/>
      <c r="J4380" s="1125"/>
    </row>
    <row r="4381" spans="9:10" x14ac:dyDescent="0.2">
      <c r="I4381" s="1125"/>
      <c r="J4381" s="1125"/>
    </row>
    <row r="4382" spans="9:10" x14ac:dyDescent="0.2">
      <c r="I4382" s="1125"/>
      <c r="J4382" s="1125"/>
    </row>
    <row r="4383" spans="9:10" x14ac:dyDescent="0.2">
      <c r="I4383" s="1125"/>
      <c r="J4383" s="1125"/>
    </row>
    <row r="4384" spans="9:10" x14ac:dyDescent="0.2">
      <c r="I4384" s="1125"/>
      <c r="J4384" s="1125"/>
    </row>
    <row r="4385" spans="9:10" x14ac:dyDescent="0.2">
      <c r="I4385" s="1125"/>
      <c r="J4385" s="1125"/>
    </row>
    <row r="4386" spans="9:10" x14ac:dyDescent="0.2">
      <c r="I4386" s="1125"/>
      <c r="J4386" s="1125"/>
    </row>
    <row r="4387" spans="9:10" x14ac:dyDescent="0.2">
      <c r="I4387" s="1125"/>
      <c r="J4387" s="1125"/>
    </row>
    <row r="4388" spans="9:10" x14ac:dyDescent="0.2">
      <c r="I4388" s="1125"/>
      <c r="J4388" s="1125"/>
    </row>
    <row r="4389" spans="9:10" x14ac:dyDescent="0.2">
      <c r="I4389" s="1125"/>
      <c r="J4389" s="1125"/>
    </row>
    <row r="4390" spans="9:10" x14ac:dyDescent="0.2">
      <c r="I4390" s="1125"/>
      <c r="J4390" s="1125"/>
    </row>
    <row r="4391" spans="9:10" x14ac:dyDescent="0.2">
      <c r="I4391" s="1125"/>
      <c r="J4391" s="1125"/>
    </row>
    <row r="4392" spans="9:10" x14ac:dyDescent="0.2">
      <c r="I4392" s="1125"/>
      <c r="J4392" s="1125"/>
    </row>
    <row r="4393" spans="9:10" x14ac:dyDescent="0.2">
      <c r="I4393" s="1125"/>
      <c r="J4393" s="1125"/>
    </row>
    <row r="4394" spans="9:10" x14ac:dyDescent="0.2">
      <c r="I4394" s="1125"/>
      <c r="J4394" s="1125"/>
    </row>
    <row r="4395" spans="9:10" x14ac:dyDescent="0.2">
      <c r="I4395" s="1125"/>
      <c r="J4395" s="1125"/>
    </row>
    <row r="4396" spans="9:10" x14ac:dyDescent="0.2">
      <c r="I4396" s="1125"/>
      <c r="J4396" s="1125"/>
    </row>
    <row r="4397" spans="9:10" x14ac:dyDescent="0.2">
      <c r="I4397" s="1125"/>
      <c r="J4397" s="1125"/>
    </row>
    <row r="4398" spans="9:10" x14ac:dyDescent="0.2">
      <c r="I4398" s="1125"/>
      <c r="J4398" s="1125"/>
    </row>
    <row r="4399" spans="9:10" x14ac:dyDescent="0.2">
      <c r="I4399" s="1125"/>
      <c r="J4399" s="1125"/>
    </row>
    <row r="4400" spans="9:10" x14ac:dyDescent="0.2">
      <c r="I4400" s="1125"/>
      <c r="J4400" s="1125"/>
    </row>
    <row r="4401" spans="9:10" x14ac:dyDescent="0.2">
      <c r="I4401" s="1125"/>
      <c r="J4401" s="1125"/>
    </row>
    <row r="4402" spans="9:10" x14ac:dyDescent="0.2">
      <c r="I4402" s="1125"/>
      <c r="J4402" s="1125"/>
    </row>
    <row r="4403" spans="9:10" x14ac:dyDescent="0.2">
      <c r="I4403" s="1125"/>
      <c r="J4403" s="1125"/>
    </row>
    <row r="4404" spans="9:10" x14ac:dyDescent="0.2">
      <c r="I4404" s="1125"/>
      <c r="J4404" s="1125"/>
    </row>
    <row r="4405" spans="9:10" x14ac:dyDescent="0.2">
      <c r="I4405" s="1125"/>
      <c r="J4405" s="1125"/>
    </row>
    <row r="4406" spans="9:10" x14ac:dyDescent="0.2">
      <c r="I4406" s="1125"/>
      <c r="J4406" s="1125"/>
    </row>
    <row r="4407" spans="9:10" x14ac:dyDescent="0.2">
      <c r="I4407" s="1125"/>
      <c r="J4407" s="1125"/>
    </row>
    <row r="4408" spans="9:10" x14ac:dyDescent="0.2">
      <c r="I4408" s="1125"/>
      <c r="J4408" s="1125"/>
    </row>
    <row r="4409" spans="9:10" x14ac:dyDescent="0.2">
      <c r="I4409" s="1125"/>
      <c r="J4409" s="1125"/>
    </row>
    <row r="4410" spans="9:10" x14ac:dyDescent="0.2">
      <c r="I4410" s="1125"/>
      <c r="J4410" s="1125"/>
    </row>
    <row r="4411" spans="9:10" x14ac:dyDescent="0.2">
      <c r="I4411" s="1125"/>
      <c r="J4411" s="1125"/>
    </row>
    <row r="4412" spans="9:10" x14ac:dyDescent="0.2">
      <c r="I4412" s="1125"/>
      <c r="J4412" s="1125"/>
    </row>
    <row r="4413" spans="9:10" x14ac:dyDescent="0.2">
      <c r="I4413" s="1125"/>
      <c r="J4413" s="1125"/>
    </row>
    <row r="4414" spans="9:10" x14ac:dyDescent="0.2">
      <c r="I4414" s="1125"/>
      <c r="J4414" s="1125"/>
    </row>
    <row r="4415" spans="9:10" x14ac:dyDescent="0.2">
      <c r="I4415" s="1125"/>
      <c r="J4415" s="1125"/>
    </row>
    <row r="4416" spans="9:10" x14ac:dyDescent="0.2">
      <c r="I4416" s="1125"/>
      <c r="J4416" s="1125"/>
    </row>
    <row r="4417" spans="9:10" x14ac:dyDescent="0.2">
      <c r="I4417" s="1125"/>
      <c r="J4417" s="1125"/>
    </row>
    <row r="4418" spans="9:10" x14ac:dyDescent="0.2">
      <c r="I4418" s="1125"/>
      <c r="J4418" s="1125"/>
    </row>
    <row r="4419" spans="9:10" x14ac:dyDescent="0.2">
      <c r="I4419" s="1125"/>
      <c r="J4419" s="1125"/>
    </row>
    <row r="4420" spans="9:10" x14ac:dyDescent="0.2">
      <c r="I4420" s="1125"/>
      <c r="J4420" s="1125"/>
    </row>
    <row r="4421" spans="9:10" x14ac:dyDescent="0.2">
      <c r="I4421" s="1125"/>
      <c r="J4421" s="1125"/>
    </row>
    <row r="4422" spans="9:10" x14ac:dyDescent="0.2">
      <c r="I4422" s="1125"/>
      <c r="J4422" s="1125"/>
    </row>
    <row r="4423" spans="9:10" x14ac:dyDescent="0.2">
      <c r="I4423" s="1125"/>
      <c r="J4423" s="1125"/>
    </row>
    <row r="4424" spans="9:10" x14ac:dyDescent="0.2">
      <c r="I4424" s="1125"/>
      <c r="J4424" s="1125"/>
    </row>
    <row r="4425" spans="9:10" x14ac:dyDescent="0.2">
      <c r="I4425" s="1125"/>
      <c r="J4425" s="1125"/>
    </row>
    <row r="4426" spans="9:10" x14ac:dyDescent="0.2">
      <c r="I4426" s="1125"/>
      <c r="J4426" s="1125"/>
    </row>
    <row r="4427" spans="9:10" x14ac:dyDescent="0.2">
      <c r="I4427" s="1125"/>
      <c r="J4427" s="1125"/>
    </row>
    <row r="4428" spans="9:10" x14ac:dyDescent="0.2">
      <c r="I4428" s="1125"/>
      <c r="J4428" s="1125"/>
    </row>
    <row r="4429" spans="9:10" x14ac:dyDescent="0.2">
      <c r="I4429" s="1125"/>
      <c r="J4429" s="1125"/>
    </row>
    <row r="4430" spans="9:10" x14ac:dyDescent="0.2">
      <c r="I4430" s="1125"/>
      <c r="J4430" s="1125"/>
    </row>
    <row r="4431" spans="9:10" x14ac:dyDescent="0.2">
      <c r="I4431" s="1125"/>
      <c r="J4431" s="1125"/>
    </row>
    <row r="4432" spans="9:10" x14ac:dyDescent="0.2">
      <c r="I4432" s="1125"/>
      <c r="J4432" s="1125"/>
    </row>
    <row r="4433" spans="9:10" x14ac:dyDescent="0.2">
      <c r="I4433" s="1125"/>
      <c r="J4433" s="1125"/>
    </row>
    <row r="4434" spans="9:10" x14ac:dyDescent="0.2">
      <c r="I4434" s="1125"/>
      <c r="J4434" s="1125"/>
    </row>
    <row r="4435" spans="9:10" x14ac:dyDescent="0.2">
      <c r="I4435" s="1125"/>
      <c r="J4435" s="1125"/>
    </row>
    <row r="4436" spans="9:10" x14ac:dyDescent="0.2">
      <c r="I4436" s="1125"/>
      <c r="J4436" s="1125"/>
    </row>
    <row r="4437" spans="9:10" x14ac:dyDescent="0.2">
      <c r="I4437" s="1125"/>
      <c r="J4437" s="1125"/>
    </row>
    <row r="4438" spans="9:10" x14ac:dyDescent="0.2">
      <c r="I4438" s="1125"/>
      <c r="J4438" s="1125"/>
    </row>
    <row r="4439" spans="9:10" x14ac:dyDescent="0.2">
      <c r="I4439" s="1125"/>
      <c r="J4439" s="1125"/>
    </row>
    <row r="4440" spans="9:10" x14ac:dyDescent="0.2">
      <c r="I4440" s="1125"/>
      <c r="J4440" s="1125"/>
    </row>
    <row r="4441" spans="9:10" x14ac:dyDescent="0.2">
      <c r="I4441" s="1125"/>
      <c r="J4441" s="1125"/>
    </row>
    <row r="4442" spans="9:10" x14ac:dyDescent="0.2">
      <c r="I4442" s="1125"/>
      <c r="J4442" s="1125"/>
    </row>
    <row r="4443" spans="9:10" x14ac:dyDescent="0.2">
      <c r="I4443" s="1125"/>
      <c r="J4443" s="1125"/>
    </row>
    <row r="4444" spans="9:10" x14ac:dyDescent="0.2">
      <c r="I4444" s="1125"/>
      <c r="J4444" s="1125"/>
    </row>
    <row r="4445" spans="9:10" x14ac:dyDescent="0.2">
      <c r="I4445" s="1125"/>
      <c r="J4445" s="1125"/>
    </row>
    <row r="4446" spans="9:10" x14ac:dyDescent="0.2">
      <c r="I4446" s="1125"/>
      <c r="J4446" s="1125"/>
    </row>
    <row r="4447" spans="9:10" x14ac:dyDescent="0.2">
      <c r="I4447" s="1125"/>
      <c r="J4447" s="1125"/>
    </row>
    <row r="4448" spans="9:10" x14ac:dyDescent="0.2">
      <c r="I4448" s="1125"/>
      <c r="J4448" s="1125"/>
    </row>
    <row r="4449" spans="9:10" x14ac:dyDescent="0.2">
      <c r="I4449" s="1125"/>
      <c r="J4449" s="1125"/>
    </row>
    <row r="4450" spans="9:10" x14ac:dyDescent="0.2">
      <c r="I4450" s="1125"/>
      <c r="J4450" s="1125"/>
    </row>
    <row r="4451" spans="9:10" x14ac:dyDescent="0.2">
      <c r="I4451" s="1125"/>
      <c r="J4451" s="1125"/>
    </row>
    <row r="4452" spans="9:10" x14ac:dyDescent="0.2">
      <c r="I4452" s="1125"/>
      <c r="J4452" s="1125"/>
    </row>
    <row r="4453" spans="9:10" x14ac:dyDescent="0.2">
      <c r="I4453" s="1125"/>
      <c r="J4453" s="1125"/>
    </row>
    <row r="4454" spans="9:10" x14ac:dyDescent="0.2">
      <c r="I4454" s="1125"/>
      <c r="J4454" s="1125"/>
    </row>
    <row r="4455" spans="9:10" x14ac:dyDescent="0.2">
      <c r="I4455" s="1125"/>
      <c r="J4455" s="1125"/>
    </row>
    <row r="4456" spans="9:10" x14ac:dyDescent="0.2">
      <c r="I4456" s="1125"/>
      <c r="J4456" s="1125"/>
    </row>
    <row r="4457" spans="9:10" x14ac:dyDescent="0.2">
      <c r="I4457" s="1125"/>
      <c r="J4457" s="1125"/>
    </row>
    <row r="4458" spans="9:10" x14ac:dyDescent="0.2">
      <c r="I4458" s="1125"/>
      <c r="J4458" s="1125"/>
    </row>
    <row r="4459" spans="9:10" x14ac:dyDescent="0.2">
      <c r="I4459" s="1125"/>
      <c r="J4459" s="1125"/>
    </row>
    <row r="4460" spans="9:10" x14ac:dyDescent="0.2">
      <c r="I4460" s="1125"/>
      <c r="J4460" s="1125"/>
    </row>
    <row r="4461" spans="9:10" x14ac:dyDescent="0.2">
      <c r="I4461" s="1125"/>
      <c r="J4461" s="1125"/>
    </row>
    <row r="4462" spans="9:10" x14ac:dyDescent="0.2">
      <c r="I4462" s="1125"/>
      <c r="J4462" s="1125"/>
    </row>
    <row r="4463" spans="9:10" x14ac:dyDescent="0.2">
      <c r="I4463" s="1125"/>
      <c r="J4463" s="1125"/>
    </row>
    <row r="4464" spans="9:10" x14ac:dyDescent="0.2">
      <c r="I4464" s="1125"/>
      <c r="J4464" s="1125"/>
    </row>
    <row r="4465" spans="9:10" x14ac:dyDescent="0.2">
      <c r="I4465" s="1125"/>
      <c r="J4465" s="1125"/>
    </row>
    <row r="4466" spans="9:10" x14ac:dyDescent="0.2">
      <c r="I4466" s="1125"/>
      <c r="J4466" s="1125"/>
    </row>
    <row r="4467" spans="9:10" x14ac:dyDescent="0.2">
      <c r="I4467" s="1125"/>
      <c r="J4467" s="1125"/>
    </row>
    <row r="4468" spans="9:10" x14ac:dyDescent="0.2">
      <c r="I4468" s="1125"/>
      <c r="J4468" s="1125"/>
    </row>
    <row r="4469" spans="9:10" x14ac:dyDescent="0.2">
      <c r="I4469" s="1125"/>
      <c r="J4469" s="1125"/>
    </row>
    <row r="4470" spans="9:10" x14ac:dyDescent="0.2">
      <c r="I4470" s="1125"/>
      <c r="J4470" s="1125"/>
    </row>
    <row r="4471" spans="9:10" x14ac:dyDescent="0.2">
      <c r="I4471" s="1125"/>
      <c r="J4471" s="1125"/>
    </row>
    <row r="4472" spans="9:10" x14ac:dyDescent="0.2">
      <c r="I4472" s="1125"/>
      <c r="J4472" s="1125"/>
    </row>
    <row r="4473" spans="9:10" x14ac:dyDescent="0.2">
      <c r="I4473" s="1125"/>
      <c r="J4473" s="1125"/>
    </row>
    <row r="4474" spans="9:10" x14ac:dyDescent="0.2">
      <c r="I4474" s="1125"/>
      <c r="J4474" s="1125"/>
    </row>
    <row r="4475" spans="9:10" x14ac:dyDescent="0.2">
      <c r="I4475" s="1125"/>
      <c r="J4475" s="1125"/>
    </row>
    <row r="4476" spans="9:10" x14ac:dyDescent="0.2">
      <c r="I4476" s="1125"/>
      <c r="J4476" s="1125"/>
    </row>
    <row r="4477" spans="9:10" x14ac:dyDescent="0.2">
      <c r="I4477" s="1125"/>
      <c r="J4477" s="1125"/>
    </row>
    <row r="4478" spans="9:10" x14ac:dyDescent="0.2">
      <c r="I4478" s="1125"/>
      <c r="J4478" s="1125"/>
    </row>
    <row r="4479" spans="9:10" x14ac:dyDescent="0.2">
      <c r="I4479" s="1125"/>
      <c r="J4479" s="1125"/>
    </row>
    <row r="4480" spans="9:10" x14ac:dyDescent="0.2">
      <c r="I4480" s="1125"/>
      <c r="J4480" s="1125"/>
    </row>
    <row r="4481" spans="9:10" x14ac:dyDescent="0.2">
      <c r="I4481" s="1125"/>
      <c r="J4481" s="1125"/>
    </row>
    <row r="4482" spans="9:10" x14ac:dyDescent="0.2">
      <c r="I4482" s="1125"/>
      <c r="J4482" s="1125"/>
    </row>
    <row r="4483" spans="9:10" x14ac:dyDescent="0.2">
      <c r="I4483" s="1125"/>
      <c r="J4483" s="1125"/>
    </row>
    <row r="4484" spans="9:10" x14ac:dyDescent="0.2">
      <c r="I4484" s="1125"/>
      <c r="J4484" s="1125"/>
    </row>
    <row r="4485" spans="9:10" x14ac:dyDescent="0.2">
      <c r="I4485" s="1125"/>
      <c r="J4485" s="1125"/>
    </row>
    <row r="4486" spans="9:10" x14ac:dyDescent="0.2">
      <c r="I4486" s="1125"/>
      <c r="J4486" s="1125"/>
    </row>
    <row r="4487" spans="9:10" x14ac:dyDescent="0.2">
      <c r="I4487" s="1125"/>
      <c r="J4487" s="1125"/>
    </row>
    <row r="4488" spans="9:10" x14ac:dyDescent="0.2">
      <c r="I4488" s="1125"/>
      <c r="J4488" s="1125"/>
    </row>
    <row r="4489" spans="9:10" x14ac:dyDescent="0.2">
      <c r="I4489" s="1125"/>
      <c r="J4489" s="1125"/>
    </row>
    <row r="4490" spans="9:10" x14ac:dyDescent="0.2">
      <c r="I4490" s="1125"/>
      <c r="J4490" s="1125"/>
    </row>
    <row r="4491" spans="9:10" x14ac:dyDescent="0.2">
      <c r="I4491" s="1125"/>
      <c r="J4491" s="1125"/>
    </row>
    <row r="4492" spans="9:10" x14ac:dyDescent="0.2">
      <c r="I4492" s="1125"/>
      <c r="J4492" s="1125"/>
    </row>
    <row r="4493" spans="9:10" x14ac:dyDescent="0.2">
      <c r="I4493" s="1125"/>
      <c r="J4493" s="1125"/>
    </row>
    <row r="4494" spans="9:10" x14ac:dyDescent="0.2">
      <c r="I4494" s="1125"/>
      <c r="J4494" s="1125"/>
    </row>
    <row r="4495" spans="9:10" x14ac:dyDescent="0.2">
      <c r="I4495" s="1125"/>
      <c r="J4495" s="1125"/>
    </row>
    <row r="4496" spans="9:10" x14ac:dyDescent="0.2">
      <c r="I4496" s="1125"/>
      <c r="J4496" s="1125"/>
    </row>
    <row r="4497" spans="9:10" x14ac:dyDescent="0.2">
      <c r="I4497" s="1125"/>
      <c r="J4497" s="1125"/>
    </row>
    <row r="4498" spans="9:10" x14ac:dyDescent="0.2">
      <c r="I4498" s="1125"/>
      <c r="J4498" s="1125"/>
    </row>
    <row r="4499" spans="9:10" x14ac:dyDescent="0.2">
      <c r="I4499" s="1125"/>
      <c r="J4499" s="1125"/>
    </row>
    <row r="4500" spans="9:10" x14ac:dyDescent="0.2">
      <c r="I4500" s="1125"/>
      <c r="J4500" s="1125"/>
    </row>
    <row r="4501" spans="9:10" x14ac:dyDescent="0.2">
      <c r="I4501" s="1125"/>
      <c r="J4501" s="1125"/>
    </row>
    <row r="4502" spans="9:10" x14ac:dyDescent="0.2">
      <c r="I4502" s="1125"/>
      <c r="J4502" s="1125"/>
    </row>
    <row r="4503" spans="9:10" x14ac:dyDescent="0.2">
      <c r="I4503" s="1125"/>
      <c r="J4503" s="1125"/>
    </row>
    <row r="4504" spans="9:10" x14ac:dyDescent="0.2">
      <c r="I4504" s="1125"/>
      <c r="J4504" s="1125"/>
    </row>
    <row r="4505" spans="9:10" x14ac:dyDescent="0.2">
      <c r="I4505" s="1125"/>
      <c r="J4505" s="1125"/>
    </row>
    <row r="4506" spans="9:10" x14ac:dyDescent="0.2">
      <c r="I4506" s="1125"/>
      <c r="J4506" s="1125"/>
    </row>
    <row r="4507" spans="9:10" x14ac:dyDescent="0.2">
      <c r="I4507" s="1125"/>
      <c r="J4507" s="1125"/>
    </row>
    <row r="4508" spans="9:10" x14ac:dyDescent="0.2">
      <c r="I4508" s="1125"/>
      <c r="J4508" s="1125"/>
    </row>
    <row r="4509" spans="9:10" x14ac:dyDescent="0.2">
      <c r="I4509" s="1125"/>
      <c r="J4509" s="1125"/>
    </row>
    <row r="4510" spans="9:10" x14ac:dyDescent="0.2">
      <c r="I4510" s="1125"/>
      <c r="J4510" s="1125"/>
    </row>
    <row r="4511" spans="9:10" x14ac:dyDescent="0.2">
      <c r="I4511" s="1125"/>
      <c r="J4511" s="1125"/>
    </row>
    <row r="4512" spans="9:10" x14ac:dyDescent="0.2">
      <c r="I4512" s="1125"/>
      <c r="J4512" s="1125"/>
    </row>
    <row r="4513" spans="9:10" x14ac:dyDescent="0.2">
      <c r="I4513" s="1125"/>
      <c r="J4513" s="1125"/>
    </row>
    <row r="4514" spans="9:10" x14ac:dyDescent="0.2">
      <c r="I4514" s="1125"/>
      <c r="J4514" s="1125"/>
    </row>
    <row r="4515" spans="9:10" x14ac:dyDescent="0.2">
      <c r="I4515" s="1125"/>
      <c r="J4515" s="1125"/>
    </row>
    <row r="4516" spans="9:10" x14ac:dyDescent="0.2">
      <c r="I4516" s="1125"/>
      <c r="J4516" s="1125"/>
    </row>
    <row r="4517" spans="9:10" x14ac:dyDescent="0.2">
      <c r="I4517" s="1125"/>
      <c r="J4517" s="1125"/>
    </row>
    <row r="4518" spans="9:10" x14ac:dyDescent="0.2">
      <c r="I4518" s="1125"/>
      <c r="J4518" s="1125"/>
    </row>
    <row r="4519" spans="9:10" x14ac:dyDescent="0.2">
      <c r="I4519" s="1125"/>
      <c r="J4519" s="1125"/>
    </row>
    <row r="4520" spans="9:10" x14ac:dyDescent="0.2">
      <c r="I4520" s="1125"/>
      <c r="J4520" s="1125"/>
    </row>
    <row r="4521" spans="9:10" x14ac:dyDescent="0.2">
      <c r="I4521" s="1125"/>
      <c r="J4521" s="1125"/>
    </row>
    <row r="4522" spans="9:10" x14ac:dyDescent="0.2">
      <c r="I4522" s="1125"/>
      <c r="J4522" s="1125"/>
    </row>
    <row r="4523" spans="9:10" x14ac:dyDescent="0.2">
      <c r="I4523" s="1125"/>
      <c r="J4523" s="1125"/>
    </row>
    <row r="4524" spans="9:10" x14ac:dyDescent="0.2">
      <c r="I4524" s="1125"/>
      <c r="J4524" s="1125"/>
    </row>
    <row r="4525" spans="9:10" x14ac:dyDescent="0.2">
      <c r="I4525" s="1125"/>
      <c r="J4525" s="1125"/>
    </row>
    <row r="4526" spans="9:10" x14ac:dyDescent="0.2">
      <c r="I4526" s="1125"/>
      <c r="J4526" s="1125"/>
    </row>
    <row r="4527" spans="9:10" x14ac:dyDescent="0.2">
      <c r="I4527" s="1125"/>
      <c r="J4527" s="1125"/>
    </row>
    <row r="4528" spans="9:10" x14ac:dyDescent="0.2">
      <c r="I4528" s="1125"/>
      <c r="J4528" s="1125"/>
    </row>
    <row r="4529" spans="9:10" x14ac:dyDescent="0.2">
      <c r="I4529" s="1125"/>
      <c r="J4529" s="1125"/>
    </row>
    <row r="4530" spans="9:10" x14ac:dyDescent="0.2">
      <c r="I4530" s="1125"/>
      <c r="J4530" s="1125"/>
    </row>
    <row r="4531" spans="9:10" x14ac:dyDescent="0.2">
      <c r="I4531" s="1125"/>
      <c r="J4531" s="1125"/>
    </row>
    <row r="4532" spans="9:10" x14ac:dyDescent="0.2">
      <c r="I4532" s="1125"/>
      <c r="J4532" s="1125"/>
    </row>
    <row r="4533" spans="9:10" x14ac:dyDescent="0.2">
      <c r="I4533" s="1125"/>
      <c r="J4533" s="1125"/>
    </row>
    <row r="4534" spans="9:10" x14ac:dyDescent="0.2">
      <c r="I4534" s="1125"/>
      <c r="J4534" s="1125"/>
    </row>
    <row r="4535" spans="9:10" x14ac:dyDescent="0.2">
      <c r="I4535" s="1125"/>
      <c r="J4535" s="1125"/>
    </row>
    <row r="4536" spans="9:10" x14ac:dyDescent="0.2">
      <c r="I4536" s="1125"/>
      <c r="J4536" s="1125"/>
    </row>
    <row r="4537" spans="9:10" x14ac:dyDescent="0.2">
      <c r="I4537" s="1125"/>
      <c r="J4537" s="1125"/>
    </row>
    <row r="4538" spans="9:10" x14ac:dyDescent="0.2">
      <c r="I4538" s="1125"/>
      <c r="J4538" s="1125"/>
    </row>
    <row r="4539" spans="9:10" x14ac:dyDescent="0.2">
      <c r="I4539" s="1125"/>
      <c r="J4539" s="1125"/>
    </row>
    <row r="4540" spans="9:10" x14ac:dyDescent="0.2">
      <c r="I4540" s="1125"/>
      <c r="J4540" s="1125"/>
    </row>
    <row r="4541" spans="9:10" x14ac:dyDescent="0.2">
      <c r="I4541" s="1125"/>
      <c r="J4541" s="1125"/>
    </row>
    <row r="4542" spans="9:10" x14ac:dyDescent="0.2">
      <c r="I4542" s="1125"/>
      <c r="J4542" s="1125"/>
    </row>
    <row r="4543" spans="9:10" x14ac:dyDescent="0.2">
      <c r="I4543" s="1125"/>
      <c r="J4543" s="1125"/>
    </row>
    <row r="4544" spans="9:10" x14ac:dyDescent="0.2">
      <c r="I4544" s="1125"/>
      <c r="J4544" s="1125"/>
    </row>
    <row r="4545" spans="9:10" x14ac:dyDescent="0.2">
      <c r="I4545" s="1125"/>
      <c r="J4545" s="1125"/>
    </row>
    <row r="4546" spans="9:10" x14ac:dyDescent="0.2">
      <c r="I4546" s="1125"/>
      <c r="J4546" s="1125"/>
    </row>
    <row r="4547" spans="9:10" x14ac:dyDescent="0.2">
      <c r="I4547" s="1125"/>
      <c r="J4547" s="1125"/>
    </row>
    <row r="4548" spans="9:10" x14ac:dyDescent="0.2">
      <c r="I4548" s="1125"/>
      <c r="J4548" s="1125"/>
    </row>
    <row r="4549" spans="9:10" x14ac:dyDescent="0.2">
      <c r="I4549" s="1125"/>
      <c r="J4549" s="1125"/>
    </row>
    <row r="4550" spans="9:10" x14ac:dyDescent="0.2">
      <c r="I4550" s="1125"/>
      <c r="J4550" s="1125"/>
    </row>
    <row r="4551" spans="9:10" x14ac:dyDescent="0.2">
      <c r="I4551" s="1125"/>
      <c r="J4551" s="1125"/>
    </row>
    <row r="4552" spans="9:10" x14ac:dyDescent="0.2">
      <c r="I4552" s="1125"/>
      <c r="J4552" s="1125"/>
    </row>
    <row r="4553" spans="9:10" x14ac:dyDescent="0.2">
      <c r="I4553" s="1125"/>
      <c r="J4553" s="1125"/>
    </row>
    <row r="4554" spans="9:10" x14ac:dyDescent="0.2">
      <c r="I4554" s="1125"/>
      <c r="J4554" s="1125"/>
    </row>
    <row r="4555" spans="9:10" x14ac:dyDescent="0.2">
      <c r="I4555" s="1125"/>
      <c r="J4555" s="1125"/>
    </row>
    <row r="4556" spans="9:10" x14ac:dyDescent="0.2">
      <c r="I4556" s="1125"/>
      <c r="J4556" s="1125"/>
    </row>
    <row r="4557" spans="9:10" x14ac:dyDescent="0.2">
      <c r="I4557" s="1125"/>
      <c r="J4557" s="1125"/>
    </row>
    <row r="4558" spans="9:10" x14ac:dyDescent="0.2">
      <c r="I4558" s="1125"/>
      <c r="J4558" s="1125"/>
    </row>
    <row r="4559" spans="9:10" x14ac:dyDescent="0.2">
      <c r="I4559" s="1125"/>
      <c r="J4559" s="1125"/>
    </row>
    <row r="4560" spans="9:10" x14ac:dyDescent="0.2">
      <c r="I4560" s="1125"/>
      <c r="J4560" s="1125"/>
    </row>
    <row r="4561" spans="9:10" x14ac:dyDescent="0.2">
      <c r="I4561" s="1125"/>
      <c r="J4561" s="1125"/>
    </row>
    <row r="4562" spans="9:10" x14ac:dyDescent="0.2">
      <c r="I4562" s="1125"/>
      <c r="J4562" s="1125"/>
    </row>
    <row r="4563" spans="9:10" x14ac:dyDescent="0.2">
      <c r="I4563" s="1125"/>
      <c r="J4563" s="1125"/>
    </row>
    <row r="4564" spans="9:10" x14ac:dyDescent="0.2">
      <c r="I4564" s="1125"/>
      <c r="J4564" s="1125"/>
    </row>
    <row r="4565" spans="9:10" x14ac:dyDescent="0.2">
      <c r="I4565" s="1125"/>
      <c r="J4565" s="1125"/>
    </row>
    <row r="4566" spans="9:10" x14ac:dyDescent="0.2">
      <c r="I4566" s="1125"/>
      <c r="J4566" s="1125"/>
    </row>
    <row r="4567" spans="9:10" x14ac:dyDescent="0.2">
      <c r="I4567" s="1125"/>
      <c r="J4567" s="1125"/>
    </row>
    <row r="4568" spans="9:10" x14ac:dyDescent="0.2">
      <c r="I4568" s="1125"/>
      <c r="J4568" s="1125"/>
    </row>
    <row r="4569" spans="9:10" x14ac:dyDescent="0.2">
      <c r="I4569" s="1125"/>
      <c r="J4569" s="1125"/>
    </row>
    <row r="4570" spans="9:10" x14ac:dyDescent="0.2">
      <c r="I4570" s="1125"/>
      <c r="J4570" s="1125"/>
    </row>
    <row r="4571" spans="9:10" x14ac:dyDescent="0.2">
      <c r="I4571" s="1125"/>
      <c r="J4571" s="1125"/>
    </row>
    <row r="4572" spans="9:10" x14ac:dyDescent="0.2">
      <c r="I4572" s="1125"/>
      <c r="J4572" s="1125"/>
    </row>
    <row r="4573" spans="9:10" x14ac:dyDescent="0.2">
      <c r="I4573" s="1125"/>
      <c r="J4573" s="1125"/>
    </row>
    <row r="4574" spans="9:10" x14ac:dyDescent="0.2">
      <c r="I4574" s="1125"/>
      <c r="J4574" s="1125"/>
    </row>
    <row r="4575" spans="9:10" x14ac:dyDescent="0.2">
      <c r="I4575" s="1125"/>
      <c r="J4575" s="1125"/>
    </row>
    <row r="4576" spans="9:10" x14ac:dyDescent="0.2">
      <c r="I4576" s="1125"/>
      <c r="J4576" s="1125"/>
    </row>
    <row r="4577" spans="9:10" x14ac:dyDescent="0.2">
      <c r="I4577" s="1125"/>
      <c r="J4577" s="1125"/>
    </row>
    <row r="4578" spans="9:10" x14ac:dyDescent="0.2">
      <c r="I4578" s="1125"/>
      <c r="J4578" s="1125"/>
    </row>
    <row r="4579" spans="9:10" x14ac:dyDescent="0.2">
      <c r="I4579" s="1125"/>
      <c r="J4579" s="1125"/>
    </row>
    <row r="4580" spans="9:10" x14ac:dyDescent="0.2">
      <c r="I4580" s="1125"/>
      <c r="J4580" s="1125"/>
    </row>
    <row r="4581" spans="9:10" x14ac:dyDescent="0.2">
      <c r="I4581" s="1125"/>
      <c r="J4581" s="1125"/>
    </row>
    <row r="4582" spans="9:10" x14ac:dyDescent="0.2">
      <c r="I4582" s="1125"/>
      <c r="J4582" s="1125"/>
    </row>
    <row r="4583" spans="9:10" x14ac:dyDescent="0.2">
      <c r="I4583" s="1125"/>
      <c r="J4583" s="1125"/>
    </row>
    <row r="4584" spans="9:10" x14ac:dyDescent="0.2">
      <c r="I4584" s="1125"/>
      <c r="J4584" s="1125"/>
    </row>
    <row r="4585" spans="9:10" x14ac:dyDescent="0.2">
      <c r="I4585" s="1125"/>
      <c r="J4585" s="1125"/>
    </row>
    <row r="4586" spans="9:10" x14ac:dyDescent="0.2">
      <c r="I4586" s="1125"/>
      <c r="J4586" s="1125"/>
    </row>
    <row r="4587" spans="9:10" x14ac:dyDescent="0.2">
      <c r="I4587" s="1125"/>
      <c r="J4587" s="1125"/>
    </row>
    <row r="4588" spans="9:10" x14ac:dyDescent="0.2">
      <c r="I4588" s="1125"/>
      <c r="J4588" s="1125"/>
    </row>
    <row r="4589" spans="9:10" x14ac:dyDescent="0.2">
      <c r="I4589" s="1125"/>
      <c r="J4589" s="1125"/>
    </row>
    <row r="4590" spans="9:10" x14ac:dyDescent="0.2">
      <c r="I4590" s="1125"/>
      <c r="J4590" s="1125"/>
    </row>
    <row r="4591" spans="9:10" x14ac:dyDescent="0.2">
      <c r="I4591" s="1125"/>
      <c r="J4591" s="1125"/>
    </row>
    <row r="4592" spans="9:10" x14ac:dyDescent="0.2">
      <c r="I4592" s="1125"/>
      <c r="J4592" s="1125"/>
    </row>
    <row r="4593" spans="9:10" x14ac:dyDescent="0.2">
      <c r="I4593" s="1125"/>
      <c r="J4593" s="1125"/>
    </row>
    <row r="4594" spans="9:10" x14ac:dyDescent="0.2">
      <c r="I4594" s="1125"/>
      <c r="J4594" s="1125"/>
    </row>
    <row r="4595" spans="9:10" x14ac:dyDescent="0.2">
      <c r="I4595" s="1125"/>
      <c r="J4595" s="1125"/>
    </row>
    <row r="4596" spans="9:10" x14ac:dyDescent="0.2">
      <c r="I4596" s="1125"/>
      <c r="J4596" s="1125"/>
    </row>
    <row r="4597" spans="9:10" x14ac:dyDescent="0.2">
      <c r="I4597" s="1125"/>
      <c r="J4597" s="1125"/>
    </row>
    <row r="4598" spans="9:10" x14ac:dyDescent="0.2">
      <c r="I4598" s="1125"/>
      <c r="J4598" s="1125"/>
    </row>
    <row r="4599" spans="9:10" x14ac:dyDescent="0.2">
      <c r="I4599" s="1125"/>
      <c r="J4599" s="1125"/>
    </row>
    <row r="4600" spans="9:10" x14ac:dyDescent="0.2">
      <c r="I4600" s="1125"/>
      <c r="J4600" s="1125"/>
    </row>
    <row r="4601" spans="9:10" x14ac:dyDescent="0.2">
      <c r="I4601" s="1125"/>
      <c r="J4601" s="1125"/>
    </row>
    <row r="4602" spans="9:10" x14ac:dyDescent="0.2">
      <c r="I4602" s="1125"/>
      <c r="J4602" s="1125"/>
    </row>
    <row r="4603" spans="9:10" x14ac:dyDescent="0.2">
      <c r="I4603" s="1125"/>
      <c r="J4603" s="1125"/>
    </row>
    <row r="4604" spans="9:10" x14ac:dyDescent="0.2">
      <c r="I4604" s="1125"/>
      <c r="J4604" s="1125"/>
    </row>
    <row r="4605" spans="9:10" x14ac:dyDescent="0.2">
      <c r="I4605" s="1125"/>
      <c r="J4605" s="1125"/>
    </row>
    <row r="4606" spans="9:10" x14ac:dyDescent="0.2">
      <c r="I4606" s="1125"/>
      <c r="J4606" s="1125"/>
    </row>
    <row r="4607" spans="9:10" x14ac:dyDescent="0.2">
      <c r="I4607" s="1125"/>
      <c r="J4607" s="1125"/>
    </row>
    <row r="4608" spans="9:10" x14ac:dyDescent="0.2">
      <c r="I4608" s="1125"/>
      <c r="J4608" s="1125"/>
    </row>
    <row r="4609" spans="9:10" x14ac:dyDescent="0.2">
      <c r="I4609" s="1125"/>
      <c r="J4609" s="1125"/>
    </row>
    <row r="4610" spans="9:10" x14ac:dyDescent="0.2">
      <c r="I4610" s="1125"/>
      <c r="J4610" s="1125"/>
    </row>
    <row r="4611" spans="9:10" x14ac:dyDescent="0.2">
      <c r="I4611" s="1125"/>
      <c r="J4611" s="1125"/>
    </row>
    <row r="4612" spans="9:10" x14ac:dyDescent="0.2">
      <c r="I4612" s="1125"/>
      <c r="J4612" s="1125"/>
    </row>
    <row r="4613" spans="9:10" x14ac:dyDescent="0.2">
      <c r="I4613" s="1125"/>
      <c r="J4613" s="1125"/>
    </row>
    <row r="4614" spans="9:10" x14ac:dyDescent="0.2">
      <c r="I4614" s="1125"/>
      <c r="J4614" s="1125"/>
    </row>
    <row r="4615" spans="9:10" x14ac:dyDescent="0.2">
      <c r="I4615" s="1125"/>
      <c r="J4615" s="1125"/>
    </row>
    <row r="4616" spans="9:10" x14ac:dyDescent="0.2">
      <c r="I4616" s="1125"/>
      <c r="J4616" s="1125"/>
    </row>
    <row r="4617" spans="9:10" x14ac:dyDescent="0.2">
      <c r="I4617" s="1125"/>
      <c r="J4617" s="1125"/>
    </row>
    <row r="4618" spans="9:10" x14ac:dyDescent="0.2">
      <c r="I4618" s="1125"/>
      <c r="J4618" s="1125"/>
    </row>
    <row r="4619" spans="9:10" x14ac:dyDescent="0.2">
      <c r="I4619" s="1125"/>
      <c r="J4619" s="1125"/>
    </row>
    <row r="4620" spans="9:10" x14ac:dyDescent="0.2">
      <c r="I4620" s="1125"/>
      <c r="J4620" s="1125"/>
    </row>
    <row r="4621" spans="9:10" x14ac:dyDescent="0.2">
      <c r="I4621" s="1125"/>
      <c r="J4621" s="1125"/>
    </row>
    <row r="4622" spans="9:10" x14ac:dyDescent="0.2">
      <c r="I4622" s="1125"/>
      <c r="J4622" s="1125"/>
    </row>
    <row r="4623" spans="9:10" x14ac:dyDescent="0.2">
      <c r="I4623" s="1125"/>
      <c r="J4623" s="1125"/>
    </row>
    <row r="4624" spans="9:10" x14ac:dyDescent="0.2">
      <c r="I4624" s="1125"/>
      <c r="J4624" s="1125"/>
    </row>
    <row r="4625" spans="9:10" x14ac:dyDescent="0.2">
      <c r="I4625" s="1125"/>
      <c r="J4625" s="1125"/>
    </row>
    <row r="4626" spans="9:10" x14ac:dyDescent="0.2">
      <c r="I4626" s="1125"/>
      <c r="J4626" s="1125"/>
    </row>
    <row r="4627" spans="9:10" x14ac:dyDescent="0.2">
      <c r="I4627" s="1125"/>
      <c r="J4627" s="1125"/>
    </row>
    <row r="4628" spans="9:10" x14ac:dyDescent="0.2">
      <c r="I4628" s="1125"/>
      <c r="J4628" s="1125"/>
    </row>
    <row r="4629" spans="9:10" x14ac:dyDescent="0.2">
      <c r="I4629" s="1125"/>
      <c r="J4629" s="1125"/>
    </row>
    <row r="4630" spans="9:10" x14ac:dyDescent="0.2">
      <c r="I4630" s="1125"/>
      <c r="J4630" s="1125"/>
    </row>
    <row r="4631" spans="9:10" x14ac:dyDescent="0.2">
      <c r="I4631" s="1125"/>
      <c r="J4631" s="1125"/>
    </row>
    <row r="4632" spans="9:10" x14ac:dyDescent="0.2">
      <c r="I4632" s="1125"/>
      <c r="J4632" s="1125"/>
    </row>
    <row r="4633" spans="9:10" x14ac:dyDescent="0.2">
      <c r="I4633" s="1125"/>
      <c r="J4633" s="1125"/>
    </row>
    <row r="4634" spans="9:10" x14ac:dyDescent="0.2">
      <c r="I4634" s="1125"/>
      <c r="J4634" s="1125"/>
    </row>
    <row r="4635" spans="9:10" x14ac:dyDescent="0.2">
      <c r="I4635" s="1125"/>
      <c r="J4635" s="1125"/>
    </row>
    <row r="4636" spans="9:10" x14ac:dyDescent="0.2">
      <c r="I4636" s="1125"/>
      <c r="J4636" s="1125"/>
    </row>
    <row r="4637" spans="9:10" x14ac:dyDescent="0.2">
      <c r="I4637" s="1125"/>
      <c r="J4637" s="1125"/>
    </row>
    <row r="4638" spans="9:10" x14ac:dyDescent="0.2">
      <c r="I4638" s="1125"/>
      <c r="J4638" s="1125"/>
    </row>
    <row r="4639" spans="9:10" x14ac:dyDescent="0.2">
      <c r="I4639" s="1125"/>
      <c r="J4639" s="1125"/>
    </row>
    <row r="4640" spans="9:10" x14ac:dyDescent="0.2">
      <c r="I4640" s="1125"/>
      <c r="J4640" s="1125"/>
    </row>
    <row r="4641" spans="9:10" x14ac:dyDescent="0.2">
      <c r="I4641" s="1125"/>
      <c r="J4641" s="1125"/>
    </row>
    <row r="4642" spans="9:10" x14ac:dyDescent="0.2">
      <c r="I4642" s="1125"/>
      <c r="J4642" s="1125"/>
    </row>
    <row r="4643" spans="9:10" x14ac:dyDescent="0.2">
      <c r="I4643" s="1125"/>
      <c r="J4643" s="1125"/>
    </row>
    <row r="4644" spans="9:10" x14ac:dyDescent="0.2">
      <c r="I4644" s="1125"/>
      <c r="J4644" s="1125"/>
    </row>
    <row r="4645" spans="9:10" x14ac:dyDescent="0.2">
      <c r="I4645" s="1125"/>
      <c r="J4645" s="1125"/>
    </row>
    <row r="4646" spans="9:10" x14ac:dyDescent="0.2">
      <c r="I4646" s="1125"/>
      <c r="J4646" s="1125"/>
    </row>
    <row r="4647" spans="9:10" x14ac:dyDescent="0.2">
      <c r="I4647" s="1125"/>
      <c r="J4647" s="1125"/>
    </row>
    <row r="4648" spans="9:10" x14ac:dyDescent="0.2">
      <c r="I4648" s="1125"/>
      <c r="J4648" s="1125"/>
    </row>
    <row r="4649" spans="9:10" x14ac:dyDescent="0.2">
      <c r="I4649" s="1125"/>
      <c r="J4649" s="1125"/>
    </row>
    <row r="4650" spans="9:10" x14ac:dyDescent="0.2">
      <c r="I4650" s="1125"/>
      <c r="J4650" s="1125"/>
    </row>
    <row r="4651" spans="9:10" x14ac:dyDescent="0.2">
      <c r="I4651" s="1125"/>
      <c r="J4651" s="1125"/>
    </row>
    <row r="4652" spans="9:10" x14ac:dyDescent="0.2">
      <c r="I4652" s="1125"/>
      <c r="J4652" s="1125"/>
    </row>
    <row r="4653" spans="9:10" x14ac:dyDescent="0.2">
      <c r="I4653" s="1125"/>
      <c r="J4653" s="1125"/>
    </row>
    <row r="4654" spans="9:10" x14ac:dyDescent="0.2">
      <c r="I4654" s="1125"/>
      <c r="J4654" s="1125"/>
    </row>
    <row r="4655" spans="9:10" x14ac:dyDescent="0.2">
      <c r="I4655" s="1125"/>
      <c r="J4655" s="1125"/>
    </row>
    <row r="4656" spans="9:10" x14ac:dyDescent="0.2">
      <c r="I4656" s="1125"/>
      <c r="J4656" s="1125"/>
    </row>
    <row r="4657" spans="9:10" x14ac:dyDescent="0.2">
      <c r="I4657" s="1125"/>
      <c r="J4657" s="1125"/>
    </row>
    <row r="4658" spans="9:10" x14ac:dyDescent="0.2">
      <c r="I4658" s="1125"/>
      <c r="J4658" s="1125"/>
    </row>
    <row r="4659" spans="9:10" x14ac:dyDescent="0.2">
      <c r="I4659" s="1125"/>
      <c r="J4659" s="1125"/>
    </row>
    <row r="4660" spans="9:10" x14ac:dyDescent="0.2">
      <c r="I4660" s="1125"/>
      <c r="J4660" s="1125"/>
    </row>
    <row r="4661" spans="9:10" x14ac:dyDescent="0.2">
      <c r="I4661" s="1125"/>
      <c r="J4661" s="1125"/>
    </row>
    <row r="4662" spans="9:10" x14ac:dyDescent="0.2">
      <c r="I4662" s="1125"/>
      <c r="J4662" s="1125"/>
    </row>
    <row r="4663" spans="9:10" x14ac:dyDescent="0.2">
      <c r="I4663" s="1125"/>
      <c r="J4663" s="1125"/>
    </row>
    <row r="4664" spans="9:10" x14ac:dyDescent="0.2">
      <c r="I4664" s="1125"/>
      <c r="J4664" s="1125"/>
    </row>
    <row r="4665" spans="9:10" x14ac:dyDescent="0.2">
      <c r="I4665" s="1125"/>
      <c r="J4665" s="1125"/>
    </row>
    <row r="4666" spans="9:10" x14ac:dyDescent="0.2">
      <c r="I4666" s="1125"/>
      <c r="J4666" s="1125"/>
    </row>
    <row r="4667" spans="9:10" x14ac:dyDescent="0.2">
      <c r="I4667" s="1125"/>
      <c r="J4667" s="1125"/>
    </row>
    <row r="4668" spans="9:10" x14ac:dyDescent="0.2">
      <c r="I4668" s="1125"/>
      <c r="J4668" s="1125"/>
    </row>
    <row r="4669" spans="9:10" x14ac:dyDescent="0.2">
      <c r="I4669" s="1125"/>
      <c r="J4669" s="1125"/>
    </row>
    <row r="4670" spans="9:10" x14ac:dyDescent="0.2">
      <c r="I4670" s="1125"/>
      <c r="J4670" s="1125"/>
    </row>
    <row r="4671" spans="9:10" x14ac:dyDescent="0.2">
      <c r="I4671" s="1125"/>
      <c r="J4671" s="1125"/>
    </row>
    <row r="4672" spans="9:10" x14ac:dyDescent="0.2">
      <c r="I4672" s="1125"/>
      <c r="J4672" s="1125"/>
    </row>
    <row r="4673" spans="9:10" x14ac:dyDescent="0.2">
      <c r="I4673" s="1125"/>
      <c r="J4673" s="1125"/>
    </row>
    <row r="4674" spans="9:10" x14ac:dyDescent="0.2">
      <c r="I4674" s="1125"/>
      <c r="J4674" s="1125"/>
    </row>
    <row r="4675" spans="9:10" x14ac:dyDescent="0.2">
      <c r="I4675" s="1125"/>
      <c r="J4675" s="1125"/>
    </row>
    <row r="4676" spans="9:10" x14ac:dyDescent="0.2">
      <c r="I4676" s="1125"/>
      <c r="J4676" s="1125"/>
    </row>
    <row r="4677" spans="9:10" x14ac:dyDescent="0.2">
      <c r="I4677" s="1125"/>
      <c r="J4677" s="1125"/>
    </row>
    <row r="4678" spans="9:10" x14ac:dyDescent="0.2">
      <c r="I4678" s="1125"/>
      <c r="J4678" s="1125"/>
    </row>
    <row r="4679" spans="9:10" x14ac:dyDescent="0.2">
      <c r="I4679" s="1125"/>
      <c r="J4679" s="1125"/>
    </row>
    <row r="4680" spans="9:10" x14ac:dyDescent="0.2">
      <c r="I4680" s="1125"/>
      <c r="J4680" s="1125"/>
    </row>
    <row r="4681" spans="9:10" x14ac:dyDescent="0.2">
      <c r="I4681" s="1125"/>
      <c r="J4681" s="1125"/>
    </row>
    <row r="4682" spans="9:10" x14ac:dyDescent="0.2">
      <c r="I4682" s="1125"/>
      <c r="J4682" s="1125"/>
    </row>
    <row r="4683" spans="9:10" x14ac:dyDescent="0.2">
      <c r="I4683" s="1125"/>
      <c r="J4683" s="1125"/>
    </row>
    <row r="4684" spans="9:10" x14ac:dyDescent="0.2">
      <c r="I4684" s="1125"/>
      <c r="J4684" s="1125"/>
    </row>
    <row r="4685" spans="9:10" x14ac:dyDescent="0.2">
      <c r="I4685" s="1125"/>
      <c r="J4685" s="1125"/>
    </row>
    <row r="4686" spans="9:10" x14ac:dyDescent="0.2">
      <c r="I4686" s="1125"/>
      <c r="J4686" s="1125"/>
    </row>
    <row r="4687" spans="9:10" x14ac:dyDescent="0.2">
      <c r="I4687" s="1125"/>
      <c r="J4687" s="1125"/>
    </row>
    <row r="4688" spans="9:10" x14ac:dyDescent="0.2">
      <c r="I4688" s="1125"/>
      <c r="J4688" s="1125"/>
    </row>
    <row r="4689" spans="9:10" x14ac:dyDescent="0.2">
      <c r="I4689" s="1125"/>
      <c r="J4689" s="1125"/>
    </row>
    <row r="4690" spans="9:10" x14ac:dyDescent="0.2">
      <c r="I4690" s="1125"/>
      <c r="J4690" s="1125"/>
    </row>
    <row r="4691" spans="9:10" x14ac:dyDescent="0.2">
      <c r="I4691" s="1125"/>
      <c r="J4691" s="1125"/>
    </row>
    <row r="4692" spans="9:10" x14ac:dyDescent="0.2">
      <c r="I4692" s="1125"/>
      <c r="J4692" s="1125"/>
    </row>
    <row r="4693" spans="9:10" x14ac:dyDescent="0.2">
      <c r="I4693" s="1125"/>
      <c r="J4693" s="1125"/>
    </row>
    <row r="4694" spans="9:10" x14ac:dyDescent="0.2">
      <c r="I4694" s="1125"/>
      <c r="J4694" s="1125"/>
    </row>
    <row r="4695" spans="9:10" x14ac:dyDescent="0.2">
      <c r="I4695" s="1125"/>
      <c r="J4695" s="1125"/>
    </row>
    <row r="4696" spans="9:10" x14ac:dyDescent="0.2">
      <c r="I4696" s="1125"/>
      <c r="J4696" s="1125"/>
    </row>
    <row r="4697" spans="9:10" x14ac:dyDescent="0.2">
      <c r="I4697" s="1125"/>
      <c r="J4697" s="1125"/>
    </row>
    <row r="4698" spans="9:10" x14ac:dyDescent="0.2">
      <c r="I4698" s="1125"/>
      <c r="J4698" s="1125"/>
    </row>
    <row r="4699" spans="9:10" x14ac:dyDescent="0.2">
      <c r="I4699" s="1125"/>
      <c r="J4699" s="1125"/>
    </row>
    <row r="4700" spans="9:10" x14ac:dyDescent="0.2">
      <c r="I4700" s="1125"/>
      <c r="J4700" s="1125"/>
    </row>
    <row r="4701" spans="9:10" x14ac:dyDescent="0.2">
      <c r="I4701" s="1125"/>
      <c r="J4701" s="1125"/>
    </row>
    <row r="4702" spans="9:10" x14ac:dyDescent="0.2">
      <c r="I4702" s="1125"/>
      <c r="J4702" s="1125"/>
    </row>
    <row r="4703" spans="9:10" x14ac:dyDescent="0.2">
      <c r="I4703" s="1125"/>
      <c r="J4703" s="1125"/>
    </row>
    <row r="4704" spans="9:10" x14ac:dyDescent="0.2">
      <c r="I4704" s="1125"/>
      <c r="J4704" s="1125"/>
    </row>
    <row r="4705" spans="9:10" x14ac:dyDescent="0.2">
      <c r="I4705" s="1125"/>
      <c r="J4705" s="1125"/>
    </row>
    <row r="4706" spans="9:10" x14ac:dyDescent="0.2">
      <c r="I4706" s="1125"/>
      <c r="J4706" s="1125"/>
    </row>
    <row r="4707" spans="9:10" x14ac:dyDescent="0.2">
      <c r="I4707" s="1125"/>
      <c r="J4707" s="1125"/>
    </row>
    <row r="4708" spans="9:10" x14ac:dyDescent="0.2">
      <c r="I4708" s="1125"/>
      <c r="J4708" s="1125"/>
    </row>
    <row r="4709" spans="9:10" x14ac:dyDescent="0.2">
      <c r="I4709" s="1125"/>
      <c r="J4709" s="1125"/>
    </row>
    <row r="4710" spans="9:10" x14ac:dyDescent="0.2">
      <c r="I4710" s="1125"/>
      <c r="J4710" s="1125"/>
    </row>
    <row r="4711" spans="9:10" x14ac:dyDescent="0.2">
      <c r="I4711" s="1125"/>
      <c r="J4711" s="1125"/>
    </row>
    <row r="4712" spans="9:10" x14ac:dyDescent="0.2">
      <c r="I4712" s="1125"/>
      <c r="J4712" s="1125"/>
    </row>
    <row r="4713" spans="9:10" x14ac:dyDescent="0.2">
      <c r="I4713" s="1125"/>
      <c r="J4713" s="1125"/>
    </row>
    <row r="4714" spans="9:10" x14ac:dyDescent="0.2">
      <c r="I4714" s="1125"/>
      <c r="J4714" s="1125"/>
    </row>
    <row r="4715" spans="9:10" x14ac:dyDescent="0.2">
      <c r="I4715" s="1125"/>
      <c r="J4715" s="1125"/>
    </row>
    <row r="4716" spans="9:10" x14ac:dyDescent="0.2">
      <c r="I4716" s="1125"/>
      <c r="J4716" s="1125"/>
    </row>
    <row r="4717" spans="9:10" x14ac:dyDescent="0.2">
      <c r="I4717" s="1125"/>
      <c r="J4717" s="1125"/>
    </row>
    <row r="4718" spans="9:10" x14ac:dyDescent="0.2">
      <c r="I4718" s="1125"/>
      <c r="J4718" s="1125"/>
    </row>
    <row r="4719" spans="9:10" x14ac:dyDescent="0.2">
      <c r="I4719" s="1125"/>
      <c r="J4719" s="1125"/>
    </row>
    <row r="4720" spans="9:10" x14ac:dyDescent="0.2">
      <c r="I4720" s="1125"/>
      <c r="J4720" s="1125"/>
    </row>
    <row r="4721" spans="9:10" x14ac:dyDescent="0.2">
      <c r="I4721" s="1125"/>
      <c r="J4721" s="1125"/>
    </row>
    <row r="4722" spans="9:10" x14ac:dyDescent="0.2">
      <c r="I4722" s="1125"/>
      <c r="J4722" s="1125"/>
    </row>
    <row r="4723" spans="9:10" x14ac:dyDescent="0.2">
      <c r="I4723" s="1125"/>
      <c r="J4723" s="1125"/>
    </row>
    <row r="4724" spans="9:10" x14ac:dyDescent="0.2">
      <c r="I4724" s="1125"/>
      <c r="J4724" s="1125"/>
    </row>
    <row r="4725" spans="9:10" x14ac:dyDescent="0.2">
      <c r="I4725" s="1125"/>
      <c r="J4725" s="1125"/>
    </row>
    <row r="4726" spans="9:10" x14ac:dyDescent="0.2">
      <c r="I4726" s="1125"/>
      <c r="J4726" s="1125"/>
    </row>
    <row r="4727" spans="9:10" x14ac:dyDescent="0.2">
      <c r="I4727" s="1125"/>
      <c r="J4727" s="1125"/>
    </row>
    <row r="4728" spans="9:10" x14ac:dyDescent="0.2">
      <c r="I4728" s="1125"/>
      <c r="J4728" s="1125"/>
    </row>
    <row r="4729" spans="9:10" x14ac:dyDescent="0.2">
      <c r="I4729" s="1125"/>
      <c r="J4729" s="1125"/>
    </row>
    <row r="4730" spans="9:10" x14ac:dyDescent="0.2">
      <c r="I4730" s="1125"/>
      <c r="J4730" s="1125"/>
    </row>
    <row r="4731" spans="9:10" x14ac:dyDescent="0.2">
      <c r="I4731" s="1125"/>
      <c r="J4731" s="1125"/>
    </row>
    <row r="4732" spans="9:10" x14ac:dyDescent="0.2">
      <c r="I4732" s="1125"/>
      <c r="J4732" s="1125"/>
    </row>
    <row r="4733" spans="9:10" x14ac:dyDescent="0.2">
      <c r="I4733" s="1125"/>
      <c r="J4733" s="1125"/>
    </row>
    <row r="4734" spans="9:10" x14ac:dyDescent="0.2">
      <c r="I4734" s="1125"/>
      <c r="J4734" s="1125"/>
    </row>
    <row r="4735" spans="9:10" x14ac:dyDescent="0.2">
      <c r="I4735" s="1125"/>
      <c r="J4735" s="1125"/>
    </row>
    <row r="4736" spans="9:10" x14ac:dyDescent="0.2">
      <c r="I4736" s="1125"/>
      <c r="J4736" s="1125"/>
    </row>
    <row r="4737" spans="9:10" x14ac:dyDescent="0.2">
      <c r="I4737" s="1125"/>
      <c r="J4737" s="1125"/>
    </row>
    <row r="4738" spans="9:10" x14ac:dyDescent="0.2">
      <c r="I4738" s="1125"/>
      <c r="J4738" s="1125"/>
    </row>
    <row r="4739" spans="9:10" x14ac:dyDescent="0.2">
      <c r="I4739" s="1125"/>
      <c r="J4739" s="1125"/>
    </row>
    <row r="4740" spans="9:10" x14ac:dyDescent="0.2">
      <c r="I4740" s="1125"/>
      <c r="J4740" s="1125"/>
    </row>
    <row r="4741" spans="9:10" x14ac:dyDescent="0.2">
      <c r="I4741" s="1125"/>
      <c r="J4741" s="1125"/>
    </row>
    <row r="4742" spans="9:10" x14ac:dyDescent="0.2">
      <c r="I4742" s="1125"/>
      <c r="J4742" s="1125"/>
    </row>
    <row r="4743" spans="9:10" x14ac:dyDescent="0.2">
      <c r="I4743" s="1125"/>
      <c r="J4743" s="1125"/>
    </row>
    <row r="4744" spans="9:10" x14ac:dyDescent="0.2">
      <c r="I4744" s="1125"/>
      <c r="J4744" s="1125"/>
    </row>
    <row r="4745" spans="9:10" x14ac:dyDescent="0.2">
      <c r="I4745" s="1125"/>
      <c r="J4745" s="1125"/>
    </row>
    <row r="4746" spans="9:10" x14ac:dyDescent="0.2">
      <c r="I4746" s="1125"/>
      <c r="J4746" s="1125"/>
    </row>
    <row r="4747" spans="9:10" x14ac:dyDescent="0.2">
      <c r="I4747" s="1125"/>
      <c r="J4747" s="1125"/>
    </row>
    <row r="4748" spans="9:10" x14ac:dyDescent="0.2">
      <c r="I4748" s="1125"/>
      <c r="J4748" s="1125"/>
    </row>
    <row r="4749" spans="9:10" x14ac:dyDescent="0.2">
      <c r="I4749" s="1125"/>
      <c r="J4749" s="1125"/>
    </row>
    <row r="4750" spans="9:10" x14ac:dyDescent="0.2">
      <c r="I4750" s="1125"/>
      <c r="J4750" s="1125"/>
    </row>
    <row r="4751" spans="9:10" x14ac:dyDescent="0.2">
      <c r="I4751" s="1125"/>
      <c r="J4751" s="1125"/>
    </row>
    <row r="4752" spans="9:10" x14ac:dyDescent="0.2">
      <c r="I4752" s="1125"/>
      <c r="J4752" s="1125"/>
    </row>
    <row r="4753" spans="9:10" x14ac:dyDescent="0.2">
      <c r="I4753" s="1125"/>
      <c r="J4753" s="1125"/>
    </row>
    <row r="4754" spans="9:10" x14ac:dyDescent="0.2">
      <c r="I4754" s="1125"/>
      <c r="J4754" s="1125"/>
    </row>
    <row r="4755" spans="9:10" x14ac:dyDescent="0.2">
      <c r="I4755" s="1125"/>
      <c r="J4755" s="1125"/>
    </row>
    <row r="4756" spans="9:10" x14ac:dyDescent="0.2">
      <c r="I4756" s="1125"/>
      <c r="J4756" s="1125"/>
    </row>
    <row r="4757" spans="9:10" x14ac:dyDescent="0.2">
      <c r="I4757" s="1125"/>
      <c r="J4757" s="1125"/>
    </row>
    <row r="4758" spans="9:10" x14ac:dyDescent="0.2">
      <c r="I4758" s="1125"/>
      <c r="J4758" s="1125"/>
    </row>
    <row r="4759" spans="9:10" x14ac:dyDescent="0.2">
      <c r="I4759" s="1125"/>
      <c r="J4759" s="1125"/>
    </row>
    <row r="4760" spans="9:10" x14ac:dyDescent="0.2">
      <c r="I4760" s="1125"/>
      <c r="J4760" s="1125"/>
    </row>
    <row r="4761" spans="9:10" x14ac:dyDescent="0.2">
      <c r="I4761" s="1125"/>
      <c r="J4761" s="1125"/>
    </row>
    <row r="4762" spans="9:10" x14ac:dyDescent="0.2">
      <c r="I4762" s="1125"/>
      <c r="J4762" s="1125"/>
    </row>
    <row r="4763" spans="9:10" x14ac:dyDescent="0.2">
      <c r="I4763" s="1125"/>
      <c r="J4763" s="1125"/>
    </row>
    <row r="4764" spans="9:10" x14ac:dyDescent="0.2">
      <c r="I4764" s="1125"/>
      <c r="J4764" s="1125"/>
    </row>
    <row r="4765" spans="9:10" x14ac:dyDescent="0.2">
      <c r="I4765" s="1125"/>
      <c r="J4765" s="1125"/>
    </row>
    <row r="4766" spans="9:10" x14ac:dyDescent="0.2">
      <c r="I4766" s="1125"/>
      <c r="J4766" s="1125"/>
    </row>
    <row r="4767" spans="9:10" x14ac:dyDescent="0.2">
      <c r="I4767" s="1125"/>
      <c r="J4767" s="1125"/>
    </row>
    <row r="4768" spans="9:10" x14ac:dyDescent="0.2">
      <c r="I4768" s="1125"/>
      <c r="J4768" s="1125"/>
    </row>
    <row r="4769" spans="9:10" x14ac:dyDescent="0.2">
      <c r="I4769" s="1125"/>
      <c r="J4769" s="1125"/>
    </row>
    <row r="4770" spans="9:10" x14ac:dyDescent="0.2">
      <c r="I4770" s="1125"/>
      <c r="J4770" s="1125"/>
    </row>
    <row r="4771" spans="9:10" x14ac:dyDescent="0.2">
      <c r="I4771" s="1125"/>
      <c r="J4771" s="1125"/>
    </row>
    <row r="4772" spans="9:10" x14ac:dyDescent="0.2">
      <c r="I4772" s="1125"/>
      <c r="J4772" s="1125"/>
    </row>
    <row r="4773" spans="9:10" x14ac:dyDescent="0.2">
      <c r="I4773" s="1125"/>
      <c r="J4773" s="1125"/>
    </row>
    <row r="4774" spans="9:10" x14ac:dyDescent="0.2">
      <c r="I4774" s="1125"/>
      <c r="J4774" s="1125"/>
    </row>
    <row r="4775" spans="9:10" x14ac:dyDescent="0.2">
      <c r="I4775" s="1125"/>
      <c r="J4775" s="1125"/>
    </row>
    <row r="4776" spans="9:10" x14ac:dyDescent="0.2">
      <c r="I4776" s="1125"/>
      <c r="J4776" s="1125"/>
    </row>
    <row r="4777" spans="9:10" x14ac:dyDescent="0.2">
      <c r="I4777" s="1125"/>
      <c r="J4777" s="1125"/>
    </row>
    <row r="4778" spans="9:10" x14ac:dyDescent="0.2">
      <c r="I4778" s="1125"/>
      <c r="J4778" s="1125"/>
    </row>
    <row r="4779" spans="9:10" x14ac:dyDescent="0.2">
      <c r="I4779" s="1125"/>
      <c r="J4779" s="1125"/>
    </row>
    <row r="4780" spans="9:10" x14ac:dyDescent="0.2">
      <c r="I4780" s="1125"/>
      <c r="J4780" s="1125"/>
    </row>
    <row r="4781" spans="9:10" x14ac:dyDescent="0.2">
      <c r="I4781" s="1125"/>
      <c r="J4781" s="1125"/>
    </row>
    <row r="4782" spans="9:10" x14ac:dyDescent="0.2">
      <c r="I4782" s="1125"/>
      <c r="J4782" s="1125"/>
    </row>
    <row r="4783" spans="9:10" x14ac:dyDescent="0.2">
      <c r="I4783" s="1125"/>
      <c r="J4783" s="1125"/>
    </row>
    <row r="4784" spans="9:10" x14ac:dyDescent="0.2">
      <c r="I4784" s="1125"/>
      <c r="J4784" s="1125"/>
    </row>
    <row r="4785" spans="9:10" x14ac:dyDescent="0.2">
      <c r="I4785" s="1125"/>
      <c r="J4785" s="1125"/>
    </row>
    <row r="4786" spans="9:10" x14ac:dyDescent="0.2">
      <c r="I4786" s="1125"/>
      <c r="J4786" s="1125"/>
    </row>
    <row r="4787" spans="9:10" x14ac:dyDescent="0.2">
      <c r="I4787" s="1125"/>
      <c r="J4787" s="1125"/>
    </row>
    <row r="4788" spans="9:10" x14ac:dyDescent="0.2">
      <c r="I4788" s="1125"/>
      <c r="J4788" s="1125"/>
    </row>
    <row r="4789" spans="9:10" x14ac:dyDescent="0.2">
      <c r="I4789" s="1125"/>
      <c r="J4789" s="1125"/>
    </row>
    <row r="4790" spans="9:10" x14ac:dyDescent="0.2">
      <c r="I4790" s="1125"/>
      <c r="J4790" s="1125"/>
    </row>
    <row r="4791" spans="9:10" x14ac:dyDescent="0.2">
      <c r="I4791" s="1125"/>
      <c r="J4791" s="1125"/>
    </row>
    <row r="4792" spans="9:10" x14ac:dyDescent="0.2">
      <c r="I4792" s="1125"/>
      <c r="J4792" s="1125"/>
    </row>
    <row r="4793" spans="9:10" x14ac:dyDescent="0.2">
      <c r="I4793" s="1125"/>
      <c r="J4793" s="1125"/>
    </row>
    <row r="4794" spans="9:10" x14ac:dyDescent="0.2">
      <c r="I4794" s="1125"/>
      <c r="J4794" s="1125"/>
    </row>
    <row r="4795" spans="9:10" x14ac:dyDescent="0.2">
      <c r="I4795" s="1125"/>
      <c r="J4795" s="1125"/>
    </row>
    <row r="4796" spans="9:10" x14ac:dyDescent="0.2">
      <c r="I4796" s="1125"/>
      <c r="J4796" s="1125"/>
    </row>
    <row r="4797" spans="9:10" x14ac:dyDescent="0.2">
      <c r="I4797" s="1125"/>
      <c r="J4797" s="1125"/>
    </row>
    <row r="4798" spans="9:10" x14ac:dyDescent="0.2">
      <c r="I4798" s="1125"/>
      <c r="J4798" s="1125"/>
    </row>
    <row r="4799" spans="9:10" x14ac:dyDescent="0.2">
      <c r="I4799" s="1125"/>
      <c r="J4799" s="1125"/>
    </row>
    <row r="4800" spans="9:10" x14ac:dyDescent="0.2">
      <c r="I4800" s="1125"/>
      <c r="J4800" s="1125"/>
    </row>
    <row r="4801" spans="9:10" x14ac:dyDescent="0.2">
      <c r="I4801" s="1125"/>
      <c r="J4801" s="1125"/>
    </row>
    <row r="4802" spans="9:10" x14ac:dyDescent="0.2">
      <c r="I4802" s="1125"/>
      <c r="J4802" s="1125"/>
    </row>
    <row r="4803" spans="9:10" x14ac:dyDescent="0.2">
      <c r="I4803" s="1125"/>
      <c r="J4803" s="1125"/>
    </row>
    <row r="4804" spans="9:10" x14ac:dyDescent="0.2">
      <c r="I4804" s="1125"/>
      <c r="J4804" s="1125"/>
    </row>
    <row r="4805" spans="9:10" x14ac:dyDescent="0.2">
      <c r="I4805" s="1125"/>
      <c r="J4805" s="1125"/>
    </row>
    <row r="4806" spans="9:10" x14ac:dyDescent="0.2">
      <c r="I4806" s="1125"/>
      <c r="J4806" s="1125"/>
    </row>
    <row r="4807" spans="9:10" x14ac:dyDescent="0.2">
      <c r="I4807" s="1125"/>
      <c r="J4807" s="1125"/>
    </row>
    <row r="4808" spans="9:10" x14ac:dyDescent="0.2">
      <c r="I4808" s="1125"/>
      <c r="J4808" s="1125"/>
    </row>
    <row r="4809" spans="9:10" x14ac:dyDescent="0.2">
      <c r="I4809" s="1125"/>
      <c r="J4809" s="1125"/>
    </row>
    <row r="4810" spans="9:10" x14ac:dyDescent="0.2">
      <c r="I4810" s="1125"/>
      <c r="J4810" s="1125"/>
    </row>
    <row r="4811" spans="9:10" x14ac:dyDescent="0.2">
      <c r="I4811" s="1125"/>
      <c r="J4811" s="1125"/>
    </row>
    <row r="4812" spans="9:10" x14ac:dyDescent="0.2">
      <c r="I4812" s="1125"/>
      <c r="J4812" s="1125"/>
    </row>
    <row r="4813" spans="9:10" x14ac:dyDescent="0.2">
      <c r="I4813" s="1125"/>
      <c r="J4813" s="1125"/>
    </row>
    <row r="4814" spans="9:10" x14ac:dyDescent="0.2">
      <c r="I4814" s="1125"/>
      <c r="J4814" s="1125"/>
    </row>
    <row r="4815" spans="9:10" x14ac:dyDescent="0.2">
      <c r="I4815" s="1125"/>
      <c r="J4815" s="1125"/>
    </row>
    <row r="4816" spans="9:10" x14ac:dyDescent="0.2">
      <c r="I4816" s="1125"/>
      <c r="J4816" s="1125"/>
    </row>
    <row r="4817" spans="9:10" x14ac:dyDescent="0.2">
      <c r="I4817" s="1125"/>
      <c r="J4817" s="1125"/>
    </row>
    <row r="4818" spans="9:10" x14ac:dyDescent="0.2">
      <c r="I4818" s="1125"/>
      <c r="J4818" s="1125"/>
    </row>
    <row r="4819" spans="9:10" x14ac:dyDescent="0.2">
      <c r="I4819" s="1125"/>
      <c r="J4819" s="1125"/>
    </row>
    <row r="4820" spans="9:10" x14ac:dyDescent="0.2">
      <c r="I4820" s="1125"/>
      <c r="J4820" s="1125"/>
    </row>
    <row r="4821" spans="9:10" x14ac:dyDescent="0.2">
      <c r="I4821" s="1125"/>
      <c r="J4821" s="1125"/>
    </row>
    <row r="4822" spans="9:10" x14ac:dyDescent="0.2">
      <c r="I4822" s="1125"/>
      <c r="J4822" s="1125"/>
    </row>
    <row r="4823" spans="9:10" x14ac:dyDescent="0.2">
      <c r="I4823" s="1125"/>
      <c r="J4823" s="1125"/>
    </row>
    <row r="4824" spans="9:10" x14ac:dyDescent="0.2">
      <c r="I4824" s="1125"/>
      <c r="J4824" s="1125"/>
    </row>
    <row r="4825" spans="9:10" x14ac:dyDescent="0.2">
      <c r="I4825" s="1125"/>
      <c r="J4825" s="1125"/>
    </row>
    <row r="4826" spans="9:10" x14ac:dyDescent="0.2">
      <c r="I4826" s="1125"/>
      <c r="J4826" s="1125"/>
    </row>
    <row r="4827" spans="9:10" x14ac:dyDescent="0.2">
      <c r="I4827" s="1125"/>
      <c r="J4827" s="1125"/>
    </row>
    <row r="4828" spans="9:10" x14ac:dyDescent="0.2">
      <c r="I4828" s="1125"/>
      <c r="J4828" s="1125"/>
    </row>
    <row r="4829" spans="9:10" x14ac:dyDescent="0.2">
      <c r="I4829" s="1125"/>
      <c r="J4829" s="1125"/>
    </row>
    <row r="4830" spans="9:10" x14ac:dyDescent="0.2">
      <c r="I4830" s="1125"/>
      <c r="J4830" s="1125"/>
    </row>
    <row r="4831" spans="9:10" x14ac:dyDescent="0.2">
      <c r="I4831" s="1125"/>
      <c r="J4831" s="1125"/>
    </row>
    <row r="4832" spans="9:10" x14ac:dyDescent="0.2">
      <c r="I4832" s="1125"/>
      <c r="J4832" s="1125"/>
    </row>
    <row r="4833" spans="9:10" x14ac:dyDescent="0.2">
      <c r="I4833" s="1125"/>
      <c r="J4833" s="1125"/>
    </row>
    <row r="4834" spans="9:10" x14ac:dyDescent="0.2">
      <c r="I4834" s="1125"/>
      <c r="J4834" s="1125"/>
    </row>
    <row r="4835" spans="9:10" x14ac:dyDescent="0.2">
      <c r="I4835" s="1125"/>
      <c r="J4835" s="1125"/>
    </row>
    <row r="4836" spans="9:10" x14ac:dyDescent="0.2">
      <c r="I4836" s="1125"/>
      <c r="J4836" s="1125"/>
    </row>
    <row r="4837" spans="9:10" x14ac:dyDescent="0.2">
      <c r="I4837" s="1125"/>
      <c r="J4837" s="1125"/>
    </row>
    <row r="4838" spans="9:10" x14ac:dyDescent="0.2">
      <c r="I4838" s="1125"/>
      <c r="J4838" s="1125"/>
    </row>
    <row r="4839" spans="9:10" x14ac:dyDescent="0.2">
      <c r="I4839" s="1125"/>
      <c r="J4839" s="1125"/>
    </row>
    <row r="4840" spans="9:10" x14ac:dyDescent="0.2">
      <c r="I4840" s="1125"/>
      <c r="J4840" s="1125"/>
    </row>
    <row r="4841" spans="9:10" x14ac:dyDescent="0.2">
      <c r="I4841" s="1125"/>
      <c r="J4841" s="1125"/>
    </row>
    <row r="4842" spans="9:10" x14ac:dyDescent="0.2">
      <c r="I4842" s="1125"/>
      <c r="J4842" s="1125"/>
    </row>
    <row r="4843" spans="9:10" x14ac:dyDescent="0.2">
      <c r="I4843" s="1125"/>
      <c r="J4843" s="1125"/>
    </row>
    <row r="4844" spans="9:10" x14ac:dyDescent="0.2">
      <c r="I4844" s="1125"/>
      <c r="J4844" s="1125"/>
    </row>
    <row r="4845" spans="9:10" x14ac:dyDescent="0.2">
      <c r="I4845" s="1125"/>
      <c r="J4845" s="1125"/>
    </row>
    <row r="4846" spans="9:10" x14ac:dyDescent="0.2">
      <c r="I4846" s="1125"/>
      <c r="J4846" s="1125"/>
    </row>
    <row r="4847" spans="9:10" x14ac:dyDescent="0.2">
      <c r="I4847" s="1125"/>
      <c r="J4847" s="1125"/>
    </row>
    <row r="4848" spans="9:10" x14ac:dyDescent="0.2">
      <c r="I4848" s="1125"/>
      <c r="J4848" s="1125"/>
    </row>
    <row r="4849" spans="9:10" x14ac:dyDescent="0.2">
      <c r="I4849" s="1125"/>
      <c r="J4849" s="1125"/>
    </row>
    <row r="4850" spans="9:10" x14ac:dyDescent="0.2">
      <c r="I4850" s="1125"/>
      <c r="J4850" s="1125"/>
    </row>
    <row r="4851" spans="9:10" x14ac:dyDescent="0.2">
      <c r="I4851" s="1125"/>
      <c r="J4851" s="1125"/>
    </row>
    <row r="4852" spans="9:10" x14ac:dyDescent="0.2">
      <c r="I4852" s="1125"/>
      <c r="J4852" s="1125"/>
    </row>
    <row r="4853" spans="9:10" x14ac:dyDescent="0.2">
      <c r="I4853" s="1125"/>
      <c r="J4853" s="1125"/>
    </row>
    <row r="4854" spans="9:10" x14ac:dyDescent="0.2">
      <c r="I4854" s="1125"/>
      <c r="J4854" s="1125"/>
    </row>
    <row r="4855" spans="9:10" x14ac:dyDescent="0.2">
      <c r="I4855" s="1125"/>
      <c r="J4855" s="1125"/>
    </row>
    <row r="4856" spans="9:10" x14ac:dyDescent="0.2">
      <c r="I4856" s="1125"/>
      <c r="J4856" s="1125"/>
    </row>
    <row r="4857" spans="9:10" x14ac:dyDescent="0.2">
      <c r="I4857" s="1125"/>
      <c r="J4857" s="1125"/>
    </row>
    <row r="4858" spans="9:10" x14ac:dyDescent="0.2">
      <c r="I4858" s="1125"/>
      <c r="J4858" s="1125"/>
    </row>
    <row r="4859" spans="9:10" x14ac:dyDescent="0.2">
      <c r="I4859" s="1125"/>
      <c r="J4859" s="1125"/>
    </row>
    <row r="4860" spans="9:10" x14ac:dyDescent="0.2">
      <c r="I4860" s="1125"/>
      <c r="J4860" s="1125"/>
    </row>
    <row r="4861" spans="9:10" x14ac:dyDescent="0.2">
      <c r="I4861" s="1125"/>
      <c r="J4861" s="1125"/>
    </row>
    <row r="4862" spans="9:10" x14ac:dyDescent="0.2">
      <c r="I4862" s="1125"/>
      <c r="J4862" s="1125"/>
    </row>
    <row r="4863" spans="9:10" x14ac:dyDescent="0.2">
      <c r="I4863" s="1125"/>
      <c r="J4863" s="1125"/>
    </row>
    <row r="4864" spans="9:10" x14ac:dyDescent="0.2">
      <c r="I4864" s="1125"/>
      <c r="J4864" s="1125"/>
    </row>
    <row r="4865" spans="9:10" x14ac:dyDescent="0.2">
      <c r="I4865" s="1125"/>
      <c r="J4865" s="1125"/>
    </row>
    <row r="4866" spans="9:10" x14ac:dyDescent="0.2">
      <c r="I4866" s="1125"/>
      <c r="J4866" s="1125"/>
    </row>
    <row r="4867" spans="9:10" x14ac:dyDescent="0.2">
      <c r="I4867" s="1125"/>
      <c r="J4867" s="1125"/>
    </row>
    <row r="4868" spans="9:10" x14ac:dyDescent="0.2">
      <c r="I4868" s="1125"/>
      <c r="J4868" s="1125"/>
    </row>
    <row r="4869" spans="9:10" x14ac:dyDescent="0.2">
      <c r="I4869" s="1125"/>
      <c r="J4869" s="1125"/>
    </row>
    <row r="4870" spans="9:10" x14ac:dyDescent="0.2">
      <c r="I4870" s="1125"/>
      <c r="J4870" s="1125"/>
    </row>
    <row r="4871" spans="9:10" x14ac:dyDescent="0.2">
      <c r="I4871" s="1125"/>
      <c r="J4871" s="1125"/>
    </row>
    <row r="4872" spans="9:10" x14ac:dyDescent="0.2">
      <c r="I4872" s="1125"/>
      <c r="J4872" s="1125"/>
    </row>
    <row r="4873" spans="9:10" x14ac:dyDescent="0.2">
      <c r="I4873" s="1125"/>
      <c r="J4873" s="1125"/>
    </row>
    <row r="4874" spans="9:10" x14ac:dyDescent="0.2">
      <c r="I4874" s="1125"/>
      <c r="J4874" s="1125"/>
    </row>
    <row r="4875" spans="9:10" x14ac:dyDescent="0.2">
      <c r="I4875" s="1125"/>
      <c r="J4875" s="1125"/>
    </row>
    <row r="4876" spans="9:10" x14ac:dyDescent="0.2">
      <c r="I4876" s="1125"/>
      <c r="J4876" s="1125"/>
    </row>
    <row r="4877" spans="9:10" x14ac:dyDescent="0.2">
      <c r="I4877" s="1125"/>
      <c r="J4877" s="1125"/>
    </row>
    <row r="4878" spans="9:10" x14ac:dyDescent="0.2">
      <c r="I4878" s="1125"/>
      <c r="J4878" s="1125"/>
    </row>
    <row r="4879" spans="9:10" x14ac:dyDescent="0.2">
      <c r="I4879" s="1125"/>
      <c r="J4879" s="1125"/>
    </row>
    <row r="4880" spans="9:10" x14ac:dyDescent="0.2">
      <c r="I4880" s="1125"/>
      <c r="J4880" s="1125"/>
    </row>
    <row r="4881" spans="9:10" x14ac:dyDescent="0.2">
      <c r="I4881" s="1125"/>
      <c r="J4881" s="1125"/>
    </row>
    <row r="4882" spans="9:10" x14ac:dyDescent="0.2">
      <c r="I4882" s="1125"/>
      <c r="J4882" s="1125"/>
    </row>
    <row r="4883" spans="9:10" x14ac:dyDescent="0.2">
      <c r="I4883" s="1125"/>
      <c r="J4883" s="1125"/>
    </row>
    <row r="4884" spans="9:10" x14ac:dyDescent="0.2">
      <c r="I4884" s="1125"/>
      <c r="J4884" s="1125"/>
    </row>
    <row r="4885" spans="9:10" x14ac:dyDescent="0.2">
      <c r="I4885" s="1125"/>
      <c r="J4885" s="1125"/>
    </row>
    <row r="4886" spans="9:10" x14ac:dyDescent="0.2">
      <c r="I4886" s="1125"/>
      <c r="J4886" s="1125"/>
    </row>
    <row r="4887" spans="9:10" x14ac:dyDescent="0.2">
      <c r="I4887" s="1125"/>
      <c r="J4887" s="1125"/>
    </row>
    <row r="4888" spans="9:10" x14ac:dyDescent="0.2">
      <c r="I4888" s="1125"/>
      <c r="J4888" s="1125"/>
    </row>
    <row r="4889" spans="9:10" x14ac:dyDescent="0.2">
      <c r="I4889" s="1125"/>
      <c r="J4889" s="1125"/>
    </row>
    <row r="4890" spans="9:10" x14ac:dyDescent="0.2">
      <c r="I4890" s="1125"/>
      <c r="J4890" s="1125"/>
    </row>
    <row r="4891" spans="9:10" x14ac:dyDescent="0.2">
      <c r="I4891" s="1125"/>
      <c r="J4891" s="1125"/>
    </row>
    <row r="4892" spans="9:10" x14ac:dyDescent="0.2">
      <c r="I4892" s="1125"/>
      <c r="J4892" s="1125"/>
    </row>
    <row r="4893" spans="9:10" x14ac:dyDescent="0.2">
      <c r="I4893" s="1125"/>
      <c r="J4893" s="1125"/>
    </row>
    <row r="4894" spans="9:10" x14ac:dyDescent="0.2">
      <c r="I4894" s="1125"/>
      <c r="J4894" s="1125"/>
    </row>
    <row r="4895" spans="9:10" x14ac:dyDescent="0.2">
      <c r="I4895" s="1125"/>
      <c r="J4895" s="1125"/>
    </row>
    <row r="4896" spans="9:10" x14ac:dyDescent="0.2">
      <c r="I4896" s="1125"/>
      <c r="J4896" s="1125"/>
    </row>
    <row r="4897" spans="9:10" x14ac:dyDescent="0.2">
      <c r="I4897" s="1125"/>
      <c r="J4897" s="1125"/>
    </row>
    <row r="4898" spans="9:10" x14ac:dyDescent="0.2">
      <c r="I4898" s="1125"/>
      <c r="J4898" s="1125"/>
    </row>
    <row r="4899" spans="9:10" x14ac:dyDescent="0.2">
      <c r="I4899" s="1125"/>
      <c r="J4899" s="1125"/>
    </row>
    <row r="4900" spans="9:10" x14ac:dyDescent="0.2">
      <c r="I4900" s="1125"/>
      <c r="J4900" s="1125"/>
    </row>
    <row r="4901" spans="9:10" x14ac:dyDescent="0.2">
      <c r="I4901" s="1125"/>
      <c r="J4901" s="1125"/>
    </row>
    <row r="4902" spans="9:10" x14ac:dyDescent="0.2">
      <c r="I4902" s="1125"/>
      <c r="J4902" s="1125"/>
    </row>
    <row r="4903" spans="9:10" x14ac:dyDescent="0.2">
      <c r="I4903" s="1125"/>
      <c r="J4903" s="1125"/>
    </row>
    <row r="4904" spans="9:10" x14ac:dyDescent="0.2">
      <c r="I4904" s="1125"/>
      <c r="J4904" s="1125"/>
    </row>
    <row r="4905" spans="9:10" x14ac:dyDescent="0.2">
      <c r="I4905" s="1125"/>
      <c r="J4905" s="1125"/>
    </row>
    <row r="4906" spans="9:10" x14ac:dyDescent="0.2">
      <c r="I4906" s="1125"/>
      <c r="J4906" s="1125"/>
    </row>
    <row r="4907" spans="9:10" x14ac:dyDescent="0.2">
      <c r="I4907" s="1125"/>
      <c r="J4907" s="1125"/>
    </row>
    <row r="4908" spans="9:10" x14ac:dyDescent="0.2">
      <c r="I4908" s="1125"/>
      <c r="J4908" s="1125"/>
    </row>
    <row r="4909" spans="9:10" x14ac:dyDescent="0.2">
      <c r="I4909" s="1125"/>
      <c r="J4909" s="1125"/>
    </row>
    <row r="4910" spans="9:10" x14ac:dyDescent="0.2">
      <c r="I4910" s="1125"/>
      <c r="J4910" s="1125"/>
    </row>
    <row r="4911" spans="9:10" x14ac:dyDescent="0.2">
      <c r="I4911" s="1125"/>
      <c r="J4911" s="1125"/>
    </row>
    <row r="4912" spans="9:10" x14ac:dyDescent="0.2">
      <c r="I4912" s="1125"/>
      <c r="J4912" s="1125"/>
    </row>
    <row r="4913" spans="9:10" x14ac:dyDescent="0.2">
      <c r="I4913" s="1125"/>
      <c r="J4913" s="1125"/>
    </row>
    <row r="4914" spans="9:10" x14ac:dyDescent="0.2">
      <c r="I4914" s="1125"/>
      <c r="J4914" s="1125"/>
    </row>
    <row r="4915" spans="9:10" x14ac:dyDescent="0.2">
      <c r="I4915" s="1125"/>
      <c r="J4915" s="1125"/>
    </row>
    <row r="4916" spans="9:10" x14ac:dyDescent="0.2">
      <c r="I4916" s="1125"/>
      <c r="J4916" s="1125"/>
    </row>
    <row r="4917" spans="9:10" x14ac:dyDescent="0.2">
      <c r="I4917" s="1125"/>
      <c r="J4917" s="1125"/>
    </row>
    <row r="4918" spans="9:10" x14ac:dyDescent="0.2">
      <c r="I4918" s="1125"/>
      <c r="J4918" s="1125"/>
    </row>
    <row r="4919" spans="9:10" x14ac:dyDescent="0.2">
      <c r="I4919" s="1125"/>
      <c r="J4919" s="1125"/>
    </row>
    <row r="4920" spans="9:10" x14ac:dyDescent="0.2">
      <c r="I4920" s="1125"/>
      <c r="J4920" s="1125"/>
    </row>
    <row r="4921" spans="9:10" x14ac:dyDescent="0.2">
      <c r="I4921" s="1125"/>
      <c r="J4921" s="1125"/>
    </row>
    <row r="4922" spans="9:10" x14ac:dyDescent="0.2">
      <c r="I4922" s="1125"/>
      <c r="J4922" s="1125"/>
    </row>
    <row r="4923" spans="9:10" x14ac:dyDescent="0.2">
      <c r="I4923" s="1125"/>
      <c r="J4923" s="1125"/>
    </row>
    <row r="4924" spans="9:10" x14ac:dyDescent="0.2">
      <c r="I4924" s="1125"/>
      <c r="J4924" s="1125"/>
    </row>
    <row r="4925" spans="9:10" x14ac:dyDescent="0.2">
      <c r="I4925" s="1125"/>
      <c r="J4925" s="1125"/>
    </row>
    <row r="4926" spans="9:10" x14ac:dyDescent="0.2">
      <c r="I4926" s="1125"/>
      <c r="J4926" s="1125"/>
    </row>
    <row r="4927" spans="9:10" x14ac:dyDescent="0.2">
      <c r="I4927" s="1125"/>
      <c r="J4927" s="1125"/>
    </row>
    <row r="4928" spans="9:10" x14ac:dyDescent="0.2">
      <c r="I4928" s="1125"/>
      <c r="J4928" s="1125"/>
    </row>
    <row r="4929" spans="9:10" x14ac:dyDescent="0.2">
      <c r="I4929" s="1125"/>
      <c r="J4929" s="1125"/>
    </row>
    <row r="4930" spans="9:10" x14ac:dyDescent="0.2">
      <c r="I4930" s="1125"/>
      <c r="J4930" s="1125"/>
    </row>
    <row r="4931" spans="9:10" x14ac:dyDescent="0.2">
      <c r="I4931" s="1125"/>
      <c r="J4931" s="1125"/>
    </row>
    <row r="4932" spans="9:10" x14ac:dyDescent="0.2">
      <c r="I4932" s="1125"/>
      <c r="J4932" s="1125"/>
    </row>
    <row r="4933" spans="9:10" x14ac:dyDescent="0.2">
      <c r="I4933" s="1125"/>
      <c r="J4933" s="1125"/>
    </row>
    <row r="4934" spans="9:10" x14ac:dyDescent="0.2">
      <c r="I4934" s="1125"/>
      <c r="J4934" s="1125"/>
    </row>
    <row r="4935" spans="9:10" x14ac:dyDescent="0.2">
      <c r="I4935" s="1125"/>
      <c r="J4935" s="1125"/>
    </row>
    <row r="4936" spans="9:10" x14ac:dyDescent="0.2">
      <c r="I4936" s="1125"/>
      <c r="J4936" s="1125"/>
    </row>
    <row r="4937" spans="9:10" x14ac:dyDescent="0.2">
      <c r="I4937" s="1125"/>
      <c r="J4937" s="1125"/>
    </row>
    <row r="4938" spans="9:10" x14ac:dyDescent="0.2">
      <c r="I4938" s="1125"/>
      <c r="J4938" s="1125"/>
    </row>
    <row r="4939" spans="9:10" x14ac:dyDescent="0.2">
      <c r="I4939" s="1125"/>
      <c r="J4939" s="1125"/>
    </row>
    <row r="4940" spans="9:10" x14ac:dyDescent="0.2">
      <c r="I4940" s="1125"/>
      <c r="J4940" s="1125"/>
    </row>
    <row r="4941" spans="9:10" x14ac:dyDescent="0.2">
      <c r="I4941" s="1125"/>
      <c r="J4941" s="1125"/>
    </row>
    <row r="4942" spans="9:10" x14ac:dyDescent="0.2">
      <c r="I4942" s="1125"/>
      <c r="J4942" s="1125"/>
    </row>
    <row r="4943" spans="9:10" x14ac:dyDescent="0.2">
      <c r="I4943" s="1125"/>
      <c r="J4943" s="1125"/>
    </row>
    <row r="4944" spans="9:10" x14ac:dyDescent="0.2">
      <c r="I4944" s="1125"/>
      <c r="J4944" s="1125"/>
    </row>
    <row r="4945" spans="9:10" x14ac:dyDescent="0.2">
      <c r="I4945" s="1125"/>
      <c r="J4945" s="1125"/>
    </row>
    <row r="4946" spans="9:10" x14ac:dyDescent="0.2">
      <c r="I4946" s="1125"/>
      <c r="J4946" s="1125"/>
    </row>
    <row r="4947" spans="9:10" x14ac:dyDescent="0.2">
      <c r="I4947" s="1125"/>
      <c r="J4947" s="1125"/>
    </row>
    <row r="4948" spans="9:10" x14ac:dyDescent="0.2">
      <c r="I4948" s="1125"/>
      <c r="J4948" s="1125"/>
    </row>
    <row r="4949" spans="9:10" x14ac:dyDescent="0.2">
      <c r="I4949" s="1125"/>
      <c r="J4949" s="1125"/>
    </row>
    <row r="4950" spans="9:10" x14ac:dyDescent="0.2">
      <c r="I4950" s="1125"/>
      <c r="J4950" s="1125"/>
    </row>
    <row r="4951" spans="9:10" x14ac:dyDescent="0.2">
      <c r="I4951" s="1125"/>
      <c r="J4951" s="1125"/>
    </row>
    <row r="4952" spans="9:10" x14ac:dyDescent="0.2">
      <c r="I4952" s="1125"/>
      <c r="J4952" s="1125"/>
    </row>
    <row r="4953" spans="9:10" x14ac:dyDescent="0.2">
      <c r="I4953" s="1125"/>
      <c r="J4953" s="1125"/>
    </row>
    <row r="4954" spans="9:10" x14ac:dyDescent="0.2">
      <c r="I4954" s="1125"/>
      <c r="J4954" s="1125"/>
    </row>
    <row r="4955" spans="9:10" x14ac:dyDescent="0.2">
      <c r="I4955" s="1125"/>
      <c r="J4955" s="1125"/>
    </row>
    <row r="4956" spans="9:10" x14ac:dyDescent="0.2">
      <c r="I4956" s="1125"/>
      <c r="J4956" s="1125"/>
    </row>
    <row r="4957" spans="9:10" x14ac:dyDescent="0.2">
      <c r="I4957" s="1125"/>
      <c r="J4957" s="1125"/>
    </row>
    <row r="4958" spans="9:10" x14ac:dyDescent="0.2">
      <c r="I4958" s="1125"/>
      <c r="J4958" s="1125"/>
    </row>
    <row r="4959" spans="9:10" x14ac:dyDescent="0.2">
      <c r="I4959" s="1125"/>
      <c r="J4959" s="1125"/>
    </row>
    <row r="4960" spans="9:10" x14ac:dyDescent="0.2">
      <c r="I4960" s="1125"/>
      <c r="J4960" s="1125"/>
    </row>
    <row r="4961" spans="9:10" x14ac:dyDescent="0.2">
      <c r="I4961" s="1125"/>
      <c r="J4961" s="1125"/>
    </row>
    <row r="4962" spans="9:10" x14ac:dyDescent="0.2">
      <c r="I4962" s="1125"/>
      <c r="J4962" s="1125"/>
    </row>
    <row r="4963" spans="9:10" x14ac:dyDescent="0.2">
      <c r="I4963" s="1125"/>
      <c r="J4963" s="1125"/>
    </row>
    <row r="4964" spans="9:10" x14ac:dyDescent="0.2">
      <c r="I4964" s="1125"/>
      <c r="J4964" s="1125"/>
    </row>
    <row r="4965" spans="9:10" x14ac:dyDescent="0.2">
      <c r="I4965" s="1125"/>
      <c r="J4965" s="1125"/>
    </row>
    <row r="4966" spans="9:10" x14ac:dyDescent="0.2">
      <c r="I4966" s="1125"/>
      <c r="J4966" s="1125"/>
    </row>
    <row r="4967" spans="9:10" x14ac:dyDescent="0.2">
      <c r="I4967" s="1125"/>
      <c r="J4967" s="1125"/>
    </row>
    <row r="4968" spans="9:10" x14ac:dyDescent="0.2">
      <c r="I4968" s="1125"/>
      <c r="J4968" s="1125"/>
    </row>
    <row r="4969" spans="9:10" x14ac:dyDescent="0.2">
      <c r="I4969" s="1125"/>
      <c r="J4969" s="1125"/>
    </row>
    <row r="4970" spans="9:10" x14ac:dyDescent="0.2">
      <c r="I4970" s="1125"/>
      <c r="J4970" s="1125"/>
    </row>
    <row r="4971" spans="9:10" x14ac:dyDescent="0.2">
      <c r="I4971" s="1125"/>
      <c r="J4971" s="1125"/>
    </row>
    <row r="4972" spans="9:10" x14ac:dyDescent="0.2">
      <c r="I4972" s="1125"/>
      <c r="J4972" s="1125"/>
    </row>
    <row r="4973" spans="9:10" x14ac:dyDescent="0.2">
      <c r="I4973" s="1125"/>
      <c r="J4973" s="1125"/>
    </row>
    <row r="4974" spans="9:10" x14ac:dyDescent="0.2">
      <c r="I4974" s="1125"/>
      <c r="J4974" s="1125"/>
    </row>
    <row r="4975" spans="9:10" x14ac:dyDescent="0.2">
      <c r="I4975" s="1125"/>
      <c r="J4975" s="1125"/>
    </row>
    <row r="4976" spans="9:10" x14ac:dyDescent="0.2">
      <c r="I4976" s="1125"/>
      <c r="J4976" s="1125"/>
    </row>
    <row r="4977" spans="9:10" x14ac:dyDescent="0.2">
      <c r="I4977" s="1125"/>
      <c r="J4977" s="1125"/>
    </row>
    <row r="4978" spans="9:10" x14ac:dyDescent="0.2">
      <c r="I4978" s="1125"/>
      <c r="J4978" s="1125"/>
    </row>
    <row r="4979" spans="9:10" x14ac:dyDescent="0.2">
      <c r="I4979" s="1125"/>
      <c r="J4979" s="1125"/>
    </row>
    <row r="4980" spans="9:10" x14ac:dyDescent="0.2">
      <c r="I4980" s="1125"/>
      <c r="J4980" s="1125"/>
    </row>
    <row r="4981" spans="9:10" x14ac:dyDescent="0.2">
      <c r="I4981" s="1125"/>
      <c r="J4981" s="1125"/>
    </row>
    <row r="4982" spans="9:10" x14ac:dyDescent="0.2">
      <c r="I4982" s="1125"/>
      <c r="J4982" s="1125"/>
    </row>
    <row r="4983" spans="9:10" x14ac:dyDescent="0.2">
      <c r="I4983" s="1125"/>
      <c r="J4983" s="1125"/>
    </row>
    <row r="4984" spans="9:10" x14ac:dyDescent="0.2">
      <c r="I4984" s="1125"/>
      <c r="J4984" s="1125"/>
    </row>
    <row r="4985" spans="9:10" x14ac:dyDescent="0.2">
      <c r="I4985" s="1125"/>
      <c r="J4985" s="1125"/>
    </row>
    <row r="4986" spans="9:10" x14ac:dyDescent="0.2">
      <c r="I4986" s="1125"/>
      <c r="J4986" s="1125"/>
    </row>
    <row r="4987" spans="9:10" x14ac:dyDescent="0.2">
      <c r="I4987" s="1125"/>
      <c r="J4987" s="1125"/>
    </row>
    <row r="4988" spans="9:10" x14ac:dyDescent="0.2">
      <c r="I4988" s="1125"/>
      <c r="J4988" s="1125"/>
    </row>
    <row r="4989" spans="9:10" x14ac:dyDescent="0.2">
      <c r="I4989" s="1125"/>
      <c r="J4989" s="1125"/>
    </row>
    <row r="4990" spans="9:10" x14ac:dyDescent="0.2">
      <c r="I4990" s="1125"/>
      <c r="J4990" s="1125"/>
    </row>
    <row r="4991" spans="9:10" x14ac:dyDescent="0.2">
      <c r="I4991" s="1125"/>
      <c r="J4991" s="1125"/>
    </row>
    <row r="4992" spans="9:10" x14ac:dyDescent="0.2">
      <c r="I4992" s="1125"/>
      <c r="J4992" s="1125"/>
    </row>
    <row r="4993" spans="9:10" x14ac:dyDescent="0.2">
      <c r="I4993" s="1125"/>
      <c r="J4993" s="1125"/>
    </row>
    <row r="4994" spans="9:10" x14ac:dyDescent="0.2">
      <c r="I4994" s="1125"/>
      <c r="J4994" s="1125"/>
    </row>
    <row r="4995" spans="9:10" x14ac:dyDescent="0.2">
      <c r="I4995" s="1125"/>
      <c r="J4995" s="1125"/>
    </row>
    <row r="4996" spans="9:10" x14ac:dyDescent="0.2">
      <c r="I4996" s="1125"/>
      <c r="J4996" s="1125"/>
    </row>
    <row r="4997" spans="9:10" x14ac:dyDescent="0.2">
      <c r="I4997" s="1125"/>
      <c r="J4997" s="1125"/>
    </row>
    <row r="4998" spans="9:10" x14ac:dyDescent="0.2">
      <c r="I4998" s="1125"/>
      <c r="J4998" s="1125"/>
    </row>
    <row r="4999" spans="9:10" x14ac:dyDescent="0.2">
      <c r="I4999" s="1125"/>
      <c r="J4999" s="1125"/>
    </row>
    <row r="5000" spans="9:10" x14ac:dyDescent="0.2">
      <c r="I5000" s="1125"/>
      <c r="J5000" s="1125"/>
    </row>
    <row r="5001" spans="9:10" x14ac:dyDescent="0.2">
      <c r="I5001" s="1125"/>
      <c r="J5001" s="1125"/>
    </row>
    <row r="5002" spans="9:10" x14ac:dyDescent="0.2">
      <c r="I5002" s="1125"/>
      <c r="J5002" s="1125"/>
    </row>
    <row r="5003" spans="9:10" x14ac:dyDescent="0.2">
      <c r="I5003" s="1125"/>
      <c r="J5003" s="1125"/>
    </row>
    <row r="5004" spans="9:10" x14ac:dyDescent="0.2">
      <c r="I5004" s="1125"/>
      <c r="J5004" s="1125"/>
    </row>
    <row r="5005" spans="9:10" x14ac:dyDescent="0.2">
      <c r="I5005" s="1125"/>
      <c r="J5005" s="1125"/>
    </row>
    <row r="5006" spans="9:10" x14ac:dyDescent="0.2">
      <c r="I5006" s="1125"/>
      <c r="J5006" s="1125"/>
    </row>
    <row r="5007" spans="9:10" x14ac:dyDescent="0.2">
      <c r="I5007" s="1125"/>
      <c r="J5007" s="1125"/>
    </row>
    <row r="5008" spans="9:10" x14ac:dyDescent="0.2">
      <c r="I5008" s="1125"/>
      <c r="J5008" s="1125"/>
    </row>
    <row r="5009" spans="9:10" x14ac:dyDescent="0.2">
      <c r="I5009" s="1125"/>
      <c r="J5009" s="1125"/>
    </row>
    <row r="5010" spans="9:10" x14ac:dyDescent="0.2">
      <c r="I5010" s="1125"/>
      <c r="J5010" s="1125"/>
    </row>
    <row r="5011" spans="9:10" x14ac:dyDescent="0.2">
      <c r="I5011" s="1125"/>
      <c r="J5011" s="1125"/>
    </row>
    <row r="5012" spans="9:10" x14ac:dyDescent="0.2">
      <c r="I5012" s="1125"/>
      <c r="J5012" s="1125"/>
    </row>
    <row r="5013" spans="9:10" x14ac:dyDescent="0.2">
      <c r="I5013" s="1125"/>
      <c r="J5013" s="1125"/>
    </row>
    <row r="5014" spans="9:10" x14ac:dyDescent="0.2">
      <c r="I5014" s="1125"/>
      <c r="J5014" s="1125"/>
    </row>
    <row r="5015" spans="9:10" x14ac:dyDescent="0.2">
      <c r="I5015" s="1125"/>
      <c r="J5015" s="1125"/>
    </row>
    <row r="5016" spans="9:10" x14ac:dyDescent="0.2">
      <c r="I5016" s="1125"/>
      <c r="J5016" s="1125"/>
    </row>
    <row r="5017" spans="9:10" x14ac:dyDescent="0.2">
      <c r="I5017" s="1125"/>
      <c r="J5017" s="1125"/>
    </row>
    <row r="5018" spans="9:10" x14ac:dyDescent="0.2">
      <c r="I5018" s="1125"/>
      <c r="J5018" s="1125"/>
    </row>
    <row r="5019" spans="9:10" x14ac:dyDescent="0.2">
      <c r="I5019" s="1125"/>
      <c r="J5019" s="1125"/>
    </row>
    <row r="5020" spans="9:10" x14ac:dyDescent="0.2">
      <c r="I5020" s="1125"/>
      <c r="J5020" s="1125"/>
    </row>
    <row r="5021" spans="9:10" x14ac:dyDescent="0.2">
      <c r="I5021" s="1125"/>
      <c r="J5021" s="1125"/>
    </row>
    <row r="5022" spans="9:10" x14ac:dyDescent="0.2">
      <c r="I5022" s="1125"/>
      <c r="J5022" s="1125"/>
    </row>
    <row r="5023" spans="9:10" x14ac:dyDescent="0.2">
      <c r="I5023" s="1125"/>
      <c r="J5023" s="1125"/>
    </row>
    <row r="5024" spans="9:10" x14ac:dyDescent="0.2">
      <c r="I5024" s="1125"/>
      <c r="J5024" s="1125"/>
    </row>
    <row r="5025" spans="9:10" x14ac:dyDescent="0.2">
      <c r="I5025" s="1125"/>
      <c r="J5025" s="1125"/>
    </row>
    <row r="5026" spans="9:10" x14ac:dyDescent="0.2">
      <c r="I5026" s="1125"/>
      <c r="J5026" s="1125"/>
    </row>
    <row r="5027" spans="9:10" x14ac:dyDescent="0.2">
      <c r="I5027" s="1125"/>
      <c r="J5027" s="1125"/>
    </row>
    <row r="5028" spans="9:10" x14ac:dyDescent="0.2">
      <c r="I5028" s="1125"/>
      <c r="J5028" s="1125"/>
    </row>
    <row r="5029" spans="9:10" x14ac:dyDescent="0.2">
      <c r="I5029" s="1125"/>
      <c r="J5029" s="1125"/>
    </row>
    <row r="5030" spans="9:10" x14ac:dyDescent="0.2">
      <c r="I5030" s="1125"/>
      <c r="J5030" s="1125"/>
    </row>
    <row r="5031" spans="9:10" x14ac:dyDescent="0.2">
      <c r="I5031" s="1125"/>
      <c r="J5031" s="1125"/>
    </row>
    <row r="5032" spans="9:10" x14ac:dyDescent="0.2">
      <c r="I5032" s="1125"/>
      <c r="J5032" s="1125"/>
    </row>
    <row r="5033" spans="9:10" x14ac:dyDescent="0.2">
      <c r="I5033" s="1125"/>
      <c r="J5033" s="1125"/>
    </row>
    <row r="5034" spans="9:10" x14ac:dyDescent="0.2">
      <c r="I5034" s="1125"/>
      <c r="J5034" s="1125"/>
    </row>
    <row r="5035" spans="9:10" x14ac:dyDescent="0.2">
      <c r="I5035" s="1125"/>
      <c r="J5035" s="1125"/>
    </row>
    <row r="5036" spans="9:10" x14ac:dyDescent="0.2">
      <c r="I5036" s="1125"/>
      <c r="J5036" s="1125"/>
    </row>
    <row r="5037" spans="9:10" x14ac:dyDescent="0.2">
      <c r="I5037" s="1125"/>
      <c r="J5037" s="1125"/>
    </row>
    <row r="5038" spans="9:10" x14ac:dyDescent="0.2">
      <c r="I5038" s="1125"/>
      <c r="J5038" s="1125"/>
    </row>
    <row r="5039" spans="9:10" x14ac:dyDescent="0.2">
      <c r="I5039" s="1125"/>
      <c r="J5039" s="1125"/>
    </row>
    <row r="5040" spans="9:10" x14ac:dyDescent="0.2">
      <c r="I5040" s="1125"/>
      <c r="J5040" s="1125"/>
    </row>
    <row r="5041" spans="9:10" x14ac:dyDescent="0.2">
      <c r="I5041" s="1125"/>
      <c r="J5041" s="1125"/>
    </row>
    <row r="5042" spans="9:10" x14ac:dyDescent="0.2">
      <c r="I5042" s="1125"/>
      <c r="J5042" s="1125"/>
    </row>
    <row r="5043" spans="9:10" x14ac:dyDescent="0.2">
      <c r="I5043" s="1125"/>
      <c r="J5043" s="1125"/>
    </row>
    <row r="5044" spans="9:10" x14ac:dyDescent="0.2">
      <c r="I5044" s="1125"/>
      <c r="J5044" s="1125"/>
    </row>
    <row r="5045" spans="9:10" x14ac:dyDescent="0.2">
      <c r="I5045" s="1125"/>
      <c r="J5045" s="1125"/>
    </row>
    <row r="5046" spans="9:10" x14ac:dyDescent="0.2">
      <c r="I5046" s="1125"/>
      <c r="J5046" s="1125"/>
    </row>
    <row r="5047" spans="9:10" x14ac:dyDescent="0.2">
      <c r="I5047" s="1125"/>
      <c r="J5047" s="1125"/>
    </row>
    <row r="5048" spans="9:10" x14ac:dyDescent="0.2">
      <c r="I5048" s="1125"/>
      <c r="J5048" s="1125"/>
    </row>
    <row r="5049" spans="9:10" x14ac:dyDescent="0.2">
      <c r="I5049" s="1125"/>
      <c r="J5049" s="1125"/>
    </row>
    <row r="5050" spans="9:10" x14ac:dyDescent="0.2">
      <c r="I5050" s="1125"/>
      <c r="J5050" s="1125"/>
    </row>
    <row r="5051" spans="9:10" x14ac:dyDescent="0.2">
      <c r="I5051" s="1125"/>
      <c r="J5051" s="1125"/>
    </row>
    <row r="5052" spans="9:10" x14ac:dyDescent="0.2">
      <c r="I5052" s="1125"/>
      <c r="J5052" s="1125"/>
    </row>
    <row r="5053" spans="9:10" x14ac:dyDescent="0.2">
      <c r="I5053" s="1125"/>
      <c r="J5053" s="1125"/>
    </row>
    <row r="5054" spans="9:10" x14ac:dyDescent="0.2">
      <c r="I5054" s="1125"/>
      <c r="J5054" s="1125"/>
    </row>
    <row r="5055" spans="9:10" x14ac:dyDescent="0.2">
      <c r="I5055" s="1125"/>
      <c r="J5055" s="1125"/>
    </row>
    <row r="5056" spans="9:10" x14ac:dyDescent="0.2">
      <c r="I5056" s="1125"/>
      <c r="J5056" s="1125"/>
    </row>
    <row r="5057" spans="9:10" x14ac:dyDescent="0.2">
      <c r="I5057" s="1125"/>
      <c r="J5057" s="1125"/>
    </row>
    <row r="5058" spans="9:10" x14ac:dyDescent="0.2">
      <c r="I5058" s="1125"/>
      <c r="J5058" s="1125"/>
    </row>
    <row r="5059" spans="9:10" x14ac:dyDescent="0.2">
      <c r="I5059" s="1125"/>
      <c r="J5059" s="1125"/>
    </row>
    <row r="5060" spans="9:10" x14ac:dyDescent="0.2">
      <c r="I5060" s="1125"/>
      <c r="J5060" s="1125"/>
    </row>
    <row r="5061" spans="9:10" x14ac:dyDescent="0.2">
      <c r="I5061" s="1125"/>
      <c r="J5061" s="1125"/>
    </row>
    <row r="5062" spans="9:10" x14ac:dyDescent="0.2">
      <c r="I5062" s="1125"/>
      <c r="J5062" s="1125"/>
    </row>
    <row r="5063" spans="9:10" x14ac:dyDescent="0.2">
      <c r="I5063" s="1125"/>
      <c r="J5063" s="1125"/>
    </row>
    <row r="5064" spans="9:10" x14ac:dyDescent="0.2">
      <c r="I5064" s="1125"/>
      <c r="J5064" s="1125"/>
    </row>
    <row r="5065" spans="9:10" x14ac:dyDescent="0.2">
      <c r="I5065" s="1125"/>
      <c r="J5065" s="1125"/>
    </row>
    <row r="5066" spans="9:10" x14ac:dyDescent="0.2">
      <c r="I5066" s="1125"/>
      <c r="J5066" s="1125"/>
    </row>
    <row r="5067" spans="9:10" x14ac:dyDescent="0.2">
      <c r="I5067" s="1125"/>
      <c r="J5067" s="1125"/>
    </row>
    <row r="5068" spans="9:10" x14ac:dyDescent="0.2">
      <c r="I5068" s="1125"/>
      <c r="J5068" s="1125"/>
    </row>
    <row r="5069" spans="9:10" x14ac:dyDescent="0.2">
      <c r="I5069" s="1125"/>
      <c r="J5069" s="1125"/>
    </row>
    <row r="5070" spans="9:10" x14ac:dyDescent="0.2">
      <c r="I5070" s="1125"/>
      <c r="J5070" s="1125"/>
    </row>
    <row r="5071" spans="9:10" x14ac:dyDescent="0.2">
      <c r="I5071" s="1125"/>
      <c r="J5071" s="1125"/>
    </row>
    <row r="5072" spans="9:10" x14ac:dyDescent="0.2">
      <c r="I5072" s="1125"/>
      <c r="J5072" s="1125"/>
    </row>
    <row r="5073" spans="9:10" x14ac:dyDescent="0.2">
      <c r="I5073" s="1125"/>
      <c r="J5073" s="1125"/>
    </row>
    <row r="5074" spans="9:10" x14ac:dyDescent="0.2">
      <c r="I5074" s="1125"/>
      <c r="J5074" s="1125"/>
    </row>
    <row r="5075" spans="9:10" x14ac:dyDescent="0.2">
      <c r="I5075" s="1125"/>
      <c r="J5075" s="1125"/>
    </row>
    <row r="5076" spans="9:10" x14ac:dyDescent="0.2">
      <c r="I5076" s="1125"/>
      <c r="J5076" s="1125"/>
    </row>
    <row r="5077" spans="9:10" x14ac:dyDescent="0.2">
      <c r="I5077" s="1125"/>
      <c r="J5077" s="1125"/>
    </row>
    <row r="5078" spans="9:10" x14ac:dyDescent="0.2">
      <c r="I5078" s="1125"/>
      <c r="J5078" s="1125"/>
    </row>
    <row r="5079" spans="9:10" x14ac:dyDescent="0.2">
      <c r="I5079" s="1125"/>
      <c r="J5079" s="1125"/>
    </row>
    <row r="5080" spans="9:10" x14ac:dyDescent="0.2">
      <c r="I5080" s="1125"/>
      <c r="J5080" s="1125"/>
    </row>
    <row r="5081" spans="9:10" x14ac:dyDescent="0.2">
      <c r="I5081" s="1125"/>
      <c r="J5081" s="1125"/>
    </row>
    <row r="5082" spans="9:10" x14ac:dyDescent="0.2">
      <c r="I5082" s="1125"/>
      <c r="J5082" s="1125"/>
    </row>
    <row r="5083" spans="9:10" x14ac:dyDescent="0.2">
      <c r="I5083" s="1125"/>
      <c r="J5083" s="1125"/>
    </row>
    <row r="5084" spans="9:10" x14ac:dyDescent="0.2">
      <c r="I5084" s="1125"/>
      <c r="J5084" s="1125"/>
    </row>
    <row r="5085" spans="9:10" x14ac:dyDescent="0.2">
      <c r="I5085" s="1125"/>
      <c r="J5085" s="1125"/>
    </row>
    <row r="5086" spans="9:10" x14ac:dyDescent="0.2">
      <c r="I5086" s="1125"/>
      <c r="J5086" s="1125"/>
    </row>
    <row r="5087" spans="9:10" x14ac:dyDescent="0.2">
      <c r="I5087" s="1125"/>
      <c r="J5087" s="1125"/>
    </row>
    <row r="5088" spans="9:10" x14ac:dyDescent="0.2">
      <c r="I5088" s="1125"/>
      <c r="J5088" s="1125"/>
    </row>
    <row r="5089" spans="9:10" x14ac:dyDescent="0.2">
      <c r="I5089" s="1125"/>
      <c r="J5089" s="1125"/>
    </row>
    <row r="5090" spans="9:10" x14ac:dyDescent="0.2">
      <c r="I5090" s="1125"/>
      <c r="J5090" s="1125"/>
    </row>
    <row r="5091" spans="9:10" x14ac:dyDescent="0.2">
      <c r="I5091" s="1125"/>
      <c r="J5091" s="1125"/>
    </row>
    <row r="5092" spans="9:10" x14ac:dyDescent="0.2">
      <c r="I5092" s="1125"/>
      <c r="J5092" s="1125"/>
    </row>
    <row r="5093" spans="9:10" x14ac:dyDescent="0.2">
      <c r="I5093" s="1125"/>
      <c r="J5093" s="1125"/>
    </row>
    <row r="5094" spans="9:10" x14ac:dyDescent="0.2">
      <c r="I5094" s="1125"/>
      <c r="J5094" s="1125"/>
    </row>
    <row r="5095" spans="9:10" x14ac:dyDescent="0.2">
      <c r="I5095" s="1125"/>
      <c r="J5095" s="1125"/>
    </row>
    <row r="5096" spans="9:10" x14ac:dyDescent="0.2">
      <c r="I5096" s="1125"/>
      <c r="J5096" s="1125"/>
    </row>
    <row r="5097" spans="9:10" x14ac:dyDescent="0.2">
      <c r="I5097" s="1125"/>
      <c r="J5097" s="1125"/>
    </row>
    <row r="5098" spans="9:10" x14ac:dyDescent="0.2">
      <c r="I5098" s="1125"/>
      <c r="J5098" s="1125"/>
    </row>
    <row r="5099" spans="9:10" x14ac:dyDescent="0.2">
      <c r="I5099" s="1125"/>
      <c r="J5099" s="1125"/>
    </row>
    <row r="5100" spans="9:10" x14ac:dyDescent="0.2">
      <c r="I5100" s="1125"/>
      <c r="J5100" s="1125"/>
    </row>
    <row r="5101" spans="9:10" x14ac:dyDescent="0.2">
      <c r="I5101" s="1125"/>
      <c r="J5101" s="1125"/>
    </row>
    <row r="5102" spans="9:10" x14ac:dyDescent="0.2">
      <c r="I5102" s="1125"/>
      <c r="J5102" s="1125"/>
    </row>
    <row r="5103" spans="9:10" x14ac:dyDescent="0.2">
      <c r="I5103" s="1125"/>
      <c r="J5103" s="1125"/>
    </row>
    <row r="5104" spans="9:10" x14ac:dyDescent="0.2">
      <c r="I5104" s="1125"/>
      <c r="J5104" s="1125"/>
    </row>
    <row r="5105" spans="9:10" x14ac:dyDescent="0.2">
      <c r="I5105" s="1125"/>
      <c r="J5105" s="1125"/>
    </row>
    <row r="5106" spans="9:10" x14ac:dyDescent="0.2">
      <c r="I5106" s="1125"/>
      <c r="J5106" s="1125"/>
    </row>
    <row r="5107" spans="9:10" x14ac:dyDescent="0.2">
      <c r="I5107" s="1125"/>
      <c r="J5107" s="1125"/>
    </row>
    <row r="5108" spans="9:10" x14ac:dyDescent="0.2">
      <c r="I5108" s="1125"/>
      <c r="J5108" s="1125"/>
    </row>
    <row r="5109" spans="9:10" x14ac:dyDescent="0.2">
      <c r="I5109" s="1125"/>
      <c r="J5109" s="1125"/>
    </row>
    <row r="5110" spans="9:10" x14ac:dyDescent="0.2">
      <c r="I5110" s="1125"/>
      <c r="J5110" s="1125"/>
    </row>
    <row r="5111" spans="9:10" x14ac:dyDescent="0.2">
      <c r="I5111" s="1125"/>
      <c r="J5111" s="1125"/>
    </row>
    <row r="5112" spans="9:10" x14ac:dyDescent="0.2">
      <c r="I5112" s="1125"/>
      <c r="J5112" s="1125"/>
    </row>
    <row r="5113" spans="9:10" x14ac:dyDescent="0.2">
      <c r="I5113" s="1125"/>
      <c r="J5113" s="1125"/>
    </row>
    <row r="5114" spans="9:10" x14ac:dyDescent="0.2">
      <c r="I5114" s="1125"/>
      <c r="J5114" s="1125"/>
    </row>
    <row r="5115" spans="9:10" x14ac:dyDescent="0.2">
      <c r="I5115" s="1125"/>
      <c r="J5115" s="1125"/>
    </row>
    <row r="5116" spans="9:10" x14ac:dyDescent="0.2">
      <c r="I5116" s="1125"/>
      <c r="J5116" s="1125"/>
    </row>
    <row r="5117" spans="9:10" x14ac:dyDescent="0.2">
      <c r="I5117" s="1125"/>
      <c r="J5117" s="1125"/>
    </row>
    <row r="5118" spans="9:10" x14ac:dyDescent="0.2">
      <c r="I5118" s="1125"/>
      <c r="J5118" s="1125"/>
    </row>
    <row r="5119" spans="9:10" x14ac:dyDescent="0.2">
      <c r="I5119" s="1125"/>
      <c r="J5119" s="1125"/>
    </row>
    <row r="5120" spans="9:10" x14ac:dyDescent="0.2">
      <c r="I5120" s="1125"/>
      <c r="J5120" s="1125"/>
    </row>
    <row r="5121" spans="9:10" x14ac:dyDescent="0.2">
      <c r="I5121" s="1125"/>
      <c r="J5121" s="1125"/>
    </row>
    <row r="5122" spans="9:10" x14ac:dyDescent="0.2">
      <c r="I5122" s="1125"/>
      <c r="J5122" s="1125"/>
    </row>
    <row r="5123" spans="9:10" x14ac:dyDescent="0.2">
      <c r="I5123" s="1125"/>
      <c r="J5123" s="1125"/>
    </row>
    <row r="5124" spans="9:10" x14ac:dyDescent="0.2">
      <c r="I5124" s="1125"/>
      <c r="J5124" s="1125"/>
    </row>
    <row r="5125" spans="9:10" x14ac:dyDescent="0.2">
      <c r="I5125" s="1125"/>
      <c r="J5125" s="1125"/>
    </row>
    <row r="5126" spans="9:10" x14ac:dyDescent="0.2">
      <c r="I5126" s="1125"/>
      <c r="J5126" s="1125"/>
    </row>
    <row r="5127" spans="9:10" x14ac:dyDescent="0.2">
      <c r="I5127" s="1125"/>
      <c r="J5127" s="1125"/>
    </row>
    <row r="5128" spans="9:10" x14ac:dyDescent="0.2">
      <c r="I5128" s="1125"/>
      <c r="J5128" s="1125"/>
    </row>
    <row r="5129" spans="9:10" x14ac:dyDescent="0.2">
      <c r="I5129" s="1125"/>
      <c r="J5129" s="1125"/>
    </row>
    <row r="5130" spans="9:10" x14ac:dyDescent="0.2">
      <c r="I5130" s="1125"/>
      <c r="J5130" s="1125"/>
    </row>
    <row r="5131" spans="9:10" x14ac:dyDescent="0.2">
      <c r="I5131" s="1125"/>
      <c r="J5131" s="1125"/>
    </row>
    <row r="5132" spans="9:10" x14ac:dyDescent="0.2">
      <c r="I5132" s="1125"/>
      <c r="J5132" s="1125"/>
    </row>
    <row r="5133" spans="9:10" x14ac:dyDescent="0.2">
      <c r="I5133" s="1125"/>
      <c r="J5133" s="1125"/>
    </row>
    <row r="5134" spans="9:10" x14ac:dyDescent="0.2">
      <c r="I5134" s="1125"/>
      <c r="J5134" s="1125"/>
    </row>
    <row r="5135" spans="9:10" x14ac:dyDescent="0.2">
      <c r="I5135" s="1125"/>
      <c r="J5135" s="1125"/>
    </row>
    <row r="5136" spans="9:10" x14ac:dyDescent="0.2">
      <c r="I5136" s="1125"/>
      <c r="J5136" s="1125"/>
    </row>
    <row r="5137" spans="9:10" x14ac:dyDescent="0.2">
      <c r="I5137" s="1125"/>
      <c r="J5137" s="1125"/>
    </row>
    <row r="5138" spans="9:10" x14ac:dyDescent="0.2">
      <c r="I5138" s="1125"/>
      <c r="J5138" s="1125"/>
    </row>
    <row r="5139" spans="9:10" x14ac:dyDescent="0.2">
      <c r="I5139" s="1125"/>
      <c r="J5139" s="1125"/>
    </row>
    <row r="5140" spans="9:10" x14ac:dyDescent="0.2">
      <c r="I5140" s="1125"/>
      <c r="J5140" s="1125"/>
    </row>
    <row r="5141" spans="9:10" x14ac:dyDescent="0.2">
      <c r="I5141" s="1125"/>
      <c r="J5141" s="1125"/>
    </row>
    <row r="5142" spans="9:10" x14ac:dyDescent="0.2">
      <c r="I5142" s="1125"/>
      <c r="J5142" s="1125"/>
    </row>
    <row r="5143" spans="9:10" x14ac:dyDescent="0.2">
      <c r="I5143" s="1125"/>
      <c r="J5143" s="1125"/>
    </row>
    <row r="5144" spans="9:10" x14ac:dyDescent="0.2">
      <c r="I5144" s="1125"/>
      <c r="J5144" s="1125"/>
    </row>
    <row r="5145" spans="9:10" x14ac:dyDescent="0.2">
      <c r="I5145" s="1125"/>
      <c r="J5145" s="1125"/>
    </row>
    <row r="5146" spans="9:10" x14ac:dyDescent="0.2">
      <c r="I5146" s="1125"/>
      <c r="J5146" s="1125"/>
    </row>
    <row r="5147" spans="9:10" x14ac:dyDescent="0.2">
      <c r="I5147" s="1125"/>
      <c r="J5147" s="1125"/>
    </row>
    <row r="5148" spans="9:10" x14ac:dyDescent="0.2">
      <c r="I5148" s="1125"/>
      <c r="J5148" s="1125"/>
    </row>
    <row r="5149" spans="9:10" x14ac:dyDescent="0.2">
      <c r="I5149" s="1125"/>
      <c r="J5149" s="1125"/>
    </row>
    <row r="5150" spans="9:10" x14ac:dyDescent="0.2">
      <c r="I5150" s="1125"/>
      <c r="J5150" s="1125"/>
    </row>
    <row r="5151" spans="9:10" x14ac:dyDescent="0.2">
      <c r="I5151" s="1125"/>
      <c r="J5151" s="1125"/>
    </row>
    <row r="5152" spans="9:10" x14ac:dyDescent="0.2">
      <c r="I5152" s="1125"/>
      <c r="J5152" s="1125"/>
    </row>
    <row r="5153" spans="9:10" x14ac:dyDescent="0.2">
      <c r="I5153" s="1125"/>
      <c r="J5153" s="1125"/>
    </row>
    <row r="5154" spans="9:10" x14ac:dyDescent="0.2">
      <c r="I5154" s="1125"/>
      <c r="J5154" s="1125"/>
    </row>
    <row r="5155" spans="9:10" x14ac:dyDescent="0.2">
      <c r="I5155" s="1125"/>
      <c r="J5155" s="1125"/>
    </row>
    <row r="5156" spans="9:10" x14ac:dyDescent="0.2">
      <c r="I5156" s="1125"/>
      <c r="J5156" s="1125"/>
    </row>
    <row r="5157" spans="9:10" x14ac:dyDescent="0.2">
      <c r="I5157" s="1125"/>
      <c r="J5157" s="1125"/>
    </row>
    <row r="5158" spans="9:10" x14ac:dyDescent="0.2">
      <c r="I5158" s="1125"/>
      <c r="J5158" s="1125"/>
    </row>
    <row r="5159" spans="9:10" x14ac:dyDescent="0.2">
      <c r="I5159" s="1125"/>
      <c r="J5159" s="1125"/>
    </row>
    <row r="5160" spans="9:10" x14ac:dyDescent="0.2">
      <c r="I5160" s="1125"/>
      <c r="J5160" s="1125"/>
    </row>
    <row r="5161" spans="9:10" x14ac:dyDescent="0.2">
      <c r="I5161" s="1125"/>
      <c r="J5161" s="1125"/>
    </row>
    <row r="5162" spans="9:10" x14ac:dyDescent="0.2">
      <c r="I5162" s="1125"/>
      <c r="J5162" s="1125"/>
    </row>
    <row r="5163" spans="9:10" x14ac:dyDescent="0.2">
      <c r="I5163" s="1125"/>
      <c r="J5163" s="1125"/>
    </row>
    <row r="5164" spans="9:10" x14ac:dyDescent="0.2">
      <c r="I5164" s="1125"/>
      <c r="J5164" s="1125"/>
    </row>
    <row r="5165" spans="9:10" x14ac:dyDescent="0.2">
      <c r="I5165" s="1125"/>
      <c r="J5165" s="1125"/>
    </row>
    <row r="5166" spans="9:10" x14ac:dyDescent="0.2">
      <c r="I5166" s="1125"/>
      <c r="J5166" s="1125"/>
    </row>
    <row r="5167" spans="9:10" x14ac:dyDescent="0.2">
      <c r="I5167" s="1125"/>
      <c r="J5167" s="1125"/>
    </row>
    <row r="5168" spans="9:10" x14ac:dyDescent="0.2">
      <c r="I5168" s="1125"/>
      <c r="J5168" s="1125"/>
    </row>
    <row r="5169" spans="9:10" x14ac:dyDescent="0.2">
      <c r="I5169" s="1125"/>
      <c r="J5169" s="1125"/>
    </row>
    <row r="5170" spans="9:10" x14ac:dyDescent="0.2">
      <c r="I5170" s="1125"/>
      <c r="J5170" s="1125"/>
    </row>
    <row r="5171" spans="9:10" x14ac:dyDescent="0.2">
      <c r="I5171" s="1125"/>
      <c r="J5171" s="1125"/>
    </row>
    <row r="5172" spans="9:10" x14ac:dyDescent="0.2">
      <c r="I5172" s="1125"/>
      <c r="J5172" s="1125"/>
    </row>
    <row r="5173" spans="9:10" x14ac:dyDescent="0.2">
      <c r="I5173" s="1125"/>
      <c r="J5173" s="1125"/>
    </row>
    <row r="5174" spans="9:10" x14ac:dyDescent="0.2">
      <c r="I5174" s="1125"/>
      <c r="J5174" s="1125"/>
    </row>
    <row r="5175" spans="9:10" x14ac:dyDescent="0.2">
      <c r="I5175" s="1125"/>
      <c r="J5175" s="1125"/>
    </row>
    <row r="5176" spans="9:10" x14ac:dyDescent="0.2">
      <c r="I5176" s="1125"/>
      <c r="J5176" s="1125"/>
    </row>
    <row r="5177" spans="9:10" x14ac:dyDescent="0.2">
      <c r="I5177" s="1125"/>
      <c r="J5177" s="1125"/>
    </row>
    <row r="5178" spans="9:10" x14ac:dyDescent="0.2">
      <c r="I5178" s="1125"/>
      <c r="J5178" s="1125"/>
    </row>
    <row r="5179" spans="9:10" x14ac:dyDescent="0.2">
      <c r="I5179" s="1125"/>
      <c r="J5179" s="1125"/>
    </row>
    <row r="5180" spans="9:10" x14ac:dyDescent="0.2">
      <c r="I5180" s="1125"/>
      <c r="J5180" s="1125"/>
    </row>
    <row r="5181" spans="9:10" x14ac:dyDescent="0.2">
      <c r="I5181" s="1125"/>
      <c r="J5181" s="1125"/>
    </row>
    <row r="5182" spans="9:10" x14ac:dyDescent="0.2">
      <c r="I5182" s="1125"/>
      <c r="J5182" s="1125"/>
    </row>
    <row r="5183" spans="9:10" x14ac:dyDescent="0.2">
      <c r="I5183" s="1125"/>
      <c r="J5183" s="1125"/>
    </row>
    <row r="5184" spans="9:10" x14ac:dyDescent="0.2">
      <c r="I5184" s="1125"/>
      <c r="J5184" s="1125"/>
    </row>
    <row r="5185" spans="9:10" x14ac:dyDescent="0.2">
      <c r="I5185" s="1125"/>
      <c r="J5185" s="1125"/>
    </row>
    <row r="5186" spans="9:10" x14ac:dyDescent="0.2">
      <c r="I5186" s="1125"/>
      <c r="J5186" s="1125"/>
    </row>
    <row r="5187" spans="9:10" x14ac:dyDescent="0.2">
      <c r="I5187" s="1125"/>
      <c r="J5187" s="1125"/>
    </row>
    <row r="5188" spans="9:10" x14ac:dyDescent="0.2">
      <c r="I5188" s="1125"/>
      <c r="J5188" s="1125"/>
    </row>
    <row r="5189" spans="9:10" x14ac:dyDescent="0.2">
      <c r="I5189" s="1125"/>
      <c r="J5189" s="1125"/>
    </row>
    <row r="5190" spans="9:10" x14ac:dyDescent="0.2">
      <c r="I5190" s="1125"/>
      <c r="J5190" s="1125"/>
    </row>
    <row r="5191" spans="9:10" x14ac:dyDescent="0.2">
      <c r="I5191" s="1125"/>
      <c r="J5191" s="1125"/>
    </row>
    <row r="5192" spans="9:10" x14ac:dyDescent="0.2">
      <c r="I5192" s="1125"/>
      <c r="J5192" s="1125"/>
    </row>
    <row r="5193" spans="9:10" x14ac:dyDescent="0.2">
      <c r="I5193" s="1125"/>
      <c r="J5193" s="1125"/>
    </row>
    <row r="5194" spans="9:10" x14ac:dyDescent="0.2">
      <c r="I5194" s="1125"/>
      <c r="J5194" s="1125"/>
    </row>
    <row r="5195" spans="9:10" x14ac:dyDescent="0.2">
      <c r="I5195" s="1125"/>
      <c r="J5195" s="1125"/>
    </row>
    <row r="5196" spans="9:10" x14ac:dyDescent="0.2">
      <c r="I5196" s="1125"/>
      <c r="J5196" s="1125"/>
    </row>
    <row r="5197" spans="9:10" x14ac:dyDescent="0.2">
      <c r="I5197" s="1125"/>
      <c r="J5197" s="1125"/>
    </row>
    <row r="5198" spans="9:10" x14ac:dyDescent="0.2">
      <c r="I5198" s="1125"/>
      <c r="J5198" s="1125"/>
    </row>
    <row r="5199" spans="9:10" x14ac:dyDescent="0.2">
      <c r="I5199" s="1125"/>
      <c r="J5199" s="1125"/>
    </row>
    <row r="5200" spans="9:10" x14ac:dyDescent="0.2">
      <c r="I5200" s="1125"/>
      <c r="J5200" s="1125"/>
    </row>
    <row r="5201" spans="9:10" x14ac:dyDescent="0.2">
      <c r="I5201" s="1125"/>
      <c r="J5201" s="1125"/>
    </row>
    <row r="5202" spans="9:10" x14ac:dyDescent="0.2">
      <c r="I5202" s="1125"/>
      <c r="J5202" s="1125"/>
    </row>
    <row r="5203" spans="9:10" x14ac:dyDescent="0.2">
      <c r="I5203" s="1125"/>
      <c r="J5203" s="1125"/>
    </row>
    <row r="5204" spans="9:10" x14ac:dyDescent="0.2">
      <c r="I5204" s="1125"/>
      <c r="J5204" s="1125"/>
    </row>
    <row r="5205" spans="9:10" x14ac:dyDescent="0.2">
      <c r="I5205" s="1125"/>
      <c r="J5205" s="1125"/>
    </row>
    <row r="5206" spans="9:10" x14ac:dyDescent="0.2">
      <c r="I5206" s="1125"/>
      <c r="J5206" s="1125"/>
    </row>
    <row r="5207" spans="9:10" x14ac:dyDescent="0.2">
      <c r="I5207" s="1125"/>
      <c r="J5207" s="1125"/>
    </row>
    <row r="5208" spans="9:10" x14ac:dyDescent="0.2">
      <c r="I5208" s="1125"/>
      <c r="J5208" s="1125"/>
    </row>
    <row r="5209" spans="9:10" x14ac:dyDescent="0.2">
      <c r="I5209" s="1125"/>
      <c r="J5209" s="1125"/>
    </row>
    <row r="5210" spans="9:10" x14ac:dyDescent="0.2">
      <c r="I5210" s="1125"/>
      <c r="J5210" s="1125"/>
    </row>
    <row r="5211" spans="9:10" x14ac:dyDescent="0.2">
      <c r="I5211" s="1125"/>
      <c r="J5211" s="1125"/>
    </row>
    <row r="5212" spans="9:10" x14ac:dyDescent="0.2">
      <c r="I5212" s="1125"/>
      <c r="J5212" s="1125"/>
    </row>
    <row r="5213" spans="9:10" x14ac:dyDescent="0.2">
      <c r="I5213" s="1125"/>
      <c r="J5213" s="1125"/>
    </row>
    <row r="5214" spans="9:10" x14ac:dyDescent="0.2">
      <c r="I5214" s="1125"/>
      <c r="J5214" s="1125"/>
    </row>
    <row r="5215" spans="9:10" x14ac:dyDescent="0.2">
      <c r="I5215" s="1125"/>
      <c r="J5215" s="1125"/>
    </row>
    <row r="5216" spans="9:10" x14ac:dyDescent="0.2">
      <c r="I5216" s="1125"/>
      <c r="J5216" s="1125"/>
    </row>
    <row r="5217" spans="9:10" x14ac:dyDescent="0.2">
      <c r="I5217" s="1125"/>
      <c r="J5217" s="1125"/>
    </row>
    <row r="5218" spans="9:10" x14ac:dyDescent="0.2">
      <c r="I5218" s="1125"/>
      <c r="J5218" s="1125"/>
    </row>
    <row r="5219" spans="9:10" x14ac:dyDescent="0.2">
      <c r="I5219" s="1125"/>
      <c r="J5219" s="1125"/>
    </row>
    <row r="5220" spans="9:10" x14ac:dyDescent="0.2">
      <c r="I5220" s="1125"/>
      <c r="J5220" s="1125"/>
    </row>
    <row r="5221" spans="9:10" x14ac:dyDescent="0.2">
      <c r="I5221" s="1125"/>
      <c r="J5221" s="1125"/>
    </row>
    <row r="5222" spans="9:10" x14ac:dyDescent="0.2">
      <c r="I5222" s="1125"/>
      <c r="J5222" s="1125"/>
    </row>
    <row r="5223" spans="9:10" x14ac:dyDescent="0.2">
      <c r="I5223" s="1125"/>
      <c r="J5223" s="1125"/>
    </row>
    <row r="5224" spans="9:10" x14ac:dyDescent="0.2">
      <c r="I5224" s="1125"/>
      <c r="J5224" s="1125"/>
    </row>
    <row r="5225" spans="9:10" x14ac:dyDescent="0.2">
      <c r="I5225" s="1125"/>
      <c r="J5225" s="1125"/>
    </row>
    <row r="5226" spans="9:10" x14ac:dyDescent="0.2">
      <c r="I5226" s="1125"/>
      <c r="J5226" s="1125"/>
    </row>
    <row r="5227" spans="9:10" x14ac:dyDescent="0.2">
      <c r="I5227" s="1125"/>
      <c r="J5227" s="1125"/>
    </row>
    <row r="5228" spans="9:10" x14ac:dyDescent="0.2">
      <c r="I5228" s="1125"/>
      <c r="J5228" s="1125"/>
    </row>
    <row r="5229" spans="9:10" x14ac:dyDescent="0.2">
      <c r="I5229" s="1125"/>
      <c r="J5229" s="1125"/>
    </row>
    <row r="5230" spans="9:10" x14ac:dyDescent="0.2">
      <c r="I5230" s="1125"/>
      <c r="J5230" s="1125"/>
    </row>
    <row r="5231" spans="9:10" x14ac:dyDescent="0.2">
      <c r="I5231" s="1125"/>
      <c r="J5231" s="1125"/>
    </row>
    <row r="5232" spans="9:10" x14ac:dyDescent="0.2">
      <c r="I5232" s="1125"/>
      <c r="J5232" s="1125"/>
    </row>
    <row r="5233" spans="9:10" x14ac:dyDescent="0.2">
      <c r="I5233" s="1125"/>
      <c r="J5233" s="1125"/>
    </row>
    <row r="5234" spans="9:10" x14ac:dyDescent="0.2">
      <c r="I5234" s="1125"/>
      <c r="J5234" s="1125"/>
    </row>
    <row r="5235" spans="9:10" x14ac:dyDescent="0.2">
      <c r="I5235" s="1125"/>
      <c r="J5235" s="1125"/>
    </row>
    <row r="5236" spans="9:10" x14ac:dyDescent="0.2">
      <c r="I5236" s="1125"/>
      <c r="J5236" s="1125"/>
    </row>
    <row r="5237" spans="9:10" x14ac:dyDescent="0.2">
      <c r="I5237" s="1125"/>
      <c r="J5237" s="1125"/>
    </row>
    <row r="5238" spans="9:10" x14ac:dyDescent="0.2">
      <c r="I5238" s="1125"/>
      <c r="J5238" s="1125"/>
    </row>
    <row r="5239" spans="9:10" x14ac:dyDescent="0.2">
      <c r="I5239" s="1125"/>
      <c r="J5239" s="1125"/>
    </row>
    <row r="5240" spans="9:10" x14ac:dyDescent="0.2">
      <c r="I5240" s="1125"/>
      <c r="J5240" s="1125"/>
    </row>
    <row r="5241" spans="9:10" x14ac:dyDescent="0.2">
      <c r="I5241" s="1125"/>
      <c r="J5241" s="1125"/>
    </row>
    <row r="5242" spans="9:10" x14ac:dyDescent="0.2">
      <c r="I5242" s="1125"/>
      <c r="J5242" s="1125"/>
    </row>
    <row r="5243" spans="9:10" x14ac:dyDescent="0.2">
      <c r="I5243" s="1125"/>
      <c r="J5243" s="1125"/>
    </row>
    <row r="5244" spans="9:10" x14ac:dyDescent="0.2">
      <c r="I5244" s="1125"/>
      <c r="J5244" s="1125"/>
    </row>
    <row r="5245" spans="9:10" x14ac:dyDescent="0.2">
      <c r="I5245" s="1125"/>
      <c r="J5245" s="1125"/>
    </row>
    <row r="5246" spans="9:10" x14ac:dyDescent="0.2">
      <c r="I5246" s="1125"/>
      <c r="J5246" s="1125"/>
    </row>
    <row r="5247" spans="9:10" x14ac:dyDescent="0.2">
      <c r="I5247" s="1125"/>
      <c r="J5247" s="1125"/>
    </row>
    <row r="5248" spans="9:10" x14ac:dyDescent="0.2">
      <c r="I5248" s="1125"/>
      <c r="J5248" s="1125"/>
    </row>
    <row r="5249" spans="9:10" x14ac:dyDescent="0.2">
      <c r="I5249" s="1125"/>
      <c r="J5249" s="1125"/>
    </row>
    <row r="5250" spans="9:10" x14ac:dyDescent="0.2">
      <c r="I5250" s="1125"/>
      <c r="J5250" s="1125"/>
    </row>
    <row r="5251" spans="9:10" x14ac:dyDescent="0.2">
      <c r="I5251" s="1125"/>
      <c r="J5251" s="1125"/>
    </row>
    <row r="5252" spans="9:10" x14ac:dyDescent="0.2">
      <c r="I5252" s="1125"/>
      <c r="J5252" s="1125"/>
    </row>
    <row r="5253" spans="9:10" x14ac:dyDescent="0.2">
      <c r="I5253" s="1125"/>
      <c r="J5253" s="1125"/>
    </row>
    <row r="5254" spans="9:10" x14ac:dyDescent="0.2">
      <c r="I5254" s="1125"/>
      <c r="J5254" s="1125"/>
    </row>
    <row r="5255" spans="9:10" x14ac:dyDescent="0.2">
      <c r="I5255" s="1125"/>
      <c r="J5255" s="1125"/>
    </row>
    <row r="5256" spans="9:10" x14ac:dyDescent="0.2">
      <c r="I5256" s="1125"/>
      <c r="J5256" s="1125"/>
    </row>
    <row r="5257" spans="9:10" x14ac:dyDescent="0.2">
      <c r="I5257" s="1125"/>
      <c r="J5257" s="1125"/>
    </row>
    <row r="5258" spans="9:10" x14ac:dyDescent="0.2">
      <c r="I5258" s="1125"/>
      <c r="J5258" s="1125"/>
    </row>
    <row r="5259" spans="9:10" x14ac:dyDescent="0.2">
      <c r="I5259" s="1125"/>
      <c r="J5259" s="1125"/>
    </row>
    <row r="5260" spans="9:10" x14ac:dyDescent="0.2">
      <c r="I5260" s="1125"/>
      <c r="J5260" s="1125"/>
    </row>
    <row r="5261" spans="9:10" x14ac:dyDescent="0.2">
      <c r="I5261" s="1125"/>
      <c r="J5261" s="1125"/>
    </row>
    <row r="5262" spans="9:10" x14ac:dyDescent="0.2">
      <c r="I5262" s="1125"/>
      <c r="J5262" s="1125"/>
    </row>
    <row r="5263" spans="9:10" x14ac:dyDescent="0.2">
      <c r="I5263" s="1125"/>
      <c r="J5263" s="1125"/>
    </row>
    <row r="5264" spans="9:10" x14ac:dyDescent="0.2">
      <c r="I5264" s="1125"/>
      <c r="J5264" s="1125"/>
    </row>
    <row r="5265" spans="9:10" x14ac:dyDescent="0.2">
      <c r="I5265" s="1125"/>
      <c r="J5265" s="1125"/>
    </row>
    <row r="5266" spans="9:10" x14ac:dyDescent="0.2">
      <c r="I5266" s="1125"/>
      <c r="J5266" s="1125"/>
    </row>
    <row r="5267" spans="9:10" x14ac:dyDescent="0.2">
      <c r="I5267" s="1125"/>
      <c r="J5267" s="1125"/>
    </row>
    <row r="5268" spans="9:10" x14ac:dyDescent="0.2">
      <c r="I5268" s="1125"/>
      <c r="J5268" s="1125"/>
    </row>
    <row r="5269" spans="9:10" x14ac:dyDescent="0.2">
      <c r="I5269" s="1125"/>
      <c r="J5269" s="1125"/>
    </row>
    <row r="5270" spans="9:10" x14ac:dyDescent="0.2">
      <c r="I5270" s="1125"/>
      <c r="J5270" s="1125"/>
    </row>
    <row r="5271" spans="9:10" x14ac:dyDescent="0.2">
      <c r="I5271" s="1125"/>
      <c r="J5271" s="1125"/>
    </row>
    <row r="5272" spans="9:10" x14ac:dyDescent="0.2">
      <c r="I5272" s="1125"/>
      <c r="J5272" s="1125"/>
    </row>
    <row r="5273" spans="9:10" x14ac:dyDescent="0.2">
      <c r="I5273" s="1125"/>
      <c r="J5273" s="1125"/>
    </row>
    <row r="5274" spans="9:10" x14ac:dyDescent="0.2">
      <c r="I5274" s="1125"/>
      <c r="J5274" s="1125"/>
    </row>
    <row r="5275" spans="9:10" x14ac:dyDescent="0.2">
      <c r="I5275" s="1125"/>
      <c r="J5275" s="1125"/>
    </row>
    <row r="5276" spans="9:10" x14ac:dyDescent="0.2">
      <c r="I5276" s="1125"/>
      <c r="J5276" s="1125"/>
    </row>
    <row r="5277" spans="9:10" x14ac:dyDescent="0.2">
      <c r="I5277" s="1125"/>
      <c r="J5277" s="1125"/>
    </row>
    <row r="5278" spans="9:10" x14ac:dyDescent="0.2">
      <c r="I5278" s="1125"/>
      <c r="J5278" s="1125"/>
    </row>
    <row r="5279" spans="9:10" x14ac:dyDescent="0.2">
      <c r="I5279" s="1125"/>
      <c r="J5279" s="1125"/>
    </row>
    <row r="5280" spans="9:10" x14ac:dyDescent="0.2">
      <c r="I5280" s="1125"/>
      <c r="J5280" s="1125"/>
    </row>
    <row r="5281" spans="9:10" x14ac:dyDescent="0.2">
      <c r="I5281" s="1125"/>
      <c r="J5281" s="1125"/>
    </row>
    <row r="5282" spans="9:10" x14ac:dyDescent="0.2">
      <c r="I5282" s="1125"/>
      <c r="J5282" s="1125"/>
    </row>
    <row r="5283" spans="9:10" x14ac:dyDescent="0.2">
      <c r="I5283" s="1125"/>
      <c r="J5283" s="1125"/>
    </row>
    <row r="5284" spans="9:10" x14ac:dyDescent="0.2">
      <c r="I5284" s="1125"/>
      <c r="J5284" s="1125"/>
    </row>
    <row r="5285" spans="9:10" x14ac:dyDescent="0.2">
      <c r="I5285" s="1125"/>
      <c r="J5285" s="1125"/>
    </row>
    <row r="5286" spans="9:10" x14ac:dyDescent="0.2">
      <c r="I5286" s="1125"/>
      <c r="J5286" s="1125"/>
    </row>
    <row r="5287" spans="9:10" x14ac:dyDescent="0.2">
      <c r="I5287" s="1125"/>
      <c r="J5287" s="1125"/>
    </row>
    <row r="5288" spans="9:10" x14ac:dyDescent="0.2">
      <c r="I5288" s="1125"/>
      <c r="J5288" s="1125"/>
    </row>
    <row r="5289" spans="9:10" x14ac:dyDescent="0.2">
      <c r="I5289" s="1125"/>
      <c r="J5289" s="1125"/>
    </row>
    <row r="5290" spans="9:10" x14ac:dyDescent="0.2">
      <c r="I5290" s="1125"/>
      <c r="J5290" s="1125"/>
    </row>
    <row r="5291" spans="9:10" x14ac:dyDescent="0.2">
      <c r="I5291" s="1125"/>
      <c r="J5291" s="1125"/>
    </row>
    <row r="5292" spans="9:10" x14ac:dyDescent="0.2">
      <c r="I5292" s="1125"/>
      <c r="J5292" s="1125"/>
    </row>
    <row r="5293" spans="9:10" x14ac:dyDescent="0.2">
      <c r="I5293" s="1125"/>
      <c r="J5293" s="1125"/>
    </row>
    <row r="5294" spans="9:10" x14ac:dyDescent="0.2">
      <c r="I5294" s="1125"/>
      <c r="J5294" s="1125"/>
    </row>
    <row r="5295" spans="9:10" x14ac:dyDescent="0.2">
      <c r="I5295" s="1125"/>
      <c r="J5295" s="1125"/>
    </row>
    <row r="5296" spans="9:10" x14ac:dyDescent="0.2">
      <c r="I5296" s="1125"/>
      <c r="J5296" s="1125"/>
    </row>
    <row r="5297" spans="9:10" x14ac:dyDescent="0.2">
      <c r="I5297" s="1125"/>
      <c r="J5297" s="1125"/>
    </row>
    <row r="5298" spans="9:10" x14ac:dyDescent="0.2">
      <c r="I5298" s="1125"/>
      <c r="J5298" s="1125"/>
    </row>
    <row r="5299" spans="9:10" x14ac:dyDescent="0.2">
      <c r="I5299" s="1125"/>
      <c r="J5299" s="1125"/>
    </row>
    <row r="5300" spans="9:10" x14ac:dyDescent="0.2">
      <c r="I5300" s="1125"/>
      <c r="J5300" s="1125"/>
    </row>
    <row r="5301" spans="9:10" x14ac:dyDescent="0.2">
      <c r="I5301" s="1125"/>
      <c r="J5301" s="1125"/>
    </row>
    <row r="5302" spans="9:10" x14ac:dyDescent="0.2">
      <c r="I5302" s="1125"/>
      <c r="J5302" s="1125"/>
    </row>
    <row r="5303" spans="9:10" x14ac:dyDescent="0.2">
      <c r="I5303" s="1125"/>
      <c r="J5303" s="1125"/>
    </row>
    <row r="5304" spans="9:10" x14ac:dyDescent="0.2">
      <c r="I5304" s="1125"/>
      <c r="J5304" s="1125"/>
    </row>
    <row r="5305" spans="9:10" x14ac:dyDescent="0.2">
      <c r="I5305" s="1125"/>
      <c r="J5305" s="1125"/>
    </row>
    <row r="5306" spans="9:10" x14ac:dyDescent="0.2">
      <c r="I5306" s="1125"/>
      <c r="J5306" s="1125"/>
    </row>
    <row r="5307" spans="9:10" x14ac:dyDescent="0.2">
      <c r="I5307" s="1125"/>
      <c r="J5307" s="1125"/>
    </row>
    <row r="5308" spans="9:10" x14ac:dyDescent="0.2">
      <c r="I5308" s="1125"/>
      <c r="J5308" s="1125"/>
    </row>
    <row r="5309" spans="9:10" x14ac:dyDescent="0.2">
      <c r="I5309" s="1125"/>
      <c r="J5309" s="1125"/>
    </row>
    <row r="5310" spans="9:10" x14ac:dyDescent="0.2">
      <c r="I5310" s="1125"/>
      <c r="J5310" s="1125"/>
    </row>
    <row r="5311" spans="9:10" x14ac:dyDescent="0.2">
      <c r="I5311" s="1125"/>
      <c r="J5311" s="1125"/>
    </row>
    <row r="5312" spans="9:10" x14ac:dyDescent="0.2">
      <c r="I5312" s="1125"/>
      <c r="J5312" s="1125"/>
    </row>
    <row r="5313" spans="9:10" x14ac:dyDescent="0.2">
      <c r="I5313" s="1125"/>
      <c r="J5313" s="1125"/>
    </row>
    <row r="5314" spans="9:10" x14ac:dyDescent="0.2">
      <c r="I5314" s="1125"/>
      <c r="J5314" s="1125"/>
    </row>
    <row r="5315" spans="9:10" x14ac:dyDescent="0.2">
      <c r="I5315" s="1125"/>
      <c r="J5315" s="1125"/>
    </row>
    <row r="5316" spans="9:10" x14ac:dyDescent="0.2">
      <c r="I5316" s="1125"/>
      <c r="J5316" s="1125"/>
    </row>
    <row r="5317" spans="9:10" x14ac:dyDescent="0.2">
      <c r="I5317" s="1125"/>
      <c r="J5317" s="1125"/>
    </row>
    <row r="5318" spans="9:10" x14ac:dyDescent="0.2">
      <c r="I5318" s="1125"/>
      <c r="J5318" s="1125"/>
    </row>
    <row r="5319" spans="9:10" x14ac:dyDescent="0.2">
      <c r="I5319" s="1125"/>
      <c r="J5319" s="1125"/>
    </row>
    <row r="5320" spans="9:10" x14ac:dyDescent="0.2">
      <c r="I5320" s="1125"/>
      <c r="J5320" s="1125"/>
    </row>
    <row r="5321" spans="9:10" x14ac:dyDescent="0.2">
      <c r="I5321" s="1125"/>
      <c r="J5321" s="1125"/>
    </row>
    <row r="5322" spans="9:10" x14ac:dyDescent="0.2">
      <c r="I5322" s="1125"/>
      <c r="J5322" s="1125"/>
    </row>
    <row r="5323" spans="9:10" x14ac:dyDescent="0.2">
      <c r="I5323" s="1125"/>
      <c r="J5323" s="1125"/>
    </row>
    <row r="5324" spans="9:10" x14ac:dyDescent="0.2">
      <c r="I5324" s="1125"/>
      <c r="J5324" s="1125"/>
    </row>
    <row r="5325" spans="9:10" x14ac:dyDescent="0.2">
      <c r="I5325" s="1125"/>
      <c r="J5325" s="1125"/>
    </row>
    <row r="5326" spans="9:10" x14ac:dyDescent="0.2">
      <c r="I5326" s="1125"/>
      <c r="J5326" s="1125"/>
    </row>
    <row r="5327" spans="9:10" x14ac:dyDescent="0.2">
      <c r="I5327" s="1125"/>
      <c r="J5327" s="1125"/>
    </row>
    <row r="5328" spans="9:10" x14ac:dyDescent="0.2">
      <c r="I5328" s="1125"/>
      <c r="J5328" s="1125"/>
    </row>
    <row r="5329" spans="9:10" x14ac:dyDescent="0.2">
      <c r="I5329" s="1125"/>
      <c r="J5329" s="1125"/>
    </row>
    <row r="5330" spans="9:10" x14ac:dyDescent="0.2">
      <c r="I5330" s="1125"/>
      <c r="J5330" s="1125"/>
    </row>
    <row r="5331" spans="9:10" x14ac:dyDescent="0.2">
      <c r="I5331" s="1125"/>
      <c r="J5331" s="1125"/>
    </row>
    <row r="5332" spans="9:10" x14ac:dyDescent="0.2">
      <c r="I5332" s="1125"/>
      <c r="J5332" s="1125"/>
    </row>
    <row r="5333" spans="9:10" x14ac:dyDescent="0.2">
      <c r="I5333" s="1125"/>
      <c r="J5333" s="1125"/>
    </row>
    <row r="5334" spans="9:10" x14ac:dyDescent="0.2">
      <c r="I5334" s="1125"/>
      <c r="J5334" s="1125"/>
    </row>
    <row r="5335" spans="9:10" x14ac:dyDescent="0.2">
      <c r="I5335" s="1125"/>
      <c r="J5335" s="1125"/>
    </row>
    <row r="5336" spans="9:10" x14ac:dyDescent="0.2">
      <c r="I5336" s="1125"/>
      <c r="J5336" s="1125"/>
    </row>
    <row r="5337" spans="9:10" x14ac:dyDescent="0.2">
      <c r="I5337" s="1125"/>
      <c r="J5337" s="1125"/>
    </row>
    <row r="5338" spans="9:10" x14ac:dyDescent="0.2">
      <c r="I5338" s="1125"/>
      <c r="J5338" s="1125"/>
    </row>
    <row r="5339" spans="9:10" x14ac:dyDescent="0.2">
      <c r="I5339" s="1125"/>
      <c r="J5339" s="1125"/>
    </row>
    <row r="5340" spans="9:10" x14ac:dyDescent="0.2">
      <c r="I5340" s="1125"/>
      <c r="J5340" s="1125"/>
    </row>
    <row r="5341" spans="9:10" x14ac:dyDescent="0.2">
      <c r="I5341" s="1125"/>
      <c r="J5341" s="1125"/>
    </row>
    <row r="5342" spans="9:10" x14ac:dyDescent="0.2">
      <c r="I5342" s="1125"/>
      <c r="J5342" s="1125"/>
    </row>
    <row r="5343" spans="9:10" x14ac:dyDescent="0.2">
      <c r="I5343" s="1125"/>
      <c r="J5343" s="1125"/>
    </row>
    <row r="5344" spans="9:10" x14ac:dyDescent="0.2">
      <c r="I5344" s="1125"/>
      <c r="J5344" s="1125"/>
    </row>
    <row r="5345" spans="9:10" x14ac:dyDescent="0.2">
      <c r="I5345" s="1125"/>
      <c r="J5345" s="1125"/>
    </row>
    <row r="5346" spans="9:10" x14ac:dyDescent="0.2">
      <c r="I5346" s="1125"/>
      <c r="J5346" s="1125"/>
    </row>
    <row r="5347" spans="9:10" x14ac:dyDescent="0.2">
      <c r="I5347" s="1125"/>
      <c r="J5347" s="1125"/>
    </row>
    <row r="5348" spans="9:10" x14ac:dyDescent="0.2">
      <c r="I5348" s="1125"/>
      <c r="J5348" s="1125"/>
    </row>
    <row r="5349" spans="9:10" x14ac:dyDescent="0.2">
      <c r="I5349" s="1125"/>
      <c r="J5349" s="1125"/>
    </row>
    <row r="5350" spans="9:10" x14ac:dyDescent="0.2">
      <c r="I5350" s="1125"/>
      <c r="J5350" s="1125"/>
    </row>
    <row r="5351" spans="9:10" x14ac:dyDescent="0.2">
      <c r="I5351" s="1125"/>
      <c r="J5351" s="1125"/>
    </row>
    <row r="5352" spans="9:10" x14ac:dyDescent="0.2">
      <c r="I5352" s="1125"/>
      <c r="J5352" s="1125"/>
    </row>
    <row r="5353" spans="9:10" x14ac:dyDescent="0.2">
      <c r="I5353" s="1125"/>
      <c r="J5353" s="1125"/>
    </row>
    <row r="5354" spans="9:10" x14ac:dyDescent="0.2">
      <c r="I5354" s="1125"/>
      <c r="J5354" s="1125"/>
    </row>
    <row r="5355" spans="9:10" x14ac:dyDescent="0.2">
      <c r="I5355" s="1125"/>
      <c r="J5355" s="1125"/>
    </row>
    <row r="5356" spans="9:10" x14ac:dyDescent="0.2">
      <c r="I5356" s="1125"/>
      <c r="J5356" s="1125"/>
    </row>
    <row r="5357" spans="9:10" x14ac:dyDescent="0.2">
      <c r="I5357" s="1125"/>
      <c r="J5357" s="1125"/>
    </row>
    <row r="5358" spans="9:10" x14ac:dyDescent="0.2">
      <c r="I5358" s="1125"/>
      <c r="J5358" s="1125"/>
    </row>
    <row r="5359" spans="9:10" x14ac:dyDescent="0.2">
      <c r="I5359" s="1125"/>
      <c r="J5359" s="1125"/>
    </row>
    <row r="5360" spans="9:10" x14ac:dyDescent="0.2">
      <c r="I5360" s="1125"/>
      <c r="J5360" s="1125"/>
    </row>
    <row r="5361" spans="9:10" x14ac:dyDescent="0.2">
      <c r="I5361" s="1125"/>
      <c r="J5361" s="1125"/>
    </row>
    <row r="5362" spans="9:10" x14ac:dyDescent="0.2">
      <c r="I5362" s="1125"/>
      <c r="J5362" s="1125"/>
    </row>
    <row r="5363" spans="9:10" x14ac:dyDescent="0.2">
      <c r="I5363" s="1125"/>
      <c r="J5363" s="1125"/>
    </row>
    <row r="5364" spans="9:10" x14ac:dyDescent="0.2">
      <c r="I5364" s="1125"/>
      <c r="J5364" s="1125"/>
    </row>
    <row r="5365" spans="9:10" x14ac:dyDescent="0.2">
      <c r="I5365" s="1125"/>
      <c r="J5365" s="1125"/>
    </row>
    <row r="5366" spans="9:10" x14ac:dyDescent="0.2">
      <c r="I5366" s="1125"/>
      <c r="J5366" s="1125"/>
    </row>
    <row r="5367" spans="9:10" x14ac:dyDescent="0.2">
      <c r="I5367" s="1125"/>
      <c r="J5367" s="1125"/>
    </row>
    <row r="5368" spans="9:10" x14ac:dyDescent="0.2">
      <c r="I5368" s="1125"/>
      <c r="J5368" s="1125"/>
    </row>
    <row r="5369" spans="9:10" x14ac:dyDescent="0.2">
      <c r="I5369" s="1125"/>
      <c r="J5369" s="1125"/>
    </row>
    <row r="5370" spans="9:10" x14ac:dyDescent="0.2">
      <c r="I5370" s="1125"/>
      <c r="J5370" s="1125"/>
    </row>
    <row r="5371" spans="9:10" x14ac:dyDescent="0.2">
      <c r="I5371" s="1125"/>
      <c r="J5371" s="1125"/>
    </row>
    <row r="5372" spans="9:10" x14ac:dyDescent="0.2">
      <c r="I5372" s="1125"/>
      <c r="J5372" s="1125"/>
    </row>
    <row r="5373" spans="9:10" x14ac:dyDescent="0.2">
      <c r="I5373" s="1125"/>
      <c r="J5373" s="1125"/>
    </row>
    <row r="5374" spans="9:10" x14ac:dyDescent="0.2">
      <c r="I5374" s="1125"/>
      <c r="J5374" s="1125"/>
    </row>
    <row r="5375" spans="9:10" x14ac:dyDescent="0.2">
      <c r="I5375" s="1125"/>
      <c r="J5375" s="1125"/>
    </row>
    <row r="5376" spans="9:10" x14ac:dyDescent="0.2">
      <c r="I5376" s="1125"/>
      <c r="J5376" s="1125"/>
    </row>
    <row r="5377" spans="9:10" x14ac:dyDescent="0.2">
      <c r="I5377" s="1125"/>
      <c r="J5377" s="1125"/>
    </row>
    <row r="5378" spans="9:10" x14ac:dyDescent="0.2">
      <c r="I5378" s="1125"/>
      <c r="J5378" s="1125"/>
    </row>
    <row r="5379" spans="9:10" x14ac:dyDescent="0.2">
      <c r="I5379" s="1125"/>
      <c r="J5379" s="1125"/>
    </row>
    <row r="5380" spans="9:10" x14ac:dyDescent="0.2">
      <c r="I5380" s="1125"/>
      <c r="J5380" s="1125"/>
    </row>
    <row r="5381" spans="9:10" x14ac:dyDescent="0.2">
      <c r="I5381" s="1125"/>
      <c r="J5381" s="1125"/>
    </row>
    <row r="5382" spans="9:10" x14ac:dyDescent="0.2">
      <c r="I5382" s="1125"/>
      <c r="J5382" s="1125"/>
    </row>
    <row r="5383" spans="9:10" x14ac:dyDescent="0.2">
      <c r="I5383" s="1125"/>
      <c r="J5383" s="1125"/>
    </row>
    <row r="5384" spans="9:10" x14ac:dyDescent="0.2">
      <c r="I5384" s="1125"/>
      <c r="J5384" s="1125"/>
    </row>
    <row r="5385" spans="9:10" x14ac:dyDescent="0.2">
      <c r="I5385" s="1125"/>
      <c r="J5385" s="1125"/>
    </row>
    <row r="5386" spans="9:10" x14ac:dyDescent="0.2">
      <c r="I5386" s="1125"/>
      <c r="J5386" s="1125"/>
    </row>
    <row r="5387" spans="9:10" x14ac:dyDescent="0.2">
      <c r="I5387" s="1125"/>
      <c r="J5387" s="1125"/>
    </row>
    <row r="5388" spans="9:10" x14ac:dyDescent="0.2">
      <c r="I5388" s="1125"/>
      <c r="J5388" s="1125"/>
    </row>
    <row r="5389" spans="9:10" x14ac:dyDescent="0.2">
      <c r="I5389" s="1125"/>
      <c r="J5389" s="1125"/>
    </row>
    <row r="5390" spans="9:10" x14ac:dyDescent="0.2">
      <c r="I5390" s="1125"/>
      <c r="J5390" s="1125"/>
    </row>
    <row r="5391" spans="9:10" x14ac:dyDescent="0.2">
      <c r="I5391" s="1125"/>
      <c r="J5391" s="1125"/>
    </row>
    <row r="5392" spans="9:10" x14ac:dyDescent="0.2">
      <c r="I5392" s="1125"/>
      <c r="J5392" s="1125"/>
    </row>
    <row r="5393" spans="9:10" x14ac:dyDescent="0.2">
      <c r="I5393" s="1125"/>
      <c r="J5393" s="1125"/>
    </row>
    <row r="5394" spans="9:10" x14ac:dyDescent="0.2">
      <c r="I5394" s="1125"/>
      <c r="J5394" s="1125"/>
    </row>
    <row r="5395" spans="9:10" x14ac:dyDescent="0.2">
      <c r="I5395" s="1125"/>
      <c r="J5395" s="1125"/>
    </row>
    <row r="5396" spans="9:10" x14ac:dyDescent="0.2">
      <c r="I5396" s="1125"/>
      <c r="J5396" s="1125"/>
    </row>
    <row r="5397" spans="9:10" x14ac:dyDescent="0.2">
      <c r="I5397" s="1125"/>
      <c r="J5397" s="1125"/>
    </row>
    <row r="5398" spans="9:10" x14ac:dyDescent="0.2">
      <c r="I5398" s="1125"/>
      <c r="J5398" s="1125"/>
    </row>
    <row r="5399" spans="9:10" x14ac:dyDescent="0.2">
      <c r="I5399" s="1125"/>
      <c r="J5399" s="1125"/>
    </row>
    <row r="5400" spans="9:10" x14ac:dyDescent="0.2">
      <c r="I5400" s="1125"/>
      <c r="J5400" s="1125"/>
    </row>
    <row r="5401" spans="9:10" x14ac:dyDescent="0.2">
      <c r="I5401" s="1125"/>
      <c r="J5401" s="1125"/>
    </row>
    <row r="5402" spans="9:10" x14ac:dyDescent="0.2">
      <c r="I5402" s="1125"/>
      <c r="J5402" s="1125"/>
    </row>
    <row r="5403" spans="9:10" x14ac:dyDescent="0.2">
      <c r="I5403" s="1125"/>
      <c r="J5403" s="1125"/>
    </row>
    <row r="5404" spans="9:10" x14ac:dyDescent="0.2">
      <c r="I5404" s="1125"/>
      <c r="J5404" s="1125"/>
    </row>
    <row r="5405" spans="9:10" x14ac:dyDescent="0.2">
      <c r="I5405" s="1125"/>
      <c r="J5405" s="1125"/>
    </row>
    <row r="5406" spans="9:10" x14ac:dyDescent="0.2">
      <c r="I5406" s="1125"/>
      <c r="J5406" s="1125"/>
    </row>
    <row r="5407" spans="9:10" x14ac:dyDescent="0.2">
      <c r="I5407" s="1125"/>
      <c r="J5407" s="1125"/>
    </row>
    <row r="5408" spans="9:10" x14ac:dyDescent="0.2">
      <c r="I5408" s="1125"/>
      <c r="J5408" s="1125"/>
    </row>
    <row r="5409" spans="9:10" x14ac:dyDescent="0.2">
      <c r="I5409" s="1125"/>
      <c r="J5409" s="1125"/>
    </row>
    <row r="5410" spans="9:10" x14ac:dyDescent="0.2">
      <c r="I5410" s="1125"/>
      <c r="J5410" s="1125"/>
    </row>
    <row r="5411" spans="9:10" x14ac:dyDescent="0.2">
      <c r="I5411" s="1125"/>
      <c r="J5411" s="1125"/>
    </row>
    <row r="5412" spans="9:10" x14ac:dyDescent="0.2">
      <c r="I5412" s="1125"/>
      <c r="J5412" s="1125"/>
    </row>
    <row r="5413" spans="9:10" x14ac:dyDescent="0.2">
      <c r="I5413" s="1125"/>
      <c r="J5413" s="1125"/>
    </row>
    <row r="5414" spans="9:10" x14ac:dyDescent="0.2">
      <c r="I5414" s="1125"/>
      <c r="J5414" s="1125"/>
    </row>
    <row r="5415" spans="9:10" x14ac:dyDescent="0.2">
      <c r="I5415" s="1125"/>
      <c r="J5415" s="1125"/>
    </row>
    <row r="5416" spans="9:10" x14ac:dyDescent="0.2">
      <c r="I5416" s="1125"/>
      <c r="J5416" s="1125"/>
    </row>
    <row r="5417" spans="9:10" x14ac:dyDescent="0.2">
      <c r="I5417" s="1125"/>
      <c r="J5417" s="1125"/>
    </row>
    <row r="5418" spans="9:10" x14ac:dyDescent="0.2">
      <c r="I5418" s="1125"/>
      <c r="J5418" s="1125"/>
    </row>
    <row r="5419" spans="9:10" x14ac:dyDescent="0.2">
      <c r="I5419" s="1125"/>
      <c r="J5419" s="1125"/>
    </row>
    <row r="5420" spans="9:10" x14ac:dyDescent="0.2">
      <c r="I5420" s="1125"/>
      <c r="J5420" s="1125"/>
    </row>
    <row r="5421" spans="9:10" x14ac:dyDescent="0.2">
      <c r="I5421" s="1125"/>
      <c r="J5421" s="1125"/>
    </row>
    <row r="5422" spans="9:10" x14ac:dyDescent="0.2">
      <c r="I5422" s="1125"/>
      <c r="J5422" s="1125"/>
    </row>
    <row r="5423" spans="9:10" x14ac:dyDescent="0.2">
      <c r="I5423" s="1125"/>
      <c r="J5423" s="1125"/>
    </row>
    <row r="5424" spans="9:10" x14ac:dyDescent="0.2">
      <c r="I5424" s="1125"/>
      <c r="J5424" s="1125"/>
    </row>
    <row r="5425" spans="9:10" x14ac:dyDescent="0.2">
      <c r="I5425" s="1125"/>
      <c r="J5425" s="1125"/>
    </row>
    <row r="5426" spans="9:10" x14ac:dyDescent="0.2">
      <c r="I5426" s="1125"/>
      <c r="J5426" s="1125"/>
    </row>
    <row r="5427" spans="9:10" x14ac:dyDescent="0.2">
      <c r="I5427" s="1125"/>
      <c r="J5427" s="1125"/>
    </row>
    <row r="5428" spans="9:10" x14ac:dyDescent="0.2">
      <c r="I5428" s="1125"/>
      <c r="J5428" s="1125"/>
    </row>
    <row r="5429" spans="9:10" x14ac:dyDescent="0.2">
      <c r="I5429" s="1125"/>
      <c r="J5429" s="1125"/>
    </row>
    <row r="5430" spans="9:10" x14ac:dyDescent="0.2">
      <c r="I5430" s="1125"/>
      <c r="J5430" s="1125"/>
    </row>
    <row r="5431" spans="9:10" x14ac:dyDescent="0.2">
      <c r="I5431" s="1125"/>
      <c r="J5431" s="1125"/>
    </row>
    <row r="5432" spans="9:10" x14ac:dyDescent="0.2">
      <c r="I5432" s="1125"/>
      <c r="J5432" s="1125"/>
    </row>
    <row r="5433" spans="9:10" x14ac:dyDescent="0.2">
      <c r="I5433" s="1125"/>
      <c r="J5433" s="1125"/>
    </row>
    <row r="5434" spans="9:10" x14ac:dyDescent="0.2">
      <c r="I5434" s="1125"/>
      <c r="J5434" s="1125"/>
    </row>
    <row r="5435" spans="9:10" x14ac:dyDescent="0.2">
      <c r="I5435" s="1125"/>
      <c r="J5435" s="1125"/>
    </row>
    <row r="5436" spans="9:10" x14ac:dyDescent="0.2">
      <c r="I5436" s="1125"/>
      <c r="J5436" s="1125"/>
    </row>
    <row r="5437" spans="9:10" x14ac:dyDescent="0.2">
      <c r="I5437" s="1125"/>
      <c r="J5437" s="1125"/>
    </row>
    <row r="5438" spans="9:10" x14ac:dyDescent="0.2">
      <c r="I5438" s="1125"/>
      <c r="J5438" s="1125"/>
    </row>
    <row r="5439" spans="9:10" x14ac:dyDescent="0.2">
      <c r="I5439" s="1125"/>
      <c r="J5439" s="1125"/>
    </row>
    <row r="5440" spans="9:10" x14ac:dyDescent="0.2">
      <c r="I5440" s="1125"/>
      <c r="J5440" s="1125"/>
    </row>
    <row r="5441" spans="9:10" x14ac:dyDescent="0.2">
      <c r="I5441" s="1125"/>
      <c r="J5441" s="1125"/>
    </row>
    <row r="5442" spans="9:10" x14ac:dyDescent="0.2">
      <c r="I5442" s="1125"/>
      <c r="J5442" s="1125"/>
    </row>
    <row r="5443" spans="9:10" x14ac:dyDescent="0.2">
      <c r="I5443" s="1125"/>
      <c r="J5443" s="1125"/>
    </row>
    <row r="5444" spans="9:10" x14ac:dyDescent="0.2">
      <c r="I5444" s="1125"/>
      <c r="J5444" s="1125"/>
    </row>
    <row r="5445" spans="9:10" x14ac:dyDescent="0.2">
      <c r="I5445" s="1125"/>
      <c r="J5445" s="1125"/>
    </row>
    <row r="5446" spans="9:10" x14ac:dyDescent="0.2">
      <c r="I5446" s="1125"/>
      <c r="J5446" s="1125"/>
    </row>
    <row r="5447" spans="9:10" x14ac:dyDescent="0.2">
      <c r="I5447" s="1125"/>
      <c r="J5447" s="1125"/>
    </row>
    <row r="5448" spans="9:10" x14ac:dyDescent="0.2">
      <c r="I5448" s="1125"/>
      <c r="J5448" s="1125"/>
    </row>
    <row r="5449" spans="9:10" x14ac:dyDescent="0.2">
      <c r="I5449" s="1125"/>
      <c r="J5449" s="1125"/>
    </row>
    <row r="5450" spans="9:10" x14ac:dyDescent="0.2">
      <c r="I5450" s="1125"/>
      <c r="J5450" s="1125"/>
    </row>
    <row r="5451" spans="9:10" x14ac:dyDescent="0.2">
      <c r="I5451" s="1125"/>
      <c r="J5451" s="1125"/>
    </row>
    <row r="5452" spans="9:10" x14ac:dyDescent="0.2">
      <c r="I5452" s="1125"/>
      <c r="J5452" s="1125"/>
    </row>
    <row r="5453" spans="9:10" x14ac:dyDescent="0.2">
      <c r="I5453" s="1125"/>
      <c r="J5453" s="1125"/>
    </row>
    <row r="5454" spans="9:10" x14ac:dyDescent="0.2">
      <c r="I5454" s="1125"/>
      <c r="J5454" s="1125"/>
    </row>
    <row r="5455" spans="9:10" x14ac:dyDescent="0.2">
      <c r="I5455" s="1125"/>
      <c r="J5455" s="1125"/>
    </row>
    <row r="5456" spans="9:10" x14ac:dyDescent="0.2">
      <c r="I5456" s="1125"/>
      <c r="J5456" s="1125"/>
    </row>
    <row r="5457" spans="9:10" x14ac:dyDescent="0.2">
      <c r="I5457" s="1125"/>
      <c r="J5457" s="1125"/>
    </row>
    <row r="5458" spans="9:10" x14ac:dyDescent="0.2">
      <c r="I5458" s="1125"/>
      <c r="J5458" s="1125"/>
    </row>
    <row r="5459" spans="9:10" x14ac:dyDescent="0.2">
      <c r="I5459" s="1125"/>
      <c r="J5459" s="1125"/>
    </row>
    <row r="5460" spans="9:10" x14ac:dyDescent="0.2">
      <c r="I5460" s="1125"/>
      <c r="J5460" s="1125"/>
    </row>
    <row r="5461" spans="9:10" x14ac:dyDescent="0.2">
      <c r="I5461" s="1125"/>
      <c r="J5461" s="1125"/>
    </row>
    <row r="5462" spans="9:10" x14ac:dyDescent="0.2">
      <c r="I5462" s="1125"/>
      <c r="J5462" s="1125"/>
    </row>
    <row r="5463" spans="9:10" x14ac:dyDescent="0.2">
      <c r="I5463" s="1125"/>
      <c r="J5463" s="1125"/>
    </row>
    <row r="5464" spans="9:10" x14ac:dyDescent="0.2">
      <c r="I5464" s="1125"/>
      <c r="J5464" s="1125"/>
    </row>
    <row r="5465" spans="9:10" x14ac:dyDescent="0.2">
      <c r="I5465" s="1125"/>
      <c r="J5465" s="1125"/>
    </row>
    <row r="5466" spans="9:10" x14ac:dyDescent="0.2">
      <c r="I5466" s="1125"/>
      <c r="J5466" s="1125"/>
    </row>
    <row r="5467" spans="9:10" x14ac:dyDescent="0.2">
      <c r="I5467" s="1125"/>
      <c r="J5467" s="1125"/>
    </row>
    <row r="5468" spans="9:10" x14ac:dyDescent="0.2">
      <c r="I5468" s="1125"/>
      <c r="J5468" s="1125"/>
    </row>
    <row r="5469" spans="9:10" x14ac:dyDescent="0.2">
      <c r="I5469" s="1125"/>
      <c r="J5469" s="1125"/>
    </row>
    <row r="5470" spans="9:10" x14ac:dyDescent="0.2">
      <c r="I5470" s="1125"/>
      <c r="J5470" s="1125"/>
    </row>
    <row r="5471" spans="9:10" x14ac:dyDescent="0.2">
      <c r="I5471" s="1125"/>
      <c r="J5471" s="1125"/>
    </row>
    <row r="5472" spans="9:10" x14ac:dyDescent="0.2">
      <c r="I5472" s="1125"/>
      <c r="J5472" s="1125"/>
    </row>
    <row r="5473" spans="9:10" x14ac:dyDescent="0.2">
      <c r="I5473" s="1125"/>
      <c r="J5473" s="1125"/>
    </row>
    <row r="5474" spans="9:10" x14ac:dyDescent="0.2">
      <c r="I5474" s="1125"/>
      <c r="J5474" s="1125"/>
    </row>
    <row r="5475" spans="9:10" x14ac:dyDescent="0.2">
      <c r="I5475" s="1125"/>
      <c r="J5475" s="1125"/>
    </row>
    <row r="5476" spans="9:10" x14ac:dyDescent="0.2">
      <c r="I5476" s="1125"/>
      <c r="J5476" s="1125"/>
    </row>
    <row r="5477" spans="9:10" x14ac:dyDescent="0.2">
      <c r="I5477" s="1125"/>
      <c r="J5477" s="1125"/>
    </row>
    <row r="5478" spans="9:10" x14ac:dyDescent="0.2">
      <c r="I5478" s="1125"/>
      <c r="J5478" s="1125"/>
    </row>
    <row r="5479" spans="9:10" x14ac:dyDescent="0.2">
      <c r="I5479" s="1125"/>
      <c r="J5479" s="1125"/>
    </row>
    <row r="5480" spans="9:10" x14ac:dyDescent="0.2">
      <c r="I5480" s="1125"/>
      <c r="J5480" s="1125"/>
    </row>
    <row r="5481" spans="9:10" x14ac:dyDescent="0.2">
      <c r="I5481" s="1125"/>
      <c r="J5481" s="1125"/>
    </row>
    <row r="5482" spans="9:10" x14ac:dyDescent="0.2">
      <c r="I5482" s="1125"/>
      <c r="J5482" s="1125"/>
    </row>
    <row r="5483" spans="9:10" x14ac:dyDescent="0.2">
      <c r="I5483" s="1125"/>
      <c r="J5483" s="1125"/>
    </row>
    <row r="5484" spans="9:10" x14ac:dyDescent="0.2">
      <c r="I5484" s="1125"/>
      <c r="J5484" s="1125"/>
    </row>
    <row r="5485" spans="9:10" x14ac:dyDescent="0.2">
      <c r="I5485" s="1125"/>
      <c r="J5485" s="1125"/>
    </row>
    <row r="5486" spans="9:10" x14ac:dyDescent="0.2">
      <c r="I5486" s="1125"/>
      <c r="J5486" s="1125"/>
    </row>
    <row r="5487" spans="9:10" x14ac:dyDescent="0.2">
      <c r="I5487" s="1125"/>
      <c r="J5487" s="1125"/>
    </row>
    <row r="5488" spans="9:10" x14ac:dyDescent="0.2">
      <c r="I5488" s="1125"/>
      <c r="J5488" s="1125"/>
    </row>
    <row r="5489" spans="9:10" x14ac:dyDescent="0.2">
      <c r="I5489" s="1125"/>
      <c r="J5489" s="1125"/>
    </row>
    <row r="5490" spans="9:10" x14ac:dyDescent="0.2">
      <c r="I5490" s="1125"/>
      <c r="J5490" s="1125"/>
    </row>
    <row r="5491" spans="9:10" x14ac:dyDescent="0.2">
      <c r="I5491" s="1125"/>
      <c r="J5491" s="1125"/>
    </row>
    <row r="5492" spans="9:10" x14ac:dyDescent="0.2">
      <c r="I5492" s="1125"/>
      <c r="J5492" s="1125"/>
    </row>
    <row r="5493" spans="9:10" x14ac:dyDescent="0.2">
      <c r="I5493" s="1125"/>
      <c r="J5493" s="1125"/>
    </row>
    <row r="5494" spans="9:10" x14ac:dyDescent="0.2">
      <c r="I5494" s="1125"/>
      <c r="J5494" s="1125"/>
    </row>
    <row r="5495" spans="9:10" x14ac:dyDescent="0.2">
      <c r="I5495" s="1125"/>
      <c r="J5495" s="1125"/>
    </row>
    <row r="5496" spans="9:10" x14ac:dyDescent="0.2">
      <c r="I5496" s="1125"/>
      <c r="J5496" s="1125"/>
    </row>
    <row r="5497" spans="9:10" x14ac:dyDescent="0.2">
      <c r="I5497" s="1125"/>
      <c r="J5497" s="1125"/>
    </row>
    <row r="5498" spans="9:10" x14ac:dyDescent="0.2">
      <c r="I5498" s="1125"/>
      <c r="J5498" s="1125"/>
    </row>
    <row r="5499" spans="9:10" x14ac:dyDescent="0.2">
      <c r="I5499" s="1125"/>
      <c r="J5499" s="1125"/>
    </row>
    <row r="5500" spans="9:10" x14ac:dyDescent="0.2">
      <c r="I5500" s="1125"/>
      <c r="J5500" s="1125"/>
    </row>
    <row r="5501" spans="9:10" x14ac:dyDescent="0.2">
      <c r="I5501" s="1125"/>
      <c r="J5501" s="1125"/>
    </row>
    <row r="5502" spans="9:10" x14ac:dyDescent="0.2">
      <c r="I5502" s="1125"/>
      <c r="J5502" s="1125"/>
    </row>
    <row r="5503" spans="9:10" x14ac:dyDescent="0.2">
      <c r="I5503" s="1125"/>
      <c r="J5503" s="1125"/>
    </row>
    <row r="5504" spans="9:10" x14ac:dyDescent="0.2">
      <c r="I5504" s="1125"/>
      <c r="J5504" s="1125"/>
    </row>
    <row r="5505" spans="9:10" x14ac:dyDescent="0.2">
      <c r="I5505" s="1125"/>
      <c r="J5505" s="1125"/>
    </row>
    <row r="5506" spans="9:10" x14ac:dyDescent="0.2">
      <c r="I5506" s="1125"/>
      <c r="J5506" s="1125"/>
    </row>
    <row r="5507" spans="9:10" x14ac:dyDescent="0.2">
      <c r="I5507" s="1125"/>
      <c r="J5507" s="1125"/>
    </row>
    <row r="5508" spans="9:10" x14ac:dyDescent="0.2">
      <c r="I5508" s="1125"/>
      <c r="J5508" s="1125"/>
    </row>
    <row r="5509" spans="9:10" x14ac:dyDescent="0.2">
      <c r="I5509" s="1125"/>
      <c r="J5509" s="1125"/>
    </row>
    <row r="5510" spans="9:10" x14ac:dyDescent="0.2">
      <c r="I5510" s="1125"/>
      <c r="J5510" s="1125"/>
    </row>
    <row r="5511" spans="9:10" x14ac:dyDescent="0.2">
      <c r="I5511" s="1125"/>
      <c r="J5511" s="1125"/>
    </row>
    <row r="5512" spans="9:10" x14ac:dyDescent="0.2">
      <c r="I5512" s="1125"/>
      <c r="J5512" s="1125"/>
    </row>
    <row r="5513" spans="9:10" x14ac:dyDescent="0.2">
      <c r="I5513" s="1125"/>
      <c r="J5513" s="1125"/>
    </row>
    <row r="5514" spans="9:10" x14ac:dyDescent="0.2">
      <c r="I5514" s="1125"/>
      <c r="J5514" s="1125"/>
    </row>
    <row r="5515" spans="9:10" x14ac:dyDescent="0.2">
      <c r="I5515" s="1125"/>
      <c r="J5515" s="1125"/>
    </row>
    <row r="5516" spans="9:10" x14ac:dyDescent="0.2">
      <c r="I5516" s="1125"/>
      <c r="J5516" s="1125"/>
    </row>
    <row r="5517" spans="9:10" x14ac:dyDescent="0.2">
      <c r="I5517" s="1125"/>
      <c r="J5517" s="1125"/>
    </row>
    <row r="5518" spans="9:10" x14ac:dyDescent="0.2">
      <c r="I5518" s="1125"/>
      <c r="J5518" s="1125"/>
    </row>
    <row r="5519" spans="9:10" x14ac:dyDescent="0.2">
      <c r="I5519" s="1125"/>
      <c r="J5519" s="1125"/>
    </row>
    <row r="5520" spans="9:10" x14ac:dyDescent="0.2">
      <c r="I5520" s="1125"/>
      <c r="J5520" s="1125"/>
    </row>
    <row r="5521" spans="9:10" x14ac:dyDescent="0.2">
      <c r="I5521" s="1125"/>
      <c r="J5521" s="1125"/>
    </row>
    <row r="5522" spans="9:10" x14ac:dyDescent="0.2">
      <c r="I5522" s="1125"/>
      <c r="J5522" s="1125"/>
    </row>
    <row r="5523" spans="9:10" x14ac:dyDescent="0.2">
      <c r="I5523" s="1125"/>
      <c r="J5523" s="1125"/>
    </row>
    <row r="5524" spans="9:10" x14ac:dyDescent="0.2">
      <c r="I5524" s="1125"/>
      <c r="J5524" s="1125"/>
    </row>
    <row r="5525" spans="9:10" x14ac:dyDescent="0.2">
      <c r="I5525" s="1125"/>
      <c r="J5525" s="1125"/>
    </row>
    <row r="5526" spans="9:10" x14ac:dyDescent="0.2">
      <c r="I5526" s="1125"/>
      <c r="J5526" s="1125"/>
    </row>
    <row r="5527" spans="9:10" x14ac:dyDescent="0.2">
      <c r="I5527" s="1125"/>
      <c r="J5527" s="1125"/>
    </row>
    <row r="5528" spans="9:10" x14ac:dyDescent="0.2">
      <c r="I5528" s="1125"/>
      <c r="J5528" s="1125"/>
    </row>
    <row r="5529" spans="9:10" x14ac:dyDescent="0.2">
      <c r="I5529" s="1125"/>
      <c r="J5529" s="1125"/>
    </row>
    <row r="5530" spans="9:10" x14ac:dyDescent="0.2">
      <c r="I5530" s="1125"/>
      <c r="J5530" s="1125"/>
    </row>
    <row r="5531" spans="9:10" x14ac:dyDescent="0.2">
      <c r="I5531" s="1125"/>
      <c r="J5531" s="1125"/>
    </row>
    <row r="5532" spans="9:10" x14ac:dyDescent="0.2">
      <c r="I5532" s="1125"/>
      <c r="J5532" s="1125"/>
    </row>
    <row r="5533" spans="9:10" x14ac:dyDescent="0.2">
      <c r="I5533" s="1125"/>
      <c r="J5533" s="1125"/>
    </row>
    <row r="5534" spans="9:10" x14ac:dyDescent="0.2">
      <c r="I5534" s="1125"/>
      <c r="J5534" s="1125"/>
    </row>
    <row r="5535" spans="9:10" x14ac:dyDescent="0.2">
      <c r="I5535" s="1125"/>
      <c r="J5535" s="1125"/>
    </row>
    <row r="5536" spans="9:10" x14ac:dyDescent="0.2">
      <c r="I5536" s="1125"/>
      <c r="J5536" s="1125"/>
    </row>
    <row r="5537" spans="9:10" x14ac:dyDescent="0.2">
      <c r="I5537" s="1125"/>
      <c r="J5537" s="1125"/>
    </row>
    <row r="5538" spans="9:10" x14ac:dyDescent="0.2">
      <c r="I5538" s="1125"/>
      <c r="J5538" s="1125"/>
    </row>
    <row r="5539" spans="9:10" x14ac:dyDescent="0.2">
      <c r="I5539" s="1125"/>
      <c r="J5539" s="1125"/>
    </row>
    <row r="5540" spans="9:10" x14ac:dyDescent="0.2">
      <c r="I5540" s="1125"/>
      <c r="J5540" s="1125"/>
    </row>
    <row r="5541" spans="9:10" x14ac:dyDescent="0.2">
      <c r="I5541" s="1125"/>
      <c r="J5541" s="1125"/>
    </row>
    <row r="5542" spans="9:10" x14ac:dyDescent="0.2">
      <c r="I5542" s="1125"/>
      <c r="J5542" s="1125"/>
    </row>
    <row r="5543" spans="9:10" x14ac:dyDescent="0.2">
      <c r="I5543" s="1125"/>
      <c r="J5543" s="1125"/>
    </row>
    <row r="5544" spans="9:10" x14ac:dyDescent="0.2">
      <c r="I5544" s="1125"/>
      <c r="J5544" s="1125"/>
    </row>
    <row r="5545" spans="9:10" x14ac:dyDescent="0.2">
      <c r="I5545" s="1125"/>
      <c r="J5545" s="1125"/>
    </row>
    <row r="5546" spans="9:10" x14ac:dyDescent="0.2">
      <c r="I5546" s="1125"/>
      <c r="J5546" s="1125"/>
    </row>
    <row r="5547" spans="9:10" x14ac:dyDescent="0.2">
      <c r="I5547" s="1125"/>
      <c r="J5547" s="1125"/>
    </row>
    <row r="5548" spans="9:10" x14ac:dyDescent="0.2">
      <c r="I5548" s="1125"/>
      <c r="J5548" s="1125"/>
    </row>
    <row r="5549" spans="9:10" x14ac:dyDescent="0.2">
      <c r="I5549" s="1125"/>
      <c r="J5549" s="1125"/>
    </row>
    <row r="5550" spans="9:10" x14ac:dyDescent="0.2">
      <c r="I5550" s="1125"/>
      <c r="J5550" s="1125"/>
    </row>
    <row r="5551" spans="9:10" x14ac:dyDescent="0.2">
      <c r="I5551" s="1125"/>
      <c r="J5551" s="1125"/>
    </row>
    <row r="5552" spans="9:10" x14ac:dyDescent="0.2">
      <c r="I5552" s="1125"/>
      <c r="J5552" s="1125"/>
    </row>
    <row r="5553" spans="9:10" x14ac:dyDescent="0.2">
      <c r="I5553" s="1125"/>
      <c r="J5553" s="1125"/>
    </row>
    <row r="5554" spans="9:10" x14ac:dyDescent="0.2">
      <c r="I5554" s="1125"/>
      <c r="J5554" s="1125"/>
    </row>
    <row r="5555" spans="9:10" x14ac:dyDescent="0.2">
      <c r="I5555" s="1125"/>
      <c r="J5555" s="1125"/>
    </row>
    <row r="5556" spans="9:10" x14ac:dyDescent="0.2">
      <c r="I5556" s="1125"/>
      <c r="J5556" s="1125"/>
    </row>
    <row r="5557" spans="9:10" x14ac:dyDescent="0.2">
      <c r="I5557" s="1125"/>
      <c r="J5557" s="1125"/>
    </row>
    <row r="5558" spans="9:10" x14ac:dyDescent="0.2">
      <c r="I5558" s="1125"/>
      <c r="J5558" s="1125"/>
    </row>
    <row r="5559" spans="9:10" x14ac:dyDescent="0.2">
      <c r="I5559" s="1125"/>
      <c r="J5559" s="1125"/>
    </row>
    <row r="5560" spans="9:10" x14ac:dyDescent="0.2">
      <c r="I5560" s="1125"/>
      <c r="J5560" s="1125"/>
    </row>
    <row r="5561" spans="9:10" x14ac:dyDescent="0.2">
      <c r="I5561" s="1125"/>
      <c r="J5561" s="1125"/>
    </row>
    <row r="5562" spans="9:10" x14ac:dyDescent="0.2">
      <c r="I5562" s="1125"/>
      <c r="J5562" s="1125"/>
    </row>
    <row r="5563" spans="9:10" x14ac:dyDescent="0.2">
      <c r="I5563" s="1125"/>
      <c r="J5563" s="1125"/>
    </row>
    <row r="5564" spans="9:10" x14ac:dyDescent="0.2">
      <c r="I5564" s="1125"/>
      <c r="J5564" s="1125"/>
    </row>
    <row r="5565" spans="9:10" x14ac:dyDescent="0.2">
      <c r="I5565" s="1125"/>
      <c r="J5565" s="1125"/>
    </row>
    <row r="5566" spans="9:10" x14ac:dyDescent="0.2">
      <c r="I5566" s="1125"/>
      <c r="J5566" s="1125"/>
    </row>
    <row r="5567" spans="9:10" x14ac:dyDescent="0.2">
      <c r="I5567" s="1125"/>
      <c r="J5567" s="1125"/>
    </row>
    <row r="5568" spans="9:10" x14ac:dyDescent="0.2">
      <c r="I5568" s="1125"/>
      <c r="J5568" s="1125"/>
    </row>
    <row r="5569" spans="9:10" x14ac:dyDescent="0.2">
      <c r="I5569" s="1125"/>
      <c r="J5569" s="1125"/>
    </row>
    <row r="5570" spans="9:10" x14ac:dyDescent="0.2">
      <c r="I5570" s="1125"/>
      <c r="J5570" s="1125"/>
    </row>
    <row r="5571" spans="9:10" x14ac:dyDescent="0.2">
      <c r="I5571" s="1125"/>
      <c r="J5571" s="1125"/>
    </row>
    <row r="5572" spans="9:10" x14ac:dyDescent="0.2">
      <c r="I5572" s="1125"/>
      <c r="J5572" s="1125"/>
    </row>
    <row r="5573" spans="9:10" x14ac:dyDescent="0.2">
      <c r="I5573" s="1125"/>
      <c r="J5573" s="1125"/>
    </row>
    <row r="5574" spans="9:10" x14ac:dyDescent="0.2">
      <c r="I5574" s="1125"/>
      <c r="J5574" s="1125"/>
    </row>
    <row r="5575" spans="9:10" x14ac:dyDescent="0.2">
      <c r="I5575" s="1125"/>
      <c r="J5575" s="1125"/>
    </row>
    <row r="5576" spans="9:10" x14ac:dyDescent="0.2">
      <c r="I5576" s="1125"/>
      <c r="J5576" s="1125"/>
    </row>
    <row r="5577" spans="9:10" x14ac:dyDescent="0.2">
      <c r="I5577" s="1125"/>
      <c r="J5577" s="1125"/>
    </row>
    <row r="5578" spans="9:10" x14ac:dyDescent="0.2">
      <c r="I5578" s="1125"/>
      <c r="J5578" s="1125"/>
    </row>
    <row r="5579" spans="9:10" x14ac:dyDescent="0.2">
      <c r="I5579" s="1125"/>
      <c r="J5579" s="1125"/>
    </row>
    <row r="5580" spans="9:10" x14ac:dyDescent="0.2">
      <c r="I5580" s="1125"/>
      <c r="J5580" s="1125"/>
    </row>
    <row r="5581" spans="9:10" x14ac:dyDescent="0.2">
      <c r="I5581" s="1125"/>
      <c r="J5581" s="1125"/>
    </row>
    <row r="5582" spans="9:10" x14ac:dyDescent="0.2">
      <c r="I5582" s="1125"/>
      <c r="J5582" s="1125"/>
    </row>
    <row r="5583" spans="9:10" x14ac:dyDescent="0.2">
      <c r="I5583" s="1125"/>
      <c r="J5583" s="1125"/>
    </row>
    <row r="5584" spans="9:10" x14ac:dyDescent="0.2">
      <c r="I5584" s="1125"/>
      <c r="J5584" s="1125"/>
    </row>
    <row r="5585" spans="9:10" x14ac:dyDescent="0.2">
      <c r="I5585" s="1125"/>
      <c r="J5585" s="1125"/>
    </row>
    <row r="5586" spans="9:10" x14ac:dyDescent="0.2">
      <c r="I5586" s="1125"/>
      <c r="J5586" s="1125"/>
    </row>
    <row r="5587" spans="9:10" x14ac:dyDescent="0.2">
      <c r="I5587" s="1125"/>
      <c r="J5587" s="1125"/>
    </row>
    <row r="5588" spans="9:10" x14ac:dyDescent="0.2">
      <c r="I5588" s="1125"/>
      <c r="J5588" s="1125"/>
    </row>
    <row r="5589" spans="9:10" x14ac:dyDescent="0.2">
      <c r="I5589" s="1125"/>
      <c r="J5589" s="1125"/>
    </row>
    <row r="5590" spans="9:10" x14ac:dyDescent="0.2">
      <c r="I5590" s="1125"/>
      <c r="J5590" s="1125"/>
    </row>
    <row r="5591" spans="9:10" x14ac:dyDescent="0.2">
      <c r="I5591" s="1125"/>
      <c r="J5591" s="1125"/>
    </row>
    <row r="5592" spans="9:10" x14ac:dyDescent="0.2">
      <c r="I5592" s="1125"/>
      <c r="J5592" s="1125"/>
    </row>
    <row r="5593" spans="9:10" x14ac:dyDescent="0.2">
      <c r="I5593" s="1125"/>
      <c r="J5593" s="1125"/>
    </row>
    <row r="5594" spans="9:10" x14ac:dyDescent="0.2">
      <c r="I5594" s="1125"/>
      <c r="J5594" s="1125"/>
    </row>
    <row r="5595" spans="9:10" x14ac:dyDescent="0.2">
      <c r="I5595" s="1125"/>
      <c r="J5595" s="1125"/>
    </row>
    <row r="5596" spans="9:10" x14ac:dyDescent="0.2">
      <c r="I5596" s="1125"/>
      <c r="J5596" s="1125"/>
    </row>
    <row r="5597" spans="9:10" x14ac:dyDescent="0.2">
      <c r="I5597" s="1125"/>
      <c r="J5597" s="1125"/>
    </row>
    <row r="5598" spans="9:10" x14ac:dyDescent="0.2">
      <c r="I5598" s="1125"/>
      <c r="J5598" s="1125"/>
    </row>
    <row r="5599" spans="9:10" x14ac:dyDescent="0.2">
      <c r="I5599" s="1125"/>
      <c r="J5599" s="1125"/>
    </row>
    <row r="5600" spans="9:10" x14ac:dyDescent="0.2">
      <c r="I5600" s="1125"/>
      <c r="J5600" s="1125"/>
    </row>
    <row r="5601" spans="9:10" x14ac:dyDescent="0.2">
      <c r="I5601" s="1125"/>
      <c r="J5601" s="1125"/>
    </row>
    <row r="5602" spans="9:10" x14ac:dyDescent="0.2">
      <c r="I5602" s="1125"/>
      <c r="J5602" s="1125"/>
    </row>
    <row r="5603" spans="9:10" x14ac:dyDescent="0.2">
      <c r="I5603" s="1125"/>
      <c r="J5603" s="1125"/>
    </row>
    <row r="5604" spans="9:10" x14ac:dyDescent="0.2">
      <c r="I5604" s="1125"/>
      <c r="J5604" s="1125"/>
    </row>
    <row r="5605" spans="9:10" x14ac:dyDescent="0.2">
      <c r="I5605" s="1125"/>
      <c r="J5605" s="1125"/>
    </row>
    <row r="5606" spans="9:10" x14ac:dyDescent="0.2">
      <c r="I5606" s="1125"/>
      <c r="J5606" s="1125"/>
    </row>
    <row r="5607" spans="9:10" x14ac:dyDescent="0.2">
      <c r="I5607" s="1125"/>
      <c r="J5607" s="1125"/>
    </row>
    <row r="5608" spans="9:10" x14ac:dyDescent="0.2">
      <c r="I5608" s="1125"/>
      <c r="J5608" s="1125"/>
    </row>
    <row r="5609" spans="9:10" x14ac:dyDescent="0.2">
      <c r="I5609" s="1125"/>
      <c r="J5609" s="1125"/>
    </row>
    <row r="5610" spans="9:10" x14ac:dyDescent="0.2">
      <c r="I5610" s="1125"/>
      <c r="J5610" s="1125"/>
    </row>
    <row r="5611" spans="9:10" x14ac:dyDescent="0.2">
      <c r="I5611" s="1125"/>
      <c r="J5611" s="1125"/>
    </row>
    <row r="5612" spans="9:10" x14ac:dyDescent="0.2">
      <c r="I5612" s="1125"/>
      <c r="J5612" s="1125"/>
    </row>
    <row r="5613" spans="9:10" x14ac:dyDescent="0.2">
      <c r="I5613" s="1125"/>
      <c r="J5613" s="1125"/>
    </row>
    <row r="5614" spans="9:10" x14ac:dyDescent="0.2">
      <c r="I5614" s="1125"/>
      <c r="J5614" s="1125"/>
    </row>
    <row r="5615" spans="9:10" x14ac:dyDescent="0.2">
      <c r="I5615" s="1125"/>
      <c r="J5615" s="1125"/>
    </row>
    <row r="5616" spans="9:10" x14ac:dyDescent="0.2">
      <c r="I5616" s="1125"/>
      <c r="J5616" s="1125"/>
    </row>
    <row r="5617" spans="9:10" x14ac:dyDescent="0.2">
      <c r="I5617" s="1125"/>
      <c r="J5617" s="1125"/>
    </row>
    <row r="5618" spans="9:10" x14ac:dyDescent="0.2">
      <c r="I5618" s="1125"/>
      <c r="J5618" s="1125"/>
    </row>
    <row r="5619" spans="9:10" x14ac:dyDescent="0.2">
      <c r="I5619" s="1125"/>
      <c r="J5619" s="1125"/>
    </row>
    <row r="5620" spans="9:10" x14ac:dyDescent="0.2">
      <c r="I5620" s="1125"/>
      <c r="J5620" s="1125"/>
    </row>
    <row r="5621" spans="9:10" x14ac:dyDescent="0.2">
      <c r="I5621" s="1125"/>
      <c r="J5621" s="1125"/>
    </row>
    <row r="5622" spans="9:10" x14ac:dyDescent="0.2">
      <c r="I5622" s="1125"/>
      <c r="J5622" s="1125"/>
    </row>
    <row r="5623" spans="9:10" x14ac:dyDescent="0.2">
      <c r="I5623" s="1125"/>
      <c r="J5623" s="1125"/>
    </row>
    <row r="5624" spans="9:10" x14ac:dyDescent="0.2">
      <c r="I5624" s="1125"/>
      <c r="J5624" s="1125"/>
    </row>
    <row r="5625" spans="9:10" x14ac:dyDescent="0.2">
      <c r="I5625" s="1125"/>
      <c r="J5625" s="1125"/>
    </row>
    <row r="5626" spans="9:10" x14ac:dyDescent="0.2">
      <c r="I5626" s="1125"/>
      <c r="J5626" s="1125"/>
    </row>
    <row r="5627" spans="9:10" x14ac:dyDescent="0.2">
      <c r="I5627" s="1125"/>
      <c r="J5627" s="1125"/>
    </row>
    <row r="5628" spans="9:10" x14ac:dyDescent="0.2">
      <c r="I5628" s="1125"/>
      <c r="J5628" s="1125"/>
    </row>
    <row r="5629" spans="9:10" x14ac:dyDescent="0.2">
      <c r="I5629" s="1125"/>
      <c r="J5629" s="1125"/>
    </row>
    <row r="5630" spans="9:10" x14ac:dyDescent="0.2">
      <c r="I5630" s="1125"/>
      <c r="J5630" s="1125"/>
    </row>
    <row r="5631" spans="9:10" x14ac:dyDescent="0.2">
      <c r="I5631" s="1125"/>
      <c r="J5631" s="1125"/>
    </row>
    <row r="5632" spans="9:10" x14ac:dyDescent="0.2">
      <c r="I5632" s="1125"/>
      <c r="J5632" s="1125"/>
    </row>
    <row r="5633" spans="9:10" x14ac:dyDescent="0.2">
      <c r="I5633" s="1125"/>
      <c r="J5633" s="1125"/>
    </row>
    <row r="5634" spans="9:10" x14ac:dyDescent="0.2">
      <c r="I5634" s="1125"/>
      <c r="J5634" s="1125"/>
    </row>
    <row r="5635" spans="9:10" x14ac:dyDescent="0.2">
      <c r="I5635" s="1125"/>
      <c r="J5635" s="1125"/>
    </row>
    <row r="5636" spans="9:10" x14ac:dyDescent="0.2">
      <c r="I5636" s="1125"/>
      <c r="J5636" s="1125"/>
    </row>
    <row r="5637" spans="9:10" x14ac:dyDescent="0.2">
      <c r="I5637" s="1125"/>
      <c r="J5637" s="1125"/>
    </row>
    <row r="5638" spans="9:10" x14ac:dyDescent="0.2">
      <c r="I5638" s="1125"/>
      <c r="J5638" s="1125"/>
    </row>
    <row r="5639" spans="9:10" x14ac:dyDescent="0.2">
      <c r="I5639" s="1125"/>
      <c r="J5639" s="1125"/>
    </row>
    <row r="5640" spans="9:10" x14ac:dyDescent="0.2">
      <c r="I5640" s="1125"/>
      <c r="J5640" s="1125"/>
    </row>
    <row r="5641" spans="9:10" x14ac:dyDescent="0.2">
      <c r="I5641" s="1125"/>
      <c r="J5641" s="1125"/>
    </row>
    <row r="5642" spans="9:10" x14ac:dyDescent="0.2">
      <c r="I5642" s="1125"/>
      <c r="J5642" s="1125"/>
    </row>
    <row r="5643" spans="9:10" x14ac:dyDescent="0.2">
      <c r="I5643" s="1125"/>
      <c r="J5643" s="1125"/>
    </row>
    <row r="5644" spans="9:10" x14ac:dyDescent="0.2">
      <c r="I5644" s="1125"/>
      <c r="J5644" s="1125"/>
    </row>
    <row r="5645" spans="9:10" x14ac:dyDescent="0.2">
      <c r="I5645" s="1125"/>
      <c r="J5645" s="1125"/>
    </row>
    <row r="5646" spans="9:10" x14ac:dyDescent="0.2">
      <c r="I5646" s="1125"/>
      <c r="J5646" s="1125"/>
    </row>
    <row r="5647" spans="9:10" x14ac:dyDescent="0.2">
      <c r="I5647" s="1125"/>
      <c r="J5647" s="1125"/>
    </row>
    <row r="5648" spans="9:10" x14ac:dyDescent="0.2">
      <c r="I5648" s="1125"/>
      <c r="J5648" s="1125"/>
    </row>
    <row r="5649" spans="9:10" x14ac:dyDescent="0.2">
      <c r="I5649" s="1125"/>
      <c r="J5649" s="1125"/>
    </row>
    <row r="5650" spans="9:10" x14ac:dyDescent="0.2">
      <c r="I5650" s="1125"/>
      <c r="J5650" s="1125"/>
    </row>
    <row r="5651" spans="9:10" x14ac:dyDescent="0.2">
      <c r="I5651" s="1125"/>
      <c r="J5651" s="1125"/>
    </row>
    <row r="5652" spans="9:10" x14ac:dyDescent="0.2">
      <c r="I5652" s="1125"/>
      <c r="J5652" s="1125"/>
    </row>
    <row r="5653" spans="9:10" x14ac:dyDescent="0.2">
      <c r="I5653" s="1125"/>
      <c r="J5653" s="1125"/>
    </row>
    <row r="5654" spans="9:10" x14ac:dyDescent="0.2">
      <c r="I5654" s="1125"/>
      <c r="J5654" s="1125"/>
    </row>
    <row r="5655" spans="9:10" x14ac:dyDescent="0.2">
      <c r="I5655" s="1125"/>
      <c r="J5655" s="1125"/>
    </row>
    <row r="5656" spans="9:10" x14ac:dyDescent="0.2">
      <c r="I5656" s="1125"/>
      <c r="J5656" s="1125"/>
    </row>
    <row r="5657" spans="9:10" x14ac:dyDescent="0.2">
      <c r="I5657" s="1125"/>
      <c r="J5657" s="1125"/>
    </row>
    <row r="5658" spans="9:10" x14ac:dyDescent="0.2">
      <c r="I5658" s="1125"/>
      <c r="J5658" s="1125"/>
    </row>
    <row r="5659" spans="9:10" x14ac:dyDescent="0.2">
      <c r="I5659" s="1125"/>
      <c r="J5659" s="1125"/>
    </row>
    <row r="5660" spans="9:10" x14ac:dyDescent="0.2">
      <c r="I5660" s="1125"/>
      <c r="J5660" s="1125"/>
    </row>
    <row r="5661" spans="9:10" x14ac:dyDescent="0.2">
      <c r="I5661" s="1125"/>
      <c r="J5661" s="1125"/>
    </row>
    <row r="5662" spans="9:10" x14ac:dyDescent="0.2">
      <c r="I5662" s="1125"/>
      <c r="J5662" s="1125"/>
    </row>
    <row r="5663" spans="9:10" x14ac:dyDescent="0.2">
      <c r="I5663" s="1125"/>
      <c r="J5663" s="1125"/>
    </row>
    <row r="5664" spans="9:10" x14ac:dyDescent="0.2">
      <c r="I5664" s="1125"/>
      <c r="J5664" s="1125"/>
    </row>
    <row r="5665" spans="9:10" x14ac:dyDescent="0.2">
      <c r="I5665" s="1125"/>
      <c r="J5665" s="1125"/>
    </row>
    <row r="5666" spans="9:10" x14ac:dyDescent="0.2">
      <c r="I5666" s="1125"/>
      <c r="J5666" s="1125"/>
    </row>
    <row r="5667" spans="9:10" x14ac:dyDescent="0.2">
      <c r="I5667" s="1125"/>
      <c r="J5667" s="1125"/>
    </row>
    <row r="5668" spans="9:10" x14ac:dyDescent="0.2">
      <c r="I5668" s="1125"/>
      <c r="J5668" s="1125"/>
    </row>
    <row r="5669" spans="9:10" x14ac:dyDescent="0.2">
      <c r="I5669" s="1125"/>
      <c r="J5669" s="1125"/>
    </row>
    <row r="5670" spans="9:10" x14ac:dyDescent="0.2">
      <c r="I5670" s="1125"/>
      <c r="J5670" s="1125"/>
    </row>
    <row r="5671" spans="9:10" x14ac:dyDescent="0.2">
      <c r="I5671" s="1125"/>
      <c r="J5671" s="1125"/>
    </row>
    <row r="5672" spans="9:10" x14ac:dyDescent="0.2">
      <c r="I5672" s="1125"/>
      <c r="J5672" s="1125"/>
    </row>
    <row r="5673" spans="9:10" x14ac:dyDescent="0.2">
      <c r="I5673" s="1125"/>
      <c r="J5673" s="1125"/>
    </row>
    <row r="5674" spans="9:10" x14ac:dyDescent="0.2">
      <c r="I5674" s="1125"/>
      <c r="J5674" s="1125"/>
    </row>
    <row r="5675" spans="9:10" x14ac:dyDescent="0.2">
      <c r="I5675" s="1125"/>
      <c r="J5675" s="1125"/>
    </row>
    <row r="5676" spans="9:10" x14ac:dyDescent="0.2">
      <c r="I5676" s="1125"/>
      <c r="J5676" s="1125"/>
    </row>
    <row r="5677" spans="9:10" x14ac:dyDescent="0.2">
      <c r="I5677" s="1125"/>
      <c r="J5677" s="1125"/>
    </row>
    <row r="5678" spans="9:10" x14ac:dyDescent="0.2">
      <c r="I5678" s="1125"/>
      <c r="J5678" s="1125"/>
    </row>
    <row r="5679" spans="9:10" x14ac:dyDescent="0.2">
      <c r="I5679" s="1125"/>
      <c r="J5679" s="1125"/>
    </row>
    <row r="5680" spans="9:10" x14ac:dyDescent="0.2">
      <c r="I5680" s="1125"/>
      <c r="J5680" s="1125"/>
    </row>
    <row r="5681" spans="9:10" x14ac:dyDescent="0.2">
      <c r="I5681" s="1125"/>
      <c r="J5681" s="1125"/>
    </row>
    <row r="5682" spans="9:10" x14ac:dyDescent="0.2">
      <c r="I5682" s="1125"/>
      <c r="J5682" s="1125"/>
    </row>
    <row r="5683" spans="9:10" x14ac:dyDescent="0.2">
      <c r="I5683" s="1125"/>
      <c r="J5683" s="1125"/>
    </row>
    <row r="5684" spans="9:10" x14ac:dyDescent="0.2">
      <c r="I5684" s="1125"/>
      <c r="J5684" s="1125"/>
    </row>
    <row r="5685" spans="9:10" x14ac:dyDescent="0.2">
      <c r="I5685" s="1125"/>
      <c r="J5685" s="1125"/>
    </row>
    <row r="5686" spans="9:10" x14ac:dyDescent="0.2">
      <c r="I5686" s="1125"/>
      <c r="J5686" s="1125"/>
    </row>
    <row r="5687" spans="9:10" x14ac:dyDescent="0.2">
      <c r="I5687" s="1125"/>
      <c r="J5687" s="1125"/>
    </row>
    <row r="5688" spans="9:10" x14ac:dyDescent="0.2">
      <c r="I5688" s="1125"/>
      <c r="J5688" s="1125"/>
    </row>
    <row r="5689" spans="9:10" x14ac:dyDescent="0.2">
      <c r="I5689" s="1125"/>
      <c r="J5689" s="1125"/>
    </row>
    <row r="5690" spans="9:10" x14ac:dyDescent="0.2">
      <c r="I5690" s="1125"/>
      <c r="J5690" s="1125"/>
    </row>
    <row r="5691" spans="9:10" x14ac:dyDescent="0.2">
      <c r="I5691" s="1125"/>
      <c r="J5691" s="1125"/>
    </row>
    <row r="5692" spans="9:10" x14ac:dyDescent="0.2">
      <c r="I5692" s="1125"/>
      <c r="J5692" s="1125"/>
    </row>
    <row r="5693" spans="9:10" x14ac:dyDescent="0.2">
      <c r="I5693" s="1125"/>
      <c r="J5693" s="1125"/>
    </row>
    <row r="5694" spans="9:10" x14ac:dyDescent="0.2">
      <c r="I5694" s="1125"/>
      <c r="J5694" s="1125"/>
    </row>
    <row r="5695" spans="9:10" x14ac:dyDescent="0.2">
      <c r="I5695" s="1125"/>
      <c r="J5695" s="1125"/>
    </row>
    <row r="5696" spans="9:10" x14ac:dyDescent="0.2">
      <c r="I5696" s="1125"/>
      <c r="J5696" s="1125"/>
    </row>
    <row r="5697" spans="9:10" x14ac:dyDescent="0.2">
      <c r="I5697" s="1125"/>
      <c r="J5697" s="1125"/>
    </row>
    <row r="5698" spans="9:10" x14ac:dyDescent="0.2">
      <c r="I5698" s="1125"/>
      <c r="J5698" s="1125"/>
    </row>
    <row r="5699" spans="9:10" x14ac:dyDescent="0.2">
      <c r="I5699" s="1125"/>
      <c r="J5699" s="1125"/>
    </row>
    <row r="5700" spans="9:10" x14ac:dyDescent="0.2">
      <c r="I5700" s="1125"/>
      <c r="J5700" s="1125"/>
    </row>
    <row r="5701" spans="9:10" x14ac:dyDescent="0.2">
      <c r="I5701" s="1125"/>
      <c r="J5701" s="1125"/>
    </row>
    <row r="5702" spans="9:10" x14ac:dyDescent="0.2">
      <c r="I5702" s="1125"/>
      <c r="J5702" s="1125"/>
    </row>
    <row r="5703" spans="9:10" x14ac:dyDescent="0.2">
      <c r="I5703" s="1125"/>
      <c r="J5703" s="1125"/>
    </row>
    <row r="5704" spans="9:10" x14ac:dyDescent="0.2">
      <c r="I5704" s="1125"/>
      <c r="J5704" s="1125"/>
    </row>
    <row r="5705" spans="9:10" x14ac:dyDescent="0.2">
      <c r="I5705" s="1125"/>
      <c r="J5705" s="1125"/>
    </row>
    <row r="5706" spans="9:10" x14ac:dyDescent="0.2">
      <c r="I5706" s="1125"/>
      <c r="J5706" s="1125"/>
    </row>
    <row r="5707" spans="9:10" x14ac:dyDescent="0.2">
      <c r="I5707" s="1125"/>
      <c r="J5707" s="1125"/>
    </row>
    <row r="5708" spans="9:10" x14ac:dyDescent="0.2">
      <c r="I5708" s="1125"/>
      <c r="J5708" s="1125"/>
    </row>
    <row r="5709" spans="9:10" x14ac:dyDescent="0.2">
      <c r="I5709" s="1125"/>
      <c r="J5709" s="1125"/>
    </row>
    <row r="5710" spans="9:10" x14ac:dyDescent="0.2">
      <c r="I5710" s="1125"/>
      <c r="J5710" s="1125"/>
    </row>
    <row r="5711" spans="9:10" x14ac:dyDescent="0.2">
      <c r="I5711" s="1125"/>
      <c r="J5711" s="1125"/>
    </row>
    <row r="5712" spans="9:10" x14ac:dyDescent="0.2">
      <c r="I5712" s="1125"/>
      <c r="J5712" s="1125"/>
    </row>
    <row r="5713" spans="9:10" x14ac:dyDescent="0.2">
      <c r="I5713" s="1125"/>
      <c r="J5713" s="1125"/>
    </row>
    <row r="5714" spans="9:10" x14ac:dyDescent="0.2">
      <c r="I5714" s="1125"/>
      <c r="J5714" s="1125"/>
    </row>
    <row r="5715" spans="9:10" x14ac:dyDescent="0.2">
      <c r="I5715" s="1125"/>
      <c r="J5715" s="1125"/>
    </row>
    <row r="5716" spans="9:10" x14ac:dyDescent="0.2">
      <c r="I5716" s="1125"/>
      <c r="J5716" s="1125"/>
    </row>
    <row r="5717" spans="9:10" x14ac:dyDescent="0.2">
      <c r="I5717" s="1125"/>
      <c r="J5717" s="1125"/>
    </row>
    <row r="5718" spans="9:10" x14ac:dyDescent="0.2">
      <c r="I5718" s="1125"/>
      <c r="J5718" s="1125"/>
    </row>
    <row r="5719" spans="9:10" x14ac:dyDescent="0.2">
      <c r="I5719" s="1125"/>
      <c r="J5719" s="1125"/>
    </row>
    <row r="5720" spans="9:10" x14ac:dyDescent="0.2">
      <c r="I5720" s="1125"/>
      <c r="J5720" s="1125"/>
    </row>
    <row r="5721" spans="9:10" x14ac:dyDescent="0.2">
      <c r="I5721" s="1125"/>
      <c r="J5721" s="1125"/>
    </row>
    <row r="5722" spans="9:10" x14ac:dyDescent="0.2">
      <c r="I5722" s="1125"/>
      <c r="J5722" s="1125"/>
    </row>
    <row r="5723" spans="9:10" x14ac:dyDescent="0.2">
      <c r="I5723" s="1125"/>
      <c r="J5723" s="1125"/>
    </row>
    <row r="5724" spans="9:10" x14ac:dyDescent="0.2">
      <c r="I5724" s="1125"/>
      <c r="J5724" s="1125"/>
    </row>
    <row r="5725" spans="9:10" x14ac:dyDescent="0.2">
      <c r="I5725" s="1125"/>
      <c r="J5725" s="1125"/>
    </row>
    <row r="5726" spans="9:10" x14ac:dyDescent="0.2">
      <c r="I5726" s="1125"/>
      <c r="J5726" s="1125"/>
    </row>
    <row r="5727" spans="9:10" x14ac:dyDescent="0.2">
      <c r="I5727" s="1125"/>
      <c r="J5727" s="1125"/>
    </row>
    <row r="5728" spans="9:10" x14ac:dyDescent="0.2">
      <c r="I5728" s="1125"/>
      <c r="J5728" s="1125"/>
    </row>
    <row r="5729" spans="9:10" x14ac:dyDescent="0.2">
      <c r="I5729" s="1125"/>
      <c r="J5729" s="1125"/>
    </row>
    <row r="5730" spans="9:10" x14ac:dyDescent="0.2">
      <c r="I5730" s="1125"/>
      <c r="J5730" s="1125"/>
    </row>
    <row r="5731" spans="9:10" x14ac:dyDescent="0.2">
      <c r="I5731" s="1125"/>
      <c r="J5731" s="1125"/>
    </row>
    <row r="5732" spans="9:10" x14ac:dyDescent="0.2">
      <c r="I5732" s="1125"/>
      <c r="J5732" s="1125"/>
    </row>
    <row r="5733" spans="9:10" x14ac:dyDescent="0.2">
      <c r="I5733" s="1125"/>
      <c r="J5733" s="1125"/>
    </row>
    <row r="5734" spans="9:10" x14ac:dyDescent="0.2">
      <c r="I5734" s="1125"/>
      <c r="J5734" s="1125"/>
    </row>
    <row r="5735" spans="9:10" x14ac:dyDescent="0.2">
      <c r="I5735" s="1125"/>
      <c r="J5735" s="1125"/>
    </row>
    <row r="5736" spans="9:10" x14ac:dyDescent="0.2">
      <c r="I5736" s="1125"/>
      <c r="J5736" s="1125"/>
    </row>
    <row r="5737" spans="9:10" x14ac:dyDescent="0.2">
      <c r="I5737" s="1125"/>
      <c r="J5737" s="1125"/>
    </row>
    <row r="5738" spans="9:10" x14ac:dyDescent="0.2">
      <c r="I5738" s="1125"/>
      <c r="J5738" s="1125"/>
    </row>
    <row r="5739" spans="9:10" x14ac:dyDescent="0.2">
      <c r="I5739" s="1125"/>
      <c r="J5739" s="1125"/>
    </row>
    <row r="5740" spans="9:10" x14ac:dyDescent="0.2">
      <c r="I5740" s="1125"/>
      <c r="J5740" s="1125"/>
    </row>
    <row r="5741" spans="9:10" x14ac:dyDescent="0.2">
      <c r="I5741" s="1125"/>
      <c r="J5741" s="1125"/>
    </row>
    <row r="5742" spans="9:10" x14ac:dyDescent="0.2">
      <c r="I5742" s="1125"/>
      <c r="J5742" s="1125"/>
    </row>
    <row r="5743" spans="9:10" x14ac:dyDescent="0.2">
      <c r="I5743" s="1125"/>
      <c r="J5743" s="1125"/>
    </row>
    <row r="5744" spans="9:10" x14ac:dyDescent="0.2">
      <c r="I5744" s="1125"/>
      <c r="J5744" s="1125"/>
    </row>
    <row r="5745" spans="9:10" x14ac:dyDescent="0.2">
      <c r="I5745" s="1125"/>
      <c r="J5745" s="1125"/>
    </row>
    <row r="5746" spans="9:10" x14ac:dyDescent="0.2">
      <c r="I5746" s="1125"/>
      <c r="J5746" s="1125"/>
    </row>
    <row r="5747" spans="9:10" x14ac:dyDescent="0.2">
      <c r="I5747" s="1125"/>
      <c r="J5747" s="1125"/>
    </row>
    <row r="5748" spans="9:10" x14ac:dyDescent="0.2">
      <c r="I5748" s="1125"/>
      <c r="J5748" s="1125"/>
    </row>
    <row r="5749" spans="9:10" x14ac:dyDescent="0.2">
      <c r="I5749" s="1125"/>
      <c r="J5749" s="1125"/>
    </row>
    <row r="5750" spans="9:10" x14ac:dyDescent="0.2">
      <c r="I5750" s="1125"/>
      <c r="J5750" s="1125"/>
    </row>
    <row r="5751" spans="9:10" x14ac:dyDescent="0.2">
      <c r="I5751" s="1125"/>
      <c r="J5751" s="1125"/>
    </row>
    <row r="5752" spans="9:10" x14ac:dyDescent="0.2">
      <c r="I5752" s="1125"/>
      <c r="J5752" s="1125"/>
    </row>
    <row r="5753" spans="9:10" x14ac:dyDescent="0.2">
      <c r="I5753" s="1125"/>
      <c r="J5753" s="1125"/>
    </row>
    <row r="5754" spans="9:10" x14ac:dyDescent="0.2">
      <c r="I5754" s="1125"/>
      <c r="J5754" s="1125"/>
    </row>
    <row r="5755" spans="9:10" x14ac:dyDescent="0.2">
      <c r="I5755" s="1125"/>
      <c r="J5755" s="1125"/>
    </row>
    <row r="5756" spans="9:10" x14ac:dyDescent="0.2">
      <c r="I5756" s="1125"/>
      <c r="J5756" s="1125"/>
    </row>
    <row r="5757" spans="9:10" x14ac:dyDescent="0.2">
      <c r="I5757" s="1125"/>
      <c r="J5757" s="1125"/>
    </row>
    <row r="5758" spans="9:10" x14ac:dyDescent="0.2">
      <c r="I5758" s="1125"/>
      <c r="J5758" s="1125"/>
    </row>
    <row r="5759" spans="9:10" x14ac:dyDescent="0.2">
      <c r="I5759" s="1125"/>
      <c r="J5759" s="1125"/>
    </row>
    <row r="5760" spans="9:10" x14ac:dyDescent="0.2">
      <c r="I5760" s="1125"/>
      <c r="J5760" s="1125"/>
    </row>
    <row r="5761" spans="9:10" x14ac:dyDescent="0.2">
      <c r="I5761" s="1125"/>
      <c r="J5761" s="1125"/>
    </row>
    <row r="5762" spans="9:10" x14ac:dyDescent="0.2">
      <c r="I5762" s="1125"/>
      <c r="J5762" s="1125"/>
    </row>
    <row r="5763" spans="9:10" x14ac:dyDescent="0.2">
      <c r="I5763" s="1125"/>
      <c r="J5763" s="1125"/>
    </row>
    <row r="5764" spans="9:10" x14ac:dyDescent="0.2">
      <c r="I5764" s="1125"/>
      <c r="J5764" s="1125"/>
    </row>
    <row r="5765" spans="9:10" x14ac:dyDescent="0.2">
      <c r="I5765" s="1125"/>
      <c r="J5765" s="1125"/>
    </row>
    <row r="5766" spans="9:10" x14ac:dyDescent="0.2">
      <c r="I5766" s="1125"/>
      <c r="J5766" s="1125"/>
    </row>
    <row r="5767" spans="9:10" x14ac:dyDescent="0.2">
      <c r="I5767" s="1125"/>
      <c r="J5767" s="1125"/>
    </row>
    <row r="5768" spans="9:10" x14ac:dyDescent="0.2">
      <c r="I5768" s="1125"/>
      <c r="J5768" s="1125"/>
    </row>
    <row r="5769" spans="9:10" x14ac:dyDescent="0.2">
      <c r="I5769" s="1125"/>
      <c r="J5769" s="1125"/>
    </row>
    <row r="5770" spans="9:10" x14ac:dyDescent="0.2">
      <c r="I5770" s="1125"/>
      <c r="J5770" s="1125"/>
    </row>
    <row r="5771" spans="9:10" x14ac:dyDescent="0.2">
      <c r="I5771" s="1125"/>
      <c r="J5771" s="1125"/>
    </row>
    <row r="5772" spans="9:10" x14ac:dyDescent="0.2">
      <c r="I5772" s="1125"/>
      <c r="J5772" s="1125"/>
    </row>
    <row r="5773" spans="9:10" x14ac:dyDescent="0.2">
      <c r="I5773" s="1125"/>
      <c r="J5773" s="1125"/>
    </row>
    <row r="5774" spans="9:10" x14ac:dyDescent="0.2">
      <c r="I5774" s="1125"/>
      <c r="J5774" s="1125"/>
    </row>
    <row r="5775" spans="9:10" x14ac:dyDescent="0.2">
      <c r="I5775" s="1125"/>
      <c r="J5775" s="1125"/>
    </row>
    <row r="5776" spans="9:10" x14ac:dyDescent="0.2">
      <c r="I5776" s="1125"/>
      <c r="J5776" s="1125"/>
    </row>
    <row r="5777" spans="9:10" x14ac:dyDescent="0.2">
      <c r="I5777" s="1125"/>
      <c r="J5777" s="1125"/>
    </row>
    <row r="5778" spans="9:10" x14ac:dyDescent="0.2">
      <c r="I5778" s="1125"/>
      <c r="J5778" s="1125"/>
    </row>
    <row r="5779" spans="9:10" x14ac:dyDescent="0.2">
      <c r="I5779" s="1125"/>
      <c r="J5779" s="1125"/>
    </row>
    <row r="5780" spans="9:10" x14ac:dyDescent="0.2">
      <c r="I5780" s="1125"/>
      <c r="J5780" s="1125"/>
    </row>
    <row r="5781" spans="9:10" x14ac:dyDescent="0.2">
      <c r="I5781" s="1125"/>
      <c r="J5781" s="1125"/>
    </row>
    <row r="5782" spans="9:10" x14ac:dyDescent="0.2">
      <c r="I5782" s="1125"/>
      <c r="J5782" s="1125"/>
    </row>
    <row r="5783" spans="9:10" x14ac:dyDescent="0.2">
      <c r="I5783" s="1125"/>
      <c r="J5783" s="1125"/>
    </row>
    <row r="5784" spans="9:10" x14ac:dyDescent="0.2">
      <c r="I5784" s="1125"/>
      <c r="J5784" s="1125"/>
    </row>
    <row r="5785" spans="9:10" x14ac:dyDescent="0.2">
      <c r="I5785" s="1125"/>
      <c r="J5785" s="1125"/>
    </row>
    <row r="5786" spans="9:10" x14ac:dyDescent="0.2">
      <c r="I5786" s="1125"/>
      <c r="J5786" s="1125"/>
    </row>
    <row r="5787" spans="9:10" x14ac:dyDescent="0.2">
      <c r="I5787" s="1125"/>
      <c r="J5787" s="1125"/>
    </row>
    <row r="5788" spans="9:10" x14ac:dyDescent="0.2">
      <c r="I5788" s="1125"/>
      <c r="J5788" s="1125"/>
    </row>
    <row r="5789" spans="9:10" x14ac:dyDescent="0.2">
      <c r="I5789" s="1125"/>
      <c r="J5789" s="1125"/>
    </row>
    <row r="5790" spans="9:10" x14ac:dyDescent="0.2">
      <c r="I5790" s="1125"/>
      <c r="J5790" s="1125"/>
    </row>
    <row r="5791" spans="9:10" x14ac:dyDescent="0.2">
      <c r="I5791" s="1125"/>
      <c r="J5791" s="1125"/>
    </row>
    <row r="5792" spans="9:10" x14ac:dyDescent="0.2">
      <c r="I5792" s="1125"/>
      <c r="J5792" s="1125"/>
    </row>
    <row r="5793" spans="9:10" x14ac:dyDescent="0.2">
      <c r="I5793" s="1125"/>
      <c r="J5793" s="1125"/>
    </row>
    <row r="5794" spans="9:10" x14ac:dyDescent="0.2">
      <c r="I5794" s="1125"/>
      <c r="J5794" s="1125"/>
    </row>
    <row r="5795" spans="9:10" x14ac:dyDescent="0.2">
      <c r="I5795" s="1125"/>
      <c r="J5795" s="1125"/>
    </row>
    <row r="5796" spans="9:10" x14ac:dyDescent="0.2">
      <c r="I5796" s="1125"/>
      <c r="J5796" s="1125"/>
    </row>
    <row r="5797" spans="9:10" x14ac:dyDescent="0.2">
      <c r="I5797" s="1125"/>
      <c r="J5797" s="1125"/>
    </row>
    <row r="5798" spans="9:10" x14ac:dyDescent="0.2">
      <c r="I5798" s="1125"/>
      <c r="J5798" s="1125"/>
    </row>
    <row r="5799" spans="9:10" x14ac:dyDescent="0.2">
      <c r="I5799" s="1125"/>
      <c r="J5799" s="1125"/>
    </row>
    <row r="5800" spans="9:10" x14ac:dyDescent="0.2">
      <c r="I5800" s="1125"/>
      <c r="J5800" s="1125"/>
    </row>
    <row r="5801" spans="9:10" x14ac:dyDescent="0.2">
      <c r="I5801" s="1125"/>
      <c r="J5801" s="1125"/>
    </row>
    <row r="5802" spans="9:10" x14ac:dyDescent="0.2">
      <c r="I5802" s="1125"/>
      <c r="J5802" s="1125"/>
    </row>
    <row r="5803" spans="9:10" x14ac:dyDescent="0.2">
      <c r="I5803" s="1125"/>
      <c r="J5803" s="1125"/>
    </row>
    <row r="5804" spans="9:10" x14ac:dyDescent="0.2">
      <c r="I5804" s="1125"/>
      <c r="J5804" s="1125"/>
    </row>
    <row r="5805" spans="9:10" x14ac:dyDescent="0.2">
      <c r="I5805" s="1125"/>
      <c r="J5805" s="1125"/>
    </row>
    <row r="5806" spans="9:10" x14ac:dyDescent="0.2">
      <c r="I5806" s="1125"/>
      <c r="J5806" s="1125"/>
    </row>
    <row r="5807" spans="9:10" x14ac:dyDescent="0.2">
      <c r="I5807" s="1125"/>
      <c r="J5807" s="1125"/>
    </row>
    <row r="5808" spans="9:10" x14ac:dyDescent="0.2">
      <c r="I5808" s="1125"/>
      <c r="J5808" s="1125"/>
    </row>
    <row r="5809" spans="9:10" x14ac:dyDescent="0.2">
      <c r="I5809" s="1125"/>
      <c r="J5809" s="1125"/>
    </row>
    <row r="5810" spans="9:10" x14ac:dyDescent="0.2">
      <c r="I5810" s="1125"/>
      <c r="J5810" s="1125"/>
    </row>
    <row r="5811" spans="9:10" x14ac:dyDescent="0.2">
      <c r="I5811" s="1125"/>
      <c r="J5811" s="1125"/>
    </row>
    <row r="5812" spans="9:10" x14ac:dyDescent="0.2">
      <c r="I5812" s="1125"/>
      <c r="J5812" s="1125"/>
    </row>
    <row r="5813" spans="9:10" x14ac:dyDescent="0.2">
      <c r="I5813" s="1125"/>
      <c r="J5813" s="1125"/>
    </row>
    <row r="5814" spans="9:10" x14ac:dyDescent="0.2">
      <c r="I5814" s="1125"/>
      <c r="J5814" s="1125"/>
    </row>
    <row r="5815" spans="9:10" x14ac:dyDescent="0.2">
      <c r="I5815" s="1125"/>
      <c r="J5815" s="1125"/>
    </row>
    <row r="5816" spans="9:10" x14ac:dyDescent="0.2">
      <c r="I5816" s="1125"/>
      <c r="J5816" s="1125"/>
    </row>
    <row r="5817" spans="9:10" x14ac:dyDescent="0.2">
      <c r="I5817" s="1125"/>
      <c r="J5817" s="1125"/>
    </row>
    <row r="5818" spans="9:10" x14ac:dyDescent="0.2">
      <c r="I5818" s="1125"/>
      <c r="J5818" s="1125"/>
    </row>
    <row r="5819" spans="9:10" x14ac:dyDescent="0.2">
      <c r="I5819" s="1125"/>
      <c r="J5819" s="1125"/>
    </row>
    <row r="5820" spans="9:10" x14ac:dyDescent="0.2">
      <c r="I5820" s="1125"/>
      <c r="J5820" s="1125"/>
    </row>
    <row r="5821" spans="9:10" x14ac:dyDescent="0.2">
      <c r="I5821" s="1125"/>
      <c r="J5821" s="1125"/>
    </row>
    <row r="5822" spans="9:10" x14ac:dyDescent="0.2">
      <c r="I5822" s="1125"/>
      <c r="J5822" s="1125"/>
    </row>
    <row r="5823" spans="9:10" x14ac:dyDescent="0.2">
      <c r="I5823" s="1125"/>
      <c r="J5823" s="1125"/>
    </row>
    <row r="5824" spans="9:10" x14ac:dyDescent="0.2">
      <c r="I5824" s="1125"/>
      <c r="J5824" s="1125"/>
    </row>
    <row r="5825" spans="9:10" x14ac:dyDescent="0.2">
      <c r="I5825" s="1125"/>
      <c r="J5825" s="1125"/>
    </row>
    <row r="5826" spans="9:10" x14ac:dyDescent="0.2">
      <c r="I5826" s="1125"/>
      <c r="J5826" s="1125"/>
    </row>
    <row r="5827" spans="9:10" x14ac:dyDescent="0.2">
      <c r="I5827" s="1125"/>
      <c r="J5827" s="1125"/>
    </row>
    <row r="5828" spans="9:10" x14ac:dyDescent="0.2">
      <c r="I5828" s="1125"/>
      <c r="J5828" s="1125"/>
    </row>
    <row r="5829" spans="9:10" x14ac:dyDescent="0.2">
      <c r="I5829" s="1125"/>
      <c r="J5829" s="1125"/>
    </row>
    <row r="5830" spans="9:10" x14ac:dyDescent="0.2">
      <c r="I5830" s="1125"/>
      <c r="J5830" s="1125"/>
    </row>
    <row r="5831" spans="9:10" x14ac:dyDescent="0.2">
      <c r="I5831" s="1125"/>
      <c r="J5831" s="1125"/>
    </row>
    <row r="5832" spans="9:10" x14ac:dyDescent="0.2">
      <c r="I5832" s="1125"/>
      <c r="J5832" s="1125"/>
    </row>
    <row r="5833" spans="9:10" x14ac:dyDescent="0.2">
      <c r="I5833" s="1125"/>
      <c r="J5833" s="1125"/>
    </row>
    <row r="5834" spans="9:10" x14ac:dyDescent="0.2">
      <c r="I5834" s="1125"/>
      <c r="J5834" s="1125"/>
    </row>
    <row r="5835" spans="9:10" x14ac:dyDescent="0.2">
      <c r="I5835" s="1125"/>
      <c r="J5835" s="1125"/>
    </row>
    <row r="5836" spans="9:10" x14ac:dyDescent="0.2">
      <c r="I5836" s="1125"/>
      <c r="J5836" s="1125"/>
    </row>
    <row r="5837" spans="9:10" x14ac:dyDescent="0.2">
      <c r="I5837" s="1125"/>
      <c r="J5837" s="1125"/>
    </row>
    <row r="5838" spans="9:10" x14ac:dyDescent="0.2">
      <c r="I5838" s="1125"/>
      <c r="J5838" s="1125"/>
    </row>
    <row r="5839" spans="9:10" x14ac:dyDescent="0.2">
      <c r="I5839" s="1125"/>
      <c r="J5839" s="1125"/>
    </row>
    <row r="5840" spans="9:10" x14ac:dyDescent="0.2">
      <c r="I5840" s="1125"/>
      <c r="J5840" s="1125"/>
    </row>
    <row r="5841" spans="9:10" x14ac:dyDescent="0.2">
      <c r="I5841" s="1125"/>
      <c r="J5841" s="1125"/>
    </row>
    <row r="5842" spans="9:10" x14ac:dyDescent="0.2">
      <c r="I5842" s="1125"/>
      <c r="J5842" s="1125"/>
    </row>
    <row r="5843" spans="9:10" x14ac:dyDescent="0.2">
      <c r="I5843" s="1125"/>
      <c r="J5843" s="1125"/>
    </row>
    <row r="5844" spans="9:10" x14ac:dyDescent="0.2">
      <c r="I5844" s="1125"/>
      <c r="J5844" s="1125"/>
    </row>
    <row r="5845" spans="9:10" x14ac:dyDescent="0.2">
      <c r="I5845" s="1125"/>
      <c r="J5845" s="1125"/>
    </row>
    <row r="5846" spans="9:10" x14ac:dyDescent="0.2">
      <c r="I5846" s="1125"/>
      <c r="J5846" s="1125"/>
    </row>
    <row r="5847" spans="9:10" x14ac:dyDescent="0.2">
      <c r="I5847" s="1125"/>
      <c r="J5847" s="1125"/>
    </row>
    <row r="5848" spans="9:10" x14ac:dyDescent="0.2">
      <c r="I5848" s="1125"/>
      <c r="J5848" s="1125"/>
    </row>
    <row r="5849" spans="9:10" x14ac:dyDescent="0.2">
      <c r="I5849" s="1125"/>
      <c r="J5849" s="1125"/>
    </row>
    <row r="5850" spans="9:10" x14ac:dyDescent="0.2">
      <c r="I5850" s="1125"/>
      <c r="J5850" s="1125"/>
    </row>
    <row r="5851" spans="9:10" x14ac:dyDescent="0.2">
      <c r="I5851" s="1125"/>
      <c r="J5851" s="1125"/>
    </row>
    <row r="5852" spans="9:10" x14ac:dyDescent="0.2">
      <c r="I5852" s="1125"/>
      <c r="J5852" s="1125"/>
    </row>
    <row r="5853" spans="9:10" x14ac:dyDescent="0.2">
      <c r="I5853" s="1125"/>
      <c r="J5853" s="1125"/>
    </row>
    <row r="5854" spans="9:10" x14ac:dyDescent="0.2">
      <c r="I5854" s="1125"/>
      <c r="J5854" s="1125"/>
    </row>
    <row r="5855" spans="9:10" x14ac:dyDescent="0.2">
      <c r="I5855" s="1125"/>
      <c r="J5855" s="1125"/>
    </row>
    <row r="5856" spans="9:10" x14ac:dyDescent="0.2">
      <c r="I5856" s="1125"/>
      <c r="J5856" s="1125"/>
    </row>
    <row r="5857" spans="9:10" x14ac:dyDescent="0.2">
      <c r="I5857" s="1125"/>
      <c r="J5857" s="1125"/>
    </row>
    <row r="5858" spans="9:10" x14ac:dyDescent="0.2">
      <c r="I5858" s="1125"/>
      <c r="J5858" s="1125"/>
    </row>
    <row r="5859" spans="9:10" x14ac:dyDescent="0.2">
      <c r="I5859" s="1125"/>
      <c r="J5859" s="1125"/>
    </row>
    <row r="5860" spans="9:10" x14ac:dyDescent="0.2">
      <c r="I5860" s="1125"/>
      <c r="J5860" s="1125"/>
    </row>
    <row r="5861" spans="9:10" x14ac:dyDescent="0.2">
      <c r="I5861" s="1125"/>
      <c r="J5861" s="1125"/>
    </row>
    <row r="5862" spans="9:10" x14ac:dyDescent="0.2">
      <c r="I5862" s="1125"/>
      <c r="J5862" s="1125"/>
    </row>
    <row r="5863" spans="9:10" x14ac:dyDescent="0.2">
      <c r="I5863" s="1125"/>
      <c r="J5863" s="1125"/>
    </row>
    <row r="5864" spans="9:10" x14ac:dyDescent="0.2">
      <c r="I5864" s="1125"/>
      <c r="J5864" s="1125"/>
    </row>
    <row r="5865" spans="9:10" x14ac:dyDescent="0.2">
      <c r="I5865" s="1125"/>
      <c r="J5865" s="1125"/>
    </row>
    <row r="5866" spans="9:10" x14ac:dyDescent="0.2">
      <c r="I5866" s="1125"/>
      <c r="J5866" s="1125"/>
    </row>
    <row r="5867" spans="9:10" x14ac:dyDescent="0.2">
      <c r="I5867" s="1125"/>
      <c r="J5867" s="1125"/>
    </row>
    <row r="5868" spans="9:10" x14ac:dyDescent="0.2">
      <c r="I5868" s="1125"/>
      <c r="J5868" s="1125"/>
    </row>
    <row r="5869" spans="9:10" x14ac:dyDescent="0.2">
      <c r="I5869" s="1125"/>
      <c r="J5869" s="1125"/>
    </row>
    <row r="5870" spans="9:10" x14ac:dyDescent="0.2">
      <c r="I5870" s="1125"/>
      <c r="J5870" s="1125"/>
    </row>
    <row r="5871" spans="9:10" x14ac:dyDescent="0.2">
      <c r="I5871" s="1125"/>
      <c r="J5871" s="1125"/>
    </row>
    <row r="5872" spans="9:10" x14ac:dyDescent="0.2">
      <c r="I5872" s="1125"/>
      <c r="J5872" s="1125"/>
    </row>
    <row r="5873" spans="9:10" x14ac:dyDescent="0.2">
      <c r="I5873" s="1125"/>
      <c r="J5873" s="1125"/>
    </row>
    <row r="5874" spans="9:10" x14ac:dyDescent="0.2">
      <c r="I5874" s="1125"/>
      <c r="J5874" s="1125"/>
    </row>
    <row r="5875" spans="9:10" x14ac:dyDescent="0.2">
      <c r="I5875" s="1125"/>
      <c r="J5875" s="1125"/>
    </row>
    <row r="5876" spans="9:10" x14ac:dyDescent="0.2">
      <c r="I5876" s="1125"/>
      <c r="J5876" s="1125"/>
    </row>
    <row r="5877" spans="9:10" x14ac:dyDescent="0.2">
      <c r="I5877" s="1125"/>
      <c r="J5877" s="1125"/>
    </row>
    <row r="5878" spans="9:10" x14ac:dyDescent="0.2">
      <c r="I5878" s="1125"/>
      <c r="J5878" s="1125"/>
    </row>
    <row r="5879" spans="9:10" x14ac:dyDescent="0.2">
      <c r="I5879" s="1125"/>
      <c r="J5879" s="1125"/>
    </row>
    <row r="5880" spans="9:10" x14ac:dyDescent="0.2">
      <c r="I5880" s="1125"/>
      <c r="J5880" s="1125"/>
    </row>
    <row r="5881" spans="9:10" x14ac:dyDescent="0.2">
      <c r="I5881" s="1125"/>
      <c r="J5881" s="1125"/>
    </row>
    <row r="5882" spans="9:10" x14ac:dyDescent="0.2">
      <c r="I5882" s="1125"/>
      <c r="J5882" s="1125"/>
    </row>
    <row r="5883" spans="9:10" x14ac:dyDescent="0.2">
      <c r="I5883" s="1125"/>
      <c r="J5883" s="1125"/>
    </row>
    <row r="5884" spans="9:10" x14ac:dyDescent="0.2">
      <c r="I5884" s="1125"/>
      <c r="J5884" s="1125"/>
    </row>
    <row r="5885" spans="9:10" x14ac:dyDescent="0.2">
      <c r="I5885" s="1125"/>
      <c r="J5885" s="1125"/>
    </row>
    <row r="5886" spans="9:10" x14ac:dyDescent="0.2">
      <c r="I5886" s="1125"/>
      <c r="J5886" s="1125"/>
    </row>
    <row r="5887" spans="9:10" x14ac:dyDescent="0.2">
      <c r="I5887" s="1125"/>
      <c r="J5887" s="1125"/>
    </row>
    <row r="5888" spans="9:10" x14ac:dyDescent="0.2">
      <c r="I5888" s="1125"/>
      <c r="J5888" s="1125"/>
    </row>
    <row r="5889" spans="9:10" x14ac:dyDescent="0.2">
      <c r="I5889" s="1125"/>
      <c r="J5889" s="1125"/>
    </row>
    <row r="5890" spans="9:10" x14ac:dyDescent="0.2">
      <c r="I5890" s="1125"/>
      <c r="J5890" s="1125"/>
    </row>
    <row r="5891" spans="9:10" x14ac:dyDescent="0.2">
      <c r="I5891" s="1125"/>
      <c r="J5891" s="1125"/>
    </row>
    <row r="5892" spans="9:10" x14ac:dyDescent="0.2">
      <c r="I5892" s="1125"/>
      <c r="J5892" s="1125"/>
    </row>
    <row r="5893" spans="9:10" x14ac:dyDescent="0.2">
      <c r="I5893" s="1125"/>
      <c r="J5893" s="1125"/>
    </row>
    <row r="5894" spans="9:10" x14ac:dyDescent="0.2">
      <c r="I5894" s="1125"/>
      <c r="J5894" s="1125"/>
    </row>
    <row r="5895" spans="9:10" x14ac:dyDescent="0.2">
      <c r="I5895" s="1125"/>
      <c r="J5895" s="1125"/>
    </row>
    <row r="5896" spans="9:10" x14ac:dyDescent="0.2">
      <c r="I5896" s="1125"/>
      <c r="J5896" s="1125"/>
    </row>
    <row r="5897" spans="9:10" x14ac:dyDescent="0.2">
      <c r="I5897" s="1125"/>
      <c r="J5897" s="1125"/>
    </row>
    <row r="5898" spans="9:10" x14ac:dyDescent="0.2">
      <c r="I5898" s="1125"/>
      <c r="J5898" s="1125"/>
    </row>
    <row r="5899" spans="9:10" x14ac:dyDescent="0.2">
      <c r="I5899" s="1125"/>
      <c r="J5899" s="1125"/>
    </row>
    <row r="5900" spans="9:10" x14ac:dyDescent="0.2">
      <c r="I5900" s="1125"/>
      <c r="J5900" s="1125"/>
    </row>
    <row r="5901" spans="9:10" x14ac:dyDescent="0.2">
      <c r="I5901" s="1125"/>
      <c r="J5901" s="1125"/>
    </row>
    <row r="5902" spans="9:10" x14ac:dyDescent="0.2">
      <c r="I5902" s="1125"/>
      <c r="J5902" s="1125"/>
    </row>
    <row r="5903" spans="9:10" x14ac:dyDescent="0.2">
      <c r="I5903" s="1125"/>
      <c r="J5903" s="1125"/>
    </row>
    <row r="5904" spans="9:10" x14ac:dyDescent="0.2">
      <c r="I5904" s="1125"/>
      <c r="J5904" s="1125"/>
    </row>
    <row r="5905" spans="9:10" x14ac:dyDescent="0.2">
      <c r="I5905" s="1125"/>
      <c r="J5905" s="1125"/>
    </row>
    <row r="5906" spans="9:10" x14ac:dyDescent="0.2">
      <c r="I5906" s="1125"/>
      <c r="J5906" s="1125"/>
    </row>
    <row r="5907" spans="9:10" x14ac:dyDescent="0.2">
      <c r="I5907" s="1125"/>
      <c r="J5907" s="1125"/>
    </row>
    <row r="5908" spans="9:10" x14ac:dyDescent="0.2">
      <c r="I5908" s="1125"/>
      <c r="J5908" s="1125"/>
    </row>
    <row r="5909" spans="9:10" x14ac:dyDescent="0.2">
      <c r="I5909" s="1125"/>
      <c r="J5909" s="1125"/>
    </row>
    <row r="5910" spans="9:10" x14ac:dyDescent="0.2">
      <c r="I5910" s="1125"/>
      <c r="J5910" s="1125"/>
    </row>
    <row r="5911" spans="9:10" x14ac:dyDescent="0.2">
      <c r="I5911" s="1125"/>
      <c r="J5911" s="1125"/>
    </row>
    <row r="5912" spans="9:10" x14ac:dyDescent="0.2">
      <c r="I5912" s="1125"/>
      <c r="J5912" s="1125"/>
    </row>
    <row r="5913" spans="9:10" x14ac:dyDescent="0.2">
      <c r="I5913" s="1125"/>
      <c r="J5913" s="1125"/>
    </row>
    <row r="5914" spans="9:10" x14ac:dyDescent="0.2">
      <c r="I5914" s="1125"/>
      <c r="J5914" s="1125"/>
    </row>
    <row r="5915" spans="9:10" x14ac:dyDescent="0.2">
      <c r="I5915" s="1125"/>
      <c r="J5915" s="1125"/>
    </row>
    <row r="5916" spans="9:10" x14ac:dyDescent="0.2">
      <c r="I5916" s="1125"/>
      <c r="J5916" s="1125"/>
    </row>
    <row r="5917" spans="9:10" x14ac:dyDescent="0.2">
      <c r="I5917" s="1125"/>
      <c r="J5917" s="1125"/>
    </row>
    <row r="5918" spans="9:10" x14ac:dyDescent="0.2">
      <c r="I5918" s="1125"/>
      <c r="J5918" s="1125"/>
    </row>
    <row r="5919" spans="9:10" x14ac:dyDescent="0.2">
      <c r="I5919" s="1125"/>
      <c r="J5919" s="1125"/>
    </row>
    <row r="5920" spans="9:10" x14ac:dyDescent="0.2">
      <c r="I5920" s="1125"/>
      <c r="J5920" s="1125"/>
    </row>
    <row r="5921" spans="9:10" x14ac:dyDescent="0.2">
      <c r="I5921" s="1125"/>
      <c r="J5921" s="1125"/>
    </row>
    <row r="5922" spans="9:10" x14ac:dyDescent="0.2">
      <c r="I5922" s="1125"/>
      <c r="J5922" s="1125"/>
    </row>
    <row r="5923" spans="9:10" x14ac:dyDescent="0.2">
      <c r="I5923" s="1125"/>
      <c r="J5923" s="1125"/>
    </row>
    <row r="5924" spans="9:10" x14ac:dyDescent="0.2">
      <c r="I5924" s="1125"/>
      <c r="J5924" s="1125"/>
    </row>
    <row r="5925" spans="9:10" x14ac:dyDescent="0.2">
      <c r="I5925" s="1125"/>
      <c r="J5925" s="1125"/>
    </row>
    <row r="5926" spans="9:10" x14ac:dyDescent="0.2">
      <c r="I5926" s="1125"/>
      <c r="J5926" s="1125"/>
    </row>
    <row r="5927" spans="9:10" x14ac:dyDescent="0.2">
      <c r="I5927" s="1125"/>
      <c r="J5927" s="1125"/>
    </row>
    <row r="5928" spans="9:10" x14ac:dyDescent="0.2">
      <c r="I5928" s="1125"/>
      <c r="J5928" s="1125"/>
    </row>
    <row r="5929" spans="9:10" x14ac:dyDescent="0.2">
      <c r="I5929" s="1125"/>
      <c r="J5929" s="1125"/>
    </row>
    <row r="5930" spans="9:10" x14ac:dyDescent="0.2">
      <c r="I5930" s="1125"/>
      <c r="J5930" s="1125"/>
    </row>
    <row r="5931" spans="9:10" x14ac:dyDescent="0.2">
      <c r="I5931" s="1125"/>
      <c r="J5931" s="1125"/>
    </row>
    <row r="5932" spans="9:10" x14ac:dyDescent="0.2">
      <c r="I5932" s="1125"/>
      <c r="J5932" s="1125"/>
    </row>
    <row r="5933" spans="9:10" x14ac:dyDescent="0.2">
      <c r="I5933" s="1125"/>
      <c r="J5933" s="1125"/>
    </row>
    <row r="5934" spans="9:10" x14ac:dyDescent="0.2">
      <c r="I5934" s="1125"/>
      <c r="J5934" s="1125"/>
    </row>
    <row r="5935" spans="9:10" x14ac:dyDescent="0.2">
      <c r="I5935" s="1125"/>
      <c r="J5935" s="1125"/>
    </row>
    <row r="5936" spans="9:10" x14ac:dyDescent="0.2">
      <c r="I5936" s="1125"/>
      <c r="J5936" s="1125"/>
    </row>
    <row r="5937" spans="9:10" x14ac:dyDescent="0.2">
      <c r="I5937" s="1125"/>
      <c r="J5937" s="1125"/>
    </row>
    <row r="5938" spans="9:10" x14ac:dyDescent="0.2">
      <c r="I5938" s="1125"/>
      <c r="J5938" s="1125"/>
    </row>
    <row r="5939" spans="9:10" x14ac:dyDescent="0.2">
      <c r="I5939" s="1125"/>
      <c r="J5939" s="1125"/>
    </row>
    <row r="5940" spans="9:10" x14ac:dyDescent="0.2">
      <c r="I5940" s="1125"/>
      <c r="J5940" s="1125"/>
    </row>
    <row r="5941" spans="9:10" x14ac:dyDescent="0.2">
      <c r="I5941" s="1125"/>
      <c r="J5941" s="1125"/>
    </row>
    <row r="5942" spans="9:10" x14ac:dyDescent="0.2">
      <c r="I5942" s="1125"/>
      <c r="J5942" s="1125"/>
    </row>
    <row r="5943" spans="9:10" x14ac:dyDescent="0.2">
      <c r="I5943" s="1125"/>
      <c r="J5943" s="1125"/>
    </row>
    <row r="5944" spans="9:10" x14ac:dyDescent="0.2">
      <c r="I5944" s="1125"/>
      <c r="J5944" s="1125"/>
    </row>
    <row r="5945" spans="9:10" x14ac:dyDescent="0.2">
      <c r="I5945" s="1125"/>
      <c r="J5945" s="1125"/>
    </row>
    <row r="5946" spans="9:10" x14ac:dyDescent="0.2">
      <c r="I5946" s="1125"/>
      <c r="J5946" s="1125"/>
    </row>
    <row r="5947" spans="9:10" x14ac:dyDescent="0.2">
      <c r="I5947" s="1125"/>
      <c r="J5947" s="1125"/>
    </row>
    <row r="5948" spans="9:10" x14ac:dyDescent="0.2">
      <c r="I5948" s="1125"/>
      <c r="J5948" s="1125"/>
    </row>
    <row r="5949" spans="9:10" x14ac:dyDescent="0.2">
      <c r="I5949" s="1125"/>
      <c r="J5949" s="1125"/>
    </row>
    <row r="5950" spans="9:10" x14ac:dyDescent="0.2">
      <c r="I5950" s="1125"/>
      <c r="J5950" s="1125"/>
    </row>
    <row r="5951" spans="9:10" x14ac:dyDescent="0.2">
      <c r="I5951" s="1125"/>
      <c r="J5951" s="1125"/>
    </row>
    <row r="5952" spans="9:10" x14ac:dyDescent="0.2">
      <c r="I5952" s="1125"/>
      <c r="J5952" s="1125"/>
    </row>
    <row r="5953" spans="9:10" x14ac:dyDescent="0.2">
      <c r="I5953" s="1125"/>
      <c r="J5953" s="1125"/>
    </row>
    <row r="5954" spans="9:10" x14ac:dyDescent="0.2">
      <c r="I5954" s="1125"/>
      <c r="J5954" s="1125"/>
    </row>
    <row r="5955" spans="9:10" x14ac:dyDescent="0.2">
      <c r="I5955" s="1125"/>
      <c r="J5955" s="1125"/>
    </row>
    <row r="5956" spans="9:10" x14ac:dyDescent="0.2">
      <c r="I5956" s="1125"/>
      <c r="J5956" s="1125"/>
    </row>
    <row r="5957" spans="9:10" x14ac:dyDescent="0.2">
      <c r="I5957" s="1125"/>
      <c r="J5957" s="1125"/>
    </row>
    <row r="5958" spans="9:10" x14ac:dyDescent="0.2">
      <c r="I5958" s="1125"/>
      <c r="J5958" s="1125"/>
    </row>
    <row r="5959" spans="9:10" x14ac:dyDescent="0.2">
      <c r="I5959" s="1125"/>
      <c r="J5959" s="1125"/>
    </row>
    <row r="5960" spans="9:10" x14ac:dyDescent="0.2">
      <c r="I5960" s="1125"/>
      <c r="J5960" s="1125"/>
    </row>
    <row r="5961" spans="9:10" x14ac:dyDescent="0.2">
      <c r="I5961" s="1125"/>
      <c r="J5961" s="1125"/>
    </row>
    <row r="5962" spans="9:10" x14ac:dyDescent="0.2">
      <c r="I5962" s="1125"/>
      <c r="J5962" s="1125"/>
    </row>
    <row r="5963" spans="9:10" x14ac:dyDescent="0.2">
      <c r="I5963" s="1125"/>
      <c r="J5963" s="1125"/>
    </row>
    <row r="5964" spans="9:10" x14ac:dyDescent="0.2">
      <c r="I5964" s="1125"/>
      <c r="J5964" s="1125"/>
    </row>
    <row r="5965" spans="9:10" x14ac:dyDescent="0.2">
      <c r="I5965" s="1125"/>
      <c r="J5965" s="1125"/>
    </row>
    <row r="5966" spans="9:10" x14ac:dyDescent="0.2">
      <c r="I5966" s="1125"/>
      <c r="J5966" s="1125"/>
    </row>
    <row r="5967" spans="9:10" x14ac:dyDescent="0.2">
      <c r="I5967" s="1125"/>
      <c r="J5967" s="1125"/>
    </row>
    <row r="5968" spans="9:10" x14ac:dyDescent="0.2">
      <c r="I5968" s="1125"/>
      <c r="J5968" s="1125"/>
    </row>
    <row r="5969" spans="9:10" x14ac:dyDescent="0.2">
      <c r="I5969" s="1125"/>
      <c r="J5969" s="1125"/>
    </row>
    <row r="5970" spans="9:10" x14ac:dyDescent="0.2">
      <c r="I5970" s="1125"/>
      <c r="J5970" s="1125"/>
    </row>
    <row r="5971" spans="9:10" x14ac:dyDescent="0.2">
      <c r="I5971" s="1125"/>
      <c r="J5971" s="1125"/>
    </row>
    <row r="5972" spans="9:10" x14ac:dyDescent="0.2">
      <c r="I5972" s="1125"/>
      <c r="J5972" s="1125"/>
    </row>
    <row r="5973" spans="9:10" x14ac:dyDescent="0.2">
      <c r="I5973" s="1125"/>
      <c r="J5973" s="1125"/>
    </row>
    <row r="5974" spans="9:10" x14ac:dyDescent="0.2">
      <c r="I5974" s="1125"/>
      <c r="J5974" s="1125"/>
    </row>
    <row r="5975" spans="9:10" x14ac:dyDescent="0.2">
      <c r="I5975" s="1125"/>
      <c r="J5975" s="1125"/>
    </row>
    <row r="5976" spans="9:10" x14ac:dyDescent="0.2">
      <c r="I5976" s="1125"/>
      <c r="J5976" s="1125"/>
    </row>
    <row r="5977" spans="9:10" x14ac:dyDescent="0.2">
      <c r="I5977" s="1125"/>
      <c r="J5977" s="1125"/>
    </row>
    <row r="5978" spans="9:10" x14ac:dyDescent="0.2">
      <c r="I5978" s="1125"/>
      <c r="J5978" s="1125"/>
    </row>
    <row r="5979" spans="9:10" x14ac:dyDescent="0.2">
      <c r="I5979" s="1125"/>
      <c r="J5979" s="1125"/>
    </row>
    <row r="5980" spans="9:10" x14ac:dyDescent="0.2">
      <c r="I5980" s="1125"/>
      <c r="J5980" s="1125"/>
    </row>
    <row r="5981" spans="9:10" x14ac:dyDescent="0.2">
      <c r="I5981" s="1125"/>
      <c r="J5981" s="1125"/>
    </row>
    <row r="5982" spans="9:10" x14ac:dyDescent="0.2">
      <c r="I5982" s="1125"/>
      <c r="J5982" s="1125"/>
    </row>
    <row r="5983" spans="9:10" x14ac:dyDescent="0.2">
      <c r="I5983" s="1125"/>
      <c r="J5983" s="1125"/>
    </row>
    <row r="5984" spans="9:10" x14ac:dyDescent="0.2">
      <c r="I5984" s="1125"/>
      <c r="J5984" s="1125"/>
    </row>
    <row r="5985" spans="9:10" x14ac:dyDescent="0.2">
      <c r="I5985" s="1125"/>
      <c r="J5985" s="1125"/>
    </row>
    <row r="5986" spans="9:10" x14ac:dyDescent="0.2">
      <c r="I5986" s="1125"/>
      <c r="J5986" s="1125"/>
    </row>
    <row r="5987" spans="9:10" x14ac:dyDescent="0.2">
      <c r="I5987" s="1125"/>
      <c r="J5987" s="1125"/>
    </row>
    <row r="5988" spans="9:10" x14ac:dyDescent="0.2">
      <c r="I5988" s="1125"/>
      <c r="J5988" s="1125"/>
    </row>
    <row r="5989" spans="9:10" x14ac:dyDescent="0.2">
      <c r="I5989" s="1125"/>
      <c r="J5989" s="1125"/>
    </row>
    <row r="5990" spans="9:10" x14ac:dyDescent="0.2">
      <c r="I5990" s="1125"/>
      <c r="J5990" s="1125"/>
    </row>
    <row r="5991" spans="9:10" x14ac:dyDescent="0.2">
      <c r="I5991" s="1125"/>
      <c r="J5991" s="1125"/>
    </row>
    <row r="5992" spans="9:10" x14ac:dyDescent="0.2">
      <c r="I5992" s="1125"/>
      <c r="J5992" s="1125"/>
    </row>
    <row r="5993" spans="9:10" x14ac:dyDescent="0.2">
      <c r="I5993" s="1125"/>
      <c r="J5993" s="1125"/>
    </row>
    <row r="5994" spans="9:10" x14ac:dyDescent="0.2">
      <c r="I5994" s="1125"/>
      <c r="J5994" s="1125"/>
    </row>
    <row r="5995" spans="9:10" x14ac:dyDescent="0.2">
      <c r="I5995" s="1125"/>
      <c r="J5995" s="1125"/>
    </row>
    <row r="5996" spans="9:10" x14ac:dyDescent="0.2">
      <c r="I5996" s="1125"/>
      <c r="J5996" s="1125"/>
    </row>
    <row r="5997" spans="9:10" x14ac:dyDescent="0.2">
      <c r="I5997" s="1125"/>
      <c r="J5997" s="1125"/>
    </row>
    <row r="5998" spans="9:10" x14ac:dyDescent="0.2">
      <c r="I5998" s="1125"/>
      <c r="J5998" s="1125"/>
    </row>
    <row r="5999" spans="9:10" x14ac:dyDescent="0.2">
      <c r="I5999" s="1125"/>
      <c r="J5999" s="1125"/>
    </row>
    <row r="6000" spans="9:10" x14ac:dyDescent="0.2">
      <c r="I6000" s="1125"/>
      <c r="J6000" s="1125"/>
    </row>
    <row r="6001" spans="9:10" x14ac:dyDescent="0.2">
      <c r="I6001" s="1125"/>
      <c r="J6001" s="1125"/>
    </row>
    <row r="6002" spans="9:10" x14ac:dyDescent="0.2">
      <c r="I6002" s="1125"/>
      <c r="J6002" s="1125"/>
    </row>
    <row r="6003" spans="9:10" x14ac:dyDescent="0.2">
      <c r="I6003" s="1125"/>
      <c r="J6003" s="1125"/>
    </row>
    <row r="6004" spans="9:10" x14ac:dyDescent="0.2">
      <c r="I6004" s="1125"/>
      <c r="J6004" s="1125"/>
    </row>
    <row r="6005" spans="9:10" x14ac:dyDescent="0.2">
      <c r="I6005" s="1125"/>
      <c r="J6005" s="1125"/>
    </row>
    <row r="6006" spans="9:10" x14ac:dyDescent="0.2">
      <c r="I6006" s="1125"/>
      <c r="J6006" s="1125"/>
    </row>
    <row r="6007" spans="9:10" x14ac:dyDescent="0.2">
      <c r="I6007" s="1125"/>
      <c r="J6007" s="1125"/>
    </row>
    <row r="6008" spans="9:10" x14ac:dyDescent="0.2">
      <c r="I6008" s="1125"/>
      <c r="J6008" s="1125"/>
    </row>
    <row r="6009" spans="9:10" x14ac:dyDescent="0.2">
      <c r="I6009" s="1125"/>
      <c r="J6009" s="1125"/>
    </row>
    <row r="6010" spans="9:10" x14ac:dyDescent="0.2">
      <c r="I6010" s="1125"/>
      <c r="J6010" s="1125"/>
    </row>
    <row r="6011" spans="9:10" x14ac:dyDescent="0.2">
      <c r="I6011" s="1125"/>
      <c r="J6011" s="1125"/>
    </row>
    <row r="6012" spans="9:10" x14ac:dyDescent="0.2">
      <c r="I6012" s="1125"/>
      <c r="J6012" s="1125"/>
    </row>
    <row r="6013" spans="9:10" x14ac:dyDescent="0.2">
      <c r="I6013" s="1125"/>
      <c r="J6013" s="1125"/>
    </row>
    <row r="6014" spans="9:10" x14ac:dyDescent="0.2">
      <c r="I6014" s="1125"/>
      <c r="J6014" s="1125"/>
    </row>
    <row r="6015" spans="9:10" x14ac:dyDescent="0.2">
      <c r="I6015" s="1125"/>
      <c r="J6015" s="1125"/>
    </row>
    <row r="6016" spans="9:10" x14ac:dyDescent="0.2">
      <c r="I6016" s="1125"/>
      <c r="J6016" s="1125"/>
    </row>
    <row r="6017" spans="9:10" x14ac:dyDescent="0.2">
      <c r="I6017" s="1125"/>
      <c r="J6017" s="1125"/>
    </row>
    <row r="6018" spans="9:10" x14ac:dyDescent="0.2">
      <c r="I6018" s="1125"/>
      <c r="J6018" s="1125"/>
    </row>
    <row r="6019" spans="9:10" x14ac:dyDescent="0.2">
      <c r="I6019" s="1125"/>
      <c r="J6019" s="1125"/>
    </row>
    <row r="6020" spans="9:10" x14ac:dyDescent="0.2">
      <c r="I6020" s="1125"/>
      <c r="J6020" s="1125"/>
    </row>
    <row r="6021" spans="9:10" x14ac:dyDescent="0.2">
      <c r="I6021" s="1125"/>
      <c r="J6021" s="1125"/>
    </row>
    <row r="6022" spans="9:10" x14ac:dyDescent="0.2">
      <c r="I6022" s="1125"/>
      <c r="J6022" s="1125"/>
    </row>
    <row r="6023" spans="9:10" x14ac:dyDescent="0.2">
      <c r="I6023" s="1125"/>
      <c r="J6023" s="1125"/>
    </row>
    <row r="6024" spans="9:10" x14ac:dyDescent="0.2">
      <c r="I6024" s="1125"/>
      <c r="J6024" s="1125"/>
    </row>
    <row r="6025" spans="9:10" x14ac:dyDescent="0.2">
      <c r="I6025" s="1125"/>
      <c r="J6025" s="1125"/>
    </row>
    <row r="6026" spans="9:10" x14ac:dyDescent="0.2">
      <c r="I6026" s="1125"/>
      <c r="J6026" s="1125"/>
    </row>
    <row r="6027" spans="9:10" x14ac:dyDescent="0.2">
      <c r="I6027" s="1125"/>
      <c r="J6027" s="1125"/>
    </row>
    <row r="6028" spans="9:10" x14ac:dyDescent="0.2">
      <c r="I6028" s="1125"/>
      <c r="J6028" s="1125"/>
    </row>
    <row r="6029" spans="9:10" x14ac:dyDescent="0.2">
      <c r="I6029" s="1125"/>
      <c r="J6029" s="1125"/>
    </row>
    <row r="6030" spans="9:10" x14ac:dyDescent="0.2">
      <c r="I6030" s="1125"/>
      <c r="J6030" s="1125"/>
    </row>
    <row r="6031" spans="9:10" x14ac:dyDescent="0.2">
      <c r="I6031" s="1125"/>
      <c r="J6031" s="1125"/>
    </row>
    <row r="6032" spans="9:10" x14ac:dyDescent="0.2">
      <c r="I6032" s="1125"/>
      <c r="J6032" s="1125"/>
    </row>
    <row r="6033" spans="9:10" x14ac:dyDescent="0.2">
      <c r="I6033" s="1125"/>
      <c r="J6033" s="1125"/>
    </row>
    <row r="6034" spans="9:10" x14ac:dyDescent="0.2">
      <c r="I6034" s="1125"/>
      <c r="J6034" s="1125"/>
    </row>
    <row r="6035" spans="9:10" x14ac:dyDescent="0.2">
      <c r="I6035" s="1125"/>
      <c r="J6035" s="1125"/>
    </row>
    <row r="6036" spans="9:10" x14ac:dyDescent="0.2">
      <c r="I6036" s="1125"/>
      <c r="J6036" s="1125"/>
    </row>
    <row r="6037" spans="9:10" x14ac:dyDescent="0.2">
      <c r="I6037" s="1125"/>
      <c r="J6037" s="1125"/>
    </row>
    <row r="6038" spans="9:10" x14ac:dyDescent="0.2">
      <c r="I6038" s="1125"/>
      <c r="J6038" s="1125"/>
    </row>
    <row r="6039" spans="9:10" x14ac:dyDescent="0.2">
      <c r="I6039" s="1125"/>
      <c r="J6039" s="1125"/>
    </row>
    <row r="6040" spans="9:10" x14ac:dyDescent="0.2">
      <c r="I6040" s="1125"/>
      <c r="J6040" s="1125"/>
    </row>
    <row r="6041" spans="9:10" x14ac:dyDescent="0.2">
      <c r="I6041" s="1125"/>
      <c r="J6041" s="1125"/>
    </row>
    <row r="6042" spans="9:10" x14ac:dyDescent="0.2">
      <c r="I6042" s="1125"/>
      <c r="J6042" s="1125"/>
    </row>
    <row r="6043" spans="9:10" x14ac:dyDescent="0.2">
      <c r="I6043" s="1125"/>
      <c r="J6043" s="1125"/>
    </row>
    <row r="6044" spans="9:10" x14ac:dyDescent="0.2">
      <c r="I6044" s="1125"/>
      <c r="J6044" s="1125"/>
    </row>
    <row r="6045" spans="9:10" x14ac:dyDescent="0.2">
      <c r="I6045" s="1125"/>
      <c r="J6045" s="1125"/>
    </row>
    <row r="6046" spans="9:10" x14ac:dyDescent="0.2">
      <c r="I6046" s="1125"/>
      <c r="J6046" s="1125"/>
    </row>
    <row r="6047" spans="9:10" x14ac:dyDescent="0.2">
      <c r="I6047" s="1125"/>
      <c r="J6047" s="1125"/>
    </row>
    <row r="6048" spans="9:10" x14ac:dyDescent="0.2">
      <c r="I6048" s="1125"/>
      <c r="J6048" s="1125"/>
    </row>
    <row r="6049" spans="9:10" x14ac:dyDescent="0.2">
      <c r="I6049" s="1125"/>
      <c r="J6049" s="1125"/>
    </row>
    <row r="6050" spans="9:10" x14ac:dyDescent="0.2">
      <c r="I6050" s="1125"/>
      <c r="J6050" s="1125"/>
    </row>
    <row r="6051" spans="9:10" x14ac:dyDescent="0.2">
      <c r="I6051" s="1125"/>
      <c r="J6051" s="1125"/>
    </row>
    <row r="6052" spans="9:10" x14ac:dyDescent="0.2">
      <c r="I6052" s="1125"/>
      <c r="J6052" s="1125"/>
    </row>
    <row r="6053" spans="9:10" x14ac:dyDescent="0.2">
      <c r="I6053" s="1125"/>
      <c r="J6053" s="1125"/>
    </row>
    <row r="6054" spans="9:10" x14ac:dyDescent="0.2">
      <c r="I6054" s="1125"/>
      <c r="J6054" s="1125"/>
    </row>
    <row r="6055" spans="9:10" x14ac:dyDescent="0.2">
      <c r="I6055" s="1125"/>
      <c r="J6055" s="1125"/>
    </row>
    <row r="6056" spans="9:10" x14ac:dyDescent="0.2">
      <c r="I6056" s="1125"/>
      <c r="J6056" s="1125"/>
    </row>
    <row r="6057" spans="9:10" x14ac:dyDescent="0.2">
      <c r="I6057" s="1125"/>
      <c r="J6057" s="1125"/>
    </row>
    <row r="6058" spans="9:10" x14ac:dyDescent="0.2">
      <c r="I6058" s="1125"/>
      <c r="J6058" s="1125"/>
    </row>
    <row r="6059" spans="9:10" x14ac:dyDescent="0.2">
      <c r="I6059" s="1125"/>
      <c r="J6059" s="1125"/>
    </row>
    <row r="6060" spans="9:10" x14ac:dyDescent="0.2">
      <c r="I6060" s="1125"/>
      <c r="J6060" s="1125"/>
    </row>
    <row r="6061" spans="9:10" x14ac:dyDescent="0.2">
      <c r="I6061" s="1125"/>
      <c r="J6061" s="1125"/>
    </row>
    <row r="6062" spans="9:10" x14ac:dyDescent="0.2">
      <c r="I6062" s="1125"/>
      <c r="J6062" s="1125"/>
    </row>
    <row r="6063" spans="9:10" x14ac:dyDescent="0.2">
      <c r="I6063" s="1125"/>
      <c r="J6063" s="1125"/>
    </row>
    <row r="6064" spans="9:10" x14ac:dyDescent="0.2">
      <c r="I6064" s="1125"/>
      <c r="J6064" s="1125"/>
    </row>
    <row r="6065" spans="9:10" x14ac:dyDescent="0.2">
      <c r="I6065" s="1125"/>
      <c r="J6065" s="1125"/>
    </row>
    <row r="6066" spans="9:10" x14ac:dyDescent="0.2">
      <c r="I6066" s="1125"/>
      <c r="J6066" s="1125"/>
    </row>
    <row r="6067" spans="9:10" x14ac:dyDescent="0.2">
      <c r="I6067" s="1125"/>
      <c r="J6067" s="1125"/>
    </row>
    <row r="6068" spans="9:10" x14ac:dyDescent="0.2">
      <c r="I6068" s="1125"/>
      <c r="J6068" s="1125"/>
    </row>
    <row r="6069" spans="9:10" x14ac:dyDescent="0.2">
      <c r="I6069" s="1125"/>
      <c r="J6069" s="1125"/>
    </row>
    <row r="6070" spans="9:10" x14ac:dyDescent="0.2">
      <c r="I6070" s="1125"/>
      <c r="J6070" s="1125"/>
    </row>
    <row r="6071" spans="9:10" x14ac:dyDescent="0.2">
      <c r="I6071" s="1125"/>
      <c r="J6071" s="1125"/>
    </row>
    <row r="6072" spans="9:10" x14ac:dyDescent="0.2">
      <c r="I6072" s="1125"/>
      <c r="J6072" s="1125"/>
    </row>
    <row r="6073" spans="9:10" x14ac:dyDescent="0.2">
      <c r="I6073" s="1125"/>
      <c r="J6073" s="1125"/>
    </row>
    <row r="6074" spans="9:10" x14ac:dyDescent="0.2">
      <c r="I6074" s="1125"/>
      <c r="J6074" s="1125"/>
    </row>
    <row r="6075" spans="9:10" x14ac:dyDescent="0.2">
      <c r="I6075" s="1125"/>
      <c r="J6075" s="1125"/>
    </row>
    <row r="6076" spans="9:10" x14ac:dyDescent="0.2">
      <c r="I6076" s="1125"/>
      <c r="J6076" s="1125"/>
    </row>
    <row r="6077" spans="9:10" x14ac:dyDescent="0.2">
      <c r="I6077" s="1125"/>
      <c r="J6077" s="1125"/>
    </row>
    <row r="6078" spans="9:10" x14ac:dyDescent="0.2">
      <c r="I6078" s="1125"/>
      <c r="J6078" s="1125"/>
    </row>
    <row r="6079" spans="9:10" x14ac:dyDescent="0.2">
      <c r="I6079" s="1125"/>
      <c r="J6079" s="1125"/>
    </row>
    <row r="6080" spans="9:10" x14ac:dyDescent="0.2">
      <c r="I6080" s="1125"/>
      <c r="J6080" s="1125"/>
    </row>
    <row r="6081" spans="9:10" x14ac:dyDescent="0.2">
      <c r="I6081" s="1125"/>
      <c r="J6081" s="1125"/>
    </row>
    <row r="6082" spans="9:10" x14ac:dyDescent="0.2">
      <c r="I6082" s="1125"/>
      <c r="J6082" s="1125"/>
    </row>
    <row r="6083" spans="9:10" x14ac:dyDescent="0.2">
      <c r="I6083" s="1125"/>
      <c r="J6083" s="1125"/>
    </row>
    <row r="6084" spans="9:10" x14ac:dyDescent="0.2">
      <c r="I6084" s="1125"/>
      <c r="J6084" s="1125"/>
    </row>
    <row r="6085" spans="9:10" x14ac:dyDescent="0.2">
      <c r="I6085" s="1125"/>
      <c r="J6085" s="1125"/>
    </row>
    <row r="6086" spans="9:10" x14ac:dyDescent="0.2">
      <c r="I6086" s="1125"/>
      <c r="J6086" s="1125"/>
    </row>
    <row r="6087" spans="9:10" x14ac:dyDescent="0.2">
      <c r="I6087" s="1125"/>
      <c r="J6087" s="1125"/>
    </row>
    <row r="6088" spans="9:10" x14ac:dyDescent="0.2">
      <c r="I6088" s="1125"/>
      <c r="J6088" s="1125"/>
    </row>
    <row r="6089" spans="9:10" x14ac:dyDescent="0.2">
      <c r="I6089" s="1125"/>
      <c r="J6089" s="1125"/>
    </row>
    <row r="6090" spans="9:10" x14ac:dyDescent="0.2">
      <c r="I6090" s="1125"/>
      <c r="J6090" s="1125"/>
    </row>
    <row r="6091" spans="9:10" x14ac:dyDescent="0.2">
      <c r="I6091" s="1125"/>
      <c r="J6091" s="1125"/>
    </row>
    <row r="6092" spans="9:10" x14ac:dyDescent="0.2">
      <c r="I6092" s="1125"/>
      <c r="J6092" s="1125"/>
    </row>
    <row r="6093" spans="9:10" x14ac:dyDescent="0.2">
      <c r="I6093" s="1125"/>
      <c r="J6093" s="1125"/>
    </row>
    <row r="6094" spans="9:10" x14ac:dyDescent="0.2">
      <c r="I6094" s="1125"/>
      <c r="J6094" s="1125"/>
    </row>
    <row r="6095" spans="9:10" x14ac:dyDescent="0.2">
      <c r="I6095" s="1125"/>
      <c r="J6095" s="1125"/>
    </row>
    <row r="6096" spans="9:10" x14ac:dyDescent="0.2">
      <c r="I6096" s="1125"/>
      <c r="J6096" s="1125"/>
    </row>
    <row r="6097" spans="9:10" x14ac:dyDescent="0.2">
      <c r="I6097" s="1125"/>
      <c r="J6097" s="1125"/>
    </row>
    <row r="6098" spans="9:10" x14ac:dyDescent="0.2">
      <c r="I6098" s="1125"/>
      <c r="J6098" s="1125"/>
    </row>
    <row r="6099" spans="9:10" x14ac:dyDescent="0.2">
      <c r="I6099" s="1125"/>
      <c r="J6099" s="1125"/>
    </row>
    <row r="6100" spans="9:10" x14ac:dyDescent="0.2">
      <c r="I6100" s="1125"/>
      <c r="J6100" s="1125"/>
    </row>
    <row r="6101" spans="9:10" x14ac:dyDescent="0.2">
      <c r="I6101" s="1125"/>
      <c r="J6101" s="1125"/>
    </row>
    <row r="6102" spans="9:10" x14ac:dyDescent="0.2">
      <c r="I6102" s="1125"/>
      <c r="J6102" s="1125"/>
    </row>
    <row r="6103" spans="9:10" x14ac:dyDescent="0.2">
      <c r="I6103" s="1125"/>
      <c r="J6103" s="1125"/>
    </row>
    <row r="6104" spans="9:10" x14ac:dyDescent="0.2">
      <c r="I6104" s="1125"/>
      <c r="J6104" s="1125"/>
    </row>
    <row r="6105" spans="9:10" x14ac:dyDescent="0.2">
      <c r="I6105" s="1125"/>
      <c r="J6105" s="1125"/>
    </row>
    <row r="6106" spans="9:10" x14ac:dyDescent="0.2">
      <c r="I6106" s="1125"/>
      <c r="J6106" s="1125"/>
    </row>
    <row r="6107" spans="9:10" x14ac:dyDescent="0.2">
      <c r="I6107" s="1125"/>
      <c r="J6107" s="1125"/>
    </row>
    <row r="6108" spans="9:10" x14ac:dyDescent="0.2">
      <c r="I6108" s="1125"/>
      <c r="J6108" s="1125"/>
    </row>
    <row r="6109" spans="9:10" x14ac:dyDescent="0.2">
      <c r="I6109" s="1125"/>
      <c r="J6109" s="1125"/>
    </row>
    <row r="6110" spans="9:10" x14ac:dyDescent="0.2">
      <c r="I6110" s="1125"/>
      <c r="J6110" s="1125"/>
    </row>
    <row r="6111" spans="9:10" x14ac:dyDescent="0.2">
      <c r="I6111" s="1125"/>
      <c r="J6111" s="1125"/>
    </row>
    <row r="6112" spans="9:10" x14ac:dyDescent="0.2">
      <c r="I6112" s="1125"/>
      <c r="J6112" s="1125"/>
    </row>
    <row r="6113" spans="9:10" x14ac:dyDescent="0.2">
      <c r="I6113" s="1125"/>
      <c r="J6113" s="1125"/>
    </row>
    <row r="6114" spans="9:10" x14ac:dyDescent="0.2">
      <c r="I6114" s="1125"/>
      <c r="J6114" s="1125"/>
    </row>
    <row r="6115" spans="9:10" x14ac:dyDescent="0.2">
      <c r="I6115" s="1125"/>
      <c r="J6115" s="1125"/>
    </row>
    <row r="6116" spans="9:10" x14ac:dyDescent="0.2">
      <c r="I6116" s="1125"/>
      <c r="J6116" s="1125"/>
    </row>
    <row r="6117" spans="9:10" x14ac:dyDescent="0.2">
      <c r="I6117" s="1125"/>
      <c r="J6117" s="1125"/>
    </row>
    <row r="6118" spans="9:10" x14ac:dyDescent="0.2">
      <c r="I6118" s="1125"/>
      <c r="J6118" s="1125"/>
    </row>
    <row r="6119" spans="9:10" x14ac:dyDescent="0.2">
      <c r="I6119" s="1125"/>
      <c r="J6119" s="1125"/>
    </row>
    <row r="6120" spans="9:10" x14ac:dyDescent="0.2">
      <c r="I6120" s="1125"/>
      <c r="J6120" s="1125"/>
    </row>
    <row r="6121" spans="9:10" x14ac:dyDescent="0.2">
      <c r="I6121" s="1125"/>
      <c r="J6121" s="1125"/>
    </row>
    <row r="6122" spans="9:10" x14ac:dyDescent="0.2">
      <c r="I6122" s="1125"/>
      <c r="J6122" s="1125"/>
    </row>
    <row r="6123" spans="9:10" x14ac:dyDescent="0.2">
      <c r="I6123" s="1125"/>
      <c r="J6123" s="1125"/>
    </row>
    <row r="6124" spans="9:10" x14ac:dyDescent="0.2">
      <c r="I6124" s="1125"/>
      <c r="J6124" s="1125"/>
    </row>
    <row r="6125" spans="9:10" x14ac:dyDescent="0.2">
      <c r="I6125" s="1125"/>
      <c r="J6125" s="1125"/>
    </row>
    <row r="6126" spans="9:10" x14ac:dyDescent="0.2">
      <c r="I6126" s="1125"/>
      <c r="J6126" s="1125"/>
    </row>
    <row r="6127" spans="9:10" x14ac:dyDescent="0.2">
      <c r="I6127" s="1125"/>
      <c r="J6127" s="1125"/>
    </row>
    <row r="6128" spans="9:10" x14ac:dyDescent="0.2">
      <c r="I6128" s="1125"/>
      <c r="J6128" s="1125"/>
    </row>
    <row r="6129" spans="9:10" x14ac:dyDescent="0.2">
      <c r="I6129" s="1125"/>
      <c r="J6129" s="1125"/>
    </row>
    <row r="6130" spans="9:10" x14ac:dyDescent="0.2">
      <c r="I6130" s="1125"/>
      <c r="J6130" s="1125"/>
    </row>
    <row r="6131" spans="9:10" x14ac:dyDescent="0.2">
      <c r="I6131" s="1125"/>
      <c r="J6131" s="1125"/>
    </row>
    <row r="6132" spans="9:10" x14ac:dyDescent="0.2">
      <c r="I6132" s="1125"/>
      <c r="J6132" s="1125"/>
    </row>
    <row r="6133" spans="9:10" x14ac:dyDescent="0.2">
      <c r="I6133" s="1125"/>
      <c r="J6133" s="1125"/>
    </row>
    <row r="6134" spans="9:10" x14ac:dyDescent="0.2">
      <c r="I6134" s="1125"/>
      <c r="J6134" s="1125"/>
    </row>
    <row r="6135" spans="9:10" x14ac:dyDescent="0.2">
      <c r="I6135" s="1125"/>
      <c r="J6135" s="1125"/>
    </row>
    <row r="6136" spans="9:10" x14ac:dyDescent="0.2">
      <c r="I6136" s="1125"/>
      <c r="J6136" s="1125"/>
    </row>
    <row r="6137" spans="9:10" x14ac:dyDescent="0.2">
      <c r="I6137" s="1125"/>
      <c r="J6137" s="1125"/>
    </row>
    <row r="6138" spans="9:10" x14ac:dyDescent="0.2">
      <c r="I6138" s="1125"/>
      <c r="J6138" s="1125"/>
    </row>
    <row r="6139" spans="9:10" x14ac:dyDescent="0.2">
      <c r="I6139" s="1125"/>
      <c r="J6139" s="1125"/>
    </row>
    <row r="6140" spans="9:10" x14ac:dyDescent="0.2">
      <c r="I6140" s="1125"/>
      <c r="J6140" s="1125"/>
    </row>
    <row r="6141" spans="9:10" x14ac:dyDescent="0.2">
      <c r="I6141" s="1125"/>
      <c r="J6141" s="1125"/>
    </row>
    <row r="6142" spans="9:10" x14ac:dyDescent="0.2">
      <c r="I6142" s="1125"/>
      <c r="J6142" s="1125"/>
    </row>
    <row r="6143" spans="9:10" x14ac:dyDescent="0.2">
      <c r="I6143" s="1125"/>
      <c r="J6143" s="1125"/>
    </row>
    <row r="6144" spans="9:10" x14ac:dyDescent="0.2">
      <c r="I6144" s="1125"/>
      <c r="J6144" s="1125"/>
    </row>
    <row r="6145" spans="9:10" x14ac:dyDescent="0.2">
      <c r="I6145" s="1125"/>
      <c r="J6145" s="1125"/>
    </row>
    <row r="6146" spans="9:10" x14ac:dyDescent="0.2">
      <c r="I6146" s="1125"/>
      <c r="J6146" s="1125"/>
    </row>
    <row r="6147" spans="9:10" x14ac:dyDescent="0.2">
      <c r="I6147" s="1125"/>
      <c r="J6147" s="1125"/>
    </row>
    <row r="6148" spans="9:10" x14ac:dyDescent="0.2">
      <c r="I6148" s="1125"/>
      <c r="J6148" s="1125"/>
    </row>
    <row r="6149" spans="9:10" x14ac:dyDescent="0.2">
      <c r="I6149" s="1125"/>
      <c r="J6149" s="1125"/>
    </row>
    <row r="6150" spans="9:10" x14ac:dyDescent="0.2">
      <c r="I6150" s="1125"/>
      <c r="J6150" s="1125"/>
    </row>
    <row r="6151" spans="9:10" x14ac:dyDescent="0.2">
      <c r="I6151" s="1125"/>
      <c r="J6151" s="1125"/>
    </row>
    <row r="6152" spans="9:10" x14ac:dyDescent="0.2">
      <c r="I6152" s="1125"/>
      <c r="J6152" s="1125"/>
    </row>
    <row r="6153" spans="9:10" x14ac:dyDescent="0.2">
      <c r="I6153" s="1125"/>
      <c r="J6153" s="1125"/>
    </row>
    <row r="6154" spans="9:10" x14ac:dyDescent="0.2">
      <c r="I6154" s="1125"/>
      <c r="J6154" s="1125"/>
    </row>
    <row r="6155" spans="9:10" x14ac:dyDescent="0.2">
      <c r="I6155" s="1125"/>
      <c r="J6155" s="1125"/>
    </row>
    <row r="6156" spans="9:10" x14ac:dyDescent="0.2">
      <c r="I6156" s="1125"/>
      <c r="J6156" s="1125"/>
    </row>
    <row r="6157" spans="9:10" x14ac:dyDescent="0.2">
      <c r="I6157" s="1125"/>
      <c r="J6157" s="1125"/>
    </row>
    <row r="6158" spans="9:10" x14ac:dyDescent="0.2">
      <c r="I6158" s="1125"/>
      <c r="J6158" s="1125"/>
    </row>
    <row r="6159" spans="9:10" x14ac:dyDescent="0.2">
      <c r="I6159" s="1125"/>
      <c r="J6159" s="1125"/>
    </row>
    <row r="6160" spans="9:10" x14ac:dyDescent="0.2">
      <c r="I6160" s="1125"/>
      <c r="J6160" s="1125"/>
    </row>
    <row r="6161" spans="9:10" x14ac:dyDescent="0.2">
      <c r="I6161" s="1125"/>
      <c r="J6161" s="1125"/>
    </row>
    <row r="6162" spans="9:10" x14ac:dyDescent="0.2">
      <c r="I6162" s="1125"/>
      <c r="J6162" s="1125"/>
    </row>
    <row r="6163" spans="9:10" x14ac:dyDescent="0.2">
      <c r="I6163" s="1125"/>
      <c r="J6163" s="1125"/>
    </row>
    <row r="6164" spans="9:10" x14ac:dyDescent="0.2">
      <c r="I6164" s="1125"/>
      <c r="J6164" s="1125"/>
    </row>
    <row r="6165" spans="9:10" x14ac:dyDescent="0.2">
      <c r="I6165" s="1125"/>
      <c r="J6165" s="1125"/>
    </row>
    <row r="6166" spans="9:10" x14ac:dyDescent="0.2">
      <c r="I6166" s="1125"/>
      <c r="J6166" s="1125"/>
    </row>
    <row r="6167" spans="9:10" x14ac:dyDescent="0.2">
      <c r="I6167" s="1125"/>
      <c r="J6167" s="1125"/>
    </row>
    <row r="6168" spans="9:10" x14ac:dyDescent="0.2">
      <c r="I6168" s="1125"/>
      <c r="J6168" s="1125"/>
    </row>
    <row r="6169" spans="9:10" x14ac:dyDescent="0.2">
      <c r="I6169" s="1125"/>
      <c r="J6169" s="1125"/>
    </row>
    <row r="6170" spans="9:10" x14ac:dyDescent="0.2">
      <c r="I6170" s="1125"/>
      <c r="J6170" s="1125"/>
    </row>
    <row r="6171" spans="9:10" x14ac:dyDescent="0.2">
      <c r="I6171" s="1125"/>
      <c r="J6171" s="1125"/>
    </row>
    <row r="6172" spans="9:10" x14ac:dyDescent="0.2">
      <c r="I6172" s="1125"/>
      <c r="J6172" s="1125"/>
    </row>
    <row r="6173" spans="9:10" x14ac:dyDescent="0.2">
      <c r="I6173" s="1125"/>
      <c r="J6173" s="1125"/>
    </row>
    <row r="6174" spans="9:10" x14ac:dyDescent="0.2">
      <c r="I6174" s="1125"/>
      <c r="J6174" s="1125"/>
    </row>
    <row r="6175" spans="9:10" x14ac:dyDescent="0.2">
      <c r="I6175" s="1125"/>
      <c r="J6175" s="1125"/>
    </row>
    <row r="6176" spans="9:10" x14ac:dyDescent="0.2">
      <c r="I6176" s="1125"/>
      <c r="J6176" s="1125"/>
    </row>
    <row r="6177" spans="9:10" x14ac:dyDescent="0.2">
      <c r="I6177" s="1125"/>
      <c r="J6177" s="1125"/>
    </row>
    <row r="6178" spans="9:10" x14ac:dyDescent="0.2">
      <c r="I6178" s="1125"/>
      <c r="J6178" s="1125"/>
    </row>
    <row r="6179" spans="9:10" x14ac:dyDescent="0.2">
      <c r="I6179" s="1125"/>
      <c r="J6179" s="1125"/>
    </row>
    <row r="6180" spans="9:10" x14ac:dyDescent="0.2">
      <c r="I6180" s="1125"/>
      <c r="J6180" s="1125"/>
    </row>
    <row r="6181" spans="9:10" x14ac:dyDescent="0.2">
      <c r="I6181" s="1125"/>
      <c r="J6181" s="1125"/>
    </row>
    <row r="6182" spans="9:10" x14ac:dyDescent="0.2">
      <c r="I6182" s="1125"/>
      <c r="J6182" s="1125"/>
    </row>
    <row r="6183" spans="9:10" x14ac:dyDescent="0.2">
      <c r="I6183" s="1125"/>
      <c r="J6183" s="1125"/>
    </row>
    <row r="6184" spans="9:10" x14ac:dyDescent="0.2">
      <c r="I6184" s="1125"/>
      <c r="J6184" s="1125"/>
    </row>
    <row r="6185" spans="9:10" x14ac:dyDescent="0.2">
      <c r="I6185" s="1125"/>
      <c r="J6185" s="1125"/>
    </row>
    <row r="6186" spans="9:10" x14ac:dyDescent="0.2">
      <c r="I6186" s="1125"/>
      <c r="J6186" s="1125"/>
    </row>
    <row r="6187" spans="9:10" x14ac:dyDescent="0.2">
      <c r="I6187" s="1125"/>
      <c r="J6187" s="1125"/>
    </row>
    <row r="6188" spans="9:10" x14ac:dyDescent="0.2">
      <c r="I6188" s="1125"/>
      <c r="J6188" s="1125"/>
    </row>
    <row r="6189" spans="9:10" x14ac:dyDescent="0.2">
      <c r="I6189" s="1125"/>
      <c r="J6189" s="1125"/>
    </row>
    <row r="6190" spans="9:10" x14ac:dyDescent="0.2">
      <c r="I6190" s="1125"/>
      <c r="J6190" s="1125"/>
    </row>
    <row r="6191" spans="9:10" x14ac:dyDescent="0.2">
      <c r="I6191" s="1125"/>
      <c r="J6191" s="1125"/>
    </row>
    <row r="6192" spans="9:10" x14ac:dyDescent="0.2">
      <c r="I6192" s="1125"/>
      <c r="J6192" s="1125"/>
    </row>
    <row r="6193" spans="9:10" x14ac:dyDescent="0.2">
      <c r="I6193" s="1125"/>
      <c r="J6193" s="1125"/>
    </row>
    <row r="6194" spans="9:10" x14ac:dyDescent="0.2">
      <c r="I6194" s="1125"/>
      <c r="J6194" s="1125"/>
    </row>
    <row r="6195" spans="9:10" x14ac:dyDescent="0.2">
      <c r="I6195" s="1125"/>
      <c r="J6195" s="1125"/>
    </row>
    <row r="6196" spans="9:10" x14ac:dyDescent="0.2">
      <c r="I6196" s="1125"/>
      <c r="J6196" s="1125"/>
    </row>
    <row r="6197" spans="9:10" x14ac:dyDescent="0.2">
      <c r="I6197" s="1125"/>
      <c r="J6197" s="1125"/>
    </row>
    <row r="6198" spans="9:10" x14ac:dyDescent="0.2">
      <c r="I6198" s="1125"/>
      <c r="J6198" s="1125"/>
    </row>
    <row r="6199" spans="9:10" x14ac:dyDescent="0.2">
      <c r="I6199" s="1125"/>
      <c r="J6199" s="1125"/>
    </row>
    <row r="6200" spans="9:10" x14ac:dyDescent="0.2">
      <c r="I6200" s="1125"/>
      <c r="J6200" s="1125"/>
    </row>
    <row r="6201" spans="9:10" x14ac:dyDescent="0.2">
      <c r="I6201" s="1125"/>
      <c r="J6201" s="1125"/>
    </row>
    <row r="6202" spans="9:10" x14ac:dyDescent="0.2">
      <c r="I6202" s="1125"/>
      <c r="J6202" s="1125"/>
    </row>
    <row r="6203" spans="9:10" x14ac:dyDescent="0.2">
      <c r="I6203" s="1125"/>
      <c r="J6203" s="1125"/>
    </row>
    <row r="6204" spans="9:10" x14ac:dyDescent="0.2">
      <c r="I6204" s="1125"/>
      <c r="J6204" s="1125"/>
    </row>
    <row r="6205" spans="9:10" x14ac:dyDescent="0.2">
      <c r="I6205" s="1125"/>
      <c r="J6205" s="1125"/>
    </row>
    <row r="6206" spans="9:10" x14ac:dyDescent="0.2">
      <c r="I6206" s="1125"/>
      <c r="J6206" s="1125"/>
    </row>
    <row r="6207" spans="9:10" x14ac:dyDescent="0.2">
      <c r="I6207" s="1125"/>
      <c r="J6207" s="1125"/>
    </row>
    <row r="6208" spans="9:10" x14ac:dyDescent="0.2">
      <c r="I6208" s="1125"/>
      <c r="J6208" s="1125"/>
    </row>
    <row r="6209" spans="9:10" x14ac:dyDescent="0.2">
      <c r="I6209" s="1125"/>
      <c r="J6209" s="1125"/>
    </row>
    <row r="6210" spans="9:10" x14ac:dyDescent="0.2">
      <c r="I6210" s="1125"/>
      <c r="J6210" s="1125"/>
    </row>
    <row r="6211" spans="9:10" x14ac:dyDescent="0.2">
      <c r="I6211" s="1125"/>
      <c r="J6211" s="1125"/>
    </row>
    <row r="6212" spans="9:10" x14ac:dyDescent="0.2">
      <c r="I6212" s="1125"/>
      <c r="J6212" s="1125"/>
    </row>
    <row r="6213" spans="9:10" x14ac:dyDescent="0.2">
      <c r="I6213" s="1125"/>
      <c r="J6213" s="1125"/>
    </row>
    <row r="6214" spans="9:10" x14ac:dyDescent="0.2">
      <c r="I6214" s="1125"/>
      <c r="J6214" s="1125"/>
    </row>
    <row r="6215" spans="9:10" x14ac:dyDescent="0.2">
      <c r="I6215" s="1125"/>
      <c r="J6215" s="1125"/>
    </row>
    <row r="6216" spans="9:10" x14ac:dyDescent="0.2">
      <c r="I6216" s="1125"/>
      <c r="J6216" s="1125"/>
    </row>
    <row r="6217" spans="9:10" x14ac:dyDescent="0.2">
      <c r="I6217" s="1125"/>
      <c r="J6217" s="1125"/>
    </row>
    <row r="6218" spans="9:10" x14ac:dyDescent="0.2">
      <c r="I6218" s="1125"/>
      <c r="J6218" s="1125"/>
    </row>
    <row r="6219" spans="9:10" x14ac:dyDescent="0.2">
      <c r="I6219" s="1125"/>
      <c r="J6219" s="1125"/>
    </row>
    <row r="6220" spans="9:10" x14ac:dyDescent="0.2">
      <c r="I6220" s="1125"/>
      <c r="J6220" s="1125"/>
    </row>
    <row r="6221" spans="9:10" x14ac:dyDescent="0.2">
      <c r="I6221" s="1125"/>
      <c r="J6221" s="1125"/>
    </row>
    <row r="6222" spans="9:10" x14ac:dyDescent="0.2">
      <c r="I6222" s="1125"/>
      <c r="J6222" s="1125"/>
    </row>
    <row r="6223" spans="9:10" x14ac:dyDescent="0.2">
      <c r="I6223" s="1125"/>
      <c r="J6223" s="1125"/>
    </row>
    <row r="6224" spans="9:10" x14ac:dyDescent="0.2">
      <c r="I6224" s="1125"/>
      <c r="J6224" s="1125"/>
    </row>
    <row r="6225" spans="9:10" x14ac:dyDescent="0.2">
      <c r="I6225" s="1125"/>
      <c r="J6225" s="1125"/>
    </row>
    <row r="6226" spans="9:10" x14ac:dyDescent="0.2">
      <c r="I6226" s="1125"/>
      <c r="J6226" s="1125"/>
    </row>
    <row r="6227" spans="9:10" x14ac:dyDescent="0.2">
      <c r="I6227" s="1125"/>
      <c r="J6227" s="1125"/>
    </row>
    <row r="6228" spans="9:10" x14ac:dyDescent="0.2">
      <c r="I6228" s="1125"/>
      <c r="J6228" s="1125"/>
    </row>
    <row r="6229" spans="9:10" x14ac:dyDescent="0.2">
      <c r="I6229" s="1125"/>
      <c r="J6229" s="1125"/>
    </row>
    <row r="6230" spans="9:10" x14ac:dyDescent="0.2">
      <c r="I6230" s="1125"/>
      <c r="J6230" s="1125"/>
    </row>
    <row r="6231" spans="9:10" x14ac:dyDescent="0.2">
      <c r="I6231" s="1125"/>
      <c r="J6231" s="1125"/>
    </row>
    <row r="6232" spans="9:10" x14ac:dyDescent="0.2">
      <c r="I6232" s="1125"/>
      <c r="J6232" s="1125"/>
    </row>
    <row r="6233" spans="9:10" x14ac:dyDescent="0.2">
      <c r="I6233" s="1125"/>
      <c r="J6233" s="1125"/>
    </row>
    <row r="6234" spans="9:10" x14ac:dyDescent="0.2">
      <c r="I6234" s="1125"/>
      <c r="J6234" s="1125"/>
    </row>
    <row r="6235" spans="9:10" x14ac:dyDescent="0.2">
      <c r="I6235" s="1125"/>
      <c r="J6235" s="1125"/>
    </row>
    <row r="6236" spans="9:10" x14ac:dyDescent="0.2">
      <c r="I6236" s="1125"/>
      <c r="J6236" s="1125"/>
    </row>
    <row r="6237" spans="9:10" x14ac:dyDescent="0.2">
      <c r="I6237" s="1125"/>
      <c r="J6237" s="1125"/>
    </row>
    <row r="6238" spans="9:10" x14ac:dyDescent="0.2">
      <c r="I6238" s="1125"/>
      <c r="J6238" s="1125"/>
    </row>
    <row r="6239" spans="9:10" x14ac:dyDescent="0.2">
      <c r="I6239" s="1125"/>
      <c r="J6239" s="1125"/>
    </row>
    <row r="6240" spans="9:10" x14ac:dyDescent="0.2">
      <c r="I6240" s="1125"/>
      <c r="J6240" s="1125"/>
    </row>
    <row r="6241" spans="9:10" x14ac:dyDescent="0.2">
      <c r="I6241" s="1125"/>
      <c r="J6241" s="1125"/>
    </row>
    <row r="6242" spans="9:10" x14ac:dyDescent="0.2">
      <c r="I6242" s="1125"/>
      <c r="J6242" s="1125"/>
    </row>
    <row r="6243" spans="9:10" x14ac:dyDescent="0.2">
      <c r="I6243" s="1125"/>
      <c r="J6243" s="1125"/>
    </row>
    <row r="6244" spans="9:10" x14ac:dyDescent="0.2">
      <c r="I6244" s="1125"/>
      <c r="J6244" s="1125"/>
    </row>
    <row r="6245" spans="9:10" x14ac:dyDescent="0.2">
      <c r="I6245" s="1125"/>
      <c r="J6245" s="1125"/>
    </row>
    <row r="6246" spans="9:10" x14ac:dyDescent="0.2">
      <c r="I6246" s="1125"/>
      <c r="J6246" s="1125"/>
    </row>
    <row r="6247" spans="9:10" x14ac:dyDescent="0.2">
      <c r="I6247" s="1125"/>
      <c r="J6247" s="1125"/>
    </row>
    <row r="6248" spans="9:10" x14ac:dyDescent="0.2">
      <c r="I6248" s="1125"/>
      <c r="J6248" s="1125"/>
    </row>
    <row r="6249" spans="9:10" x14ac:dyDescent="0.2">
      <c r="I6249" s="1125"/>
      <c r="J6249" s="1125"/>
    </row>
    <row r="6250" spans="9:10" x14ac:dyDescent="0.2">
      <c r="I6250" s="1125"/>
      <c r="J6250" s="1125"/>
    </row>
    <row r="6251" spans="9:10" x14ac:dyDescent="0.2">
      <c r="I6251" s="1125"/>
      <c r="J6251" s="1125"/>
    </row>
    <row r="6252" spans="9:10" x14ac:dyDescent="0.2">
      <c r="I6252" s="1125"/>
      <c r="J6252" s="1125"/>
    </row>
    <row r="6253" spans="9:10" x14ac:dyDescent="0.2">
      <c r="I6253" s="1125"/>
      <c r="J6253" s="1125"/>
    </row>
    <row r="6254" spans="9:10" x14ac:dyDescent="0.2">
      <c r="I6254" s="1125"/>
      <c r="J6254" s="1125"/>
    </row>
    <row r="6255" spans="9:10" x14ac:dyDescent="0.2">
      <c r="I6255" s="1125"/>
      <c r="J6255" s="1125"/>
    </row>
    <row r="6256" spans="9:10" x14ac:dyDescent="0.2">
      <c r="I6256" s="1125"/>
      <c r="J6256" s="1125"/>
    </row>
    <row r="6257" spans="9:10" x14ac:dyDescent="0.2">
      <c r="I6257" s="1125"/>
      <c r="J6257" s="1125"/>
    </row>
    <row r="6258" spans="9:10" x14ac:dyDescent="0.2">
      <c r="I6258" s="1125"/>
      <c r="J6258" s="1125"/>
    </row>
    <row r="6259" spans="9:10" x14ac:dyDescent="0.2">
      <c r="I6259" s="1125"/>
      <c r="J6259" s="1125"/>
    </row>
    <row r="6260" spans="9:10" x14ac:dyDescent="0.2">
      <c r="I6260" s="1125"/>
      <c r="J6260" s="1125"/>
    </row>
    <row r="6261" spans="9:10" x14ac:dyDescent="0.2">
      <c r="I6261" s="1125"/>
      <c r="J6261" s="1125"/>
    </row>
    <row r="6262" spans="9:10" x14ac:dyDescent="0.2">
      <c r="I6262" s="1125"/>
      <c r="J6262" s="1125"/>
    </row>
    <row r="6263" spans="9:10" x14ac:dyDescent="0.2">
      <c r="I6263" s="1125"/>
      <c r="J6263" s="1125"/>
    </row>
    <row r="6264" spans="9:10" x14ac:dyDescent="0.2">
      <c r="I6264" s="1125"/>
      <c r="J6264" s="1125"/>
    </row>
    <row r="6265" spans="9:10" x14ac:dyDescent="0.2">
      <c r="I6265" s="1125"/>
      <c r="J6265" s="1125"/>
    </row>
    <row r="6266" spans="9:10" x14ac:dyDescent="0.2">
      <c r="I6266" s="1125"/>
      <c r="J6266" s="1125"/>
    </row>
    <row r="6267" spans="9:10" x14ac:dyDescent="0.2">
      <c r="I6267" s="1125"/>
      <c r="J6267" s="1125"/>
    </row>
    <row r="6268" spans="9:10" x14ac:dyDescent="0.2">
      <c r="I6268" s="1125"/>
      <c r="J6268" s="1125"/>
    </row>
    <row r="6269" spans="9:10" x14ac:dyDescent="0.2">
      <c r="I6269" s="1125"/>
      <c r="J6269" s="1125"/>
    </row>
    <row r="6270" spans="9:10" x14ac:dyDescent="0.2">
      <c r="I6270" s="1125"/>
      <c r="J6270" s="1125"/>
    </row>
    <row r="6271" spans="9:10" x14ac:dyDescent="0.2">
      <c r="I6271" s="1125"/>
      <c r="J6271" s="1125"/>
    </row>
    <row r="6272" spans="9:10" x14ac:dyDescent="0.2">
      <c r="I6272" s="1125"/>
      <c r="J6272" s="1125"/>
    </row>
    <row r="6273" spans="9:10" x14ac:dyDescent="0.2">
      <c r="I6273" s="1125"/>
      <c r="J6273" s="1125"/>
    </row>
    <row r="6274" spans="9:10" x14ac:dyDescent="0.2">
      <c r="I6274" s="1125"/>
      <c r="J6274" s="1125"/>
    </row>
    <row r="6275" spans="9:10" x14ac:dyDescent="0.2">
      <c r="I6275" s="1125"/>
      <c r="J6275" s="1125"/>
    </row>
    <row r="6276" spans="9:10" x14ac:dyDescent="0.2">
      <c r="I6276" s="1125"/>
      <c r="J6276" s="1125"/>
    </row>
    <row r="6277" spans="9:10" x14ac:dyDescent="0.2">
      <c r="I6277" s="1125"/>
      <c r="J6277" s="1125"/>
    </row>
    <row r="6278" spans="9:10" x14ac:dyDescent="0.2">
      <c r="I6278" s="1125"/>
      <c r="J6278" s="1125"/>
    </row>
    <row r="6279" spans="9:10" x14ac:dyDescent="0.2">
      <c r="I6279" s="1125"/>
      <c r="J6279" s="1125"/>
    </row>
    <row r="6280" spans="9:10" x14ac:dyDescent="0.2">
      <c r="I6280" s="1125"/>
      <c r="J6280" s="1125"/>
    </row>
    <row r="6281" spans="9:10" x14ac:dyDescent="0.2">
      <c r="I6281" s="1125"/>
      <c r="J6281" s="1125"/>
    </row>
    <row r="6282" spans="9:10" x14ac:dyDescent="0.2">
      <c r="I6282" s="1125"/>
      <c r="J6282" s="1125"/>
    </row>
    <row r="6283" spans="9:10" x14ac:dyDescent="0.2">
      <c r="I6283" s="1125"/>
      <c r="J6283" s="1125"/>
    </row>
    <row r="6284" spans="9:10" x14ac:dyDescent="0.2">
      <c r="I6284" s="1125"/>
      <c r="J6284" s="1125"/>
    </row>
    <row r="6285" spans="9:10" x14ac:dyDescent="0.2">
      <c r="I6285" s="1125"/>
      <c r="J6285" s="1125"/>
    </row>
    <row r="6286" spans="9:10" x14ac:dyDescent="0.2">
      <c r="I6286" s="1125"/>
      <c r="J6286" s="1125"/>
    </row>
    <row r="6287" spans="9:10" x14ac:dyDescent="0.2">
      <c r="I6287" s="1125"/>
      <c r="J6287" s="1125"/>
    </row>
    <row r="6288" spans="9:10" x14ac:dyDescent="0.2">
      <c r="I6288" s="1125"/>
      <c r="J6288" s="1125"/>
    </row>
    <row r="6289" spans="9:10" x14ac:dyDescent="0.2">
      <c r="I6289" s="1125"/>
      <c r="J6289" s="1125"/>
    </row>
    <row r="6290" spans="9:10" x14ac:dyDescent="0.2">
      <c r="I6290" s="1125"/>
      <c r="J6290" s="1125"/>
    </row>
    <row r="6291" spans="9:10" x14ac:dyDescent="0.2">
      <c r="I6291" s="1125"/>
      <c r="J6291" s="1125"/>
    </row>
    <row r="6292" spans="9:10" x14ac:dyDescent="0.2">
      <c r="I6292" s="1125"/>
      <c r="J6292" s="1125"/>
    </row>
    <row r="6293" spans="9:10" x14ac:dyDescent="0.2">
      <c r="I6293" s="1125"/>
      <c r="J6293" s="1125"/>
    </row>
    <row r="6294" spans="9:10" x14ac:dyDescent="0.2">
      <c r="I6294" s="1125"/>
      <c r="J6294" s="1125"/>
    </row>
    <row r="6295" spans="9:10" x14ac:dyDescent="0.2">
      <c r="I6295" s="1125"/>
      <c r="J6295" s="1125"/>
    </row>
    <row r="6296" spans="9:10" x14ac:dyDescent="0.2">
      <c r="I6296" s="1125"/>
      <c r="J6296" s="1125"/>
    </row>
    <row r="6297" spans="9:10" x14ac:dyDescent="0.2">
      <c r="I6297" s="1125"/>
      <c r="J6297" s="1125"/>
    </row>
    <row r="6298" spans="9:10" x14ac:dyDescent="0.2">
      <c r="I6298" s="1125"/>
      <c r="J6298" s="1125"/>
    </row>
    <row r="6299" spans="9:10" x14ac:dyDescent="0.2">
      <c r="I6299" s="1125"/>
      <c r="J6299" s="1125"/>
    </row>
    <row r="6300" spans="9:10" x14ac:dyDescent="0.2">
      <c r="I6300" s="1125"/>
      <c r="J6300" s="1125"/>
    </row>
    <row r="6301" spans="9:10" x14ac:dyDescent="0.2">
      <c r="I6301" s="1125"/>
      <c r="J6301" s="1125"/>
    </row>
    <row r="6302" spans="9:10" x14ac:dyDescent="0.2">
      <c r="I6302" s="1125"/>
      <c r="J6302" s="1125"/>
    </row>
    <row r="6303" spans="9:10" x14ac:dyDescent="0.2">
      <c r="I6303" s="1125"/>
      <c r="J6303" s="1125"/>
    </row>
    <row r="6304" spans="9:10" x14ac:dyDescent="0.2">
      <c r="I6304" s="1125"/>
      <c r="J6304" s="1125"/>
    </row>
    <row r="6305" spans="9:10" x14ac:dyDescent="0.2">
      <c r="I6305" s="1125"/>
      <c r="J6305" s="1125"/>
    </row>
    <row r="6306" spans="9:10" x14ac:dyDescent="0.2">
      <c r="I6306" s="1125"/>
      <c r="J6306" s="1125"/>
    </row>
    <row r="6307" spans="9:10" x14ac:dyDescent="0.2">
      <c r="I6307" s="1125"/>
      <c r="J6307" s="1125"/>
    </row>
    <row r="6308" spans="9:10" x14ac:dyDescent="0.2">
      <c r="I6308" s="1125"/>
      <c r="J6308" s="1125"/>
    </row>
    <row r="6309" spans="9:10" x14ac:dyDescent="0.2">
      <c r="I6309" s="1125"/>
      <c r="J6309" s="1125"/>
    </row>
    <row r="6310" spans="9:10" x14ac:dyDescent="0.2">
      <c r="I6310" s="1125"/>
      <c r="J6310" s="1125"/>
    </row>
    <row r="6311" spans="9:10" x14ac:dyDescent="0.2">
      <c r="I6311" s="1125"/>
      <c r="J6311" s="1125"/>
    </row>
    <row r="6312" spans="9:10" x14ac:dyDescent="0.2">
      <c r="I6312" s="1125"/>
      <c r="J6312" s="1125"/>
    </row>
    <row r="6313" spans="9:10" x14ac:dyDescent="0.2">
      <c r="I6313" s="1125"/>
      <c r="J6313" s="1125"/>
    </row>
    <row r="6314" spans="9:10" x14ac:dyDescent="0.2">
      <c r="I6314" s="1125"/>
      <c r="J6314" s="1125"/>
    </row>
    <row r="6315" spans="9:10" x14ac:dyDescent="0.2">
      <c r="I6315" s="1125"/>
      <c r="J6315" s="1125"/>
    </row>
    <row r="6316" spans="9:10" x14ac:dyDescent="0.2">
      <c r="I6316" s="1125"/>
      <c r="J6316" s="1125"/>
    </row>
    <row r="6317" spans="9:10" x14ac:dyDescent="0.2">
      <c r="I6317" s="1125"/>
      <c r="J6317" s="1125"/>
    </row>
    <row r="6318" spans="9:10" x14ac:dyDescent="0.2">
      <c r="I6318" s="1125"/>
      <c r="J6318" s="1125"/>
    </row>
    <row r="6319" spans="9:10" x14ac:dyDescent="0.2">
      <c r="I6319" s="1125"/>
      <c r="J6319" s="1125"/>
    </row>
    <row r="6320" spans="9:10" x14ac:dyDescent="0.2">
      <c r="I6320" s="1125"/>
      <c r="J6320" s="1125"/>
    </row>
    <row r="6321" spans="9:10" x14ac:dyDescent="0.2">
      <c r="I6321" s="1125"/>
      <c r="J6321" s="1125"/>
    </row>
    <row r="6322" spans="9:10" x14ac:dyDescent="0.2">
      <c r="I6322" s="1125"/>
      <c r="J6322" s="1125"/>
    </row>
    <row r="6323" spans="9:10" x14ac:dyDescent="0.2">
      <c r="I6323" s="1125"/>
      <c r="J6323" s="1125"/>
    </row>
    <row r="6324" spans="9:10" x14ac:dyDescent="0.2">
      <c r="I6324" s="1125"/>
      <c r="J6324" s="1125"/>
    </row>
    <row r="6325" spans="9:10" x14ac:dyDescent="0.2">
      <c r="I6325" s="1125"/>
      <c r="J6325" s="1125"/>
    </row>
    <row r="6326" spans="9:10" x14ac:dyDescent="0.2">
      <c r="I6326" s="1125"/>
      <c r="J6326" s="1125"/>
    </row>
    <row r="6327" spans="9:10" x14ac:dyDescent="0.2">
      <c r="I6327" s="1125"/>
      <c r="J6327" s="1125"/>
    </row>
    <row r="6328" spans="9:10" x14ac:dyDescent="0.2">
      <c r="I6328" s="1125"/>
      <c r="J6328" s="1125"/>
    </row>
    <row r="6329" spans="9:10" x14ac:dyDescent="0.2">
      <c r="I6329" s="1125"/>
      <c r="J6329" s="1125"/>
    </row>
    <row r="6330" spans="9:10" x14ac:dyDescent="0.2">
      <c r="I6330" s="1125"/>
      <c r="J6330" s="1125"/>
    </row>
    <row r="6331" spans="9:10" x14ac:dyDescent="0.2">
      <c r="I6331" s="1125"/>
      <c r="J6331" s="1125"/>
    </row>
    <row r="6332" spans="9:10" x14ac:dyDescent="0.2">
      <c r="I6332" s="1125"/>
      <c r="J6332" s="1125"/>
    </row>
    <row r="6333" spans="9:10" x14ac:dyDescent="0.2">
      <c r="I6333" s="1125"/>
      <c r="J6333" s="1125"/>
    </row>
    <row r="6334" spans="9:10" x14ac:dyDescent="0.2">
      <c r="I6334" s="1125"/>
      <c r="J6334" s="1125"/>
    </row>
    <row r="6335" spans="9:10" x14ac:dyDescent="0.2">
      <c r="I6335" s="1125"/>
      <c r="J6335" s="1125"/>
    </row>
    <row r="6336" spans="9:10" x14ac:dyDescent="0.2">
      <c r="I6336" s="1125"/>
      <c r="J6336" s="1125"/>
    </row>
    <row r="6337" spans="9:10" x14ac:dyDescent="0.2">
      <c r="I6337" s="1125"/>
      <c r="J6337" s="1125"/>
    </row>
    <row r="6338" spans="9:10" x14ac:dyDescent="0.2">
      <c r="I6338" s="1125"/>
      <c r="J6338" s="1125"/>
    </row>
    <row r="6339" spans="9:10" x14ac:dyDescent="0.2">
      <c r="I6339" s="1125"/>
      <c r="J6339" s="1125"/>
    </row>
    <row r="6340" spans="9:10" x14ac:dyDescent="0.2">
      <c r="I6340" s="1125"/>
      <c r="J6340" s="1125"/>
    </row>
    <row r="6341" spans="9:10" x14ac:dyDescent="0.2">
      <c r="I6341" s="1125"/>
      <c r="J6341" s="1125"/>
    </row>
    <row r="6342" spans="9:10" x14ac:dyDescent="0.2">
      <c r="I6342" s="1125"/>
      <c r="J6342" s="1125"/>
    </row>
    <row r="6343" spans="9:10" x14ac:dyDescent="0.2">
      <c r="I6343" s="1125"/>
      <c r="J6343" s="1125"/>
    </row>
    <row r="6344" spans="9:10" x14ac:dyDescent="0.2">
      <c r="I6344" s="1125"/>
      <c r="J6344" s="1125"/>
    </row>
    <row r="6345" spans="9:10" x14ac:dyDescent="0.2">
      <c r="I6345" s="1125"/>
      <c r="J6345" s="1125"/>
    </row>
    <row r="6346" spans="9:10" x14ac:dyDescent="0.2">
      <c r="I6346" s="1125"/>
      <c r="J6346" s="1125"/>
    </row>
    <row r="6347" spans="9:10" x14ac:dyDescent="0.2">
      <c r="I6347" s="1125"/>
      <c r="J6347" s="1125"/>
    </row>
    <row r="6348" spans="9:10" x14ac:dyDescent="0.2">
      <c r="I6348" s="1125"/>
      <c r="J6348" s="1125"/>
    </row>
    <row r="6349" spans="9:10" x14ac:dyDescent="0.2">
      <c r="I6349" s="1125"/>
      <c r="J6349" s="1125"/>
    </row>
    <row r="6350" spans="9:10" x14ac:dyDescent="0.2">
      <c r="I6350" s="1125"/>
      <c r="J6350" s="1125"/>
    </row>
    <row r="6351" spans="9:10" x14ac:dyDescent="0.2">
      <c r="I6351" s="1125"/>
      <c r="J6351" s="1125"/>
    </row>
    <row r="6352" spans="9:10" x14ac:dyDescent="0.2">
      <c r="I6352" s="1125"/>
      <c r="J6352" s="1125"/>
    </row>
    <row r="6353" spans="9:10" x14ac:dyDescent="0.2">
      <c r="I6353" s="1125"/>
      <c r="J6353" s="1125"/>
    </row>
    <row r="6354" spans="9:10" x14ac:dyDescent="0.2">
      <c r="I6354" s="1125"/>
      <c r="J6354" s="1125"/>
    </row>
    <row r="6355" spans="9:10" x14ac:dyDescent="0.2">
      <c r="I6355" s="1125"/>
      <c r="J6355" s="1125"/>
    </row>
    <row r="6356" spans="9:10" x14ac:dyDescent="0.2">
      <c r="I6356" s="1125"/>
      <c r="J6356" s="1125"/>
    </row>
    <row r="6357" spans="9:10" x14ac:dyDescent="0.2">
      <c r="I6357" s="1125"/>
      <c r="J6357" s="1125"/>
    </row>
    <row r="6358" spans="9:10" x14ac:dyDescent="0.2">
      <c r="I6358" s="1125"/>
      <c r="J6358" s="1125"/>
    </row>
    <row r="6359" spans="9:10" x14ac:dyDescent="0.2">
      <c r="I6359" s="1125"/>
      <c r="J6359" s="1125"/>
    </row>
    <row r="6360" spans="9:10" x14ac:dyDescent="0.2">
      <c r="I6360" s="1125"/>
      <c r="J6360" s="1125"/>
    </row>
    <row r="6361" spans="9:10" x14ac:dyDescent="0.2">
      <c r="I6361" s="1125"/>
      <c r="J6361" s="1125"/>
    </row>
    <row r="6362" spans="9:10" x14ac:dyDescent="0.2">
      <c r="I6362" s="1125"/>
      <c r="J6362" s="1125"/>
    </row>
    <row r="6363" spans="9:10" x14ac:dyDescent="0.2">
      <c r="I6363" s="1125"/>
      <c r="J6363" s="1125"/>
    </row>
    <row r="6364" spans="9:10" x14ac:dyDescent="0.2">
      <c r="I6364" s="1125"/>
      <c r="J6364" s="1125"/>
    </row>
    <row r="6365" spans="9:10" x14ac:dyDescent="0.2">
      <c r="I6365" s="1125"/>
      <c r="J6365" s="1125"/>
    </row>
    <row r="6366" spans="9:10" x14ac:dyDescent="0.2">
      <c r="I6366" s="1125"/>
      <c r="J6366" s="1125"/>
    </row>
    <row r="6367" spans="9:10" x14ac:dyDescent="0.2">
      <c r="I6367" s="1125"/>
      <c r="J6367" s="1125"/>
    </row>
    <row r="6368" spans="9:10" x14ac:dyDescent="0.2">
      <c r="I6368" s="1125"/>
      <c r="J6368" s="1125"/>
    </row>
    <row r="6369" spans="9:10" x14ac:dyDescent="0.2">
      <c r="I6369" s="1125"/>
      <c r="J6369" s="1125"/>
    </row>
    <row r="6370" spans="9:10" x14ac:dyDescent="0.2">
      <c r="I6370" s="1125"/>
      <c r="J6370" s="1125"/>
    </row>
    <row r="6371" spans="9:10" x14ac:dyDescent="0.2">
      <c r="I6371" s="1125"/>
      <c r="J6371" s="1125"/>
    </row>
    <row r="6372" spans="9:10" x14ac:dyDescent="0.2">
      <c r="I6372" s="1125"/>
      <c r="J6372" s="1125"/>
    </row>
    <row r="6373" spans="9:10" x14ac:dyDescent="0.2">
      <c r="I6373" s="1125"/>
      <c r="J6373" s="1125"/>
    </row>
    <row r="6374" spans="9:10" x14ac:dyDescent="0.2">
      <c r="I6374" s="1125"/>
      <c r="J6374" s="1125"/>
    </row>
    <row r="6375" spans="9:10" x14ac:dyDescent="0.2">
      <c r="I6375" s="1125"/>
      <c r="J6375" s="1125"/>
    </row>
    <row r="6376" spans="9:10" x14ac:dyDescent="0.2">
      <c r="I6376" s="1125"/>
      <c r="J6376" s="1125"/>
    </row>
    <row r="6377" spans="9:10" x14ac:dyDescent="0.2">
      <c r="I6377" s="1125"/>
      <c r="J6377" s="1125"/>
    </row>
    <row r="6378" spans="9:10" x14ac:dyDescent="0.2">
      <c r="I6378" s="1125"/>
      <c r="J6378" s="1125"/>
    </row>
    <row r="6379" spans="9:10" x14ac:dyDescent="0.2">
      <c r="I6379" s="1125"/>
      <c r="J6379" s="1125"/>
    </row>
    <row r="6380" spans="9:10" x14ac:dyDescent="0.2">
      <c r="I6380" s="1125"/>
      <c r="J6380" s="1125"/>
    </row>
    <row r="6381" spans="9:10" x14ac:dyDescent="0.2">
      <c r="I6381" s="1125"/>
      <c r="J6381" s="1125"/>
    </row>
    <row r="6382" spans="9:10" x14ac:dyDescent="0.2">
      <c r="I6382" s="1125"/>
      <c r="J6382" s="1125"/>
    </row>
    <row r="6383" spans="9:10" x14ac:dyDescent="0.2">
      <c r="I6383" s="1125"/>
      <c r="J6383" s="1125"/>
    </row>
    <row r="6384" spans="9:10" x14ac:dyDescent="0.2">
      <c r="I6384" s="1125"/>
      <c r="J6384" s="1125"/>
    </row>
    <row r="6385" spans="9:10" x14ac:dyDescent="0.2">
      <c r="I6385" s="1125"/>
      <c r="J6385" s="1125"/>
    </row>
    <row r="6386" spans="9:10" x14ac:dyDescent="0.2">
      <c r="I6386" s="1125"/>
      <c r="J6386" s="1125"/>
    </row>
    <row r="6387" spans="9:10" x14ac:dyDescent="0.2">
      <c r="I6387" s="1125"/>
      <c r="J6387" s="1125"/>
    </row>
    <row r="6388" spans="9:10" x14ac:dyDescent="0.2">
      <c r="I6388" s="1125"/>
      <c r="J6388" s="1125"/>
    </row>
    <row r="6389" spans="9:10" x14ac:dyDescent="0.2">
      <c r="I6389" s="1125"/>
      <c r="J6389" s="1125"/>
    </row>
    <row r="6390" spans="9:10" x14ac:dyDescent="0.2">
      <c r="I6390" s="1125"/>
      <c r="J6390" s="1125"/>
    </row>
    <row r="6391" spans="9:10" x14ac:dyDescent="0.2">
      <c r="I6391" s="1125"/>
      <c r="J6391" s="1125"/>
    </row>
    <row r="6392" spans="9:10" x14ac:dyDescent="0.2">
      <c r="I6392" s="1125"/>
      <c r="J6392" s="1125"/>
    </row>
    <row r="6393" spans="9:10" x14ac:dyDescent="0.2">
      <c r="I6393" s="1125"/>
      <c r="J6393" s="1125"/>
    </row>
    <row r="6394" spans="9:10" x14ac:dyDescent="0.2">
      <c r="I6394" s="1125"/>
      <c r="J6394" s="1125"/>
    </row>
    <row r="6395" spans="9:10" x14ac:dyDescent="0.2">
      <c r="I6395" s="1125"/>
      <c r="J6395" s="1125"/>
    </row>
    <row r="6396" spans="9:10" x14ac:dyDescent="0.2">
      <c r="I6396" s="1125"/>
      <c r="J6396" s="1125"/>
    </row>
    <row r="6397" spans="9:10" x14ac:dyDescent="0.2">
      <c r="I6397" s="1125"/>
      <c r="J6397" s="1125"/>
    </row>
    <row r="6398" spans="9:10" x14ac:dyDescent="0.2">
      <c r="I6398" s="1125"/>
      <c r="J6398" s="1125"/>
    </row>
    <row r="6399" spans="9:10" x14ac:dyDescent="0.2">
      <c r="I6399" s="1125"/>
      <c r="J6399" s="1125"/>
    </row>
    <row r="6400" spans="9:10" x14ac:dyDescent="0.2">
      <c r="I6400" s="1125"/>
      <c r="J6400" s="1125"/>
    </row>
    <row r="6401" spans="9:10" x14ac:dyDescent="0.2">
      <c r="I6401" s="1125"/>
      <c r="J6401" s="1125"/>
    </row>
    <row r="6402" spans="9:10" x14ac:dyDescent="0.2">
      <c r="I6402" s="1125"/>
      <c r="J6402" s="1125"/>
    </row>
    <row r="6403" spans="9:10" x14ac:dyDescent="0.2">
      <c r="I6403" s="1125"/>
      <c r="J6403" s="1125"/>
    </row>
    <row r="6404" spans="9:10" x14ac:dyDescent="0.2">
      <c r="I6404" s="1125"/>
      <c r="J6404" s="1125"/>
    </row>
    <row r="6405" spans="9:10" x14ac:dyDescent="0.2">
      <c r="I6405" s="1125"/>
      <c r="J6405" s="1125"/>
    </row>
    <row r="6406" spans="9:10" x14ac:dyDescent="0.2">
      <c r="I6406" s="1125"/>
      <c r="J6406" s="1125"/>
    </row>
    <row r="6407" spans="9:10" x14ac:dyDescent="0.2">
      <c r="I6407" s="1125"/>
      <c r="J6407" s="1125"/>
    </row>
    <row r="6408" spans="9:10" x14ac:dyDescent="0.2">
      <c r="I6408" s="1125"/>
      <c r="J6408" s="1125"/>
    </row>
    <row r="6409" spans="9:10" x14ac:dyDescent="0.2">
      <c r="I6409" s="1125"/>
      <c r="J6409" s="1125"/>
    </row>
    <row r="6410" spans="9:10" x14ac:dyDescent="0.2">
      <c r="I6410" s="1125"/>
      <c r="J6410" s="1125"/>
    </row>
    <row r="6411" spans="9:10" x14ac:dyDescent="0.2">
      <c r="I6411" s="1125"/>
      <c r="J6411" s="1125"/>
    </row>
    <row r="6412" spans="9:10" x14ac:dyDescent="0.2">
      <c r="I6412" s="1125"/>
      <c r="J6412" s="1125"/>
    </row>
    <row r="6413" spans="9:10" x14ac:dyDescent="0.2">
      <c r="I6413" s="1125"/>
      <c r="J6413" s="1125"/>
    </row>
    <row r="6414" spans="9:10" x14ac:dyDescent="0.2">
      <c r="I6414" s="1125"/>
      <c r="J6414" s="1125"/>
    </row>
    <row r="6415" spans="9:10" x14ac:dyDescent="0.2">
      <c r="I6415" s="1125"/>
      <c r="J6415" s="1125"/>
    </row>
    <row r="6416" spans="9:10" x14ac:dyDescent="0.2">
      <c r="I6416" s="1125"/>
      <c r="J6416" s="1125"/>
    </row>
    <row r="6417" spans="9:10" x14ac:dyDescent="0.2">
      <c r="I6417" s="1125"/>
      <c r="J6417" s="1125"/>
    </row>
    <row r="6418" spans="9:10" x14ac:dyDescent="0.2">
      <c r="I6418" s="1125"/>
      <c r="J6418" s="1125"/>
    </row>
    <row r="6419" spans="9:10" x14ac:dyDescent="0.2">
      <c r="I6419" s="1125"/>
      <c r="J6419" s="1125"/>
    </row>
    <row r="6420" spans="9:10" x14ac:dyDescent="0.2">
      <c r="I6420" s="1125"/>
      <c r="J6420" s="1125"/>
    </row>
    <row r="6421" spans="9:10" x14ac:dyDescent="0.2">
      <c r="I6421" s="1125"/>
      <c r="J6421" s="1125"/>
    </row>
    <row r="6422" spans="9:10" x14ac:dyDescent="0.2">
      <c r="I6422" s="1125"/>
      <c r="J6422" s="1125"/>
    </row>
    <row r="6423" spans="9:10" x14ac:dyDescent="0.2">
      <c r="I6423" s="1125"/>
      <c r="J6423" s="1125"/>
    </row>
    <row r="6424" spans="9:10" x14ac:dyDescent="0.2">
      <c r="I6424" s="1125"/>
      <c r="J6424" s="1125"/>
    </row>
    <row r="6425" spans="9:10" x14ac:dyDescent="0.2">
      <c r="I6425" s="1125"/>
      <c r="J6425" s="1125"/>
    </row>
    <row r="6426" spans="9:10" x14ac:dyDescent="0.2">
      <c r="I6426" s="1125"/>
      <c r="J6426" s="1125"/>
    </row>
    <row r="6427" spans="9:10" x14ac:dyDescent="0.2">
      <c r="I6427" s="1125"/>
      <c r="J6427" s="1125"/>
    </row>
    <row r="6428" spans="9:10" x14ac:dyDescent="0.2">
      <c r="I6428" s="1125"/>
      <c r="J6428" s="1125"/>
    </row>
    <row r="6429" spans="9:10" x14ac:dyDescent="0.2">
      <c r="I6429" s="1125"/>
      <c r="J6429" s="1125"/>
    </row>
    <row r="6430" spans="9:10" x14ac:dyDescent="0.2">
      <c r="I6430" s="1125"/>
      <c r="J6430" s="1125"/>
    </row>
    <row r="6431" spans="9:10" x14ac:dyDescent="0.2">
      <c r="I6431" s="1125"/>
      <c r="J6431" s="1125"/>
    </row>
    <row r="6432" spans="9:10" x14ac:dyDescent="0.2">
      <c r="I6432" s="1125"/>
      <c r="J6432" s="1125"/>
    </row>
    <row r="6433" spans="9:10" x14ac:dyDescent="0.2">
      <c r="I6433" s="1125"/>
      <c r="J6433" s="1125"/>
    </row>
    <row r="6434" spans="9:10" x14ac:dyDescent="0.2">
      <c r="I6434" s="1125"/>
      <c r="J6434" s="1125"/>
    </row>
    <row r="6435" spans="9:10" x14ac:dyDescent="0.2">
      <c r="I6435" s="1125"/>
      <c r="J6435" s="1125"/>
    </row>
    <row r="6436" spans="9:10" x14ac:dyDescent="0.2">
      <c r="I6436" s="1125"/>
      <c r="J6436" s="1125"/>
    </row>
    <row r="6437" spans="9:10" x14ac:dyDescent="0.2">
      <c r="I6437" s="1125"/>
      <c r="J6437" s="1125"/>
    </row>
    <row r="6438" spans="9:10" x14ac:dyDescent="0.2">
      <c r="I6438" s="1125"/>
      <c r="J6438" s="1125"/>
    </row>
    <row r="6439" spans="9:10" x14ac:dyDescent="0.2">
      <c r="I6439" s="1125"/>
      <c r="J6439" s="1125"/>
    </row>
    <row r="6440" spans="9:10" x14ac:dyDescent="0.2">
      <c r="I6440" s="1125"/>
      <c r="J6440" s="1125"/>
    </row>
    <row r="6441" spans="9:10" x14ac:dyDescent="0.2">
      <c r="I6441" s="1125"/>
      <c r="J6441" s="1125"/>
    </row>
    <row r="6442" spans="9:10" x14ac:dyDescent="0.2">
      <c r="I6442" s="1125"/>
      <c r="J6442" s="1125"/>
    </row>
    <row r="6443" spans="9:10" x14ac:dyDescent="0.2">
      <c r="I6443" s="1125"/>
      <c r="J6443" s="1125"/>
    </row>
    <row r="6444" spans="9:10" x14ac:dyDescent="0.2">
      <c r="I6444" s="1125"/>
      <c r="J6444" s="1125"/>
    </row>
    <row r="6445" spans="9:10" x14ac:dyDescent="0.2">
      <c r="I6445" s="1125"/>
      <c r="J6445" s="1125"/>
    </row>
    <row r="6446" spans="9:10" x14ac:dyDescent="0.2">
      <c r="I6446" s="1125"/>
      <c r="J6446" s="1125"/>
    </row>
    <row r="6447" spans="9:10" x14ac:dyDescent="0.2">
      <c r="I6447" s="1125"/>
      <c r="J6447" s="1125"/>
    </row>
    <row r="6448" spans="9:10" x14ac:dyDescent="0.2">
      <c r="I6448" s="1125"/>
      <c r="J6448" s="1125"/>
    </row>
    <row r="6449" spans="9:10" x14ac:dyDescent="0.2">
      <c r="I6449" s="1125"/>
      <c r="J6449" s="1125"/>
    </row>
    <row r="6450" spans="9:10" x14ac:dyDescent="0.2">
      <c r="I6450" s="1125"/>
      <c r="J6450" s="1125"/>
    </row>
    <row r="6451" spans="9:10" x14ac:dyDescent="0.2">
      <c r="I6451" s="1125"/>
      <c r="J6451" s="1125"/>
    </row>
    <row r="6452" spans="9:10" x14ac:dyDescent="0.2">
      <c r="I6452" s="1125"/>
      <c r="J6452" s="1125"/>
    </row>
    <row r="6453" spans="9:10" x14ac:dyDescent="0.2">
      <c r="I6453" s="1125"/>
      <c r="J6453" s="1125"/>
    </row>
    <row r="6454" spans="9:10" x14ac:dyDescent="0.2">
      <c r="I6454" s="1125"/>
      <c r="J6454" s="1125"/>
    </row>
    <row r="6455" spans="9:10" x14ac:dyDescent="0.2">
      <c r="I6455" s="1125"/>
      <c r="J6455" s="1125"/>
    </row>
    <row r="6456" spans="9:10" x14ac:dyDescent="0.2">
      <c r="I6456" s="1125"/>
      <c r="J6456" s="1125"/>
    </row>
    <row r="6457" spans="9:10" x14ac:dyDescent="0.2">
      <c r="I6457" s="1125"/>
      <c r="J6457" s="1125"/>
    </row>
    <row r="6458" spans="9:10" x14ac:dyDescent="0.2">
      <c r="I6458" s="1125"/>
      <c r="J6458" s="1125"/>
    </row>
    <row r="6459" spans="9:10" x14ac:dyDescent="0.2">
      <c r="I6459" s="1125"/>
      <c r="J6459" s="1125"/>
    </row>
    <row r="6460" spans="9:10" x14ac:dyDescent="0.2">
      <c r="I6460" s="1125"/>
      <c r="J6460" s="1125"/>
    </row>
    <row r="6461" spans="9:10" x14ac:dyDescent="0.2">
      <c r="I6461" s="1125"/>
      <c r="J6461" s="1125"/>
    </row>
    <row r="6462" spans="9:10" x14ac:dyDescent="0.2">
      <c r="I6462" s="1125"/>
      <c r="J6462" s="1125"/>
    </row>
    <row r="6463" spans="9:10" x14ac:dyDescent="0.2">
      <c r="I6463" s="1125"/>
      <c r="J6463" s="1125"/>
    </row>
    <row r="6464" spans="9:10" x14ac:dyDescent="0.2">
      <c r="I6464" s="1125"/>
      <c r="J6464" s="1125"/>
    </row>
    <row r="6465" spans="9:10" x14ac:dyDescent="0.2">
      <c r="I6465" s="1125"/>
      <c r="J6465" s="1125"/>
    </row>
    <row r="6466" spans="9:10" x14ac:dyDescent="0.2">
      <c r="I6466" s="1125"/>
      <c r="J6466" s="1125"/>
    </row>
    <row r="6467" spans="9:10" x14ac:dyDescent="0.2">
      <c r="I6467" s="1125"/>
      <c r="J6467" s="1125"/>
    </row>
    <row r="6468" spans="9:10" x14ac:dyDescent="0.2">
      <c r="I6468" s="1125"/>
      <c r="J6468" s="1125"/>
    </row>
    <row r="6469" spans="9:10" x14ac:dyDescent="0.2">
      <c r="I6469" s="1125"/>
      <c r="J6469" s="1125"/>
    </row>
    <row r="6470" spans="9:10" x14ac:dyDescent="0.2">
      <c r="I6470" s="1125"/>
      <c r="J6470" s="1125"/>
    </row>
    <row r="6471" spans="9:10" x14ac:dyDescent="0.2">
      <c r="I6471" s="1125"/>
      <c r="J6471" s="1125"/>
    </row>
    <row r="6472" spans="9:10" x14ac:dyDescent="0.2">
      <c r="I6472" s="1125"/>
      <c r="J6472" s="1125"/>
    </row>
    <row r="6473" spans="9:10" x14ac:dyDescent="0.2">
      <c r="I6473" s="1125"/>
      <c r="J6473" s="1125"/>
    </row>
    <row r="6474" spans="9:10" x14ac:dyDescent="0.2">
      <c r="I6474" s="1125"/>
      <c r="J6474" s="1125"/>
    </row>
    <row r="6475" spans="9:10" x14ac:dyDescent="0.2">
      <c r="I6475" s="1125"/>
      <c r="J6475" s="1125"/>
    </row>
    <row r="6476" spans="9:10" x14ac:dyDescent="0.2">
      <c r="I6476" s="1125"/>
      <c r="J6476" s="1125"/>
    </row>
    <row r="6477" spans="9:10" x14ac:dyDescent="0.2">
      <c r="I6477" s="1125"/>
      <c r="J6477" s="1125"/>
    </row>
    <row r="6478" spans="9:10" x14ac:dyDescent="0.2">
      <c r="I6478" s="1125"/>
      <c r="J6478" s="1125"/>
    </row>
    <row r="6479" spans="9:10" x14ac:dyDescent="0.2">
      <c r="I6479" s="1125"/>
      <c r="J6479" s="1125"/>
    </row>
    <row r="6480" spans="9:10" x14ac:dyDescent="0.2">
      <c r="I6480" s="1125"/>
      <c r="J6480" s="1125"/>
    </row>
    <row r="6481" spans="9:10" x14ac:dyDescent="0.2">
      <c r="I6481" s="1125"/>
      <c r="J6481" s="1125"/>
    </row>
    <row r="6482" spans="9:10" x14ac:dyDescent="0.2">
      <c r="I6482" s="1125"/>
      <c r="J6482" s="1125"/>
    </row>
    <row r="6483" spans="9:10" x14ac:dyDescent="0.2">
      <c r="I6483" s="1125"/>
      <c r="J6483" s="1125"/>
    </row>
    <row r="6484" spans="9:10" x14ac:dyDescent="0.2">
      <c r="I6484" s="1125"/>
      <c r="J6484" s="1125"/>
    </row>
    <row r="6485" spans="9:10" x14ac:dyDescent="0.2">
      <c r="I6485" s="1125"/>
      <c r="J6485" s="1125"/>
    </row>
    <row r="6486" spans="9:10" x14ac:dyDescent="0.2">
      <c r="I6486" s="1125"/>
      <c r="J6486" s="1125"/>
    </row>
    <row r="6487" spans="9:10" x14ac:dyDescent="0.2">
      <c r="I6487" s="1125"/>
      <c r="J6487" s="1125"/>
    </row>
    <row r="6488" spans="9:10" x14ac:dyDescent="0.2">
      <c r="I6488" s="1125"/>
      <c r="J6488" s="1125"/>
    </row>
    <row r="6489" spans="9:10" x14ac:dyDescent="0.2">
      <c r="I6489" s="1125"/>
      <c r="J6489" s="1125"/>
    </row>
    <row r="6490" spans="9:10" x14ac:dyDescent="0.2">
      <c r="I6490" s="1125"/>
      <c r="J6490" s="1125"/>
    </row>
    <row r="6491" spans="9:10" x14ac:dyDescent="0.2">
      <c r="I6491" s="1125"/>
      <c r="J6491" s="1125"/>
    </row>
    <row r="6492" spans="9:10" x14ac:dyDescent="0.2">
      <c r="I6492" s="1125"/>
      <c r="J6492" s="1125"/>
    </row>
    <row r="6493" spans="9:10" x14ac:dyDescent="0.2">
      <c r="I6493" s="1125"/>
      <c r="J6493" s="1125"/>
    </row>
    <row r="6494" spans="9:10" x14ac:dyDescent="0.2">
      <c r="I6494" s="1125"/>
      <c r="J6494" s="1125"/>
    </row>
    <row r="6495" spans="9:10" x14ac:dyDescent="0.2">
      <c r="I6495" s="1125"/>
      <c r="J6495" s="1125"/>
    </row>
    <row r="6496" spans="9:10" x14ac:dyDescent="0.2">
      <c r="I6496" s="1125"/>
      <c r="J6496" s="1125"/>
    </row>
    <row r="6497" spans="9:10" x14ac:dyDescent="0.2">
      <c r="I6497" s="1125"/>
      <c r="J6497" s="1125"/>
    </row>
    <row r="6498" spans="9:10" x14ac:dyDescent="0.2">
      <c r="I6498" s="1125"/>
      <c r="J6498" s="1125"/>
    </row>
    <row r="6499" spans="9:10" x14ac:dyDescent="0.2">
      <c r="I6499" s="1125"/>
      <c r="J6499" s="1125"/>
    </row>
    <row r="6500" spans="9:10" x14ac:dyDescent="0.2">
      <c r="I6500" s="1125"/>
      <c r="J6500" s="1125"/>
    </row>
    <row r="6501" spans="9:10" x14ac:dyDescent="0.2">
      <c r="I6501" s="1125"/>
      <c r="J6501" s="1125"/>
    </row>
    <row r="6502" spans="9:10" x14ac:dyDescent="0.2">
      <c r="I6502" s="1125"/>
      <c r="J6502" s="1125"/>
    </row>
    <row r="6503" spans="9:10" x14ac:dyDescent="0.2">
      <c r="I6503" s="1125"/>
      <c r="J6503" s="1125"/>
    </row>
    <row r="6504" spans="9:10" x14ac:dyDescent="0.2">
      <c r="I6504" s="1125"/>
      <c r="J6504" s="1125"/>
    </row>
    <row r="6505" spans="9:10" x14ac:dyDescent="0.2">
      <c r="I6505" s="1125"/>
      <c r="J6505" s="1125"/>
    </row>
    <row r="6506" spans="9:10" x14ac:dyDescent="0.2">
      <c r="I6506" s="1125"/>
      <c r="J6506" s="1125"/>
    </row>
    <row r="6507" spans="9:10" x14ac:dyDescent="0.2">
      <c r="I6507" s="1125"/>
      <c r="J6507" s="1125"/>
    </row>
    <row r="6508" spans="9:10" x14ac:dyDescent="0.2">
      <c r="I6508" s="1125"/>
      <c r="J6508" s="1125"/>
    </row>
    <row r="6509" spans="9:10" x14ac:dyDescent="0.2">
      <c r="I6509" s="1125"/>
      <c r="J6509" s="1125"/>
    </row>
    <row r="6510" spans="9:10" x14ac:dyDescent="0.2">
      <c r="I6510" s="1125"/>
      <c r="J6510" s="1125"/>
    </row>
    <row r="6511" spans="9:10" x14ac:dyDescent="0.2">
      <c r="I6511" s="1125"/>
      <c r="J6511" s="1125"/>
    </row>
    <row r="6512" spans="9:10" x14ac:dyDescent="0.2">
      <c r="I6512" s="1125"/>
      <c r="J6512" s="1125"/>
    </row>
    <row r="6513" spans="9:10" x14ac:dyDescent="0.2">
      <c r="I6513" s="1125"/>
      <c r="J6513" s="1125"/>
    </row>
    <row r="6514" spans="9:10" x14ac:dyDescent="0.2">
      <c r="I6514" s="1125"/>
      <c r="J6514" s="1125"/>
    </row>
    <row r="6515" spans="9:10" x14ac:dyDescent="0.2">
      <c r="I6515" s="1125"/>
      <c r="J6515" s="1125"/>
    </row>
    <row r="6516" spans="9:10" x14ac:dyDescent="0.2">
      <c r="I6516" s="1125"/>
      <c r="J6516" s="1125"/>
    </row>
    <row r="6517" spans="9:10" x14ac:dyDescent="0.2">
      <c r="I6517" s="1125"/>
      <c r="J6517" s="1125"/>
    </row>
    <row r="6518" spans="9:10" x14ac:dyDescent="0.2">
      <c r="I6518" s="1125"/>
      <c r="J6518" s="1125"/>
    </row>
    <row r="6519" spans="9:10" x14ac:dyDescent="0.2">
      <c r="I6519" s="1125"/>
      <c r="J6519" s="1125"/>
    </row>
    <row r="6520" spans="9:10" x14ac:dyDescent="0.2">
      <c r="I6520" s="1125"/>
      <c r="J6520" s="1125"/>
    </row>
    <row r="6521" spans="9:10" x14ac:dyDescent="0.2">
      <c r="I6521" s="1125"/>
      <c r="J6521" s="1125"/>
    </row>
    <row r="6522" spans="9:10" x14ac:dyDescent="0.2">
      <c r="I6522" s="1125"/>
      <c r="J6522" s="1125"/>
    </row>
    <row r="6523" spans="9:10" x14ac:dyDescent="0.2">
      <c r="I6523" s="1125"/>
      <c r="J6523" s="1125"/>
    </row>
    <row r="6524" spans="9:10" x14ac:dyDescent="0.2">
      <c r="I6524" s="1125"/>
      <c r="J6524" s="1125"/>
    </row>
    <row r="6525" spans="9:10" x14ac:dyDescent="0.2">
      <c r="I6525" s="1125"/>
      <c r="J6525" s="1125"/>
    </row>
    <row r="6526" spans="9:10" x14ac:dyDescent="0.2">
      <c r="I6526" s="1125"/>
      <c r="J6526" s="1125"/>
    </row>
    <row r="6527" spans="9:10" x14ac:dyDescent="0.2">
      <c r="I6527" s="1125"/>
      <c r="J6527" s="1125"/>
    </row>
    <row r="6528" spans="9:10" x14ac:dyDescent="0.2">
      <c r="I6528" s="1125"/>
      <c r="J6528" s="1125"/>
    </row>
    <row r="6529" spans="9:10" x14ac:dyDescent="0.2">
      <c r="I6529" s="1125"/>
      <c r="J6529" s="1125"/>
    </row>
    <row r="6530" spans="9:10" x14ac:dyDescent="0.2">
      <c r="I6530" s="1125"/>
      <c r="J6530" s="1125"/>
    </row>
    <row r="6531" spans="9:10" x14ac:dyDescent="0.2">
      <c r="I6531" s="1125"/>
      <c r="J6531" s="1125"/>
    </row>
    <row r="6532" spans="9:10" x14ac:dyDescent="0.2">
      <c r="I6532" s="1125"/>
      <c r="J6532" s="1125"/>
    </row>
    <row r="6533" spans="9:10" x14ac:dyDescent="0.2">
      <c r="I6533" s="1125"/>
      <c r="J6533" s="1125"/>
    </row>
    <row r="6534" spans="9:10" x14ac:dyDescent="0.2">
      <c r="I6534" s="1125"/>
      <c r="J6534" s="1125"/>
    </row>
    <row r="6535" spans="9:10" x14ac:dyDescent="0.2">
      <c r="I6535" s="1125"/>
      <c r="J6535" s="1125"/>
    </row>
    <row r="6536" spans="9:10" x14ac:dyDescent="0.2">
      <c r="I6536" s="1125"/>
      <c r="J6536" s="1125"/>
    </row>
    <row r="6537" spans="9:10" x14ac:dyDescent="0.2">
      <c r="I6537" s="1125"/>
      <c r="J6537" s="1125"/>
    </row>
    <row r="6538" spans="9:10" x14ac:dyDescent="0.2">
      <c r="I6538" s="1125"/>
      <c r="J6538" s="1125"/>
    </row>
    <row r="6539" spans="9:10" x14ac:dyDescent="0.2">
      <c r="I6539" s="1125"/>
      <c r="J6539" s="1125"/>
    </row>
    <row r="6540" spans="9:10" x14ac:dyDescent="0.2">
      <c r="I6540" s="1125"/>
      <c r="J6540" s="1125"/>
    </row>
    <row r="6541" spans="9:10" x14ac:dyDescent="0.2">
      <c r="I6541" s="1125"/>
      <c r="J6541" s="1125"/>
    </row>
    <row r="6542" spans="9:10" x14ac:dyDescent="0.2">
      <c r="I6542" s="1125"/>
      <c r="J6542" s="1125"/>
    </row>
    <row r="6543" spans="9:10" x14ac:dyDescent="0.2">
      <c r="I6543" s="1125"/>
      <c r="J6543" s="1125"/>
    </row>
    <row r="6544" spans="9:10" x14ac:dyDescent="0.2">
      <c r="I6544" s="1125"/>
      <c r="J6544" s="1125"/>
    </row>
    <row r="6545" spans="9:10" x14ac:dyDescent="0.2">
      <c r="I6545" s="1125"/>
      <c r="J6545" s="1125"/>
    </row>
    <row r="6546" spans="9:10" x14ac:dyDescent="0.2">
      <c r="I6546" s="1125"/>
      <c r="J6546" s="1125"/>
    </row>
    <row r="6547" spans="9:10" x14ac:dyDescent="0.2">
      <c r="I6547" s="1125"/>
      <c r="J6547" s="1125"/>
    </row>
    <row r="6548" spans="9:10" x14ac:dyDescent="0.2">
      <c r="I6548" s="1125"/>
      <c r="J6548" s="1125"/>
    </row>
    <row r="6549" spans="9:10" x14ac:dyDescent="0.2">
      <c r="I6549" s="1125"/>
      <c r="J6549" s="1125"/>
    </row>
    <row r="6550" spans="9:10" x14ac:dyDescent="0.2">
      <c r="I6550" s="1125"/>
      <c r="J6550" s="1125"/>
    </row>
    <row r="6551" spans="9:10" x14ac:dyDescent="0.2">
      <c r="I6551" s="1125"/>
      <c r="J6551" s="1125"/>
    </row>
    <row r="6552" spans="9:10" x14ac:dyDescent="0.2">
      <c r="I6552" s="1125"/>
      <c r="J6552" s="1125"/>
    </row>
    <row r="6553" spans="9:10" x14ac:dyDescent="0.2">
      <c r="I6553" s="1125"/>
      <c r="J6553" s="1125"/>
    </row>
    <row r="6554" spans="9:10" x14ac:dyDescent="0.2">
      <c r="I6554" s="1125"/>
      <c r="J6554" s="1125"/>
    </row>
    <row r="6555" spans="9:10" x14ac:dyDescent="0.2">
      <c r="I6555" s="1125"/>
      <c r="J6555" s="1125"/>
    </row>
    <row r="6556" spans="9:10" x14ac:dyDescent="0.2">
      <c r="I6556" s="1125"/>
      <c r="J6556" s="1125"/>
    </row>
    <row r="6557" spans="9:10" x14ac:dyDescent="0.2">
      <c r="I6557" s="1125"/>
      <c r="J6557" s="1125"/>
    </row>
    <row r="6558" spans="9:10" x14ac:dyDescent="0.2">
      <c r="I6558" s="1125"/>
      <c r="J6558" s="1125"/>
    </row>
    <row r="6559" spans="9:10" x14ac:dyDescent="0.2">
      <c r="I6559" s="1125"/>
      <c r="J6559" s="1125"/>
    </row>
    <row r="6560" spans="9:10" x14ac:dyDescent="0.2">
      <c r="I6560" s="1125"/>
      <c r="J6560" s="1125"/>
    </row>
    <row r="6561" spans="9:10" x14ac:dyDescent="0.2">
      <c r="I6561" s="1125"/>
      <c r="J6561" s="1125"/>
    </row>
    <row r="6562" spans="9:10" x14ac:dyDescent="0.2">
      <c r="I6562" s="1125"/>
      <c r="J6562" s="1125"/>
    </row>
    <row r="6563" spans="9:10" x14ac:dyDescent="0.2">
      <c r="I6563" s="1125"/>
      <c r="J6563" s="1125"/>
    </row>
    <row r="6564" spans="9:10" x14ac:dyDescent="0.2">
      <c r="I6564" s="1125"/>
      <c r="J6564" s="1125"/>
    </row>
    <row r="6565" spans="9:10" x14ac:dyDescent="0.2">
      <c r="I6565" s="1125"/>
      <c r="J6565" s="1125"/>
    </row>
    <row r="6566" spans="9:10" x14ac:dyDescent="0.2">
      <c r="I6566" s="1125"/>
      <c r="J6566" s="1125"/>
    </row>
    <row r="6567" spans="9:10" x14ac:dyDescent="0.2">
      <c r="I6567" s="1125"/>
      <c r="J6567" s="1125"/>
    </row>
    <row r="6568" spans="9:10" x14ac:dyDescent="0.2">
      <c r="I6568" s="1125"/>
      <c r="J6568" s="1125"/>
    </row>
    <row r="6569" spans="9:10" x14ac:dyDescent="0.2">
      <c r="I6569" s="1125"/>
      <c r="J6569" s="1125"/>
    </row>
    <row r="6570" spans="9:10" x14ac:dyDescent="0.2">
      <c r="I6570" s="1125"/>
      <c r="J6570" s="1125"/>
    </row>
    <row r="6571" spans="9:10" x14ac:dyDescent="0.2">
      <c r="I6571" s="1125"/>
      <c r="J6571" s="1125"/>
    </row>
    <row r="6572" spans="9:10" x14ac:dyDescent="0.2">
      <c r="I6572" s="1125"/>
      <c r="J6572" s="1125"/>
    </row>
    <row r="6573" spans="9:10" x14ac:dyDescent="0.2">
      <c r="I6573" s="1125"/>
      <c r="J6573" s="1125"/>
    </row>
    <row r="6574" spans="9:10" x14ac:dyDescent="0.2">
      <c r="I6574" s="1125"/>
      <c r="J6574" s="1125"/>
    </row>
    <row r="6575" spans="9:10" x14ac:dyDescent="0.2">
      <c r="I6575" s="1125"/>
      <c r="J6575" s="1125"/>
    </row>
    <row r="6576" spans="9:10" x14ac:dyDescent="0.2">
      <c r="I6576" s="1125"/>
      <c r="J6576" s="1125"/>
    </row>
    <row r="6577" spans="9:10" x14ac:dyDescent="0.2">
      <c r="I6577" s="1125"/>
      <c r="J6577" s="1125"/>
    </row>
    <row r="6578" spans="9:10" x14ac:dyDescent="0.2">
      <c r="I6578" s="1125"/>
      <c r="J6578" s="1125"/>
    </row>
    <row r="6579" spans="9:10" x14ac:dyDescent="0.2">
      <c r="I6579" s="1125"/>
      <c r="J6579" s="1125"/>
    </row>
    <row r="6580" spans="9:10" x14ac:dyDescent="0.2">
      <c r="I6580" s="1125"/>
      <c r="J6580" s="1125"/>
    </row>
    <row r="6581" spans="9:10" x14ac:dyDescent="0.2">
      <c r="I6581" s="1125"/>
      <c r="J6581" s="1125"/>
    </row>
    <row r="6582" spans="9:10" x14ac:dyDescent="0.2">
      <c r="I6582" s="1125"/>
      <c r="J6582" s="1125"/>
    </row>
    <row r="6583" spans="9:10" x14ac:dyDescent="0.2">
      <c r="I6583" s="1125"/>
      <c r="J6583" s="1125"/>
    </row>
    <row r="6584" spans="9:10" x14ac:dyDescent="0.2">
      <c r="I6584" s="1125"/>
      <c r="J6584" s="1125"/>
    </row>
    <row r="6585" spans="9:10" x14ac:dyDescent="0.2">
      <c r="I6585" s="1125"/>
      <c r="J6585" s="1125"/>
    </row>
    <row r="6586" spans="9:10" x14ac:dyDescent="0.2">
      <c r="I6586" s="1125"/>
      <c r="J6586" s="1125"/>
    </row>
    <row r="6587" spans="9:10" x14ac:dyDescent="0.2">
      <c r="I6587" s="1125"/>
      <c r="J6587" s="1125"/>
    </row>
    <row r="6588" spans="9:10" x14ac:dyDescent="0.2">
      <c r="I6588" s="1125"/>
      <c r="J6588" s="1125"/>
    </row>
    <row r="6589" spans="9:10" x14ac:dyDescent="0.2">
      <c r="I6589" s="1125"/>
      <c r="J6589" s="1125"/>
    </row>
    <row r="6590" spans="9:10" x14ac:dyDescent="0.2">
      <c r="I6590" s="1125"/>
      <c r="J6590" s="1125"/>
    </row>
    <row r="6591" spans="9:10" x14ac:dyDescent="0.2">
      <c r="I6591" s="1125"/>
      <c r="J6591" s="1125"/>
    </row>
    <row r="6592" spans="9:10" x14ac:dyDescent="0.2">
      <c r="I6592" s="1125"/>
      <c r="J6592" s="1125"/>
    </row>
    <row r="6593" spans="9:10" x14ac:dyDescent="0.2">
      <c r="I6593" s="1125"/>
      <c r="J6593" s="1125"/>
    </row>
    <row r="6594" spans="9:10" x14ac:dyDescent="0.2">
      <c r="I6594" s="1125"/>
      <c r="J6594" s="1125"/>
    </row>
    <row r="6595" spans="9:10" x14ac:dyDescent="0.2">
      <c r="I6595" s="1125"/>
      <c r="J6595" s="1125"/>
    </row>
    <row r="6596" spans="9:10" x14ac:dyDescent="0.2">
      <c r="I6596" s="1125"/>
      <c r="J6596" s="1125"/>
    </row>
    <row r="6597" spans="9:10" x14ac:dyDescent="0.2">
      <c r="I6597" s="1125"/>
      <c r="J6597" s="1125"/>
    </row>
    <row r="6598" spans="9:10" x14ac:dyDescent="0.2">
      <c r="I6598" s="1125"/>
      <c r="J6598" s="1125"/>
    </row>
    <row r="6599" spans="9:10" x14ac:dyDescent="0.2">
      <c r="I6599" s="1125"/>
      <c r="J6599" s="1125"/>
    </row>
    <row r="6600" spans="9:10" x14ac:dyDescent="0.2">
      <c r="I6600" s="1125"/>
      <c r="J6600" s="1125"/>
    </row>
    <row r="6601" spans="9:10" x14ac:dyDescent="0.2">
      <c r="I6601" s="1125"/>
      <c r="J6601" s="1125"/>
    </row>
    <row r="6602" spans="9:10" x14ac:dyDescent="0.2">
      <c r="I6602" s="1125"/>
      <c r="J6602" s="1125"/>
    </row>
    <row r="6603" spans="9:10" x14ac:dyDescent="0.2">
      <c r="I6603" s="1125"/>
      <c r="J6603" s="1125"/>
    </row>
    <row r="6604" spans="9:10" x14ac:dyDescent="0.2">
      <c r="I6604" s="1125"/>
      <c r="J6604" s="1125"/>
    </row>
    <row r="6605" spans="9:10" x14ac:dyDescent="0.2">
      <c r="I6605" s="1125"/>
      <c r="J6605" s="1125"/>
    </row>
    <row r="6606" spans="9:10" x14ac:dyDescent="0.2">
      <c r="I6606" s="1125"/>
      <c r="J6606" s="1125"/>
    </row>
    <row r="6607" spans="9:10" x14ac:dyDescent="0.2">
      <c r="I6607" s="1125"/>
      <c r="J6607" s="1125"/>
    </row>
    <row r="6608" spans="9:10" x14ac:dyDescent="0.2">
      <c r="I6608" s="1125"/>
      <c r="J6608" s="1125"/>
    </row>
    <row r="6609" spans="9:10" x14ac:dyDescent="0.2">
      <c r="I6609" s="1125"/>
      <c r="J6609" s="1125"/>
    </row>
    <row r="6610" spans="9:10" x14ac:dyDescent="0.2">
      <c r="I6610" s="1125"/>
      <c r="J6610" s="1125"/>
    </row>
    <row r="6611" spans="9:10" x14ac:dyDescent="0.2">
      <c r="I6611" s="1125"/>
      <c r="J6611" s="1125"/>
    </row>
    <row r="6612" spans="9:10" x14ac:dyDescent="0.2">
      <c r="I6612" s="1125"/>
      <c r="J6612" s="1125"/>
    </row>
    <row r="6613" spans="9:10" x14ac:dyDescent="0.2">
      <c r="I6613" s="1125"/>
      <c r="J6613" s="1125"/>
    </row>
    <row r="6614" spans="9:10" x14ac:dyDescent="0.2">
      <c r="I6614" s="1125"/>
      <c r="J6614" s="1125"/>
    </row>
    <row r="6615" spans="9:10" x14ac:dyDescent="0.2">
      <c r="I6615" s="1125"/>
      <c r="J6615" s="1125"/>
    </row>
    <row r="6616" spans="9:10" x14ac:dyDescent="0.2">
      <c r="I6616" s="1125"/>
      <c r="J6616" s="1125"/>
    </row>
    <row r="6617" spans="9:10" x14ac:dyDescent="0.2">
      <c r="I6617" s="1125"/>
      <c r="J6617" s="1125"/>
    </row>
    <row r="6618" spans="9:10" x14ac:dyDescent="0.2">
      <c r="I6618" s="1125"/>
      <c r="J6618" s="1125"/>
    </row>
    <row r="6619" spans="9:10" x14ac:dyDescent="0.2">
      <c r="I6619" s="1125"/>
      <c r="J6619" s="1125"/>
    </row>
    <row r="6620" spans="9:10" x14ac:dyDescent="0.2">
      <c r="I6620" s="1125"/>
      <c r="J6620" s="1125"/>
    </row>
    <row r="6621" spans="9:10" x14ac:dyDescent="0.2">
      <c r="I6621" s="1125"/>
      <c r="J6621" s="1125"/>
    </row>
    <row r="6622" spans="9:10" x14ac:dyDescent="0.2">
      <c r="I6622" s="1125"/>
      <c r="J6622" s="1125"/>
    </row>
    <row r="6623" spans="9:10" x14ac:dyDescent="0.2">
      <c r="I6623" s="1125"/>
      <c r="J6623" s="1125"/>
    </row>
    <row r="6624" spans="9:10" x14ac:dyDescent="0.2">
      <c r="I6624" s="1125"/>
      <c r="J6624" s="1125"/>
    </row>
    <row r="6625" spans="9:10" x14ac:dyDescent="0.2">
      <c r="I6625" s="1125"/>
      <c r="J6625" s="1125"/>
    </row>
    <row r="6626" spans="9:10" x14ac:dyDescent="0.2">
      <c r="I6626" s="1125"/>
      <c r="J6626" s="1125"/>
    </row>
    <row r="6627" spans="9:10" x14ac:dyDescent="0.2">
      <c r="I6627" s="1125"/>
      <c r="J6627" s="1125"/>
    </row>
    <row r="6628" spans="9:10" x14ac:dyDescent="0.2">
      <c r="I6628" s="1125"/>
      <c r="J6628" s="1125"/>
    </row>
    <row r="6629" spans="9:10" x14ac:dyDescent="0.2">
      <c r="I6629" s="1125"/>
      <c r="J6629" s="1125"/>
    </row>
    <row r="6630" spans="9:10" x14ac:dyDescent="0.2">
      <c r="I6630" s="1125"/>
      <c r="J6630" s="1125"/>
    </row>
    <row r="6631" spans="9:10" x14ac:dyDescent="0.2">
      <c r="I6631" s="1125"/>
      <c r="J6631" s="1125"/>
    </row>
    <row r="6632" spans="9:10" x14ac:dyDescent="0.2">
      <c r="I6632" s="1125"/>
      <c r="J6632" s="1125"/>
    </row>
    <row r="6633" spans="9:10" x14ac:dyDescent="0.2">
      <c r="I6633" s="1125"/>
      <c r="J6633" s="1125"/>
    </row>
    <row r="6634" spans="9:10" x14ac:dyDescent="0.2">
      <c r="I6634" s="1125"/>
      <c r="J6634" s="1125"/>
    </row>
    <row r="6635" spans="9:10" x14ac:dyDescent="0.2">
      <c r="I6635" s="1125"/>
      <c r="J6635" s="1125"/>
    </row>
    <row r="6636" spans="9:10" x14ac:dyDescent="0.2">
      <c r="I6636" s="1125"/>
      <c r="J6636" s="1125"/>
    </row>
    <row r="6637" spans="9:10" x14ac:dyDescent="0.2">
      <c r="I6637" s="1125"/>
      <c r="J6637" s="1125"/>
    </row>
    <row r="6638" spans="9:10" x14ac:dyDescent="0.2">
      <c r="I6638" s="1125"/>
      <c r="J6638" s="1125"/>
    </row>
    <row r="6639" spans="9:10" x14ac:dyDescent="0.2">
      <c r="I6639" s="1125"/>
      <c r="J6639" s="1125"/>
    </row>
    <row r="6640" spans="9:10" x14ac:dyDescent="0.2">
      <c r="I6640" s="1125"/>
      <c r="J6640" s="1125"/>
    </row>
    <row r="6641" spans="9:10" x14ac:dyDescent="0.2">
      <c r="I6641" s="1125"/>
      <c r="J6641" s="1125"/>
    </row>
    <row r="6642" spans="9:10" x14ac:dyDescent="0.2">
      <c r="I6642" s="1125"/>
      <c r="J6642" s="1125"/>
    </row>
    <row r="6643" spans="9:10" x14ac:dyDescent="0.2">
      <c r="I6643" s="1125"/>
      <c r="J6643" s="1125"/>
    </row>
    <row r="6644" spans="9:10" x14ac:dyDescent="0.2">
      <c r="I6644" s="1125"/>
      <c r="J6644" s="1125"/>
    </row>
    <row r="6645" spans="9:10" x14ac:dyDescent="0.2">
      <c r="I6645" s="1125"/>
      <c r="J6645" s="1125"/>
    </row>
    <row r="6646" spans="9:10" x14ac:dyDescent="0.2">
      <c r="I6646" s="1125"/>
      <c r="J6646" s="1125"/>
    </row>
    <row r="6647" spans="9:10" x14ac:dyDescent="0.2">
      <c r="I6647" s="1125"/>
      <c r="J6647" s="1125"/>
    </row>
    <row r="6648" spans="9:10" x14ac:dyDescent="0.2">
      <c r="I6648" s="1125"/>
      <c r="J6648" s="1125"/>
    </row>
    <row r="6649" spans="9:10" x14ac:dyDescent="0.2">
      <c r="I6649" s="1125"/>
      <c r="J6649" s="1125"/>
    </row>
    <row r="6650" spans="9:10" x14ac:dyDescent="0.2">
      <c r="I6650" s="1125"/>
      <c r="J6650" s="1125"/>
    </row>
    <row r="6651" spans="9:10" x14ac:dyDescent="0.2">
      <c r="I6651" s="1125"/>
      <c r="J6651" s="1125"/>
    </row>
    <row r="6652" spans="9:10" x14ac:dyDescent="0.2">
      <c r="I6652" s="1125"/>
      <c r="J6652" s="1125"/>
    </row>
    <row r="6653" spans="9:10" x14ac:dyDescent="0.2">
      <c r="I6653" s="1125"/>
      <c r="J6653" s="1125"/>
    </row>
    <row r="6654" spans="9:10" x14ac:dyDescent="0.2">
      <c r="I6654" s="1125"/>
      <c r="J6654" s="1125"/>
    </row>
    <row r="6655" spans="9:10" x14ac:dyDescent="0.2">
      <c r="I6655" s="1125"/>
      <c r="J6655" s="1125"/>
    </row>
    <row r="6656" spans="9:10" x14ac:dyDescent="0.2">
      <c r="I6656" s="1125"/>
      <c r="J6656" s="1125"/>
    </row>
    <row r="6657" spans="9:10" x14ac:dyDescent="0.2">
      <c r="I6657" s="1125"/>
      <c r="J6657" s="1125"/>
    </row>
    <row r="6658" spans="9:10" x14ac:dyDescent="0.2">
      <c r="I6658" s="1125"/>
      <c r="J6658" s="1125"/>
    </row>
    <row r="6659" spans="9:10" x14ac:dyDescent="0.2">
      <c r="I6659" s="1125"/>
      <c r="J6659" s="1125"/>
    </row>
    <row r="6660" spans="9:10" x14ac:dyDescent="0.2">
      <c r="I6660" s="1125"/>
      <c r="J6660" s="1125"/>
    </row>
    <row r="6661" spans="9:10" x14ac:dyDescent="0.2">
      <c r="I6661" s="1125"/>
      <c r="J6661" s="1125"/>
    </row>
    <row r="6662" spans="9:10" x14ac:dyDescent="0.2">
      <c r="I6662" s="1125"/>
      <c r="J6662" s="1125"/>
    </row>
    <row r="6663" spans="9:10" x14ac:dyDescent="0.2">
      <c r="I6663" s="1125"/>
      <c r="J6663" s="1125"/>
    </row>
    <row r="6664" spans="9:10" x14ac:dyDescent="0.2">
      <c r="I6664" s="1125"/>
      <c r="J6664" s="1125"/>
    </row>
    <row r="6665" spans="9:10" x14ac:dyDescent="0.2">
      <c r="I6665" s="1125"/>
      <c r="J6665" s="1125"/>
    </row>
    <row r="6666" spans="9:10" x14ac:dyDescent="0.2">
      <c r="I6666" s="1125"/>
      <c r="J6666" s="1125"/>
    </row>
    <row r="6667" spans="9:10" x14ac:dyDescent="0.2">
      <c r="I6667" s="1125"/>
      <c r="J6667" s="1125"/>
    </row>
    <row r="6668" spans="9:10" x14ac:dyDescent="0.2">
      <c r="I6668" s="1125"/>
      <c r="J6668" s="1125"/>
    </row>
    <row r="6669" spans="9:10" x14ac:dyDescent="0.2">
      <c r="I6669" s="1125"/>
      <c r="J6669" s="1125"/>
    </row>
    <row r="6670" spans="9:10" x14ac:dyDescent="0.2">
      <c r="I6670" s="1125"/>
      <c r="J6670" s="1125"/>
    </row>
    <row r="6671" spans="9:10" x14ac:dyDescent="0.2">
      <c r="I6671" s="1125"/>
      <c r="J6671" s="1125"/>
    </row>
    <row r="6672" spans="9:10" x14ac:dyDescent="0.2">
      <c r="I6672" s="1125"/>
      <c r="J6672" s="1125"/>
    </row>
    <row r="6673" spans="9:10" x14ac:dyDescent="0.2">
      <c r="I6673" s="1125"/>
      <c r="J6673" s="1125"/>
    </row>
    <row r="6674" spans="9:10" x14ac:dyDescent="0.2">
      <c r="I6674" s="1125"/>
      <c r="J6674" s="1125"/>
    </row>
    <row r="6675" spans="9:10" x14ac:dyDescent="0.2">
      <c r="I6675" s="1125"/>
      <c r="J6675" s="1125"/>
    </row>
    <row r="6676" spans="9:10" x14ac:dyDescent="0.2">
      <c r="I6676" s="1125"/>
      <c r="J6676" s="1125"/>
    </row>
    <row r="6677" spans="9:10" x14ac:dyDescent="0.2">
      <c r="I6677" s="1125"/>
      <c r="J6677" s="1125"/>
    </row>
    <row r="6678" spans="9:10" x14ac:dyDescent="0.2">
      <c r="I6678" s="1125"/>
      <c r="J6678" s="1125"/>
    </row>
    <row r="6679" spans="9:10" x14ac:dyDescent="0.2">
      <c r="I6679" s="1125"/>
      <c r="J6679" s="1125"/>
    </row>
    <row r="6680" spans="9:10" x14ac:dyDescent="0.2">
      <c r="I6680" s="1125"/>
      <c r="J6680" s="1125"/>
    </row>
    <row r="6681" spans="9:10" x14ac:dyDescent="0.2">
      <c r="I6681" s="1125"/>
      <c r="J6681" s="1125"/>
    </row>
    <row r="6682" spans="9:10" x14ac:dyDescent="0.2">
      <c r="I6682" s="1125"/>
      <c r="J6682" s="1125"/>
    </row>
    <row r="6683" spans="9:10" x14ac:dyDescent="0.2">
      <c r="I6683" s="1125"/>
      <c r="J6683" s="1125"/>
    </row>
    <row r="6684" spans="9:10" x14ac:dyDescent="0.2">
      <c r="I6684" s="1125"/>
      <c r="J6684" s="1125"/>
    </row>
    <row r="6685" spans="9:10" x14ac:dyDescent="0.2">
      <c r="I6685" s="1125"/>
      <c r="J6685" s="1125"/>
    </row>
    <row r="6686" spans="9:10" x14ac:dyDescent="0.2">
      <c r="I6686" s="1125"/>
      <c r="J6686" s="1125"/>
    </row>
    <row r="6687" spans="9:10" x14ac:dyDescent="0.2">
      <c r="I6687" s="1125"/>
      <c r="J6687" s="1125"/>
    </row>
    <row r="6688" spans="9:10" x14ac:dyDescent="0.2">
      <c r="I6688" s="1125"/>
      <c r="J6688" s="1125"/>
    </row>
    <row r="6689" spans="9:10" x14ac:dyDescent="0.2">
      <c r="I6689" s="1125"/>
      <c r="J6689" s="1125"/>
    </row>
    <row r="6690" spans="9:10" x14ac:dyDescent="0.2">
      <c r="I6690" s="1125"/>
      <c r="J6690" s="1125"/>
    </row>
    <row r="6691" spans="9:10" x14ac:dyDescent="0.2">
      <c r="I6691" s="1125"/>
      <c r="J6691" s="1125"/>
    </row>
    <row r="6692" spans="9:10" x14ac:dyDescent="0.2">
      <c r="I6692" s="1125"/>
      <c r="J6692" s="1125"/>
    </row>
    <row r="6693" spans="9:10" x14ac:dyDescent="0.2">
      <c r="I6693" s="1125"/>
      <c r="J6693" s="1125"/>
    </row>
    <row r="6694" spans="9:10" x14ac:dyDescent="0.2">
      <c r="I6694" s="1125"/>
      <c r="J6694" s="1125"/>
    </row>
    <row r="6695" spans="9:10" x14ac:dyDescent="0.2">
      <c r="I6695" s="1125"/>
      <c r="J6695" s="1125"/>
    </row>
    <row r="6696" spans="9:10" x14ac:dyDescent="0.2">
      <c r="I6696" s="1125"/>
      <c r="J6696" s="1125"/>
    </row>
    <row r="6697" spans="9:10" x14ac:dyDescent="0.2">
      <c r="I6697" s="1125"/>
      <c r="J6697" s="1125"/>
    </row>
    <row r="6698" spans="9:10" x14ac:dyDescent="0.2">
      <c r="I6698" s="1125"/>
      <c r="J6698" s="1125"/>
    </row>
    <row r="6699" spans="9:10" x14ac:dyDescent="0.2">
      <c r="I6699" s="1125"/>
      <c r="J6699" s="1125"/>
    </row>
    <row r="6700" spans="9:10" x14ac:dyDescent="0.2">
      <c r="I6700" s="1125"/>
      <c r="J6700" s="1125"/>
    </row>
    <row r="6701" spans="9:10" x14ac:dyDescent="0.2">
      <c r="I6701" s="1125"/>
      <c r="J6701" s="1125"/>
    </row>
    <row r="6702" spans="9:10" x14ac:dyDescent="0.2">
      <c r="I6702" s="1125"/>
      <c r="J6702" s="1125"/>
    </row>
    <row r="6703" spans="9:10" x14ac:dyDescent="0.2">
      <c r="I6703" s="1125"/>
      <c r="J6703" s="1125"/>
    </row>
    <row r="6704" spans="9:10" x14ac:dyDescent="0.2">
      <c r="I6704" s="1125"/>
      <c r="J6704" s="1125"/>
    </row>
    <row r="6705" spans="9:10" x14ac:dyDescent="0.2">
      <c r="I6705" s="1125"/>
      <c r="J6705" s="1125"/>
    </row>
    <row r="6706" spans="9:10" x14ac:dyDescent="0.2">
      <c r="I6706" s="1125"/>
      <c r="J6706" s="1125"/>
    </row>
    <row r="6707" spans="9:10" x14ac:dyDescent="0.2">
      <c r="I6707" s="1125"/>
      <c r="J6707" s="1125"/>
    </row>
    <row r="6708" spans="9:10" x14ac:dyDescent="0.2">
      <c r="I6708" s="1125"/>
      <c r="J6708" s="1125"/>
    </row>
    <row r="6709" spans="9:10" x14ac:dyDescent="0.2">
      <c r="I6709" s="1125"/>
      <c r="J6709" s="1125"/>
    </row>
    <row r="6710" spans="9:10" x14ac:dyDescent="0.2">
      <c r="I6710" s="1125"/>
      <c r="J6710" s="1125"/>
    </row>
    <row r="6711" spans="9:10" x14ac:dyDescent="0.2">
      <c r="I6711" s="1125"/>
      <c r="J6711" s="1125"/>
    </row>
    <row r="6712" spans="9:10" x14ac:dyDescent="0.2">
      <c r="I6712" s="1125"/>
      <c r="J6712" s="1125"/>
    </row>
    <row r="6713" spans="9:10" x14ac:dyDescent="0.2">
      <c r="I6713" s="1125"/>
      <c r="J6713" s="1125"/>
    </row>
    <row r="6714" spans="9:10" x14ac:dyDescent="0.2">
      <c r="I6714" s="1125"/>
      <c r="J6714" s="1125"/>
    </row>
    <row r="6715" spans="9:10" x14ac:dyDescent="0.2">
      <c r="I6715" s="1125"/>
      <c r="J6715" s="1125"/>
    </row>
    <row r="6716" spans="9:10" x14ac:dyDescent="0.2">
      <c r="I6716" s="1125"/>
      <c r="J6716" s="1125"/>
    </row>
    <row r="6717" spans="9:10" x14ac:dyDescent="0.2">
      <c r="I6717" s="1125"/>
      <c r="J6717" s="1125"/>
    </row>
    <row r="6718" spans="9:10" x14ac:dyDescent="0.2">
      <c r="I6718" s="1125"/>
      <c r="J6718" s="1125"/>
    </row>
    <row r="6719" spans="9:10" x14ac:dyDescent="0.2">
      <c r="I6719" s="1125"/>
      <c r="J6719" s="1125"/>
    </row>
    <row r="6720" spans="9:10" x14ac:dyDescent="0.2">
      <c r="I6720" s="1125"/>
      <c r="J6720" s="1125"/>
    </row>
    <row r="6721" spans="9:10" x14ac:dyDescent="0.2">
      <c r="I6721" s="1125"/>
      <c r="J6721" s="1125"/>
    </row>
    <row r="6722" spans="9:10" x14ac:dyDescent="0.2">
      <c r="I6722" s="1125"/>
      <c r="J6722" s="1125"/>
    </row>
    <row r="6723" spans="9:10" x14ac:dyDescent="0.2">
      <c r="I6723" s="1125"/>
      <c r="J6723" s="1125"/>
    </row>
    <row r="6724" spans="9:10" x14ac:dyDescent="0.2">
      <c r="I6724" s="1125"/>
      <c r="J6724" s="1125"/>
    </row>
    <row r="6725" spans="9:10" x14ac:dyDescent="0.2">
      <c r="I6725" s="1125"/>
      <c r="J6725" s="1125"/>
    </row>
    <row r="6726" spans="9:10" x14ac:dyDescent="0.2">
      <c r="I6726" s="1125"/>
      <c r="J6726" s="1125"/>
    </row>
    <row r="6727" spans="9:10" x14ac:dyDescent="0.2">
      <c r="I6727" s="1125"/>
      <c r="J6727" s="1125"/>
    </row>
    <row r="6728" spans="9:10" x14ac:dyDescent="0.2">
      <c r="I6728" s="1125"/>
      <c r="J6728" s="1125"/>
    </row>
    <row r="6729" spans="9:10" x14ac:dyDescent="0.2">
      <c r="I6729" s="1125"/>
      <c r="J6729" s="1125"/>
    </row>
    <row r="6730" spans="9:10" x14ac:dyDescent="0.2">
      <c r="I6730" s="1125"/>
      <c r="J6730" s="1125"/>
    </row>
    <row r="6731" spans="9:10" x14ac:dyDescent="0.2">
      <c r="I6731" s="1125"/>
      <c r="J6731" s="1125"/>
    </row>
    <row r="6732" spans="9:10" x14ac:dyDescent="0.2">
      <c r="I6732" s="1125"/>
      <c r="J6732" s="1125"/>
    </row>
    <row r="6733" spans="9:10" x14ac:dyDescent="0.2">
      <c r="I6733" s="1125"/>
      <c r="J6733" s="1125"/>
    </row>
    <row r="6734" spans="9:10" x14ac:dyDescent="0.2">
      <c r="I6734" s="1125"/>
      <c r="J6734" s="1125"/>
    </row>
    <row r="6735" spans="9:10" x14ac:dyDescent="0.2">
      <c r="I6735" s="1125"/>
      <c r="J6735" s="1125"/>
    </row>
    <row r="6736" spans="9:10" x14ac:dyDescent="0.2">
      <c r="I6736" s="1125"/>
      <c r="J6736" s="1125"/>
    </row>
    <row r="6737" spans="9:10" x14ac:dyDescent="0.2">
      <c r="I6737" s="1125"/>
      <c r="J6737" s="1125"/>
    </row>
    <row r="6738" spans="9:10" x14ac:dyDescent="0.2">
      <c r="I6738" s="1125"/>
      <c r="J6738" s="1125"/>
    </row>
    <row r="6739" spans="9:10" x14ac:dyDescent="0.2">
      <c r="I6739" s="1125"/>
      <c r="J6739" s="1125"/>
    </row>
    <row r="6740" spans="9:10" x14ac:dyDescent="0.2">
      <c r="I6740" s="1125"/>
      <c r="J6740" s="1125"/>
    </row>
    <row r="6741" spans="9:10" x14ac:dyDescent="0.2">
      <c r="I6741" s="1125"/>
      <c r="J6741" s="1125"/>
    </row>
    <row r="6742" spans="9:10" x14ac:dyDescent="0.2">
      <c r="I6742" s="1125"/>
      <c r="J6742" s="1125"/>
    </row>
    <row r="6743" spans="9:10" x14ac:dyDescent="0.2">
      <c r="I6743" s="1125"/>
      <c r="J6743" s="1125"/>
    </row>
    <row r="6744" spans="9:10" x14ac:dyDescent="0.2">
      <c r="I6744" s="1125"/>
      <c r="J6744" s="1125"/>
    </row>
    <row r="6745" spans="9:10" x14ac:dyDescent="0.2">
      <c r="I6745" s="1125"/>
      <c r="J6745" s="1125"/>
    </row>
    <row r="6746" spans="9:10" x14ac:dyDescent="0.2">
      <c r="I6746" s="1125"/>
      <c r="J6746" s="1125"/>
    </row>
    <row r="6747" spans="9:10" x14ac:dyDescent="0.2">
      <c r="I6747" s="1125"/>
      <c r="J6747" s="1125"/>
    </row>
    <row r="6748" spans="9:10" x14ac:dyDescent="0.2">
      <c r="I6748" s="1125"/>
      <c r="J6748" s="1125"/>
    </row>
    <row r="6749" spans="9:10" x14ac:dyDescent="0.2">
      <c r="I6749" s="1125"/>
      <c r="J6749" s="1125"/>
    </row>
    <row r="6750" spans="9:10" x14ac:dyDescent="0.2">
      <c r="I6750" s="1125"/>
      <c r="J6750" s="1125"/>
    </row>
    <row r="6751" spans="9:10" x14ac:dyDescent="0.2">
      <c r="I6751" s="1125"/>
      <c r="J6751" s="1125"/>
    </row>
    <row r="6752" spans="9:10" x14ac:dyDescent="0.2">
      <c r="I6752" s="1125"/>
      <c r="J6752" s="1125"/>
    </row>
    <row r="6753" spans="9:10" x14ac:dyDescent="0.2">
      <c r="I6753" s="1125"/>
      <c r="J6753" s="1125"/>
    </row>
    <row r="6754" spans="9:10" x14ac:dyDescent="0.2">
      <c r="I6754" s="1125"/>
      <c r="J6754" s="1125"/>
    </row>
    <row r="6755" spans="9:10" x14ac:dyDescent="0.2">
      <c r="I6755" s="1125"/>
      <c r="J6755" s="1125"/>
    </row>
    <row r="6756" spans="9:10" x14ac:dyDescent="0.2">
      <c r="I6756" s="1125"/>
      <c r="J6756" s="1125"/>
    </row>
    <row r="6757" spans="9:10" x14ac:dyDescent="0.2">
      <c r="I6757" s="1125"/>
      <c r="J6757" s="1125"/>
    </row>
    <row r="6758" spans="9:10" x14ac:dyDescent="0.2">
      <c r="I6758" s="1125"/>
      <c r="J6758" s="1125"/>
    </row>
    <row r="6759" spans="9:10" x14ac:dyDescent="0.2">
      <c r="I6759" s="1125"/>
      <c r="J6759" s="1125"/>
    </row>
    <row r="6760" spans="9:10" x14ac:dyDescent="0.2">
      <c r="I6760" s="1125"/>
      <c r="J6760" s="1125"/>
    </row>
    <row r="6761" spans="9:10" x14ac:dyDescent="0.2">
      <c r="I6761" s="1125"/>
      <c r="J6761" s="1125"/>
    </row>
    <row r="6762" spans="9:10" x14ac:dyDescent="0.2">
      <c r="I6762" s="1125"/>
      <c r="J6762" s="1125"/>
    </row>
    <row r="6763" spans="9:10" x14ac:dyDescent="0.2">
      <c r="I6763" s="1125"/>
      <c r="J6763" s="1125"/>
    </row>
    <row r="6764" spans="9:10" x14ac:dyDescent="0.2">
      <c r="I6764" s="1125"/>
      <c r="J6764" s="1125"/>
    </row>
    <row r="6765" spans="9:10" x14ac:dyDescent="0.2">
      <c r="I6765" s="1125"/>
      <c r="J6765" s="1125"/>
    </row>
    <row r="6766" spans="9:10" x14ac:dyDescent="0.2">
      <c r="I6766" s="1125"/>
      <c r="J6766" s="1125"/>
    </row>
    <row r="6767" spans="9:10" x14ac:dyDescent="0.2">
      <c r="I6767" s="1125"/>
      <c r="J6767" s="1125"/>
    </row>
    <row r="6768" spans="9:10" x14ac:dyDescent="0.2">
      <c r="I6768" s="1125"/>
      <c r="J6768" s="1125"/>
    </row>
    <row r="6769" spans="9:10" x14ac:dyDescent="0.2">
      <c r="I6769" s="1125"/>
      <c r="J6769" s="1125"/>
    </row>
    <row r="6770" spans="9:10" x14ac:dyDescent="0.2">
      <c r="I6770" s="1125"/>
      <c r="J6770" s="1125"/>
    </row>
    <row r="6771" spans="9:10" x14ac:dyDescent="0.2">
      <c r="I6771" s="1125"/>
      <c r="J6771" s="1125"/>
    </row>
    <row r="6772" spans="9:10" x14ac:dyDescent="0.2">
      <c r="I6772" s="1125"/>
      <c r="J6772" s="1125"/>
    </row>
    <row r="6773" spans="9:10" x14ac:dyDescent="0.2">
      <c r="I6773" s="1125"/>
      <c r="J6773" s="1125"/>
    </row>
    <row r="6774" spans="9:10" x14ac:dyDescent="0.2">
      <c r="I6774" s="1125"/>
      <c r="J6774" s="1125"/>
    </row>
    <row r="6775" spans="9:10" x14ac:dyDescent="0.2">
      <c r="I6775" s="1125"/>
      <c r="J6775" s="1125"/>
    </row>
    <row r="6776" spans="9:10" x14ac:dyDescent="0.2">
      <c r="I6776" s="1125"/>
      <c r="J6776" s="1125"/>
    </row>
    <row r="6777" spans="9:10" x14ac:dyDescent="0.2">
      <c r="I6777" s="1125"/>
      <c r="J6777" s="1125"/>
    </row>
    <row r="6778" spans="9:10" x14ac:dyDescent="0.2">
      <c r="I6778" s="1125"/>
      <c r="J6778" s="1125"/>
    </row>
    <row r="6779" spans="9:10" x14ac:dyDescent="0.2">
      <c r="I6779" s="1125"/>
      <c r="J6779" s="1125"/>
    </row>
    <row r="6780" spans="9:10" x14ac:dyDescent="0.2">
      <c r="I6780" s="1125"/>
      <c r="J6780" s="1125"/>
    </row>
    <row r="6781" spans="9:10" x14ac:dyDescent="0.2">
      <c r="I6781" s="1125"/>
      <c r="J6781" s="1125"/>
    </row>
    <row r="6782" spans="9:10" x14ac:dyDescent="0.2">
      <c r="I6782" s="1125"/>
      <c r="J6782" s="1125"/>
    </row>
    <row r="6783" spans="9:10" x14ac:dyDescent="0.2">
      <c r="I6783" s="1125"/>
      <c r="J6783" s="1125"/>
    </row>
    <row r="6784" spans="9:10" x14ac:dyDescent="0.2">
      <c r="I6784" s="1125"/>
      <c r="J6784" s="1125"/>
    </row>
    <row r="6785" spans="9:10" x14ac:dyDescent="0.2">
      <c r="I6785" s="1125"/>
      <c r="J6785" s="1125"/>
    </row>
    <row r="6786" spans="9:10" x14ac:dyDescent="0.2">
      <c r="I6786" s="1125"/>
      <c r="J6786" s="1125"/>
    </row>
    <row r="6787" spans="9:10" x14ac:dyDescent="0.2">
      <c r="I6787" s="1125"/>
      <c r="J6787" s="1125"/>
    </row>
    <row r="6788" spans="9:10" x14ac:dyDescent="0.2">
      <c r="I6788" s="1125"/>
      <c r="J6788" s="1125"/>
    </row>
    <row r="6789" spans="9:10" x14ac:dyDescent="0.2">
      <c r="I6789" s="1125"/>
      <c r="J6789" s="1125"/>
    </row>
    <row r="6790" spans="9:10" x14ac:dyDescent="0.2">
      <c r="I6790" s="1125"/>
      <c r="J6790" s="1125"/>
    </row>
    <row r="6791" spans="9:10" x14ac:dyDescent="0.2">
      <c r="I6791" s="1125"/>
      <c r="J6791" s="1125"/>
    </row>
    <row r="6792" spans="9:10" x14ac:dyDescent="0.2">
      <c r="I6792" s="1125"/>
      <c r="J6792" s="1125"/>
    </row>
    <row r="6793" spans="9:10" x14ac:dyDescent="0.2">
      <c r="I6793" s="1125"/>
      <c r="J6793" s="1125"/>
    </row>
    <row r="6794" spans="9:10" x14ac:dyDescent="0.2">
      <c r="I6794" s="1125"/>
      <c r="J6794" s="1125"/>
    </row>
    <row r="6795" spans="9:10" x14ac:dyDescent="0.2">
      <c r="I6795" s="1125"/>
      <c r="J6795" s="1125"/>
    </row>
    <row r="6796" spans="9:10" x14ac:dyDescent="0.2">
      <c r="I6796" s="1125"/>
      <c r="J6796" s="1125"/>
    </row>
    <row r="6797" spans="9:10" x14ac:dyDescent="0.2">
      <c r="I6797" s="1125"/>
      <c r="J6797" s="1125"/>
    </row>
    <row r="6798" spans="9:10" x14ac:dyDescent="0.2">
      <c r="I6798" s="1125"/>
      <c r="J6798" s="1125"/>
    </row>
    <row r="6799" spans="9:10" x14ac:dyDescent="0.2">
      <c r="I6799" s="1125"/>
      <c r="J6799" s="1125"/>
    </row>
    <row r="6800" spans="9:10" x14ac:dyDescent="0.2">
      <c r="I6800" s="1125"/>
      <c r="J6800" s="1125"/>
    </row>
    <row r="6801" spans="9:10" x14ac:dyDescent="0.2">
      <c r="I6801" s="1125"/>
      <c r="J6801" s="1125"/>
    </row>
    <row r="6802" spans="9:10" x14ac:dyDescent="0.2">
      <c r="I6802" s="1125"/>
      <c r="J6802" s="1125"/>
    </row>
    <row r="6803" spans="9:10" x14ac:dyDescent="0.2">
      <c r="I6803" s="1125"/>
      <c r="J6803" s="1125"/>
    </row>
    <row r="6804" spans="9:10" x14ac:dyDescent="0.2">
      <c r="I6804" s="1125"/>
      <c r="J6804" s="1125"/>
    </row>
    <row r="6805" spans="9:10" x14ac:dyDescent="0.2">
      <c r="I6805" s="1125"/>
      <c r="J6805" s="1125"/>
    </row>
    <row r="6806" spans="9:10" x14ac:dyDescent="0.2">
      <c r="I6806" s="1125"/>
      <c r="J6806" s="1125"/>
    </row>
    <row r="6807" spans="9:10" x14ac:dyDescent="0.2">
      <c r="I6807" s="1125"/>
      <c r="J6807" s="1125"/>
    </row>
    <row r="6808" spans="9:10" x14ac:dyDescent="0.2">
      <c r="I6808" s="1125"/>
      <c r="J6808" s="1125"/>
    </row>
    <row r="6809" spans="9:10" x14ac:dyDescent="0.2">
      <c r="I6809" s="1125"/>
      <c r="J6809" s="1125"/>
    </row>
    <row r="6810" spans="9:10" x14ac:dyDescent="0.2">
      <c r="I6810" s="1125"/>
      <c r="J6810" s="1125"/>
    </row>
    <row r="6811" spans="9:10" x14ac:dyDescent="0.2">
      <c r="I6811" s="1125"/>
      <c r="J6811" s="1125"/>
    </row>
    <row r="6812" spans="9:10" x14ac:dyDescent="0.2">
      <c r="I6812" s="1125"/>
      <c r="J6812" s="1125"/>
    </row>
    <row r="6813" spans="9:10" x14ac:dyDescent="0.2">
      <c r="I6813" s="1125"/>
      <c r="J6813" s="1125"/>
    </row>
    <row r="6814" spans="9:10" x14ac:dyDescent="0.2">
      <c r="I6814" s="1125"/>
      <c r="J6814" s="1125"/>
    </row>
    <row r="6815" spans="9:10" x14ac:dyDescent="0.2">
      <c r="I6815" s="1125"/>
      <c r="J6815" s="1125"/>
    </row>
    <row r="6816" spans="9:10" x14ac:dyDescent="0.2">
      <c r="I6816" s="1125"/>
      <c r="J6816" s="1125"/>
    </row>
    <row r="6817" spans="9:10" x14ac:dyDescent="0.2">
      <c r="I6817" s="1125"/>
      <c r="J6817" s="1125"/>
    </row>
    <row r="6818" spans="9:10" x14ac:dyDescent="0.2">
      <c r="I6818" s="1125"/>
      <c r="J6818" s="1125"/>
    </row>
    <row r="6819" spans="9:10" x14ac:dyDescent="0.2">
      <c r="I6819" s="1125"/>
      <c r="J6819" s="1125"/>
    </row>
    <row r="6820" spans="9:10" x14ac:dyDescent="0.2">
      <c r="I6820" s="1125"/>
      <c r="J6820" s="1125"/>
    </row>
    <row r="6821" spans="9:10" x14ac:dyDescent="0.2">
      <c r="I6821" s="1125"/>
      <c r="J6821" s="1125"/>
    </row>
    <row r="6822" spans="9:10" x14ac:dyDescent="0.2">
      <c r="I6822" s="1125"/>
      <c r="J6822" s="1125"/>
    </row>
    <row r="6823" spans="9:10" x14ac:dyDescent="0.2">
      <c r="I6823" s="1125"/>
      <c r="J6823" s="1125"/>
    </row>
    <row r="6824" spans="9:10" x14ac:dyDescent="0.2">
      <c r="I6824" s="1125"/>
      <c r="J6824" s="1125"/>
    </row>
    <row r="6825" spans="9:10" x14ac:dyDescent="0.2">
      <c r="I6825" s="1125"/>
      <c r="J6825" s="1125"/>
    </row>
    <row r="6826" spans="9:10" x14ac:dyDescent="0.2">
      <c r="I6826" s="1125"/>
      <c r="J6826" s="1125"/>
    </row>
    <row r="6827" spans="9:10" x14ac:dyDescent="0.2">
      <c r="I6827" s="1125"/>
      <c r="J6827" s="1125"/>
    </row>
    <row r="6828" spans="9:10" x14ac:dyDescent="0.2">
      <c r="I6828" s="1125"/>
      <c r="J6828" s="1125"/>
    </row>
    <row r="6829" spans="9:10" x14ac:dyDescent="0.2">
      <c r="I6829" s="1125"/>
      <c r="J6829" s="1125"/>
    </row>
    <row r="6830" spans="9:10" x14ac:dyDescent="0.2">
      <c r="I6830" s="1125"/>
      <c r="J6830" s="1125"/>
    </row>
    <row r="6831" spans="9:10" x14ac:dyDescent="0.2">
      <c r="I6831" s="1125"/>
      <c r="J6831" s="1125"/>
    </row>
    <row r="6832" spans="9:10" x14ac:dyDescent="0.2">
      <c r="I6832" s="1125"/>
      <c r="J6832" s="1125"/>
    </row>
    <row r="6833" spans="9:10" x14ac:dyDescent="0.2">
      <c r="I6833" s="1125"/>
      <c r="J6833" s="1125"/>
    </row>
    <row r="6834" spans="9:10" x14ac:dyDescent="0.2">
      <c r="I6834" s="1125"/>
      <c r="J6834" s="1125"/>
    </row>
    <row r="6835" spans="9:10" x14ac:dyDescent="0.2">
      <c r="I6835" s="1125"/>
      <c r="J6835" s="1125"/>
    </row>
    <row r="6836" spans="9:10" x14ac:dyDescent="0.2">
      <c r="I6836" s="1125"/>
      <c r="J6836" s="1125"/>
    </row>
    <row r="6837" spans="9:10" x14ac:dyDescent="0.2">
      <c r="I6837" s="1125"/>
      <c r="J6837" s="1125"/>
    </row>
    <row r="6838" spans="9:10" x14ac:dyDescent="0.2">
      <c r="I6838" s="1125"/>
      <c r="J6838" s="1125"/>
    </row>
    <row r="6839" spans="9:10" x14ac:dyDescent="0.2">
      <c r="I6839" s="1125"/>
      <c r="J6839" s="1125"/>
    </row>
    <row r="6840" spans="9:10" x14ac:dyDescent="0.2">
      <c r="I6840" s="1125"/>
      <c r="J6840" s="1125"/>
    </row>
    <row r="6841" spans="9:10" x14ac:dyDescent="0.2">
      <c r="I6841" s="1125"/>
      <c r="J6841" s="1125"/>
    </row>
    <row r="6842" spans="9:10" x14ac:dyDescent="0.2">
      <c r="I6842" s="1125"/>
      <c r="J6842" s="1125"/>
    </row>
    <row r="6843" spans="9:10" x14ac:dyDescent="0.2">
      <c r="I6843" s="1125"/>
      <c r="J6843" s="1125"/>
    </row>
    <row r="6844" spans="9:10" x14ac:dyDescent="0.2">
      <c r="I6844" s="1125"/>
      <c r="J6844" s="1125"/>
    </row>
    <row r="6845" spans="9:10" x14ac:dyDescent="0.2">
      <c r="I6845" s="1125"/>
      <c r="J6845" s="1125"/>
    </row>
    <row r="6846" spans="9:10" x14ac:dyDescent="0.2">
      <c r="I6846" s="1125"/>
      <c r="J6846" s="1125"/>
    </row>
    <row r="6847" spans="9:10" x14ac:dyDescent="0.2">
      <c r="I6847" s="1125"/>
      <c r="J6847" s="1125"/>
    </row>
    <row r="6848" spans="9:10" x14ac:dyDescent="0.2">
      <c r="I6848" s="1125"/>
      <c r="J6848" s="1125"/>
    </row>
    <row r="6849" spans="9:10" x14ac:dyDescent="0.2">
      <c r="I6849" s="1125"/>
      <c r="J6849" s="1125"/>
    </row>
    <row r="6850" spans="9:10" x14ac:dyDescent="0.2">
      <c r="I6850" s="1125"/>
      <c r="J6850" s="1125"/>
    </row>
    <row r="6851" spans="9:10" x14ac:dyDescent="0.2">
      <c r="I6851" s="1125"/>
      <c r="J6851" s="1125"/>
    </row>
    <row r="6852" spans="9:10" x14ac:dyDescent="0.2">
      <c r="I6852" s="1125"/>
      <c r="J6852" s="1125"/>
    </row>
    <row r="6853" spans="9:10" x14ac:dyDescent="0.2">
      <c r="I6853" s="1125"/>
      <c r="J6853" s="1125"/>
    </row>
    <row r="6854" spans="9:10" x14ac:dyDescent="0.2">
      <c r="I6854" s="1125"/>
      <c r="J6854" s="1125"/>
    </row>
    <row r="6855" spans="9:10" x14ac:dyDescent="0.2">
      <c r="I6855" s="1125"/>
      <c r="J6855" s="1125"/>
    </row>
    <row r="6856" spans="9:10" x14ac:dyDescent="0.2">
      <c r="I6856" s="1125"/>
      <c r="J6856" s="1125"/>
    </row>
    <row r="6857" spans="9:10" x14ac:dyDescent="0.2">
      <c r="I6857" s="1125"/>
      <c r="J6857" s="1125"/>
    </row>
    <row r="6858" spans="9:10" x14ac:dyDescent="0.2">
      <c r="I6858" s="1125"/>
      <c r="J6858" s="1125"/>
    </row>
    <row r="6859" spans="9:10" x14ac:dyDescent="0.2">
      <c r="I6859" s="1125"/>
      <c r="J6859" s="1125"/>
    </row>
    <row r="6860" spans="9:10" x14ac:dyDescent="0.2">
      <c r="I6860" s="1125"/>
      <c r="J6860" s="1125"/>
    </row>
    <row r="6861" spans="9:10" x14ac:dyDescent="0.2">
      <c r="I6861" s="1125"/>
      <c r="J6861" s="1125"/>
    </row>
    <row r="6862" spans="9:10" x14ac:dyDescent="0.2">
      <c r="I6862" s="1125"/>
      <c r="J6862" s="1125"/>
    </row>
    <row r="6863" spans="9:10" x14ac:dyDescent="0.2">
      <c r="I6863" s="1125"/>
      <c r="J6863" s="1125"/>
    </row>
    <row r="6864" spans="9:10" x14ac:dyDescent="0.2">
      <c r="I6864" s="1125"/>
      <c r="J6864" s="1125"/>
    </row>
    <row r="6865" spans="9:10" x14ac:dyDescent="0.2">
      <c r="I6865" s="1125"/>
      <c r="J6865" s="1125"/>
    </row>
    <row r="6866" spans="9:10" x14ac:dyDescent="0.2">
      <c r="I6866" s="1125"/>
      <c r="J6866" s="1125"/>
    </row>
    <row r="6867" spans="9:10" x14ac:dyDescent="0.2">
      <c r="I6867" s="1125"/>
      <c r="J6867" s="1125"/>
    </row>
    <row r="6868" spans="9:10" x14ac:dyDescent="0.2">
      <c r="I6868" s="1125"/>
      <c r="J6868" s="1125"/>
    </row>
    <row r="6869" spans="9:10" x14ac:dyDescent="0.2">
      <c r="I6869" s="1125"/>
      <c r="J6869" s="1125"/>
    </row>
    <row r="6870" spans="9:10" x14ac:dyDescent="0.2">
      <c r="I6870" s="1125"/>
      <c r="J6870" s="1125"/>
    </row>
    <row r="6871" spans="9:10" x14ac:dyDescent="0.2">
      <c r="I6871" s="1125"/>
      <c r="J6871" s="1125"/>
    </row>
    <row r="6872" spans="9:10" x14ac:dyDescent="0.2">
      <c r="I6872" s="1125"/>
      <c r="J6872" s="1125"/>
    </row>
    <row r="6873" spans="9:10" x14ac:dyDescent="0.2">
      <c r="I6873" s="1125"/>
      <c r="J6873" s="1125"/>
    </row>
    <row r="6874" spans="9:10" x14ac:dyDescent="0.2">
      <c r="I6874" s="1125"/>
      <c r="J6874" s="1125"/>
    </row>
    <row r="6875" spans="9:10" x14ac:dyDescent="0.2">
      <c r="I6875" s="1125"/>
      <c r="J6875" s="1125"/>
    </row>
    <row r="6876" spans="9:10" x14ac:dyDescent="0.2">
      <c r="I6876" s="1125"/>
      <c r="J6876" s="1125"/>
    </row>
    <row r="6877" spans="9:10" x14ac:dyDescent="0.2">
      <c r="I6877" s="1125"/>
      <c r="J6877" s="1125"/>
    </row>
    <row r="6878" spans="9:10" x14ac:dyDescent="0.2">
      <c r="I6878" s="1125"/>
      <c r="J6878" s="1125"/>
    </row>
    <row r="6879" spans="9:10" x14ac:dyDescent="0.2">
      <c r="I6879" s="1125"/>
      <c r="J6879" s="1125"/>
    </row>
    <row r="6880" spans="9:10" x14ac:dyDescent="0.2">
      <c r="I6880" s="1125"/>
      <c r="J6880" s="1125"/>
    </row>
    <row r="6881" spans="9:10" x14ac:dyDescent="0.2">
      <c r="I6881" s="1125"/>
      <c r="J6881" s="1125"/>
    </row>
    <row r="6882" spans="9:10" x14ac:dyDescent="0.2">
      <c r="I6882" s="1125"/>
      <c r="J6882" s="1125"/>
    </row>
    <row r="6883" spans="9:10" x14ac:dyDescent="0.2">
      <c r="I6883" s="1125"/>
      <c r="J6883" s="1125"/>
    </row>
    <row r="6884" spans="9:10" x14ac:dyDescent="0.2">
      <c r="I6884" s="1125"/>
      <c r="J6884" s="1125"/>
    </row>
    <row r="6885" spans="9:10" x14ac:dyDescent="0.2">
      <c r="I6885" s="1125"/>
      <c r="J6885" s="1125"/>
    </row>
    <row r="6886" spans="9:10" x14ac:dyDescent="0.2">
      <c r="I6886" s="1125"/>
      <c r="J6886" s="1125"/>
    </row>
    <row r="6887" spans="9:10" x14ac:dyDescent="0.2">
      <c r="I6887" s="1125"/>
      <c r="J6887" s="1125"/>
    </row>
    <row r="6888" spans="9:10" x14ac:dyDescent="0.2">
      <c r="I6888" s="1125"/>
      <c r="J6888" s="1125"/>
    </row>
    <row r="6889" spans="9:10" x14ac:dyDescent="0.2">
      <c r="I6889" s="1125"/>
      <c r="J6889" s="1125"/>
    </row>
    <row r="6890" spans="9:10" x14ac:dyDescent="0.2">
      <c r="I6890" s="1125"/>
      <c r="J6890" s="1125"/>
    </row>
    <row r="6891" spans="9:10" x14ac:dyDescent="0.2">
      <c r="I6891" s="1125"/>
      <c r="J6891" s="1125"/>
    </row>
    <row r="6892" spans="9:10" x14ac:dyDescent="0.2">
      <c r="I6892" s="1125"/>
      <c r="J6892" s="1125"/>
    </row>
    <row r="6893" spans="9:10" x14ac:dyDescent="0.2">
      <c r="I6893" s="1125"/>
      <c r="J6893" s="1125"/>
    </row>
    <row r="6894" spans="9:10" x14ac:dyDescent="0.2">
      <c r="I6894" s="1125"/>
      <c r="J6894" s="1125"/>
    </row>
    <row r="6895" spans="9:10" x14ac:dyDescent="0.2">
      <c r="I6895" s="1125"/>
      <c r="J6895" s="1125"/>
    </row>
    <row r="6896" spans="9:10" x14ac:dyDescent="0.2">
      <c r="I6896" s="1125"/>
      <c r="J6896" s="1125"/>
    </row>
    <row r="6897" spans="9:10" x14ac:dyDescent="0.2">
      <c r="I6897" s="1125"/>
      <c r="J6897" s="1125"/>
    </row>
    <row r="6898" spans="9:10" x14ac:dyDescent="0.2">
      <c r="I6898" s="1125"/>
      <c r="J6898" s="1125"/>
    </row>
    <row r="6899" spans="9:10" x14ac:dyDescent="0.2">
      <c r="I6899" s="1125"/>
      <c r="J6899" s="1125"/>
    </row>
    <row r="6900" spans="9:10" x14ac:dyDescent="0.2">
      <c r="I6900" s="1125"/>
      <c r="J6900" s="1125"/>
    </row>
    <row r="6901" spans="9:10" x14ac:dyDescent="0.2">
      <c r="I6901" s="1125"/>
      <c r="J6901" s="1125"/>
    </row>
    <row r="6902" spans="9:10" x14ac:dyDescent="0.2">
      <c r="I6902" s="1125"/>
      <c r="J6902" s="1125"/>
    </row>
    <row r="6903" spans="9:10" x14ac:dyDescent="0.2">
      <c r="I6903" s="1125"/>
      <c r="J6903" s="1125"/>
    </row>
    <row r="6904" spans="9:10" x14ac:dyDescent="0.2">
      <c r="I6904" s="1125"/>
      <c r="J6904" s="1125"/>
    </row>
    <row r="6905" spans="9:10" x14ac:dyDescent="0.2">
      <c r="I6905" s="1125"/>
      <c r="J6905" s="1125"/>
    </row>
    <row r="6906" spans="9:10" x14ac:dyDescent="0.2">
      <c r="I6906" s="1125"/>
      <c r="J6906" s="1125"/>
    </row>
    <row r="6907" spans="9:10" x14ac:dyDescent="0.2">
      <c r="I6907" s="1125"/>
      <c r="J6907" s="1125"/>
    </row>
    <row r="6908" spans="9:10" x14ac:dyDescent="0.2">
      <c r="I6908" s="1125"/>
      <c r="J6908" s="1125"/>
    </row>
    <row r="6909" spans="9:10" x14ac:dyDescent="0.2">
      <c r="I6909" s="1125"/>
      <c r="J6909" s="1125"/>
    </row>
    <row r="6910" spans="9:10" x14ac:dyDescent="0.2">
      <c r="I6910" s="1125"/>
      <c r="J6910" s="1125"/>
    </row>
    <row r="6911" spans="9:10" x14ac:dyDescent="0.2">
      <c r="I6911" s="1125"/>
      <c r="J6911" s="1125"/>
    </row>
    <row r="6912" spans="9:10" x14ac:dyDescent="0.2">
      <c r="I6912" s="1125"/>
      <c r="J6912" s="1125"/>
    </row>
    <row r="6913" spans="9:10" x14ac:dyDescent="0.2">
      <c r="I6913" s="1125"/>
      <c r="J6913" s="1125"/>
    </row>
    <row r="6914" spans="9:10" x14ac:dyDescent="0.2">
      <c r="I6914" s="1125"/>
      <c r="J6914" s="1125"/>
    </row>
    <row r="6915" spans="9:10" x14ac:dyDescent="0.2">
      <c r="I6915" s="1125"/>
      <c r="J6915" s="1125"/>
    </row>
    <row r="6916" spans="9:10" x14ac:dyDescent="0.2">
      <c r="I6916" s="1125"/>
      <c r="J6916" s="1125"/>
    </row>
    <row r="6917" spans="9:10" x14ac:dyDescent="0.2">
      <c r="I6917" s="1125"/>
      <c r="J6917" s="1125"/>
    </row>
    <row r="6918" spans="9:10" x14ac:dyDescent="0.2">
      <c r="I6918" s="1125"/>
      <c r="J6918" s="1125"/>
    </row>
    <row r="6919" spans="9:10" x14ac:dyDescent="0.2">
      <c r="I6919" s="1125"/>
      <c r="J6919" s="1125"/>
    </row>
    <row r="6920" spans="9:10" x14ac:dyDescent="0.2">
      <c r="I6920" s="1125"/>
      <c r="J6920" s="1125"/>
    </row>
    <row r="6921" spans="9:10" x14ac:dyDescent="0.2">
      <c r="I6921" s="1125"/>
      <c r="J6921" s="1125"/>
    </row>
    <row r="6922" spans="9:10" x14ac:dyDescent="0.2">
      <c r="I6922" s="1125"/>
      <c r="J6922" s="1125"/>
    </row>
    <row r="6923" spans="9:10" x14ac:dyDescent="0.2">
      <c r="I6923" s="1125"/>
      <c r="J6923" s="1125"/>
    </row>
    <row r="6924" spans="9:10" x14ac:dyDescent="0.2">
      <c r="I6924" s="1125"/>
      <c r="J6924" s="1125"/>
    </row>
    <row r="6925" spans="9:10" x14ac:dyDescent="0.2">
      <c r="I6925" s="1125"/>
      <c r="J6925" s="1125"/>
    </row>
    <row r="6926" spans="9:10" x14ac:dyDescent="0.2">
      <c r="I6926" s="1125"/>
      <c r="J6926" s="1125"/>
    </row>
    <row r="6927" spans="9:10" x14ac:dyDescent="0.2">
      <c r="I6927" s="1125"/>
      <c r="J6927" s="1125"/>
    </row>
    <row r="6928" spans="9:10" x14ac:dyDescent="0.2">
      <c r="I6928" s="1125"/>
      <c r="J6928" s="1125"/>
    </row>
    <row r="6929" spans="9:10" x14ac:dyDescent="0.2">
      <c r="I6929" s="1125"/>
      <c r="J6929" s="1125"/>
    </row>
    <row r="6930" spans="9:10" x14ac:dyDescent="0.2">
      <c r="I6930" s="1125"/>
      <c r="J6930" s="1125"/>
    </row>
    <row r="6931" spans="9:10" x14ac:dyDescent="0.2">
      <c r="I6931" s="1125"/>
      <c r="J6931" s="1125"/>
    </row>
    <row r="6932" spans="9:10" x14ac:dyDescent="0.2">
      <c r="I6932" s="1125"/>
      <c r="J6932" s="1125"/>
    </row>
    <row r="6933" spans="9:10" x14ac:dyDescent="0.2">
      <c r="I6933" s="1125"/>
      <c r="J6933" s="1125"/>
    </row>
    <row r="6934" spans="9:10" x14ac:dyDescent="0.2">
      <c r="I6934" s="1125"/>
      <c r="J6934" s="1125"/>
    </row>
    <row r="6935" spans="9:10" x14ac:dyDescent="0.2">
      <c r="I6935" s="1125"/>
      <c r="J6935" s="1125"/>
    </row>
    <row r="6936" spans="9:10" x14ac:dyDescent="0.2">
      <c r="I6936" s="1125"/>
      <c r="J6936" s="1125"/>
    </row>
    <row r="6937" spans="9:10" x14ac:dyDescent="0.2">
      <c r="I6937" s="1125"/>
      <c r="J6937" s="1125"/>
    </row>
    <row r="6938" spans="9:10" x14ac:dyDescent="0.2">
      <c r="I6938" s="1125"/>
      <c r="J6938" s="1125"/>
    </row>
    <row r="6939" spans="9:10" x14ac:dyDescent="0.2">
      <c r="I6939" s="1125"/>
      <c r="J6939" s="1125"/>
    </row>
    <row r="6940" spans="9:10" x14ac:dyDescent="0.2">
      <c r="I6940" s="1125"/>
      <c r="J6940" s="1125"/>
    </row>
    <row r="6941" spans="9:10" x14ac:dyDescent="0.2">
      <c r="I6941" s="1125"/>
      <c r="J6941" s="1125"/>
    </row>
    <row r="6942" spans="9:10" x14ac:dyDescent="0.2">
      <c r="I6942" s="1125"/>
      <c r="J6942" s="1125"/>
    </row>
    <row r="6943" spans="9:10" x14ac:dyDescent="0.2">
      <c r="I6943" s="1125"/>
      <c r="J6943" s="1125"/>
    </row>
    <row r="6944" spans="9:10" x14ac:dyDescent="0.2">
      <c r="I6944" s="1125"/>
      <c r="J6944" s="1125"/>
    </row>
    <row r="6945" spans="9:10" x14ac:dyDescent="0.2">
      <c r="I6945" s="1125"/>
      <c r="J6945" s="1125"/>
    </row>
    <row r="6946" spans="9:10" x14ac:dyDescent="0.2">
      <c r="I6946" s="1125"/>
      <c r="J6946" s="1125"/>
    </row>
    <row r="6947" spans="9:10" x14ac:dyDescent="0.2">
      <c r="I6947" s="1125"/>
      <c r="J6947" s="1125"/>
    </row>
    <row r="6948" spans="9:10" x14ac:dyDescent="0.2">
      <c r="I6948" s="1125"/>
      <c r="J6948" s="1125"/>
    </row>
    <row r="6949" spans="9:10" x14ac:dyDescent="0.2">
      <c r="I6949" s="1125"/>
      <c r="J6949" s="1125"/>
    </row>
    <row r="6950" spans="9:10" x14ac:dyDescent="0.2">
      <c r="I6950" s="1125"/>
      <c r="J6950" s="1125"/>
    </row>
    <row r="6951" spans="9:10" x14ac:dyDescent="0.2">
      <c r="I6951" s="1125"/>
      <c r="J6951" s="1125"/>
    </row>
    <row r="6952" spans="9:10" x14ac:dyDescent="0.2">
      <c r="I6952" s="1125"/>
      <c r="J6952" s="1125"/>
    </row>
    <row r="6953" spans="9:10" x14ac:dyDescent="0.2">
      <c r="I6953" s="1125"/>
      <c r="J6953" s="1125"/>
    </row>
    <row r="6954" spans="9:10" x14ac:dyDescent="0.2">
      <c r="I6954" s="1125"/>
      <c r="J6954" s="1125"/>
    </row>
    <row r="6955" spans="9:10" x14ac:dyDescent="0.2">
      <c r="I6955" s="1125"/>
      <c r="J6955" s="1125"/>
    </row>
    <row r="6956" spans="9:10" x14ac:dyDescent="0.2">
      <c r="I6956" s="1125"/>
      <c r="J6956" s="1125"/>
    </row>
    <row r="6957" spans="9:10" x14ac:dyDescent="0.2">
      <c r="I6957" s="1125"/>
      <c r="J6957" s="1125"/>
    </row>
    <row r="6958" spans="9:10" x14ac:dyDescent="0.2">
      <c r="I6958" s="1125"/>
      <c r="J6958" s="1125"/>
    </row>
    <row r="6959" spans="9:10" x14ac:dyDescent="0.2">
      <c r="I6959" s="1125"/>
      <c r="J6959" s="1125"/>
    </row>
    <row r="6960" spans="9:10" x14ac:dyDescent="0.2">
      <c r="I6960" s="1125"/>
      <c r="J6960" s="1125"/>
    </row>
    <row r="6961" spans="9:10" x14ac:dyDescent="0.2">
      <c r="I6961" s="1125"/>
      <c r="J6961" s="1125"/>
    </row>
    <row r="6962" spans="9:10" x14ac:dyDescent="0.2">
      <c r="I6962" s="1125"/>
      <c r="J6962" s="1125"/>
    </row>
    <row r="6963" spans="9:10" x14ac:dyDescent="0.2">
      <c r="I6963" s="1125"/>
      <c r="J6963" s="1125"/>
    </row>
    <row r="6964" spans="9:10" x14ac:dyDescent="0.2">
      <c r="I6964" s="1125"/>
      <c r="J6964" s="1125"/>
    </row>
    <row r="6965" spans="9:10" x14ac:dyDescent="0.2">
      <c r="I6965" s="1125"/>
      <c r="J6965" s="1125"/>
    </row>
    <row r="6966" spans="9:10" x14ac:dyDescent="0.2">
      <c r="I6966" s="1125"/>
      <c r="J6966" s="1125"/>
    </row>
    <row r="6967" spans="9:10" x14ac:dyDescent="0.2">
      <c r="I6967" s="1125"/>
      <c r="J6967" s="1125"/>
    </row>
    <row r="6968" spans="9:10" x14ac:dyDescent="0.2">
      <c r="I6968" s="1125"/>
      <c r="J6968" s="1125"/>
    </row>
    <row r="6969" spans="9:10" x14ac:dyDescent="0.2">
      <c r="I6969" s="1125"/>
      <c r="J6969" s="1125"/>
    </row>
    <row r="6970" spans="9:10" x14ac:dyDescent="0.2">
      <c r="I6970" s="1125"/>
      <c r="J6970" s="1125"/>
    </row>
    <row r="6971" spans="9:10" x14ac:dyDescent="0.2">
      <c r="I6971" s="1125"/>
      <c r="J6971" s="1125"/>
    </row>
    <row r="6972" spans="9:10" x14ac:dyDescent="0.2">
      <c r="I6972" s="1125"/>
      <c r="J6972" s="1125"/>
    </row>
    <row r="6973" spans="9:10" x14ac:dyDescent="0.2">
      <c r="I6973" s="1125"/>
      <c r="J6973" s="1125"/>
    </row>
    <row r="6974" spans="9:10" x14ac:dyDescent="0.2">
      <c r="I6974" s="1125"/>
      <c r="J6974" s="1125"/>
    </row>
    <row r="6975" spans="9:10" x14ac:dyDescent="0.2">
      <c r="I6975" s="1125"/>
      <c r="J6975" s="1125"/>
    </row>
    <row r="6976" spans="9:10" x14ac:dyDescent="0.2">
      <c r="I6976" s="1125"/>
      <c r="J6976" s="1125"/>
    </row>
    <row r="6977" spans="9:10" x14ac:dyDescent="0.2">
      <c r="I6977" s="1125"/>
      <c r="J6977" s="1125"/>
    </row>
    <row r="6978" spans="9:10" x14ac:dyDescent="0.2">
      <c r="I6978" s="1125"/>
      <c r="J6978" s="1125"/>
    </row>
    <row r="6979" spans="9:10" x14ac:dyDescent="0.2">
      <c r="I6979" s="1125"/>
      <c r="J6979" s="1125"/>
    </row>
    <row r="6980" spans="9:10" x14ac:dyDescent="0.2">
      <c r="I6980" s="1125"/>
      <c r="J6980" s="1125"/>
    </row>
    <row r="6981" spans="9:10" x14ac:dyDescent="0.2">
      <c r="I6981" s="1125"/>
      <c r="J6981" s="1125"/>
    </row>
    <row r="6982" spans="9:10" x14ac:dyDescent="0.2">
      <c r="I6982" s="1125"/>
      <c r="J6982" s="1125"/>
    </row>
    <row r="6983" spans="9:10" x14ac:dyDescent="0.2">
      <c r="I6983" s="1125"/>
      <c r="J6983" s="1125"/>
    </row>
    <row r="6984" spans="9:10" x14ac:dyDescent="0.2">
      <c r="I6984" s="1125"/>
      <c r="J6984" s="1125"/>
    </row>
    <row r="6985" spans="9:10" x14ac:dyDescent="0.2">
      <c r="I6985" s="1125"/>
      <c r="J6985" s="1125"/>
    </row>
    <row r="6986" spans="9:10" x14ac:dyDescent="0.2">
      <c r="I6986" s="1125"/>
      <c r="J6986" s="1125"/>
    </row>
    <row r="6987" spans="9:10" x14ac:dyDescent="0.2">
      <c r="I6987" s="1125"/>
      <c r="J6987" s="1125"/>
    </row>
    <row r="6988" spans="9:10" x14ac:dyDescent="0.2">
      <c r="I6988" s="1125"/>
      <c r="J6988" s="1125"/>
    </row>
    <row r="6989" spans="9:10" x14ac:dyDescent="0.2">
      <c r="I6989" s="1125"/>
      <c r="J6989" s="1125"/>
    </row>
    <row r="6990" spans="9:10" x14ac:dyDescent="0.2">
      <c r="I6990" s="1125"/>
      <c r="J6990" s="1125"/>
    </row>
    <row r="6991" spans="9:10" x14ac:dyDescent="0.2">
      <c r="I6991" s="1125"/>
      <c r="J6991" s="1125"/>
    </row>
    <row r="6992" spans="9:10" x14ac:dyDescent="0.2">
      <c r="I6992" s="1125"/>
      <c r="J6992" s="1125"/>
    </row>
    <row r="6993" spans="9:10" x14ac:dyDescent="0.2">
      <c r="I6993" s="1125"/>
      <c r="J6993" s="1125"/>
    </row>
    <row r="6994" spans="9:10" x14ac:dyDescent="0.2">
      <c r="I6994" s="1125"/>
      <c r="J6994" s="1125"/>
    </row>
    <row r="6995" spans="9:10" x14ac:dyDescent="0.2">
      <c r="I6995" s="1125"/>
      <c r="J6995" s="1125"/>
    </row>
    <row r="6996" spans="9:10" x14ac:dyDescent="0.2">
      <c r="I6996" s="1125"/>
      <c r="J6996" s="1125"/>
    </row>
    <row r="6997" spans="9:10" x14ac:dyDescent="0.2">
      <c r="I6997" s="1125"/>
      <c r="J6997" s="1125"/>
    </row>
    <row r="6998" spans="9:10" x14ac:dyDescent="0.2">
      <c r="I6998" s="1125"/>
      <c r="J6998" s="1125"/>
    </row>
    <row r="6999" spans="9:10" x14ac:dyDescent="0.2">
      <c r="I6999" s="1125"/>
      <c r="J6999" s="1125"/>
    </row>
    <row r="7000" spans="9:10" x14ac:dyDescent="0.2">
      <c r="I7000" s="1125"/>
      <c r="J7000" s="1125"/>
    </row>
    <row r="7001" spans="9:10" x14ac:dyDescent="0.2">
      <c r="I7001" s="1125"/>
      <c r="J7001" s="1125"/>
    </row>
    <row r="7002" spans="9:10" x14ac:dyDescent="0.2">
      <c r="I7002" s="1125"/>
      <c r="J7002" s="1125"/>
    </row>
    <row r="7003" spans="9:10" x14ac:dyDescent="0.2">
      <c r="I7003" s="1125"/>
      <c r="J7003" s="1125"/>
    </row>
    <row r="7004" spans="9:10" x14ac:dyDescent="0.2">
      <c r="I7004" s="1125"/>
      <c r="J7004" s="1125"/>
    </row>
    <row r="7005" spans="9:10" x14ac:dyDescent="0.2">
      <c r="I7005" s="1125"/>
      <c r="J7005" s="1125"/>
    </row>
    <row r="7006" spans="9:10" x14ac:dyDescent="0.2">
      <c r="I7006" s="1125"/>
      <c r="J7006" s="1125"/>
    </row>
    <row r="7007" spans="9:10" x14ac:dyDescent="0.2">
      <c r="I7007" s="1125"/>
      <c r="J7007" s="1125"/>
    </row>
    <row r="7008" spans="9:10" x14ac:dyDescent="0.2">
      <c r="I7008" s="1125"/>
      <c r="J7008" s="1125"/>
    </row>
    <row r="7009" spans="9:10" x14ac:dyDescent="0.2">
      <c r="I7009" s="1125"/>
      <c r="J7009" s="1125"/>
    </row>
    <row r="7010" spans="9:10" x14ac:dyDescent="0.2">
      <c r="I7010" s="1125"/>
      <c r="J7010" s="1125"/>
    </row>
    <row r="7011" spans="9:10" x14ac:dyDescent="0.2">
      <c r="I7011" s="1125"/>
      <c r="J7011" s="1125"/>
    </row>
    <row r="7012" spans="9:10" x14ac:dyDescent="0.2">
      <c r="I7012" s="1125"/>
      <c r="J7012" s="1125"/>
    </row>
    <row r="7013" spans="9:10" x14ac:dyDescent="0.2">
      <c r="I7013" s="1125"/>
      <c r="J7013" s="1125"/>
    </row>
    <row r="7014" spans="9:10" x14ac:dyDescent="0.2">
      <c r="I7014" s="1125"/>
      <c r="J7014" s="1125"/>
    </row>
    <row r="7015" spans="9:10" x14ac:dyDescent="0.2">
      <c r="I7015" s="1125"/>
      <c r="J7015" s="1125"/>
    </row>
    <row r="7016" spans="9:10" x14ac:dyDescent="0.2">
      <c r="I7016" s="1125"/>
      <c r="J7016" s="1125"/>
    </row>
    <row r="7017" spans="9:10" x14ac:dyDescent="0.2">
      <c r="I7017" s="1125"/>
      <c r="J7017" s="1125"/>
    </row>
    <row r="7018" spans="9:10" x14ac:dyDescent="0.2">
      <c r="I7018" s="1125"/>
      <c r="J7018" s="1125"/>
    </row>
    <row r="7019" spans="9:10" x14ac:dyDescent="0.2">
      <c r="I7019" s="1125"/>
      <c r="J7019" s="1125"/>
    </row>
    <row r="7020" spans="9:10" x14ac:dyDescent="0.2">
      <c r="I7020" s="1125"/>
      <c r="J7020" s="1125"/>
    </row>
    <row r="7021" spans="9:10" x14ac:dyDescent="0.2">
      <c r="I7021" s="1125"/>
      <c r="J7021" s="1125"/>
    </row>
    <row r="7022" spans="9:10" x14ac:dyDescent="0.2">
      <c r="I7022" s="1125"/>
      <c r="J7022" s="1125"/>
    </row>
    <row r="7023" spans="9:10" x14ac:dyDescent="0.2">
      <c r="I7023" s="1125"/>
      <c r="J7023" s="1125"/>
    </row>
    <row r="7024" spans="9:10" x14ac:dyDescent="0.2">
      <c r="I7024" s="1125"/>
      <c r="J7024" s="1125"/>
    </row>
    <row r="7025" spans="9:10" x14ac:dyDescent="0.2">
      <c r="I7025" s="1125"/>
      <c r="J7025" s="1125"/>
    </row>
    <row r="7026" spans="9:10" x14ac:dyDescent="0.2">
      <c r="I7026" s="1125"/>
      <c r="J7026" s="1125"/>
    </row>
    <row r="7027" spans="9:10" x14ac:dyDescent="0.2">
      <c r="I7027" s="1125"/>
      <c r="J7027" s="1125"/>
    </row>
    <row r="7028" spans="9:10" x14ac:dyDescent="0.2">
      <c r="I7028" s="1125"/>
      <c r="J7028" s="1125"/>
    </row>
    <row r="7029" spans="9:10" x14ac:dyDescent="0.2">
      <c r="I7029" s="1125"/>
      <c r="J7029" s="1125"/>
    </row>
    <row r="7030" spans="9:10" x14ac:dyDescent="0.2">
      <c r="I7030" s="1125"/>
      <c r="J7030" s="1125"/>
    </row>
    <row r="7031" spans="9:10" x14ac:dyDescent="0.2">
      <c r="I7031" s="1125"/>
      <c r="J7031" s="1125"/>
    </row>
    <row r="7032" spans="9:10" x14ac:dyDescent="0.2">
      <c r="I7032" s="1125"/>
      <c r="J7032" s="1125"/>
    </row>
    <row r="7033" spans="9:10" x14ac:dyDescent="0.2">
      <c r="I7033" s="1125"/>
      <c r="J7033" s="1125"/>
    </row>
    <row r="7034" spans="9:10" x14ac:dyDescent="0.2">
      <c r="I7034" s="1125"/>
      <c r="J7034" s="1125"/>
    </row>
    <row r="7035" spans="9:10" x14ac:dyDescent="0.2">
      <c r="I7035" s="1125"/>
      <c r="J7035" s="1125"/>
    </row>
    <row r="7036" spans="9:10" x14ac:dyDescent="0.2">
      <c r="I7036" s="1125"/>
      <c r="J7036" s="1125"/>
    </row>
    <row r="7037" spans="9:10" x14ac:dyDescent="0.2">
      <c r="I7037" s="1125"/>
      <c r="J7037" s="1125"/>
    </row>
    <row r="7038" spans="9:10" x14ac:dyDescent="0.2">
      <c r="I7038" s="1125"/>
      <c r="J7038" s="1125"/>
    </row>
    <row r="7039" spans="9:10" x14ac:dyDescent="0.2">
      <c r="I7039" s="1125"/>
      <c r="J7039" s="1125"/>
    </row>
    <row r="7040" spans="9:10" x14ac:dyDescent="0.2">
      <c r="I7040" s="1125"/>
      <c r="J7040" s="1125"/>
    </row>
    <row r="7041" spans="9:10" x14ac:dyDescent="0.2">
      <c r="I7041" s="1125"/>
      <c r="J7041" s="1125"/>
    </row>
    <row r="7042" spans="9:10" x14ac:dyDescent="0.2">
      <c r="I7042" s="1125"/>
      <c r="J7042" s="1125"/>
    </row>
    <row r="7043" spans="9:10" x14ac:dyDescent="0.2">
      <c r="I7043" s="1125"/>
      <c r="J7043" s="1125"/>
    </row>
    <row r="7044" spans="9:10" x14ac:dyDescent="0.2">
      <c r="I7044" s="1125"/>
      <c r="J7044" s="1125"/>
    </row>
    <row r="7045" spans="9:10" x14ac:dyDescent="0.2">
      <c r="I7045" s="1125"/>
      <c r="J7045" s="1125"/>
    </row>
    <row r="7046" spans="9:10" x14ac:dyDescent="0.2">
      <c r="I7046" s="1125"/>
      <c r="J7046" s="1125"/>
    </row>
    <row r="7047" spans="9:10" x14ac:dyDescent="0.2">
      <c r="I7047" s="1125"/>
      <c r="J7047" s="1125"/>
    </row>
    <row r="7048" spans="9:10" x14ac:dyDescent="0.2">
      <c r="I7048" s="1125"/>
      <c r="J7048" s="1125"/>
    </row>
    <row r="7049" spans="9:10" x14ac:dyDescent="0.2">
      <c r="I7049" s="1125"/>
      <c r="J7049" s="1125"/>
    </row>
    <row r="7050" spans="9:10" x14ac:dyDescent="0.2">
      <c r="I7050" s="1125"/>
      <c r="J7050" s="1125"/>
    </row>
    <row r="7051" spans="9:10" x14ac:dyDescent="0.2">
      <c r="I7051" s="1125"/>
      <c r="J7051" s="1125"/>
    </row>
    <row r="7052" spans="9:10" x14ac:dyDescent="0.2">
      <c r="I7052" s="1125"/>
      <c r="J7052" s="1125"/>
    </row>
    <row r="7053" spans="9:10" x14ac:dyDescent="0.2">
      <c r="I7053" s="1125"/>
      <c r="J7053" s="1125"/>
    </row>
    <row r="7054" spans="9:10" x14ac:dyDescent="0.2">
      <c r="I7054" s="1125"/>
      <c r="J7054" s="1125"/>
    </row>
    <row r="7055" spans="9:10" x14ac:dyDescent="0.2">
      <c r="I7055" s="1125"/>
      <c r="J7055" s="1125"/>
    </row>
    <row r="7056" spans="9:10" x14ac:dyDescent="0.2">
      <c r="I7056" s="1125"/>
      <c r="J7056" s="1125"/>
    </row>
    <row r="7057" spans="9:10" x14ac:dyDescent="0.2">
      <c r="I7057" s="1125"/>
      <c r="J7057" s="1125"/>
    </row>
    <row r="7058" spans="9:10" x14ac:dyDescent="0.2">
      <c r="I7058" s="1125"/>
      <c r="J7058" s="1125"/>
    </row>
    <row r="7059" spans="9:10" x14ac:dyDescent="0.2">
      <c r="I7059" s="1125"/>
      <c r="J7059" s="1125"/>
    </row>
    <row r="7060" spans="9:10" x14ac:dyDescent="0.2">
      <c r="I7060" s="1125"/>
      <c r="J7060" s="1125"/>
    </row>
    <row r="7061" spans="9:10" x14ac:dyDescent="0.2">
      <c r="I7061" s="1125"/>
      <c r="J7061" s="1125"/>
    </row>
    <row r="7062" spans="9:10" x14ac:dyDescent="0.2">
      <c r="I7062" s="1125"/>
      <c r="J7062" s="1125"/>
    </row>
    <row r="7063" spans="9:10" x14ac:dyDescent="0.2">
      <c r="I7063" s="1125"/>
      <c r="J7063" s="1125"/>
    </row>
    <row r="7064" spans="9:10" x14ac:dyDescent="0.2">
      <c r="I7064" s="1125"/>
      <c r="J7064" s="1125"/>
    </row>
    <row r="7065" spans="9:10" x14ac:dyDescent="0.2">
      <c r="I7065" s="1125"/>
      <c r="J7065" s="1125"/>
    </row>
    <row r="7066" spans="9:10" x14ac:dyDescent="0.2">
      <c r="I7066" s="1125"/>
      <c r="J7066" s="1125"/>
    </row>
    <row r="7067" spans="9:10" x14ac:dyDescent="0.2">
      <c r="I7067" s="1125"/>
      <c r="J7067" s="1125"/>
    </row>
    <row r="7068" spans="9:10" x14ac:dyDescent="0.2">
      <c r="I7068" s="1125"/>
      <c r="J7068" s="1125"/>
    </row>
    <row r="7069" spans="9:10" x14ac:dyDescent="0.2">
      <c r="I7069" s="1125"/>
      <c r="J7069" s="1125"/>
    </row>
    <row r="7070" spans="9:10" x14ac:dyDescent="0.2">
      <c r="I7070" s="1125"/>
      <c r="J7070" s="1125"/>
    </row>
    <row r="7071" spans="9:10" x14ac:dyDescent="0.2">
      <c r="I7071" s="1125"/>
      <c r="J7071" s="1125"/>
    </row>
    <row r="7072" spans="9:10" x14ac:dyDescent="0.2">
      <c r="I7072" s="1125"/>
      <c r="J7072" s="1125"/>
    </row>
    <row r="7073" spans="9:10" x14ac:dyDescent="0.2">
      <c r="I7073" s="1125"/>
      <c r="J7073" s="1125"/>
    </row>
    <row r="7074" spans="9:10" x14ac:dyDescent="0.2">
      <c r="I7074" s="1125"/>
      <c r="J7074" s="1125"/>
    </row>
    <row r="7075" spans="9:10" x14ac:dyDescent="0.2">
      <c r="I7075" s="1125"/>
      <c r="J7075" s="1125"/>
    </row>
    <row r="7076" spans="9:10" x14ac:dyDescent="0.2">
      <c r="I7076" s="1125"/>
      <c r="J7076" s="1125"/>
    </row>
    <row r="7077" spans="9:10" x14ac:dyDescent="0.2">
      <c r="I7077" s="1125"/>
      <c r="J7077" s="1125"/>
    </row>
    <row r="7078" spans="9:10" x14ac:dyDescent="0.2">
      <c r="I7078" s="1125"/>
      <c r="J7078" s="1125"/>
    </row>
    <row r="7079" spans="9:10" x14ac:dyDescent="0.2">
      <c r="I7079" s="1125"/>
      <c r="J7079" s="1125"/>
    </row>
    <row r="7080" spans="9:10" x14ac:dyDescent="0.2">
      <c r="I7080" s="1125"/>
      <c r="J7080" s="1125"/>
    </row>
    <row r="7081" spans="9:10" x14ac:dyDescent="0.2">
      <c r="I7081" s="1125"/>
      <c r="J7081" s="1125"/>
    </row>
    <row r="7082" spans="9:10" x14ac:dyDescent="0.2">
      <c r="I7082" s="1125"/>
      <c r="J7082" s="1125"/>
    </row>
    <row r="7083" spans="9:10" x14ac:dyDescent="0.2">
      <c r="I7083" s="1125"/>
      <c r="J7083" s="1125"/>
    </row>
    <row r="7084" spans="9:10" x14ac:dyDescent="0.2">
      <c r="I7084" s="1125"/>
      <c r="J7084" s="1125"/>
    </row>
    <row r="7085" spans="9:10" x14ac:dyDescent="0.2">
      <c r="I7085" s="1125"/>
      <c r="J7085" s="1125"/>
    </row>
    <row r="7086" spans="9:10" x14ac:dyDescent="0.2">
      <c r="I7086" s="1125"/>
      <c r="J7086" s="1125"/>
    </row>
    <row r="7087" spans="9:10" x14ac:dyDescent="0.2">
      <c r="I7087" s="1125"/>
      <c r="J7087" s="1125"/>
    </row>
    <row r="7088" spans="9:10" x14ac:dyDescent="0.2">
      <c r="I7088" s="1125"/>
      <c r="J7088" s="1125"/>
    </row>
    <row r="7089" spans="9:10" x14ac:dyDescent="0.2">
      <c r="I7089" s="1125"/>
      <c r="J7089" s="1125"/>
    </row>
    <row r="7090" spans="9:10" x14ac:dyDescent="0.2">
      <c r="I7090" s="1125"/>
      <c r="J7090" s="1125"/>
    </row>
    <row r="7091" spans="9:10" x14ac:dyDescent="0.2">
      <c r="I7091" s="1125"/>
      <c r="J7091" s="1125"/>
    </row>
    <row r="7092" spans="9:10" x14ac:dyDescent="0.2">
      <c r="I7092" s="1125"/>
      <c r="J7092" s="1125"/>
    </row>
    <row r="7093" spans="9:10" x14ac:dyDescent="0.2">
      <c r="I7093" s="1125"/>
      <c r="J7093" s="1125"/>
    </row>
    <row r="7094" spans="9:10" x14ac:dyDescent="0.2">
      <c r="I7094" s="1125"/>
      <c r="J7094" s="1125"/>
    </row>
    <row r="7095" spans="9:10" x14ac:dyDescent="0.2">
      <c r="I7095" s="1125"/>
      <c r="J7095" s="1125"/>
    </row>
    <row r="7096" spans="9:10" x14ac:dyDescent="0.2">
      <c r="I7096" s="1125"/>
      <c r="J7096" s="1125"/>
    </row>
    <row r="7097" spans="9:10" x14ac:dyDescent="0.2">
      <c r="I7097" s="1125"/>
      <c r="J7097" s="1125"/>
    </row>
    <row r="7098" spans="9:10" x14ac:dyDescent="0.2">
      <c r="I7098" s="1125"/>
      <c r="J7098" s="1125"/>
    </row>
    <row r="7099" spans="9:10" x14ac:dyDescent="0.2">
      <c r="I7099" s="1125"/>
      <c r="J7099" s="1125"/>
    </row>
    <row r="7100" spans="9:10" x14ac:dyDescent="0.2">
      <c r="I7100" s="1125"/>
      <c r="J7100" s="1125"/>
    </row>
    <row r="7101" spans="9:10" x14ac:dyDescent="0.2">
      <c r="I7101" s="1125"/>
      <c r="J7101" s="1125"/>
    </row>
    <row r="7102" spans="9:10" x14ac:dyDescent="0.2">
      <c r="I7102" s="1125"/>
      <c r="J7102" s="1125"/>
    </row>
    <row r="7103" spans="9:10" x14ac:dyDescent="0.2">
      <c r="I7103" s="1125"/>
      <c r="J7103" s="1125"/>
    </row>
    <row r="7104" spans="9:10" x14ac:dyDescent="0.2">
      <c r="I7104" s="1125"/>
      <c r="J7104" s="1125"/>
    </row>
    <row r="7105" spans="9:10" x14ac:dyDescent="0.2">
      <c r="I7105" s="1125"/>
      <c r="J7105" s="1125"/>
    </row>
    <row r="7106" spans="9:10" x14ac:dyDescent="0.2">
      <c r="I7106" s="1125"/>
      <c r="J7106" s="1125"/>
    </row>
    <row r="7107" spans="9:10" x14ac:dyDescent="0.2">
      <c r="I7107" s="1125"/>
      <c r="J7107" s="1125"/>
    </row>
    <row r="7108" spans="9:10" x14ac:dyDescent="0.2">
      <c r="I7108" s="1125"/>
      <c r="J7108" s="1125"/>
    </row>
    <row r="7109" spans="9:10" x14ac:dyDescent="0.2">
      <c r="I7109" s="1125"/>
      <c r="J7109" s="1125"/>
    </row>
    <row r="7110" spans="9:10" x14ac:dyDescent="0.2">
      <c r="I7110" s="1125"/>
      <c r="J7110" s="1125"/>
    </row>
    <row r="7111" spans="9:10" x14ac:dyDescent="0.2">
      <c r="I7111" s="1125"/>
      <c r="J7111" s="1125"/>
    </row>
    <row r="7112" spans="9:10" x14ac:dyDescent="0.2">
      <c r="I7112" s="1125"/>
      <c r="J7112" s="1125"/>
    </row>
    <row r="7113" spans="9:10" x14ac:dyDescent="0.2">
      <c r="I7113" s="1125"/>
      <c r="J7113" s="1125"/>
    </row>
    <row r="7114" spans="9:10" x14ac:dyDescent="0.2">
      <c r="I7114" s="1125"/>
      <c r="J7114" s="1125"/>
    </row>
    <row r="7115" spans="9:10" x14ac:dyDescent="0.2">
      <c r="I7115" s="1125"/>
      <c r="J7115" s="1125"/>
    </row>
    <row r="7116" spans="9:10" x14ac:dyDescent="0.2">
      <c r="I7116" s="1125"/>
      <c r="J7116" s="1125"/>
    </row>
    <row r="7117" spans="9:10" x14ac:dyDescent="0.2">
      <c r="I7117" s="1125"/>
      <c r="J7117" s="1125"/>
    </row>
    <row r="7118" spans="9:10" x14ac:dyDescent="0.2">
      <c r="I7118" s="1125"/>
      <c r="J7118" s="1125"/>
    </row>
    <row r="7119" spans="9:10" x14ac:dyDescent="0.2">
      <c r="I7119" s="1125"/>
      <c r="J7119" s="1125"/>
    </row>
    <row r="7120" spans="9:10" x14ac:dyDescent="0.2">
      <c r="I7120" s="1125"/>
      <c r="J7120" s="1125"/>
    </row>
    <row r="7121" spans="9:10" x14ac:dyDescent="0.2">
      <c r="I7121" s="1125"/>
      <c r="J7121" s="1125"/>
    </row>
    <row r="7122" spans="9:10" x14ac:dyDescent="0.2">
      <c r="I7122" s="1125"/>
      <c r="J7122" s="1125"/>
    </row>
    <row r="7123" spans="9:10" x14ac:dyDescent="0.2">
      <c r="I7123" s="1125"/>
      <c r="J7123" s="1125"/>
    </row>
    <row r="7124" spans="9:10" x14ac:dyDescent="0.2">
      <c r="I7124" s="1125"/>
      <c r="J7124" s="1125"/>
    </row>
    <row r="7125" spans="9:10" x14ac:dyDescent="0.2">
      <c r="I7125" s="1125"/>
      <c r="J7125" s="1125"/>
    </row>
    <row r="7126" spans="9:10" x14ac:dyDescent="0.2">
      <c r="I7126" s="1125"/>
      <c r="J7126" s="1125"/>
    </row>
    <row r="7127" spans="9:10" x14ac:dyDescent="0.2">
      <c r="I7127" s="1125"/>
      <c r="J7127" s="1125"/>
    </row>
    <row r="7128" spans="9:10" x14ac:dyDescent="0.2">
      <c r="I7128" s="1125"/>
      <c r="J7128" s="1125"/>
    </row>
    <row r="7129" spans="9:10" x14ac:dyDescent="0.2">
      <c r="I7129" s="1125"/>
      <c r="J7129" s="1125"/>
    </row>
    <row r="7130" spans="9:10" x14ac:dyDescent="0.2">
      <c r="I7130" s="1125"/>
      <c r="J7130" s="1125"/>
    </row>
    <row r="7131" spans="9:10" x14ac:dyDescent="0.2">
      <c r="I7131" s="1125"/>
      <c r="J7131" s="1125"/>
    </row>
    <row r="7132" spans="9:10" x14ac:dyDescent="0.2">
      <c r="I7132" s="1125"/>
      <c r="J7132" s="1125"/>
    </row>
    <row r="7133" spans="9:10" x14ac:dyDescent="0.2">
      <c r="I7133" s="1125"/>
      <c r="J7133" s="1125"/>
    </row>
    <row r="7134" spans="9:10" x14ac:dyDescent="0.2">
      <c r="I7134" s="1125"/>
      <c r="J7134" s="1125"/>
    </row>
    <row r="7135" spans="9:10" x14ac:dyDescent="0.2">
      <c r="I7135" s="1125"/>
      <c r="J7135" s="1125"/>
    </row>
    <row r="7136" spans="9:10" x14ac:dyDescent="0.2">
      <c r="I7136" s="1125"/>
      <c r="J7136" s="1125"/>
    </row>
    <row r="7137" spans="9:10" x14ac:dyDescent="0.2">
      <c r="I7137" s="1125"/>
      <c r="J7137" s="1125"/>
    </row>
    <row r="7138" spans="9:10" x14ac:dyDescent="0.2">
      <c r="I7138" s="1125"/>
      <c r="J7138" s="1125"/>
    </row>
    <row r="7139" spans="9:10" x14ac:dyDescent="0.2">
      <c r="I7139" s="1125"/>
      <c r="J7139" s="1125"/>
    </row>
    <row r="7140" spans="9:10" x14ac:dyDescent="0.2">
      <c r="I7140" s="1125"/>
      <c r="J7140" s="1125"/>
    </row>
    <row r="7141" spans="9:10" x14ac:dyDescent="0.2">
      <c r="I7141" s="1125"/>
      <c r="J7141" s="1125"/>
    </row>
    <row r="7142" spans="9:10" x14ac:dyDescent="0.2">
      <c r="I7142" s="1125"/>
      <c r="J7142" s="1125"/>
    </row>
    <row r="7143" spans="9:10" x14ac:dyDescent="0.2">
      <c r="I7143" s="1125"/>
      <c r="J7143" s="1125"/>
    </row>
    <row r="7144" spans="9:10" x14ac:dyDescent="0.2">
      <c r="I7144" s="1125"/>
      <c r="J7144" s="1125"/>
    </row>
    <row r="7145" spans="9:10" x14ac:dyDescent="0.2">
      <c r="I7145" s="1125"/>
      <c r="J7145" s="1125"/>
    </row>
    <row r="7146" spans="9:10" x14ac:dyDescent="0.2">
      <c r="I7146" s="1125"/>
      <c r="J7146" s="1125"/>
    </row>
    <row r="7147" spans="9:10" x14ac:dyDescent="0.2">
      <c r="I7147" s="1125"/>
      <c r="J7147" s="1125"/>
    </row>
    <row r="7148" spans="9:10" x14ac:dyDescent="0.2">
      <c r="I7148" s="1125"/>
      <c r="J7148" s="1125"/>
    </row>
    <row r="7149" spans="9:10" x14ac:dyDescent="0.2">
      <c r="I7149" s="1125"/>
      <c r="J7149" s="1125"/>
    </row>
    <row r="7150" spans="9:10" x14ac:dyDescent="0.2">
      <c r="I7150" s="1125"/>
      <c r="J7150" s="1125"/>
    </row>
    <row r="7151" spans="9:10" x14ac:dyDescent="0.2">
      <c r="I7151" s="1125"/>
      <c r="J7151" s="1125"/>
    </row>
    <row r="7152" spans="9:10" x14ac:dyDescent="0.2">
      <c r="I7152" s="1125"/>
      <c r="J7152" s="1125"/>
    </row>
    <row r="7153" spans="9:10" x14ac:dyDescent="0.2">
      <c r="I7153" s="1125"/>
      <c r="J7153" s="1125"/>
    </row>
    <row r="7154" spans="9:10" x14ac:dyDescent="0.2">
      <c r="I7154" s="1125"/>
      <c r="J7154" s="1125"/>
    </row>
    <row r="7155" spans="9:10" x14ac:dyDescent="0.2">
      <c r="I7155" s="1125"/>
      <c r="J7155" s="1125"/>
    </row>
    <row r="7156" spans="9:10" x14ac:dyDescent="0.2">
      <c r="I7156" s="1125"/>
      <c r="J7156" s="1125"/>
    </row>
    <row r="7157" spans="9:10" x14ac:dyDescent="0.2">
      <c r="I7157" s="1125"/>
      <c r="J7157" s="1125"/>
    </row>
    <row r="7158" spans="9:10" x14ac:dyDescent="0.2">
      <c r="I7158" s="1125"/>
      <c r="J7158" s="1125"/>
    </row>
    <row r="7159" spans="9:10" x14ac:dyDescent="0.2">
      <c r="I7159" s="1125"/>
      <c r="J7159" s="1125"/>
    </row>
    <row r="7160" spans="9:10" x14ac:dyDescent="0.2">
      <c r="I7160" s="1125"/>
      <c r="J7160" s="1125"/>
    </row>
    <row r="7161" spans="9:10" x14ac:dyDescent="0.2">
      <c r="I7161" s="1125"/>
      <c r="J7161" s="1125"/>
    </row>
    <row r="7162" spans="9:10" x14ac:dyDescent="0.2">
      <c r="I7162" s="1125"/>
      <c r="J7162" s="1125"/>
    </row>
    <row r="7163" spans="9:10" x14ac:dyDescent="0.2">
      <c r="I7163" s="1125"/>
      <c r="J7163" s="1125"/>
    </row>
    <row r="7164" spans="9:10" x14ac:dyDescent="0.2">
      <c r="I7164" s="1125"/>
      <c r="J7164" s="1125"/>
    </row>
    <row r="7165" spans="9:10" x14ac:dyDescent="0.2">
      <c r="I7165" s="1125"/>
      <c r="J7165" s="1125"/>
    </row>
    <row r="7166" spans="9:10" x14ac:dyDescent="0.2">
      <c r="I7166" s="1125"/>
      <c r="J7166" s="1125"/>
    </row>
    <row r="7167" spans="9:10" x14ac:dyDescent="0.2">
      <c r="I7167" s="1125"/>
      <c r="J7167" s="1125"/>
    </row>
    <row r="7168" spans="9:10" x14ac:dyDescent="0.2">
      <c r="I7168" s="1125"/>
      <c r="J7168" s="1125"/>
    </row>
    <row r="7169" spans="9:10" x14ac:dyDescent="0.2">
      <c r="I7169" s="1125"/>
      <c r="J7169" s="1125"/>
    </row>
    <row r="7170" spans="9:10" x14ac:dyDescent="0.2">
      <c r="I7170" s="1125"/>
      <c r="J7170" s="1125"/>
    </row>
    <row r="7171" spans="9:10" x14ac:dyDescent="0.2">
      <c r="I7171" s="1125"/>
      <c r="J7171" s="1125"/>
    </row>
    <row r="7172" spans="9:10" x14ac:dyDescent="0.2">
      <c r="I7172" s="1125"/>
      <c r="J7172" s="1125"/>
    </row>
    <row r="7173" spans="9:10" x14ac:dyDescent="0.2">
      <c r="I7173" s="1125"/>
      <c r="J7173" s="1125"/>
    </row>
    <row r="7174" spans="9:10" x14ac:dyDescent="0.2">
      <c r="I7174" s="1125"/>
      <c r="J7174" s="1125"/>
    </row>
    <row r="7175" spans="9:10" x14ac:dyDescent="0.2">
      <c r="I7175" s="1125"/>
      <c r="J7175" s="1125"/>
    </row>
    <row r="7176" spans="9:10" x14ac:dyDescent="0.2">
      <c r="I7176" s="1125"/>
      <c r="J7176" s="1125"/>
    </row>
    <row r="7177" spans="9:10" x14ac:dyDescent="0.2">
      <c r="I7177" s="1125"/>
      <c r="J7177" s="1125"/>
    </row>
    <row r="7178" spans="9:10" x14ac:dyDescent="0.2">
      <c r="I7178" s="1125"/>
      <c r="J7178" s="1125"/>
    </row>
    <row r="7179" spans="9:10" x14ac:dyDescent="0.2">
      <c r="I7179" s="1125"/>
      <c r="J7179" s="1125"/>
    </row>
    <row r="7180" spans="9:10" x14ac:dyDescent="0.2">
      <c r="I7180" s="1125"/>
      <c r="J7180" s="1125"/>
    </row>
    <row r="7181" spans="9:10" x14ac:dyDescent="0.2">
      <c r="I7181" s="1125"/>
      <c r="J7181" s="1125"/>
    </row>
    <row r="7182" spans="9:10" x14ac:dyDescent="0.2">
      <c r="I7182" s="1125"/>
      <c r="J7182" s="1125"/>
    </row>
    <row r="7183" spans="9:10" x14ac:dyDescent="0.2">
      <c r="I7183" s="1125"/>
      <c r="J7183" s="1125"/>
    </row>
    <row r="7184" spans="9:10" x14ac:dyDescent="0.2">
      <c r="I7184" s="1125"/>
      <c r="J7184" s="1125"/>
    </row>
    <row r="7185" spans="9:10" x14ac:dyDescent="0.2">
      <c r="I7185" s="1125"/>
      <c r="J7185" s="1125"/>
    </row>
    <row r="7186" spans="9:10" x14ac:dyDescent="0.2">
      <c r="I7186" s="1125"/>
      <c r="J7186" s="1125"/>
    </row>
    <row r="7187" spans="9:10" x14ac:dyDescent="0.2">
      <c r="I7187" s="1125"/>
      <c r="J7187" s="1125"/>
    </row>
    <row r="7188" spans="9:10" x14ac:dyDescent="0.2">
      <c r="I7188" s="1125"/>
      <c r="J7188" s="1125"/>
    </row>
    <row r="7189" spans="9:10" x14ac:dyDescent="0.2">
      <c r="I7189" s="1125"/>
      <c r="J7189" s="1125"/>
    </row>
    <row r="7190" spans="9:10" x14ac:dyDescent="0.2">
      <c r="I7190" s="1125"/>
      <c r="J7190" s="1125"/>
    </row>
    <row r="7191" spans="9:10" x14ac:dyDescent="0.2">
      <c r="I7191" s="1125"/>
      <c r="J7191" s="1125"/>
    </row>
    <row r="7192" spans="9:10" x14ac:dyDescent="0.2">
      <c r="I7192" s="1125"/>
      <c r="J7192" s="1125"/>
    </row>
    <row r="7193" spans="9:10" x14ac:dyDescent="0.2">
      <c r="I7193" s="1125"/>
      <c r="J7193" s="1125"/>
    </row>
    <row r="7194" spans="9:10" x14ac:dyDescent="0.2">
      <c r="I7194" s="1125"/>
      <c r="J7194" s="1125"/>
    </row>
    <row r="7195" spans="9:10" x14ac:dyDescent="0.2">
      <c r="I7195" s="1125"/>
      <c r="J7195" s="1125"/>
    </row>
    <row r="7196" spans="9:10" x14ac:dyDescent="0.2">
      <c r="I7196" s="1125"/>
      <c r="J7196" s="1125"/>
    </row>
    <row r="7197" spans="9:10" x14ac:dyDescent="0.2">
      <c r="I7197" s="1125"/>
      <c r="J7197" s="1125"/>
    </row>
    <row r="7198" spans="9:10" x14ac:dyDescent="0.2">
      <c r="I7198" s="1125"/>
      <c r="J7198" s="1125"/>
    </row>
    <row r="7199" spans="9:10" x14ac:dyDescent="0.2">
      <c r="I7199" s="1125"/>
      <c r="J7199" s="1125"/>
    </row>
    <row r="7200" spans="9:10" x14ac:dyDescent="0.2">
      <c r="I7200" s="1125"/>
      <c r="J7200" s="1125"/>
    </row>
    <row r="7201" spans="9:10" x14ac:dyDescent="0.2">
      <c r="I7201" s="1125"/>
      <c r="J7201" s="1125"/>
    </row>
    <row r="7202" spans="9:10" x14ac:dyDescent="0.2">
      <c r="I7202" s="1125"/>
      <c r="J7202" s="1125"/>
    </row>
    <row r="7203" spans="9:10" x14ac:dyDescent="0.2">
      <c r="I7203" s="1125"/>
      <c r="J7203" s="1125"/>
    </row>
    <row r="7204" spans="9:10" x14ac:dyDescent="0.2">
      <c r="I7204" s="1125"/>
      <c r="J7204" s="1125"/>
    </row>
    <row r="7205" spans="9:10" x14ac:dyDescent="0.2">
      <c r="I7205" s="1125"/>
      <c r="J7205" s="1125"/>
    </row>
    <row r="7206" spans="9:10" x14ac:dyDescent="0.2">
      <c r="I7206" s="1125"/>
      <c r="J7206" s="1125"/>
    </row>
    <row r="7207" spans="9:10" x14ac:dyDescent="0.2">
      <c r="I7207" s="1125"/>
      <c r="J7207" s="1125"/>
    </row>
    <row r="7208" spans="9:10" x14ac:dyDescent="0.2">
      <c r="I7208" s="1125"/>
      <c r="J7208" s="1125"/>
    </row>
    <row r="7209" spans="9:10" x14ac:dyDescent="0.2">
      <c r="I7209" s="1125"/>
      <c r="J7209" s="1125"/>
    </row>
    <row r="7210" spans="9:10" x14ac:dyDescent="0.2">
      <c r="I7210" s="1125"/>
      <c r="J7210" s="1125"/>
    </row>
    <row r="7211" spans="9:10" x14ac:dyDescent="0.2">
      <c r="I7211" s="1125"/>
      <c r="J7211" s="1125"/>
    </row>
    <row r="7212" spans="9:10" x14ac:dyDescent="0.2">
      <c r="I7212" s="1125"/>
      <c r="J7212" s="1125"/>
    </row>
    <row r="7213" spans="9:10" x14ac:dyDescent="0.2">
      <c r="I7213" s="1125"/>
      <c r="J7213" s="1125"/>
    </row>
    <row r="7214" spans="9:10" x14ac:dyDescent="0.2">
      <c r="I7214" s="1125"/>
      <c r="J7214" s="1125"/>
    </row>
    <row r="7215" spans="9:10" x14ac:dyDescent="0.2">
      <c r="I7215" s="1125"/>
      <c r="J7215" s="1125"/>
    </row>
    <row r="7216" spans="9:10" x14ac:dyDescent="0.2">
      <c r="I7216" s="1125"/>
      <c r="J7216" s="1125"/>
    </row>
    <row r="7217" spans="9:10" x14ac:dyDescent="0.2">
      <c r="I7217" s="1125"/>
      <c r="J7217" s="1125"/>
    </row>
    <row r="7218" spans="9:10" x14ac:dyDescent="0.2">
      <c r="I7218" s="1125"/>
      <c r="J7218" s="1125"/>
    </row>
    <row r="7219" spans="9:10" x14ac:dyDescent="0.2">
      <c r="I7219" s="1125"/>
      <c r="J7219" s="1125"/>
    </row>
    <row r="7220" spans="9:10" x14ac:dyDescent="0.2">
      <c r="I7220" s="1125"/>
      <c r="J7220" s="1125"/>
    </row>
    <row r="7221" spans="9:10" x14ac:dyDescent="0.2">
      <c r="I7221" s="1125"/>
      <c r="J7221" s="1125"/>
    </row>
    <row r="7222" spans="9:10" x14ac:dyDescent="0.2">
      <c r="I7222" s="1125"/>
      <c r="J7222" s="1125"/>
    </row>
    <row r="7223" spans="9:10" x14ac:dyDescent="0.2">
      <c r="I7223" s="1125"/>
      <c r="J7223" s="1125"/>
    </row>
    <row r="7224" spans="9:10" x14ac:dyDescent="0.2">
      <c r="I7224" s="1125"/>
      <c r="J7224" s="1125"/>
    </row>
    <row r="7225" spans="9:10" x14ac:dyDescent="0.2">
      <c r="I7225" s="1125"/>
      <c r="J7225" s="1125"/>
    </row>
    <row r="7226" spans="9:10" x14ac:dyDescent="0.2">
      <c r="I7226" s="1125"/>
      <c r="J7226" s="1125"/>
    </row>
    <row r="7227" spans="9:10" x14ac:dyDescent="0.2">
      <c r="I7227" s="1125"/>
      <c r="J7227" s="1125"/>
    </row>
    <row r="7228" spans="9:10" x14ac:dyDescent="0.2">
      <c r="I7228" s="1125"/>
      <c r="J7228" s="1125"/>
    </row>
    <row r="7229" spans="9:10" x14ac:dyDescent="0.2">
      <c r="I7229" s="1125"/>
      <c r="J7229" s="1125"/>
    </row>
    <row r="7230" spans="9:10" x14ac:dyDescent="0.2">
      <c r="I7230" s="1125"/>
      <c r="J7230" s="1125"/>
    </row>
    <row r="7231" spans="9:10" x14ac:dyDescent="0.2">
      <c r="I7231" s="1125"/>
      <c r="J7231" s="1125"/>
    </row>
    <row r="7232" spans="9:10" x14ac:dyDescent="0.2">
      <c r="I7232" s="1125"/>
      <c r="J7232" s="1125"/>
    </row>
    <row r="7233" spans="9:10" x14ac:dyDescent="0.2">
      <c r="I7233" s="1125"/>
      <c r="J7233" s="1125"/>
    </row>
    <row r="7234" spans="9:10" x14ac:dyDescent="0.2">
      <c r="I7234" s="1125"/>
      <c r="J7234" s="1125"/>
    </row>
    <row r="7235" spans="9:10" x14ac:dyDescent="0.2">
      <c r="I7235" s="1125"/>
      <c r="J7235" s="1125"/>
    </row>
    <row r="7236" spans="9:10" x14ac:dyDescent="0.2">
      <c r="I7236" s="1125"/>
      <c r="J7236" s="1125"/>
    </row>
    <row r="7237" spans="9:10" x14ac:dyDescent="0.2">
      <c r="I7237" s="1125"/>
      <c r="J7237" s="1125"/>
    </row>
    <row r="7238" spans="9:10" x14ac:dyDescent="0.2">
      <c r="I7238" s="1125"/>
      <c r="J7238" s="1125"/>
    </row>
    <row r="7239" spans="9:10" x14ac:dyDescent="0.2">
      <c r="I7239" s="1125"/>
      <c r="J7239" s="1125"/>
    </row>
    <row r="7240" spans="9:10" x14ac:dyDescent="0.2">
      <c r="I7240" s="1125"/>
      <c r="J7240" s="1125"/>
    </row>
    <row r="7241" spans="9:10" x14ac:dyDescent="0.2">
      <c r="I7241" s="1125"/>
      <c r="J7241" s="1125"/>
    </row>
    <row r="7242" spans="9:10" x14ac:dyDescent="0.2">
      <c r="I7242" s="1125"/>
      <c r="J7242" s="1125"/>
    </row>
    <row r="7243" spans="9:10" x14ac:dyDescent="0.2">
      <c r="I7243" s="1125"/>
      <c r="J7243" s="1125"/>
    </row>
    <row r="7244" spans="9:10" x14ac:dyDescent="0.2">
      <c r="I7244" s="1125"/>
      <c r="J7244" s="1125"/>
    </row>
    <row r="7245" spans="9:10" x14ac:dyDescent="0.2">
      <c r="I7245" s="1125"/>
      <c r="J7245" s="1125"/>
    </row>
    <row r="7246" spans="9:10" x14ac:dyDescent="0.2">
      <c r="I7246" s="1125"/>
      <c r="J7246" s="1125"/>
    </row>
    <row r="7247" spans="9:10" x14ac:dyDescent="0.2">
      <c r="I7247" s="1125"/>
      <c r="J7247" s="1125"/>
    </row>
    <row r="7248" spans="9:10" x14ac:dyDescent="0.2">
      <c r="I7248" s="1125"/>
      <c r="J7248" s="1125"/>
    </row>
    <row r="7249" spans="9:10" x14ac:dyDescent="0.2">
      <c r="I7249" s="1125"/>
      <c r="J7249" s="1125"/>
    </row>
    <row r="7250" spans="9:10" x14ac:dyDescent="0.2">
      <c r="I7250" s="1125"/>
      <c r="J7250" s="1125"/>
    </row>
    <row r="7251" spans="9:10" x14ac:dyDescent="0.2">
      <c r="I7251" s="1125"/>
      <c r="J7251" s="1125"/>
    </row>
    <row r="7252" spans="9:10" x14ac:dyDescent="0.2">
      <c r="I7252" s="1125"/>
      <c r="J7252" s="1125"/>
    </row>
    <row r="7253" spans="9:10" x14ac:dyDescent="0.2">
      <c r="I7253" s="1125"/>
      <c r="J7253" s="1125"/>
    </row>
    <row r="7254" spans="9:10" x14ac:dyDescent="0.2">
      <c r="I7254" s="1125"/>
      <c r="J7254" s="1125"/>
    </row>
    <row r="7255" spans="9:10" x14ac:dyDescent="0.2">
      <c r="I7255" s="1125"/>
      <c r="J7255" s="1125"/>
    </row>
    <row r="7256" spans="9:10" x14ac:dyDescent="0.2">
      <c r="I7256" s="1125"/>
      <c r="J7256" s="1125"/>
    </row>
    <row r="7257" spans="9:10" x14ac:dyDescent="0.2">
      <c r="I7257" s="1125"/>
      <c r="J7257" s="1125"/>
    </row>
    <row r="7258" spans="9:10" x14ac:dyDescent="0.2">
      <c r="I7258" s="1125"/>
      <c r="J7258" s="1125"/>
    </row>
    <row r="7259" spans="9:10" x14ac:dyDescent="0.2">
      <c r="I7259" s="1125"/>
      <c r="J7259" s="1125"/>
    </row>
    <row r="7260" spans="9:10" x14ac:dyDescent="0.2">
      <c r="I7260" s="1125"/>
      <c r="J7260" s="1125"/>
    </row>
    <row r="7261" spans="9:10" x14ac:dyDescent="0.2">
      <c r="I7261" s="1125"/>
      <c r="J7261" s="1125"/>
    </row>
    <row r="7262" spans="9:10" x14ac:dyDescent="0.2">
      <c r="I7262" s="1125"/>
      <c r="J7262" s="1125"/>
    </row>
    <row r="7263" spans="9:10" x14ac:dyDescent="0.2">
      <c r="I7263" s="1125"/>
      <c r="J7263" s="1125"/>
    </row>
    <row r="7264" spans="9:10" x14ac:dyDescent="0.2">
      <c r="I7264" s="1125"/>
      <c r="J7264" s="1125"/>
    </row>
    <row r="7265" spans="9:10" x14ac:dyDescent="0.2">
      <c r="I7265" s="1125"/>
      <c r="J7265" s="1125"/>
    </row>
    <row r="7266" spans="9:10" x14ac:dyDescent="0.2">
      <c r="I7266" s="1125"/>
      <c r="J7266" s="1125"/>
    </row>
    <row r="7267" spans="9:10" x14ac:dyDescent="0.2">
      <c r="I7267" s="1125"/>
      <c r="J7267" s="1125"/>
    </row>
    <row r="7268" spans="9:10" x14ac:dyDescent="0.2">
      <c r="I7268" s="1125"/>
      <c r="J7268" s="1125"/>
    </row>
    <row r="7269" spans="9:10" x14ac:dyDescent="0.2">
      <c r="I7269" s="1125"/>
      <c r="J7269" s="1125"/>
    </row>
    <row r="7270" spans="9:10" x14ac:dyDescent="0.2">
      <c r="I7270" s="1125"/>
      <c r="J7270" s="1125"/>
    </row>
    <row r="7271" spans="9:10" x14ac:dyDescent="0.2">
      <c r="I7271" s="1125"/>
      <c r="J7271" s="1125"/>
    </row>
    <row r="7272" spans="9:10" x14ac:dyDescent="0.2">
      <c r="I7272" s="1125"/>
      <c r="J7272" s="1125"/>
    </row>
    <row r="7273" spans="9:10" x14ac:dyDescent="0.2">
      <c r="I7273" s="1125"/>
      <c r="J7273" s="1125"/>
    </row>
    <row r="7274" spans="9:10" x14ac:dyDescent="0.2">
      <c r="I7274" s="1125"/>
      <c r="J7274" s="1125"/>
    </row>
    <row r="7275" spans="9:10" x14ac:dyDescent="0.2">
      <c r="I7275" s="1125"/>
      <c r="J7275" s="1125"/>
    </row>
    <row r="7276" spans="9:10" x14ac:dyDescent="0.2">
      <c r="I7276" s="1125"/>
      <c r="J7276" s="1125"/>
    </row>
    <row r="7277" spans="9:10" x14ac:dyDescent="0.2">
      <c r="I7277" s="1125"/>
      <c r="J7277" s="1125"/>
    </row>
    <row r="7278" spans="9:10" x14ac:dyDescent="0.2">
      <c r="I7278" s="1125"/>
      <c r="J7278" s="1125"/>
    </row>
    <row r="7279" spans="9:10" x14ac:dyDescent="0.2">
      <c r="I7279" s="1125"/>
      <c r="J7279" s="1125"/>
    </row>
    <row r="7280" spans="9:10" x14ac:dyDescent="0.2">
      <c r="I7280" s="1125"/>
      <c r="J7280" s="1125"/>
    </row>
    <row r="7281" spans="9:10" x14ac:dyDescent="0.2">
      <c r="I7281" s="1125"/>
      <c r="J7281" s="1125"/>
    </row>
    <row r="7282" spans="9:10" x14ac:dyDescent="0.2">
      <c r="I7282" s="1125"/>
      <c r="J7282" s="1125"/>
    </row>
    <row r="7283" spans="9:10" x14ac:dyDescent="0.2">
      <c r="I7283" s="1125"/>
      <c r="J7283" s="1125"/>
    </row>
    <row r="7284" spans="9:10" x14ac:dyDescent="0.2">
      <c r="I7284" s="1125"/>
      <c r="J7284" s="1125"/>
    </row>
    <row r="7285" spans="9:10" x14ac:dyDescent="0.2">
      <c r="I7285" s="1125"/>
      <c r="J7285" s="1125"/>
    </row>
    <row r="7286" spans="9:10" x14ac:dyDescent="0.2">
      <c r="I7286" s="1125"/>
      <c r="J7286" s="1125"/>
    </row>
    <row r="7287" spans="9:10" x14ac:dyDescent="0.2">
      <c r="I7287" s="1125"/>
      <c r="J7287" s="1125"/>
    </row>
    <row r="7288" spans="9:10" x14ac:dyDescent="0.2">
      <c r="I7288" s="1125"/>
      <c r="J7288" s="1125"/>
    </row>
    <row r="7289" spans="9:10" x14ac:dyDescent="0.2">
      <c r="I7289" s="1125"/>
      <c r="J7289" s="1125"/>
    </row>
    <row r="7290" spans="9:10" x14ac:dyDescent="0.2">
      <c r="I7290" s="1125"/>
      <c r="J7290" s="1125"/>
    </row>
    <row r="7291" spans="9:10" x14ac:dyDescent="0.2">
      <c r="I7291" s="1125"/>
      <c r="J7291" s="1125"/>
    </row>
    <row r="7292" spans="9:10" x14ac:dyDescent="0.2">
      <c r="I7292" s="1125"/>
      <c r="J7292" s="1125"/>
    </row>
    <row r="7293" spans="9:10" x14ac:dyDescent="0.2">
      <c r="I7293" s="1125"/>
      <c r="J7293" s="1125"/>
    </row>
    <row r="7294" spans="9:10" x14ac:dyDescent="0.2">
      <c r="I7294" s="1125"/>
      <c r="J7294" s="1125"/>
    </row>
    <row r="7295" spans="9:10" x14ac:dyDescent="0.2">
      <c r="I7295" s="1125"/>
      <c r="J7295" s="1125"/>
    </row>
    <row r="7296" spans="9:10" x14ac:dyDescent="0.2">
      <c r="I7296" s="1125"/>
      <c r="J7296" s="1125"/>
    </row>
    <row r="7297" spans="9:10" x14ac:dyDescent="0.2">
      <c r="I7297" s="1125"/>
      <c r="J7297" s="1125"/>
    </row>
    <row r="7298" spans="9:10" x14ac:dyDescent="0.2">
      <c r="I7298" s="1125"/>
      <c r="J7298" s="1125"/>
    </row>
    <row r="7299" spans="9:10" x14ac:dyDescent="0.2">
      <c r="I7299" s="1125"/>
      <c r="J7299" s="1125"/>
    </row>
    <row r="7300" spans="9:10" x14ac:dyDescent="0.2">
      <c r="I7300" s="1125"/>
      <c r="J7300" s="1125"/>
    </row>
    <row r="7301" spans="9:10" x14ac:dyDescent="0.2">
      <c r="I7301" s="1125"/>
      <c r="J7301" s="1125"/>
    </row>
    <row r="7302" spans="9:10" x14ac:dyDescent="0.2">
      <c r="I7302" s="1125"/>
      <c r="J7302" s="1125"/>
    </row>
    <row r="7303" spans="9:10" x14ac:dyDescent="0.2">
      <c r="I7303" s="1125"/>
      <c r="J7303" s="1125"/>
    </row>
    <row r="7304" spans="9:10" x14ac:dyDescent="0.2">
      <c r="I7304" s="1125"/>
      <c r="J7304" s="1125"/>
    </row>
    <row r="7305" spans="9:10" x14ac:dyDescent="0.2">
      <c r="I7305" s="1125"/>
      <c r="J7305" s="1125"/>
    </row>
    <row r="7306" spans="9:10" x14ac:dyDescent="0.2">
      <c r="I7306" s="1125"/>
      <c r="J7306" s="1125"/>
    </row>
    <row r="7307" spans="9:10" x14ac:dyDescent="0.2">
      <c r="I7307" s="1125"/>
      <c r="J7307" s="1125"/>
    </row>
    <row r="7308" spans="9:10" x14ac:dyDescent="0.2">
      <c r="I7308" s="1125"/>
      <c r="J7308" s="1125"/>
    </row>
    <row r="7309" spans="9:10" x14ac:dyDescent="0.2">
      <c r="I7309" s="1125"/>
      <c r="J7309" s="1125"/>
    </row>
    <row r="7310" spans="9:10" x14ac:dyDescent="0.2">
      <c r="I7310" s="1125"/>
      <c r="J7310" s="1125"/>
    </row>
    <row r="7311" spans="9:10" x14ac:dyDescent="0.2">
      <c r="I7311" s="1125"/>
      <c r="J7311" s="1125"/>
    </row>
    <row r="7312" spans="9:10" x14ac:dyDescent="0.2">
      <c r="I7312" s="1125"/>
      <c r="J7312" s="1125"/>
    </row>
    <row r="7313" spans="9:10" x14ac:dyDescent="0.2">
      <c r="I7313" s="1125"/>
      <c r="J7313" s="1125"/>
    </row>
    <row r="7314" spans="9:10" x14ac:dyDescent="0.2">
      <c r="I7314" s="1125"/>
      <c r="J7314" s="1125"/>
    </row>
    <row r="7315" spans="9:10" x14ac:dyDescent="0.2">
      <c r="I7315" s="1125"/>
      <c r="J7315" s="1125"/>
    </row>
    <row r="7316" spans="9:10" x14ac:dyDescent="0.2">
      <c r="I7316" s="1125"/>
      <c r="J7316" s="1125"/>
    </row>
    <row r="7317" spans="9:10" x14ac:dyDescent="0.2">
      <c r="I7317" s="1125"/>
      <c r="J7317" s="1125"/>
    </row>
    <row r="7318" spans="9:10" x14ac:dyDescent="0.2">
      <c r="I7318" s="1125"/>
      <c r="J7318" s="1125"/>
    </row>
    <row r="7319" spans="9:10" x14ac:dyDescent="0.2">
      <c r="I7319" s="1125"/>
      <c r="J7319" s="1125"/>
    </row>
    <row r="7320" spans="9:10" x14ac:dyDescent="0.2">
      <c r="I7320" s="1125"/>
      <c r="J7320" s="1125"/>
    </row>
    <row r="7321" spans="9:10" x14ac:dyDescent="0.2">
      <c r="I7321" s="1125"/>
      <c r="J7321" s="1125"/>
    </row>
    <row r="7322" spans="9:10" x14ac:dyDescent="0.2">
      <c r="I7322" s="1125"/>
      <c r="J7322" s="1125"/>
    </row>
    <row r="7323" spans="9:10" x14ac:dyDescent="0.2">
      <c r="I7323" s="1125"/>
      <c r="J7323" s="1125"/>
    </row>
    <row r="7324" spans="9:10" x14ac:dyDescent="0.2">
      <c r="I7324" s="1125"/>
      <c r="J7324" s="1125"/>
    </row>
    <row r="7325" spans="9:10" x14ac:dyDescent="0.2">
      <c r="I7325" s="1125"/>
      <c r="J7325" s="1125"/>
    </row>
    <row r="7326" spans="9:10" x14ac:dyDescent="0.2">
      <c r="I7326" s="1125"/>
      <c r="J7326" s="1125"/>
    </row>
    <row r="7327" spans="9:10" x14ac:dyDescent="0.2">
      <c r="I7327" s="1125"/>
      <c r="J7327" s="1125"/>
    </row>
    <row r="7328" spans="9:10" x14ac:dyDescent="0.2">
      <c r="I7328" s="1125"/>
      <c r="J7328" s="1125"/>
    </row>
    <row r="7329" spans="9:10" x14ac:dyDescent="0.2">
      <c r="I7329" s="1125"/>
      <c r="J7329" s="1125"/>
    </row>
    <row r="7330" spans="9:10" x14ac:dyDescent="0.2">
      <c r="I7330" s="1125"/>
      <c r="J7330" s="1125"/>
    </row>
    <row r="7331" spans="9:10" x14ac:dyDescent="0.2">
      <c r="I7331" s="1125"/>
      <c r="J7331" s="1125"/>
    </row>
    <row r="7332" spans="9:10" x14ac:dyDescent="0.2">
      <c r="I7332" s="1125"/>
      <c r="J7332" s="1125"/>
    </row>
    <row r="7333" spans="9:10" x14ac:dyDescent="0.2">
      <c r="I7333" s="1125"/>
      <c r="J7333" s="1125"/>
    </row>
    <row r="7334" spans="9:10" x14ac:dyDescent="0.2">
      <c r="I7334" s="1125"/>
      <c r="J7334" s="1125"/>
    </row>
    <row r="7335" spans="9:10" x14ac:dyDescent="0.2">
      <c r="I7335" s="1125"/>
      <c r="J7335" s="1125"/>
    </row>
    <row r="7336" spans="9:10" x14ac:dyDescent="0.2">
      <c r="I7336" s="1125"/>
      <c r="J7336" s="1125"/>
    </row>
    <row r="7337" spans="9:10" x14ac:dyDescent="0.2">
      <c r="I7337" s="1125"/>
      <c r="J7337" s="1125"/>
    </row>
    <row r="7338" spans="9:10" x14ac:dyDescent="0.2">
      <c r="I7338" s="1125"/>
      <c r="J7338" s="1125"/>
    </row>
    <row r="7339" spans="9:10" x14ac:dyDescent="0.2">
      <c r="I7339" s="1125"/>
      <c r="J7339" s="1125"/>
    </row>
    <row r="7340" spans="9:10" x14ac:dyDescent="0.2">
      <c r="I7340" s="1125"/>
      <c r="J7340" s="1125"/>
    </row>
    <row r="7341" spans="9:10" x14ac:dyDescent="0.2">
      <c r="I7341" s="1125"/>
      <c r="J7341" s="1125"/>
    </row>
    <row r="7342" spans="9:10" x14ac:dyDescent="0.2">
      <c r="I7342" s="1125"/>
      <c r="J7342" s="1125"/>
    </row>
    <row r="7343" spans="9:10" x14ac:dyDescent="0.2">
      <c r="I7343" s="1125"/>
      <c r="J7343" s="1125"/>
    </row>
    <row r="7344" spans="9:10" x14ac:dyDescent="0.2">
      <c r="I7344" s="1125"/>
      <c r="J7344" s="1125"/>
    </row>
    <row r="7345" spans="9:10" x14ac:dyDescent="0.2">
      <c r="I7345" s="1125"/>
      <c r="J7345" s="1125"/>
    </row>
    <row r="7346" spans="9:10" x14ac:dyDescent="0.2">
      <c r="I7346" s="1125"/>
      <c r="J7346" s="1125"/>
    </row>
    <row r="7347" spans="9:10" x14ac:dyDescent="0.2">
      <c r="I7347" s="1125"/>
      <c r="J7347" s="1125"/>
    </row>
    <row r="7348" spans="9:10" x14ac:dyDescent="0.2">
      <c r="I7348" s="1125"/>
      <c r="J7348" s="1125"/>
    </row>
    <row r="7349" spans="9:10" x14ac:dyDescent="0.2">
      <c r="I7349" s="1125"/>
      <c r="J7349" s="1125"/>
    </row>
    <row r="7350" spans="9:10" x14ac:dyDescent="0.2">
      <c r="I7350" s="1125"/>
      <c r="J7350" s="1125"/>
    </row>
    <row r="7351" spans="9:10" x14ac:dyDescent="0.2">
      <c r="I7351" s="1125"/>
      <c r="J7351" s="1125"/>
    </row>
    <row r="7352" spans="9:10" x14ac:dyDescent="0.2">
      <c r="I7352" s="1125"/>
      <c r="J7352" s="1125"/>
    </row>
    <row r="7353" spans="9:10" x14ac:dyDescent="0.2">
      <c r="I7353" s="1125"/>
      <c r="J7353" s="1125"/>
    </row>
    <row r="7354" spans="9:10" x14ac:dyDescent="0.2">
      <c r="I7354" s="1125"/>
      <c r="J7354" s="1125"/>
    </row>
    <row r="7355" spans="9:10" x14ac:dyDescent="0.2">
      <c r="I7355" s="1125"/>
      <c r="J7355" s="1125"/>
    </row>
    <row r="7356" spans="9:10" x14ac:dyDescent="0.2">
      <c r="I7356" s="1125"/>
      <c r="J7356" s="1125"/>
    </row>
    <row r="7357" spans="9:10" x14ac:dyDescent="0.2">
      <c r="I7357" s="1125"/>
      <c r="J7357" s="1125"/>
    </row>
    <row r="7358" spans="9:10" x14ac:dyDescent="0.2">
      <c r="I7358" s="1125"/>
      <c r="J7358" s="1125"/>
    </row>
    <row r="7359" spans="9:10" x14ac:dyDescent="0.2">
      <c r="I7359" s="1125"/>
      <c r="J7359" s="1125"/>
    </row>
    <row r="7360" spans="9:10" x14ac:dyDescent="0.2">
      <c r="I7360" s="1125"/>
      <c r="J7360" s="1125"/>
    </row>
    <row r="7361" spans="9:10" x14ac:dyDescent="0.2">
      <c r="I7361" s="1125"/>
      <c r="J7361" s="1125"/>
    </row>
    <row r="7362" spans="9:10" x14ac:dyDescent="0.2">
      <c r="I7362" s="1125"/>
      <c r="J7362" s="1125"/>
    </row>
    <row r="7363" spans="9:10" x14ac:dyDescent="0.2">
      <c r="I7363" s="1125"/>
      <c r="J7363" s="1125"/>
    </row>
    <row r="7364" spans="9:10" x14ac:dyDescent="0.2">
      <c r="I7364" s="1125"/>
      <c r="J7364" s="1125"/>
    </row>
    <row r="7365" spans="9:10" x14ac:dyDescent="0.2">
      <c r="I7365" s="1125"/>
      <c r="J7365" s="1125"/>
    </row>
    <row r="7366" spans="9:10" x14ac:dyDescent="0.2">
      <c r="I7366" s="1125"/>
      <c r="J7366" s="1125"/>
    </row>
    <row r="7367" spans="9:10" x14ac:dyDescent="0.2">
      <c r="I7367" s="1125"/>
      <c r="J7367" s="1125"/>
    </row>
    <row r="7368" spans="9:10" x14ac:dyDescent="0.2">
      <c r="I7368" s="1125"/>
      <c r="J7368" s="1125"/>
    </row>
    <row r="7369" spans="9:10" x14ac:dyDescent="0.2">
      <c r="I7369" s="1125"/>
      <c r="J7369" s="1125"/>
    </row>
    <row r="7370" spans="9:10" x14ac:dyDescent="0.2">
      <c r="I7370" s="1125"/>
      <c r="J7370" s="1125"/>
    </row>
    <row r="7371" spans="9:10" x14ac:dyDescent="0.2">
      <c r="I7371" s="1125"/>
      <c r="J7371" s="1125"/>
    </row>
    <row r="7372" spans="9:10" x14ac:dyDescent="0.2">
      <c r="I7372" s="1125"/>
      <c r="J7372" s="1125"/>
    </row>
    <row r="7373" spans="9:10" x14ac:dyDescent="0.2">
      <c r="I7373" s="1125"/>
      <c r="J7373" s="1125"/>
    </row>
    <row r="7374" spans="9:10" x14ac:dyDescent="0.2">
      <c r="I7374" s="1125"/>
      <c r="J7374" s="1125"/>
    </row>
    <row r="7375" spans="9:10" x14ac:dyDescent="0.2">
      <c r="I7375" s="1125"/>
      <c r="J7375" s="1125"/>
    </row>
    <row r="7376" spans="9:10" x14ac:dyDescent="0.2">
      <c r="I7376" s="1125"/>
      <c r="J7376" s="1125"/>
    </row>
    <row r="7377" spans="9:10" x14ac:dyDescent="0.2">
      <c r="I7377" s="1125"/>
      <c r="J7377" s="1125"/>
    </row>
    <row r="7378" spans="9:10" x14ac:dyDescent="0.2">
      <c r="I7378" s="1125"/>
      <c r="J7378" s="1125"/>
    </row>
    <row r="7379" spans="9:10" x14ac:dyDescent="0.2">
      <c r="I7379" s="1125"/>
      <c r="J7379" s="1125"/>
    </row>
    <row r="7380" spans="9:10" x14ac:dyDescent="0.2">
      <c r="I7380" s="1125"/>
      <c r="J7380" s="1125"/>
    </row>
    <row r="7381" spans="9:10" x14ac:dyDescent="0.2">
      <c r="I7381" s="1125"/>
      <c r="J7381" s="1125"/>
    </row>
    <row r="7382" spans="9:10" x14ac:dyDescent="0.2">
      <c r="I7382" s="1125"/>
      <c r="J7382" s="1125"/>
    </row>
    <row r="7383" spans="9:10" x14ac:dyDescent="0.2">
      <c r="I7383" s="1125"/>
      <c r="J7383" s="1125"/>
    </row>
    <row r="7384" spans="9:10" x14ac:dyDescent="0.2">
      <c r="I7384" s="1125"/>
      <c r="J7384" s="1125"/>
    </row>
    <row r="7385" spans="9:10" x14ac:dyDescent="0.2">
      <c r="I7385" s="1125"/>
      <c r="J7385" s="1125"/>
    </row>
    <row r="7386" spans="9:10" x14ac:dyDescent="0.2">
      <c r="I7386" s="1125"/>
      <c r="J7386" s="1125"/>
    </row>
    <row r="7387" spans="9:10" x14ac:dyDescent="0.2">
      <c r="I7387" s="1125"/>
      <c r="J7387" s="1125"/>
    </row>
    <row r="7388" spans="9:10" x14ac:dyDescent="0.2">
      <c r="I7388" s="1125"/>
      <c r="J7388" s="1125"/>
    </row>
    <row r="7389" spans="9:10" x14ac:dyDescent="0.2">
      <c r="I7389" s="1125"/>
      <c r="J7389" s="1125"/>
    </row>
    <row r="7390" spans="9:10" x14ac:dyDescent="0.2">
      <c r="I7390" s="1125"/>
      <c r="J7390" s="1125"/>
    </row>
    <row r="7391" spans="9:10" x14ac:dyDescent="0.2">
      <c r="I7391" s="1125"/>
      <c r="J7391" s="1125"/>
    </row>
    <row r="7392" spans="9:10" x14ac:dyDescent="0.2">
      <c r="I7392" s="1125"/>
      <c r="J7392" s="1125"/>
    </row>
    <row r="7393" spans="9:10" x14ac:dyDescent="0.2">
      <c r="I7393" s="1125"/>
      <c r="J7393" s="1125"/>
    </row>
    <row r="7394" spans="9:10" x14ac:dyDescent="0.2">
      <c r="I7394" s="1125"/>
      <c r="J7394" s="1125"/>
    </row>
    <row r="7395" spans="9:10" x14ac:dyDescent="0.2">
      <c r="I7395" s="1125"/>
      <c r="J7395" s="1125"/>
    </row>
    <row r="7396" spans="9:10" x14ac:dyDescent="0.2">
      <c r="I7396" s="1125"/>
      <c r="J7396" s="1125"/>
    </row>
    <row r="7397" spans="9:10" x14ac:dyDescent="0.2">
      <c r="I7397" s="1125"/>
      <c r="J7397" s="1125"/>
    </row>
    <row r="7398" spans="9:10" x14ac:dyDescent="0.2">
      <c r="I7398" s="1125"/>
      <c r="J7398" s="1125"/>
    </row>
    <row r="7399" spans="9:10" x14ac:dyDescent="0.2">
      <c r="I7399" s="1125"/>
      <c r="J7399" s="1125"/>
    </row>
    <row r="7400" spans="9:10" x14ac:dyDescent="0.2">
      <c r="I7400" s="1125"/>
      <c r="J7400" s="1125"/>
    </row>
    <row r="7401" spans="9:10" x14ac:dyDescent="0.2">
      <c r="I7401" s="1125"/>
      <c r="J7401" s="1125"/>
    </row>
    <row r="7402" spans="9:10" x14ac:dyDescent="0.2">
      <c r="I7402" s="1125"/>
      <c r="J7402" s="1125"/>
    </row>
    <row r="7403" spans="9:10" x14ac:dyDescent="0.2">
      <c r="I7403" s="1125"/>
      <c r="J7403" s="1125"/>
    </row>
    <row r="7404" spans="9:10" x14ac:dyDescent="0.2">
      <c r="I7404" s="1125"/>
      <c r="J7404" s="1125"/>
    </row>
    <row r="7405" spans="9:10" x14ac:dyDescent="0.2">
      <c r="I7405" s="1125"/>
      <c r="J7405" s="1125"/>
    </row>
    <row r="7406" spans="9:10" x14ac:dyDescent="0.2">
      <c r="I7406" s="1125"/>
      <c r="J7406" s="1125"/>
    </row>
    <row r="7407" spans="9:10" x14ac:dyDescent="0.2">
      <c r="I7407" s="1125"/>
      <c r="J7407" s="1125"/>
    </row>
    <row r="7408" spans="9:10" x14ac:dyDescent="0.2">
      <c r="I7408" s="1125"/>
      <c r="J7408" s="1125"/>
    </row>
    <row r="7409" spans="9:10" x14ac:dyDescent="0.2">
      <c r="I7409" s="1125"/>
      <c r="J7409" s="1125"/>
    </row>
    <row r="7410" spans="9:10" x14ac:dyDescent="0.2">
      <c r="I7410" s="1125"/>
      <c r="J7410" s="1125"/>
    </row>
    <row r="7411" spans="9:10" x14ac:dyDescent="0.2">
      <c r="I7411" s="1125"/>
      <c r="J7411" s="1125"/>
    </row>
    <row r="7412" spans="9:10" x14ac:dyDescent="0.2">
      <c r="I7412" s="1125"/>
      <c r="J7412" s="1125"/>
    </row>
    <row r="7413" spans="9:10" x14ac:dyDescent="0.2">
      <c r="I7413" s="1125"/>
      <c r="J7413" s="1125"/>
    </row>
    <row r="7414" spans="9:10" x14ac:dyDescent="0.2">
      <c r="I7414" s="1125"/>
      <c r="J7414" s="1125"/>
    </row>
    <row r="7415" spans="9:10" x14ac:dyDescent="0.2">
      <c r="I7415" s="1125"/>
      <c r="J7415" s="1125"/>
    </row>
    <row r="7416" spans="9:10" x14ac:dyDescent="0.2">
      <c r="I7416" s="1125"/>
      <c r="J7416" s="1125"/>
    </row>
    <row r="7417" spans="9:10" x14ac:dyDescent="0.2">
      <c r="I7417" s="1125"/>
      <c r="J7417" s="1125"/>
    </row>
    <row r="7418" spans="9:10" x14ac:dyDescent="0.2">
      <c r="I7418" s="1125"/>
      <c r="J7418" s="1125"/>
    </row>
    <row r="7419" spans="9:10" x14ac:dyDescent="0.2">
      <c r="I7419" s="1125"/>
      <c r="J7419" s="1125"/>
    </row>
    <row r="7420" spans="9:10" x14ac:dyDescent="0.2">
      <c r="I7420" s="1125"/>
      <c r="J7420" s="1125"/>
    </row>
    <row r="7421" spans="9:10" x14ac:dyDescent="0.2">
      <c r="I7421" s="1125"/>
      <c r="J7421" s="1125"/>
    </row>
    <row r="7422" spans="9:10" x14ac:dyDescent="0.2">
      <c r="I7422" s="1125"/>
      <c r="J7422" s="1125"/>
    </row>
    <row r="7423" spans="9:10" x14ac:dyDescent="0.2">
      <c r="I7423" s="1125"/>
      <c r="J7423" s="1125"/>
    </row>
    <row r="7424" spans="9:10" x14ac:dyDescent="0.2">
      <c r="I7424" s="1125"/>
      <c r="J7424" s="1125"/>
    </row>
    <row r="7425" spans="9:10" x14ac:dyDescent="0.2">
      <c r="I7425" s="1125"/>
      <c r="J7425" s="1125"/>
    </row>
    <row r="7426" spans="9:10" x14ac:dyDescent="0.2">
      <c r="I7426" s="1125"/>
      <c r="J7426" s="1125"/>
    </row>
    <row r="7427" spans="9:10" x14ac:dyDescent="0.2">
      <c r="I7427" s="1125"/>
      <c r="J7427" s="1125"/>
    </row>
    <row r="7428" spans="9:10" x14ac:dyDescent="0.2">
      <c r="I7428" s="1125"/>
      <c r="J7428" s="1125"/>
    </row>
    <row r="7429" spans="9:10" x14ac:dyDescent="0.2">
      <c r="I7429" s="1125"/>
      <c r="J7429" s="1125"/>
    </row>
    <row r="7430" spans="9:10" x14ac:dyDescent="0.2">
      <c r="I7430" s="1125"/>
      <c r="J7430" s="1125"/>
    </row>
    <row r="7431" spans="9:10" x14ac:dyDescent="0.2">
      <c r="I7431" s="1125"/>
      <c r="J7431" s="1125"/>
    </row>
    <row r="7432" spans="9:10" x14ac:dyDescent="0.2">
      <c r="I7432" s="1125"/>
      <c r="J7432" s="1125"/>
    </row>
    <row r="7433" spans="9:10" x14ac:dyDescent="0.2">
      <c r="I7433" s="1125"/>
      <c r="J7433" s="1125"/>
    </row>
    <row r="7434" spans="9:10" x14ac:dyDescent="0.2">
      <c r="I7434" s="1125"/>
      <c r="J7434" s="1125"/>
    </row>
    <row r="7435" spans="9:10" x14ac:dyDescent="0.2">
      <c r="I7435" s="1125"/>
      <c r="J7435" s="1125"/>
    </row>
    <row r="7436" spans="9:10" x14ac:dyDescent="0.2">
      <c r="I7436" s="1125"/>
      <c r="J7436" s="1125"/>
    </row>
    <row r="7437" spans="9:10" x14ac:dyDescent="0.2">
      <c r="I7437" s="1125"/>
      <c r="J7437" s="1125"/>
    </row>
    <row r="7438" spans="9:10" x14ac:dyDescent="0.2">
      <c r="I7438" s="1125"/>
      <c r="J7438" s="1125"/>
    </row>
    <row r="7439" spans="9:10" x14ac:dyDescent="0.2">
      <c r="I7439" s="1125"/>
      <c r="J7439" s="1125"/>
    </row>
    <row r="7440" spans="9:10" x14ac:dyDescent="0.2">
      <c r="I7440" s="1125"/>
      <c r="J7440" s="1125"/>
    </row>
    <row r="7441" spans="9:10" x14ac:dyDescent="0.2">
      <c r="I7441" s="1125"/>
      <c r="J7441" s="1125"/>
    </row>
    <row r="7442" spans="9:10" x14ac:dyDescent="0.2">
      <c r="I7442" s="1125"/>
      <c r="J7442" s="1125"/>
    </row>
    <row r="7443" spans="9:10" x14ac:dyDescent="0.2">
      <c r="I7443" s="1125"/>
      <c r="J7443" s="1125"/>
    </row>
    <row r="7444" spans="9:10" x14ac:dyDescent="0.2">
      <c r="I7444" s="1125"/>
      <c r="J7444" s="1125"/>
    </row>
    <row r="7445" spans="9:10" x14ac:dyDescent="0.2">
      <c r="I7445" s="1125"/>
      <c r="J7445" s="1125"/>
    </row>
    <row r="7446" spans="9:10" x14ac:dyDescent="0.2">
      <c r="I7446" s="1125"/>
      <c r="J7446" s="1125"/>
    </row>
    <row r="7447" spans="9:10" x14ac:dyDescent="0.2">
      <c r="I7447" s="1125"/>
      <c r="J7447" s="1125"/>
    </row>
    <row r="7448" spans="9:10" x14ac:dyDescent="0.2">
      <c r="I7448" s="1125"/>
      <c r="J7448" s="1125"/>
    </row>
    <row r="7449" spans="9:10" x14ac:dyDescent="0.2">
      <c r="I7449" s="1125"/>
      <c r="J7449" s="1125"/>
    </row>
    <row r="7450" spans="9:10" x14ac:dyDescent="0.2">
      <c r="I7450" s="1125"/>
      <c r="J7450" s="1125"/>
    </row>
    <row r="7451" spans="9:10" x14ac:dyDescent="0.2">
      <c r="I7451" s="1125"/>
      <c r="J7451" s="1125"/>
    </row>
    <row r="7452" spans="9:10" x14ac:dyDescent="0.2">
      <c r="I7452" s="1125"/>
      <c r="J7452" s="1125"/>
    </row>
    <row r="7453" spans="9:10" x14ac:dyDescent="0.2">
      <c r="I7453" s="1125"/>
      <c r="J7453" s="1125"/>
    </row>
    <row r="7454" spans="9:10" x14ac:dyDescent="0.2">
      <c r="I7454" s="1125"/>
      <c r="J7454" s="1125"/>
    </row>
    <row r="7455" spans="9:10" x14ac:dyDescent="0.2">
      <c r="I7455" s="1125"/>
      <c r="J7455" s="1125"/>
    </row>
    <row r="7456" spans="9:10" x14ac:dyDescent="0.2">
      <c r="I7456" s="1125"/>
      <c r="J7456" s="1125"/>
    </row>
    <row r="7457" spans="9:10" x14ac:dyDescent="0.2">
      <c r="I7457" s="1125"/>
      <c r="J7457" s="1125"/>
    </row>
    <row r="7458" spans="9:10" x14ac:dyDescent="0.2">
      <c r="I7458" s="1125"/>
      <c r="J7458" s="1125"/>
    </row>
    <row r="7459" spans="9:10" x14ac:dyDescent="0.2">
      <c r="I7459" s="1125"/>
      <c r="J7459" s="1125"/>
    </row>
    <row r="7460" spans="9:10" x14ac:dyDescent="0.2">
      <c r="I7460" s="1125"/>
      <c r="J7460" s="1125"/>
    </row>
    <row r="7461" spans="9:10" x14ac:dyDescent="0.2">
      <c r="I7461" s="1125"/>
      <c r="J7461" s="1125"/>
    </row>
    <row r="7462" spans="9:10" x14ac:dyDescent="0.2">
      <c r="I7462" s="1125"/>
      <c r="J7462" s="1125"/>
    </row>
    <row r="7463" spans="9:10" x14ac:dyDescent="0.2">
      <c r="I7463" s="1125"/>
      <c r="J7463" s="1125"/>
    </row>
    <row r="7464" spans="9:10" x14ac:dyDescent="0.2">
      <c r="I7464" s="1125"/>
      <c r="J7464" s="1125"/>
    </row>
    <row r="7465" spans="9:10" x14ac:dyDescent="0.2">
      <c r="I7465" s="1125"/>
      <c r="J7465" s="1125"/>
    </row>
    <row r="7466" spans="9:10" x14ac:dyDescent="0.2">
      <c r="I7466" s="1125"/>
      <c r="J7466" s="1125"/>
    </row>
    <row r="7467" spans="9:10" x14ac:dyDescent="0.2">
      <c r="I7467" s="1125"/>
      <c r="J7467" s="1125"/>
    </row>
    <row r="7468" spans="9:10" x14ac:dyDescent="0.2">
      <c r="I7468" s="1125"/>
      <c r="J7468" s="1125"/>
    </row>
    <row r="7469" spans="9:10" x14ac:dyDescent="0.2">
      <c r="I7469" s="1125"/>
      <c r="J7469" s="1125"/>
    </row>
    <row r="7470" spans="9:10" x14ac:dyDescent="0.2">
      <c r="I7470" s="1125"/>
      <c r="J7470" s="1125"/>
    </row>
    <row r="7471" spans="9:10" x14ac:dyDescent="0.2">
      <c r="I7471" s="1125"/>
      <c r="J7471" s="1125"/>
    </row>
    <row r="7472" spans="9:10" x14ac:dyDescent="0.2">
      <c r="I7472" s="1125"/>
      <c r="J7472" s="1125"/>
    </row>
    <row r="7473" spans="9:10" x14ac:dyDescent="0.2">
      <c r="I7473" s="1125"/>
      <c r="J7473" s="1125"/>
    </row>
    <row r="7474" spans="9:10" x14ac:dyDescent="0.2">
      <c r="I7474" s="1125"/>
      <c r="J7474" s="1125"/>
    </row>
    <row r="7475" spans="9:10" x14ac:dyDescent="0.2">
      <c r="I7475" s="1125"/>
      <c r="J7475" s="1125"/>
    </row>
    <row r="7476" spans="9:10" x14ac:dyDescent="0.2">
      <c r="I7476" s="1125"/>
      <c r="J7476" s="1125"/>
    </row>
    <row r="7477" spans="9:10" x14ac:dyDescent="0.2">
      <c r="I7477" s="1125"/>
      <c r="J7477" s="1125"/>
    </row>
    <row r="7478" spans="9:10" x14ac:dyDescent="0.2">
      <c r="I7478" s="1125"/>
      <c r="J7478" s="1125"/>
    </row>
    <row r="7479" spans="9:10" x14ac:dyDescent="0.2">
      <c r="I7479" s="1125"/>
      <c r="J7479" s="1125"/>
    </row>
    <row r="7480" spans="9:10" x14ac:dyDescent="0.2">
      <c r="I7480" s="1125"/>
      <c r="J7480" s="1125"/>
    </row>
    <row r="7481" spans="9:10" x14ac:dyDescent="0.2">
      <c r="I7481" s="1125"/>
      <c r="J7481" s="1125"/>
    </row>
    <row r="7482" spans="9:10" x14ac:dyDescent="0.2">
      <c r="I7482" s="1125"/>
      <c r="J7482" s="1125"/>
    </row>
    <row r="7483" spans="9:10" x14ac:dyDescent="0.2">
      <c r="I7483" s="1125"/>
      <c r="J7483" s="1125"/>
    </row>
    <row r="7484" spans="9:10" x14ac:dyDescent="0.2">
      <c r="I7484" s="1125"/>
      <c r="J7484" s="1125"/>
    </row>
    <row r="7485" spans="9:10" x14ac:dyDescent="0.2">
      <c r="I7485" s="1125"/>
      <c r="J7485" s="1125"/>
    </row>
    <row r="7486" spans="9:10" x14ac:dyDescent="0.2">
      <c r="I7486" s="1125"/>
      <c r="J7486" s="1125"/>
    </row>
    <row r="7487" spans="9:10" x14ac:dyDescent="0.2">
      <c r="I7487" s="1125"/>
      <c r="J7487" s="1125"/>
    </row>
    <row r="7488" spans="9:10" x14ac:dyDescent="0.2">
      <c r="I7488" s="1125"/>
      <c r="J7488" s="1125"/>
    </row>
    <row r="7489" spans="9:10" x14ac:dyDescent="0.2">
      <c r="I7489" s="1125"/>
      <c r="J7489" s="1125"/>
    </row>
    <row r="7490" spans="9:10" x14ac:dyDescent="0.2">
      <c r="I7490" s="1125"/>
      <c r="J7490" s="1125"/>
    </row>
    <row r="7491" spans="9:10" x14ac:dyDescent="0.2">
      <c r="I7491" s="1125"/>
      <c r="J7491" s="1125"/>
    </row>
    <row r="7492" spans="9:10" x14ac:dyDescent="0.2">
      <c r="I7492" s="1125"/>
      <c r="J7492" s="1125"/>
    </row>
    <row r="7493" spans="9:10" x14ac:dyDescent="0.2">
      <c r="I7493" s="1125"/>
      <c r="J7493" s="1125"/>
    </row>
    <row r="7494" spans="9:10" x14ac:dyDescent="0.2">
      <c r="I7494" s="1125"/>
      <c r="J7494" s="1125"/>
    </row>
    <row r="7495" spans="9:10" x14ac:dyDescent="0.2">
      <c r="I7495" s="1125"/>
      <c r="J7495" s="1125"/>
    </row>
    <row r="7496" spans="9:10" x14ac:dyDescent="0.2">
      <c r="I7496" s="1125"/>
      <c r="J7496" s="1125"/>
    </row>
    <row r="7497" spans="9:10" x14ac:dyDescent="0.2">
      <c r="I7497" s="1125"/>
      <c r="J7497" s="1125"/>
    </row>
    <row r="7498" spans="9:10" x14ac:dyDescent="0.2">
      <c r="I7498" s="1125"/>
      <c r="J7498" s="1125"/>
    </row>
    <row r="7499" spans="9:10" x14ac:dyDescent="0.2">
      <c r="I7499" s="1125"/>
      <c r="J7499" s="1125"/>
    </row>
    <row r="7500" spans="9:10" x14ac:dyDescent="0.2">
      <c r="I7500" s="1125"/>
      <c r="J7500" s="1125"/>
    </row>
    <row r="7501" spans="9:10" x14ac:dyDescent="0.2">
      <c r="I7501" s="1125"/>
      <c r="J7501" s="1125"/>
    </row>
    <row r="7502" spans="9:10" x14ac:dyDescent="0.2">
      <c r="I7502" s="1125"/>
      <c r="J7502" s="1125"/>
    </row>
    <row r="7503" spans="9:10" x14ac:dyDescent="0.2">
      <c r="I7503" s="1125"/>
      <c r="J7503" s="1125"/>
    </row>
    <row r="7504" spans="9:10" x14ac:dyDescent="0.2">
      <c r="I7504" s="1125"/>
      <c r="J7504" s="1125"/>
    </row>
    <row r="7505" spans="9:10" x14ac:dyDescent="0.2">
      <c r="I7505" s="1125"/>
      <c r="J7505" s="1125"/>
    </row>
    <row r="7506" spans="9:10" x14ac:dyDescent="0.2">
      <c r="I7506" s="1125"/>
      <c r="J7506" s="1125"/>
    </row>
    <row r="7507" spans="9:10" x14ac:dyDescent="0.2">
      <c r="I7507" s="1125"/>
      <c r="J7507" s="1125"/>
    </row>
    <row r="7508" spans="9:10" x14ac:dyDescent="0.2">
      <c r="I7508" s="1125"/>
      <c r="J7508" s="1125"/>
    </row>
    <row r="7509" spans="9:10" x14ac:dyDescent="0.2">
      <c r="I7509" s="1125"/>
      <c r="J7509" s="1125"/>
    </row>
    <row r="7510" spans="9:10" x14ac:dyDescent="0.2">
      <c r="I7510" s="1125"/>
      <c r="J7510" s="1125"/>
    </row>
    <row r="7511" spans="9:10" x14ac:dyDescent="0.2">
      <c r="I7511" s="1125"/>
      <c r="J7511" s="1125"/>
    </row>
    <row r="7512" spans="9:10" x14ac:dyDescent="0.2">
      <c r="I7512" s="1125"/>
      <c r="J7512" s="1125"/>
    </row>
    <row r="7513" spans="9:10" x14ac:dyDescent="0.2">
      <c r="I7513" s="1125"/>
      <c r="J7513" s="1125"/>
    </row>
    <row r="7514" spans="9:10" x14ac:dyDescent="0.2">
      <c r="I7514" s="1125"/>
      <c r="J7514" s="1125"/>
    </row>
    <row r="7515" spans="9:10" x14ac:dyDescent="0.2">
      <c r="I7515" s="1125"/>
      <c r="J7515" s="1125"/>
    </row>
    <row r="7516" spans="9:10" x14ac:dyDescent="0.2">
      <c r="I7516" s="1125"/>
      <c r="J7516" s="1125"/>
    </row>
    <row r="7517" spans="9:10" x14ac:dyDescent="0.2">
      <c r="I7517" s="1125"/>
      <c r="J7517" s="1125"/>
    </row>
    <row r="7518" spans="9:10" x14ac:dyDescent="0.2">
      <c r="I7518" s="1125"/>
      <c r="J7518" s="1125"/>
    </row>
    <row r="7519" spans="9:10" x14ac:dyDescent="0.2">
      <c r="I7519" s="1125"/>
      <c r="J7519" s="1125"/>
    </row>
    <row r="7520" spans="9:10" x14ac:dyDescent="0.2">
      <c r="I7520" s="1125"/>
      <c r="J7520" s="1125"/>
    </row>
    <row r="7521" spans="9:10" x14ac:dyDescent="0.2">
      <c r="I7521" s="1125"/>
      <c r="J7521" s="1125"/>
    </row>
    <row r="7522" spans="9:10" x14ac:dyDescent="0.2">
      <c r="I7522" s="1125"/>
      <c r="J7522" s="1125"/>
    </row>
    <row r="7523" spans="9:10" x14ac:dyDescent="0.2">
      <c r="I7523" s="1125"/>
      <c r="J7523" s="1125"/>
    </row>
    <row r="7524" spans="9:10" x14ac:dyDescent="0.2">
      <c r="I7524" s="1125"/>
      <c r="J7524" s="1125"/>
    </row>
    <row r="7525" spans="9:10" x14ac:dyDescent="0.2">
      <c r="I7525" s="1125"/>
      <c r="J7525" s="1125"/>
    </row>
    <row r="7526" spans="9:10" x14ac:dyDescent="0.2">
      <c r="I7526" s="1125"/>
      <c r="J7526" s="1125"/>
    </row>
    <row r="7527" spans="9:10" x14ac:dyDescent="0.2">
      <c r="I7527" s="1125"/>
      <c r="J7527" s="1125"/>
    </row>
    <row r="7528" spans="9:10" x14ac:dyDescent="0.2">
      <c r="I7528" s="1125"/>
      <c r="J7528" s="1125"/>
    </row>
    <row r="7529" spans="9:10" x14ac:dyDescent="0.2">
      <c r="I7529" s="1125"/>
      <c r="J7529" s="1125"/>
    </row>
    <row r="7530" spans="9:10" x14ac:dyDescent="0.2">
      <c r="I7530" s="1125"/>
      <c r="J7530" s="1125"/>
    </row>
    <row r="7531" spans="9:10" x14ac:dyDescent="0.2">
      <c r="I7531" s="1125"/>
      <c r="J7531" s="1125"/>
    </row>
    <row r="7532" spans="9:10" x14ac:dyDescent="0.2">
      <c r="I7532" s="1125"/>
      <c r="J7532" s="1125"/>
    </row>
    <row r="7533" spans="9:10" x14ac:dyDescent="0.2">
      <c r="I7533" s="1125"/>
      <c r="J7533" s="1125"/>
    </row>
    <row r="7534" spans="9:10" x14ac:dyDescent="0.2">
      <c r="I7534" s="1125"/>
      <c r="J7534" s="1125"/>
    </row>
    <row r="7535" spans="9:10" x14ac:dyDescent="0.2">
      <c r="I7535" s="1125"/>
      <c r="J7535" s="1125"/>
    </row>
    <row r="7536" spans="9:10" x14ac:dyDescent="0.2">
      <c r="I7536" s="1125"/>
      <c r="J7536" s="1125"/>
    </row>
    <row r="7537" spans="9:10" x14ac:dyDescent="0.2">
      <c r="I7537" s="1125"/>
      <c r="J7537" s="1125"/>
    </row>
    <row r="7538" spans="9:10" x14ac:dyDescent="0.2">
      <c r="I7538" s="1125"/>
      <c r="J7538" s="1125"/>
    </row>
    <row r="7539" spans="9:10" x14ac:dyDescent="0.2">
      <c r="I7539" s="1125"/>
      <c r="J7539" s="1125"/>
    </row>
    <row r="7540" spans="9:10" x14ac:dyDescent="0.2">
      <c r="I7540" s="1125"/>
      <c r="J7540" s="1125"/>
    </row>
    <row r="7541" spans="9:10" x14ac:dyDescent="0.2">
      <c r="I7541" s="1125"/>
      <c r="J7541" s="1125"/>
    </row>
    <row r="7542" spans="9:10" x14ac:dyDescent="0.2">
      <c r="I7542" s="1125"/>
      <c r="J7542" s="1125"/>
    </row>
    <row r="7543" spans="9:10" x14ac:dyDescent="0.2">
      <c r="I7543" s="1125"/>
      <c r="J7543" s="1125"/>
    </row>
    <row r="7544" spans="9:10" x14ac:dyDescent="0.2">
      <c r="I7544" s="1125"/>
      <c r="J7544" s="1125"/>
    </row>
    <row r="7545" spans="9:10" x14ac:dyDescent="0.2">
      <c r="I7545" s="1125"/>
      <c r="J7545" s="1125"/>
    </row>
    <row r="7546" spans="9:10" x14ac:dyDescent="0.2">
      <c r="I7546" s="1125"/>
      <c r="J7546" s="1125"/>
    </row>
    <row r="7547" spans="9:10" x14ac:dyDescent="0.2">
      <c r="I7547" s="1125"/>
      <c r="J7547" s="1125"/>
    </row>
    <row r="7548" spans="9:10" x14ac:dyDescent="0.2">
      <c r="I7548" s="1125"/>
      <c r="J7548" s="1125"/>
    </row>
    <row r="7549" spans="9:10" x14ac:dyDescent="0.2">
      <c r="I7549" s="1125"/>
      <c r="J7549" s="1125"/>
    </row>
    <row r="7550" spans="9:10" x14ac:dyDescent="0.2">
      <c r="I7550" s="1125"/>
      <c r="J7550" s="1125"/>
    </row>
    <row r="7551" spans="9:10" x14ac:dyDescent="0.2">
      <c r="I7551" s="1125"/>
      <c r="J7551" s="1125"/>
    </row>
    <row r="7552" spans="9:10" x14ac:dyDescent="0.2">
      <c r="I7552" s="1125"/>
      <c r="J7552" s="1125"/>
    </row>
    <row r="7553" spans="9:10" x14ac:dyDescent="0.2">
      <c r="I7553" s="1125"/>
      <c r="J7553" s="1125"/>
    </row>
    <row r="7554" spans="9:10" x14ac:dyDescent="0.2">
      <c r="I7554" s="1125"/>
      <c r="J7554" s="1125"/>
    </row>
    <row r="7555" spans="9:10" x14ac:dyDescent="0.2">
      <c r="I7555" s="1125"/>
      <c r="J7555" s="1125"/>
    </row>
    <row r="7556" spans="9:10" x14ac:dyDescent="0.2">
      <c r="I7556" s="1125"/>
      <c r="J7556" s="1125"/>
    </row>
    <row r="7557" spans="9:10" x14ac:dyDescent="0.2">
      <c r="I7557" s="1125"/>
      <c r="J7557" s="1125"/>
    </row>
    <row r="7558" spans="9:10" x14ac:dyDescent="0.2">
      <c r="I7558" s="1125"/>
      <c r="J7558" s="1125"/>
    </row>
    <row r="7559" spans="9:10" x14ac:dyDescent="0.2">
      <c r="I7559" s="1125"/>
      <c r="J7559" s="1125"/>
    </row>
    <row r="7560" spans="9:10" x14ac:dyDescent="0.2">
      <c r="I7560" s="1125"/>
      <c r="J7560" s="1125"/>
    </row>
    <row r="7561" spans="9:10" x14ac:dyDescent="0.2">
      <c r="I7561" s="1125"/>
      <c r="J7561" s="1125"/>
    </row>
    <row r="7562" spans="9:10" x14ac:dyDescent="0.2">
      <c r="I7562" s="1125"/>
      <c r="J7562" s="1125"/>
    </row>
    <row r="7563" spans="9:10" x14ac:dyDescent="0.2">
      <c r="I7563" s="1125"/>
      <c r="J7563" s="1125"/>
    </row>
    <row r="7564" spans="9:10" x14ac:dyDescent="0.2">
      <c r="I7564" s="1125"/>
      <c r="J7564" s="1125"/>
    </row>
    <row r="7565" spans="9:10" x14ac:dyDescent="0.2">
      <c r="I7565" s="1125"/>
      <c r="J7565" s="1125"/>
    </row>
    <row r="7566" spans="9:10" x14ac:dyDescent="0.2">
      <c r="I7566" s="1125"/>
      <c r="J7566" s="1125"/>
    </row>
    <row r="7567" spans="9:10" x14ac:dyDescent="0.2">
      <c r="I7567" s="1125"/>
      <c r="J7567" s="1125"/>
    </row>
    <row r="7568" spans="9:10" x14ac:dyDescent="0.2">
      <c r="I7568" s="1125"/>
      <c r="J7568" s="1125"/>
    </row>
    <row r="7569" spans="9:10" x14ac:dyDescent="0.2">
      <c r="I7569" s="1125"/>
      <c r="J7569" s="1125"/>
    </row>
    <row r="7570" spans="9:10" x14ac:dyDescent="0.2">
      <c r="I7570" s="1125"/>
      <c r="J7570" s="1125"/>
    </row>
    <row r="7571" spans="9:10" x14ac:dyDescent="0.2">
      <c r="I7571" s="1125"/>
      <c r="J7571" s="1125"/>
    </row>
    <row r="7572" spans="9:10" x14ac:dyDescent="0.2">
      <c r="I7572" s="1125"/>
      <c r="J7572" s="1125"/>
    </row>
    <row r="7573" spans="9:10" x14ac:dyDescent="0.2">
      <c r="I7573" s="1125"/>
      <c r="J7573" s="1125"/>
    </row>
    <row r="7574" spans="9:10" x14ac:dyDescent="0.2">
      <c r="I7574" s="1125"/>
      <c r="J7574" s="1125"/>
    </row>
    <row r="7575" spans="9:10" x14ac:dyDescent="0.2">
      <c r="I7575" s="1125"/>
      <c r="J7575" s="1125"/>
    </row>
    <row r="7576" spans="9:10" x14ac:dyDescent="0.2">
      <c r="I7576" s="1125"/>
      <c r="J7576" s="1125"/>
    </row>
    <row r="7577" spans="9:10" x14ac:dyDescent="0.2">
      <c r="I7577" s="1125"/>
      <c r="J7577" s="1125"/>
    </row>
    <row r="7578" spans="9:10" x14ac:dyDescent="0.2">
      <c r="I7578" s="1125"/>
      <c r="J7578" s="1125"/>
    </row>
    <row r="7579" spans="9:10" x14ac:dyDescent="0.2">
      <c r="I7579" s="1125"/>
      <c r="J7579" s="1125"/>
    </row>
    <row r="7580" spans="9:10" x14ac:dyDescent="0.2">
      <c r="I7580" s="1125"/>
      <c r="J7580" s="1125"/>
    </row>
    <row r="7581" spans="9:10" x14ac:dyDescent="0.2">
      <c r="I7581" s="1125"/>
      <c r="J7581" s="1125"/>
    </row>
    <row r="7582" spans="9:10" x14ac:dyDescent="0.2">
      <c r="I7582" s="1125"/>
      <c r="J7582" s="1125"/>
    </row>
    <row r="7583" spans="9:10" x14ac:dyDescent="0.2">
      <c r="I7583" s="1125"/>
      <c r="J7583" s="1125"/>
    </row>
    <row r="7584" spans="9:10" x14ac:dyDescent="0.2">
      <c r="I7584" s="1125"/>
      <c r="J7584" s="1125"/>
    </row>
    <row r="7585" spans="9:10" x14ac:dyDescent="0.2">
      <c r="I7585" s="1125"/>
      <c r="J7585" s="1125"/>
    </row>
    <row r="7586" spans="9:10" x14ac:dyDescent="0.2">
      <c r="I7586" s="1125"/>
      <c r="J7586" s="1125"/>
    </row>
    <row r="7587" spans="9:10" x14ac:dyDescent="0.2">
      <c r="I7587" s="1125"/>
      <c r="J7587" s="1125"/>
    </row>
    <row r="7588" spans="9:10" x14ac:dyDescent="0.2">
      <c r="I7588" s="1125"/>
      <c r="J7588" s="1125"/>
    </row>
    <row r="7589" spans="9:10" x14ac:dyDescent="0.2">
      <c r="I7589" s="1125"/>
      <c r="J7589" s="1125"/>
    </row>
    <row r="7590" spans="9:10" x14ac:dyDescent="0.2">
      <c r="I7590" s="1125"/>
      <c r="J7590" s="1125"/>
    </row>
    <row r="7591" spans="9:10" x14ac:dyDescent="0.2">
      <c r="I7591" s="1125"/>
      <c r="J7591" s="1125"/>
    </row>
    <row r="7592" spans="9:10" x14ac:dyDescent="0.2">
      <c r="I7592" s="1125"/>
      <c r="J7592" s="1125"/>
    </row>
    <row r="7593" spans="9:10" x14ac:dyDescent="0.2">
      <c r="I7593" s="1125"/>
      <c r="J7593" s="1125"/>
    </row>
    <row r="7594" spans="9:10" x14ac:dyDescent="0.2">
      <c r="I7594" s="1125"/>
      <c r="J7594" s="1125"/>
    </row>
    <row r="7595" spans="9:10" x14ac:dyDescent="0.2">
      <c r="I7595" s="1125"/>
      <c r="J7595" s="1125"/>
    </row>
    <row r="7596" spans="9:10" x14ac:dyDescent="0.2">
      <c r="I7596" s="1125"/>
      <c r="J7596" s="1125"/>
    </row>
    <row r="7597" spans="9:10" x14ac:dyDescent="0.2">
      <c r="I7597" s="1125"/>
      <c r="J7597" s="1125"/>
    </row>
    <row r="7598" spans="9:10" x14ac:dyDescent="0.2">
      <c r="I7598" s="1125"/>
      <c r="J7598" s="1125"/>
    </row>
    <row r="7599" spans="9:10" x14ac:dyDescent="0.2">
      <c r="I7599" s="1125"/>
      <c r="J7599" s="1125"/>
    </row>
    <row r="7600" spans="9:10" x14ac:dyDescent="0.2">
      <c r="I7600" s="1125"/>
      <c r="J7600" s="1125"/>
    </row>
    <row r="7601" spans="9:10" x14ac:dyDescent="0.2">
      <c r="I7601" s="1125"/>
      <c r="J7601" s="1125"/>
    </row>
    <row r="7602" spans="9:10" x14ac:dyDescent="0.2">
      <c r="I7602" s="1125"/>
      <c r="J7602" s="1125"/>
    </row>
    <row r="7603" spans="9:10" x14ac:dyDescent="0.2">
      <c r="I7603" s="1125"/>
      <c r="J7603" s="1125"/>
    </row>
    <row r="7604" spans="9:10" x14ac:dyDescent="0.2">
      <c r="I7604" s="1125"/>
      <c r="J7604" s="1125"/>
    </row>
    <row r="7605" spans="9:10" x14ac:dyDescent="0.2">
      <c r="I7605" s="1125"/>
      <c r="J7605" s="1125"/>
    </row>
    <row r="7606" spans="9:10" x14ac:dyDescent="0.2">
      <c r="I7606" s="1125"/>
      <c r="J7606" s="1125"/>
    </row>
    <row r="7607" spans="9:10" x14ac:dyDescent="0.2">
      <c r="I7607" s="1125"/>
      <c r="J7607" s="1125"/>
    </row>
    <row r="7608" spans="9:10" x14ac:dyDescent="0.2">
      <c r="I7608" s="1125"/>
      <c r="J7608" s="1125"/>
    </row>
    <row r="7609" spans="9:10" x14ac:dyDescent="0.2">
      <c r="I7609" s="1125"/>
      <c r="J7609" s="1125"/>
    </row>
    <row r="7610" spans="9:10" x14ac:dyDescent="0.2">
      <c r="I7610" s="1125"/>
      <c r="J7610" s="1125"/>
    </row>
    <row r="7611" spans="9:10" x14ac:dyDescent="0.2">
      <c r="I7611" s="1125"/>
      <c r="J7611" s="1125"/>
    </row>
    <row r="7612" spans="9:10" x14ac:dyDescent="0.2">
      <c r="I7612" s="1125"/>
      <c r="J7612" s="1125"/>
    </row>
    <row r="7613" spans="9:10" x14ac:dyDescent="0.2">
      <c r="I7613" s="1125"/>
      <c r="J7613" s="1125"/>
    </row>
    <row r="7614" spans="9:10" x14ac:dyDescent="0.2">
      <c r="I7614" s="1125"/>
      <c r="J7614" s="1125"/>
    </row>
    <row r="7615" spans="9:10" x14ac:dyDescent="0.2">
      <c r="I7615" s="1125"/>
      <c r="J7615" s="1125"/>
    </row>
    <row r="7616" spans="9:10" x14ac:dyDescent="0.2">
      <c r="I7616" s="1125"/>
      <c r="J7616" s="1125"/>
    </row>
    <row r="7617" spans="9:10" x14ac:dyDescent="0.2">
      <c r="I7617" s="1125"/>
      <c r="J7617" s="1125"/>
    </row>
    <row r="7618" spans="9:10" x14ac:dyDescent="0.2">
      <c r="I7618" s="1125"/>
      <c r="J7618" s="1125"/>
    </row>
    <row r="7619" spans="9:10" x14ac:dyDescent="0.2">
      <c r="I7619" s="1125"/>
      <c r="J7619" s="1125"/>
    </row>
    <row r="7620" spans="9:10" x14ac:dyDescent="0.2">
      <c r="I7620" s="1125"/>
      <c r="J7620" s="1125"/>
    </row>
    <row r="7621" spans="9:10" x14ac:dyDescent="0.2">
      <c r="I7621" s="1125"/>
      <c r="J7621" s="1125"/>
    </row>
    <row r="7622" spans="9:10" x14ac:dyDescent="0.2">
      <c r="I7622" s="1125"/>
      <c r="J7622" s="1125"/>
    </row>
    <row r="7623" spans="9:10" x14ac:dyDescent="0.2">
      <c r="I7623" s="1125"/>
      <c r="J7623" s="1125"/>
    </row>
    <row r="7624" spans="9:10" x14ac:dyDescent="0.2">
      <c r="I7624" s="1125"/>
      <c r="J7624" s="1125"/>
    </row>
    <row r="7625" spans="9:10" x14ac:dyDescent="0.2">
      <c r="I7625" s="1125"/>
      <c r="J7625" s="1125"/>
    </row>
    <row r="7626" spans="9:10" x14ac:dyDescent="0.2">
      <c r="I7626" s="1125"/>
      <c r="J7626" s="1125"/>
    </row>
    <row r="7627" spans="9:10" x14ac:dyDescent="0.2">
      <c r="I7627" s="1125"/>
      <c r="J7627" s="1125"/>
    </row>
    <row r="7628" spans="9:10" x14ac:dyDescent="0.2">
      <c r="I7628" s="1125"/>
      <c r="J7628" s="1125"/>
    </row>
    <row r="7629" spans="9:10" x14ac:dyDescent="0.2">
      <c r="I7629" s="1125"/>
      <c r="J7629" s="1125"/>
    </row>
    <row r="7630" spans="9:10" x14ac:dyDescent="0.2">
      <c r="I7630" s="1125"/>
      <c r="J7630" s="1125"/>
    </row>
    <row r="7631" spans="9:10" x14ac:dyDescent="0.2">
      <c r="I7631" s="1125"/>
      <c r="J7631" s="1125"/>
    </row>
    <row r="7632" spans="9:10" x14ac:dyDescent="0.2">
      <c r="I7632" s="1125"/>
      <c r="J7632" s="1125"/>
    </row>
    <row r="7633" spans="9:10" x14ac:dyDescent="0.2">
      <c r="I7633" s="1125"/>
      <c r="J7633" s="1125"/>
    </row>
    <row r="7634" spans="9:10" x14ac:dyDescent="0.2">
      <c r="I7634" s="1125"/>
      <c r="J7634" s="1125"/>
    </row>
    <row r="7635" spans="9:10" x14ac:dyDescent="0.2">
      <c r="I7635" s="1125"/>
      <c r="J7635" s="1125"/>
    </row>
    <row r="7636" spans="9:10" x14ac:dyDescent="0.2">
      <c r="I7636" s="1125"/>
      <c r="J7636" s="1125"/>
    </row>
    <row r="7637" spans="9:10" x14ac:dyDescent="0.2">
      <c r="I7637" s="1125"/>
      <c r="J7637" s="1125"/>
    </row>
    <row r="7638" spans="9:10" x14ac:dyDescent="0.2">
      <c r="I7638" s="1125"/>
      <c r="J7638" s="1125"/>
    </row>
    <row r="7639" spans="9:10" x14ac:dyDescent="0.2">
      <c r="I7639" s="1125"/>
      <c r="J7639" s="1125"/>
    </row>
    <row r="7640" spans="9:10" x14ac:dyDescent="0.2">
      <c r="I7640" s="1125"/>
      <c r="J7640" s="1125"/>
    </row>
    <row r="7641" spans="9:10" x14ac:dyDescent="0.2">
      <c r="I7641" s="1125"/>
      <c r="J7641" s="1125"/>
    </row>
    <row r="7642" spans="9:10" x14ac:dyDescent="0.2">
      <c r="I7642" s="1125"/>
      <c r="J7642" s="1125"/>
    </row>
    <row r="7643" spans="9:10" x14ac:dyDescent="0.2">
      <c r="I7643" s="1125"/>
      <c r="J7643" s="1125"/>
    </row>
    <row r="7644" spans="9:10" x14ac:dyDescent="0.2">
      <c r="I7644" s="1125"/>
      <c r="J7644" s="1125"/>
    </row>
    <row r="7645" spans="9:10" x14ac:dyDescent="0.2">
      <c r="I7645" s="1125"/>
      <c r="J7645" s="1125"/>
    </row>
    <row r="7646" spans="9:10" x14ac:dyDescent="0.2">
      <c r="I7646" s="1125"/>
      <c r="J7646" s="1125"/>
    </row>
    <row r="7647" spans="9:10" x14ac:dyDescent="0.2">
      <c r="I7647" s="1125"/>
      <c r="J7647" s="1125"/>
    </row>
    <row r="7648" spans="9:10" x14ac:dyDescent="0.2">
      <c r="I7648" s="1125"/>
      <c r="J7648" s="1125"/>
    </row>
    <row r="7649" spans="9:10" x14ac:dyDescent="0.2">
      <c r="I7649" s="1125"/>
      <c r="J7649" s="1125"/>
    </row>
    <row r="7650" spans="9:10" x14ac:dyDescent="0.2">
      <c r="I7650" s="1125"/>
      <c r="J7650" s="1125"/>
    </row>
    <row r="7651" spans="9:10" x14ac:dyDescent="0.2">
      <c r="I7651" s="1125"/>
      <c r="J7651" s="1125"/>
    </row>
    <row r="7652" spans="9:10" x14ac:dyDescent="0.2">
      <c r="I7652" s="1125"/>
      <c r="J7652" s="1125"/>
    </row>
    <row r="7653" spans="9:10" x14ac:dyDescent="0.2">
      <c r="I7653" s="1125"/>
      <c r="J7653" s="1125"/>
    </row>
    <row r="7654" spans="9:10" x14ac:dyDescent="0.2">
      <c r="I7654" s="1125"/>
      <c r="J7654" s="1125"/>
    </row>
    <row r="7655" spans="9:10" x14ac:dyDescent="0.2">
      <c r="I7655" s="1125"/>
      <c r="J7655" s="1125"/>
    </row>
    <row r="7656" spans="9:10" x14ac:dyDescent="0.2">
      <c r="I7656" s="1125"/>
      <c r="J7656" s="1125"/>
    </row>
    <row r="7657" spans="9:10" x14ac:dyDescent="0.2">
      <c r="I7657" s="1125"/>
      <c r="J7657" s="1125"/>
    </row>
    <row r="7658" spans="9:10" x14ac:dyDescent="0.2">
      <c r="I7658" s="1125"/>
      <c r="J7658" s="1125"/>
    </row>
    <row r="7659" spans="9:10" x14ac:dyDescent="0.2">
      <c r="I7659" s="1125"/>
      <c r="J7659" s="1125"/>
    </row>
    <row r="7660" spans="9:10" x14ac:dyDescent="0.2">
      <c r="I7660" s="1125"/>
      <c r="J7660" s="1125"/>
    </row>
    <row r="7661" spans="9:10" x14ac:dyDescent="0.2">
      <c r="I7661" s="1125"/>
      <c r="J7661" s="1125"/>
    </row>
    <row r="7662" spans="9:10" x14ac:dyDescent="0.2">
      <c r="I7662" s="1125"/>
      <c r="J7662" s="1125"/>
    </row>
    <row r="7663" spans="9:10" x14ac:dyDescent="0.2">
      <c r="I7663" s="1125"/>
      <c r="J7663" s="1125"/>
    </row>
    <row r="7664" spans="9:10" x14ac:dyDescent="0.2">
      <c r="I7664" s="1125"/>
      <c r="J7664" s="1125"/>
    </row>
    <row r="7665" spans="9:10" x14ac:dyDescent="0.2">
      <c r="I7665" s="1125"/>
      <c r="J7665" s="1125"/>
    </row>
    <row r="7666" spans="9:10" x14ac:dyDescent="0.2">
      <c r="I7666" s="1125"/>
      <c r="J7666" s="1125"/>
    </row>
    <row r="7667" spans="9:10" x14ac:dyDescent="0.2">
      <c r="I7667" s="1125"/>
      <c r="J7667" s="1125"/>
    </row>
    <row r="7668" spans="9:10" x14ac:dyDescent="0.2">
      <c r="I7668" s="1125"/>
      <c r="J7668" s="1125"/>
    </row>
    <row r="7669" spans="9:10" x14ac:dyDescent="0.2">
      <c r="I7669" s="1125"/>
      <c r="J7669" s="1125"/>
    </row>
    <row r="7670" spans="9:10" x14ac:dyDescent="0.2">
      <c r="I7670" s="1125"/>
      <c r="J7670" s="1125"/>
    </row>
    <row r="7671" spans="9:10" x14ac:dyDescent="0.2">
      <c r="I7671" s="1125"/>
      <c r="J7671" s="1125"/>
    </row>
    <row r="7672" spans="9:10" x14ac:dyDescent="0.2">
      <c r="I7672" s="1125"/>
      <c r="J7672" s="1125"/>
    </row>
    <row r="7673" spans="9:10" x14ac:dyDescent="0.2">
      <c r="I7673" s="1125"/>
      <c r="J7673" s="1125"/>
    </row>
    <row r="7674" spans="9:10" x14ac:dyDescent="0.2">
      <c r="I7674" s="1125"/>
      <c r="J7674" s="1125"/>
    </row>
    <row r="7675" spans="9:10" x14ac:dyDescent="0.2">
      <c r="I7675" s="1125"/>
      <c r="J7675" s="1125"/>
    </row>
    <row r="7676" spans="9:10" x14ac:dyDescent="0.2">
      <c r="I7676" s="1125"/>
      <c r="J7676" s="1125"/>
    </row>
    <row r="7677" spans="9:10" x14ac:dyDescent="0.2">
      <c r="I7677" s="1125"/>
      <c r="J7677" s="1125"/>
    </row>
    <row r="7678" spans="9:10" x14ac:dyDescent="0.2">
      <c r="I7678" s="1125"/>
      <c r="J7678" s="1125"/>
    </row>
    <row r="7679" spans="9:10" x14ac:dyDescent="0.2">
      <c r="I7679" s="1125"/>
      <c r="J7679" s="1125"/>
    </row>
    <row r="7680" spans="9:10" x14ac:dyDescent="0.2">
      <c r="I7680" s="1125"/>
      <c r="J7680" s="1125"/>
    </row>
    <row r="7681" spans="9:10" x14ac:dyDescent="0.2">
      <c r="I7681" s="1125"/>
      <c r="J7681" s="1125"/>
    </row>
    <row r="7682" spans="9:10" x14ac:dyDescent="0.2">
      <c r="I7682" s="1125"/>
      <c r="J7682" s="1125"/>
    </row>
    <row r="7683" spans="9:10" x14ac:dyDescent="0.2">
      <c r="I7683" s="1125"/>
      <c r="J7683" s="1125"/>
    </row>
    <row r="7684" spans="9:10" x14ac:dyDescent="0.2">
      <c r="I7684" s="1125"/>
      <c r="J7684" s="1125"/>
    </row>
    <row r="7685" spans="9:10" x14ac:dyDescent="0.2">
      <c r="I7685" s="1125"/>
      <c r="J7685" s="1125"/>
    </row>
    <row r="7686" spans="9:10" x14ac:dyDescent="0.2">
      <c r="I7686" s="1125"/>
      <c r="J7686" s="1125"/>
    </row>
    <row r="7687" spans="9:10" x14ac:dyDescent="0.2">
      <c r="I7687" s="1125"/>
      <c r="J7687" s="1125"/>
    </row>
    <row r="7688" spans="9:10" x14ac:dyDescent="0.2">
      <c r="I7688" s="1125"/>
      <c r="J7688" s="1125"/>
    </row>
    <row r="7689" spans="9:10" x14ac:dyDescent="0.2">
      <c r="I7689" s="1125"/>
      <c r="J7689" s="1125"/>
    </row>
    <row r="7690" spans="9:10" x14ac:dyDescent="0.2">
      <c r="I7690" s="1125"/>
      <c r="J7690" s="1125"/>
    </row>
    <row r="7691" spans="9:10" x14ac:dyDescent="0.2">
      <c r="I7691" s="1125"/>
      <c r="J7691" s="1125"/>
    </row>
    <row r="7692" spans="9:10" x14ac:dyDescent="0.2">
      <c r="I7692" s="1125"/>
      <c r="J7692" s="1125"/>
    </row>
    <row r="7693" spans="9:10" x14ac:dyDescent="0.2">
      <c r="I7693" s="1125"/>
      <c r="J7693" s="1125"/>
    </row>
    <row r="7694" spans="9:10" x14ac:dyDescent="0.2">
      <c r="I7694" s="1125"/>
      <c r="J7694" s="1125"/>
    </row>
    <row r="7695" spans="9:10" x14ac:dyDescent="0.2">
      <c r="I7695" s="1125"/>
      <c r="J7695" s="1125"/>
    </row>
    <row r="7696" spans="9:10" x14ac:dyDescent="0.2">
      <c r="I7696" s="1125"/>
      <c r="J7696" s="1125"/>
    </row>
    <row r="7697" spans="9:10" x14ac:dyDescent="0.2">
      <c r="I7697" s="1125"/>
      <c r="J7697" s="1125"/>
    </row>
    <row r="7698" spans="9:10" x14ac:dyDescent="0.2">
      <c r="I7698" s="1125"/>
      <c r="J7698" s="1125"/>
    </row>
    <row r="7699" spans="9:10" x14ac:dyDescent="0.2">
      <c r="I7699" s="1125"/>
      <c r="J7699" s="1125"/>
    </row>
    <row r="7700" spans="9:10" x14ac:dyDescent="0.2">
      <c r="I7700" s="1125"/>
      <c r="J7700" s="1125"/>
    </row>
    <row r="7701" spans="9:10" x14ac:dyDescent="0.2">
      <c r="I7701" s="1125"/>
      <c r="J7701" s="1125"/>
    </row>
    <row r="7702" spans="9:10" x14ac:dyDescent="0.2">
      <c r="I7702" s="1125"/>
      <c r="J7702" s="1125"/>
    </row>
    <row r="7703" spans="9:10" x14ac:dyDescent="0.2">
      <c r="I7703" s="1125"/>
      <c r="J7703" s="1125"/>
    </row>
    <row r="7704" spans="9:10" x14ac:dyDescent="0.2">
      <c r="I7704" s="1125"/>
      <c r="J7704" s="1125"/>
    </row>
    <row r="7705" spans="9:10" x14ac:dyDescent="0.2">
      <c r="I7705" s="1125"/>
      <c r="J7705" s="1125"/>
    </row>
    <row r="7706" spans="9:10" x14ac:dyDescent="0.2">
      <c r="I7706" s="1125"/>
      <c r="J7706" s="1125"/>
    </row>
    <row r="7707" spans="9:10" x14ac:dyDescent="0.2">
      <c r="I7707" s="1125"/>
      <c r="J7707" s="1125"/>
    </row>
    <row r="7708" spans="9:10" x14ac:dyDescent="0.2">
      <c r="I7708" s="1125"/>
      <c r="J7708" s="1125"/>
    </row>
    <row r="7709" spans="9:10" x14ac:dyDescent="0.2">
      <c r="I7709" s="1125"/>
      <c r="J7709" s="1125"/>
    </row>
    <row r="7710" spans="9:10" x14ac:dyDescent="0.2">
      <c r="I7710" s="1125"/>
      <c r="J7710" s="1125"/>
    </row>
    <row r="7711" spans="9:10" x14ac:dyDescent="0.2">
      <c r="I7711" s="1125"/>
      <c r="J7711" s="1125"/>
    </row>
    <row r="7712" spans="9:10" x14ac:dyDescent="0.2">
      <c r="I7712" s="1125"/>
      <c r="J7712" s="1125"/>
    </row>
    <row r="7713" spans="9:10" x14ac:dyDescent="0.2">
      <c r="I7713" s="1125"/>
      <c r="J7713" s="1125"/>
    </row>
    <row r="7714" spans="9:10" x14ac:dyDescent="0.2">
      <c r="I7714" s="1125"/>
      <c r="J7714" s="1125"/>
    </row>
    <row r="7715" spans="9:10" x14ac:dyDescent="0.2">
      <c r="I7715" s="1125"/>
      <c r="J7715" s="1125"/>
    </row>
    <row r="7716" spans="9:10" x14ac:dyDescent="0.2">
      <c r="I7716" s="1125"/>
      <c r="J7716" s="1125"/>
    </row>
    <row r="7717" spans="9:10" x14ac:dyDescent="0.2">
      <c r="I7717" s="1125"/>
      <c r="J7717" s="1125"/>
    </row>
    <row r="7718" spans="9:10" x14ac:dyDescent="0.2">
      <c r="I7718" s="1125"/>
      <c r="J7718" s="1125"/>
    </row>
    <row r="7719" spans="9:10" x14ac:dyDescent="0.2">
      <c r="I7719" s="1125"/>
      <c r="J7719" s="1125"/>
    </row>
    <row r="7720" spans="9:10" x14ac:dyDescent="0.2">
      <c r="I7720" s="1125"/>
      <c r="J7720" s="1125"/>
    </row>
    <row r="7721" spans="9:10" x14ac:dyDescent="0.2">
      <c r="I7721" s="1125"/>
      <c r="J7721" s="1125"/>
    </row>
    <row r="7722" spans="9:10" x14ac:dyDescent="0.2">
      <c r="I7722" s="1125"/>
      <c r="J7722" s="1125"/>
    </row>
    <row r="7723" spans="9:10" x14ac:dyDescent="0.2">
      <c r="I7723" s="1125"/>
      <c r="J7723" s="1125"/>
    </row>
    <row r="7724" spans="9:10" x14ac:dyDescent="0.2">
      <c r="I7724" s="1125"/>
      <c r="J7724" s="1125"/>
    </row>
    <row r="7725" spans="9:10" x14ac:dyDescent="0.2">
      <c r="I7725" s="1125"/>
      <c r="J7725" s="1125"/>
    </row>
    <row r="7726" spans="9:10" x14ac:dyDescent="0.2">
      <c r="I7726" s="1125"/>
      <c r="J7726" s="1125"/>
    </row>
    <row r="7727" spans="9:10" x14ac:dyDescent="0.2">
      <c r="I7727" s="1125"/>
      <c r="J7727" s="1125"/>
    </row>
    <row r="7728" spans="9:10" x14ac:dyDescent="0.2">
      <c r="I7728" s="1125"/>
      <c r="J7728" s="1125"/>
    </row>
    <row r="7729" spans="9:10" x14ac:dyDescent="0.2">
      <c r="I7729" s="1125"/>
      <c r="J7729" s="1125"/>
    </row>
    <row r="7730" spans="9:10" x14ac:dyDescent="0.2">
      <c r="I7730" s="1125"/>
      <c r="J7730" s="1125"/>
    </row>
    <row r="7731" spans="9:10" x14ac:dyDescent="0.2">
      <c r="I7731" s="1125"/>
      <c r="J7731" s="1125"/>
    </row>
    <row r="7732" spans="9:10" x14ac:dyDescent="0.2">
      <c r="I7732" s="1125"/>
      <c r="J7732" s="1125"/>
    </row>
    <row r="7733" spans="9:10" x14ac:dyDescent="0.2">
      <c r="I7733" s="1125"/>
      <c r="J7733" s="1125"/>
    </row>
    <row r="7734" spans="9:10" x14ac:dyDescent="0.2">
      <c r="I7734" s="1125"/>
      <c r="J7734" s="1125"/>
    </row>
    <row r="7735" spans="9:10" x14ac:dyDescent="0.2">
      <c r="I7735" s="1125"/>
      <c r="J7735" s="1125"/>
    </row>
    <row r="7736" spans="9:10" x14ac:dyDescent="0.2">
      <c r="I7736" s="1125"/>
      <c r="J7736" s="1125"/>
    </row>
    <row r="7737" spans="9:10" x14ac:dyDescent="0.2">
      <c r="I7737" s="1125"/>
      <c r="J7737" s="1125"/>
    </row>
    <row r="7738" spans="9:10" x14ac:dyDescent="0.2">
      <c r="I7738" s="1125"/>
      <c r="J7738" s="1125"/>
    </row>
    <row r="7739" spans="9:10" x14ac:dyDescent="0.2">
      <c r="I7739" s="1125"/>
      <c r="J7739" s="1125"/>
    </row>
    <row r="7740" spans="9:10" x14ac:dyDescent="0.2">
      <c r="I7740" s="1125"/>
      <c r="J7740" s="1125"/>
    </row>
    <row r="7741" spans="9:10" x14ac:dyDescent="0.2">
      <c r="I7741" s="1125"/>
      <c r="J7741" s="1125"/>
    </row>
    <row r="7742" spans="9:10" x14ac:dyDescent="0.2">
      <c r="I7742" s="1125"/>
      <c r="J7742" s="1125"/>
    </row>
    <row r="7743" spans="9:10" x14ac:dyDescent="0.2">
      <c r="I7743" s="1125"/>
      <c r="J7743" s="1125"/>
    </row>
    <row r="7744" spans="9:10" x14ac:dyDescent="0.2">
      <c r="I7744" s="1125"/>
      <c r="J7744" s="1125"/>
    </row>
    <row r="7745" spans="9:10" x14ac:dyDescent="0.2">
      <c r="I7745" s="1125"/>
      <c r="J7745" s="1125"/>
    </row>
    <row r="7746" spans="9:10" x14ac:dyDescent="0.2">
      <c r="I7746" s="1125"/>
      <c r="J7746" s="1125"/>
    </row>
    <row r="7747" spans="9:10" x14ac:dyDescent="0.2">
      <c r="I7747" s="1125"/>
      <c r="J7747" s="1125"/>
    </row>
    <row r="7748" spans="9:10" x14ac:dyDescent="0.2">
      <c r="I7748" s="1125"/>
      <c r="J7748" s="1125"/>
    </row>
    <row r="7749" spans="9:10" x14ac:dyDescent="0.2">
      <c r="I7749" s="1125"/>
      <c r="J7749" s="1125"/>
    </row>
    <row r="7750" spans="9:10" x14ac:dyDescent="0.2">
      <c r="I7750" s="1125"/>
      <c r="J7750" s="1125"/>
    </row>
    <row r="7751" spans="9:10" x14ac:dyDescent="0.2">
      <c r="I7751" s="1125"/>
      <c r="J7751" s="1125"/>
    </row>
    <row r="7752" spans="9:10" x14ac:dyDescent="0.2">
      <c r="I7752" s="1125"/>
      <c r="J7752" s="1125"/>
    </row>
    <row r="7753" spans="9:10" x14ac:dyDescent="0.2">
      <c r="I7753" s="1125"/>
      <c r="J7753" s="1125"/>
    </row>
    <row r="7754" spans="9:10" x14ac:dyDescent="0.2">
      <c r="I7754" s="1125"/>
      <c r="J7754" s="1125"/>
    </row>
    <row r="7755" spans="9:10" x14ac:dyDescent="0.2">
      <c r="I7755" s="1125"/>
      <c r="J7755" s="1125"/>
    </row>
    <row r="7756" spans="9:10" x14ac:dyDescent="0.2">
      <c r="I7756" s="1125"/>
      <c r="J7756" s="1125"/>
    </row>
    <row r="7757" spans="9:10" x14ac:dyDescent="0.2">
      <c r="I7757" s="1125"/>
      <c r="J7757" s="1125"/>
    </row>
    <row r="7758" spans="9:10" x14ac:dyDescent="0.2">
      <c r="I7758" s="1125"/>
      <c r="J7758" s="1125"/>
    </row>
    <row r="7759" spans="9:10" x14ac:dyDescent="0.2">
      <c r="I7759" s="1125"/>
      <c r="J7759" s="1125"/>
    </row>
    <row r="7760" spans="9:10" x14ac:dyDescent="0.2">
      <c r="I7760" s="1125"/>
      <c r="J7760" s="1125"/>
    </row>
    <row r="7761" spans="9:10" x14ac:dyDescent="0.2">
      <c r="I7761" s="1125"/>
      <c r="J7761" s="1125"/>
    </row>
    <row r="7762" spans="9:10" x14ac:dyDescent="0.2">
      <c r="I7762" s="1125"/>
      <c r="J7762" s="1125"/>
    </row>
    <row r="7763" spans="9:10" x14ac:dyDescent="0.2">
      <c r="I7763" s="1125"/>
      <c r="J7763" s="1125"/>
    </row>
    <row r="7764" spans="9:10" x14ac:dyDescent="0.2">
      <c r="I7764" s="1125"/>
      <c r="J7764" s="1125"/>
    </row>
    <row r="7765" spans="9:10" x14ac:dyDescent="0.2">
      <c r="I7765" s="1125"/>
      <c r="J7765" s="1125"/>
    </row>
    <row r="7766" spans="9:10" x14ac:dyDescent="0.2">
      <c r="I7766" s="1125"/>
      <c r="J7766" s="1125"/>
    </row>
    <row r="7767" spans="9:10" x14ac:dyDescent="0.2">
      <c r="I7767" s="1125"/>
      <c r="J7767" s="1125"/>
    </row>
    <row r="7768" spans="9:10" x14ac:dyDescent="0.2">
      <c r="I7768" s="1125"/>
      <c r="J7768" s="1125"/>
    </row>
    <row r="7769" spans="9:10" x14ac:dyDescent="0.2">
      <c r="I7769" s="1125"/>
      <c r="J7769" s="1125"/>
    </row>
    <row r="7770" spans="9:10" x14ac:dyDescent="0.2">
      <c r="I7770" s="1125"/>
      <c r="J7770" s="1125"/>
    </row>
    <row r="7771" spans="9:10" x14ac:dyDescent="0.2">
      <c r="I7771" s="1125"/>
      <c r="J7771" s="1125"/>
    </row>
    <row r="7772" spans="9:10" x14ac:dyDescent="0.2">
      <c r="I7772" s="1125"/>
      <c r="J7772" s="1125"/>
    </row>
    <row r="7773" spans="9:10" x14ac:dyDescent="0.2">
      <c r="I7773" s="1125"/>
      <c r="J7773" s="1125"/>
    </row>
    <row r="7774" spans="9:10" x14ac:dyDescent="0.2">
      <c r="I7774" s="1125"/>
      <c r="J7774" s="1125"/>
    </row>
    <row r="7775" spans="9:10" x14ac:dyDescent="0.2">
      <c r="I7775" s="1125"/>
      <c r="J7775" s="1125"/>
    </row>
    <row r="7776" spans="9:10" x14ac:dyDescent="0.2">
      <c r="I7776" s="1125"/>
      <c r="J7776" s="1125"/>
    </row>
    <row r="7777" spans="9:10" x14ac:dyDescent="0.2">
      <c r="I7777" s="1125"/>
      <c r="J7777" s="1125"/>
    </row>
    <row r="7778" spans="9:10" x14ac:dyDescent="0.2">
      <c r="I7778" s="1125"/>
      <c r="J7778" s="1125"/>
    </row>
    <row r="7779" spans="9:10" x14ac:dyDescent="0.2">
      <c r="I7779" s="1125"/>
      <c r="J7779" s="1125"/>
    </row>
    <row r="7780" spans="9:10" x14ac:dyDescent="0.2">
      <c r="I7780" s="1125"/>
      <c r="J7780" s="1125"/>
    </row>
    <row r="7781" spans="9:10" x14ac:dyDescent="0.2">
      <c r="I7781" s="1125"/>
      <c r="J7781" s="1125"/>
    </row>
    <row r="7782" spans="9:10" x14ac:dyDescent="0.2">
      <c r="I7782" s="1125"/>
      <c r="J7782" s="1125"/>
    </row>
    <row r="7783" spans="9:10" x14ac:dyDescent="0.2">
      <c r="I7783" s="1125"/>
      <c r="J7783" s="1125"/>
    </row>
    <row r="7784" spans="9:10" x14ac:dyDescent="0.2">
      <c r="I7784" s="1125"/>
      <c r="J7784" s="1125"/>
    </row>
    <row r="7785" spans="9:10" x14ac:dyDescent="0.2">
      <c r="I7785" s="1125"/>
      <c r="J7785" s="1125"/>
    </row>
    <row r="7786" spans="9:10" x14ac:dyDescent="0.2">
      <c r="I7786" s="1125"/>
      <c r="J7786" s="1125"/>
    </row>
    <row r="7787" spans="9:10" x14ac:dyDescent="0.2">
      <c r="I7787" s="1125"/>
      <c r="J7787" s="1125"/>
    </row>
    <row r="7788" spans="9:10" x14ac:dyDescent="0.2">
      <c r="I7788" s="1125"/>
      <c r="J7788" s="1125"/>
    </row>
    <row r="7789" spans="9:10" x14ac:dyDescent="0.2">
      <c r="I7789" s="1125"/>
      <c r="J7789" s="1125"/>
    </row>
    <row r="7790" spans="9:10" x14ac:dyDescent="0.2">
      <c r="I7790" s="1125"/>
      <c r="J7790" s="1125"/>
    </row>
    <row r="7791" spans="9:10" x14ac:dyDescent="0.2">
      <c r="I7791" s="1125"/>
      <c r="J7791" s="1125"/>
    </row>
    <row r="7792" spans="9:10" x14ac:dyDescent="0.2">
      <c r="I7792" s="1125"/>
      <c r="J7792" s="1125"/>
    </row>
    <row r="7793" spans="9:10" x14ac:dyDescent="0.2">
      <c r="I7793" s="1125"/>
      <c r="J7793" s="1125"/>
    </row>
    <row r="7794" spans="9:10" x14ac:dyDescent="0.2">
      <c r="I7794" s="1125"/>
      <c r="J7794" s="1125"/>
    </row>
    <row r="7795" spans="9:10" x14ac:dyDescent="0.2">
      <c r="I7795" s="1125"/>
      <c r="J7795" s="1125"/>
    </row>
    <row r="7796" spans="9:10" x14ac:dyDescent="0.2">
      <c r="I7796" s="1125"/>
      <c r="J7796" s="1125"/>
    </row>
    <row r="7797" spans="9:10" x14ac:dyDescent="0.2">
      <c r="I7797" s="1125"/>
      <c r="J7797" s="1125"/>
    </row>
    <row r="7798" spans="9:10" x14ac:dyDescent="0.2">
      <c r="I7798" s="1125"/>
      <c r="J7798" s="1125"/>
    </row>
    <row r="7799" spans="9:10" x14ac:dyDescent="0.2">
      <c r="I7799" s="1125"/>
      <c r="J7799" s="1125"/>
    </row>
    <row r="7800" spans="9:10" x14ac:dyDescent="0.2">
      <c r="I7800" s="1125"/>
      <c r="J7800" s="1125"/>
    </row>
    <row r="7801" spans="9:10" x14ac:dyDescent="0.2">
      <c r="I7801" s="1125"/>
      <c r="J7801" s="1125"/>
    </row>
    <row r="7802" spans="9:10" x14ac:dyDescent="0.2">
      <c r="I7802" s="1125"/>
      <c r="J7802" s="1125"/>
    </row>
    <row r="7803" spans="9:10" x14ac:dyDescent="0.2">
      <c r="I7803" s="1125"/>
      <c r="J7803" s="1125"/>
    </row>
    <row r="7804" spans="9:10" x14ac:dyDescent="0.2">
      <c r="I7804" s="1125"/>
      <c r="J7804" s="1125"/>
    </row>
    <row r="7805" spans="9:10" x14ac:dyDescent="0.2">
      <c r="I7805" s="1125"/>
      <c r="J7805" s="1125"/>
    </row>
    <row r="7806" spans="9:10" x14ac:dyDescent="0.2">
      <c r="I7806" s="1125"/>
      <c r="J7806" s="1125"/>
    </row>
    <row r="7807" spans="9:10" x14ac:dyDescent="0.2">
      <c r="I7807" s="1125"/>
      <c r="J7807" s="1125"/>
    </row>
    <row r="7808" spans="9:10" x14ac:dyDescent="0.2">
      <c r="I7808" s="1125"/>
      <c r="J7808" s="1125"/>
    </row>
    <row r="7809" spans="9:10" x14ac:dyDescent="0.2">
      <c r="I7809" s="1125"/>
      <c r="J7809" s="1125"/>
    </row>
    <row r="7810" spans="9:10" x14ac:dyDescent="0.2">
      <c r="I7810" s="1125"/>
      <c r="J7810" s="1125"/>
    </row>
    <row r="7811" spans="9:10" x14ac:dyDescent="0.2">
      <c r="I7811" s="1125"/>
      <c r="J7811" s="1125"/>
    </row>
    <row r="7812" spans="9:10" x14ac:dyDescent="0.2">
      <c r="I7812" s="1125"/>
      <c r="J7812" s="1125"/>
    </row>
    <row r="7813" spans="9:10" x14ac:dyDescent="0.2">
      <c r="I7813" s="1125"/>
      <c r="J7813" s="1125"/>
    </row>
    <row r="7814" spans="9:10" x14ac:dyDescent="0.2">
      <c r="I7814" s="1125"/>
      <c r="J7814" s="1125"/>
    </row>
    <row r="7815" spans="9:10" x14ac:dyDescent="0.2">
      <c r="I7815" s="1125"/>
      <c r="J7815" s="1125"/>
    </row>
    <row r="7816" spans="9:10" x14ac:dyDescent="0.2">
      <c r="I7816" s="1125"/>
      <c r="J7816" s="1125"/>
    </row>
    <row r="7817" spans="9:10" x14ac:dyDescent="0.2">
      <c r="I7817" s="1125"/>
      <c r="J7817" s="1125"/>
    </row>
    <row r="7818" spans="9:10" x14ac:dyDescent="0.2">
      <c r="I7818" s="1125"/>
      <c r="J7818" s="1125"/>
    </row>
    <row r="7819" spans="9:10" x14ac:dyDescent="0.2">
      <c r="I7819" s="1125"/>
      <c r="J7819" s="1125"/>
    </row>
    <row r="7820" spans="9:10" x14ac:dyDescent="0.2">
      <c r="I7820" s="1125"/>
      <c r="J7820" s="1125"/>
    </row>
    <row r="7821" spans="9:10" x14ac:dyDescent="0.2">
      <c r="I7821" s="1125"/>
      <c r="J7821" s="1125"/>
    </row>
    <row r="7822" spans="9:10" x14ac:dyDescent="0.2">
      <c r="I7822" s="1125"/>
      <c r="J7822" s="1125"/>
    </row>
    <row r="7823" spans="9:10" x14ac:dyDescent="0.2">
      <c r="I7823" s="1125"/>
      <c r="J7823" s="1125"/>
    </row>
    <row r="7824" spans="9:10" x14ac:dyDescent="0.2">
      <c r="I7824" s="1125"/>
      <c r="J7824" s="1125"/>
    </row>
    <row r="7825" spans="9:10" x14ac:dyDescent="0.2">
      <c r="I7825" s="1125"/>
      <c r="J7825" s="1125"/>
    </row>
    <row r="7826" spans="9:10" x14ac:dyDescent="0.2">
      <c r="I7826" s="1125"/>
      <c r="J7826" s="1125"/>
    </row>
    <row r="7827" spans="9:10" x14ac:dyDescent="0.2">
      <c r="I7827" s="1125"/>
      <c r="J7827" s="1125"/>
    </row>
    <row r="7828" spans="9:10" x14ac:dyDescent="0.2">
      <c r="I7828" s="1125"/>
      <c r="J7828" s="1125"/>
    </row>
    <row r="7829" spans="9:10" x14ac:dyDescent="0.2">
      <c r="I7829" s="1125"/>
      <c r="J7829" s="1125"/>
    </row>
    <row r="7830" spans="9:10" x14ac:dyDescent="0.2">
      <c r="I7830" s="1125"/>
      <c r="J7830" s="1125"/>
    </row>
    <row r="7831" spans="9:10" x14ac:dyDescent="0.2">
      <c r="I7831" s="1125"/>
      <c r="J7831" s="1125"/>
    </row>
    <row r="7832" spans="9:10" x14ac:dyDescent="0.2">
      <c r="I7832" s="1125"/>
      <c r="J7832" s="1125"/>
    </row>
    <row r="7833" spans="9:10" x14ac:dyDescent="0.2">
      <c r="I7833" s="1125"/>
      <c r="J7833" s="1125"/>
    </row>
    <row r="7834" spans="9:10" x14ac:dyDescent="0.2">
      <c r="I7834" s="1125"/>
      <c r="J7834" s="1125"/>
    </row>
    <row r="7835" spans="9:10" x14ac:dyDescent="0.2">
      <c r="I7835" s="1125"/>
      <c r="J7835" s="1125"/>
    </row>
    <row r="7836" spans="9:10" x14ac:dyDescent="0.2">
      <c r="I7836" s="1125"/>
      <c r="J7836" s="1125"/>
    </row>
    <row r="7837" spans="9:10" x14ac:dyDescent="0.2">
      <c r="I7837" s="1125"/>
      <c r="J7837" s="1125"/>
    </row>
    <row r="7838" spans="9:10" x14ac:dyDescent="0.2">
      <c r="I7838" s="1125"/>
      <c r="J7838" s="1125"/>
    </row>
    <row r="7839" spans="9:10" x14ac:dyDescent="0.2">
      <c r="I7839" s="1125"/>
      <c r="J7839" s="1125"/>
    </row>
    <row r="7840" spans="9:10" x14ac:dyDescent="0.2">
      <c r="I7840" s="1125"/>
      <c r="J7840" s="1125"/>
    </row>
    <row r="7841" spans="9:10" x14ac:dyDescent="0.2">
      <c r="I7841" s="1125"/>
      <c r="J7841" s="1125"/>
    </row>
    <row r="7842" spans="9:10" x14ac:dyDescent="0.2">
      <c r="I7842" s="1125"/>
      <c r="J7842" s="1125"/>
    </row>
    <row r="7843" spans="9:10" x14ac:dyDescent="0.2">
      <c r="I7843" s="1125"/>
      <c r="J7843" s="1125"/>
    </row>
    <row r="7844" spans="9:10" x14ac:dyDescent="0.2">
      <c r="I7844" s="1125"/>
      <c r="J7844" s="1125"/>
    </row>
    <row r="7845" spans="9:10" x14ac:dyDescent="0.2">
      <c r="I7845" s="1125"/>
      <c r="J7845" s="1125"/>
    </row>
    <row r="7846" spans="9:10" x14ac:dyDescent="0.2">
      <c r="I7846" s="1125"/>
      <c r="J7846" s="1125"/>
    </row>
    <row r="7847" spans="9:10" x14ac:dyDescent="0.2">
      <c r="I7847" s="1125"/>
      <c r="J7847" s="1125"/>
    </row>
    <row r="7848" spans="9:10" x14ac:dyDescent="0.2">
      <c r="I7848" s="1125"/>
      <c r="J7848" s="1125"/>
    </row>
    <row r="7849" spans="9:10" x14ac:dyDescent="0.2">
      <c r="I7849" s="1125"/>
      <c r="J7849" s="1125"/>
    </row>
    <row r="7850" spans="9:10" x14ac:dyDescent="0.2">
      <c r="I7850" s="1125"/>
      <c r="J7850" s="1125"/>
    </row>
    <row r="7851" spans="9:10" x14ac:dyDescent="0.2">
      <c r="I7851" s="1125"/>
      <c r="J7851" s="1125"/>
    </row>
    <row r="7852" spans="9:10" x14ac:dyDescent="0.2">
      <c r="I7852" s="1125"/>
      <c r="J7852" s="1125"/>
    </row>
    <row r="7853" spans="9:10" x14ac:dyDescent="0.2">
      <c r="I7853" s="1125"/>
      <c r="J7853" s="1125"/>
    </row>
    <row r="7854" spans="9:10" x14ac:dyDescent="0.2">
      <c r="I7854" s="1125"/>
      <c r="J7854" s="1125"/>
    </row>
    <row r="7855" spans="9:10" x14ac:dyDescent="0.2">
      <c r="I7855" s="1125"/>
      <c r="J7855" s="1125"/>
    </row>
    <row r="7856" spans="9:10" x14ac:dyDescent="0.2">
      <c r="I7856" s="1125"/>
      <c r="J7856" s="1125"/>
    </row>
    <row r="7857" spans="9:10" x14ac:dyDescent="0.2">
      <c r="I7857" s="1125"/>
      <c r="J7857" s="1125"/>
    </row>
    <row r="7858" spans="9:10" x14ac:dyDescent="0.2">
      <c r="I7858" s="1125"/>
      <c r="J7858" s="1125"/>
    </row>
    <row r="7859" spans="9:10" x14ac:dyDescent="0.2">
      <c r="I7859" s="1125"/>
      <c r="J7859" s="1125"/>
    </row>
    <row r="7860" spans="9:10" x14ac:dyDescent="0.2">
      <c r="I7860" s="1125"/>
      <c r="J7860" s="1125"/>
    </row>
    <row r="7861" spans="9:10" x14ac:dyDescent="0.2">
      <c r="I7861" s="1125"/>
      <c r="J7861" s="1125"/>
    </row>
    <row r="7862" spans="9:10" x14ac:dyDescent="0.2">
      <c r="I7862" s="1125"/>
      <c r="J7862" s="1125"/>
    </row>
    <row r="7863" spans="9:10" x14ac:dyDescent="0.2">
      <c r="I7863" s="1125"/>
      <c r="J7863" s="1125"/>
    </row>
    <row r="7864" spans="9:10" x14ac:dyDescent="0.2">
      <c r="I7864" s="1125"/>
      <c r="J7864" s="1125"/>
    </row>
    <row r="7865" spans="9:10" x14ac:dyDescent="0.2">
      <c r="I7865" s="1125"/>
      <c r="J7865" s="1125"/>
    </row>
    <row r="7866" spans="9:10" x14ac:dyDescent="0.2">
      <c r="I7866" s="1125"/>
      <c r="J7866" s="1125"/>
    </row>
    <row r="7867" spans="9:10" x14ac:dyDescent="0.2">
      <c r="I7867" s="1125"/>
      <c r="J7867" s="1125"/>
    </row>
    <row r="7868" spans="9:10" x14ac:dyDescent="0.2">
      <c r="I7868" s="1125"/>
      <c r="J7868" s="1125"/>
    </row>
    <row r="7869" spans="9:10" x14ac:dyDescent="0.2">
      <c r="I7869" s="1125"/>
      <c r="J7869" s="1125"/>
    </row>
    <row r="7870" spans="9:10" x14ac:dyDescent="0.2">
      <c r="I7870" s="1125"/>
      <c r="J7870" s="1125"/>
    </row>
    <row r="7871" spans="9:10" x14ac:dyDescent="0.2">
      <c r="I7871" s="1125"/>
      <c r="J7871" s="1125"/>
    </row>
    <row r="7872" spans="9:10" x14ac:dyDescent="0.2">
      <c r="I7872" s="1125"/>
      <c r="J7872" s="1125"/>
    </row>
    <row r="7873" spans="9:10" x14ac:dyDescent="0.2">
      <c r="I7873" s="1125"/>
      <c r="J7873" s="1125"/>
    </row>
    <row r="7874" spans="9:10" x14ac:dyDescent="0.2">
      <c r="I7874" s="1125"/>
      <c r="J7874" s="1125"/>
    </row>
    <row r="7875" spans="9:10" x14ac:dyDescent="0.2">
      <c r="I7875" s="1125"/>
      <c r="J7875" s="1125"/>
    </row>
    <row r="7876" spans="9:10" x14ac:dyDescent="0.2">
      <c r="I7876" s="1125"/>
      <c r="J7876" s="1125"/>
    </row>
    <row r="7877" spans="9:10" x14ac:dyDescent="0.2">
      <c r="I7877" s="1125"/>
      <c r="J7877" s="1125"/>
    </row>
    <row r="7878" spans="9:10" x14ac:dyDescent="0.2">
      <c r="I7878" s="1125"/>
      <c r="J7878" s="1125"/>
    </row>
    <row r="7879" spans="9:10" x14ac:dyDescent="0.2">
      <c r="I7879" s="1125"/>
      <c r="J7879" s="1125"/>
    </row>
    <row r="7880" spans="9:10" x14ac:dyDescent="0.2">
      <c r="I7880" s="1125"/>
      <c r="J7880" s="1125"/>
    </row>
    <row r="7881" spans="9:10" x14ac:dyDescent="0.2">
      <c r="I7881" s="1125"/>
      <c r="J7881" s="1125"/>
    </row>
    <row r="7882" spans="9:10" x14ac:dyDescent="0.2">
      <c r="I7882" s="1125"/>
      <c r="J7882" s="1125"/>
    </row>
    <row r="7883" spans="9:10" x14ac:dyDescent="0.2">
      <c r="I7883" s="1125"/>
      <c r="J7883" s="1125"/>
    </row>
    <row r="7884" spans="9:10" x14ac:dyDescent="0.2">
      <c r="I7884" s="1125"/>
      <c r="J7884" s="1125"/>
    </row>
    <row r="7885" spans="9:10" x14ac:dyDescent="0.2">
      <c r="I7885" s="1125"/>
      <c r="J7885" s="1125"/>
    </row>
    <row r="7886" spans="9:10" x14ac:dyDescent="0.2">
      <c r="I7886" s="1125"/>
      <c r="J7886" s="1125"/>
    </row>
    <row r="7887" spans="9:10" x14ac:dyDescent="0.2">
      <c r="I7887" s="1125"/>
      <c r="J7887" s="1125"/>
    </row>
    <row r="7888" spans="9:10" x14ac:dyDescent="0.2">
      <c r="I7888" s="1125"/>
      <c r="J7888" s="1125"/>
    </row>
    <row r="7889" spans="9:10" x14ac:dyDescent="0.2">
      <c r="I7889" s="1125"/>
      <c r="J7889" s="1125"/>
    </row>
    <row r="7890" spans="9:10" x14ac:dyDescent="0.2">
      <c r="I7890" s="1125"/>
      <c r="J7890" s="1125"/>
    </row>
    <row r="7891" spans="9:10" x14ac:dyDescent="0.2">
      <c r="I7891" s="1125"/>
      <c r="J7891" s="1125"/>
    </row>
    <row r="7892" spans="9:10" x14ac:dyDescent="0.2">
      <c r="I7892" s="1125"/>
      <c r="J7892" s="1125"/>
    </row>
    <row r="7893" spans="9:10" x14ac:dyDescent="0.2">
      <c r="I7893" s="1125"/>
      <c r="J7893" s="1125"/>
    </row>
    <row r="7894" spans="9:10" x14ac:dyDescent="0.2">
      <c r="I7894" s="1125"/>
      <c r="J7894" s="1125"/>
    </row>
    <row r="7895" spans="9:10" x14ac:dyDescent="0.2">
      <c r="I7895" s="1125"/>
      <c r="J7895" s="1125"/>
    </row>
    <row r="7896" spans="9:10" x14ac:dyDescent="0.2">
      <c r="I7896" s="1125"/>
      <c r="J7896" s="1125"/>
    </row>
    <row r="7897" spans="9:10" x14ac:dyDescent="0.2">
      <c r="I7897" s="1125"/>
      <c r="J7897" s="1125"/>
    </row>
    <row r="7898" spans="9:10" x14ac:dyDescent="0.2">
      <c r="I7898" s="1125"/>
      <c r="J7898" s="1125"/>
    </row>
    <row r="7899" spans="9:10" x14ac:dyDescent="0.2">
      <c r="I7899" s="1125"/>
      <c r="J7899" s="1125"/>
    </row>
    <row r="7900" spans="9:10" x14ac:dyDescent="0.2">
      <c r="I7900" s="1125"/>
      <c r="J7900" s="1125"/>
    </row>
    <row r="7901" spans="9:10" x14ac:dyDescent="0.2">
      <c r="I7901" s="1125"/>
      <c r="J7901" s="1125"/>
    </row>
    <row r="7902" spans="9:10" x14ac:dyDescent="0.2">
      <c r="I7902" s="1125"/>
      <c r="J7902" s="1125"/>
    </row>
    <row r="7903" spans="9:10" x14ac:dyDescent="0.2">
      <c r="I7903" s="1125"/>
      <c r="J7903" s="1125"/>
    </row>
    <row r="7904" spans="9:10" x14ac:dyDescent="0.2">
      <c r="I7904" s="1125"/>
      <c r="J7904" s="1125"/>
    </row>
    <row r="7905" spans="9:10" x14ac:dyDescent="0.2">
      <c r="I7905" s="1125"/>
      <c r="J7905" s="1125"/>
    </row>
    <row r="7906" spans="9:10" x14ac:dyDescent="0.2">
      <c r="I7906" s="1125"/>
      <c r="J7906" s="1125"/>
    </row>
    <row r="7907" spans="9:10" x14ac:dyDescent="0.2">
      <c r="I7907" s="1125"/>
      <c r="J7907" s="1125"/>
    </row>
    <row r="7908" spans="9:10" x14ac:dyDescent="0.2">
      <c r="I7908" s="1125"/>
      <c r="J7908" s="1125"/>
    </row>
    <row r="7909" spans="9:10" x14ac:dyDescent="0.2">
      <c r="I7909" s="1125"/>
      <c r="J7909" s="1125"/>
    </row>
    <row r="7910" spans="9:10" x14ac:dyDescent="0.2">
      <c r="I7910" s="1125"/>
      <c r="J7910" s="1125"/>
    </row>
    <row r="7911" spans="9:10" x14ac:dyDescent="0.2">
      <c r="I7911" s="1125"/>
      <c r="J7911" s="1125"/>
    </row>
    <row r="7912" spans="9:10" x14ac:dyDescent="0.2">
      <c r="I7912" s="1125"/>
      <c r="J7912" s="1125"/>
    </row>
    <row r="7913" spans="9:10" x14ac:dyDescent="0.2">
      <c r="I7913" s="1125"/>
      <c r="J7913" s="1125"/>
    </row>
    <row r="7914" spans="9:10" x14ac:dyDescent="0.2">
      <c r="I7914" s="1125"/>
      <c r="J7914" s="1125"/>
    </row>
    <row r="7915" spans="9:10" x14ac:dyDescent="0.2">
      <c r="I7915" s="1125"/>
      <c r="J7915" s="1125"/>
    </row>
    <row r="7916" spans="9:10" x14ac:dyDescent="0.2">
      <c r="I7916" s="1125"/>
      <c r="J7916" s="1125"/>
    </row>
    <row r="7917" spans="9:10" x14ac:dyDescent="0.2">
      <c r="I7917" s="1125"/>
      <c r="J7917" s="1125"/>
    </row>
    <row r="7918" spans="9:10" x14ac:dyDescent="0.2">
      <c r="I7918" s="1125"/>
      <c r="J7918" s="1125"/>
    </row>
    <row r="7919" spans="9:10" x14ac:dyDescent="0.2">
      <c r="I7919" s="1125"/>
      <c r="J7919" s="1125"/>
    </row>
    <row r="7920" spans="9:10" x14ac:dyDescent="0.2">
      <c r="I7920" s="1125"/>
      <c r="J7920" s="1125"/>
    </row>
    <row r="7921" spans="9:10" x14ac:dyDescent="0.2">
      <c r="I7921" s="1125"/>
      <c r="J7921" s="1125"/>
    </row>
    <row r="7922" spans="9:10" x14ac:dyDescent="0.2">
      <c r="I7922" s="1125"/>
      <c r="J7922" s="1125"/>
    </row>
    <row r="7923" spans="9:10" x14ac:dyDescent="0.2">
      <c r="I7923" s="1125"/>
      <c r="J7923" s="1125"/>
    </row>
    <row r="7924" spans="9:10" x14ac:dyDescent="0.2">
      <c r="I7924" s="1125"/>
      <c r="J7924" s="1125"/>
    </row>
    <row r="7925" spans="9:10" x14ac:dyDescent="0.2">
      <c r="I7925" s="1125"/>
      <c r="J7925" s="1125"/>
    </row>
    <row r="7926" spans="9:10" x14ac:dyDescent="0.2">
      <c r="I7926" s="1125"/>
      <c r="J7926" s="1125"/>
    </row>
    <row r="7927" spans="9:10" x14ac:dyDescent="0.2">
      <c r="I7927" s="1125"/>
      <c r="J7927" s="1125"/>
    </row>
    <row r="7928" spans="9:10" x14ac:dyDescent="0.2">
      <c r="I7928" s="1125"/>
      <c r="J7928" s="1125"/>
    </row>
    <row r="7929" spans="9:10" x14ac:dyDescent="0.2">
      <c r="I7929" s="1125"/>
      <c r="J7929" s="1125"/>
    </row>
    <row r="7930" spans="9:10" x14ac:dyDescent="0.2">
      <c r="I7930" s="1125"/>
      <c r="J7930" s="1125"/>
    </row>
    <row r="7931" spans="9:10" x14ac:dyDescent="0.2">
      <c r="I7931" s="1125"/>
      <c r="J7931" s="1125"/>
    </row>
    <row r="7932" spans="9:10" x14ac:dyDescent="0.2">
      <c r="I7932" s="1125"/>
      <c r="J7932" s="1125"/>
    </row>
    <row r="7933" spans="9:10" x14ac:dyDescent="0.2">
      <c r="I7933" s="1125"/>
      <c r="J7933" s="1125"/>
    </row>
    <row r="7934" spans="9:10" x14ac:dyDescent="0.2">
      <c r="I7934" s="1125"/>
      <c r="J7934" s="1125"/>
    </row>
    <row r="7935" spans="9:10" x14ac:dyDescent="0.2">
      <c r="I7935" s="1125"/>
      <c r="J7935" s="1125"/>
    </row>
    <row r="7936" spans="9:10" x14ac:dyDescent="0.2">
      <c r="I7936" s="1125"/>
      <c r="J7936" s="1125"/>
    </row>
    <row r="7937" spans="9:10" x14ac:dyDescent="0.2">
      <c r="I7937" s="1125"/>
      <c r="J7937" s="1125"/>
    </row>
    <row r="7938" spans="9:10" x14ac:dyDescent="0.2">
      <c r="I7938" s="1125"/>
      <c r="J7938" s="1125"/>
    </row>
    <row r="7939" spans="9:10" x14ac:dyDescent="0.2">
      <c r="I7939" s="1125"/>
      <c r="J7939" s="1125"/>
    </row>
    <row r="7940" spans="9:10" x14ac:dyDescent="0.2">
      <c r="I7940" s="1125"/>
      <c r="J7940" s="1125"/>
    </row>
    <row r="7941" spans="9:10" x14ac:dyDescent="0.2">
      <c r="I7941" s="1125"/>
      <c r="J7941" s="1125"/>
    </row>
    <row r="7942" spans="9:10" x14ac:dyDescent="0.2">
      <c r="I7942" s="1125"/>
      <c r="J7942" s="1125"/>
    </row>
    <row r="7943" spans="9:10" x14ac:dyDescent="0.2">
      <c r="I7943" s="1125"/>
      <c r="J7943" s="1125"/>
    </row>
    <row r="7944" spans="9:10" x14ac:dyDescent="0.2">
      <c r="I7944" s="1125"/>
      <c r="J7944" s="1125"/>
    </row>
    <row r="7945" spans="9:10" x14ac:dyDescent="0.2">
      <c r="I7945" s="1125"/>
      <c r="J7945" s="1125"/>
    </row>
    <row r="7946" spans="9:10" x14ac:dyDescent="0.2">
      <c r="I7946" s="1125"/>
      <c r="J7946" s="1125"/>
    </row>
    <row r="7947" spans="9:10" x14ac:dyDescent="0.2">
      <c r="I7947" s="1125"/>
      <c r="J7947" s="1125"/>
    </row>
    <row r="7948" spans="9:10" x14ac:dyDescent="0.2">
      <c r="I7948" s="1125"/>
      <c r="J7948" s="1125"/>
    </row>
    <row r="7949" spans="9:10" x14ac:dyDescent="0.2">
      <c r="I7949" s="1125"/>
      <c r="J7949" s="1125"/>
    </row>
    <row r="7950" spans="9:10" x14ac:dyDescent="0.2">
      <c r="I7950" s="1125"/>
      <c r="J7950" s="1125"/>
    </row>
    <row r="7951" spans="9:10" x14ac:dyDescent="0.2">
      <c r="I7951" s="1125"/>
      <c r="J7951" s="1125"/>
    </row>
    <row r="7952" spans="9:10" x14ac:dyDescent="0.2">
      <c r="I7952" s="1125"/>
      <c r="J7952" s="1125"/>
    </row>
    <row r="7953" spans="9:10" x14ac:dyDescent="0.2">
      <c r="I7953" s="1125"/>
      <c r="J7953" s="1125"/>
    </row>
    <row r="7954" spans="9:10" x14ac:dyDescent="0.2">
      <c r="I7954" s="1125"/>
      <c r="J7954" s="1125"/>
    </row>
    <row r="7955" spans="9:10" x14ac:dyDescent="0.2">
      <c r="I7955" s="1125"/>
      <c r="J7955" s="1125"/>
    </row>
    <row r="7956" spans="9:10" x14ac:dyDescent="0.2">
      <c r="I7956" s="1125"/>
      <c r="J7956" s="1125"/>
    </row>
    <row r="7957" spans="9:10" x14ac:dyDescent="0.2">
      <c r="I7957" s="1125"/>
      <c r="J7957" s="1125"/>
    </row>
    <row r="7958" spans="9:10" x14ac:dyDescent="0.2">
      <c r="I7958" s="1125"/>
      <c r="J7958" s="1125"/>
    </row>
    <row r="7959" spans="9:10" x14ac:dyDescent="0.2">
      <c r="I7959" s="1125"/>
      <c r="J7959" s="1125"/>
    </row>
    <row r="7960" spans="9:10" x14ac:dyDescent="0.2">
      <c r="I7960" s="1125"/>
      <c r="J7960" s="1125"/>
    </row>
    <row r="7961" spans="9:10" x14ac:dyDescent="0.2">
      <c r="I7961" s="1125"/>
      <c r="J7961" s="1125"/>
    </row>
    <row r="7962" spans="9:10" x14ac:dyDescent="0.2">
      <c r="I7962" s="1125"/>
      <c r="J7962" s="1125"/>
    </row>
    <row r="7963" spans="9:10" x14ac:dyDescent="0.2">
      <c r="I7963" s="1125"/>
      <c r="J7963" s="1125"/>
    </row>
    <row r="7964" spans="9:10" x14ac:dyDescent="0.2">
      <c r="I7964" s="1125"/>
      <c r="J7964" s="1125"/>
    </row>
    <row r="7965" spans="9:10" x14ac:dyDescent="0.2">
      <c r="I7965" s="1125"/>
      <c r="J7965" s="1125"/>
    </row>
    <row r="7966" spans="9:10" x14ac:dyDescent="0.2">
      <c r="I7966" s="1125"/>
      <c r="J7966" s="1125"/>
    </row>
    <row r="7967" spans="9:10" x14ac:dyDescent="0.2">
      <c r="I7967" s="1125"/>
      <c r="J7967" s="1125"/>
    </row>
    <row r="7968" spans="9:10" x14ac:dyDescent="0.2">
      <c r="I7968" s="1125"/>
      <c r="J7968" s="1125"/>
    </row>
    <row r="7969" spans="9:10" x14ac:dyDescent="0.2">
      <c r="I7969" s="1125"/>
      <c r="J7969" s="1125"/>
    </row>
    <row r="7970" spans="9:10" x14ac:dyDescent="0.2">
      <c r="I7970" s="1125"/>
      <c r="J7970" s="1125"/>
    </row>
    <row r="7971" spans="9:10" x14ac:dyDescent="0.2">
      <c r="I7971" s="1125"/>
      <c r="J7971" s="1125"/>
    </row>
    <row r="7972" spans="9:10" x14ac:dyDescent="0.2">
      <c r="I7972" s="1125"/>
      <c r="J7972" s="1125"/>
    </row>
    <row r="7973" spans="9:10" x14ac:dyDescent="0.2">
      <c r="I7973" s="1125"/>
      <c r="J7973" s="1125"/>
    </row>
    <row r="7974" spans="9:10" x14ac:dyDescent="0.2">
      <c r="I7974" s="1125"/>
      <c r="J7974" s="1125"/>
    </row>
    <row r="7975" spans="9:10" x14ac:dyDescent="0.2">
      <c r="I7975" s="1125"/>
      <c r="J7975" s="1125"/>
    </row>
    <row r="7976" spans="9:10" x14ac:dyDescent="0.2">
      <c r="I7976" s="1125"/>
      <c r="J7976" s="1125"/>
    </row>
    <row r="7977" spans="9:10" x14ac:dyDescent="0.2">
      <c r="I7977" s="1125"/>
      <c r="J7977" s="1125"/>
    </row>
    <row r="7978" spans="9:10" x14ac:dyDescent="0.2">
      <c r="I7978" s="1125"/>
      <c r="J7978" s="1125"/>
    </row>
    <row r="7979" spans="9:10" x14ac:dyDescent="0.2">
      <c r="I7979" s="1125"/>
      <c r="J7979" s="1125"/>
    </row>
    <row r="7980" spans="9:10" x14ac:dyDescent="0.2">
      <c r="I7980" s="1125"/>
      <c r="J7980" s="1125"/>
    </row>
    <row r="7981" spans="9:10" x14ac:dyDescent="0.2">
      <c r="I7981" s="1125"/>
      <c r="J7981" s="1125"/>
    </row>
    <row r="7982" spans="9:10" x14ac:dyDescent="0.2">
      <c r="I7982" s="1125"/>
      <c r="J7982" s="1125"/>
    </row>
    <row r="7983" spans="9:10" x14ac:dyDescent="0.2">
      <c r="I7983" s="1125"/>
      <c r="J7983" s="1125"/>
    </row>
    <row r="7984" spans="9:10" x14ac:dyDescent="0.2">
      <c r="I7984" s="1125"/>
      <c r="J7984" s="1125"/>
    </row>
    <row r="7985" spans="9:10" x14ac:dyDescent="0.2">
      <c r="I7985" s="1125"/>
      <c r="J7985" s="1125"/>
    </row>
    <row r="7986" spans="9:10" x14ac:dyDescent="0.2">
      <c r="I7986" s="1125"/>
      <c r="J7986" s="1125"/>
    </row>
    <row r="7987" spans="9:10" x14ac:dyDescent="0.2">
      <c r="I7987" s="1125"/>
      <c r="J7987" s="1125"/>
    </row>
    <row r="7988" spans="9:10" x14ac:dyDescent="0.2">
      <c r="I7988" s="1125"/>
      <c r="J7988" s="1125"/>
    </row>
    <row r="7989" spans="9:10" x14ac:dyDescent="0.2">
      <c r="I7989" s="1125"/>
      <c r="J7989" s="1125"/>
    </row>
    <row r="7990" spans="9:10" x14ac:dyDescent="0.2">
      <c r="I7990" s="1125"/>
      <c r="J7990" s="1125"/>
    </row>
    <row r="7991" spans="9:10" x14ac:dyDescent="0.2">
      <c r="I7991" s="1125"/>
      <c r="J7991" s="1125"/>
    </row>
    <row r="7992" spans="9:10" x14ac:dyDescent="0.2">
      <c r="I7992" s="1125"/>
      <c r="J7992" s="1125"/>
    </row>
    <row r="7993" spans="9:10" x14ac:dyDescent="0.2">
      <c r="I7993" s="1125"/>
      <c r="J7993" s="1125"/>
    </row>
    <row r="7994" spans="9:10" x14ac:dyDescent="0.2">
      <c r="I7994" s="1125"/>
      <c r="J7994" s="1125"/>
    </row>
    <row r="7995" spans="9:10" x14ac:dyDescent="0.2">
      <c r="I7995" s="1125"/>
      <c r="J7995" s="1125"/>
    </row>
    <row r="7996" spans="9:10" x14ac:dyDescent="0.2">
      <c r="I7996" s="1125"/>
      <c r="J7996" s="1125"/>
    </row>
    <row r="7997" spans="9:10" x14ac:dyDescent="0.2">
      <c r="I7997" s="1125"/>
      <c r="J7997" s="1125"/>
    </row>
    <row r="7998" spans="9:10" x14ac:dyDescent="0.2">
      <c r="I7998" s="1125"/>
      <c r="J7998" s="1125"/>
    </row>
    <row r="7999" spans="9:10" x14ac:dyDescent="0.2">
      <c r="I7999" s="1125"/>
      <c r="J7999" s="1125"/>
    </row>
    <row r="8000" spans="9:10" x14ac:dyDescent="0.2">
      <c r="I8000" s="1125"/>
      <c r="J8000" s="1125"/>
    </row>
    <row r="8001" spans="9:10" x14ac:dyDescent="0.2">
      <c r="I8001" s="1125"/>
      <c r="J8001" s="1125"/>
    </row>
    <row r="8002" spans="9:10" x14ac:dyDescent="0.2">
      <c r="I8002" s="1125"/>
      <c r="J8002" s="1125"/>
    </row>
    <row r="8003" spans="9:10" x14ac:dyDescent="0.2">
      <c r="I8003" s="1125"/>
      <c r="J8003" s="1125"/>
    </row>
    <row r="8004" spans="9:10" x14ac:dyDescent="0.2">
      <c r="I8004" s="1125"/>
      <c r="J8004" s="1125"/>
    </row>
    <row r="8005" spans="9:10" x14ac:dyDescent="0.2">
      <c r="I8005" s="1125"/>
      <c r="J8005" s="1125"/>
    </row>
    <row r="8006" spans="9:10" x14ac:dyDescent="0.2">
      <c r="I8006" s="1125"/>
      <c r="J8006" s="1125"/>
    </row>
    <row r="8007" spans="9:10" x14ac:dyDescent="0.2">
      <c r="I8007" s="1125"/>
      <c r="J8007" s="1125"/>
    </row>
    <row r="8008" spans="9:10" x14ac:dyDescent="0.2">
      <c r="I8008" s="1125"/>
      <c r="J8008" s="1125"/>
    </row>
    <row r="8009" spans="9:10" x14ac:dyDescent="0.2">
      <c r="I8009" s="1125"/>
      <c r="J8009" s="1125"/>
    </row>
    <row r="8010" spans="9:10" x14ac:dyDescent="0.2">
      <c r="I8010" s="1125"/>
      <c r="J8010" s="1125"/>
    </row>
    <row r="8011" spans="9:10" x14ac:dyDescent="0.2">
      <c r="I8011" s="1125"/>
      <c r="J8011" s="1125"/>
    </row>
    <row r="8012" spans="9:10" x14ac:dyDescent="0.2">
      <c r="I8012" s="1125"/>
      <c r="J8012" s="1125"/>
    </row>
    <row r="8013" spans="9:10" x14ac:dyDescent="0.2">
      <c r="I8013" s="1125"/>
      <c r="J8013" s="1125"/>
    </row>
    <row r="8014" spans="9:10" x14ac:dyDescent="0.2">
      <c r="I8014" s="1125"/>
      <c r="J8014" s="1125"/>
    </row>
    <row r="8015" spans="9:10" x14ac:dyDescent="0.2">
      <c r="I8015" s="1125"/>
      <c r="J8015" s="1125"/>
    </row>
    <row r="8016" spans="9:10" x14ac:dyDescent="0.2">
      <c r="I8016" s="1125"/>
      <c r="J8016" s="1125"/>
    </row>
    <row r="8017" spans="9:10" x14ac:dyDescent="0.2">
      <c r="I8017" s="1125"/>
      <c r="J8017" s="1125"/>
    </row>
    <row r="8018" spans="9:10" x14ac:dyDescent="0.2">
      <c r="I8018" s="1125"/>
      <c r="J8018" s="1125"/>
    </row>
    <row r="8019" spans="9:10" x14ac:dyDescent="0.2">
      <c r="I8019" s="1125"/>
      <c r="J8019" s="1125"/>
    </row>
    <row r="8020" spans="9:10" x14ac:dyDescent="0.2">
      <c r="I8020" s="1125"/>
      <c r="J8020" s="1125"/>
    </row>
    <row r="8021" spans="9:10" x14ac:dyDescent="0.2">
      <c r="I8021" s="1125"/>
      <c r="J8021" s="1125"/>
    </row>
    <row r="8022" spans="9:10" x14ac:dyDescent="0.2">
      <c r="I8022" s="1125"/>
      <c r="J8022" s="1125"/>
    </row>
    <row r="8023" spans="9:10" x14ac:dyDescent="0.2">
      <c r="I8023" s="1125"/>
      <c r="J8023" s="1125"/>
    </row>
    <row r="8024" spans="9:10" x14ac:dyDescent="0.2">
      <c r="I8024" s="1125"/>
      <c r="J8024" s="1125"/>
    </row>
    <row r="8025" spans="9:10" x14ac:dyDescent="0.2">
      <c r="I8025" s="1125"/>
      <c r="J8025" s="1125"/>
    </row>
    <row r="8026" spans="9:10" x14ac:dyDescent="0.2">
      <c r="I8026" s="1125"/>
      <c r="J8026" s="1125"/>
    </row>
    <row r="8027" spans="9:10" x14ac:dyDescent="0.2">
      <c r="I8027" s="1125"/>
      <c r="J8027" s="1125"/>
    </row>
    <row r="8028" spans="9:10" x14ac:dyDescent="0.2">
      <c r="I8028" s="1125"/>
      <c r="J8028" s="1125"/>
    </row>
    <row r="8029" spans="9:10" x14ac:dyDescent="0.2">
      <c r="I8029" s="1125"/>
      <c r="J8029" s="1125"/>
    </row>
    <row r="8030" spans="9:10" x14ac:dyDescent="0.2">
      <c r="I8030" s="1125"/>
      <c r="J8030" s="1125"/>
    </row>
    <row r="8031" spans="9:10" x14ac:dyDescent="0.2">
      <c r="I8031" s="1125"/>
      <c r="J8031" s="1125"/>
    </row>
    <row r="8032" spans="9:10" x14ac:dyDescent="0.2">
      <c r="I8032" s="1125"/>
      <c r="J8032" s="1125"/>
    </row>
    <row r="8033" spans="9:10" x14ac:dyDescent="0.2">
      <c r="I8033" s="1125"/>
      <c r="J8033" s="1125"/>
    </row>
    <row r="8034" spans="9:10" x14ac:dyDescent="0.2">
      <c r="I8034" s="1125"/>
      <c r="J8034" s="1125"/>
    </row>
    <row r="8035" spans="9:10" x14ac:dyDescent="0.2">
      <c r="I8035" s="1125"/>
      <c r="J8035" s="1125"/>
    </row>
    <row r="8036" spans="9:10" x14ac:dyDescent="0.2">
      <c r="I8036" s="1125"/>
      <c r="J8036" s="1125"/>
    </row>
    <row r="8037" spans="9:10" x14ac:dyDescent="0.2">
      <c r="I8037" s="1125"/>
      <c r="J8037" s="1125"/>
    </row>
    <row r="8038" spans="9:10" x14ac:dyDescent="0.2">
      <c r="I8038" s="1125"/>
      <c r="J8038" s="1125"/>
    </row>
    <row r="8039" spans="9:10" x14ac:dyDescent="0.2">
      <c r="I8039" s="1125"/>
      <c r="J8039" s="1125"/>
    </row>
    <row r="8040" spans="9:10" x14ac:dyDescent="0.2">
      <c r="I8040" s="1125"/>
      <c r="J8040" s="1125"/>
    </row>
    <row r="8041" spans="9:10" x14ac:dyDescent="0.2">
      <c r="I8041" s="1125"/>
      <c r="J8041" s="1125"/>
    </row>
    <row r="8042" spans="9:10" x14ac:dyDescent="0.2">
      <c r="I8042" s="1125"/>
      <c r="J8042" s="1125"/>
    </row>
    <row r="8043" spans="9:10" x14ac:dyDescent="0.2">
      <c r="I8043" s="1125"/>
      <c r="J8043" s="1125"/>
    </row>
    <row r="8044" spans="9:10" x14ac:dyDescent="0.2">
      <c r="I8044" s="1125"/>
      <c r="J8044" s="1125"/>
    </row>
    <row r="8045" spans="9:10" x14ac:dyDescent="0.2">
      <c r="I8045" s="1125"/>
      <c r="J8045" s="1125"/>
    </row>
    <row r="8046" spans="9:10" x14ac:dyDescent="0.2">
      <c r="I8046" s="1125"/>
      <c r="J8046" s="1125"/>
    </row>
    <row r="8047" spans="9:10" x14ac:dyDescent="0.2">
      <c r="I8047" s="1125"/>
      <c r="J8047" s="1125"/>
    </row>
    <row r="8048" spans="9:10" x14ac:dyDescent="0.2">
      <c r="I8048" s="1125"/>
      <c r="J8048" s="1125"/>
    </row>
    <row r="8049" spans="9:10" x14ac:dyDescent="0.2">
      <c r="I8049" s="1125"/>
      <c r="J8049" s="1125"/>
    </row>
    <row r="8050" spans="9:10" x14ac:dyDescent="0.2">
      <c r="I8050" s="1125"/>
      <c r="J8050" s="1125"/>
    </row>
    <row r="8051" spans="9:10" x14ac:dyDescent="0.2">
      <c r="I8051" s="1125"/>
      <c r="J8051" s="1125"/>
    </row>
    <row r="8052" spans="9:10" x14ac:dyDescent="0.2">
      <c r="I8052" s="1125"/>
      <c r="J8052" s="1125"/>
    </row>
    <row r="8053" spans="9:10" x14ac:dyDescent="0.2">
      <c r="I8053" s="1125"/>
      <c r="J8053" s="1125"/>
    </row>
    <row r="8054" spans="9:10" x14ac:dyDescent="0.2">
      <c r="I8054" s="1125"/>
      <c r="J8054" s="1125"/>
    </row>
    <row r="8055" spans="9:10" x14ac:dyDescent="0.2">
      <c r="I8055" s="1125"/>
      <c r="J8055" s="1125"/>
    </row>
    <row r="8056" spans="9:10" x14ac:dyDescent="0.2">
      <c r="I8056" s="1125"/>
      <c r="J8056" s="1125"/>
    </row>
    <row r="8057" spans="9:10" x14ac:dyDescent="0.2">
      <c r="I8057" s="1125"/>
      <c r="J8057" s="1125"/>
    </row>
    <row r="8058" spans="9:10" x14ac:dyDescent="0.2">
      <c r="I8058" s="1125"/>
      <c r="J8058" s="1125"/>
    </row>
    <row r="8059" spans="9:10" x14ac:dyDescent="0.2">
      <c r="I8059" s="1125"/>
      <c r="J8059" s="1125"/>
    </row>
    <row r="8060" spans="9:10" x14ac:dyDescent="0.2">
      <c r="I8060" s="1125"/>
      <c r="J8060" s="1125"/>
    </row>
    <row r="8061" spans="9:10" x14ac:dyDescent="0.2">
      <c r="I8061" s="1125"/>
      <c r="J8061" s="1125"/>
    </row>
    <row r="8062" spans="9:10" x14ac:dyDescent="0.2">
      <c r="I8062" s="1125"/>
      <c r="J8062" s="1125"/>
    </row>
    <row r="8063" spans="9:10" x14ac:dyDescent="0.2">
      <c r="I8063" s="1125"/>
      <c r="J8063" s="1125"/>
    </row>
    <row r="8064" spans="9:10" x14ac:dyDescent="0.2">
      <c r="I8064" s="1125"/>
      <c r="J8064" s="1125"/>
    </row>
    <row r="8065" spans="9:10" x14ac:dyDescent="0.2">
      <c r="I8065" s="1125"/>
      <c r="J8065" s="1125"/>
    </row>
    <row r="8066" spans="9:10" x14ac:dyDescent="0.2">
      <c r="I8066" s="1125"/>
      <c r="J8066" s="1125"/>
    </row>
    <row r="8067" spans="9:10" x14ac:dyDescent="0.2">
      <c r="I8067" s="1125"/>
      <c r="J8067" s="1125"/>
    </row>
    <row r="8068" spans="9:10" x14ac:dyDescent="0.2">
      <c r="I8068" s="1125"/>
      <c r="J8068" s="1125"/>
    </row>
    <row r="8069" spans="9:10" x14ac:dyDescent="0.2">
      <c r="I8069" s="1125"/>
      <c r="J8069" s="1125"/>
    </row>
    <row r="8070" spans="9:10" x14ac:dyDescent="0.2">
      <c r="I8070" s="1125"/>
      <c r="J8070" s="1125"/>
    </row>
    <row r="8071" spans="9:10" x14ac:dyDescent="0.2">
      <c r="I8071" s="1125"/>
      <c r="J8071" s="1125"/>
    </row>
    <row r="8072" spans="9:10" x14ac:dyDescent="0.2">
      <c r="I8072" s="1125"/>
      <c r="J8072" s="1125"/>
    </row>
    <row r="8073" spans="9:10" x14ac:dyDescent="0.2">
      <c r="I8073" s="1125"/>
      <c r="J8073" s="1125"/>
    </row>
    <row r="8074" spans="9:10" x14ac:dyDescent="0.2">
      <c r="I8074" s="1125"/>
      <c r="J8074" s="1125"/>
    </row>
    <row r="8075" spans="9:10" x14ac:dyDescent="0.2">
      <c r="I8075" s="1125"/>
      <c r="J8075" s="1125"/>
    </row>
    <row r="8076" spans="9:10" x14ac:dyDescent="0.2">
      <c r="I8076" s="1125"/>
      <c r="J8076" s="1125"/>
    </row>
    <row r="8077" spans="9:10" x14ac:dyDescent="0.2">
      <c r="I8077" s="1125"/>
      <c r="J8077" s="1125"/>
    </row>
    <row r="8078" spans="9:10" x14ac:dyDescent="0.2">
      <c r="I8078" s="1125"/>
      <c r="J8078" s="1125"/>
    </row>
    <row r="8079" spans="9:10" x14ac:dyDescent="0.2">
      <c r="I8079" s="1125"/>
      <c r="J8079" s="1125"/>
    </row>
    <row r="8080" spans="9:10" x14ac:dyDescent="0.2">
      <c r="I8080" s="1125"/>
      <c r="J8080" s="1125"/>
    </row>
    <row r="8081" spans="9:10" x14ac:dyDescent="0.2">
      <c r="I8081" s="1125"/>
      <c r="J8081" s="1125"/>
    </row>
    <row r="8082" spans="9:10" x14ac:dyDescent="0.2">
      <c r="I8082" s="1125"/>
      <c r="J8082" s="1125"/>
    </row>
    <row r="8083" spans="9:10" x14ac:dyDescent="0.2">
      <c r="I8083" s="1125"/>
      <c r="J8083" s="1125"/>
    </row>
    <row r="8084" spans="9:10" x14ac:dyDescent="0.2">
      <c r="I8084" s="1125"/>
      <c r="J8084" s="1125"/>
    </row>
    <row r="8085" spans="9:10" x14ac:dyDescent="0.2">
      <c r="I8085" s="1125"/>
      <c r="J8085" s="1125"/>
    </row>
    <row r="8086" spans="9:10" x14ac:dyDescent="0.2">
      <c r="I8086" s="1125"/>
      <c r="J8086" s="1125"/>
    </row>
    <row r="8087" spans="9:10" x14ac:dyDescent="0.2">
      <c r="I8087" s="1125"/>
      <c r="J8087" s="1125"/>
    </row>
    <row r="8088" spans="9:10" x14ac:dyDescent="0.2">
      <c r="I8088" s="1125"/>
      <c r="J8088" s="1125"/>
    </row>
    <row r="8089" spans="9:10" x14ac:dyDescent="0.2">
      <c r="I8089" s="1125"/>
      <c r="J8089" s="1125"/>
    </row>
    <row r="8090" spans="9:10" x14ac:dyDescent="0.2">
      <c r="I8090" s="1125"/>
      <c r="J8090" s="1125"/>
    </row>
    <row r="8091" spans="9:10" x14ac:dyDescent="0.2">
      <c r="I8091" s="1125"/>
      <c r="J8091" s="1125"/>
    </row>
    <row r="8092" spans="9:10" x14ac:dyDescent="0.2">
      <c r="I8092" s="1125"/>
      <c r="J8092" s="1125"/>
    </row>
    <row r="8093" spans="9:10" x14ac:dyDescent="0.2">
      <c r="I8093" s="1125"/>
      <c r="J8093" s="1125"/>
    </row>
    <row r="8094" spans="9:10" x14ac:dyDescent="0.2">
      <c r="I8094" s="1125"/>
      <c r="J8094" s="1125"/>
    </row>
    <row r="8095" spans="9:10" x14ac:dyDescent="0.2">
      <c r="I8095" s="1125"/>
      <c r="J8095" s="1125"/>
    </row>
    <row r="8096" spans="9:10" x14ac:dyDescent="0.2">
      <c r="I8096" s="1125"/>
      <c r="J8096" s="1125"/>
    </row>
    <row r="8097" spans="9:10" x14ac:dyDescent="0.2">
      <c r="I8097" s="1125"/>
      <c r="J8097" s="1125"/>
    </row>
    <row r="8098" spans="9:10" x14ac:dyDescent="0.2">
      <c r="I8098" s="1125"/>
      <c r="J8098" s="1125"/>
    </row>
    <row r="8099" spans="9:10" x14ac:dyDescent="0.2">
      <c r="I8099" s="1125"/>
      <c r="J8099" s="1125"/>
    </row>
    <row r="8100" spans="9:10" x14ac:dyDescent="0.2">
      <c r="I8100" s="1125"/>
      <c r="J8100" s="1125"/>
    </row>
    <row r="8101" spans="9:10" x14ac:dyDescent="0.2">
      <c r="I8101" s="1125"/>
      <c r="J8101" s="1125"/>
    </row>
    <row r="8102" spans="9:10" x14ac:dyDescent="0.2">
      <c r="I8102" s="1125"/>
      <c r="J8102" s="1125"/>
    </row>
    <row r="8103" spans="9:10" x14ac:dyDescent="0.2">
      <c r="I8103" s="1125"/>
      <c r="J8103" s="1125"/>
    </row>
    <row r="8104" spans="9:10" x14ac:dyDescent="0.2">
      <c r="I8104" s="1125"/>
      <c r="J8104" s="1125"/>
    </row>
    <row r="8105" spans="9:10" x14ac:dyDescent="0.2">
      <c r="I8105" s="1125"/>
      <c r="J8105" s="1125"/>
    </row>
    <row r="8106" spans="9:10" x14ac:dyDescent="0.2">
      <c r="I8106" s="1125"/>
      <c r="J8106" s="1125"/>
    </row>
    <row r="8107" spans="9:10" x14ac:dyDescent="0.2">
      <c r="I8107" s="1125"/>
      <c r="J8107" s="1125"/>
    </row>
    <row r="8108" spans="9:10" x14ac:dyDescent="0.2">
      <c r="I8108" s="1125"/>
      <c r="J8108" s="1125"/>
    </row>
    <row r="8109" spans="9:10" x14ac:dyDescent="0.2">
      <c r="I8109" s="1125"/>
      <c r="J8109" s="1125"/>
    </row>
    <row r="8110" spans="9:10" x14ac:dyDescent="0.2">
      <c r="I8110" s="1125"/>
      <c r="J8110" s="1125"/>
    </row>
    <row r="8111" spans="9:10" x14ac:dyDescent="0.2">
      <c r="I8111" s="1125"/>
      <c r="J8111" s="1125"/>
    </row>
    <row r="8112" spans="9:10" x14ac:dyDescent="0.2">
      <c r="I8112" s="1125"/>
      <c r="J8112" s="1125"/>
    </row>
    <row r="8113" spans="9:10" x14ac:dyDescent="0.2">
      <c r="I8113" s="1125"/>
      <c r="J8113" s="1125"/>
    </row>
    <row r="8114" spans="9:10" x14ac:dyDescent="0.2">
      <c r="I8114" s="1125"/>
      <c r="J8114" s="1125"/>
    </row>
    <row r="8115" spans="9:10" x14ac:dyDescent="0.2">
      <c r="I8115" s="1125"/>
      <c r="J8115" s="1125"/>
    </row>
    <row r="8116" spans="9:10" x14ac:dyDescent="0.2">
      <c r="I8116" s="1125"/>
      <c r="J8116" s="1125"/>
    </row>
    <row r="8117" spans="9:10" x14ac:dyDescent="0.2">
      <c r="I8117" s="1125"/>
      <c r="J8117" s="1125"/>
    </row>
    <row r="8118" spans="9:10" x14ac:dyDescent="0.2">
      <c r="I8118" s="1125"/>
      <c r="J8118" s="1125"/>
    </row>
    <row r="8119" spans="9:10" x14ac:dyDescent="0.2">
      <c r="I8119" s="1125"/>
      <c r="J8119" s="1125"/>
    </row>
    <row r="8120" spans="9:10" x14ac:dyDescent="0.2">
      <c r="I8120" s="1125"/>
      <c r="J8120" s="1125"/>
    </row>
    <row r="8121" spans="9:10" x14ac:dyDescent="0.2">
      <c r="I8121" s="1125"/>
      <c r="J8121" s="1125"/>
    </row>
    <row r="8122" spans="9:10" x14ac:dyDescent="0.2">
      <c r="I8122" s="1125"/>
      <c r="J8122" s="1125"/>
    </row>
    <row r="8123" spans="9:10" x14ac:dyDescent="0.2">
      <c r="I8123" s="1125"/>
      <c r="J8123" s="1125"/>
    </row>
    <row r="8124" spans="9:10" x14ac:dyDescent="0.2">
      <c r="I8124" s="1125"/>
      <c r="J8124" s="1125"/>
    </row>
    <row r="8125" spans="9:10" x14ac:dyDescent="0.2">
      <c r="I8125" s="1125"/>
      <c r="J8125" s="1125"/>
    </row>
    <row r="8126" spans="9:10" x14ac:dyDescent="0.2">
      <c r="I8126" s="1125"/>
      <c r="J8126" s="1125"/>
    </row>
    <row r="8127" spans="9:10" x14ac:dyDescent="0.2">
      <c r="I8127" s="1125"/>
      <c r="J8127" s="1125"/>
    </row>
    <row r="8128" spans="9:10" x14ac:dyDescent="0.2">
      <c r="I8128" s="1125"/>
      <c r="J8128" s="1125"/>
    </row>
    <row r="8129" spans="9:10" x14ac:dyDescent="0.2">
      <c r="I8129" s="1125"/>
      <c r="J8129" s="1125"/>
    </row>
    <row r="8130" spans="9:10" x14ac:dyDescent="0.2">
      <c r="I8130" s="1125"/>
      <c r="J8130" s="1125"/>
    </row>
    <row r="8131" spans="9:10" x14ac:dyDescent="0.2">
      <c r="I8131" s="1125"/>
      <c r="J8131" s="1125"/>
    </row>
    <row r="8132" spans="9:10" x14ac:dyDescent="0.2">
      <c r="I8132" s="1125"/>
      <c r="J8132" s="1125"/>
    </row>
    <row r="8133" spans="9:10" x14ac:dyDescent="0.2">
      <c r="I8133" s="1125"/>
      <c r="J8133" s="1125"/>
    </row>
    <row r="8134" spans="9:10" x14ac:dyDescent="0.2">
      <c r="I8134" s="1125"/>
      <c r="J8134" s="1125"/>
    </row>
    <row r="8135" spans="9:10" x14ac:dyDescent="0.2">
      <c r="I8135" s="1125"/>
      <c r="J8135" s="1125"/>
    </row>
    <row r="8136" spans="9:10" x14ac:dyDescent="0.2">
      <c r="I8136" s="1125"/>
      <c r="J8136" s="1125"/>
    </row>
    <row r="8137" spans="9:10" x14ac:dyDescent="0.2">
      <c r="I8137" s="1125"/>
      <c r="J8137" s="1125"/>
    </row>
    <row r="8138" spans="9:10" x14ac:dyDescent="0.2">
      <c r="I8138" s="1125"/>
      <c r="J8138" s="1125"/>
    </row>
    <row r="8139" spans="9:10" x14ac:dyDescent="0.2">
      <c r="I8139" s="1125"/>
      <c r="J8139" s="1125"/>
    </row>
    <row r="8140" spans="9:10" x14ac:dyDescent="0.2">
      <c r="I8140" s="1125"/>
      <c r="J8140" s="1125"/>
    </row>
    <row r="8141" spans="9:10" x14ac:dyDescent="0.2">
      <c r="I8141" s="1125"/>
      <c r="J8141" s="1125"/>
    </row>
    <row r="8142" spans="9:10" x14ac:dyDescent="0.2">
      <c r="I8142" s="1125"/>
      <c r="J8142" s="1125"/>
    </row>
    <row r="8143" spans="9:10" x14ac:dyDescent="0.2">
      <c r="I8143" s="1125"/>
      <c r="J8143" s="1125"/>
    </row>
    <row r="8144" spans="9:10" x14ac:dyDescent="0.2">
      <c r="I8144" s="1125"/>
      <c r="J8144" s="1125"/>
    </row>
    <row r="8145" spans="9:10" x14ac:dyDescent="0.2">
      <c r="I8145" s="1125"/>
      <c r="J8145" s="1125"/>
    </row>
    <row r="8146" spans="9:10" x14ac:dyDescent="0.2">
      <c r="I8146" s="1125"/>
      <c r="J8146" s="1125"/>
    </row>
    <row r="8147" spans="9:10" x14ac:dyDescent="0.2">
      <c r="I8147" s="1125"/>
      <c r="J8147" s="1125"/>
    </row>
    <row r="8148" spans="9:10" x14ac:dyDescent="0.2">
      <c r="I8148" s="1125"/>
      <c r="J8148" s="1125"/>
    </row>
    <row r="8149" spans="9:10" x14ac:dyDescent="0.2">
      <c r="I8149" s="1125"/>
      <c r="J8149" s="1125"/>
    </row>
    <row r="8150" spans="9:10" x14ac:dyDescent="0.2">
      <c r="I8150" s="1125"/>
      <c r="J8150" s="1125"/>
    </row>
    <row r="8151" spans="9:10" x14ac:dyDescent="0.2">
      <c r="I8151" s="1125"/>
      <c r="J8151" s="1125"/>
    </row>
    <row r="8152" spans="9:10" x14ac:dyDescent="0.2">
      <c r="I8152" s="1125"/>
      <c r="J8152" s="1125"/>
    </row>
    <row r="8153" spans="9:10" x14ac:dyDescent="0.2">
      <c r="I8153" s="1125"/>
      <c r="J8153" s="1125"/>
    </row>
    <row r="8154" spans="9:10" x14ac:dyDescent="0.2">
      <c r="I8154" s="1125"/>
      <c r="J8154" s="1125"/>
    </row>
    <row r="8155" spans="9:10" x14ac:dyDescent="0.2">
      <c r="I8155" s="1125"/>
      <c r="J8155" s="1125"/>
    </row>
    <row r="8156" spans="9:10" x14ac:dyDescent="0.2">
      <c r="I8156" s="1125"/>
      <c r="J8156" s="1125"/>
    </row>
    <row r="8157" spans="9:10" x14ac:dyDescent="0.2">
      <c r="I8157" s="1125"/>
      <c r="J8157" s="1125"/>
    </row>
    <row r="8158" spans="9:10" x14ac:dyDescent="0.2">
      <c r="I8158" s="1125"/>
      <c r="J8158" s="1125"/>
    </row>
    <row r="8159" spans="9:10" x14ac:dyDescent="0.2">
      <c r="I8159" s="1125"/>
      <c r="J8159" s="1125"/>
    </row>
    <row r="8160" spans="9:10" x14ac:dyDescent="0.2">
      <c r="I8160" s="1125"/>
      <c r="J8160" s="1125"/>
    </row>
    <row r="8161" spans="9:10" x14ac:dyDescent="0.2">
      <c r="I8161" s="1125"/>
      <c r="J8161" s="1125"/>
    </row>
    <row r="8162" spans="9:10" x14ac:dyDescent="0.2">
      <c r="I8162" s="1125"/>
      <c r="J8162" s="1125"/>
    </row>
    <row r="8163" spans="9:10" x14ac:dyDescent="0.2">
      <c r="I8163" s="1125"/>
      <c r="J8163" s="1125"/>
    </row>
    <row r="8164" spans="9:10" x14ac:dyDescent="0.2">
      <c r="I8164" s="1125"/>
      <c r="J8164" s="1125"/>
    </row>
    <row r="8165" spans="9:10" x14ac:dyDescent="0.2">
      <c r="I8165" s="1125"/>
      <c r="J8165" s="1125"/>
    </row>
    <row r="8166" spans="9:10" x14ac:dyDescent="0.2">
      <c r="I8166" s="1125"/>
      <c r="J8166" s="1125"/>
    </row>
    <row r="8167" spans="9:10" x14ac:dyDescent="0.2">
      <c r="I8167" s="1125"/>
      <c r="J8167" s="1125"/>
    </row>
    <row r="8168" spans="9:10" x14ac:dyDescent="0.2">
      <c r="I8168" s="1125"/>
      <c r="J8168" s="1125"/>
    </row>
    <row r="8169" spans="9:10" x14ac:dyDescent="0.2">
      <c r="I8169" s="1125"/>
      <c r="J8169" s="1125"/>
    </row>
    <row r="8170" spans="9:10" x14ac:dyDescent="0.2">
      <c r="I8170" s="1125"/>
      <c r="J8170" s="1125"/>
    </row>
    <row r="8171" spans="9:10" x14ac:dyDescent="0.2">
      <c r="I8171" s="1125"/>
      <c r="J8171" s="1125"/>
    </row>
    <row r="8172" spans="9:10" x14ac:dyDescent="0.2">
      <c r="I8172" s="1125"/>
      <c r="J8172" s="1125"/>
    </row>
    <row r="8173" spans="9:10" x14ac:dyDescent="0.2">
      <c r="I8173" s="1125"/>
      <c r="J8173" s="1125"/>
    </row>
    <row r="8174" spans="9:10" x14ac:dyDescent="0.2">
      <c r="I8174" s="1125"/>
      <c r="J8174" s="1125"/>
    </row>
    <row r="8175" spans="9:10" x14ac:dyDescent="0.2">
      <c r="I8175" s="1125"/>
      <c r="J8175" s="1125"/>
    </row>
    <row r="8176" spans="9:10" x14ac:dyDescent="0.2">
      <c r="I8176" s="1125"/>
      <c r="J8176" s="1125"/>
    </row>
    <row r="8177" spans="9:10" x14ac:dyDescent="0.2">
      <c r="I8177" s="1125"/>
      <c r="J8177" s="1125"/>
    </row>
    <row r="8178" spans="9:10" x14ac:dyDescent="0.2">
      <c r="I8178" s="1125"/>
      <c r="J8178" s="1125"/>
    </row>
    <row r="8179" spans="9:10" x14ac:dyDescent="0.2">
      <c r="I8179" s="1125"/>
      <c r="J8179" s="1125"/>
    </row>
    <row r="8180" spans="9:10" x14ac:dyDescent="0.2">
      <c r="I8180" s="1125"/>
      <c r="J8180" s="1125"/>
    </row>
    <row r="8181" spans="9:10" x14ac:dyDescent="0.2">
      <c r="I8181" s="1125"/>
      <c r="J8181" s="1125"/>
    </row>
    <row r="8182" spans="9:10" x14ac:dyDescent="0.2">
      <c r="I8182" s="1125"/>
      <c r="J8182" s="1125"/>
    </row>
    <row r="8183" spans="9:10" x14ac:dyDescent="0.2">
      <c r="I8183" s="1125"/>
      <c r="J8183" s="1125"/>
    </row>
    <row r="8184" spans="9:10" x14ac:dyDescent="0.2">
      <c r="I8184" s="1125"/>
      <c r="J8184" s="1125"/>
    </row>
    <row r="8185" spans="9:10" x14ac:dyDescent="0.2">
      <c r="I8185" s="1125"/>
      <c r="J8185" s="1125"/>
    </row>
    <row r="8186" spans="9:10" x14ac:dyDescent="0.2">
      <c r="I8186" s="1125"/>
      <c r="J8186" s="1125"/>
    </row>
    <row r="8187" spans="9:10" x14ac:dyDescent="0.2">
      <c r="I8187" s="1125"/>
      <c r="J8187" s="1125"/>
    </row>
    <row r="8188" spans="9:10" x14ac:dyDescent="0.2">
      <c r="I8188" s="1125"/>
      <c r="J8188" s="1125"/>
    </row>
    <row r="8189" spans="9:10" x14ac:dyDescent="0.2">
      <c r="I8189" s="1125"/>
      <c r="J8189" s="1125"/>
    </row>
    <row r="8190" spans="9:10" x14ac:dyDescent="0.2">
      <c r="I8190" s="1125"/>
      <c r="J8190" s="1125"/>
    </row>
    <row r="8191" spans="9:10" x14ac:dyDescent="0.2">
      <c r="I8191" s="1125"/>
      <c r="J8191" s="1125"/>
    </row>
    <row r="8192" spans="9:10" x14ac:dyDescent="0.2">
      <c r="I8192" s="1125"/>
      <c r="J8192" s="1125"/>
    </row>
    <row r="8193" spans="9:10" x14ac:dyDescent="0.2">
      <c r="I8193" s="1125"/>
      <c r="J8193" s="1125"/>
    </row>
    <row r="8194" spans="9:10" x14ac:dyDescent="0.2">
      <c r="I8194" s="1125"/>
      <c r="J8194" s="1125"/>
    </row>
    <row r="8195" spans="9:10" x14ac:dyDescent="0.2">
      <c r="I8195" s="1125"/>
      <c r="J8195" s="1125"/>
    </row>
    <row r="8196" spans="9:10" x14ac:dyDescent="0.2">
      <c r="I8196" s="1125"/>
      <c r="J8196" s="1125"/>
    </row>
    <row r="8197" spans="9:10" x14ac:dyDescent="0.2">
      <c r="I8197" s="1125"/>
      <c r="J8197" s="1125"/>
    </row>
    <row r="8198" spans="9:10" x14ac:dyDescent="0.2">
      <c r="I8198" s="1125"/>
      <c r="J8198" s="1125"/>
    </row>
    <row r="8199" spans="9:10" x14ac:dyDescent="0.2">
      <c r="I8199" s="1125"/>
      <c r="J8199" s="1125"/>
    </row>
    <row r="8200" spans="9:10" x14ac:dyDescent="0.2">
      <c r="I8200" s="1125"/>
      <c r="J8200" s="1125"/>
    </row>
    <row r="8201" spans="9:10" x14ac:dyDescent="0.2">
      <c r="I8201" s="1125"/>
      <c r="J8201" s="1125"/>
    </row>
    <row r="8202" spans="9:10" x14ac:dyDescent="0.2">
      <c r="I8202" s="1125"/>
      <c r="J8202" s="1125"/>
    </row>
    <row r="8203" spans="9:10" x14ac:dyDescent="0.2">
      <c r="I8203" s="1125"/>
      <c r="J8203" s="1125"/>
    </row>
    <row r="8204" spans="9:10" x14ac:dyDescent="0.2">
      <c r="I8204" s="1125"/>
      <c r="J8204" s="1125"/>
    </row>
    <row r="8205" spans="9:10" x14ac:dyDescent="0.2">
      <c r="I8205" s="1125"/>
      <c r="J8205" s="1125"/>
    </row>
    <row r="8206" spans="9:10" x14ac:dyDescent="0.2">
      <c r="I8206" s="1125"/>
      <c r="J8206" s="1125"/>
    </row>
    <row r="8207" spans="9:10" x14ac:dyDescent="0.2">
      <c r="I8207" s="1125"/>
      <c r="J8207" s="1125"/>
    </row>
    <row r="8208" spans="9:10" x14ac:dyDescent="0.2">
      <c r="I8208" s="1125"/>
      <c r="J8208" s="1125"/>
    </row>
    <row r="8209" spans="9:10" x14ac:dyDescent="0.2">
      <c r="I8209" s="1125"/>
      <c r="J8209" s="1125"/>
    </row>
    <row r="8210" spans="9:10" x14ac:dyDescent="0.2">
      <c r="I8210" s="1125"/>
      <c r="J8210" s="1125"/>
    </row>
    <row r="8211" spans="9:10" x14ac:dyDescent="0.2">
      <c r="I8211" s="1125"/>
      <c r="J8211" s="1125"/>
    </row>
    <row r="8212" spans="9:10" x14ac:dyDescent="0.2">
      <c r="I8212" s="1125"/>
      <c r="J8212" s="1125"/>
    </row>
    <row r="8213" spans="9:10" x14ac:dyDescent="0.2">
      <c r="I8213" s="1125"/>
      <c r="J8213" s="1125"/>
    </row>
    <row r="8214" spans="9:10" x14ac:dyDescent="0.2">
      <c r="I8214" s="1125"/>
      <c r="J8214" s="1125"/>
    </row>
    <row r="8215" spans="9:10" x14ac:dyDescent="0.2">
      <c r="I8215" s="1125"/>
      <c r="J8215" s="1125"/>
    </row>
    <row r="8216" spans="9:10" x14ac:dyDescent="0.2">
      <c r="I8216" s="1125"/>
      <c r="J8216" s="1125"/>
    </row>
    <row r="8217" spans="9:10" x14ac:dyDescent="0.2">
      <c r="I8217" s="1125"/>
      <c r="J8217" s="1125"/>
    </row>
    <row r="8218" spans="9:10" x14ac:dyDescent="0.2">
      <c r="I8218" s="1125"/>
      <c r="J8218" s="1125"/>
    </row>
    <row r="8219" spans="9:10" x14ac:dyDescent="0.2">
      <c r="I8219" s="1125"/>
      <c r="J8219" s="1125"/>
    </row>
    <row r="8220" spans="9:10" x14ac:dyDescent="0.2">
      <c r="I8220" s="1125"/>
      <c r="J8220" s="1125"/>
    </row>
    <row r="8221" spans="9:10" x14ac:dyDescent="0.2">
      <c r="I8221" s="1125"/>
      <c r="J8221" s="1125"/>
    </row>
    <row r="8222" spans="9:10" x14ac:dyDescent="0.2">
      <c r="I8222" s="1125"/>
      <c r="J8222" s="1125"/>
    </row>
    <row r="8223" spans="9:10" x14ac:dyDescent="0.2">
      <c r="I8223" s="1125"/>
      <c r="J8223" s="1125"/>
    </row>
    <row r="8224" spans="9:10" x14ac:dyDescent="0.2">
      <c r="I8224" s="1125"/>
      <c r="J8224" s="1125"/>
    </row>
    <row r="8225" spans="9:10" x14ac:dyDescent="0.2">
      <c r="I8225" s="1125"/>
      <c r="J8225" s="1125"/>
    </row>
    <row r="8226" spans="9:10" x14ac:dyDescent="0.2">
      <c r="I8226" s="1125"/>
      <c r="J8226" s="1125"/>
    </row>
    <row r="8227" spans="9:10" x14ac:dyDescent="0.2">
      <c r="I8227" s="1125"/>
      <c r="J8227" s="1125"/>
    </row>
    <row r="8228" spans="9:10" x14ac:dyDescent="0.2">
      <c r="I8228" s="1125"/>
      <c r="J8228" s="1125"/>
    </row>
    <row r="8229" spans="9:10" x14ac:dyDescent="0.2">
      <c r="I8229" s="1125"/>
      <c r="J8229" s="1125"/>
    </row>
    <row r="8230" spans="9:10" x14ac:dyDescent="0.2">
      <c r="I8230" s="1125"/>
      <c r="J8230" s="1125"/>
    </row>
    <row r="8231" spans="9:10" x14ac:dyDescent="0.2">
      <c r="I8231" s="1125"/>
      <c r="J8231" s="1125"/>
    </row>
    <row r="8232" spans="9:10" x14ac:dyDescent="0.2">
      <c r="I8232" s="1125"/>
      <c r="J8232" s="1125"/>
    </row>
    <row r="8233" spans="9:10" x14ac:dyDescent="0.2">
      <c r="I8233" s="1125"/>
      <c r="J8233" s="1125"/>
    </row>
    <row r="8234" spans="9:10" x14ac:dyDescent="0.2">
      <c r="I8234" s="1125"/>
      <c r="J8234" s="1125"/>
    </row>
    <row r="8235" spans="9:10" x14ac:dyDescent="0.2">
      <c r="I8235" s="1125"/>
      <c r="J8235" s="1125"/>
    </row>
    <row r="8236" spans="9:10" x14ac:dyDescent="0.2">
      <c r="I8236" s="1125"/>
      <c r="J8236" s="1125"/>
    </row>
    <row r="8237" spans="9:10" x14ac:dyDescent="0.2">
      <c r="I8237" s="1125"/>
      <c r="J8237" s="1125"/>
    </row>
    <row r="8238" spans="9:10" x14ac:dyDescent="0.2">
      <c r="I8238" s="1125"/>
      <c r="J8238" s="1125"/>
    </row>
    <row r="8239" spans="9:10" x14ac:dyDescent="0.2">
      <c r="I8239" s="1125"/>
      <c r="J8239" s="1125"/>
    </row>
    <row r="8240" spans="9:10" x14ac:dyDescent="0.2">
      <c r="I8240" s="1125"/>
      <c r="J8240" s="1125"/>
    </row>
    <row r="8241" spans="9:10" x14ac:dyDescent="0.2">
      <c r="I8241" s="1125"/>
      <c r="J8241" s="1125"/>
    </row>
    <row r="8242" spans="9:10" x14ac:dyDescent="0.2">
      <c r="I8242" s="1125"/>
      <c r="J8242" s="1125"/>
    </row>
    <row r="8243" spans="9:10" x14ac:dyDescent="0.2">
      <c r="I8243" s="1125"/>
      <c r="J8243" s="1125"/>
    </row>
    <row r="8244" spans="9:10" x14ac:dyDescent="0.2">
      <c r="I8244" s="1125"/>
      <c r="J8244" s="1125"/>
    </row>
    <row r="8245" spans="9:10" x14ac:dyDescent="0.2">
      <c r="I8245" s="1125"/>
      <c r="J8245" s="1125"/>
    </row>
    <row r="8246" spans="9:10" x14ac:dyDescent="0.2">
      <c r="I8246" s="1125"/>
      <c r="J8246" s="1125"/>
    </row>
    <row r="8247" spans="9:10" x14ac:dyDescent="0.2">
      <c r="I8247" s="1125"/>
      <c r="J8247" s="1125"/>
    </row>
    <row r="8248" spans="9:10" x14ac:dyDescent="0.2">
      <c r="I8248" s="1125"/>
      <c r="J8248" s="1125"/>
    </row>
    <row r="8249" spans="9:10" x14ac:dyDescent="0.2">
      <c r="I8249" s="1125"/>
      <c r="J8249" s="1125"/>
    </row>
    <row r="8250" spans="9:10" x14ac:dyDescent="0.2">
      <c r="I8250" s="1125"/>
      <c r="J8250" s="1125"/>
    </row>
    <row r="8251" spans="9:10" x14ac:dyDescent="0.2">
      <c r="I8251" s="1125"/>
      <c r="J8251" s="1125"/>
    </row>
    <row r="8252" spans="9:10" x14ac:dyDescent="0.2">
      <c r="I8252" s="1125"/>
      <c r="J8252" s="1125"/>
    </row>
    <row r="8253" spans="9:10" x14ac:dyDescent="0.2">
      <c r="I8253" s="1125"/>
      <c r="J8253" s="1125"/>
    </row>
    <row r="8254" spans="9:10" x14ac:dyDescent="0.2">
      <c r="I8254" s="1125"/>
      <c r="J8254" s="1125"/>
    </row>
    <row r="8255" spans="9:10" x14ac:dyDescent="0.2">
      <c r="I8255" s="1125"/>
      <c r="J8255" s="1125"/>
    </row>
    <row r="8256" spans="9:10" x14ac:dyDescent="0.2">
      <c r="I8256" s="1125"/>
      <c r="J8256" s="1125"/>
    </row>
    <row r="8257" spans="9:10" x14ac:dyDescent="0.2">
      <c r="I8257" s="1125"/>
      <c r="J8257" s="1125"/>
    </row>
    <row r="8258" spans="9:10" x14ac:dyDescent="0.2">
      <c r="I8258" s="1125"/>
      <c r="J8258" s="1125"/>
    </row>
    <row r="8259" spans="9:10" x14ac:dyDescent="0.2">
      <c r="I8259" s="1125"/>
      <c r="J8259" s="1125"/>
    </row>
    <row r="8260" spans="9:10" x14ac:dyDescent="0.2">
      <c r="I8260" s="1125"/>
      <c r="J8260" s="1125"/>
    </row>
    <row r="8261" spans="9:10" x14ac:dyDescent="0.2">
      <c r="I8261" s="1125"/>
      <c r="J8261" s="1125"/>
    </row>
    <row r="8262" spans="9:10" x14ac:dyDescent="0.2">
      <c r="I8262" s="1125"/>
      <c r="J8262" s="1125"/>
    </row>
    <row r="8263" spans="9:10" x14ac:dyDescent="0.2">
      <c r="I8263" s="1125"/>
      <c r="J8263" s="1125"/>
    </row>
    <row r="8264" spans="9:10" x14ac:dyDescent="0.2">
      <c r="I8264" s="1125"/>
      <c r="J8264" s="1125"/>
    </row>
    <row r="8265" spans="9:10" x14ac:dyDescent="0.2">
      <c r="I8265" s="1125"/>
      <c r="J8265" s="1125"/>
    </row>
    <row r="8266" spans="9:10" x14ac:dyDescent="0.2">
      <c r="I8266" s="1125"/>
      <c r="J8266" s="1125"/>
    </row>
    <row r="8267" spans="9:10" x14ac:dyDescent="0.2">
      <c r="I8267" s="1125"/>
      <c r="J8267" s="1125"/>
    </row>
    <row r="8268" spans="9:10" x14ac:dyDescent="0.2">
      <c r="I8268" s="1125"/>
      <c r="J8268" s="1125"/>
    </row>
    <row r="8269" spans="9:10" x14ac:dyDescent="0.2">
      <c r="I8269" s="1125"/>
      <c r="J8269" s="1125"/>
    </row>
    <row r="8270" spans="9:10" x14ac:dyDescent="0.2">
      <c r="I8270" s="1125"/>
      <c r="J8270" s="1125"/>
    </row>
    <row r="8271" spans="9:10" x14ac:dyDescent="0.2">
      <c r="I8271" s="1125"/>
      <c r="J8271" s="1125"/>
    </row>
    <row r="8272" spans="9:10" x14ac:dyDescent="0.2">
      <c r="I8272" s="1125"/>
      <c r="J8272" s="1125"/>
    </row>
    <row r="8273" spans="9:10" x14ac:dyDescent="0.2">
      <c r="I8273" s="1125"/>
      <c r="J8273" s="1125"/>
    </row>
    <row r="8274" spans="9:10" x14ac:dyDescent="0.2">
      <c r="I8274" s="1125"/>
      <c r="J8274" s="1125"/>
    </row>
    <row r="8275" spans="9:10" x14ac:dyDescent="0.2">
      <c r="I8275" s="1125"/>
      <c r="J8275" s="1125"/>
    </row>
    <row r="8276" spans="9:10" x14ac:dyDescent="0.2">
      <c r="I8276" s="1125"/>
      <c r="J8276" s="1125"/>
    </row>
    <row r="8277" spans="9:10" x14ac:dyDescent="0.2">
      <c r="I8277" s="1125"/>
      <c r="J8277" s="1125"/>
    </row>
    <row r="8278" spans="9:10" x14ac:dyDescent="0.2">
      <c r="I8278" s="1125"/>
      <c r="J8278" s="1125"/>
    </row>
    <row r="8279" spans="9:10" x14ac:dyDescent="0.2">
      <c r="I8279" s="1125"/>
      <c r="J8279" s="1125"/>
    </row>
    <row r="8280" spans="9:10" x14ac:dyDescent="0.2">
      <c r="I8280" s="1125"/>
      <c r="J8280" s="1125"/>
    </row>
    <row r="8281" spans="9:10" x14ac:dyDescent="0.2">
      <c r="I8281" s="1125"/>
      <c r="J8281" s="1125"/>
    </row>
    <row r="8282" spans="9:10" x14ac:dyDescent="0.2">
      <c r="I8282" s="1125"/>
      <c r="J8282" s="1125"/>
    </row>
    <row r="8283" spans="9:10" x14ac:dyDescent="0.2">
      <c r="I8283" s="1125"/>
      <c r="J8283" s="1125"/>
    </row>
    <row r="8284" spans="9:10" x14ac:dyDescent="0.2">
      <c r="I8284" s="1125"/>
      <c r="J8284" s="1125"/>
    </row>
    <row r="8285" spans="9:10" x14ac:dyDescent="0.2">
      <c r="I8285" s="1125"/>
      <c r="J8285" s="1125"/>
    </row>
    <row r="8286" spans="9:10" x14ac:dyDescent="0.2">
      <c r="I8286" s="1125"/>
      <c r="J8286" s="1125"/>
    </row>
    <row r="8287" spans="9:10" x14ac:dyDescent="0.2">
      <c r="I8287" s="1125"/>
      <c r="J8287" s="1125"/>
    </row>
    <row r="8288" spans="9:10" x14ac:dyDescent="0.2">
      <c r="I8288" s="1125"/>
      <c r="J8288" s="1125"/>
    </row>
    <row r="8289" spans="9:10" x14ac:dyDescent="0.2">
      <c r="I8289" s="1125"/>
      <c r="J8289" s="1125"/>
    </row>
    <row r="8290" spans="9:10" x14ac:dyDescent="0.2">
      <c r="I8290" s="1125"/>
      <c r="J8290" s="1125"/>
    </row>
    <row r="8291" spans="9:10" x14ac:dyDescent="0.2">
      <c r="I8291" s="1125"/>
      <c r="J8291" s="1125"/>
    </row>
    <row r="8292" spans="9:10" x14ac:dyDescent="0.2">
      <c r="I8292" s="1125"/>
      <c r="J8292" s="1125"/>
    </row>
    <row r="8293" spans="9:10" x14ac:dyDescent="0.2">
      <c r="I8293" s="1125"/>
      <c r="J8293" s="1125"/>
    </row>
    <row r="8294" spans="9:10" x14ac:dyDescent="0.2">
      <c r="I8294" s="1125"/>
      <c r="J8294" s="1125"/>
    </row>
    <row r="8295" spans="9:10" x14ac:dyDescent="0.2">
      <c r="I8295" s="1125"/>
      <c r="J8295" s="1125"/>
    </row>
    <row r="8296" spans="9:10" x14ac:dyDescent="0.2">
      <c r="I8296" s="1125"/>
      <c r="J8296" s="1125"/>
    </row>
    <row r="8297" spans="9:10" x14ac:dyDescent="0.2">
      <c r="I8297" s="1125"/>
      <c r="J8297" s="1125"/>
    </row>
    <row r="8298" spans="9:10" x14ac:dyDescent="0.2">
      <c r="I8298" s="1125"/>
      <c r="J8298" s="1125"/>
    </row>
    <row r="8299" spans="9:10" x14ac:dyDescent="0.2">
      <c r="I8299" s="1125"/>
      <c r="J8299" s="1125"/>
    </row>
    <row r="8300" spans="9:10" x14ac:dyDescent="0.2">
      <c r="I8300" s="1125"/>
      <c r="J8300" s="1125"/>
    </row>
    <row r="8301" spans="9:10" x14ac:dyDescent="0.2">
      <c r="I8301" s="1125"/>
      <c r="J8301" s="1125"/>
    </row>
    <row r="8302" spans="9:10" x14ac:dyDescent="0.2">
      <c r="I8302" s="1125"/>
      <c r="J8302" s="1125"/>
    </row>
    <row r="8303" spans="9:10" x14ac:dyDescent="0.2">
      <c r="I8303" s="1125"/>
      <c r="J8303" s="1125"/>
    </row>
    <row r="8304" spans="9:10" x14ac:dyDescent="0.2">
      <c r="I8304" s="1125"/>
      <c r="J8304" s="1125"/>
    </row>
    <row r="8305" spans="9:10" x14ac:dyDescent="0.2">
      <c r="I8305" s="1125"/>
      <c r="J8305" s="1125"/>
    </row>
    <row r="8306" spans="9:10" x14ac:dyDescent="0.2">
      <c r="I8306" s="1125"/>
      <c r="J8306" s="1125"/>
    </row>
    <row r="8307" spans="9:10" x14ac:dyDescent="0.2">
      <c r="I8307" s="1125"/>
      <c r="J8307" s="1125"/>
    </row>
    <row r="8308" spans="9:10" x14ac:dyDescent="0.2">
      <c r="I8308" s="1125"/>
      <c r="J8308" s="1125"/>
    </row>
    <row r="8309" spans="9:10" x14ac:dyDescent="0.2">
      <c r="I8309" s="1125"/>
      <c r="J8309" s="1125"/>
    </row>
    <row r="8310" spans="9:10" x14ac:dyDescent="0.2">
      <c r="I8310" s="1125"/>
      <c r="J8310" s="1125"/>
    </row>
    <row r="8311" spans="9:10" x14ac:dyDescent="0.2">
      <c r="I8311" s="1125"/>
      <c r="J8311" s="1125"/>
    </row>
    <row r="8312" spans="9:10" x14ac:dyDescent="0.2">
      <c r="I8312" s="1125"/>
      <c r="J8312" s="1125"/>
    </row>
    <row r="8313" spans="9:10" x14ac:dyDescent="0.2">
      <c r="I8313" s="1125"/>
      <c r="J8313" s="1125"/>
    </row>
    <row r="8314" spans="9:10" x14ac:dyDescent="0.2">
      <c r="I8314" s="1125"/>
      <c r="J8314" s="1125"/>
    </row>
    <row r="8315" spans="9:10" x14ac:dyDescent="0.2">
      <c r="I8315" s="1125"/>
      <c r="J8315" s="1125"/>
    </row>
    <row r="8316" spans="9:10" x14ac:dyDescent="0.2">
      <c r="I8316" s="1125"/>
      <c r="J8316" s="1125"/>
    </row>
    <row r="8317" spans="9:10" x14ac:dyDescent="0.2">
      <c r="I8317" s="1125"/>
      <c r="J8317" s="1125"/>
    </row>
    <row r="8318" spans="9:10" x14ac:dyDescent="0.2">
      <c r="I8318" s="1125"/>
      <c r="J8318" s="1125"/>
    </row>
    <row r="8319" spans="9:10" x14ac:dyDescent="0.2">
      <c r="I8319" s="1125"/>
      <c r="J8319" s="1125"/>
    </row>
    <row r="8320" spans="9:10" x14ac:dyDescent="0.2">
      <c r="I8320" s="1125"/>
      <c r="J8320" s="1125"/>
    </row>
    <row r="8321" spans="9:10" x14ac:dyDescent="0.2">
      <c r="I8321" s="1125"/>
      <c r="J8321" s="1125"/>
    </row>
    <row r="8322" spans="9:10" x14ac:dyDescent="0.2">
      <c r="I8322" s="1125"/>
      <c r="J8322" s="1125"/>
    </row>
    <row r="8323" spans="9:10" x14ac:dyDescent="0.2">
      <c r="I8323" s="1125"/>
      <c r="J8323" s="1125"/>
    </row>
    <row r="8324" spans="9:10" x14ac:dyDescent="0.2">
      <c r="I8324" s="1125"/>
      <c r="J8324" s="1125"/>
    </row>
    <row r="8325" spans="9:10" x14ac:dyDescent="0.2">
      <c r="I8325" s="1125"/>
      <c r="J8325" s="1125"/>
    </row>
    <row r="8326" spans="9:10" x14ac:dyDescent="0.2">
      <c r="I8326" s="1125"/>
      <c r="J8326" s="1125"/>
    </row>
    <row r="8327" spans="9:10" x14ac:dyDescent="0.2">
      <c r="I8327" s="1125"/>
      <c r="J8327" s="1125"/>
    </row>
    <row r="8328" spans="9:10" x14ac:dyDescent="0.2">
      <c r="I8328" s="1125"/>
      <c r="J8328" s="1125"/>
    </row>
    <row r="8329" spans="9:10" x14ac:dyDescent="0.2">
      <c r="I8329" s="1125"/>
      <c r="J8329" s="1125"/>
    </row>
    <row r="8330" spans="9:10" x14ac:dyDescent="0.2">
      <c r="I8330" s="1125"/>
      <c r="J8330" s="1125"/>
    </row>
    <row r="8331" spans="9:10" x14ac:dyDescent="0.2">
      <c r="I8331" s="1125"/>
      <c r="J8331" s="1125"/>
    </row>
    <row r="8332" spans="9:10" x14ac:dyDescent="0.2">
      <c r="I8332" s="1125"/>
      <c r="J8332" s="1125"/>
    </row>
    <row r="8333" spans="9:10" x14ac:dyDescent="0.2">
      <c r="I8333" s="1125"/>
      <c r="J8333" s="1125"/>
    </row>
    <row r="8334" spans="9:10" x14ac:dyDescent="0.2">
      <c r="I8334" s="1125"/>
      <c r="J8334" s="1125"/>
    </row>
    <row r="8335" spans="9:10" x14ac:dyDescent="0.2">
      <c r="I8335" s="1125"/>
      <c r="J8335" s="1125"/>
    </row>
    <row r="8336" spans="9:10" x14ac:dyDescent="0.2">
      <c r="I8336" s="1125"/>
      <c r="J8336" s="1125"/>
    </row>
    <row r="8337" spans="9:10" x14ac:dyDescent="0.2">
      <c r="I8337" s="1125"/>
      <c r="J8337" s="1125"/>
    </row>
    <row r="8338" spans="9:10" x14ac:dyDescent="0.2">
      <c r="I8338" s="1125"/>
      <c r="J8338" s="1125"/>
    </row>
    <row r="8339" spans="9:10" x14ac:dyDescent="0.2">
      <c r="I8339" s="1125"/>
      <c r="J8339" s="1125"/>
    </row>
    <row r="8340" spans="9:10" x14ac:dyDescent="0.2">
      <c r="I8340" s="1125"/>
      <c r="J8340" s="1125"/>
    </row>
    <row r="8341" spans="9:10" x14ac:dyDescent="0.2">
      <c r="I8341" s="1125"/>
      <c r="J8341" s="1125"/>
    </row>
    <row r="8342" spans="9:10" x14ac:dyDescent="0.2">
      <c r="I8342" s="1125"/>
      <c r="J8342" s="1125"/>
    </row>
    <row r="8343" spans="9:10" x14ac:dyDescent="0.2">
      <c r="I8343" s="1125"/>
      <c r="J8343" s="1125"/>
    </row>
    <row r="8344" spans="9:10" x14ac:dyDescent="0.2">
      <c r="I8344" s="1125"/>
      <c r="J8344" s="1125"/>
    </row>
    <row r="8345" spans="9:10" x14ac:dyDescent="0.2">
      <c r="I8345" s="1125"/>
      <c r="J8345" s="1125"/>
    </row>
    <row r="8346" spans="9:10" x14ac:dyDescent="0.2">
      <c r="I8346" s="1125"/>
      <c r="J8346" s="1125"/>
    </row>
    <row r="8347" spans="9:10" x14ac:dyDescent="0.2">
      <c r="I8347" s="1125"/>
      <c r="J8347" s="1125"/>
    </row>
    <row r="8348" spans="9:10" x14ac:dyDescent="0.2">
      <c r="I8348" s="1125"/>
      <c r="J8348" s="1125"/>
    </row>
    <row r="8349" spans="9:10" x14ac:dyDescent="0.2">
      <c r="I8349" s="1125"/>
      <c r="J8349" s="1125"/>
    </row>
    <row r="8350" spans="9:10" x14ac:dyDescent="0.2">
      <c r="I8350" s="1125"/>
      <c r="J8350" s="1125"/>
    </row>
    <row r="8351" spans="9:10" x14ac:dyDescent="0.2">
      <c r="I8351" s="1125"/>
      <c r="J8351" s="1125"/>
    </row>
    <row r="8352" spans="9:10" x14ac:dyDescent="0.2">
      <c r="I8352" s="1125"/>
      <c r="J8352" s="1125"/>
    </row>
    <row r="8353" spans="9:10" x14ac:dyDescent="0.2">
      <c r="I8353" s="1125"/>
      <c r="J8353" s="1125"/>
    </row>
    <row r="8354" spans="9:10" x14ac:dyDescent="0.2">
      <c r="I8354" s="1125"/>
      <c r="J8354" s="1125"/>
    </row>
    <row r="8355" spans="9:10" x14ac:dyDescent="0.2">
      <c r="I8355" s="1125"/>
      <c r="J8355" s="1125"/>
    </row>
    <row r="8356" spans="9:10" x14ac:dyDescent="0.2">
      <c r="I8356" s="1125"/>
      <c r="J8356" s="1125"/>
    </row>
    <row r="8357" spans="9:10" x14ac:dyDescent="0.2">
      <c r="I8357" s="1125"/>
      <c r="J8357" s="1125"/>
    </row>
    <row r="8358" spans="9:10" x14ac:dyDescent="0.2">
      <c r="I8358" s="1125"/>
      <c r="J8358" s="1125"/>
    </row>
    <row r="8359" spans="9:10" x14ac:dyDescent="0.2">
      <c r="I8359" s="1125"/>
      <c r="J8359" s="1125"/>
    </row>
    <row r="8360" spans="9:10" x14ac:dyDescent="0.2">
      <c r="I8360" s="1125"/>
      <c r="J8360" s="1125"/>
    </row>
    <row r="8361" spans="9:10" x14ac:dyDescent="0.2">
      <c r="I8361" s="1125"/>
      <c r="J8361" s="1125"/>
    </row>
    <row r="8362" spans="9:10" x14ac:dyDescent="0.2">
      <c r="I8362" s="1125"/>
      <c r="J8362" s="1125"/>
    </row>
    <row r="8363" spans="9:10" x14ac:dyDescent="0.2">
      <c r="I8363" s="1125"/>
      <c r="J8363" s="1125"/>
    </row>
    <row r="8364" spans="9:10" x14ac:dyDescent="0.2">
      <c r="I8364" s="1125"/>
      <c r="J8364" s="1125"/>
    </row>
    <row r="8365" spans="9:10" x14ac:dyDescent="0.2">
      <c r="I8365" s="1125"/>
      <c r="J8365" s="1125"/>
    </row>
    <row r="8366" spans="9:10" x14ac:dyDescent="0.2">
      <c r="I8366" s="1125"/>
      <c r="J8366" s="1125"/>
    </row>
    <row r="8367" spans="9:10" x14ac:dyDescent="0.2">
      <c r="I8367" s="1125"/>
      <c r="J8367" s="1125"/>
    </row>
    <row r="8368" spans="9:10" x14ac:dyDescent="0.2">
      <c r="I8368" s="1125"/>
      <c r="J8368" s="1125"/>
    </row>
    <row r="8369" spans="9:10" x14ac:dyDescent="0.2">
      <c r="I8369" s="1125"/>
      <c r="J8369" s="1125"/>
    </row>
    <row r="8370" spans="9:10" x14ac:dyDescent="0.2">
      <c r="I8370" s="1125"/>
      <c r="J8370" s="1125"/>
    </row>
    <row r="8371" spans="9:10" x14ac:dyDescent="0.2">
      <c r="I8371" s="1125"/>
      <c r="J8371" s="1125"/>
    </row>
    <row r="8372" spans="9:10" x14ac:dyDescent="0.2">
      <c r="I8372" s="1125"/>
      <c r="J8372" s="1125"/>
    </row>
    <row r="8373" spans="9:10" x14ac:dyDescent="0.2">
      <c r="I8373" s="1125"/>
      <c r="J8373" s="1125"/>
    </row>
    <row r="8374" spans="9:10" x14ac:dyDescent="0.2">
      <c r="I8374" s="1125"/>
      <c r="J8374" s="1125"/>
    </row>
    <row r="8375" spans="9:10" x14ac:dyDescent="0.2">
      <c r="I8375" s="1125"/>
      <c r="J8375" s="1125"/>
    </row>
    <row r="8376" spans="9:10" x14ac:dyDescent="0.2">
      <c r="I8376" s="1125"/>
      <c r="J8376" s="1125"/>
    </row>
    <row r="8377" spans="9:10" x14ac:dyDescent="0.2">
      <c r="I8377" s="1125"/>
      <c r="J8377" s="1125"/>
    </row>
    <row r="8378" spans="9:10" x14ac:dyDescent="0.2">
      <c r="I8378" s="1125"/>
      <c r="J8378" s="1125"/>
    </row>
    <row r="8379" spans="9:10" x14ac:dyDescent="0.2">
      <c r="I8379" s="1125"/>
      <c r="J8379" s="1125"/>
    </row>
    <row r="8380" spans="9:10" x14ac:dyDescent="0.2">
      <c r="I8380" s="1125"/>
      <c r="J8380" s="1125"/>
    </row>
    <row r="8381" spans="9:10" x14ac:dyDescent="0.2">
      <c r="I8381" s="1125"/>
      <c r="J8381" s="1125"/>
    </row>
    <row r="8382" spans="9:10" x14ac:dyDescent="0.2">
      <c r="I8382" s="1125"/>
      <c r="J8382" s="1125"/>
    </row>
    <row r="8383" spans="9:10" x14ac:dyDescent="0.2">
      <c r="I8383" s="1125"/>
      <c r="J8383" s="1125"/>
    </row>
    <row r="8384" spans="9:10" x14ac:dyDescent="0.2">
      <c r="I8384" s="1125"/>
      <c r="J8384" s="1125"/>
    </row>
    <row r="8385" spans="9:10" x14ac:dyDescent="0.2">
      <c r="I8385" s="1125"/>
      <c r="J8385" s="1125"/>
    </row>
    <row r="8386" spans="9:10" x14ac:dyDescent="0.2">
      <c r="I8386" s="1125"/>
      <c r="J8386" s="1125"/>
    </row>
    <row r="8387" spans="9:10" x14ac:dyDescent="0.2">
      <c r="I8387" s="1125"/>
      <c r="J8387" s="1125"/>
    </row>
    <row r="8388" spans="9:10" x14ac:dyDescent="0.2">
      <c r="I8388" s="1125"/>
      <c r="J8388" s="1125"/>
    </row>
    <row r="8389" spans="9:10" x14ac:dyDescent="0.2">
      <c r="I8389" s="1125"/>
      <c r="J8389" s="1125"/>
    </row>
    <row r="8390" spans="9:10" x14ac:dyDescent="0.2">
      <c r="I8390" s="1125"/>
      <c r="J8390" s="1125"/>
    </row>
    <row r="8391" spans="9:10" x14ac:dyDescent="0.2">
      <c r="I8391" s="1125"/>
      <c r="J8391" s="1125"/>
    </row>
    <row r="8392" spans="9:10" x14ac:dyDescent="0.2">
      <c r="I8392" s="1125"/>
      <c r="J8392" s="1125"/>
    </row>
    <row r="8393" spans="9:10" x14ac:dyDescent="0.2">
      <c r="I8393" s="1125"/>
      <c r="J8393" s="1125"/>
    </row>
    <row r="8394" spans="9:10" x14ac:dyDescent="0.2">
      <c r="I8394" s="1125"/>
      <c r="J8394" s="1125"/>
    </row>
    <row r="8395" spans="9:10" x14ac:dyDescent="0.2">
      <c r="I8395" s="1125"/>
      <c r="J8395" s="1125"/>
    </row>
    <row r="8396" spans="9:10" x14ac:dyDescent="0.2">
      <c r="I8396" s="1125"/>
      <c r="J8396" s="1125"/>
    </row>
    <row r="8397" spans="9:10" x14ac:dyDescent="0.2">
      <c r="I8397" s="1125"/>
      <c r="J8397" s="1125"/>
    </row>
    <row r="8398" spans="9:10" x14ac:dyDescent="0.2">
      <c r="I8398" s="1125"/>
      <c r="J8398" s="1125"/>
    </row>
    <row r="8399" spans="9:10" x14ac:dyDescent="0.2">
      <c r="I8399" s="1125"/>
      <c r="J8399" s="1125"/>
    </row>
    <row r="8400" spans="9:10" x14ac:dyDescent="0.2">
      <c r="I8400" s="1125"/>
      <c r="J8400" s="1125"/>
    </row>
    <row r="8401" spans="9:10" x14ac:dyDescent="0.2">
      <c r="I8401" s="1125"/>
      <c r="J8401" s="1125"/>
    </row>
    <row r="8402" spans="9:10" x14ac:dyDescent="0.2">
      <c r="I8402" s="1125"/>
      <c r="J8402" s="1125"/>
    </row>
    <row r="8403" spans="9:10" x14ac:dyDescent="0.2">
      <c r="I8403" s="1125"/>
      <c r="J8403" s="1125"/>
    </row>
    <row r="8404" spans="9:10" x14ac:dyDescent="0.2">
      <c r="I8404" s="1125"/>
      <c r="J8404" s="1125"/>
    </row>
    <row r="8405" spans="9:10" x14ac:dyDescent="0.2">
      <c r="I8405" s="1125"/>
      <c r="J8405" s="1125"/>
    </row>
    <row r="8406" spans="9:10" x14ac:dyDescent="0.2">
      <c r="I8406" s="1125"/>
      <c r="J8406" s="1125"/>
    </row>
    <row r="8407" spans="9:10" x14ac:dyDescent="0.2">
      <c r="I8407" s="1125"/>
      <c r="J8407" s="1125"/>
    </row>
    <row r="8408" spans="9:10" x14ac:dyDescent="0.2">
      <c r="I8408" s="1125"/>
      <c r="J8408" s="1125"/>
    </row>
    <row r="8409" spans="9:10" x14ac:dyDescent="0.2">
      <c r="I8409" s="1125"/>
      <c r="J8409" s="1125"/>
    </row>
    <row r="8410" spans="9:10" x14ac:dyDescent="0.2">
      <c r="I8410" s="1125"/>
      <c r="J8410" s="1125"/>
    </row>
    <row r="8411" spans="9:10" x14ac:dyDescent="0.2">
      <c r="I8411" s="1125"/>
      <c r="J8411" s="1125"/>
    </row>
    <row r="8412" spans="9:10" x14ac:dyDescent="0.2">
      <c r="I8412" s="1125"/>
      <c r="J8412" s="1125"/>
    </row>
    <row r="8413" spans="9:10" x14ac:dyDescent="0.2">
      <c r="I8413" s="1125"/>
      <c r="J8413" s="1125"/>
    </row>
    <row r="8414" spans="9:10" x14ac:dyDescent="0.2">
      <c r="I8414" s="1125"/>
      <c r="J8414" s="1125"/>
    </row>
    <row r="8415" spans="9:10" x14ac:dyDescent="0.2">
      <c r="I8415" s="1125"/>
      <c r="J8415" s="1125"/>
    </row>
    <row r="8416" spans="9:10" x14ac:dyDescent="0.2">
      <c r="I8416" s="1125"/>
      <c r="J8416" s="1125"/>
    </row>
    <row r="8417" spans="9:10" x14ac:dyDescent="0.2">
      <c r="I8417" s="1125"/>
      <c r="J8417" s="1125"/>
    </row>
    <row r="8418" spans="9:10" x14ac:dyDescent="0.2">
      <c r="I8418" s="1125"/>
      <c r="J8418" s="1125"/>
    </row>
    <row r="8419" spans="9:10" x14ac:dyDescent="0.2">
      <c r="I8419" s="1125"/>
      <c r="J8419" s="1125"/>
    </row>
    <row r="8420" spans="9:10" x14ac:dyDescent="0.2">
      <c r="I8420" s="1125"/>
      <c r="J8420" s="1125"/>
    </row>
    <row r="8421" spans="9:10" x14ac:dyDescent="0.2">
      <c r="I8421" s="1125"/>
      <c r="J8421" s="1125"/>
    </row>
    <row r="8422" spans="9:10" x14ac:dyDescent="0.2">
      <c r="I8422" s="1125"/>
      <c r="J8422" s="1125"/>
    </row>
    <row r="8423" spans="9:10" x14ac:dyDescent="0.2">
      <c r="I8423" s="1125"/>
      <c r="J8423" s="1125"/>
    </row>
    <row r="8424" spans="9:10" x14ac:dyDescent="0.2">
      <c r="I8424" s="1125"/>
      <c r="J8424" s="1125"/>
    </row>
    <row r="8425" spans="9:10" x14ac:dyDescent="0.2">
      <c r="I8425" s="1125"/>
      <c r="J8425" s="1125"/>
    </row>
    <row r="8426" spans="9:10" x14ac:dyDescent="0.2">
      <c r="I8426" s="1125"/>
      <c r="J8426" s="1125"/>
    </row>
    <row r="8427" spans="9:10" x14ac:dyDescent="0.2">
      <c r="I8427" s="1125"/>
      <c r="J8427" s="1125"/>
    </row>
    <row r="8428" spans="9:10" x14ac:dyDescent="0.2">
      <c r="I8428" s="1125"/>
      <c r="J8428" s="1125"/>
    </row>
    <row r="8429" spans="9:10" x14ac:dyDescent="0.2">
      <c r="I8429" s="1125"/>
      <c r="J8429" s="1125"/>
    </row>
    <row r="8430" spans="9:10" x14ac:dyDescent="0.2">
      <c r="I8430" s="1125"/>
      <c r="J8430" s="1125"/>
    </row>
    <row r="8431" spans="9:10" x14ac:dyDescent="0.2">
      <c r="I8431" s="1125"/>
      <c r="J8431" s="1125"/>
    </row>
    <row r="8432" spans="9:10" x14ac:dyDescent="0.2">
      <c r="I8432" s="1125"/>
      <c r="J8432" s="1125"/>
    </row>
    <row r="8433" spans="9:10" x14ac:dyDescent="0.2">
      <c r="I8433" s="1125"/>
      <c r="J8433" s="1125"/>
    </row>
    <row r="8434" spans="9:10" x14ac:dyDescent="0.2">
      <c r="I8434" s="1125"/>
      <c r="J8434" s="1125"/>
    </row>
    <row r="8435" spans="9:10" x14ac:dyDescent="0.2">
      <c r="I8435" s="1125"/>
      <c r="J8435" s="1125"/>
    </row>
    <row r="8436" spans="9:10" x14ac:dyDescent="0.2">
      <c r="I8436" s="1125"/>
      <c r="J8436" s="1125"/>
    </row>
    <row r="8437" spans="9:10" x14ac:dyDescent="0.2">
      <c r="I8437" s="1125"/>
      <c r="J8437" s="1125"/>
    </row>
    <row r="8438" spans="9:10" x14ac:dyDescent="0.2">
      <c r="I8438" s="1125"/>
      <c r="J8438" s="1125"/>
    </row>
    <row r="8439" spans="9:10" x14ac:dyDescent="0.2">
      <c r="I8439" s="1125"/>
      <c r="J8439" s="1125"/>
    </row>
    <row r="8440" spans="9:10" x14ac:dyDescent="0.2">
      <c r="I8440" s="1125"/>
      <c r="J8440" s="1125"/>
    </row>
    <row r="8441" spans="9:10" x14ac:dyDescent="0.2">
      <c r="I8441" s="1125"/>
      <c r="J8441" s="1125"/>
    </row>
    <row r="8442" spans="9:10" x14ac:dyDescent="0.2">
      <c r="I8442" s="1125"/>
      <c r="J8442" s="1125"/>
    </row>
    <row r="8443" spans="9:10" x14ac:dyDescent="0.2">
      <c r="I8443" s="1125"/>
      <c r="J8443" s="1125"/>
    </row>
    <row r="8444" spans="9:10" x14ac:dyDescent="0.2">
      <c r="I8444" s="1125"/>
      <c r="J8444" s="1125"/>
    </row>
    <row r="8445" spans="9:10" x14ac:dyDescent="0.2">
      <c r="I8445" s="1125"/>
      <c r="J8445" s="1125"/>
    </row>
    <row r="8446" spans="9:10" x14ac:dyDescent="0.2">
      <c r="I8446" s="1125"/>
      <c r="J8446" s="1125"/>
    </row>
    <row r="8447" spans="9:10" x14ac:dyDescent="0.2">
      <c r="I8447" s="1125"/>
      <c r="J8447" s="1125"/>
    </row>
    <row r="8448" spans="9:10" x14ac:dyDescent="0.2">
      <c r="I8448" s="1125"/>
      <c r="J8448" s="1125"/>
    </row>
    <row r="8449" spans="9:10" x14ac:dyDescent="0.2">
      <c r="I8449" s="1125"/>
      <c r="J8449" s="1125"/>
    </row>
    <row r="8450" spans="9:10" x14ac:dyDescent="0.2">
      <c r="I8450" s="1125"/>
      <c r="J8450" s="1125"/>
    </row>
    <row r="8451" spans="9:10" x14ac:dyDescent="0.2">
      <c r="I8451" s="1125"/>
      <c r="J8451" s="1125"/>
    </row>
    <row r="8452" spans="9:10" x14ac:dyDescent="0.2">
      <c r="I8452" s="1125"/>
      <c r="J8452" s="1125"/>
    </row>
    <row r="8453" spans="9:10" x14ac:dyDescent="0.2">
      <c r="I8453" s="1125"/>
      <c r="J8453" s="1125"/>
    </row>
    <row r="8454" spans="9:10" x14ac:dyDescent="0.2">
      <c r="I8454" s="1125"/>
      <c r="J8454" s="1125"/>
    </row>
    <row r="8455" spans="9:10" x14ac:dyDescent="0.2">
      <c r="I8455" s="1125"/>
      <c r="J8455" s="1125"/>
    </row>
    <row r="8456" spans="9:10" x14ac:dyDescent="0.2">
      <c r="I8456" s="1125"/>
      <c r="J8456" s="1125"/>
    </row>
    <row r="8457" spans="9:10" x14ac:dyDescent="0.2">
      <c r="I8457" s="1125"/>
      <c r="J8457" s="1125"/>
    </row>
    <row r="8458" spans="9:10" x14ac:dyDescent="0.2">
      <c r="I8458" s="1125"/>
      <c r="J8458" s="1125"/>
    </row>
    <row r="8459" spans="9:10" x14ac:dyDescent="0.2">
      <c r="I8459" s="1125"/>
      <c r="J8459" s="1125"/>
    </row>
    <row r="8460" spans="9:10" x14ac:dyDescent="0.2">
      <c r="I8460" s="1125"/>
      <c r="J8460" s="1125"/>
    </row>
    <row r="8461" spans="9:10" x14ac:dyDescent="0.2">
      <c r="I8461" s="1125"/>
      <c r="J8461" s="1125"/>
    </row>
    <row r="8462" spans="9:10" x14ac:dyDescent="0.2">
      <c r="I8462" s="1125"/>
      <c r="J8462" s="1125"/>
    </row>
    <row r="8463" spans="9:10" x14ac:dyDescent="0.2">
      <c r="I8463" s="1125"/>
      <c r="J8463" s="1125"/>
    </row>
    <row r="8464" spans="9:10" x14ac:dyDescent="0.2">
      <c r="I8464" s="1125"/>
      <c r="J8464" s="1125"/>
    </row>
    <row r="8465" spans="9:10" x14ac:dyDescent="0.2">
      <c r="I8465" s="1125"/>
      <c r="J8465" s="1125"/>
    </row>
    <row r="8466" spans="9:10" x14ac:dyDescent="0.2">
      <c r="I8466" s="1125"/>
      <c r="J8466" s="1125"/>
    </row>
    <row r="8467" spans="9:10" x14ac:dyDescent="0.2">
      <c r="I8467" s="1125"/>
      <c r="J8467" s="1125"/>
    </row>
    <row r="8468" spans="9:10" x14ac:dyDescent="0.2">
      <c r="I8468" s="1125"/>
      <c r="J8468" s="1125"/>
    </row>
    <row r="8469" spans="9:10" x14ac:dyDescent="0.2">
      <c r="I8469" s="1125"/>
      <c r="J8469" s="1125"/>
    </row>
    <row r="8470" spans="9:10" x14ac:dyDescent="0.2">
      <c r="I8470" s="1125"/>
      <c r="J8470" s="1125"/>
    </row>
    <row r="8471" spans="9:10" x14ac:dyDescent="0.2">
      <c r="I8471" s="1125"/>
      <c r="J8471" s="1125"/>
    </row>
    <row r="8472" spans="9:10" x14ac:dyDescent="0.2">
      <c r="I8472" s="1125"/>
      <c r="J8472" s="1125"/>
    </row>
    <row r="8473" spans="9:10" x14ac:dyDescent="0.2">
      <c r="I8473" s="1125"/>
      <c r="J8473" s="1125"/>
    </row>
    <row r="8474" spans="9:10" x14ac:dyDescent="0.2">
      <c r="I8474" s="1125"/>
      <c r="J8474" s="1125"/>
    </row>
    <row r="8475" spans="9:10" x14ac:dyDescent="0.2">
      <c r="I8475" s="1125"/>
      <c r="J8475" s="1125"/>
    </row>
    <row r="8476" spans="9:10" x14ac:dyDescent="0.2">
      <c r="I8476" s="1125"/>
      <c r="J8476" s="1125"/>
    </row>
    <row r="8477" spans="9:10" x14ac:dyDescent="0.2">
      <c r="I8477" s="1125"/>
      <c r="J8477" s="1125"/>
    </row>
    <row r="8478" spans="9:10" x14ac:dyDescent="0.2">
      <c r="I8478" s="1125"/>
      <c r="J8478" s="1125"/>
    </row>
    <row r="8479" spans="9:10" x14ac:dyDescent="0.2">
      <c r="I8479" s="1125"/>
      <c r="J8479" s="1125"/>
    </row>
    <row r="8480" spans="9:10" x14ac:dyDescent="0.2">
      <c r="I8480" s="1125"/>
      <c r="J8480" s="1125"/>
    </row>
    <row r="8481" spans="9:10" x14ac:dyDescent="0.2">
      <c r="I8481" s="1125"/>
      <c r="J8481" s="1125"/>
    </row>
    <row r="8482" spans="9:10" x14ac:dyDescent="0.2">
      <c r="I8482" s="1125"/>
      <c r="J8482" s="1125"/>
    </row>
    <row r="8483" spans="9:10" x14ac:dyDescent="0.2">
      <c r="I8483" s="1125"/>
      <c r="J8483" s="1125"/>
    </row>
    <row r="8484" spans="9:10" x14ac:dyDescent="0.2">
      <c r="I8484" s="1125"/>
      <c r="J8484" s="1125"/>
    </row>
    <row r="8485" spans="9:10" x14ac:dyDescent="0.2">
      <c r="I8485" s="1125"/>
      <c r="J8485" s="1125"/>
    </row>
    <row r="8486" spans="9:10" x14ac:dyDescent="0.2">
      <c r="I8486" s="1125"/>
      <c r="J8486" s="1125"/>
    </row>
    <row r="8487" spans="9:10" x14ac:dyDescent="0.2">
      <c r="I8487" s="1125"/>
      <c r="J8487" s="1125"/>
    </row>
    <row r="8488" spans="9:10" x14ac:dyDescent="0.2">
      <c r="I8488" s="1125"/>
      <c r="J8488" s="1125"/>
    </row>
    <row r="8489" spans="9:10" x14ac:dyDescent="0.2">
      <c r="I8489" s="1125"/>
      <c r="J8489" s="1125"/>
    </row>
    <row r="8490" spans="9:10" x14ac:dyDescent="0.2">
      <c r="I8490" s="1125"/>
      <c r="J8490" s="1125"/>
    </row>
    <row r="8491" spans="9:10" x14ac:dyDescent="0.2">
      <c r="I8491" s="1125"/>
      <c r="J8491" s="1125"/>
    </row>
    <row r="8492" spans="9:10" x14ac:dyDescent="0.2">
      <c r="I8492" s="1125"/>
      <c r="J8492" s="1125"/>
    </row>
    <row r="8493" spans="9:10" x14ac:dyDescent="0.2">
      <c r="I8493" s="1125"/>
      <c r="J8493" s="1125"/>
    </row>
    <row r="8494" spans="9:10" x14ac:dyDescent="0.2">
      <c r="I8494" s="1125"/>
      <c r="J8494" s="1125"/>
    </row>
    <row r="8495" spans="9:10" x14ac:dyDescent="0.2">
      <c r="I8495" s="1125"/>
      <c r="J8495" s="1125"/>
    </row>
    <row r="8496" spans="9:10" x14ac:dyDescent="0.2">
      <c r="I8496" s="1125"/>
      <c r="J8496" s="1125"/>
    </row>
    <row r="8497" spans="9:10" x14ac:dyDescent="0.2">
      <c r="I8497" s="1125"/>
      <c r="J8497" s="1125"/>
    </row>
    <row r="8498" spans="9:10" x14ac:dyDescent="0.2">
      <c r="I8498" s="1125"/>
      <c r="J8498" s="1125"/>
    </row>
    <row r="8499" spans="9:10" x14ac:dyDescent="0.2">
      <c r="I8499" s="1125"/>
      <c r="J8499" s="1125"/>
    </row>
    <row r="8500" spans="9:10" x14ac:dyDescent="0.2">
      <c r="I8500" s="1125"/>
      <c r="J8500" s="1125"/>
    </row>
    <row r="8501" spans="9:10" x14ac:dyDescent="0.2">
      <c r="I8501" s="1125"/>
      <c r="J8501" s="1125"/>
    </row>
    <row r="8502" spans="9:10" x14ac:dyDescent="0.2">
      <c r="I8502" s="1125"/>
      <c r="J8502" s="1125"/>
    </row>
    <row r="8503" spans="9:10" x14ac:dyDescent="0.2">
      <c r="I8503" s="1125"/>
      <c r="J8503" s="1125"/>
    </row>
    <row r="8504" spans="9:10" x14ac:dyDescent="0.2">
      <c r="I8504" s="1125"/>
      <c r="J8504" s="1125"/>
    </row>
    <row r="8505" spans="9:10" x14ac:dyDescent="0.2">
      <c r="I8505" s="1125"/>
      <c r="J8505" s="1125"/>
    </row>
    <row r="8506" spans="9:10" x14ac:dyDescent="0.2">
      <c r="I8506" s="1125"/>
      <c r="J8506" s="1125"/>
    </row>
    <row r="8507" spans="9:10" x14ac:dyDescent="0.2">
      <c r="I8507" s="1125"/>
      <c r="J8507" s="1125"/>
    </row>
    <row r="8508" spans="9:10" x14ac:dyDescent="0.2">
      <c r="I8508" s="1125"/>
      <c r="J8508" s="1125"/>
    </row>
    <row r="8509" spans="9:10" x14ac:dyDescent="0.2">
      <c r="I8509" s="1125"/>
      <c r="J8509" s="1125"/>
    </row>
    <row r="8510" spans="9:10" x14ac:dyDescent="0.2">
      <c r="I8510" s="1125"/>
      <c r="J8510" s="1125"/>
    </row>
    <row r="8511" spans="9:10" x14ac:dyDescent="0.2">
      <c r="I8511" s="1125"/>
      <c r="J8511" s="1125"/>
    </row>
    <row r="8512" spans="9:10" x14ac:dyDescent="0.2">
      <c r="I8512" s="1125"/>
      <c r="J8512" s="1125"/>
    </row>
    <row r="8513" spans="9:10" x14ac:dyDescent="0.2">
      <c r="I8513" s="1125"/>
      <c r="J8513" s="1125"/>
    </row>
    <row r="8514" spans="9:10" x14ac:dyDescent="0.2">
      <c r="I8514" s="1125"/>
      <c r="J8514" s="1125"/>
    </row>
    <row r="8515" spans="9:10" x14ac:dyDescent="0.2">
      <c r="I8515" s="1125"/>
      <c r="J8515" s="1125"/>
    </row>
    <row r="8516" spans="9:10" x14ac:dyDescent="0.2">
      <c r="I8516" s="1125"/>
      <c r="J8516" s="1125"/>
    </row>
    <row r="8517" spans="9:10" x14ac:dyDescent="0.2">
      <c r="I8517" s="1125"/>
      <c r="J8517" s="1125"/>
    </row>
    <row r="8518" spans="9:10" x14ac:dyDescent="0.2">
      <c r="I8518" s="1125"/>
      <c r="J8518" s="1125"/>
    </row>
    <row r="8519" spans="9:10" x14ac:dyDescent="0.2">
      <c r="I8519" s="1125"/>
      <c r="J8519" s="1125"/>
    </row>
    <row r="8520" spans="9:10" x14ac:dyDescent="0.2">
      <c r="I8520" s="1125"/>
      <c r="J8520" s="1125"/>
    </row>
    <row r="8521" spans="9:10" x14ac:dyDescent="0.2">
      <c r="I8521" s="1125"/>
      <c r="J8521" s="1125"/>
    </row>
    <row r="8522" spans="9:10" x14ac:dyDescent="0.2">
      <c r="I8522" s="1125"/>
      <c r="J8522" s="1125"/>
    </row>
    <row r="8523" spans="9:10" x14ac:dyDescent="0.2">
      <c r="I8523" s="1125"/>
      <c r="J8523" s="1125"/>
    </row>
    <row r="8524" spans="9:10" x14ac:dyDescent="0.2">
      <c r="I8524" s="1125"/>
      <c r="J8524" s="1125"/>
    </row>
    <row r="8525" spans="9:10" x14ac:dyDescent="0.2">
      <c r="I8525" s="1125"/>
      <c r="J8525" s="1125"/>
    </row>
    <row r="8526" spans="9:10" x14ac:dyDescent="0.2">
      <c r="I8526" s="1125"/>
      <c r="J8526" s="1125"/>
    </row>
    <row r="8527" spans="9:10" x14ac:dyDescent="0.2">
      <c r="I8527" s="1125"/>
      <c r="J8527" s="1125"/>
    </row>
    <row r="8528" spans="9:10" x14ac:dyDescent="0.2">
      <c r="I8528" s="1125"/>
      <c r="J8528" s="1125"/>
    </row>
    <row r="8529" spans="9:10" x14ac:dyDescent="0.2">
      <c r="I8529" s="1125"/>
      <c r="J8529" s="1125"/>
    </row>
    <row r="8530" spans="9:10" x14ac:dyDescent="0.2">
      <c r="I8530" s="1125"/>
      <c r="J8530" s="1125"/>
    </row>
    <row r="8531" spans="9:10" x14ac:dyDescent="0.2">
      <c r="I8531" s="1125"/>
      <c r="J8531" s="1125"/>
    </row>
    <row r="8532" spans="9:10" x14ac:dyDescent="0.2">
      <c r="I8532" s="1125"/>
      <c r="J8532" s="1125"/>
    </row>
    <row r="8533" spans="9:10" x14ac:dyDescent="0.2">
      <c r="I8533" s="1125"/>
      <c r="J8533" s="1125"/>
    </row>
    <row r="8534" spans="9:10" x14ac:dyDescent="0.2">
      <c r="I8534" s="1125"/>
      <c r="J8534" s="1125"/>
    </row>
    <row r="8535" spans="9:10" x14ac:dyDescent="0.2">
      <c r="I8535" s="1125"/>
      <c r="J8535" s="1125"/>
    </row>
    <row r="8536" spans="9:10" x14ac:dyDescent="0.2">
      <c r="I8536" s="1125"/>
      <c r="J8536" s="1125"/>
    </row>
    <row r="8537" spans="9:10" x14ac:dyDescent="0.2">
      <c r="I8537" s="1125"/>
      <c r="J8537" s="1125"/>
    </row>
    <row r="8538" spans="9:10" x14ac:dyDescent="0.2">
      <c r="I8538" s="1125"/>
      <c r="J8538" s="1125"/>
    </row>
    <row r="8539" spans="9:10" x14ac:dyDescent="0.2">
      <c r="I8539" s="1125"/>
      <c r="J8539" s="1125"/>
    </row>
    <row r="8540" spans="9:10" x14ac:dyDescent="0.2">
      <c r="I8540" s="1125"/>
      <c r="J8540" s="1125"/>
    </row>
    <row r="8541" spans="9:10" x14ac:dyDescent="0.2">
      <c r="I8541" s="1125"/>
      <c r="J8541" s="1125"/>
    </row>
    <row r="8542" spans="9:10" x14ac:dyDescent="0.2">
      <c r="I8542" s="1125"/>
      <c r="J8542" s="1125"/>
    </row>
    <row r="8543" spans="9:10" x14ac:dyDescent="0.2">
      <c r="I8543" s="1125"/>
      <c r="J8543" s="1125"/>
    </row>
    <row r="8544" spans="9:10" x14ac:dyDescent="0.2">
      <c r="I8544" s="1125"/>
      <c r="J8544" s="1125"/>
    </row>
    <row r="8545" spans="9:10" x14ac:dyDescent="0.2">
      <c r="I8545" s="1125"/>
      <c r="J8545" s="1125"/>
    </row>
    <row r="8546" spans="9:10" x14ac:dyDescent="0.2">
      <c r="I8546" s="1125"/>
      <c r="J8546" s="1125"/>
    </row>
    <row r="8547" spans="9:10" x14ac:dyDescent="0.2">
      <c r="I8547" s="1125"/>
      <c r="J8547" s="1125"/>
    </row>
    <row r="8548" spans="9:10" x14ac:dyDescent="0.2">
      <c r="I8548" s="1125"/>
      <c r="J8548" s="1125"/>
    </row>
    <row r="8549" spans="9:10" x14ac:dyDescent="0.2">
      <c r="I8549" s="1125"/>
      <c r="J8549" s="1125"/>
    </row>
    <row r="8550" spans="9:10" x14ac:dyDescent="0.2">
      <c r="I8550" s="1125"/>
      <c r="J8550" s="1125"/>
    </row>
    <row r="8551" spans="9:10" x14ac:dyDescent="0.2">
      <c r="I8551" s="1125"/>
      <c r="J8551" s="1125"/>
    </row>
    <row r="8552" spans="9:10" x14ac:dyDescent="0.2">
      <c r="I8552" s="1125"/>
      <c r="J8552" s="1125"/>
    </row>
    <row r="8553" spans="9:10" x14ac:dyDescent="0.2">
      <c r="I8553" s="1125"/>
      <c r="J8553" s="1125"/>
    </row>
    <row r="8554" spans="9:10" x14ac:dyDescent="0.2">
      <c r="I8554" s="1125"/>
      <c r="J8554" s="1125"/>
    </row>
    <row r="8555" spans="9:10" x14ac:dyDescent="0.2">
      <c r="I8555" s="1125"/>
      <c r="J8555" s="1125"/>
    </row>
    <row r="8556" spans="9:10" x14ac:dyDescent="0.2">
      <c r="I8556" s="1125"/>
      <c r="J8556" s="1125"/>
    </row>
    <row r="8557" spans="9:10" x14ac:dyDescent="0.2">
      <c r="I8557" s="1125"/>
      <c r="J8557" s="1125"/>
    </row>
    <row r="8558" spans="9:10" x14ac:dyDescent="0.2">
      <c r="I8558" s="1125"/>
      <c r="J8558" s="1125"/>
    </row>
    <row r="8559" spans="9:10" x14ac:dyDescent="0.2">
      <c r="I8559" s="1125"/>
      <c r="J8559" s="1125"/>
    </row>
    <row r="8560" spans="9:10" x14ac:dyDescent="0.2">
      <c r="I8560" s="1125"/>
      <c r="J8560" s="1125"/>
    </row>
    <row r="8561" spans="9:10" x14ac:dyDescent="0.2">
      <c r="I8561" s="1125"/>
      <c r="J8561" s="1125"/>
    </row>
    <row r="8562" spans="9:10" x14ac:dyDescent="0.2">
      <c r="I8562" s="1125"/>
      <c r="J8562" s="1125"/>
    </row>
    <row r="8563" spans="9:10" x14ac:dyDescent="0.2">
      <c r="I8563" s="1125"/>
      <c r="J8563" s="1125"/>
    </row>
    <row r="8564" spans="9:10" x14ac:dyDescent="0.2">
      <c r="I8564" s="1125"/>
      <c r="J8564" s="1125"/>
    </row>
    <row r="8565" spans="9:10" x14ac:dyDescent="0.2">
      <c r="I8565" s="1125"/>
      <c r="J8565" s="1125"/>
    </row>
    <row r="8566" spans="9:10" x14ac:dyDescent="0.2">
      <c r="I8566" s="1125"/>
      <c r="J8566" s="1125"/>
    </row>
    <row r="8567" spans="9:10" x14ac:dyDescent="0.2">
      <c r="I8567" s="1125"/>
      <c r="J8567" s="1125"/>
    </row>
    <row r="8568" spans="9:10" x14ac:dyDescent="0.2">
      <c r="I8568" s="1125"/>
      <c r="J8568" s="1125"/>
    </row>
    <row r="8569" spans="9:10" x14ac:dyDescent="0.2">
      <c r="I8569" s="1125"/>
      <c r="J8569" s="1125"/>
    </row>
    <row r="8570" spans="9:10" x14ac:dyDescent="0.2">
      <c r="I8570" s="1125"/>
      <c r="J8570" s="1125"/>
    </row>
    <row r="8571" spans="9:10" x14ac:dyDescent="0.2">
      <c r="I8571" s="1125"/>
      <c r="J8571" s="1125"/>
    </row>
    <row r="8572" spans="9:10" x14ac:dyDescent="0.2">
      <c r="I8572" s="1125"/>
      <c r="J8572" s="1125"/>
    </row>
    <row r="8573" spans="9:10" x14ac:dyDescent="0.2">
      <c r="I8573" s="1125"/>
      <c r="J8573" s="1125"/>
    </row>
    <row r="8574" spans="9:10" x14ac:dyDescent="0.2">
      <c r="I8574" s="1125"/>
      <c r="J8574" s="1125"/>
    </row>
    <row r="8575" spans="9:10" x14ac:dyDescent="0.2">
      <c r="I8575" s="1125"/>
      <c r="J8575" s="1125"/>
    </row>
    <row r="8576" spans="9:10" x14ac:dyDescent="0.2">
      <c r="I8576" s="1125"/>
      <c r="J8576" s="1125"/>
    </row>
    <row r="8577" spans="9:10" x14ac:dyDescent="0.2">
      <c r="I8577" s="1125"/>
      <c r="J8577" s="1125"/>
    </row>
    <row r="8578" spans="9:10" x14ac:dyDescent="0.2">
      <c r="I8578" s="1125"/>
      <c r="J8578" s="1125"/>
    </row>
    <row r="8579" spans="9:10" x14ac:dyDescent="0.2">
      <c r="I8579" s="1125"/>
      <c r="J8579" s="1125"/>
    </row>
    <row r="8580" spans="9:10" x14ac:dyDescent="0.2">
      <c r="I8580" s="1125"/>
      <c r="J8580" s="1125"/>
    </row>
    <row r="8581" spans="9:10" x14ac:dyDescent="0.2">
      <c r="I8581" s="1125"/>
      <c r="J8581" s="1125"/>
    </row>
    <row r="8582" spans="9:10" x14ac:dyDescent="0.2">
      <c r="I8582" s="1125"/>
      <c r="J8582" s="1125"/>
    </row>
    <row r="8583" spans="9:10" x14ac:dyDescent="0.2">
      <c r="I8583" s="1125"/>
      <c r="J8583" s="1125"/>
    </row>
    <row r="8584" spans="9:10" x14ac:dyDescent="0.2">
      <c r="I8584" s="1125"/>
      <c r="J8584" s="1125"/>
    </row>
    <row r="8585" spans="9:10" x14ac:dyDescent="0.2">
      <c r="I8585" s="1125"/>
      <c r="J8585" s="1125"/>
    </row>
    <row r="8586" spans="9:10" x14ac:dyDescent="0.2">
      <c r="I8586" s="1125"/>
      <c r="J8586" s="1125"/>
    </row>
    <row r="8587" spans="9:10" x14ac:dyDescent="0.2">
      <c r="I8587" s="1125"/>
      <c r="J8587" s="1125"/>
    </row>
    <row r="8588" spans="9:10" x14ac:dyDescent="0.2">
      <c r="I8588" s="1125"/>
      <c r="J8588" s="1125"/>
    </row>
    <row r="8589" spans="9:10" x14ac:dyDescent="0.2">
      <c r="I8589" s="1125"/>
      <c r="J8589" s="1125"/>
    </row>
    <row r="8590" spans="9:10" x14ac:dyDescent="0.2">
      <c r="I8590" s="1125"/>
      <c r="J8590" s="1125"/>
    </row>
    <row r="8591" spans="9:10" x14ac:dyDescent="0.2">
      <c r="I8591" s="1125"/>
      <c r="J8591" s="1125"/>
    </row>
    <row r="8592" spans="9:10" x14ac:dyDescent="0.2">
      <c r="I8592" s="1125"/>
      <c r="J8592" s="1125"/>
    </row>
    <row r="8593" spans="9:10" x14ac:dyDescent="0.2">
      <c r="I8593" s="1125"/>
      <c r="J8593" s="1125"/>
    </row>
    <row r="8594" spans="9:10" x14ac:dyDescent="0.2">
      <c r="I8594" s="1125"/>
      <c r="J8594" s="1125"/>
    </row>
    <row r="8595" spans="9:10" x14ac:dyDescent="0.2">
      <c r="I8595" s="1125"/>
      <c r="J8595" s="1125"/>
    </row>
    <row r="8596" spans="9:10" x14ac:dyDescent="0.2">
      <c r="I8596" s="1125"/>
      <c r="J8596" s="1125"/>
    </row>
    <row r="8597" spans="9:10" x14ac:dyDescent="0.2">
      <c r="I8597" s="1125"/>
      <c r="J8597" s="1125"/>
    </row>
    <row r="8598" spans="9:10" x14ac:dyDescent="0.2">
      <c r="I8598" s="1125"/>
      <c r="J8598" s="1125"/>
    </row>
    <row r="8599" spans="9:10" x14ac:dyDescent="0.2">
      <c r="I8599" s="1125"/>
      <c r="J8599" s="1125"/>
    </row>
    <row r="8600" spans="9:10" x14ac:dyDescent="0.2">
      <c r="I8600" s="1125"/>
      <c r="J8600" s="1125"/>
    </row>
    <row r="8601" spans="9:10" x14ac:dyDescent="0.2">
      <c r="I8601" s="1125"/>
      <c r="J8601" s="1125"/>
    </row>
    <row r="8602" spans="9:10" x14ac:dyDescent="0.2">
      <c r="I8602" s="1125"/>
      <c r="J8602" s="1125"/>
    </row>
    <row r="8603" spans="9:10" x14ac:dyDescent="0.2">
      <c r="I8603" s="1125"/>
      <c r="J8603" s="1125"/>
    </row>
    <row r="8604" spans="9:10" x14ac:dyDescent="0.2">
      <c r="I8604" s="1125"/>
      <c r="J8604" s="1125"/>
    </row>
    <row r="8605" spans="9:10" x14ac:dyDescent="0.2">
      <c r="I8605" s="1125"/>
      <c r="J8605" s="1125"/>
    </row>
    <row r="8606" spans="9:10" x14ac:dyDescent="0.2">
      <c r="I8606" s="1125"/>
      <c r="J8606" s="1125"/>
    </row>
    <row r="8607" spans="9:10" x14ac:dyDescent="0.2">
      <c r="I8607" s="1125"/>
      <c r="J8607" s="1125"/>
    </row>
    <row r="8608" spans="9:10" x14ac:dyDescent="0.2">
      <c r="I8608" s="1125"/>
      <c r="J8608" s="1125"/>
    </row>
    <row r="8609" spans="9:10" x14ac:dyDescent="0.2">
      <c r="I8609" s="1125"/>
      <c r="J8609" s="1125"/>
    </row>
    <row r="8610" spans="9:10" x14ac:dyDescent="0.2">
      <c r="I8610" s="1125"/>
      <c r="J8610" s="1125"/>
    </row>
    <row r="8611" spans="9:10" x14ac:dyDescent="0.2">
      <c r="I8611" s="1125"/>
      <c r="J8611" s="1125"/>
    </row>
    <row r="8612" spans="9:10" x14ac:dyDescent="0.2">
      <c r="I8612" s="1125"/>
      <c r="J8612" s="1125"/>
    </row>
    <row r="8613" spans="9:10" x14ac:dyDescent="0.2">
      <c r="I8613" s="1125"/>
      <c r="J8613" s="1125"/>
    </row>
    <row r="8614" spans="9:10" x14ac:dyDescent="0.2">
      <c r="I8614" s="1125"/>
      <c r="J8614" s="1125"/>
    </row>
    <row r="8615" spans="9:10" x14ac:dyDescent="0.2">
      <c r="I8615" s="1125"/>
      <c r="J8615" s="1125"/>
    </row>
    <row r="8616" spans="9:10" x14ac:dyDescent="0.2">
      <c r="I8616" s="1125"/>
      <c r="J8616" s="1125"/>
    </row>
    <row r="8617" spans="9:10" x14ac:dyDescent="0.2">
      <c r="I8617" s="1125"/>
      <c r="J8617" s="1125"/>
    </row>
    <row r="8618" spans="9:10" x14ac:dyDescent="0.2">
      <c r="I8618" s="1125"/>
      <c r="J8618" s="1125"/>
    </row>
    <row r="8619" spans="9:10" x14ac:dyDescent="0.2">
      <c r="I8619" s="1125"/>
      <c r="J8619" s="1125"/>
    </row>
    <row r="8620" spans="9:10" x14ac:dyDescent="0.2">
      <c r="I8620" s="1125"/>
      <c r="J8620" s="1125"/>
    </row>
    <row r="8621" spans="9:10" x14ac:dyDescent="0.2">
      <c r="I8621" s="1125"/>
      <c r="J8621" s="1125"/>
    </row>
    <row r="8622" spans="9:10" x14ac:dyDescent="0.2">
      <c r="I8622" s="1125"/>
      <c r="J8622" s="1125"/>
    </row>
    <row r="8623" spans="9:10" x14ac:dyDescent="0.2">
      <c r="I8623" s="1125"/>
      <c r="J8623" s="1125"/>
    </row>
    <row r="8624" spans="9:10" x14ac:dyDescent="0.2">
      <c r="I8624" s="1125"/>
      <c r="J8624" s="1125"/>
    </row>
    <row r="8625" spans="9:10" x14ac:dyDescent="0.2">
      <c r="I8625" s="1125"/>
      <c r="J8625" s="1125"/>
    </row>
    <row r="8626" spans="9:10" x14ac:dyDescent="0.2">
      <c r="I8626" s="1125"/>
      <c r="J8626" s="1125"/>
    </row>
    <row r="8627" spans="9:10" x14ac:dyDescent="0.2">
      <c r="I8627" s="1125"/>
      <c r="J8627" s="1125"/>
    </row>
    <row r="8628" spans="9:10" x14ac:dyDescent="0.2">
      <c r="I8628" s="1125"/>
      <c r="J8628" s="1125"/>
    </row>
    <row r="8629" spans="9:10" x14ac:dyDescent="0.2">
      <c r="I8629" s="1125"/>
      <c r="J8629" s="1125"/>
    </row>
    <row r="8630" spans="9:10" x14ac:dyDescent="0.2">
      <c r="I8630" s="1125"/>
      <c r="J8630" s="1125"/>
    </row>
    <row r="8631" spans="9:10" x14ac:dyDescent="0.2">
      <c r="I8631" s="1125"/>
      <c r="J8631" s="1125"/>
    </row>
    <row r="8632" spans="9:10" x14ac:dyDescent="0.2">
      <c r="I8632" s="1125"/>
      <c r="J8632" s="1125"/>
    </row>
    <row r="8633" spans="9:10" x14ac:dyDescent="0.2">
      <c r="I8633" s="1125"/>
      <c r="J8633" s="1125"/>
    </row>
    <row r="8634" spans="9:10" x14ac:dyDescent="0.2">
      <c r="I8634" s="1125"/>
      <c r="J8634" s="1125"/>
    </row>
    <row r="8635" spans="9:10" x14ac:dyDescent="0.2">
      <c r="I8635" s="1125"/>
      <c r="J8635" s="1125"/>
    </row>
    <row r="8636" spans="9:10" x14ac:dyDescent="0.2">
      <c r="I8636" s="1125"/>
      <c r="J8636" s="1125"/>
    </row>
    <row r="8637" spans="9:10" x14ac:dyDescent="0.2">
      <c r="I8637" s="1125"/>
      <c r="J8637" s="1125"/>
    </row>
    <row r="8638" spans="9:10" x14ac:dyDescent="0.2">
      <c r="I8638" s="1125"/>
      <c r="J8638" s="1125"/>
    </row>
    <row r="8639" spans="9:10" x14ac:dyDescent="0.2">
      <c r="I8639" s="1125"/>
      <c r="J8639" s="1125"/>
    </row>
    <row r="8640" spans="9:10" x14ac:dyDescent="0.2">
      <c r="I8640" s="1125"/>
      <c r="J8640" s="1125"/>
    </row>
    <row r="8641" spans="9:10" x14ac:dyDescent="0.2">
      <c r="I8641" s="1125"/>
      <c r="J8641" s="1125"/>
    </row>
    <row r="8642" spans="9:10" x14ac:dyDescent="0.2">
      <c r="I8642" s="1125"/>
      <c r="J8642" s="1125"/>
    </row>
    <row r="8643" spans="9:10" x14ac:dyDescent="0.2">
      <c r="I8643" s="1125"/>
      <c r="J8643" s="1125"/>
    </row>
    <row r="8644" spans="9:10" x14ac:dyDescent="0.2">
      <c r="I8644" s="1125"/>
      <c r="J8644" s="1125"/>
    </row>
    <row r="8645" spans="9:10" x14ac:dyDescent="0.2">
      <c r="I8645" s="1125"/>
      <c r="J8645" s="1125"/>
    </row>
    <row r="8646" spans="9:10" x14ac:dyDescent="0.2">
      <c r="I8646" s="1125"/>
      <c r="J8646" s="1125"/>
    </row>
    <row r="8647" spans="9:10" x14ac:dyDescent="0.2">
      <c r="I8647" s="1125"/>
      <c r="J8647" s="1125"/>
    </row>
    <row r="8648" spans="9:10" x14ac:dyDescent="0.2">
      <c r="I8648" s="1125"/>
      <c r="J8648" s="1125"/>
    </row>
    <row r="8649" spans="9:10" x14ac:dyDescent="0.2">
      <c r="I8649" s="1125"/>
      <c r="J8649" s="1125"/>
    </row>
    <row r="8650" spans="9:10" x14ac:dyDescent="0.2">
      <c r="I8650" s="1125"/>
      <c r="J8650" s="1125"/>
    </row>
    <row r="8651" spans="9:10" x14ac:dyDescent="0.2">
      <c r="I8651" s="1125"/>
      <c r="J8651" s="1125"/>
    </row>
    <row r="8652" spans="9:10" x14ac:dyDescent="0.2">
      <c r="I8652" s="1125"/>
      <c r="J8652" s="1125"/>
    </row>
    <row r="8653" spans="9:10" x14ac:dyDescent="0.2">
      <c r="I8653" s="1125"/>
      <c r="J8653" s="1125"/>
    </row>
    <row r="8654" spans="9:10" x14ac:dyDescent="0.2">
      <c r="I8654" s="1125"/>
      <c r="J8654" s="1125"/>
    </row>
    <row r="8655" spans="9:10" x14ac:dyDescent="0.2">
      <c r="I8655" s="1125"/>
      <c r="J8655" s="1125"/>
    </row>
    <row r="8656" spans="9:10" x14ac:dyDescent="0.2">
      <c r="I8656" s="1125"/>
      <c r="J8656" s="1125"/>
    </row>
    <row r="8657" spans="9:10" x14ac:dyDescent="0.2">
      <c r="I8657" s="1125"/>
      <c r="J8657" s="1125"/>
    </row>
    <row r="8658" spans="9:10" x14ac:dyDescent="0.2">
      <c r="I8658" s="1125"/>
      <c r="J8658" s="1125"/>
    </row>
    <row r="8659" spans="9:10" x14ac:dyDescent="0.2">
      <c r="I8659" s="1125"/>
      <c r="J8659" s="1125"/>
    </row>
    <row r="8660" spans="9:10" x14ac:dyDescent="0.2">
      <c r="I8660" s="1125"/>
      <c r="J8660" s="1125"/>
    </row>
    <row r="8661" spans="9:10" x14ac:dyDescent="0.2">
      <c r="I8661" s="1125"/>
      <c r="J8661" s="1125"/>
    </row>
    <row r="8662" spans="9:10" x14ac:dyDescent="0.2">
      <c r="I8662" s="1125"/>
      <c r="J8662" s="1125"/>
    </row>
    <row r="8663" spans="9:10" x14ac:dyDescent="0.2">
      <c r="I8663" s="1125"/>
      <c r="J8663" s="1125"/>
    </row>
    <row r="8664" spans="9:10" x14ac:dyDescent="0.2">
      <c r="I8664" s="1125"/>
      <c r="J8664" s="1125"/>
    </row>
    <row r="8665" spans="9:10" x14ac:dyDescent="0.2">
      <c r="I8665" s="1125"/>
      <c r="J8665" s="1125"/>
    </row>
    <row r="8666" spans="9:10" x14ac:dyDescent="0.2">
      <c r="I8666" s="1125"/>
      <c r="J8666" s="1125"/>
    </row>
    <row r="8667" spans="9:10" x14ac:dyDescent="0.2">
      <c r="I8667" s="1125"/>
      <c r="J8667" s="1125"/>
    </row>
    <row r="8668" spans="9:10" x14ac:dyDescent="0.2">
      <c r="I8668" s="1125"/>
      <c r="J8668" s="1125"/>
    </row>
    <row r="8669" spans="9:10" x14ac:dyDescent="0.2">
      <c r="I8669" s="1125"/>
      <c r="J8669" s="1125"/>
    </row>
    <row r="8670" spans="9:10" x14ac:dyDescent="0.2">
      <c r="I8670" s="1125"/>
      <c r="J8670" s="1125"/>
    </row>
    <row r="8671" spans="9:10" x14ac:dyDescent="0.2">
      <c r="I8671" s="1125"/>
      <c r="J8671" s="1125"/>
    </row>
    <row r="8672" spans="9:10" x14ac:dyDescent="0.2">
      <c r="I8672" s="1125"/>
      <c r="J8672" s="1125"/>
    </row>
    <row r="8673" spans="9:10" x14ac:dyDescent="0.2">
      <c r="I8673" s="1125"/>
      <c r="J8673" s="1125"/>
    </row>
    <row r="8674" spans="9:10" x14ac:dyDescent="0.2">
      <c r="I8674" s="1125"/>
      <c r="J8674" s="1125"/>
    </row>
    <row r="8675" spans="9:10" x14ac:dyDescent="0.2">
      <c r="I8675" s="1125"/>
      <c r="J8675" s="1125"/>
    </row>
    <row r="8676" spans="9:10" x14ac:dyDescent="0.2">
      <c r="I8676" s="1125"/>
      <c r="J8676" s="1125"/>
    </row>
    <row r="8677" spans="9:10" x14ac:dyDescent="0.2">
      <c r="I8677" s="1125"/>
      <c r="J8677" s="1125"/>
    </row>
    <row r="8678" spans="9:10" x14ac:dyDescent="0.2">
      <c r="I8678" s="1125"/>
      <c r="J8678" s="1125"/>
    </row>
    <row r="8679" spans="9:10" x14ac:dyDescent="0.2">
      <c r="I8679" s="1125"/>
      <c r="J8679" s="1125"/>
    </row>
    <row r="8680" spans="9:10" x14ac:dyDescent="0.2">
      <c r="I8680" s="1125"/>
      <c r="J8680" s="1125"/>
    </row>
    <row r="8681" spans="9:10" x14ac:dyDescent="0.2">
      <c r="I8681" s="1125"/>
      <c r="J8681" s="1125"/>
    </row>
    <row r="8682" spans="9:10" x14ac:dyDescent="0.2">
      <c r="I8682" s="1125"/>
      <c r="J8682" s="1125"/>
    </row>
    <row r="8683" spans="9:10" x14ac:dyDescent="0.2">
      <c r="I8683" s="1125"/>
      <c r="J8683" s="1125"/>
    </row>
    <row r="8684" spans="9:10" x14ac:dyDescent="0.2">
      <c r="I8684" s="1125"/>
      <c r="J8684" s="1125"/>
    </row>
    <row r="8685" spans="9:10" x14ac:dyDescent="0.2">
      <c r="I8685" s="1125"/>
      <c r="J8685" s="1125"/>
    </row>
    <row r="8686" spans="9:10" x14ac:dyDescent="0.2">
      <c r="I8686" s="1125"/>
      <c r="J8686" s="1125"/>
    </row>
    <row r="8687" spans="9:10" x14ac:dyDescent="0.2">
      <c r="I8687" s="1125"/>
      <c r="J8687" s="1125"/>
    </row>
    <row r="8688" spans="9:10" x14ac:dyDescent="0.2">
      <c r="I8688" s="1125"/>
      <c r="J8688" s="1125"/>
    </row>
    <row r="8689" spans="9:10" x14ac:dyDescent="0.2">
      <c r="I8689" s="1125"/>
      <c r="J8689" s="1125"/>
    </row>
    <row r="8690" spans="9:10" x14ac:dyDescent="0.2">
      <c r="I8690" s="1125"/>
      <c r="J8690" s="1125"/>
    </row>
    <row r="8691" spans="9:10" x14ac:dyDescent="0.2">
      <c r="I8691" s="1125"/>
      <c r="J8691" s="1125"/>
    </row>
    <row r="8692" spans="9:10" x14ac:dyDescent="0.2">
      <c r="I8692" s="1125"/>
      <c r="J8692" s="1125"/>
    </row>
    <row r="8693" spans="9:10" x14ac:dyDescent="0.2">
      <c r="I8693" s="1125"/>
      <c r="J8693" s="1125"/>
    </row>
    <row r="8694" spans="9:10" x14ac:dyDescent="0.2">
      <c r="I8694" s="1125"/>
      <c r="J8694" s="1125"/>
    </row>
    <row r="8695" spans="9:10" x14ac:dyDescent="0.2">
      <c r="I8695" s="1125"/>
      <c r="J8695" s="1125"/>
    </row>
    <row r="8696" spans="9:10" x14ac:dyDescent="0.2">
      <c r="I8696" s="1125"/>
      <c r="J8696" s="1125"/>
    </row>
    <row r="8697" spans="9:10" x14ac:dyDescent="0.2">
      <c r="I8697" s="1125"/>
      <c r="J8697" s="1125"/>
    </row>
    <row r="8698" spans="9:10" x14ac:dyDescent="0.2">
      <c r="I8698" s="1125"/>
      <c r="J8698" s="1125"/>
    </row>
    <row r="8699" spans="9:10" x14ac:dyDescent="0.2">
      <c r="I8699" s="1125"/>
      <c r="J8699" s="1125"/>
    </row>
    <row r="8700" spans="9:10" x14ac:dyDescent="0.2">
      <c r="I8700" s="1125"/>
      <c r="J8700" s="1125"/>
    </row>
    <row r="8701" spans="9:10" x14ac:dyDescent="0.2">
      <c r="I8701" s="1125"/>
      <c r="J8701" s="1125"/>
    </row>
    <row r="8702" spans="9:10" x14ac:dyDescent="0.2">
      <c r="I8702" s="1125"/>
      <c r="J8702" s="1125"/>
    </row>
    <row r="8703" spans="9:10" x14ac:dyDescent="0.2">
      <c r="I8703" s="1125"/>
      <c r="J8703" s="1125"/>
    </row>
    <row r="8704" spans="9:10" x14ac:dyDescent="0.2">
      <c r="I8704" s="1125"/>
      <c r="J8704" s="1125"/>
    </row>
    <row r="8705" spans="9:10" x14ac:dyDescent="0.2">
      <c r="I8705" s="1125"/>
      <c r="J8705" s="1125"/>
    </row>
    <row r="8706" spans="9:10" x14ac:dyDescent="0.2">
      <c r="I8706" s="1125"/>
      <c r="J8706" s="1125"/>
    </row>
    <row r="8707" spans="9:10" x14ac:dyDescent="0.2">
      <c r="I8707" s="1125"/>
      <c r="J8707" s="1125"/>
    </row>
    <row r="8708" spans="9:10" x14ac:dyDescent="0.2">
      <c r="I8708" s="1125"/>
      <c r="J8708" s="1125"/>
    </row>
    <row r="8709" spans="9:10" x14ac:dyDescent="0.2">
      <c r="I8709" s="1125"/>
      <c r="J8709" s="1125"/>
    </row>
    <row r="8710" spans="9:10" x14ac:dyDescent="0.2">
      <c r="I8710" s="1125"/>
      <c r="J8710" s="1125"/>
    </row>
    <row r="8711" spans="9:10" x14ac:dyDescent="0.2">
      <c r="I8711" s="1125"/>
      <c r="J8711" s="1125"/>
    </row>
    <row r="8712" spans="9:10" x14ac:dyDescent="0.2">
      <c r="I8712" s="1125"/>
      <c r="J8712" s="1125"/>
    </row>
    <row r="8713" spans="9:10" x14ac:dyDescent="0.2">
      <c r="I8713" s="1125"/>
      <c r="J8713" s="1125"/>
    </row>
    <row r="8714" spans="9:10" x14ac:dyDescent="0.2">
      <c r="I8714" s="1125"/>
      <c r="J8714" s="1125"/>
    </row>
    <row r="8715" spans="9:10" x14ac:dyDescent="0.2">
      <c r="I8715" s="1125"/>
      <c r="J8715" s="1125"/>
    </row>
    <row r="8716" spans="9:10" x14ac:dyDescent="0.2">
      <c r="I8716" s="1125"/>
      <c r="J8716" s="1125"/>
    </row>
    <row r="8717" spans="9:10" x14ac:dyDescent="0.2">
      <c r="I8717" s="1125"/>
      <c r="J8717" s="1125"/>
    </row>
    <row r="8718" spans="9:10" x14ac:dyDescent="0.2">
      <c r="I8718" s="1125"/>
      <c r="J8718" s="1125"/>
    </row>
    <row r="8719" spans="9:10" x14ac:dyDescent="0.2">
      <c r="I8719" s="1125"/>
      <c r="J8719" s="1125"/>
    </row>
    <row r="8720" spans="9:10" x14ac:dyDescent="0.2">
      <c r="I8720" s="1125"/>
      <c r="J8720" s="1125"/>
    </row>
    <row r="8721" spans="9:10" x14ac:dyDescent="0.2">
      <c r="I8721" s="1125"/>
      <c r="J8721" s="1125"/>
    </row>
    <row r="8722" spans="9:10" x14ac:dyDescent="0.2">
      <c r="I8722" s="1125"/>
      <c r="J8722" s="1125"/>
    </row>
    <row r="8723" spans="9:10" x14ac:dyDescent="0.2">
      <c r="I8723" s="1125"/>
      <c r="J8723" s="1125"/>
    </row>
    <row r="8724" spans="9:10" x14ac:dyDescent="0.2">
      <c r="I8724" s="1125"/>
      <c r="J8724" s="1125"/>
    </row>
    <row r="8725" spans="9:10" x14ac:dyDescent="0.2">
      <c r="I8725" s="1125"/>
      <c r="J8725" s="1125"/>
    </row>
    <row r="8726" spans="9:10" x14ac:dyDescent="0.2">
      <c r="I8726" s="1125"/>
      <c r="J8726" s="1125"/>
    </row>
    <row r="8727" spans="9:10" x14ac:dyDescent="0.2">
      <c r="I8727" s="1125"/>
      <c r="J8727" s="1125"/>
    </row>
    <row r="8728" spans="9:10" x14ac:dyDescent="0.2">
      <c r="I8728" s="1125"/>
      <c r="J8728" s="1125"/>
    </row>
    <row r="8729" spans="9:10" x14ac:dyDescent="0.2">
      <c r="I8729" s="1125"/>
      <c r="J8729" s="1125"/>
    </row>
    <row r="8730" spans="9:10" x14ac:dyDescent="0.2">
      <c r="I8730" s="1125"/>
      <c r="J8730" s="1125"/>
    </row>
    <row r="8731" spans="9:10" x14ac:dyDescent="0.2">
      <c r="I8731" s="1125"/>
      <c r="J8731" s="1125"/>
    </row>
    <row r="8732" spans="9:10" x14ac:dyDescent="0.2">
      <c r="I8732" s="1125"/>
      <c r="J8732" s="1125"/>
    </row>
    <row r="8733" spans="9:10" x14ac:dyDescent="0.2">
      <c r="I8733" s="1125"/>
      <c r="J8733" s="1125"/>
    </row>
    <row r="8734" spans="9:10" x14ac:dyDescent="0.2">
      <c r="I8734" s="1125"/>
      <c r="J8734" s="1125"/>
    </row>
    <row r="8735" spans="9:10" x14ac:dyDescent="0.2">
      <c r="I8735" s="1125"/>
      <c r="J8735" s="1125"/>
    </row>
    <row r="8736" spans="9:10" x14ac:dyDescent="0.2">
      <c r="I8736" s="1125"/>
      <c r="J8736" s="1125"/>
    </row>
    <row r="8737" spans="9:10" x14ac:dyDescent="0.2">
      <c r="I8737" s="1125"/>
      <c r="J8737" s="1125"/>
    </row>
    <row r="8738" spans="9:10" x14ac:dyDescent="0.2">
      <c r="I8738" s="1125"/>
      <c r="J8738" s="1125"/>
    </row>
    <row r="8739" spans="9:10" x14ac:dyDescent="0.2">
      <c r="I8739" s="1125"/>
      <c r="J8739" s="1125"/>
    </row>
    <row r="8740" spans="9:10" x14ac:dyDescent="0.2">
      <c r="I8740" s="1125"/>
      <c r="J8740" s="1125"/>
    </row>
    <row r="8741" spans="9:10" x14ac:dyDescent="0.2">
      <c r="I8741" s="1125"/>
      <c r="J8741" s="1125"/>
    </row>
    <row r="8742" spans="9:10" x14ac:dyDescent="0.2">
      <c r="I8742" s="1125"/>
      <c r="J8742" s="1125"/>
    </row>
    <row r="8743" spans="9:10" x14ac:dyDescent="0.2">
      <c r="I8743" s="1125"/>
      <c r="J8743" s="1125"/>
    </row>
    <row r="8744" spans="9:10" x14ac:dyDescent="0.2">
      <c r="I8744" s="1125"/>
      <c r="J8744" s="1125"/>
    </row>
    <row r="8745" spans="9:10" x14ac:dyDescent="0.2">
      <c r="I8745" s="1125"/>
      <c r="J8745" s="1125"/>
    </row>
    <row r="8746" spans="9:10" x14ac:dyDescent="0.2">
      <c r="I8746" s="1125"/>
      <c r="J8746" s="1125"/>
    </row>
    <row r="8747" spans="9:10" x14ac:dyDescent="0.2">
      <c r="I8747" s="1125"/>
      <c r="J8747" s="1125"/>
    </row>
    <row r="8748" spans="9:10" x14ac:dyDescent="0.2">
      <c r="I8748" s="1125"/>
      <c r="J8748" s="1125"/>
    </row>
    <row r="8749" spans="9:10" x14ac:dyDescent="0.2">
      <c r="I8749" s="1125"/>
      <c r="J8749" s="1125"/>
    </row>
    <row r="8750" spans="9:10" x14ac:dyDescent="0.2">
      <c r="I8750" s="1125"/>
      <c r="J8750" s="1125"/>
    </row>
    <row r="8751" spans="9:10" x14ac:dyDescent="0.2">
      <c r="I8751" s="1125"/>
      <c r="J8751" s="1125"/>
    </row>
    <row r="8752" spans="9:10" x14ac:dyDescent="0.2">
      <c r="I8752" s="1125"/>
      <c r="J8752" s="1125"/>
    </row>
    <row r="8753" spans="9:10" x14ac:dyDescent="0.2">
      <c r="I8753" s="1125"/>
      <c r="J8753" s="1125"/>
    </row>
    <row r="8754" spans="9:10" x14ac:dyDescent="0.2">
      <c r="I8754" s="1125"/>
      <c r="J8754" s="1125"/>
    </row>
    <row r="8755" spans="9:10" x14ac:dyDescent="0.2">
      <c r="I8755" s="1125"/>
      <c r="J8755" s="1125"/>
    </row>
    <row r="8756" spans="9:10" x14ac:dyDescent="0.2">
      <c r="I8756" s="1125"/>
      <c r="J8756" s="1125"/>
    </row>
    <row r="8757" spans="9:10" x14ac:dyDescent="0.2">
      <c r="I8757" s="1125"/>
      <c r="J8757" s="1125"/>
    </row>
    <row r="8758" spans="9:10" x14ac:dyDescent="0.2">
      <c r="I8758" s="1125"/>
      <c r="J8758" s="1125"/>
    </row>
    <row r="8759" spans="9:10" x14ac:dyDescent="0.2">
      <c r="I8759" s="1125"/>
      <c r="J8759" s="1125"/>
    </row>
    <row r="8760" spans="9:10" x14ac:dyDescent="0.2">
      <c r="I8760" s="1125"/>
      <c r="J8760" s="1125"/>
    </row>
    <row r="8761" spans="9:10" x14ac:dyDescent="0.2">
      <c r="I8761" s="1125"/>
      <c r="J8761" s="1125"/>
    </row>
    <row r="8762" spans="9:10" x14ac:dyDescent="0.2">
      <c r="I8762" s="1125"/>
      <c r="J8762" s="1125"/>
    </row>
    <row r="8763" spans="9:10" x14ac:dyDescent="0.2">
      <c r="I8763" s="1125"/>
      <c r="J8763" s="1125"/>
    </row>
    <row r="8764" spans="9:10" x14ac:dyDescent="0.2">
      <c r="I8764" s="1125"/>
      <c r="J8764" s="1125"/>
    </row>
    <row r="8765" spans="9:10" x14ac:dyDescent="0.2">
      <c r="I8765" s="1125"/>
      <c r="J8765" s="1125"/>
    </row>
    <row r="8766" spans="9:10" x14ac:dyDescent="0.2">
      <c r="I8766" s="1125"/>
      <c r="J8766" s="1125"/>
    </row>
    <row r="8767" spans="9:10" x14ac:dyDescent="0.2">
      <c r="I8767" s="1125"/>
      <c r="J8767" s="1125"/>
    </row>
    <row r="8768" spans="9:10" x14ac:dyDescent="0.2">
      <c r="I8768" s="1125"/>
      <c r="J8768" s="1125"/>
    </row>
    <row r="8769" spans="9:10" x14ac:dyDescent="0.2">
      <c r="I8769" s="1125"/>
      <c r="J8769" s="1125"/>
    </row>
    <row r="8770" spans="9:10" x14ac:dyDescent="0.2">
      <c r="I8770" s="1125"/>
      <c r="J8770" s="1125"/>
    </row>
    <row r="8771" spans="9:10" x14ac:dyDescent="0.2">
      <c r="I8771" s="1125"/>
      <c r="J8771" s="1125"/>
    </row>
    <row r="8772" spans="9:10" x14ac:dyDescent="0.2">
      <c r="I8772" s="1125"/>
      <c r="J8772" s="1125"/>
    </row>
    <row r="8773" spans="9:10" x14ac:dyDescent="0.2">
      <c r="I8773" s="1125"/>
      <c r="J8773" s="1125"/>
    </row>
    <row r="8774" spans="9:10" x14ac:dyDescent="0.2">
      <c r="I8774" s="1125"/>
      <c r="J8774" s="1125"/>
    </row>
    <row r="8775" spans="9:10" x14ac:dyDescent="0.2">
      <c r="I8775" s="1125"/>
      <c r="J8775" s="1125"/>
    </row>
    <row r="8776" spans="9:10" x14ac:dyDescent="0.2">
      <c r="I8776" s="1125"/>
      <c r="J8776" s="1125"/>
    </row>
    <row r="8777" spans="9:10" x14ac:dyDescent="0.2">
      <c r="I8777" s="1125"/>
      <c r="J8777" s="1125"/>
    </row>
    <row r="8778" spans="9:10" x14ac:dyDescent="0.2">
      <c r="I8778" s="1125"/>
      <c r="J8778" s="1125"/>
    </row>
    <row r="8779" spans="9:10" x14ac:dyDescent="0.2">
      <c r="I8779" s="1125"/>
      <c r="J8779" s="1125"/>
    </row>
    <row r="8780" spans="9:10" x14ac:dyDescent="0.2">
      <c r="I8780" s="1125"/>
      <c r="J8780" s="1125"/>
    </row>
    <row r="8781" spans="9:10" x14ac:dyDescent="0.2">
      <c r="I8781" s="1125"/>
      <c r="J8781" s="1125"/>
    </row>
    <row r="8782" spans="9:10" x14ac:dyDescent="0.2">
      <c r="I8782" s="1125"/>
      <c r="J8782" s="1125"/>
    </row>
    <row r="8783" spans="9:10" x14ac:dyDescent="0.2">
      <c r="I8783" s="1125"/>
      <c r="J8783" s="1125"/>
    </row>
    <row r="8784" spans="9:10" x14ac:dyDescent="0.2">
      <c r="I8784" s="1125"/>
      <c r="J8784" s="1125"/>
    </row>
    <row r="8785" spans="9:10" x14ac:dyDescent="0.2">
      <c r="I8785" s="1125"/>
      <c r="J8785" s="1125"/>
    </row>
    <row r="8786" spans="9:10" x14ac:dyDescent="0.2">
      <c r="I8786" s="1125"/>
      <c r="J8786" s="1125"/>
    </row>
    <row r="8787" spans="9:10" x14ac:dyDescent="0.2">
      <c r="I8787" s="1125"/>
      <c r="J8787" s="1125"/>
    </row>
    <row r="8788" spans="9:10" x14ac:dyDescent="0.2">
      <c r="I8788" s="1125"/>
      <c r="J8788" s="1125"/>
    </row>
    <row r="8789" spans="9:10" x14ac:dyDescent="0.2">
      <c r="I8789" s="1125"/>
      <c r="J8789" s="1125"/>
    </row>
    <row r="8790" spans="9:10" x14ac:dyDescent="0.2">
      <c r="I8790" s="1125"/>
      <c r="J8790" s="1125"/>
    </row>
    <row r="8791" spans="9:10" x14ac:dyDescent="0.2">
      <c r="I8791" s="1125"/>
      <c r="J8791" s="1125"/>
    </row>
    <row r="8792" spans="9:10" x14ac:dyDescent="0.2">
      <c r="I8792" s="1125"/>
      <c r="J8792" s="1125"/>
    </row>
    <row r="8793" spans="9:10" x14ac:dyDescent="0.2">
      <c r="I8793" s="1125"/>
      <c r="J8793" s="1125"/>
    </row>
    <row r="8794" spans="9:10" x14ac:dyDescent="0.2">
      <c r="I8794" s="1125"/>
      <c r="J8794" s="1125"/>
    </row>
    <row r="8795" spans="9:10" x14ac:dyDescent="0.2">
      <c r="I8795" s="1125"/>
      <c r="J8795" s="1125"/>
    </row>
    <row r="8796" spans="9:10" x14ac:dyDescent="0.2">
      <c r="I8796" s="1125"/>
      <c r="J8796" s="1125"/>
    </row>
    <row r="8797" spans="9:10" x14ac:dyDescent="0.2">
      <c r="I8797" s="1125"/>
      <c r="J8797" s="1125"/>
    </row>
    <row r="8798" spans="9:10" x14ac:dyDescent="0.2">
      <c r="I8798" s="1125"/>
      <c r="J8798" s="1125"/>
    </row>
    <row r="8799" spans="9:10" x14ac:dyDescent="0.2">
      <c r="I8799" s="1125"/>
      <c r="J8799" s="1125"/>
    </row>
    <row r="8800" spans="9:10" x14ac:dyDescent="0.2">
      <c r="I8800" s="1125"/>
      <c r="J8800" s="1125"/>
    </row>
    <row r="8801" spans="9:10" x14ac:dyDescent="0.2">
      <c r="I8801" s="1125"/>
      <c r="J8801" s="1125"/>
    </row>
    <row r="8802" spans="9:10" x14ac:dyDescent="0.2">
      <c r="I8802" s="1125"/>
      <c r="J8802" s="1125"/>
    </row>
    <row r="8803" spans="9:10" x14ac:dyDescent="0.2">
      <c r="I8803" s="1125"/>
      <c r="J8803" s="1125"/>
    </row>
    <row r="8804" spans="9:10" x14ac:dyDescent="0.2">
      <c r="I8804" s="1125"/>
      <c r="J8804" s="1125"/>
    </row>
    <row r="8805" spans="9:10" x14ac:dyDescent="0.2">
      <c r="I8805" s="1125"/>
      <c r="J8805" s="1125"/>
    </row>
    <row r="8806" spans="9:10" x14ac:dyDescent="0.2">
      <c r="I8806" s="1125"/>
      <c r="J8806" s="1125"/>
    </row>
    <row r="8807" spans="9:10" x14ac:dyDescent="0.2">
      <c r="I8807" s="1125"/>
      <c r="J8807" s="1125"/>
    </row>
    <row r="8808" spans="9:10" x14ac:dyDescent="0.2">
      <c r="I8808" s="1125"/>
      <c r="J8808" s="1125"/>
    </row>
    <row r="8809" spans="9:10" x14ac:dyDescent="0.2">
      <c r="I8809" s="1125"/>
      <c r="J8809" s="1125"/>
    </row>
    <row r="8810" spans="9:10" x14ac:dyDescent="0.2">
      <c r="I8810" s="1125"/>
      <c r="J8810" s="1125"/>
    </row>
    <row r="8811" spans="9:10" x14ac:dyDescent="0.2">
      <c r="I8811" s="1125"/>
      <c r="J8811" s="1125"/>
    </row>
    <row r="8812" spans="9:10" x14ac:dyDescent="0.2">
      <c r="I8812" s="1125"/>
      <c r="J8812" s="1125"/>
    </row>
    <row r="8813" spans="9:10" x14ac:dyDescent="0.2">
      <c r="I8813" s="1125"/>
      <c r="J8813" s="1125"/>
    </row>
    <row r="8814" spans="9:10" x14ac:dyDescent="0.2">
      <c r="I8814" s="1125"/>
      <c r="J8814" s="1125"/>
    </row>
    <row r="8815" spans="9:10" x14ac:dyDescent="0.2">
      <c r="I8815" s="1125"/>
      <c r="J8815" s="1125"/>
    </row>
    <row r="8816" spans="9:10" x14ac:dyDescent="0.2">
      <c r="I8816" s="1125"/>
      <c r="J8816" s="1125"/>
    </row>
    <row r="8817" spans="9:10" x14ac:dyDescent="0.2">
      <c r="I8817" s="1125"/>
      <c r="J8817" s="1125"/>
    </row>
    <row r="8818" spans="9:10" x14ac:dyDescent="0.2">
      <c r="I8818" s="1125"/>
      <c r="J8818" s="1125"/>
    </row>
    <row r="8819" spans="9:10" x14ac:dyDescent="0.2">
      <c r="I8819" s="1125"/>
      <c r="J8819" s="1125"/>
    </row>
    <row r="8820" spans="9:10" x14ac:dyDescent="0.2">
      <c r="I8820" s="1125"/>
      <c r="J8820" s="1125"/>
    </row>
    <row r="8821" spans="9:10" x14ac:dyDescent="0.2">
      <c r="I8821" s="1125"/>
      <c r="J8821" s="1125"/>
    </row>
    <row r="8822" spans="9:10" x14ac:dyDescent="0.2">
      <c r="I8822" s="1125"/>
      <c r="J8822" s="1125"/>
    </row>
    <row r="8823" spans="9:10" x14ac:dyDescent="0.2">
      <c r="I8823" s="1125"/>
      <c r="J8823" s="1125"/>
    </row>
    <row r="8824" spans="9:10" x14ac:dyDescent="0.2">
      <c r="I8824" s="1125"/>
      <c r="J8824" s="1125"/>
    </row>
    <row r="8825" spans="9:10" x14ac:dyDescent="0.2">
      <c r="I8825" s="1125"/>
      <c r="J8825" s="1125"/>
    </row>
    <row r="8826" spans="9:10" x14ac:dyDescent="0.2">
      <c r="I8826" s="1125"/>
      <c r="J8826" s="1125"/>
    </row>
    <row r="8827" spans="9:10" x14ac:dyDescent="0.2">
      <c r="I8827" s="1125"/>
      <c r="J8827" s="1125"/>
    </row>
    <row r="8828" spans="9:10" x14ac:dyDescent="0.2">
      <c r="I8828" s="1125"/>
      <c r="J8828" s="1125"/>
    </row>
    <row r="8829" spans="9:10" x14ac:dyDescent="0.2">
      <c r="I8829" s="1125"/>
      <c r="J8829" s="1125"/>
    </row>
    <row r="8830" spans="9:10" x14ac:dyDescent="0.2">
      <c r="I8830" s="1125"/>
      <c r="J8830" s="1125"/>
    </row>
    <row r="8831" spans="9:10" x14ac:dyDescent="0.2">
      <c r="I8831" s="1125"/>
      <c r="J8831" s="1125"/>
    </row>
    <row r="8832" spans="9:10" x14ac:dyDescent="0.2">
      <c r="I8832" s="1125"/>
      <c r="J8832" s="1125"/>
    </row>
    <row r="8833" spans="9:10" x14ac:dyDescent="0.2">
      <c r="I8833" s="1125"/>
      <c r="J8833" s="1125"/>
    </row>
    <row r="8834" spans="9:10" x14ac:dyDescent="0.2">
      <c r="I8834" s="1125"/>
      <c r="J8834" s="1125"/>
    </row>
    <row r="8835" spans="9:10" x14ac:dyDescent="0.2">
      <c r="I8835" s="1125"/>
      <c r="J8835" s="1125"/>
    </row>
    <row r="8836" spans="9:10" x14ac:dyDescent="0.2">
      <c r="I8836" s="1125"/>
      <c r="J8836" s="1125"/>
    </row>
    <row r="8837" spans="9:10" x14ac:dyDescent="0.2">
      <c r="I8837" s="1125"/>
      <c r="J8837" s="1125"/>
    </row>
    <row r="8838" spans="9:10" x14ac:dyDescent="0.2">
      <c r="I8838" s="1125"/>
      <c r="J8838" s="1125"/>
    </row>
    <row r="8839" spans="9:10" x14ac:dyDescent="0.2">
      <c r="I8839" s="1125"/>
      <c r="J8839" s="1125"/>
    </row>
    <row r="8840" spans="9:10" x14ac:dyDescent="0.2">
      <c r="I8840" s="1125"/>
      <c r="J8840" s="1125"/>
    </row>
    <row r="8841" spans="9:10" x14ac:dyDescent="0.2">
      <c r="I8841" s="1125"/>
      <c r="J8841" s="1125"/>
    </row>
    <row r="8842" spans="9:10" x14ac:dyDescent="0.2">
      <c r="I8842" s="1125"/>
      <c r="J8842" s="1125"/>
    </row>
    <row r="8843" spans="9:10" x14ac:dyDescent="0.2">
      <c r="I8843" s="1125"/>
      <c r="J8843" s="1125"/>
    </row>
    <row r="8844" spans="9:10" x14ac:dyDescent="0.2">
      <c r="I8844" s="1125"/>
      <c r="J8844" s="1125"/>
    </row>
    <row r="8845" spans="9:10" x14ac:dyDescent="0.2">
      <c r="I8845" s="1125"/>
      <c r="J8845" s="1125"/>
    </row>
    <row r="8846" spans="9:10" x14ac:dyDescent="0.2">
      <c r="I8846" s="1125"/>
      <c r="J8846" s="1125"/>
    </row>
    <row r="8847" spans="9:10" x14ac:dyDescent="0.2">
      <c r="I8847" s="1125"/>
      <c r="J8847" s="1125"/>
    </row>
    <row r="8848" spans="9:10" x14ac:dyDescent="0.2">
      <c r="I8848" s="1125"/>
      <c r="J8848" s="1125"/>
    </row>
    <row r="8849" spans="9:10" x14ac:dyDescent="0.2">
      <c r="I8849" s="1125"/>
      <c r="J8849" s="1125"/>
    </row>
    <row r="8850" spans="9:10" x14ac:dyDescent="0.2">
      <c r="I8850" s="1125"/>
      <c r="J8850" s="1125"/>
    </row>
    <row r="8851" spans="9:10" x14ac:dyDescent="0.2">
      <c r="I8851" s="1125"/>
      <c r="J8851" s="1125"/>
    </row>
    <row r="8852" spans="9:10" x14ac:dyDescent="0.2">
      <c r="I8852" s="1125"/>
      <c r="J8852" s="1125"/>
    </row>
    <row r="8853" spans="9:10" x14ac:dyDescent="0.2">
      <c r="I8853" s="1125"/>
      <c r="J8853" s="1125"/>
    </row>
    <row r="8854" spans="9:10" x14ac:dyDescent="0.2">
      <c r="I8854" s="1125"/>
      <c r="J8854" s="1125"/>
    </row>
    <row r="8855" spans="9:10" x14ac:dyDescent="0.2">
      <c r="I8855" s="1125"/>
      <c r="J8855" s="1125"/>
    </row>
    <row r="8856" spans="9:10" x14ac:dyDescent="0.2">
      <c r="I8856" s="1125"/>
      <c r="J8856" s="1125"/>
    </row>
    <row r="8857" spans="9:10" x14ac:dyDescent="0.2">
      <c r="I8857" s="1125"/>
      <c r="J8857" s="1125"/>
    </row>
    <row r="8858" spans="9:10" x14ac:dyDescent="0.2">
      <c r="I8858" s="1125"/>
      <c r="J8858" s="1125"/>
    </row>
    <row r="8859" spans="9:10" x14ac:dyDescent="0.2">
      <c r="I8859" s="1125"/>
      <c r="J8859" s="1125"/>
    </row>
    <row r="8860" spans="9:10" x14ac:dyDescent="0.2">
      <c r="I8860" s="1125"/>
      <c r="J8860" s="1125"/>
    </row>
    <row r="8861" spans="9:10" x14ac:dyDescent="0.2">
      <c r="I8861" s="1125"/>
      <c r="J8861" s="1125"/>
    </row>
    <row r="8862" spans="9:10" x14ac:dyDescent="0.2">
      <c r="I8862" s="1125"/>
      <c r="J8862" s="1125"/>
    </row>
    <row r="8863" spans="9:10" x14ac:dyDescent="0.2">
      <c r="I8863" s="1125"/>
      <c r="J8863" s="1125"/>
    </row>
    <row r="8864" spans="9:10" x14ac:dyDescent="0.2">
      <c r="I8864" s="1125"/>
      <c r="J8864" s="1125"/>
    </row>
    <row r="8865" spans="9:10" x14ac:dyDescent="0.2">
      <c r="I8865" s="1125"/>
      <c r="J8865" s="1125"/>
    </row>
    <row r="8866" spans="9:10" x14ac:dyDescent="0.2">
      <c r="I8866" s="1125"/>
      <c r="J8866" s="1125"/>
    </row>
    <row r="8867" spans="9:10" x14ac:dyDescent="0.2">
      <c r="I8867" s="1125"/>
      <c r="J8867" s="1125"/>
    </row>
    <row r="8868" spans="9:10" x14ac:dyDescent="0.2">
      <c r="I8868" s="1125"/>
      <c r="J8868" s="1125"/>
    </row>
    <row r="8869" spans="9:10" x14ac:dyDescent="0.2">
      <c r="I8869" s="1125"/>
      <c r="J8869" s="1125"/>
    </row>
    <row r="8870" spans="9:10" x14ac:dyDescent="0.2">
      <c r="I8870" s="1125"/>
      <c r="J8870" s="1125"/>
    </row>
    <row r="8871" spans="9:10" x14ac:dyDescent="0.2">
      <c r="I8871" s="1125"/>
      <c r="J8871" s="1125"/>
    </row>
    <row r="8872" spans="9:10" x14ac:dyDescent="0.2">
      <c r="I8872" s="1125"/>
      <c r="J8872" s="1125"/>
    </row>
    <row r="8873" spans="9:10" x14ac:dyDescent="0.2">
      <c r="I8873" s="1125"/>
      <c r="J8873" s="1125"/>
    </row>
    <row r="8874" spans="9:10" x14ac:dyDescent="0.2">
      <c r="I8874" s="1125"/>
      <c r="J8874" s="1125"/>
    </row>
    <row r="8875" spans="9:10" x14ac:dyDescent="0.2">
      <c r="I8875" s="1125"/>
      <c r="J8875" s="1125"/>
    </row>
    <row r="8876" spans="9:10" x14ac:dyDescent="0.2">
      <c r="I8876" s="1125"/>
      <c r="J8876" s="1125"/>
    </row>
    <row r="8877" spans="9:10" x14ac:dyDescent="0.2">
      <c r="I8877" s="1125"/>
      <c r="J8877" s="1125"/>
    </row>
    <row r="8878" spans="9:10" x14ac:dyDescent="0.2">
      <c r="I8878" s="1125"/>
      <c r="J8878" s="1125"/>
    </row>
    <row r="8879" spans="9:10" x14ac:dyDescent="0.2">
      <c r="I8879" s="1125"/>
      <c r="J8879" s="1125"/>
    </row>
    <row r="8880" spans="9:10" x14ac:dyDescent="0.2">
      <c r="I8880" s="1125"/>
      <c r="J8880" s="1125"/>
    </row>
    <row r="8881" spans="9:10" x14ac:dyDescent="0.2">
      <c r="I8881" s="1125"/>
      <c r="J8881" s="1125"/>
    </row>
    <row r="8882" spans="9:10" x14ac:dyDescent="0.2">
      <c r="I8882" s="1125"/>
      <c r="J8882" s="1125"/>
    </row>
    <row r="8883" spans="9:10" x14ac:dyDescent="0.2">
      <c r="I8883" s="1125"/>
      <c r="J8883" s="1125"/>
    </row>
    <row r="8884" spans="9:10" x14ac:dyDescent="0.2">
      <c r="I8884" s="1125"/>
      <c r="J8884" s="1125"/>
    </row>
    <row r="8885" spans="9:10" x14ac:dyDescent="0.2">
      <c r="I8885" s="1125"/>
      <c r="J8885" s="1125"/>
    </row>
    <row r="8886" spans="9:10" x14ac:dyDescent="0.2">
      <c r="I8886" s="1125"/>
      <c r="J8886" s="1125"/>
    </row>
    <row r="8887" spans="9:10" x14ac:dyDescent="0.2">
      <c r="I8887" s="1125"/>
      <c r="J8887" s="1125"/>
    </row>
    <row r="8888" spans="9:10" x14ac:dyDescent="0.2">
      <c r="I8888" s="1125"/>
      <c r="J8888" s="1125"/>
    </row>
    <row r="8889" spans="9:10" x14ac:dyDescent="0.2">
      <c r="I8889" s="1125"/>
      <c r="J8889" s="1125"/>
    </row>
    <row r="8890" spans="9:10" x14ac:dyDescent="0.2">
      <c r="I8890" s="1125"/>
      <c r="J8890" s="1125"/>
    </row>
    <row r="8891" spans="9:10" x14ac:dyDescent="0.2">
      <c r="I8891" s="1125"/>
      <c r="J8891" s="1125"/>
    </row>
    <row r="8892" spans="9:10" x14ac:dyDescent="0.2">
      <c r="I8892" s="1125"/>
      <c r="J8892" s="1125"/>
    </row>
    <row r="8893" spans="9:10" x14ac:dyDescent="0.2">
      <c r="I8893" s="1125"/>
      <c r="J8893" s="1125"/>
    </row>
    <row r="8894" spans="9:10" x14ac:dyDescent="0.2">
      <c r="I8894" s="1125"/>
      <c r="J8894" s="1125"/>
    </row>
    <row r="8895" spans="9:10" x14ac:dyDescent="0.2">
      <c r="I8895" s="1125"/>
      <c r="J8895" s="1125"/>
    </row>
    <row r="8896" spans="9:10" x14ac:dyDescent="0.2">
      <c r="I8896" s="1125"/>
      <c r="J8896" s="1125"/>
    </row>
    <row r="8897" spans="9:10" x14ac:dyDescent="0.2">
      <c r="I8897" s="1125"/>
      <c r="J8897" s="1125"/>
    </row>
    <row r="8898" spans="9:10" x14ac:dyDescent="0.2">
      <c r="I8898" s="1125"/>
      <c r="J8898" s="1125"/>
    </row>
    <row r="8899" spans="9:10" x14ac:dyDescent="0.2">
      <c r="I8899" s="1125"/>
      <c r="J8899" s="1125"/>
    </row>
    <row r="8900" spans="9:10" x14ac:dyDescent="0.2">
      <c r="I8900" s="1125"/>
      <c r="J8900" s="1125"/>
    </row>
    <row r="8901" spans="9:10" x14ac:dyDescent="0.2">
      <c r="I8901" s="1125"/>
      <c r="J8901" s="1125"/>
    </row>
    <row r="8902" spans="9:10" x14ac:dyDescent="0.2">
      <c r="I8902" s="1125"/>
      <c r="J8902" s="1125"/>
    </row>
    <row r="8903" spans="9:10" x14ac:dyDescent="0.2">
      <c r="I8903" s="1125"/>
      <c r="J8903" s="1125"/>
    </row>
    <row r="8904" spans="9:10" x14ac:dyDescent="0.2">
      <c r="I8904" s="1125"/>
      <c r="J8904" s="1125"/>
    </row>
    <row r="8905" spans="9:10" x14ac:dyDescent="0.2">
      <c r="I8905" s="1125"/>
      <c r="J8905" s="1125"/>
    </row>
    <row r="8906" spans="9:10" x14ac:dyDescent="0.2">
      <c r="I8906" s="1125"/>
      <c r="J8906" s="1125"/>
    </row>
    <row r="8907" spans="9:10" x14ac:dyDescent="0.2">
      <c r="I8907" s="1125"/>
      <c r="J8907" s="1125"/>
    </row>
    <row r="8908" spans="9:10" x14ac:dyDescent="0.2">
      <c r="I8908" s="1125"/>
      <c r="J8908" s="1125"/>
    </row>
    <row r="8909" spans="9:10" x14ac:dyDescent="0.2">
      <c r="I8909" s="1125"/>
      <c r="J8909" s="1125"/>
    </row>
    <row r="8910" spans="9:10" x14ac:dyDescent="0.2">
      <c r="I8910" s="1125"/>
      <c r="J8910" s="1125"/>
    </row>
    <row r="8911" spans="9:10" x14ac:dyDescent="0.2">
      <c r="I8911" s="1125"/>
      <c r="J8911" s="1125"/>
    </row>
    <row r="8912" spans="9:10" x14ac:dyDescent="0.2">
      <c r="I8912" s="1125"/>
      <c r="J8912" s="1125"/>
    </row>
    <row r="8913" spans="9:10" x14ac:dyDescent="0.2">
      <c r="I8913" s="1125"/>
      <c r="J8913" s="1125"/>
    </row>
    <row r="8914" spans="9:10" x14ac:dyDescent="0.2">
      <c r="I8914" s="1125"/>
      <c r="J8914" s="1125"/>
    </row>
    <row r="8915" spans="9:10" x14ac:dyDescent="0.2">
      <c r="I8915" s="1125"/>
      <c r="J8915" s="1125"/>
    </row>
    <row r="8916" spans="9:10" x14ac:dyDescent="0.2">
      <c r="I8916" s="1125"/>
      <c r="J8916" s="1125"/>
    </row>
    <row r="8917" spans="9:10" x14ac:dyDescent="0.2">
      <c r="I8917" s="1125"/>
      <c r="J8917" s="1125"/>
    </row>
    <row r="8918" spans="9:10" x14ac:dyDescent="0.2">
      <c r="I8918" s="1125"/>
      <c r="J8918" s="1125"/>
    </row>
    <row r="8919" spans="9:10" x14ac:dyDescent="0.2">
      <c r="I8919" s="1125"/>
      <c r="J8919" s="1125"/>
    </row>
    <row r="8920" spans="9:10" x14ac:dyDescent="0.2">
      <c r="I8920" s="1125"/>
      <c r="J8920" s="1125"/>
    </row>
    <row r="8921" spans="9:10" x14ac:dyDescent="0.2">
      <c r="I8921" s="1125"/>
      <c r="J8921" s="1125"/>
    </row>
    <row r="8922" spans="9:10" x14ac:dyDescent="0.2">
      <c r="I8922" s="1125"/>
      <c r="J8922" s="1125"/>
    </row>
    <row r="8923" spans="9:10" x14ac:dyDescent="0.2">
      <c r="I8923" s="1125"/>
      <c r="J8923" s="1125"/>
    </row>
    <row r="8924" spans="9:10" x14ac:dyDescent="0.2">
      <c r="I8924" s="1125"/>
      <c r="J8924" s="1125"/>
    </row>
    <row r="8925" spans="9:10" x14ac:dyDescent="0.2">
      <c r="I8925" s="1125"/>
      <c r="J8925" s="1125"/>
    </row>
    <row r="8926" spans="9:10" x14ac:dyDescent="0.2">
      <c r="I8926" s="1125"/>
      <c r="J8926" s="1125"/>
    </row>
    <row r="8927" spans="9:10" x14ac:dyDescent="0.2">
      <c r="I8927" s="1125"/>
      <c r="J8927" s="1125"/>
    </row>
    <row r="8928" spans="9:10" x14ac:dyDescent="0.2">
      <c r="I8928" s="1125"/>
      <c r="J8928" s="1125"/>
    </row>
    <row r="8929" spans="9:10" x14ac:dyDescent="0.2">
      <c r="I8929" s="1125"/>
      <c r="J8929" s="1125"/>
    </row>
    <row r="8930" spans="9:10" x14ac:dyDescent="0.2">
      <c r="I8930" s="1125"/>
      <c r="J8930" s="1125"/>
    </row>
    <row r="8931" spans="9:10" x14ac:dyDescent="0.2">
      <c r="I8931" s="1125"/>
      <c r="J8931" s="1125"/>
    </row>
    <row r="8932" spans="9:10" x14ac:dyDescent="0.2">
      <c r="I8932" s="1125"/>
      <c r="J8932" s="1125"/>
    </row>
    <row r="8933" spans="9:10" x14ac:dyDescent="0.2">
      <c r="I8933" s="1125"/>
      <c r="J8933" s="1125"/>
    </row>
    <row r="8934" spans="9:10" x14ac:dyDescent="0.2">
      <c r="I8934" s="1125"/>
      <c r="J8934" s="1125"/>
    </row>
    <row r="8935" spans="9:10" x14ac:dyDescent="0.2">
      <c r="I8935" s="1125"/>
      <c r="J8935" s="1125"/>
    </row>
    <row r="8936" spans="9:10" x14ac:dyDescent="0.2">
      <c r="I8936" s="1125"/>
      <c r="J8936" s="1125"/>
    </row>
    <row r="8937" spans="9:10" x14ac:dyDescent="0.2">
      <c r="I8937" s="1125"/>
      <c r="J8937" s="1125"/>
    </row>
    <row r="8938" spans="9:10" x14ac:dyDescent="0.2">
      <c r="I8938" s="1125"/>
      <c r="J8938" s="1125"/>
    </row>
    <row r="8939" spans="9:10" x14ac:dyDescent="0.2">
      <c r="I8939" s="1125"/>
      <c r="J8939" s="1125"/>
    </row>
    <row r="8940" spans="9:10" x14ac:dyDescent="0.2">
      <c r="I8940" s="1125"/>
      <c r="J8940" s="1125"/>
    </row>
    <row r="8941" spans="9:10" x14ac:dyDescent="0.2">
      <c r="I8941" s="1125"/>
      <c r="J8941" s="1125"/>
    </row>
    <row r="8942" spans="9:10" x14ac:dyDescent="0.2">
      <c r="I8942" s="1125"/>
      <c r="J8942" s="1125"/>
    </row>
    <row r="8943" spans="9:10" x14ac:dyDescent="0.2">
      <c r="I8943" s="1125"/>
      <c r="J8943" s="1125"/>
    </row>
    <row r="8944" spans="9:10" x14ac:dyDescent="0.2">
      <c r="I8944" s="1125"/>
      <c r="J8944" s="1125"/>
    </row>
    <row r="8945" spans="9:10" x14ac:dyDescent="0.2">
      <c r="I8945" s="1125"/>
      <c r="J8945" s="1125"/>
    </row>
    <row r="8946" spans="9:10" x14ac:dyDescent="0.2">
      <c r="I8946" s="1125"/>
      <c r="J8946" s="1125"/>
    </row>
    <row r="8947" spans="9:10" x14ac:dyDescent="0.2">
      <c r="I8947" s="1125"/>
      <c r="J8947" s="1125"/>
    </row>
    <row r="8948" spans="9:10" x14ac:dyDescent="0.2">
      <c r="I8948" s="1125"/>
      <c r="J8948" s="1125"/>
    </row>
    <row r="8949" spans="9:10" x14ac:dyDescent="0.2">
      <c r="I8949" s="1125"/>
      <c r="J8949" s="1125"/>
    </row>
    <row r="8950" spans="9:10" x14ac:dyDescent="0.2">
      <c r="I8950" s="1125"/>
      <c r="J8950" s="1125"/>
    </row>
    <row r="8951" spans="9:10" x14ac:dyDescent="0.2">
      <c r="I8951" s="1125"/>
      <c r="J8951" s="1125"/>
    </row>
    <row r="8952" spans="9:10" x14ac:dyDescent="0.2">
      <c r="I8952" s="1125"/>
      <c r="J8952" s="1125"/>
    </row>
    <row r="8953" spans="9:10" x14ac:dyDescent="0.2">
      <c r="I8953" s="1125"/>
      <c r="J8953" s="1125"/>
    </row>
    <row r="8954" spans="9:10" x14ac:dyDescent="0.2">
      <c r="I8954" s="1125"/>
      <c r="J8954" s="1125"/>
    </row>
    <row r="8955" spans="9:10" x14ac:dyDescent="0.2">
      <c r="I8955" s="1125"/>
      <c r="J8955" s="1125"/>
    </row>
    <row r="8956" spans="9:10" x14ac:dyDescent="0.2">
      <c r="I8956" s="1125"/>
      <c r="J8956" s="1125"/>
    </row>
    <row r="8957" spans="9:10" x14ac:dyDescent="0.2">
      <c r="I8957" s="1125"/>
      <c r="J8957" s="1125"/>
    </row>
    <row r="8958" spans="9:10" x14ac:dyDescent="0.2">
      <c r="I8958" s="1125"/>
      <c r="J8958" s="1125"/>
    </row>
    <row r="8959" spans="9:10" x14ac:dyDescent="0.2">
      <c r="I8959" s="1125"/>
      <c r="J8959" s="1125"/>
    </row>
    <row r="8960" spans="9:10" x14ac:dyDescent="0.2">
      <c r="I8960" s="1125"/>
      <c r="J8960" s="1125"/>
    </row>
    <row r="8961" spans="9:10" x14ac:dyDescent="0.2">
      <c r="I8961" s="1125"/>
      <c r="J8961" s="1125"/>
    </row>
    <row r="8962" spans="9:10" x14ac:dyDescent="0.2">
      <c r="I8962" s="1125"/>
      <c r="J8962" s="1125"/>
    </row>
    <row r="8963" spans="9:10" x14ac:dyDescent="0.2">
      <c r="I8963" s="1125"/>
      <c r="J8963" s="1125"/>
    </row>
    <row r="8964" spans="9:10" x14ac:dyDescent="0.2">
      <c r="I8964" s="1125"/>
      <c r="J8964" s="1125"/>
    </row>
    <row r="8965" spans="9:10" x14ac:dyDescent="0.2">
      <c r="I8965" s="1125"/>
      <c r="J8965" s="1125"/>
    </row>
    <row r="8966" spans="9:10" x14ac:dyDescent="0.2">
      <c r="I8966" s="1125"/>
      <c r="J8966" s="1125"/>
    </row>
    <row r="8967" spans="9:10" x14ac:dyDescent="0.2">
      <c r="I8967" s="1125"/>
      <c r="J8967" s="1125"/>
    </row>
    <row r="8968" spans="9:10" x14ac:dyDescent="0.2">
      <c r="I8968" s="1125"/>
      <c r="J8968" s="1125"/>
    </row>
    <row r="8969" spans="9:10" x14ac:dyDescent="0.2">
      <c r="I8969" s="1125"/>
      <c r="J8969" s="1125"/>
    </row>
    <row r="8970" spans="9:10" x14ac:dyDescent="0.2">
      <c r="I8970" s="1125"/>
      <c r="J8970" s="1125"/>
    </row>
    <row r="8971" spans="9:10" x14ac:dyDescent="0.2">
      <c r="I8971" s="1125"/>
      <c r="J8971" s="1125"/>
    </row>
    <row r="8972" spans="9:10" x14ac:dyDescent="0.2">
      <c r="I8972" s="1125"/>
      <c r="J8972" s="1125"/>
    </row>
    <row r="8973" spans="9:10" x14ac:dyDescent="0.2">
      <c r="I8973" s="1125"/>
      <c r="J8973" s="1125"/>
    </row>
    <row r="8974" spans="9:10" x14ac:dyDescent="0.2">
      <c r="I8974" s="1125"/>
      <c r="J8974" s="1125"/>
    </row>
    <row r="8975" spans="9:10" x14ac:dyDescent="0.2">
      <c r="I8975" s="1125"/>
      <c r="J8975" s="1125"/>
    </row>
    <row r="8976" spans="9:10" x14ac:dyDescent="0.2">
      <c r="I8976" s="1125"/>
      <c r="J8976" s="1125"/>
    </row>
    <row r="8977" spans="9:10" x14ac:dyDescent="0.2">
      <c r="I8977" s="1125"/>
      <c r="J8977" s="1125"/>
    </row>
    <row r="8978" spans="9:10" x14ac:dyDescent="0.2">
      <c r="I8978" s="1125"/>
      <c r="J8978" s="1125"/>
    </row>
    <row r="8979" spans="9:10" x14ac:dyDescent="0.2">
      <c r="I8979" s="1125"/>
      <c r="J8979" s="1125"/>
    </row>
    <row r="8980" spans="9:10" x14ac:dyDescent="0.2">
      <c r="I8980" s="1125"/>
      <c r="J8980" s="1125"/>
    </row>
    <row r="8981" spans="9:10" x14ac:dyDescent="0.2">
      <c r="I8981" s="1125"/>
      <c r="J8981" s="1125"/>
    </row>
    <row r="8982" spans="9:10" x14ac:dyDescent="0.2">
      <c r="I8982" s="1125"/>
      <c r="J8982" s="1125"/>
    </row>
    <row r="8983" spans="9:10" x14ac:dyDescent="0.2">
      <c r="I8983" s="1125"/>
      <c r="J8983" s="1125"/>
    </row>
    <row r="8984" spans="9:10" x14ac:dyDescent="0.2">
      <c r="I8984" s="1125"/>
      <c r="J8984" s="1125"/>
    </row>
    <row r="8985" spans="9:10" x14ac:dyDescent="0.2">
      <c r="I8985" s="1125"/>
      <c r="J8985" s="1125"/>
    </row>
    <row r="8986" spans="9:10" x14ac:dyDescent="0.2">
      <c r="I8986" s="1125"/>
      <c r="J8986" s="1125"/>
    </row>
    <row r="8987" spans="9:10" x14ac:dyDescent="0.2">
      <c r="I8987" s="1125"/>
      <c r="J8987" s="1125"/>
    </row>
    <row r="8988" spans="9:10" x14ac:dyDescent="0.2">
      <c r="I8988" s="1125"/>
      <c r="J8988" s="1125"/>
    </row>
    <row r="8989" spans="9:10" x14ac:dyDescent="0.2">
      <c r="I8989" s="1125"/>
      <c r="J8989" s="1125"/>
    </row>
    <row r="8990" spans="9:10" x14ac:dyDescent="0.2">
      <c r="I8990" s="1125"/>
      <c r="J8990" s="1125"/>
    </row>
    <row r="8991" spans="9:10" x14ac:dyDescent="0.2">
      <c r="I8991" s="1125"/>
      <c r="J8991" s="1125"/>
    </row>
    <row r="8992" spans="9:10" x14ac:dyDescent="0.2">
      <c r="I8992" s="1125"/>
      <c r="J8992" s="1125"/>
    </row>
    <row r="8993" spans="9:10" x14ac:dyDescent="0.2">
      <c r="I8993" s="1125"/>
      <c r="J8993" s="1125"/>
    </row>
    <row r="8994" spans="9:10" x14ac:dyDescent="0.2">
      <c r="I8994" s="1125"/>
      <c r="J8994" s="1125"/>
    </row>
    <row r="8995" spans="9:10" x14ac:dyDescent="0.2">
      <c r="I8995" s="1125"/>
      <c r="J8995" s="1125"/>
    </row>
    <row r="8996" spans="9:10" x14ac:dyDescent="0.2">
      <c r="I8996" s="1125"/>
      <c r="J8996" s="1125"/>
    </row>
    <row r="8997" spans="9:10" x14ac:dyDescent="0.2">
      <c r="I8997" s="1125"/>
      <c r="J8997" s="1125"/>
    </row>
    <row r="8998" spans="9:10" x14ac:dyDescent="0.2">
      <c r="I8998" s="1125"/>
      <c r="J8998" s="1125"/>
    </row>
    <row r="8999" spans="9:10" x14ac:dyDescent="0.2">
      <c r="I8999" s="1125"/>
      <c r="J8999" s="1125"/>
    </row>
    <row r="9000" spans="9:10" x14ac:dyDescent="0.2">
      <c r="I9000" s="1125"/>
      <c r="J9000" s="1125"/>
    </row>
    <row r="9001" spans="9:10" x14ac:dyDescent="0.2">
      <c r="I9001" s="1125"/>
      <c r="J9001" s="1125"/>
    </row>
    <row r="9002" spans="9:10" x14ac:dyDescent="0.2">
      <c r="I9002" s="1125"/>
      <c r="J9002" s="1125"/>
    </row>
    <row r="9003" spans="9:10" x14ac:dyDescent="0.2">
      <c r="I9003" s="1125"/>
      <c r="J9003" s="1125"/>
    </row>
    <row r="9004" spans="9:10" x14ac:dyDescent="0.2">
      <c r="I9004" s="1125"/>
      <c r="J9004" s="1125"/>
    </row>
    <row r="9005" spans="9:10" x14ac:dyDescent="0.2">
      <c r="I9005" s="1125"/>
      <c r="J9005" s="1125"/>
    </row>
    <row r="9006" spans="9:10" x14ac:dyDescent="0.2">
      <c r="I9006" s="1125"/>
      <c r="J9006" s="1125"/>
    </row>
    <row r="9007" spans="9:10" x14ac:dyDescent="0.2">
      <c r="I9007" s="1125"/>
      <c r="J9007" s="1125"/>
    </row>
    <row r="9008" spans="9:10" x14ac:dyDescent="0.2">
      <c r="I9008" s="1125"/>
      <c r="J9008" s="1125"/>
    </row>
    <row r="9009" spans="9:10" x14ac:dyDescent="0.2">
      <c r="I9009" s="1125"/>
      <c r="J9009" s="1125"/>
    </row>
    <row r="9010" spans="9:10" x14ac:dyDescent="0.2">
      <c r="I9010" s="1125"/>
      <c r="J9010" s="1125"/>
    </row>
    <row r="9011" spans="9:10" x14ac:dyDescent="0.2">
      <c r="I9011" s="1125"/>
      <c r="J9011" s="1125"/>
    </row>
    <row r="9012" spans="9:10" x14ac:dyDescent="0.2">
      <c r="I9012" s="1125"/>
      <c r="J9012" s="1125"/>
    </row>
    <row r="9013" spans="9:10" x14ac:dyDescent="0.2">
      <c r="I9013" s="1125"/>
      <c r="J9013" s="1125"/>
    </row>
    <row r="9014" spans="9:10" x14ac:dyDescent="0.2">
      <c r="I9014" s="1125"/>
      <c r="J9014" s="1125"/>
    </row>
    <row r="9015" spans="9:10" x14ac:dyDescent="0.2">
      <c r="I9015" s="1125"/>
      <c r="J9015" s="1125"/>
    </row>
    <row r="9016" spans="9:10" x14ac:dyDescent="0.2">
      <c r="I9016" s="1125"/>
      <c r="J9016" s="1125"/>
    </row>
    <row r="9017" spans="9:10" x14ac:dyDescent="0.2">
      <c r="I9017" s="1125"/>
      <c r="J9017" s="1125"/>
    </row>
    <row r="9018" spans="9:10" x14ac:dyDescent="0.2">
      <c r="I9018" s="1125"/>
      <c r="J9018" s="1125"/>
    </row>
    <row r="9019" spans="9:10" x14ac:dyDescent="0.2">
      <c r="I9019" s="1125"/>
      <c r="J9019" s="1125"/>
    </row>
    <row r="9020" spans="9:10" x14ac:dyDescent="0.2">
      <c r="I9020" s="1125"/>
      <c r="J9020" s="1125"/>
    </row>
    <row r="9021" spans="9:10" x14ac:dyDescent="0.2">
      <c r="I9021" s="1125"/>
      <c r="J9021" s="1125"/>
    </row>
    <row r="9022" spans="9:10" x14ac:dyDescent="0.2">
      <c r="I9022" s="1125"/>
      <c r="J9022" s="1125"/>
    </row>
    <row r="9023" spans="9:10" x14ac:dyDescent="0.2">
      <c r="I9023" s="1125"/>
      <c r="J9023" s="1125"/>
    </row>
    <row r="9024" spans="9:10" x14ac:dyDescent="0.2">
      <c r="I9024" s="1125"/>
      <c r="J9024" s="1125"/>
    </row>
    <row r="9025" spans="9:10" x14ac:dyDescent="0.2">
      <c r="I9025" s="1125"/>
      <c r="J9025" s="1125"/>
    </row>
    <row r="9026" spans="9:10" x14ac:dyDescent="0.2">
      <c r="I9026" s="1125"/>
      <c r="J9026" s="1125"/>
    </row>
    <row r="9027" spans="9:10" x14ac:dyDescent="0.2">
      <c r="I9027" s="1125"/>
      <c r="J9027" s="1125"/>
    </row>
    <row r="9028" spans="9:10" x14ac:dyDescent="0.2">
      <c r="I9028" s="1125"/>
      <c r="J9028" s="1125"/>
    </row>
    <row r="9029" spans="9:10" x14ac:dyDescent="0.2">
      <c r="I9029" s="1125"/>
      <c r="J9029" s="1125"/>
    </row>
    <row r="9030" spans="9:10" x14ac:dyDescent="0.2">
      <c r="I9030" s="1125"/>
      <c r="J9030" s="1125"/>
    </row>
    <row r="9031" spans="9:10" x14ac:dyDescent="0.2">
      <c r="I9031" s="1125"/>
      <c r="J9031" s="1125"/>
    </row>
    <row r="9032" spans="9:10" x14ac:dyDescent="0.2">
      <c r="I9032" s="1125"/>
      <c r="J9032" s="1125"/>
    </row>
    <row r="9033" spans="9:10" x14ac:dyDescent="0.2">
      <c r="I9033" s="1125"/>
      <c r="J9033" s="1125"/>
    </row>
    <row r="9034" spans="9:10" x14ac:dyDescent="0.2">
      <c r="I9034" s="1125"/>
      <c r="J9034" s="1125"/>
    </row>
    <row r="9035" spans="9:10" x14ac:dyDescent="0.2">
      <c r="I9035" s="1125"/>
      <c r="J9035" s="1125"/>
    </row>
    <row r="9036" spans="9:10" x14ac:dyDescent="0.2">
      <c r="I9036" s="1125"/>
      <c r="J9036" s="1125"/>
    </row>
    <row r="9037" spans="9:10" x14ac:dyDescent="0.2">
      <c r="I9037" s="1125"/>
      <c r="J9037" s="1125"/>
    </row>
    <row r="9038" spans="9:10" x14ac:dyDescent="0.2">
      <c r="I9038" s="1125"/>
      <c r="J9038" s="1125"/>
    </row>
    <row r="9039" spans="9:10" x14ac:dyDescent="0.2">
      <c r="I9039" s="1125"/>
      <c r="J9039" s="1125"/>
    </row>
    <row r="9040" spans="9:10" x14ac:dyDescent="0.2">
      <c r="I9040" s="1125"/>
      <c r="J9040" s="1125"/>
    </row>
    <row r="9041" spans="9:10" x14ac:dyDescent="0.2">
      <c r="I9041" s="1125"/>
      <c r="J9041" s="1125"/>
    </row>
    <row r="9042" spans="9:10" x14ac:dyDescent="0.2">
      <c r="I9042" s="1125"/>
      <c r="J9042" s="1125"/>
    </row>
    <row r="9043" spans="9:10" x14ac:dyDescent="0.2">
      <c r="I9043" s="1125"/>
      <c r="J9043" s="1125"/>
    </row>
    <row r="9044" spans="9:10" x14ac:dyDescent="0.2">
      <c r="I9044" s="1125"/>
      <c r="J9044" s="1125"/>
    </row>
    <row r="9045" spans="9:10" x14ac:dyDescent="0.2">
      <c r="I9045" s="1125"/>
      <c r="J9045" s="1125"/>
    </row>
    <row r="9046" spans="9:10" x14ac:dyDescent="0.2">
      <c r="I9046" s="1125"/>
      <c r="J9046" s="1125"/>
    </row>
    <row r="9047" spans="9:10" x14ac:dyDescent="0.2">
      <c r="I9047" s="1125"/>
      <c r="J9047" s="1125"/>
    </row>
    <row r="9048" spans="9:10" x14ac:dyDescent="0.2">
      <c r="I9048" s="1125"/>
      <c r="J9048" s="1125"/>
    </row>
    <row r="9049" spans="9:10" x14ac:dyDescent="0.2">
      <c r="I9049" s="1125"/>
      <c r="J9049" s="1125"/>
    </row>
    <row r="9050" spans="9:10" x14ac:dyDescent="0.2">
      <c r="I9050" s="1125"/>
      <c r="J9050" s="1125"/>
    </row>
    <row r="9051" spans="9:10" x14ac:dyDescent="0.2">
      <c r="I9051" s="1125"/>
      <c r="J9051" s="1125"/>
    </row>
    <row r="9052" spans="9:10" x14ac:dyDescent="0.2">
      <c r="I9052" s="1125"/>
      <c r="J9052" s="1125"/>
    </row>
    <row r="9053" spans="9:10" x14ac:dyDescent="0.2">
      <c r="I9053" s="1125"/>
      <c r="J9053" s="1125"/>
    </row>
    <row r="9054" spans="9:10" x14ac:dyDescent="0.2">
      <c r="I9054" s="1125"/>
      <c r="J9054" s="1125"/>
    </row>
    <row r="9055" spans="9:10" x14ac:dyDescent="0.2">
      <c r="I9055" s="1125"/>
      <c r="J9055" s="1125"/>
    </row>
    <row r="9056" spans="9:10" x14ac:dyDescent="0.2">
      <c r="I9056" s="1125"/>
      <c r="J9056" s="1125"/>
    </row>
    <row r="9057" spans="9:10" x14ac:dyDescent="0.2">
      <c r="I9057" s="1125"/>
      <c r="J9057" s="1125"/>
    </row>
    <row r="9058" spans="9:10" x14ac:dyDescent="0.2">
      <c r="I9058" s="1125"/>
      <c r="J9058" s="1125"/>
    </row>
    <row r="9059" spans="9:10" x14ac:dyDescent="0.2">
      <c r="I9059" s="1125"/>
      <c r="J9059" s="1125"/>
    </row>
    <row r="9060" spans="9:10" x14ac:dyDescent="0.2">
      <c r="I9060" s="1125"/>
      <c r="J9060" s="1125"/>
    </row>
    <row r="9061" spans="9:10" x14ac:dyDescent="0.2">
      <c r="I9061" s="1125"/>
      <c r="J9061" s="1125"/>
    </row>
    <row r="9062" spans="9:10" x14ac:dyDescent="0.2">
      <c r="I9062" s="1125"/>
      <c r="J9062" s="1125"/>
    </row>
    <row r="9063" spans="9:10" x14ac:dyDescent="0.2">
      <c r="I9063" s="1125"/>
      <c r="J9063" s="1125"/>
    </row>
    <row r="9064" spans="9:10" x14ac:dyDescent="0.2">
      <c r="I9064" s="1125"/>
      <c r="J9064" s="1125"/>
    </row>
    <row r="9065" spans="9:10" x14ac:dyDescent="0.2">
      <c r="I9065" s="1125"/>
      <c r="J9065" s="1125"/>
    </row>
    <row r="9066" spans="9:10" x14ac:dyDescent="0.2">
      <c r="I9066" s="1125"/>
      <c r="J9066" s="1125"/>
    </row>
    <row r="9067" spans="9:10" x14ac:dyDescent="0.2">
      <c r="I9067" s="1125"/>
      <c r="J9067" s="1125"/>
    </row>
    <row r="9068" spans="9:10" x14ac:dyDescent="0.2">
      <c r="I9068" s="1125"/>
      <c r="J9068" s="1125"/>
    </row>
    <row r="9069" spans="9:10" x14ac:dyDescent="0.2">
      <c r="I9069" s="1125"/>
      <c r="J9069" s="1125"/>
    </row>
    <row r="9070" spans="9:10" x14ac:dyDescent="0.2">
      <c r="I9070" s="1125"/>
      <c r="J9070" s="1125"/>
    </row>
    <row r="9071" spans="9:10" x14ac:dyDescent="0.2">
      <c r="I9071" s="1125"/>
      <c r="J9071" s="1125"/>
    </row>
    <row r="9072" spans="9:10" x14ac:dyDescent="0.2">
      <c r="I9072" s="1125"/>
      <c r="J9072" s="1125"/>
    </row>
    <row r="9073" spans="9:10" x14ac:dyDescent="0.2">
      <c r="I9073" s="1125"/>
      <c r="J9073" s="1125"/>
    </row>
    <row r="9074" spans="9:10" x14ac:dyDescent="0.2">
      <c r="I9074" s="1125"/>
      <c r="J9074" s="1125"/>
    </row>
    <row r="9075" spans="9:10" x14ac:dyDescent="0.2">
      <c r="I9075" s="1125"/>
      <c r="J9075" s="1125"/>
    </row>
    <row r="9076" spans="9:10" x14ac:dyDescent="0.2">
      <c r="I9076" s="1125"/>
      <c r="J9076" s="1125"/>
    </row>
    <row r="9077" spans="9:10" x14ac:dyDescent="0.2">
      <c r="I9077" s="1125"/>
      <c r="J9077" s="1125"/>
    </row>
    <row r="9078" spans="9:10" x14ac:dyDescent="0.2">
      <c r="I9078" s="1125"/>
      <c r="J9078" s="1125"/>
    </row>
    <row r="9079" spans="9:10" x14ac:dyDescent="0.2">
      <c r="I9079" s="1125"/>
      <c r="J9079" s="1125"/>
    </row>
    <row r="9080" spans="9:10" x14ac:dyDescent="0.2">
      <c r="I9080" s="1125"/>
      <c r="J9080" s="1125"/>
    </row>
    <row r="9081" spans="9:10" x14ac:dyDescent="0.2">
      <c r="I9081" s="1125"/>
      <c r="J9081" s="1125"/>
    </row>
    <row r="9082" spans="9:10" x14ac:dyDescent="0.2">
      <c r="I9082" s="1125"/>
      <c r="J9082" s="1125"/>
    </row>
    <row r="9083" spans="9:10" x14ac:dyDescent="0.2">
      <c r="I9083" s="1125"/>
      <c r="J9083" s="1125"/>
    </row>
    <row r="9084" spans="9:10" x14ac:dyDescent="0.2">
      <c r="I9084" s="1125"/>
      <c r="J9084" s="1125"/>
    </row>
    <row r="9085" spans="9:10" x14ac:dyDescent="0.2">
      <c r="I9085" s="1125"/>
      <c r="J9085" s="1125"/>
    </row>
    <row r="9086" spans="9:10" x14ac:dyDescent="0.2">
      <c r="I9086" s="1125"/>
      <c r="J9086" s="1125"/>
    </row>
    <row r="9087" spans="9:10" x14ac:dyDescent="0.2">
      <c r="I9087" s="1125"/>
      <c r="J9087" s="1125"/>
    </row>
    <row r="9088" spans="9:10" x14ac:dyDescent="0.2">
      <c r="I9088" s="1125"/>
      <c r="J9088" s="1125"/>
    </row>
    <row r="9089" spans="9:10" x14ac:dyDescent="0.2">
      <c r="I9089" s="1125"/>
      <c r="J9089" s="1125"/>
    </row>
    <row r="9090" spans="9:10" x14ac:dyDescent="0.2">
      <c r="I9090" s="1125"/>
      <c r="J9090" s="1125"/>
    </row>
    <row r="9091" spans="9:10" x14ac:dyDescent="0.2">
      <c r="I9091" s="1125"/>
      <c r="J9091" s="1125"/>
    </row>
    <row r="9092" spans="9:10" x14ac:dyDescent="0.2">
      <c r="I9092" s="1125"/>
      <c r="J9092" s="1125"/>
    </row>
    <row r="9093" spans="9:10" x14ac:dyDescent="0.2">
      <c r="I9093" s="1125"/>
      <c r="J9093" s="1125"/>
    </row>
    <row r="9094" spans="9:10" x14ac:dyDescent="0.2">
      <c r="I9094" s="1125"/>
      <c r="J9094" s="1125"/>
    </row>
    <row r="9095" spans="9:10" x14ac:dyDescent="0.2">
      <c r="I9095" s="1125"/>
      <c r="J9095" s="1125"/>
    </row>
    <row r="9096" spans="9:10" x14ac:dyDescent="0.2">
      <c r="I9096" s="1125"/>
      <c r="J9096" s="1125"/>
    </row>
    <row r="9097" spans="9:10" x14ac:dyDescent="0.2">
      <c r="I9097" s="1125"/>
      <c r="J9097" s="1125"/>
    </row>
    <row r="9098" spans="9:10" x14ac:dyDescent="0.2">
      <c r="I9098" s="1125"/>
      <c r="J9098" s="1125"/>
    </row>
    <row r="9099" spans="9:10" x14ac:dyDescent="0.2">
      <c r="I9099" s="1125"/>
      <c r="J9099" s="1125"/>
    </row>
    <row r="9100" spans="9:10" x14ac:dyDescent="0.2">
      <c r="I9100" s="1125"/>
      <c r="J9100" s="1125"/>
    </row>
    <row r="9101" spans="9:10" x14ac:dyDescent="0.2">
      <c r="I9101" s="1125"/>
      <c r="J9101" s="1125"/>
    </row>
    <row r="9102" spans="9:10" x14ac:dyDescent="0.2">
      <c r="I9102" s="1125"/>
      <c r="J9102" s="1125"/>
    </row>
    <row r="9103" spans="9:10" x14ac:dyDescent="0.2">
      <c r="I9103" s="1125"/>
      <c r="J9103" s="1125"/>
    </row>
    <row r="9104" spans="9:10" x14ac:dyDescent="0.2">
      <c r="I9104" s="1125"/>
      <c r="J9104" s="1125"/>
    </row>
    <row r="9105" spans="9:10" x14ac:dyDescent="0.2">
      <c r="I9105" s="1125"/>
      <c r="J9105" s="1125"/>
    </row>
    <row r="9106" spans="9:10" x14ac:dyDescent="0.2">
      <c r="I9106" s="1125"/>
      <c r="J9106" s="1125"/>
    </row>
    <row r="9107" spans="9:10" x14ac:dyDescent="0.2">
      <c r="I9107" s="1125"/>
      <c r="J9107" s="1125"/>
    </row>
    <row r="9108" spans="9:10" x14ac:dyDescent="0.2">
      <c r="I9108" s="1125"/>
      <c r="J9108" s="1125"/>
    </row>
    <row r="9109" spans="9:10" x14ac:dyDescent="0.2">
      <c r="I9109" s="1125"/>
      <c r="J9109" s="1125"/>
    </row>
    <row r="9110" spans="9:10" x14ac:dyDescent="0.2">
      <c r="I9110" s="1125"/>
      <c r="J9110" s="1125"/>
    </row>
    <row r="9111" spans="9:10" x14ac:dyDescent="0.2">
      <c r="I9111" s="1125"/>
      <c r="J9111" s="1125"/>
    </row>
    <row r="9112" spans="9:10" x14ac:dyDescent="0.2">
      <c r="I9112" s="1125"/>
      <c r="J9112" s="1125"/>
    </row>
    <row r="9113" spans="9:10" x14ac:dyDescent="0.2">
      <c r="I9113" s="1125"/>
      <c r="J9113" s="1125"/>
    </row>
    <row r="9114" spans="9:10" x14ac:dyDescent="0.2">
      <c r="I9114" s="1125"/>
      <c r="J9114" s="1125"/>
    </row>
    <row r="9115" spans="9:10" x14ac:dyDescent="0.2">
      <c r="I9115" s="1125"/>
      <c r="J9115" s="1125"/>
    </row>
    <row r="9116" spans="9:10" x14ac:dyDescent="0.2">
      <c r="I9116" s="1125"/>
      <c r="J9116" s="1125"/>
    </row>
    <row r="9117" spans="9:10" x14ac:dyDescent="0.2">
      <c r="I9117" s="1125"/>
      <c r="J9117" s="1125"/>
    </row>
    <row r="9118" spans="9:10" x14ac:dyDescent="0.2">
      <c r="I9118" s="1125"/>
      <c r="J9118" s="1125"/>
    </row>
    <row r="9119" spans="9:10" x14ac:dyDescent="0.2">
      <c r="I9119" s="1125"/>
      <c r="J9119" s="1125"/>
    </row>
    <row r="9120" spans="9:10" x14ac:dyDescent="0.2">
      <c r="I9120" s="1125"/>
      <c r="J9120" s="1125"/>
    </row>
    <row r="9121" spans="9:10" x14ac:dyDescent="0.2">
      <c r="I9121" s="1125"/>
      <c r="J9121" s="1125"/>
    </row>
    <row r="9122" spans="9:10" x14ac:dyDescent="0.2">
      <c r="I9122" s="1125"/>
      <c r="J9122" s="1125"/>
    </row>
    <row r="9123" spans="9:10" x14ac:dyDescent="0.2">
      <c r="I9123" s="1125"/>
      <c r="J9123" s="1125"/>
    </row>
    <row r="9124" spans="9:10" x14ac:dyDescent="0.2">
      <c r="I9124" s="1125"/>
      <c r="J9124" s="1125"/>
    </row>
    <row r="9125" spans="9:10" x14ac:dyDescent="0.2">
      <c r="I9125" s="1125"/>
      <c r="J9125" s="1125"/>
    </row>
    <row r="9126" spans="9:10" x14ac:dyDescent="0.2">
      <c r="I9126" s="1125"/>
      <c r="J9126" s="1125"/>
    </row>
    <row r="9127" spans="9:10" x14ac:dyDescent="0.2">
      <c r="I9127" s="1125"/>
      <c r="J9127" s="1125"/>
    </row>
    <row r="9128" spans="9:10" x14ac:dyDescent="0.2">
      <c r="I9128" s="1125"/>
      <c r="J9128" s="1125"/>
    </row>
    <row r="9129" spans="9:10" x14ac:dyDescent="0.2">
      <c r="I9129" s="1125"/>
      <c r="J9129" s="1125"/>
    </row>
    <row r="9130" spans="9:10" x14ac:dyDescent="0.2">
      <c r="I9130" s="1125"/>
      <c r="J9130" s="1125"/>
    </row>
    <row r="9131" spans="9:10" x14ac:dyDescent="0.2">
      <c r="I9131" s="1125"/>
      <c r="J9131" s="1125"/>
    </row>
    <row r="9132" spans="9:10" x14ac:dyDescent="0.2">
      <c r="I9132" s="1125"/>
      <c r="J9132" s="1125"/>
    </row>
    <row r="9133" spans="9:10" x14ac:dyDescent="0.2">
      <c r="I9133" s="1125"/>
      <c r="J9133" s="1125"/>
    </row>
    <row r="9134" spans="9:10" x14ac:dyDescent="0.2">
      <c r="I9134" s="1125"/>
      <c r="J9134" s="1125"/>
    </row>
    <row r="9135" spans="9:10" x14ac:dyDescent="0.2">
      <c r="I9135" s="1125"/>
      <c r="J9135" s="1125"/>
    </row>
    <row r="9136" spans="9:10" x14ac:dyDescent="0.2">
      <c r="I9136" s="1125"/>
      <c r="J9136" s="1125"/>
    </row>
    <row r="9137" spans="9:10" x14ac:dyDescent="0.2">
      <c r="I9137" s="1125"/>
      <c r="J9137" s="1125"/>
    </row>
    <row r="9138" spans="9:10" x14ac:dyDescent="0.2">
      <c r="I9138" s="1125"/>
      <c r="J9138" s="1125"/>
    </row>
    <row r="9139" spans="9:10" x14ac:dyDescent="0.2">
      <c r="I9139" s="1125"/>
      <c r="J9139" s="1125"/>
    </row>
    <row r="9140" spans="9:10" x14ac:dyDescent="0.2">
      <c r="I9140" s="1125"/>
      <c r="J9140" s="1125"/>
    </row>
    <row r="9141" spans="9:10" x14ac:dyDescent="0.2">
      <c r="I9141" s="1125"/>
      <c r="J9141" s="1125"/>
    </row>
    <row r="9142" spans="9:10" x14ac:dyDescent="0.2">
      <c r="I9142" s="1125"/>
      <c r="J9142" s="1125"/>
    </row>
    <row r="9143" spans="9:10" x14ac:dyDescent="0.2">
      <c r="I9143" s="1125"/>
      <c r="J9143" s="1125"/>
    </row>
    <row r="9144" spans="9:10" x14ac:dyDescent="0.2">
      <c r="I9144" s="1125"/>
      <c r="J9144" s="1125"/>
    </row>
    <row r="9145" spans="9:10" x14ac:dyDescent="0.2">
      <c r="I9145" s="1125"/>
      <c r="J9145" s="1125"/>
    </row>
    <row r="9146" spans="9:10" x14ac:dyDescent="0.2">
      <c r="I9146" s="1125"/>
      <c r="J9146" s="1125"/>
    </row>
    <row r="9147" spans="9:10" x14ac:dyDescent="0.2">
      <c r="I9147" s="1125"/>
      <c r="J9147" s="1125"/>
    </row>
    <row r="9148" spans="9:10" x14ac:dyDescent="0.2">
      <c r="I9148" s="1125"/>
      <c r="J9148" s="1125"/>
    </row>
    <row r="9149" spans="9:10" x14ac:dyDescent="0.2">
      <c r="I9149" s="1125"/>
      <c r="J9149" s="1125"/>
    </row>
    <row r="9150" spans="9:10" x14ac:dyDescent="0.2">
      <c r="I9150" s="1125"/>
      <c r="J9150" s="1125"/>
    </row>
    <row r="9151" spans="9:10" x14ac:dyDescent="0.2">
      <c r="I9151" s="1125"/>
      <c r="J9151" s="1125"/>
    </row>
    <row r="9152" spans="9:10" x14ac:dyDescent="0.2">
      <c r="I9152" s="1125"/>
      <c r="J9152" s="1125"/>
    </row>
    <row r="9153" spans="9:10" x14ac:dyDescent="0.2">
      <c r="I9153" s="1125"/>
      <c r="J9153" s="1125"/>
    </row>
    <row r="9154" spans="9:10" x14ac:dyDescent="0.2">
      <c r="I9154" s="1125"/>
      <c r="J9154" s="1125"/>
    </row>
    <row r="9155" spans="9:10" x14ac:dyDescent="0.2">
      <c r="I9155" s="1125"/>
      <c r="J9155" s="1125"/>
    </row>
    <row r="9156" spans="9:10" x14ac:dyDescent="0.2">
      <c r="I9156" s="1125"/>
      <c r="J9156" s="1125"/>
    </row>
    <row r="9157" spans="9:10" x14ac:dyDescent="0.2">
      <c r="I9157" s="1125"/>
      <c r="J9157" s="1125"/>
    </row>
    <row r="9158" spans="9:10" x14ac:dyDescent="0.2">
      <c r="I9158" s="1125"/>
      <c r="J9158" s="1125"/>
    </row>
    <row r="9159" spans="9:10" x14ac:dyDescent="0.2">
      <c r="I9159" s="1125"/>
      <c r="J9159" s="1125"/>
    </row>
    <row r="9160" spans="9:10" x14ac:dyDescent="0.2">
      <c r="I9160" s="1125"/>
      <c r="J9160" s="1125"/>
    </row>
    <row r="9161" spans="9:10" x14ac:dyDescent="0.2">
      <c r="I9161" s="1125"/>
      <c r="J9161" s="1125"/>
    </row>
    <row r="9162" spans="9:10" x14ac:dyDescent="0.2">
      <c r="I9162" s="1125"/>
      <c r="J9162" s="1125"/>
    </row>
    <row r="9163" spans="9:10" x14ac:dyDescent="0.2">
      <c r="I9163" s="1125"/>
      <c r="J9163" s="1125"/>
    </row>
    <row r="9164" spans="9:10" x14ac:dyDescent="0.2">
      <c r="I9164" s="1125"/>
      <c r="J9164" s="1125"/>
    </row>
    <row r="9165" spans="9:10" x14ac:dyDescent="0.2">
      <c r="I9165" s="1125"/>
      <c r="J9165" s="1125"/>
    </row>
    <row r="9166" spans="9:10" x14ac:dyDescent="0.2">
      <c r="I9166" s="1125"/>
      <c r="J9166" s="1125"/>
    </row>
    <row r="9167" spans="9:10" x14ac:dyDescent="0.2">
      <c r="I9167" s="1125"/>
      <c r="J9167" s="1125"/>
    </row>
    <row r="9168" spans="9:10" x14ac:dyDescent="0.2">
      <c r="I9168" s="1125"/>
      <c r="J9168" s="1125"/>
    </row>
    <row r="9169" spans="9:10" x14ac:dyDescent="0.2">
      <c r="I9169" s="1125"/>
      <c r="J9169" s="1125"/>
    </row>
    <row r="9170" spans="9:10" x14ac:dyDescent="0.2">
      <c r="I9170" s="1125"/>
      <c r="J9170" s="1125"/>
    </row>
    <row r="9171" spans="9:10" x14ac:dyDescent="0.2">
      <c r="I9171" s="1125"/>
      <c r="J9171" s="1125"/>
    </row>
    <row r="9172" spans="9:10" x14ac:dyDescent="0.2">
      <c r="I9172" s="1125"/>
      <c r="J9172" s="1125"/>
    </row>
    <row r="9173" spans="9:10" x14ac:dyDescent="0.2">
      <c r="I9173" s="1125"/>
      <c r="J9173" s="1125"/>
    </row>
    <row r="9174" spans="9:10" x14ac:dyDescent="0.2">
      <c r="I9174" s="1125"/>
      <c r="J9174" s="1125"/>
    </row>
    <row r="9175" spans="9:10" x14ac:dyDescent="0.2">
      <c r="I9175" s="1125"/>
      <c r="J9175" s="1125"/>
    </row>
    <row r="9176" spans="9:10" x14ac:dyDescent="0.2">
      <c r="I9176" s="1125"/>
      <c r="J9176" s="1125"/>
    </row>
    <row r="9177" spans="9:10" x14ac:dyDescent="0.2">
      <c r="I9177" s="1125"/>
      <c r="J9177" s="1125"/>
    </row>
    <row r="9178" spans="9:10" x14ac:dyDescent="0.2">
      <c r="I9178" s="1125"/>
      <c r="J9178" s="1125"/>
    </row>
    <row r="9179" spans="9:10" x14ac:dyDescent="0.2">
      <c r="I9179" s="1125"/>
      <c r="J9179" s="1125"/>
    </row>
    <row r="9180" spans="9:10" x14ac:dyDescent="0.2">
      <c r="I9180" s="1125"/>
      <c r="J9180" s="1125"/>
    </row>
    <row r="9181" spans="9:10" x14ac:dyDescent="0.2">
      <c r="I9181" s="1125"/>
      <c r="J9181" s="1125"/>
    </row>
    <row r="9182" spans="9:10" x14ac:dyDescent="0.2">
      <c r="I9182" s="1125"/>
      <c r="J9182" s="1125"/>
    </row>
    <row r="9183" spans="9:10" x14ac:dyDescent="0.2">
      <c r="I9183" s="1125"/>
      <c r="J9183" s="1125"/>
    </row>
    <row r="9184" spans="9:10" x14ac:dyDescent="0.2">
      <c r="I9184" s="1125"/>
      <c r="J9184" s="1125"/>
    </row>
    <row r="9185" spans="9:10" x14ac:dyDescent="0.2">
      <c r="I9185" s="1125"/>
      <c r="J9185" s="1125"/>
    </row>
    <row r="9186" spans="9:10" x14ac:dyDescent="0.2">
      <c r="I9186" s="1125"/>
      <c r="J9186" s="1125"/>
    </row>
    <row r="9187" spans="9:10" x14ac:dyDescent="0.2">
      <c r="I9187" s="1125"/>
      <c r="J9187" s="1125"/>
    </row>
    <row r="9188" spans="9:10" x14ac:dyDescent="0.2">
      <c r="I9188" s="1125"/>
      <c r="J9188" s="1125"/>
    </row>
    <row r="9189" spans="9:10" x14ac:dyDescent="0.2">
      <c r="I9189" s="1125"/>
      <c r="J9189" s="1125"/>
    </row>
    <row r="9190" spans="9:10" x14ac:dyDescent="0.2">
      <c r="I9190" s="1125"/>
      <c r="J9190" s="1125"/>
    </row>
    <row r="9191" spans="9:10" x14ac:dyDescent="0.2">
      <c r="I9191" s="1125"/>
      <c r="J9191" s="1125"/>
    </row>
    <row r="9192" spans="9:10" x14ac:dyDescent="0.2">
      <c r="I9192" s="1125"/>
      <c r="J9192" s="1125"/>
    </row>
    <row r="9193" spans="9:10" x14ac:dyDescent="0.2">
      <c r="I9193" s="1125"/>
      <c r="J9193" s="1125"/>
    </row>
    <row r="9194" spans="9:10" x14ac:dyDescent="0.2">
      <c r="I9194" s="1125"/>
      <c r="J9194" s="1125"/>
    </row>
    <row r="9195" spans="9:10" x14ac:dyDescent="0.2">
      <c r="I9195" s="1125"/>
      <c r="J9195" s="1125"/>
    </row>
    <row r="9196" spans="9:10" x14ac:dyDescent="0.2">
      <c r="I9196" s="1125"/>
      <c r="J9196" s="1125"/>
    </row>
    <row r="9197" spans="9:10" x14ac:dyDescent="0.2">
      <c r="I9197" s="1125"/>
      <c r="J9197" s="1125"/>
    </row>
    <row r="9198" spans="9:10" x14ac:dyDescent="0.2">
      <c r="I9198" s="1125"/>
      <c r="J9198" s="1125"/>
    </row>
    <row r="9199" spans="9:10" x14ac:dyDescent="0.2">
      <c r="I9199" s="1125"/>
      <c r="J9199" s="1125"/>
    </row>
    <row r="9200" spans="9:10" x14ac:dyDescent="0.2">
      <c r="I9200" s="1125"/>
      <c r="J9200" s="1125"/>
    </row>
    <row r="9201" spans="9:10" x14ac:dyDescent="0.2">
      <c r="I9201" s="1125"/>
      <c r="J9201" s="1125"/>
    </row>
    <row r="9202" spans="9:10" x14ac:dyDescent="0.2">
      <c r="I9202" s="1125"/>
      <c r="J9202" s="1125"/>
    </row>
    <row r="9203" spans="9:10" x14ac:dyDescent="0.2">
      <c r="I9203" s="1125"/>
      <c r="J9203" s="1125"/>
    </row>
    <row r="9204" spans="9:10" x14ac:dyDescent="0.2">
      <c r="I9204" s="1125"/>
      <c r="J9204" s="1125"/>
    </row>
    <row r="9205" spans="9:10" x14ac:dyDescent="0.2">
      <c r="I9205" s="1125"/>
      <c r="J9205" s="1125"/>
    </row>
    <row r="9206" spans="9:10" x14ac:dyDescent="0.2">
      <c r="I9206" s="1125"/>
      <c r="J9206" s="1125"/>
    </row>
    <row r="9207" spans="9:10" x14ac:dyDescent="0.2">
      <c r="I9207" s="1125"/>
      <c r="J9207" s="1125"/>
    </row>
    <row r="9208" spans="9:10" x14ac:dyDescent="0.2">
      <c r="I9208" s="1125"/>
      <c r="J9208" s="1125"/>
    </row>
    <row r="9209" spans="9:10" x14ac:dyDescent="0.2">
      <c r="I9209" s="1125"/>
      <c r="J9209" s="1125"/>
    </row>
    <row r="9210" spans="9:10" x14ac:dyDescent="0.2">
      <c r="I9210" s="1125"/>
      <c r="J9210" s="1125"/>
    </row>
    <row r="9211" spans="9:10" x14ac:dyDescent="0.2">
      <c r="I9211" s="1125"/>
      <c r="J9211" s="1125"/>
    </row>
    <row r="9212" spans="9:10" x14ac:dyDescent="0.2">
      <c r="I9212" s="1125"/>
      <c r="J9212" s="1125"/>
    </row>
    <row r="9213" spans="9:10" x14ac:dyDescent="0.2">
      <c r="I9213" s="1125"/>
      <c r="J9213" s="1125"/>
    </row>
    <row r="9214" spans="9:10" x14ac:dyDescent="0.2">
      <c r="I9214" s="1125"/>
      <c r="J9214" s="1125"/>
    </row>
    <row r="9215" spans="9:10" x14ac:dyDescent="0.2">
      <c r="I9215" s="1125"/>
      <c r="J9215" s="1125"/>
    </row>
    <row r="9216" spans="9:10" x14ac:dyDescent="0.2">
      <c r="I9216" s="1125"/>
      <c r="J9216" s="1125"/>
    </row>
    <row r="9217" spans="9:10" x14ac:dyDescent="0.2">
      <c r="I9217" s="1125"/>
      <c r="J9217" s="1125"/>
    </row>
    <row r="9218" spans="9:10" x14ac:dyDescent="0.2">
      <c r="I9218" s="1125"/>
      <c r="J9218" s="1125"/>
    </row>
    <row r="9219" spans="9:10" x14ac:dyDescent="0.2">
      <c r="I9219" s="1125"/>
      <c r="J9219" s="1125"/>
    </row>
    <row r="9220" spans="9:10" x14ac:dyDescent="0.2">
      <c r="I9220" s="1125"/>
      <c r="J9220" s="1125"/>
    </row>
    <row r="9221" spans="9:10" x14ac:dyDescent="0.2">
      <c r="I9221" s="1125"/>
      <c r="J9221" s="1125"/>
    </row>
    <row r="9222" spans="9:10" x14ac:dyDescent="0.2">
      <c r="I9222" s="1125"/>
      <c r="J9222" s="1125"/>
    </row>
    <row r="9223" spans="9:10" x14ac:dyDescent="0.2">
      <c r="I9223" s="1125"/>
      <c r="J9223" s="1125"/>
    </row>
    <row r="9224" spans="9:10" x14ac:dyDescent="0.2">
      <c r="I9224" s="1125"/>
      <c r="J9224" s="1125"/>
    </row>
    <row r="9225" spans="9:10" x14ac:dyDescent="0.2">
      <c r="I9225" s="1125"/>
      <c r="J9225" s="1125"/>
    </row>
    <row r="9226" spans="9:10" x14ac:dyDescent="0.2">
      <c r="I9226" s="1125"/>
      <c r="J9226" s="1125"/>
    </row>
    <row r="9227" spans="9:10" x14ac:dyDescent="0.2">
      <c r="I9227" s="1125"/>
      <c r="J9227" s="1125"/>
    </row>
    <row r="9228" spans="9:10" x14ac:dyDescent="0.2">
      <c r="I9228" s="1125"/>
      <c r="J9228" s="1125"/>
    </row>
    <row r="9229" spans="9:10" x14ac:dyDescent="0.2">
      <c r="I9229" s="1125"/>
      <c r="J9229" s="1125"/>
    </row>
    <row r="9230" spans="9:10" x14ac:dyDescent="0.2">
      <c r="I9230" s="1125"/>
      <c r="J9230" s="1125"/>
    </row>
    <row r="9231" spans="9:10" x14ac:dyDescent="0.2">
      <c r="I9231" s="1125"/>
      <c r="J9231" s="1125"/>
    </row>
    <row r="9232" spans="9:10" x14ac:dyDescent="0.2">
      <c r="I9232" s="1125"/>
      <c r="J9232" s="1125"/>
    </row>
    <row r="9233" spans="9:10" x14ac:dyDescent="0.2">
      <c r="I9233" s="1125"/>
      <c r="J9233" s="1125"/>
    </row>
    <row r="9234" spans="9:10" x14ac:dyDescent="0.2">
      <c r="I9234" s="1125"/>
      <c r="J9234" s="1125"/>
    </row>
    <row r="9235" spans="9:10" x14ac:dyDescent="0.2">
      <c r="I9235" s="1125"/>
      <c r="J9235" s="1125"/>
    </row>
    <row r="9236" spans="9:10" x14ac:dyDescent="0.2">
      <c r="I9236" s="1125"/>
      <c r="J9236" s="1125"/>
    </row>
    <row r="9237" spans="9:10" x14ac:dyDescent="0.2">
      <c r="I9237" s="1125"/>
      <c r="J9237" s="1125"/>
    </row>
    <row r="9238" spans="9:10" x14ac:dyDescent="0.2">
      <c r="I9238" s="1125"/>
      <c r="J9238" s="1125"/>
    </row>
    <row r="9239" spans="9:10" x14ac:dyDescent="0.2">
      <c r="I9239" s="1125"/>
      <c r="J9239" s="1125"/>
    </row>
    <row r="9240" spans="9:10" x14ac:dyDescent="0.2">
      <c r="I9240" s="1125"/>
      <c r="J9240" s="1125"/>
    </row>
    <row r="9241" spans="9:10" x14ac:dyDescent="0.2">
      <c r="I9241" s="1125"/>
      <c r="J9241" s="1125"/>
    </row>
    <row r="9242" spans="9:10" x14ac:dyDescent="0.2">
      <c r="I9242" s="1125"/>
      <c r="J9242" s="1125"/>
    </row>
    <row r="9243" spans="9:10" x14ac:dyDescent="0.2">
      <c r="I9243" s="1125"/>
      <c r="J9243" s="1125"/>
    </row>
    <row r="9244" spans="9:10" x14ac:dyDescent="0.2">
      <c r="I9244" s="1125"/>
      <c r="J9244" s="1125"/>
    </row>
    <row r="9245" spans="9:10" x14ac:dyDescent="0.2">
      <c r="I9245" s="1125"/>
      <c r="J9245" s="1125"/>
    </row>
    <row r="9246" spans="9:10" x14ac:dyDescent="0.2">
      <c r="I9246" s="1125"/>
      <c r="J9246" s="1125"/>
    </row>
    <row r="9247" spans="9:10" x14ac:dyDescent="0.2">
      <c r="I9247" s="1125"/>
      <c r="J9247" s="1125"/>
    </row>
    <row r="9248" spans="9:10" x14ac:dyDescent="0.2">
      <c r="I9248" s="1125"/>
      <c r="J9248" s="1125"/>
    </row>
    <row r="9249" spans="9:10" x14ac:dyDescent="0.2">
      <c r="I9249" s="1125"/>
      <c r="J9249" s="1125"/>
    </row>
    <row r="9250" spans="9:10" x14ac:dyDescent="0.2">
      <c r="I9250" s="1125"/>
      <c r="J9250" s="1125"/>
    </row>
    <row r="9251" spans="9:10" x14ac:dyDescent="0.2">
      <c r="I9251" s="1125"/>
      <c r="J9251" s="1125"/>
    </row>
    <row r="9252" spans="9:10" x14ac:dyDescent="0.2">
      <c r="I9252" s="1125"/>
      <c r="J9252" s="1125"/>
    </row>
    <row r="9253" spans="9:10" x14ac:dyDescent="0.2">
      <c r="I9253" s="1125"/>
      <c r="J9253" s="1125"/>
    </row>
    <row r="9254" spans="9:10" x14ac:dyDescent="0.2">
      <c r="I9254" s="1125"/>
      <c r="J9254" s="1125"/>
    </row>
    <row r="9255" spans="9:10" x14ac:dyDescent="0.2">
      <c r="I9255" s="1125"/>
      <c r="J9255" s="1125"/>
    </row>
    <row r="9256" spans="9:10" x14ac:dyDescent="0.2">
      <c r="I9256" s="1125"/>
      <c r="J9256" s="1125"/>
    </row>
    <row r="9257" spans="9:10" x14ac:dyDescent="0.2">
      <c r="I9257" s="1125"/>
      <c r="J9257" s="1125"/>
    </row>
    <row r="9258" spans="9:10" x14ac:dyDescent="0.2">
      <c r="I9258" s="1125"/>
      <c r="J9258" s="1125"/>
    </row>
    <row r="9259" spans="9:10" x14ac:dyDescent="0.2">
      <c r="I9259" s="1125"/>
      <c r="J9259" s="1125"/>
    </row>
    <row r="9260" spans="9:10" x14ac:dyDescent="0.2">
      <c r="I9260" s="1125"/>
      <c r="J9260" s="1125"/>
    </row>
    <row r="9261" spans="9:10" x14ac:dyDescent="0.2">
      <c r="I9261" s="1125"/>
      <c r="J9261" s="1125"/>
    </row>
    <row r="9262" spans="9:10" x14ac:dyDescent="0.2">
      <c r="I9262" s="1125"/>
      <c r="J9262" s="1125"/>
    </row>
    <row r="9263" spans="9:10" x14ac:dyDescent="0.2">
      <c r="I9263" s="1125"/>
      <c r="J9263" s="1125"/>
    </row>
    <row r="9264" spans="9:10" x14ac:dyDescent="0.2">
      <c r="I9264" s="1125"/>
      <c r="J9264" s="1125"/>
    </row>
    <row r="9265" spans="9:10" x14ac:dyDescent="0.2">
      <c r="I9265" s="1125"/>
      <c r="J9265" s="1125"/>
    </row>
    <row r="9266" spans="9:10" x14ac:dyDescent="0.2">
      <c r="I9266" s="1125"/>
      <c r="J9266" s="1125"/>
    </row>
    <row r="9267" spans="9:10" x14ac:dyDescent="0.2">
      <c r="I9267" s="1125"/>
      <c r="J9267" s="1125"/>
    </row>
    <row r="9268" spans="9:10" x14ac:dyDescent="0.2">
      <c r="I9268" s="1125"/>
      <c r="J9268" s="1125"/>
    </row>
    <row r="9269" spans="9:10" x14ac:dyDescent="0.2">
      <c r="I9269" s="1125"/>
      <c r="J9269" s="1125"/>
    </row>
    <row r="9270" spans="9:10" x14ac:dyDescent="0.2">
      <c r="I9270" s="1125"/>
      <c r="J9270" s="1125"/>
    </row>
    <row r="9271" spans="9:10" x14ac:dyDescent="0.2">
      <c r="I9271" s="1125"/>
      <c r="J9271" s="1125"/>
    </row>
    <row r="9272" spans="9:10" x14ac:dyDescent="0.2">
      <c r="I9272" s="1125"/>
      <c r="J9272" s="1125"/>
    </row>
    <row r="9273" spans="9:10" x14ac:dyDescent="0.2">
      <c r="I9273" s="1125"/>
      <c r="J9273" s="1125"/>
    </row>
    <row r="9274" spans="9:10" x14ac:dyDescent="0.2">
      <c r="I9274" s="1125"/>
      <c r="J9274" s="1125"/>
    </row>
    <row r="9275" spans="9:10" x14ac:dyDescent="0.2">
      <c r="I9275" s="1125"/>
      <c r="J9275" s="1125"/>
    </row>
    <row r="9276" spans="9:10" x14ac:dyDescent="0.2">
      <c r="I9276" s="1125"/>
      <c r="J9276" s="1125"/>
    </row>
    <row r="9277" spans="9:10" x14ac:dyDescent="0.2">
      <c r="I9277" s="1125"/>
      <c r="J9277" s="1125"/>
    </row>
    <row r="9278" spans="9:10" x14ac:dyDescent="0.2">
      <c r="I9278" s="1125"/>
      <c r="J9278" s="1125"/>
    </row>
    <row r="9279" spans="9:10" x14ac:dyDescent="0.2">
      <c r="I9279" s="1125"/>
      <c r="J9279" s="1125"/>
    </row>
    <row r="9280" spans="9:10" x14ac:dyDescent="0.2">
      <c r="I9280" s="1125"/>
      <c r="J9280" s="1125"/>
    </row>
    <row r="9281" spans="9:10" x14ac:dyDescent="0.2">
      <c r="I9281" s="1125"/>
      <c r="J9281" s="1125"/>
    </row>
    <row r="9282" spans="9:10" x14ac:dyDescent="0.2">
      <c r="I9282" s="1125"/>
      <c r="J9282" s="1125"/>
    </row>
    <row r="9283" spans="9:10" x14ac:dyDescent="0.2">
      <c r="I9283" s="1125"/>
      <c r="J9283" s="1125"/>
    </row>
    <row r="9284" spans="9:10" x14ac:dyDescent="0.2">
      <c r="I9284" s="1125"/>
      <c r="J9284" s="1125"/>
    </row>
    <row r="9285" spans="9:10" x14ac:dyDescent="0.2">
      <c r="I9285" s="1125"/>
      <c r="J9285" s="1125"/>
    </row>
    <row r="9286" spans="9:10" x14ac:dyDescent="0.2">
      <c r="I9286" s="1125"/>
      <c r="J9286" s="1125"/>
    </row>
    <row r="9287" spans="9:10" x14ac:dyDescent="0.2">
      <c r="I9287" s="1125"/>
      <c r="J9287" s="1125"/>
    </row>
    <row r="9288" spans="9:10" x14ac:dyDescent="0.2">
      <c r="I9288" s="1125"/>
      <c r="J9288" s="1125"/>
    </row>
    <row r="9289" spans="9:10" x14ac:dyDescent="0.2">
      <c r="I9289" s="1125"/>
      <c r="J9289" s="1125"/>
    </row>
    <row r="9290" spans="9:10" x14ac:dyDescent="0.2">
      <c r="I9290" s="1125"/>
      <c r="J9290" s="1125"/>
    </row>
    <row r="9291" spans="9:10" x14ac:dyDescent="0.2">
      <c r="I9291" s="1125"/>
      <c r="J9291" s="1125"/>
    </row>
    <row r="9292" spans="9:10" x14ac:dyDescent="0.2">
      <c r="I9292" s="1125"/>
      <c r="J9292" s="1125"/>
    </row>
    <row r="9293" spans="9:10" x14ac:dyDescent="0.2">
      <c r="I9293" s="1125"/>
      <c r="J9293" s="1125"/>
    </row>
    <row r="9294" spans="9:10" x14ac:dyDescent="0.2">
      <c r="I9294" s="1125"/>
      <c r="J9294" s="1125"/>
    </row>
    <row r="9295" spans="9:10" x14ac:dyDescent="0.2">
      <c r="I9295" s="1125"/>
      <c r="J9295" s="1125"/>
    </row>
    <row r="9296" spans="9:10" x14ac:dyDescent="0.2">
      <c r="I9296" s="1125"/>
      <c r="J9296" s="1125"/>
    </row>
    <row r="9297" spans="9:10" x14ac:dyDescent="0.2">
      <c r="I9297" s="1125"/>
      <c r="J9297" s="1125"/>
    </row>
    <row r="9298" spans="9:10" x14ac:dyDescent="0.2">
      <c r="I9298" s="1125"/>
      <c r="J9298" s="1125"/>
    </row>
    <row r="9299" spans="9:10" x14ac:dyDescent="0.2">
      <c r="I9299" s="1125"/>
      <c r="J9299" s="1125"/>
    </row>
    <row r="9300" spans="9:10" x14ac:dyDescent="0.2">
      <c r="I9300" s="1125"/>
      <c r="J9300" s="1125"/>
    </row>
    <row r="9301" spans="9:10" x14ac:dyDescent="0.2">
      <c r="I9301" s="1125"/>
      <c r="J9301" s="1125"/>
    </row>
    <row r="9302" spans="9:10" x14ac:dyDescent="0.2">
      <c r="I9302" s="1125"/>
      <c r="J9302" s="1125"/>
    </row>
    <row r="9303" spans="9:10" x14ac:dyDescent="0.2">
      <c r="I9303" s="1125"/>
      <c r="J9303" s="1125"/>
    </row>
    <row r="9304" spans="9:10" x14ac:dyDescent="0.2">
      <c r="I9304" s="1125"/>
      <c r="J9304" s="1125"/>
    </row>
    <row r="9305" spans="9:10" x14ac:dyDescent="0.2">
      <c r="I9305" s="1125"/>
      <c r="J9305" s="1125"/>
    </row>
    <row r="9306" spans="9:10" x14ac:dyDescent="0.2">
      <c r="I9306" s="1125"/>
      <c r="J9306" s="1125"/>
    </row>
    <row r="9307" spans="9:10" x14ac:dyDescent="0.2">
      <c r="I9307" s="1125"/>
      <c r="J9307" s="1125"/>
    </row>
    <row r="9308" spans="9:10" x14ac:dyDescent="0.2">
      <c r="I9308" s="1125"/>
      <c r="J9308" s="1125"/>
    </row>
    <row r="9309" spans="9:10" x14ac:dyDescent="0.2">
      <c r="I9309" s="1125"/>
      <c r="J9309" s="1125"/>
    </row>
    <row r="9310" spans="9:10" x14ac:dyDescent="0.2">
      <c r="I9310" s="1125"/>
      <c r="J9310" s="1125"/>
    </row>
    <row r="9311" spans="9:10" x14ac:dyDescent="0.2">
      <c r="I9311" s="1125"/>
      <c r="J9311" s="1125"/>
    </row>
    <row r="9312" spans="9:10" x14ac:dyDescent="0.2">
      <c r="I9312" s="1125"/>
      <c r="J9312" s="1125"/>
    </row>
    <row r="9313" spans="9:10" x14ac:dyDescent="0.2">
      <c r="I9313" s="1125"/>
      <c r="J9313" s="1125"/>
    </row>
    <row r="9314" spans="9:10" x14ac:dyDescent="0.2">
      <c r="I9314" s="1125"/>
      <c r="J9314" s="1125"/>
    </row>
    <row r="9315" spans="9:10" x14ac:dyDescent="0.2">
      <c r="I9315" s="1125"/>
      <c r="J9315" s="1125"/>
    </row>
    <row r="9316" spans="9:10" x14ac:dyDescent="0.2">
      <c r="I9316" s="1125"/>
      <c r="J9316" s="1125"/>
    </row>
    <row r="9317" spans="9:10" x14ac:dyDescent="0.2">
      <c r="I9317" s="1125"/>
      <c r="J9317" s="1125"/>
    </row>
    <row r="9318" spans="9:10" x14ac:dyDescent="0.2">
      <c r="I9318" s="1125"/>
      <c r="J9318" s="1125"/>
    </row>
    <row r="9319" spans="9:10" x14ac:dyDescent="0.2">
      <c r="I9319" s="1125"/>
      <c r="J9319" s="1125"/>
    </row>
    <row r="9320" spans="9:10" x14ac:dyDescent="0.2">
      <c r="I9320" s="1125"/>
      <c r="J9320" s="1125"/>
    </row>
    <row r="9321" spans="9:10" x14ac:dyDescent="0.2">
      <c r="I9321" s="1125"/>
      <c r="J9321" s="1125"/>
    </row>
    <row r="9322" spans="9:10" x14ac:dyDescent="0.2">
      <c r="I9322" s="1125"/>
      <c r="J9322" s="1125"/>
    </row>
    <row r="9323" spans="9:10" x14ac:dyDescent="0.2">
      <c r="I9323" s="1125"/>
      <c r="J9323" s="1125"/>
    </row>
    <row r="9324" spans="9:10" x14ac:dyDescent="0.2">
      <c r="I9324" s="1125"/>
      <c r="J9324" s="1125"/>
    </row>
    <row r="9325" spans="9:10" x14ac:dyDescent="0.2">
      <c r="I9325" s="1125"/>
      <c r="J9325" s="1125"/>
    </row>
    <row r="9326" spans="9:10" x14ac:dyDescent="0.2">
      <c r="I9326" s="1125"/>
      <c r="J9326" s="1125"/>
    </row>
    <row r="9327" spans="9:10" x14ac:dyDescent="0.2">
      <c r="I9327" s="1125"/>
      <c r="J9327" s="1125"/>
    </row>
    <row r="9328" spans="9:10" x14ac:dyDescent="0.2">
      <c r="I9328" s="1125"/>
      <c r="J9328" s="1125"/>
    </row>
    <row r="9329" spans="9:10" x14ac:dyDescent="0.2">
      <c r="I9329" s="1125"/>
      <c r="J9329" s="1125"/>
    </row>
    <row r="9330" spans="9:10" x14ac:dyDescent="0.2">
      <c r="I9330" s="1125"/>
      <c r="J9330" s="1125"/>
    </row>
    <row r="9331" spans="9:10" x14ac:dyDescent="0.2">
      <c r="I9331" s="1125"/>
      <c r="J9331" s="1125"/>
    </row>
    <row r="9332" spans="9:10" x14ac:dyDescent="0.2">
      <c r="I9332" s="1125"/>
      <c r="J9332" s="1125"/>
    </row>
    <row r="9333" spans="9:10" x14ac:dyDescent="0.2">
      <c r="I9333" s="1125"/>
      <c r="J9333" s="1125"/>
    </row>
    <row r="9334" spans="9:10" x14ac:dyDescent="0.2">
      <c r="I9334" s="1125"/>
      <c r="J9334" s="1125"/>
    </row>
    <row r="9335" spans="9:10" x14ac:dyDescent="0.2">
      <c r="I9335" s="1125"/>
      <c r="J9335" s="1125"/>
    </row>
    <row r="9336" spans="9:10" x14ac:dyDescent="0.2">
      <c r="I9336" s="1125"/>
      <c r="J9336" s="1125"/>
    </row>
    <row r="9337" spans="9:10" x14ac:dyDescent="0.2">
      <c r="I9337" s="1125"/>
      <c r="J9337" s="1125"/>
    </row>
    <row r="9338" spans="9:10" x14ac:dyDescent="0.2">
      <c r="I9338" s="1125"/>
      <c r="J9338" s="1125"/>
    </row>
    <row r="9339" spans="9:10" x14ac:dyDescent="0.2">
      <c r="I9339" s="1125"/>
      <c r="J9339" s="1125"/>
    </row>
    <row r="9340" spans="9:10" x14ac:dyDescent="0.2">
      <c r="I9340" s="1125"/>
      <c r="J9340" s="1125"/>
    </row>
    <row r="9341" spans="9:10" x14ac:dyDescent="0.2">
      <c r="I9341" s="1125"/>
      <c r="J9341" s="1125"/>
    </row>
    <row r="9342" spans="9:10" x14ac:dyDescent="0.2">
      <c r="I9342" s="1125"/>
      <c r="J9342" s="1125"/>
    </row>
    <row r="9343" spans="9:10" x14ac:dyDescent="0.2">
      <c r="I9343" s="1125"/>
      <c r="J9343" s="1125"/>
    </row>
    <row r="9344" spans="9:10" x14ac:dyDescent="0.2">
      <c r="I9344" s="1125"/>
      <c r="J9344" s="1125"/>
    </row>
    <row r="9345" spans="9:10" x14ac:dyDescent="0.2">
      <c r="I9345" s="1125"/>
      <c r="J9345" s="1125"/>
    </row>
    <row r="9346" spans="9:10" x14ac:dyDescent="0.2">
      <c r="I9346" s="1125"/>
      <c r="J9346" s="1125"/>
    </row>
    <row r="9347" spans="9:10" x14ac:dyDescent="0.2">
      <c r="I9347" s="1125"/>
      <c r="J9347" s="1125"/>
    </row>
    <row r="9348" spans="9:10" x14ac:dyDescent="0.2">
      <c r="I9348" s="1125"/>
      <c r="J9348" s="1125"/>
    </row>
    <row r="9349" spans="9:10" x14ac:dyDescent="0.2">
      <c r="I9349" s="1125"/>
      <c r="J9349" s="1125"/>
    </row>
    <row r="9350" spans="9:10" x14ac:dyDescent="0.2">
      <c r="I9350" s="1125"/>
      <c r="J9350" s="1125"/>
    </row>
    <row r="9351" spans="9:10" x14ac:dyDescent="0.2">
      <c r="I9351" s="1125"/>
      <c r="J9351" s="1125"/>
    </row>
    <row r="9352" spans="9:10" x14ac:dyDescent="0.2">
      <c r="I9352" s="1125"/>
      <c r="J9352" s="1125"/>
    </row>
    <row r="9353" spans="9:10" x14ac:dyDescent="0.2">
      <c r="I9353" s="1125"/>
      <c r="J9353" s="1125"/>
    </row>
    <row r="9354" spans="9:10" x14ac:dyDescent="0.2">
      <c r="I9354" s="1125"/>
      <c r="J9354" s="1125"/>
    </row>
    <row r="9355" spans="9:10" x14ac:dyDescent="0.2">
      <c r="I9355" s="1125"/>
      <c r="J9355" s="1125"/>
    </row>
    <row r="9356" spans="9:10" x14ac:dyDescent="0.2">
      <c r="I9356" s="1125"/>
      <c r="J9356" s="1125"/>
    </row>
    <row r="9357" spans="9:10" x14ac:dyDescent="0.2">
      <c r="I9357" s="1125"/>
      <c r="J9357" s="1125"/>
    </row>
    <row r="9358" spans="9:10" x14ac:dyDescent="0.2">
      <c r="I9358" s="1125"/>
      <c r="J9358" s="1125"/>
    </row>
    <row r="9359" spans="9:10" x14ac:dyDescent="0.2">
      <c r="I9359" s="1125"/>
      <c r="J9359" s="1125"/>
    </row>
    <row r="9360" spans="9:10" x14ac:dyDescent="0.2">
      <c r="I9360" s="1125"/>
      <c r="J9360" s="1125"/>
    </row>
    <row r="9361" spans="9:10" x14ac:dyDescent="0.2">
      <c r="I9361" s="1125"/>
      <c r="J9361" s="1125"/>
    </row>
    <row r="9362" spans="9:10" x14ac:dyDescent="0.2">
      <c r="I9362" s="1125"/>
      <c r="J9362" s="1125"/>
    </row>
    <row r="9363" spans="9:10" x14ac:dyDescent="0.2">
      <c r="I9363" s="1125"/>
      <c r="J9363" s="1125"/>
    </row>
    <row r="9364" spans="9:10" x14ac:dyDescent="0.2">
      <c r="I9364" s="1125"/>
      <c r="J9364" s="1125"/>
    </row>
    <row r="9365" spans="9:10" x14ac:dyDescent="0.2">
      <c r="I9365" s="1125"/>
      <c r="J9365" s="1125"/>
    </row>
    <row r="9366" spans="9:10" x14ac:dyDescent="0.2">
      <c r="I9366" s="1125"/>
      <c r="J9366" s="1125"/>
    </row>
    <row r="9367" spans="9:10" x14ac:dyDescent="0.2">
      <c r="I9367" s="1125"/>
      <c r="J9367" s="1125"/>
    </row>
    <row r="9368" spans="9:10" x14ac:dyDescent="0.2">
      <c r="I9368" s="1125"/>
      <c r="J9368" s="1125"/>
    </row>
    <row r="9369" spans="9:10" x14ac:dyDescent="0.2">
      <c r="I9369" s="1125"/>
      <c r="J9369" s="1125"/>
    </row>
    <row r="9370" spans="9:10" x14ac:dyDescent="0.2">
      <c r="I9370" s="1125"/>
      <c r="J9370" s="1125"/>
    </row>
    <row r="9371" spans="9:10" x14ac:dyDescent="0.2">
      <c r="I9371" s="1125"/>
      <c r="J9371" s="1125"/>
    </row>
    <row r="9372" spans="9:10" x14ac:dyDescent="0.2">
      <c r="I9372" s="1125"/>
      <c r="J9372" s="1125"/>
    </row>
    <row r="9373" spans="9:10" x14ac:dyDescent="0.2">
      <c r="I9373" s="1125"/>
      <c r="J9373" s="1125"/>
    </row>
    <row r="9374" spans="9:10" x14ac:dyDescent="0.2">
      <c r="I9374" s="1125"/>
      <c r="J9374" s="1125"/>
    </row>
    <row r="9375" spans="9:10" x14ac:dyDescent="0.2">
      <c r="I9375" s="1125"/>
      <c r="J9375" s="1125"/>
    </row>
    <row r="9376" spans="9:10" x14ac:dyDescent="0.2">
      <c r="I9376" s="1125"/>
      <c r="J9376" s="1125"/>
    </row>
    <row r="9377" spans="9:10" x14ac:dyDescent="0.2">
      <c r="I9377" s="1125"/>
      <c r="J9377" s="1125"/>
    </row>
    <row r="9378" spans="9:10" x14ac:dyDescent="0.2">
      <c r="I9378" s="1125"/>
      <c r="J9378" s="1125"/>
    </row>
    <row r="9379" spans="9:10" x14ac:dyDescent="0.2">
      <c r="I9379" s="1125"/>
      <c r="J9379" s="1125"/>
    </row>
    <row r="9380" spans="9:10" x14ac:dyDescent="0.2">
      <c r="I9380" s="1125"/>
      <c r="J9380" s="1125"/>
    </row>
    <row r="9381" spans="9:10" x14ac:dyDescent="0.2">
      <c r="I9381" s="1125"/>
      <c r="J9381" s="1125"/>
    </row>
    <row r="9382" spans="9:10" x14ac:dyDescent="0.2">
      <c r="I9382" s="1125"/>
      <c r="J9382" s="1125"/>
    </row>
    <row r="9383" spans="9:10" x14ac:dyDescent="0.2">
      <c r="I9383" s="1125"/>
      <c r="J9383" s="1125"/>
    </row>
    <row r="9384" spans="9:10" x14ac:dyDescent="0.2">
      <c r="I9384" s="1125"/>
      <c r="J9384" s="1125"/>
    </row>
    <row r="9385" spans="9:10" x14ac:dyDescent="0.2">
      <c r="I9385" s="1125"/>
      <c r="J9385" s="1125"/>
    </row>
    <row r="9386" spans="9:10" x14ac:dyDescent="0.2">
      <c r="I9386" s="1125"/>
      <c r="J9386" s="1125"/>
    </row>
    <row r="9387" spans="9:10" x14ac:dyDescent="0.2">
      <c r="I9387" s="1125"/>
      <c r="J9387" s="1125"/>
    </row>
    <row r="9388" spans="9:10" x14ac:dyDescent="0.2">
      <c r="I9388" s="1125"/>
      <c r="J9388" s="1125"/>
    </row>
    <row r="9389" spans="9:10" x14ac:dyDescent="0.2">
      <c r="I9389" s="1125"/>
      <c r="J9389" s="1125"/>
    </row>
    <row r="9390" spans="9:10" x14ac:dyDescent="0.2">
      <c r="I9390" s="1125"/>
      <c r="J9390" s="1125"/>
    </row>
    <row r="9391" spans="9:10" x14ac:dyDescent="0.2">
      <c r="I9391" s="1125"/>
      <c r="J9391" s="1125"/>
    </row>
    <row r="9392" spans="9:10" x14ac:dyDescent="0.2">
      <c r="I9392" s="1125"/>
      <c r="J9392" s="1125"/>
    </row>
    <row r="9393" spans="9:10" x14ac:dyDescent="0.2">
      <c r="I9393" s="1125"/>
      <c r="J9393" s="1125"/>
    </row>
    <row r="9394" spans="9:10" x14ac:dyDescent="0.2">
      <c r="I9394" s="1125"/>
      <c r="J9394" s="1125"/>
    </row>
    <row r="9395" spans="9:10" x14ac:dyDescent="0.2">
      <c r="I9395" s="1125"/>
      <c r="J9395" s="1125"/>
    </row>
    <row r="9396" spans="9:10" x14ac:dyDescent="0.2">
      <c r="I9396" s="1125"/>
      <c r="J9396" s="1125"/>
    </row>
    <row r="9397" spans="9:10" x14ac:dyDescent="0.2">
      <c r="I9397" s="1125"/>
      <c r="J9397" s="1125"/>
    </row>
    <row r="9398" spans="9:10" x14ac:dyDescent="0.2">
      <c r="I9398" s="1125"/>
      <c r="J9398" s="1125"/>
    </row>
    <row r="9399" spans="9:10" x14ac:dyDescent="0.2">
      <c r="I9399" s="1125"/>
      <c r="J9399" s="1125"/>
    </row>
    <row r="9400" spans="9:10" x14ac:dyDescent="0.2">
      <c r="I9400" s="1125"/>
      <c r="J9400" s="1125"/>
    </row>
    <row r="9401" spans="9:10" x14ac:dyDescent="0.2">
      <c r="I9401" s="1125"/>
      <c r="J9401" s="1125"/>
    </row>
    <row r="9402" spans="9:10" x14ac:dyDescent="0.2">
      <c r="I9402" s="1125"/>
      <c r="J9402" s="1125"/>
    </row>
    <row r="9403" spans="9:10" x14ac:dyDescent="0.2">
      <c r="I9403" s="1125"/>
      <c r="J9403" s="1125"/>
    </row>
    <row r="9404" spans="9:10" x14ac:dyDescent="0.2">
      <c r="I9404" s="1125"/>
      <c r="J9404" s="1125"/>
    </row>
    <row r="9405" spans="9:10" x14ac:dyDescent="0.2">
      <c r="I9405" s="1125"/>
      <c r="J9405" s="1125"/>
    </row>
    <row r="9406" spans="9:10" x14ac:dyDescent="0.2">
      <c r="I9406" s="1125"/>
      <c r="J9406" s="1125"/>
    </row>
    <row r="9407" spans="9:10" x14ac:dyDescent="0.2">
      <c r="I9407" s="1125"/>
      <c r="J9407" s="1125"/>
    </row>
    <row r="9408" spans="9:10" x14ac:dyDescent="0.2">
      <c r="I9408" s="1125"/>
      <c r="J9408" s="1125"/>
    </row>
    <row r="9409" spans="9:10" x14ac:dyDescent="0.2">
      <c r="I9409" s="1125"/>
      <c r="J9409" s="1125"/>
    </row>
    <row r="9410" spans="9:10" x14ac:dyDescent="0.2">
      <c r="I9410" s="1125"/>
      <c r="J9410" s="1125"/>
    </row>
    <row r="9411" spans="9:10" x14ac:dyDescent="0.2">
      <c r="I9411" s="1125"/>
      <c r="J9411" s="1125"/>
    </row>
    <row r="9412" spans="9:10" x14ac:dyDescent="0.2">
      <c r="I9412" s="1125"/>
      <c r="J9412" s="1125"/>
    </row>
    <row r="9413" spans="9:10" x14ac:dyDescent="0.2">
      <c r="I9413" s="1125"/>
      <c r="J9413" s="1125"/>
    </row>
    <row r="9414" spans="9:10" x14ac:dyDescent="0.2">
      <c r="I9414" s="1125"/>
      <c r="J9414" s="1125"/>
    </row>
    <row r="9415" spans="9:10" x14ac:dyDescent="0.2">
      <c r="I9415" s="1125"/>
      <c r="J9415" s="1125"/>
    </row>
    <row r="9416" spans="9:10" x14ac:dyDescent="0.2">
      <c r="I9416" s="1125"/>
      <c r="J9416" s="1125"/>
    </row>
    <row r="9417" spans="9:10" x14ac:dyDescent="0.2">
      <c r="I9417" s="1125"/>
      <c r="J9417" s="1125"/>
    </row>
    <row r="9418" spans="9:10" x14ac:dyDescent="0.2">
      <c r="I9418" s="1125"/>
      <c r="J9418" s="1125"/>
    </row>
    <row r="9419" spans="9:10" x14ac:dyDescent="0.2">
      <c r="I9419" s="1125"/>
      <c r="J9419" s="1125"/>
    </row>
    <row r="9420" spans="9:10" x14ac:dyDescent="0.2">
      <c r="I9420" s="1125"/>
      <c r="J9420" s="1125"/>
    </row>
    <row r="9421" spans="9:10" x14ac:dyDescent="0.2">
      <c r="I9421" s="1125"/>
      <c r="J9421" s="1125"/>
    </row>
    <row r="9422" spans="9:10" x14ac:dyDescent="0.2">
      <c r="I9422" s="1125"/>
      <c r="J9422" s="1125"/>
    </row>
    <row r="9423" spans="9:10" x14ac:dyDescent="0.2">
      <c r="I9423" s="1125"/>
      <c r="J9423" s="1125"/>
    </row>
    <row r="9424" spans="9:10" x14ac:dyDescent="0.2">
      <c r="I9424" s="1125"/>
      <c r="J9424" s="1125"/>
    </row>
    <row r="9425" spans="9:10" x14ac:dyDescent="0.2">
      <c r="I9425" s="1125"/>
      <c r="J9425" s="1125"/>
    </row>
    <row r="9426" spans="9:10" x14ac:dyDescent="0.2">
      <c r="I9426" s="1125"/>
      <c r="J9426" s="1125"/>
    </row>
    <row r="9427" spans="9:10" x14ac:dyDescent="0.2">
      <c r="I9427" s="1125"/>
      <c r="J9427" s="1125"/>
    </row>
    <row r="9428" spans="9:10" x14ac:dyDescent="0.2">
      <c r="I9428" s="1125"/>
      <c r="J9428" s="1125"/>
    </row>
    <row r="9429" spans="9:10" x14ac:dyDescent="0.2">
      <c r="I9429" s="1125"/>
      <c r="J9429" s="1125"/>
    </row>
    <row r="9430" spans="9:10" x14ac:dyDescent="0.2">
      <c r="I9430" s="1125"/>
      <c r="J9430" s="1125"/>
    </row>
    <row r="9431" spans="9:10" x14ac:dyDescent="0.2">
      <c r="I9431" s="1125"/>
      <c r="J9431" s="1125"/>
    </row>
    <row r="9432" spans="9:10" x14ac:dyDescent="0.2">
      <c r="I9432" s="1125"/>
      <c r="J9432" s="1125"/>
    </row>
    <row r="9433" spans="9:10" x14ac:dyDescent="0.2">
      <c r="I9433" s="1125"/>
      <c r="J9433" s="1125"/>
    </row>
    <row r="9434" spans="9:10" x14ac:dyDescent="0.2">
      <c r="I9434" s="1125"/>
      <c r="J9434" s="1125"/>
    </row>
    <row r="9435" spans="9:10" x14ac:dyDescent="0.2">
      <c r="I9435" s="1125"/>
      <c r="J9435" s="1125"/>
    </row>
    <row r="9436" spans="9:10" x14ac:dyDescent="0.2">
      <c r="I9436" s="1125"/>
      <c r="J9436" s="1125"/>
    </row>
    <row r="9437" spans="9:10" x14ac:dyDescent="0.2">
      <c r="I9437" s="1125"/>
      <c r="J9437" s="1125"/>
    </row>
    <row r="9438" spans="9:10" x14ac:dyDescent="0.2">
      <c r="I9438" s="1125"/>
      <c r="J9438" s="1125"/>
    </row>
    <row r="9439" spans="9:10" x14ac:dyDescent="0.2">
      <c r="I9439" s="1125"/>
      <c r="J9439" s="1125"/>
    </row>
    <row r="9440" spans="9:10" x14ac:dyDescent="0.2">
      <c r="I9440" s="1125"/>
      <c r="J9440" s="1125"/>
    </row>
    <row r="9441" spans="9:10" x14ac:dyDescent="0.2">
      <c r="I9441" s="1125"/>
      <c r="J9441" s="1125"/>
    </row>
    <row r="9442" spans="9:10" x14ac:dyDescent="0.2">
      <c r="I9442" s="1125"/>
      <c r="J9442" s="1125"/>
    </row>
    <row r="9443" spans="9:10" x14ac:dyDescent="0.2">
      <c r="I9443" s="1125"/>
      <c r="J9443" s="1125"/>
    </row>
    <row r="9444" spans="9:10" x14ac:dyDescent="0.2">
      <c r="I9444" s="1125"/>
      <c r="J9444" s="1125"/>
    </row>
    <row r="9445" spans="9:10" x14ac:dyDescent="0.2">
      <c r="I9445" s="1125"/>
      <c r="J9445" s="1125"/>
    </row>
    <row r="9446" spans="9:10" x14ac:dyDescent="0.2">
      <c r="I9446" s="1125"/>
      <c r="J9446" s="1125"/>
    </row>
    <row r="9447" spans="9:10" x14ac:dyDescent="0.2">
      <c r="I9447" s="1125"/>
      <c r="J9447" s="1125"/>
    </row>
    <row r="9448" spans="9:10" x14ac:dyDescent="0.2">
      <c r="I9448" s="1125"/>
      <c r="J9448" s="1125"/>
    </row>
    <row r="9449" spans="9:10" x14ac:dyDescent="0.2">
      <c r="I9449" s="1125"/>
      <c r="J9449" s="1125"/>
    </row>
    <row r="9450" spans="9:10" x14ac:dyDescent="0.2">
      <c r="I9450" s="1125"/>
      <c r="J9450" s="1125"/>
    </row>
    <row r="9451" spans="9:10" x14ac:dyDescent="0.2">
      <c r="I9451" s="1125"/>
      <c r="J9451" s="1125"/>
    </row>
    <row r="9452" spans="9:10" x14ac:dyDescent="0.2">
      <c r="I9452" s="1125"/>
      <c r="J9452" s="1125"/>
    </row>
    <row r="9453" spans="9:10" x14ac:dyDescent="0.2">
      <c r="I9453" s="1125"/>
      <c r="J9453" s="1125"/>
    </row>
    <row r="9454" spans="9:10" x14ac:dyDescent="0.2">
      <c r="I9454" s="1125"/>
      <c r="J9454" s="1125"/>
    </row>
    <row r="9455" spans="9:10" x14ac:dyDescent="0.2">
      <c r="I9455" s="1125"/>
      <c r="J9455" s="1125"/>
    </row>
    <row r="9456" spans="9:10" x14ac:dyDescent="0.2">
      <c r="I9456" s="1125"/>
      <c r="J9456" s="1125"/>
    </row>
    <row r="9457" spans="9:10" x14ac:dyDescent="0.2">
      <c r="I9457" s="1125"/>
      <c r="J9457" s="1125"/>
    </row>
    <row r="9458" spans="9:10" x14ac:dyDescent="0.2">
      <c r="I9458" s="1125"/>
      <c r="J9458" s="1125"/>
    </row>
    <row r="9459" spans="9:10" x14ac:dyDescent="0.2">
      <c r="I9459" s="1125"/>
      <c r="J9459" s="1125"/>
    </row>
    <row r="9460" spans="9:10" x14ac:dyDescent="0.2">
      <c r="I9460" s="1125"/>
      <c r="J9460" s="1125"/>
    </row>
    <row r="9461" spans="9:10" x14ac:dyDescent="0.2">
      <c r="I9461" s="1125"/>
      <c r="J9461" s="1125"/>
    </row>
    <row r="9462" spans="9:10" x14ac:dyDescent="0.2">
      <c r="I9462" s="1125"/>
      <c r="J9462" s="1125"/>
    </row>
    <row r="9463" spans="9:10" x14ac:dyDescent="0.2">
      <c r="I9463" s="1125"/>
      <c r="J9463" s="1125"/>
    </row>
    <row r="9464" spans="9:10" x14ac:dyDescent="0.2">
      <c r="I9464" s="1125"/>
      <c r="J9464" s="1125"/>
    </row>
    <row r="9465" spans="9:10" x14ac:dyDescent="0.2">
      <c r="I9465" s="1125"/>
      <c r="J9465" s="1125"/>
    </row>
    <row r="9466" spans="9:10" x14ac:dyDescent="0.2">
      <c r="I9466" s="1125"/>
      <c r="J9466" s="1125"/>
    </row>
    <row r="9467" spans="9:10" x14ac:dyDescent="0.2">
      <c r="I9467" s="1125"/>
      <c r="J9467" s="1125"/>
    </row>
    <row r="9468" spans="9:10" x14ac:dyDescent="0.2">
      <c r="I9468" s="1125"/>
      <c r="J9468" s="1125"/>
    </row>
    <row r="9469" spans="9:10" x14ac:dyDescent="0.2">
      <c r="I9469" s="1125"/>
      <c r="J9469" s="1125"/>
    </row>
    <row r="9470" spans="9:10" x14ac:dyDescent="0.2">
      <c r="I9470" s="1125"/>
      <c r="J9470" s="1125"/>
    </row>
    <row r="9471" spans="9:10" x14ac:dyDescent="0.2">
      <c r="I9471" s="1125"/>
      <c r="J9471" s="1125"/>
    </row>
    <row r="9472" spans="9:10" x14ac:dyDescent="0.2">
      <c r="I9472" s="1125"/>
      <c r="J9472" s="1125"/>
    </row>
    <row r="9473" spans="9:10" x14ac:dyDescent="0.2">
      <c r="I9473" s="1125"/>
      <c r="J9473" s="1125"/>
    </row>
    <row r="9474" spans="9:10" x14ac:dyDescent="0.2">
      <c r="I9474" s="1125"/>
      <c r="J9474" s="1125"/>
    </row>
    <row r="9475" spans="9:10" x14ac:dyDescent="0.2">
      <c r="I9475" s="1125"/>
      <c r="J9475" s="1125"/>
    </row>
    <row r="9476" spans="9:10" x14ac:dyDescent="0.2">
      <c r="I9476" s="1125"/>
      <c r="J9476" s="1125"/>
    </row>
    <row r="9477" spans="9:10" x14ac:dyDescent="0.2">
      <c r="I9477" s="1125"/>
      <c r="J9477" s="1125"/>
    </row>
    <row r="9478" spans="9:10" x14ac:dyDescent="0.2">
      <c r="I9478" s="1125"/>
      <c r="J9478" s="1125"/>
    </row>
    <row r="9479" spans="9:10" x14ac:dyDescent="0.2">
      <c r="I9479" s="1125"/>
      <c r="J9479" s="1125"/>
    </row>
    <row r="9480" spans="9:10" x14ac:dyDescent="0.2">
      <c r="I9480" s="1125"/>
      <c r="J9480" s="1125"/>
    </row>
    <row r="9481" spans="9:10" x14ac:dyDescent="0.2">
      <c r="I9481" s="1125"/>
      <c r="J9481" s="1125"/>
    </row>
    <row r="9482" spans="9:10" x14ac:dyDescent="0.2">
      <c r="I9482" s="1125"/>
      <c r="J9482" s="1125"/>
    </row>
    <row r="9483" spans="9:10" x14ac:dyDescent="0.2">
      <c r="I9483" s="1125"/>
      <c r="J9483" s="1125"/>
    </row>
    <row r="9484" spans="9:10" x14ac:dyDescent="0.2">
      <c r="I9484" s="1125"/>
      <c r="J9484" s="1125"/>
    </row>
    <row r="9485" spans="9:10" x14ac:dyDescent="0.2">
      <c r="I9485" s="1125"/>
      <c r="J9485" s="1125"/>
    </row>
    <row r="9486" spans="9:10" x14ac:dyDescent="0.2">
      <c r="I9486" s="1125"/>
      <c r="J9486" s="1125"/>
    </row>
    <row r="9487" spans="9:10" x14ac:dyDescent="0.2">
      <c r="I9487" s="1125"/>
      <c r="J9487" s="1125"/>
    </row>
    <row r="9488" spans="9:10" x14ac:dyDescent="0.2">
      <c r="I9488" s="1125"/>
      <c r="J9488" s="1125"/>
    </row>
    <row r="9489" spans="9:10" x14ac:dyDescent="0.2">
      <c r="I9489" s="1125"/>
      <c r="J9489" s="1125"/>
    </row>
    <row r="9490" spans="9:10" x14ac:dyDescent="0.2">
      <c r="I9490" s="1125"/>
      <c r="J9490" s="1125"/>
    </row>
    <row r="9491" spans="9:10" x14ac:dyDescent="0.2">
      <c r="I9491" s="1125"/>
      <c r="J9491" s="1125"/>
    </row>
    <row r="9492" spans="9:10" x14ac:dyDescent="0.2">
      <c r="I9492" s="1125"/>
      <c r="J9492" s="1125"/>
    </row>
    <row r="9493" spans="9:10" x14ac:dyDescent="0.2">
      <c r="I9493" s="1125"/>
      <c r="J9493" s="1125"/>
    </row>
    <row r="9494" spans="9:10" x14ac:dyDescent="0.2">
      <c r="I9494" s="1125"/>
      <c r="J9494" s="1125"/>
    </row>
    <row r="9495" spans="9:10" x14ac:dyDescent="0.2">
      <c r="I9495" s="1125"/>
      <c r="J9495" s="1125"/>
    </row>
    <row r="9496" spans="9:10" x14ac:dyDescent="0.2">
      <c r="I9496" s="1125"/>
      <c r="J9496" s="1125"/>
    </row>
    <row r="9497" spans="9:10" x14ac:dyDescent="0.2">
      <c r="I9497" s="1125"/>
      <c r="J9497" s="1125"/>
    </row>
    <row r="9498" spans="9:10" x14ac:dyDescent="0.2">
      <c r="I9498" s="1125"/>
      <c r="J9498" s="1125"/>
    </row>
    <row r="9499" spans="9:10" x14ac:dyDescent="0.2">
      <c r="I9499" s="1125"/>
      <c r="J9499" s="1125"/>
    </row>
    <row r="9500" spans="9:10" x14ac:dyDescent="0.2">
      <c r="I9500" s="1125"/>
      <c r="J9500" s="1125"/>
    </row>
    <row r="9501" spans="9:10" x14ac:dyDescent="0.2">
      <c r="I9501" s="1125"/>
      <c r="J9501" s="1125"/>
    </row>
    <row r="9502" spans="9:10" x14ac:dyDescent="0.2">
      <c r="I9502" s="1125"/>
      <c r="J9502" s="1125"/>
    </row>
    <row r="9503" spans="9:10" x14ac:dyDescent="0.2">
      <c r="I9503" s="1125"/>
      <c r="J9503" s="1125"/>
    </row>
    <row r="9504" spans="9:10" x14ac:dyDescent="0.2">
      <c r="I9504" s="1125"/>
      <c r="J9504" s="1125"/>
    </row>
    <row r="9505" spans="9:10" x14ac:dyDescent="0.2">
      <c r="I9505" s="1125"/>
      <c r="J9505" s="1125"/>
    </row>
    <row r="9506" spans="9:10" x14ac:dyDescent="0.2">
      <c r="I9506" s="1125"/>
      <c r="J9506" s="1125"/>
    </row>
    <row r="9507" spans="9:10" x14ac:dyDescent="0.2">
      <c r="I9507" s="1125"/>
      <c r="J9507" s="1125"/>
    </row>
    <row r="9508" spans="9:10" x14ac:dyDescent="0.2">
      <c r="I9508" s="1125"/>
      <c r="J9508" s="1125"/>
    </row>
    <row r="9509" spans="9:10" x14ac:dyDescent="0.2">
      <c r="I9509" s="1125"/>
      <c r="J9509" s="1125"/>
    </row>
    <row r="9510" spans="9:10" x14ac:dyDescent="0.2">
      <c r="I9510" s="1125"/>
      <c r="J9510" s="1125"/>
    </row>
    <row r="9511" spans="9:10" x14ac:dyDescent="0.2">
      <c r="I9511" s="1125"/>
      <c r="J9511" s="1125"/>
    </row>
    <row r="9512" spans="9:10" x14ac:dyDescent="0.2">
      <c r="I9512" s="1125"/>
      <c r="J9512" s="1125"/>
    </row>
    <row r="9513" spans="9:10" x14ac:dyDescent="0.2">
      <c r="I9513" s="1125"/>
      <c r="J9513" s="1125"/>
    </row>
    <row r="9514" spans="9:10" x14ac:dyDescent="0.2">
      <c r="I9514" s="1125"/>
      <c r="J9514" s="1125"/>
    </row>
    <row r="9515" spans="9:10" x14ac:dyDescent="0.2">
      <c r="I9515" s="1125"/>
      <c r="J9515" s="1125"/>
    </row>
    <row r="9516" spans="9:10" x14ac:dyDescent="0.2">
      <c r="I9516" s="1125"/>
      <c r="J9516" s="1125"/>
    </row>
    <row r="9517" spans="9:10" x14ac:dyDescent="0.2">
      <c r="I9517" s="1125"/>
      <c r="J9517" s="1125"/>
    </row>
    <row r="9518" spans="9:10" x14ac:dyDescent="0.2">
      <c r="I9518" s="1125"/>
      <c r="J9518" s="1125"/>
    </row>
    <row r="9519" spans="9:10" x14ac:dyDescent="0.2">
      <c r="I9519" s="1125"/>
      <c r="J9519" s="1125"/>
    </row>
    <row r="9520" spans="9:10" x14ac:dyDescent="0.2">
      <c r="I9520" s="1125"/>
      <c r="J9520" s="1125"/>
    </row>
    <row r="9521" spans="9:10" x14ac:dyDescent="0.2">
      <c r="I9521" s="1125"/>
      <c r="J9521" s="1125"/>
    </row>
    <row r="9522" spans="9:10" x14ac:dyDescent="0.2">
      <c r="I9522" s="1125"/>
      <c r="J9522" s="1125"/>
    </row>
    <row r="9523" spans="9:10" x14ac:dyDescent="0.2">
      <c r="I9523" s="1125"/>
      <c r="J9523" s="1125"/>
    </row>
    <row r="9524" spans="9:10" x14ac:dyDescent="0.2">
      <c r="I9524" s="1125"/>
      <c r="J9524" s="1125"/>
    </row>
    <row r="9525" spans="9:10" x14ac:dyDescent="0.2">
      <c r="I9525" s="1125"/>
      <c r="J9525" s="1125"/>
    </row>
    <row r="9526" spans="9:10" x14ac:dyDescent="0.2">
      <c r="I9526" s="1125"/>
      <c r="J9526" s="1125"/>
    </row>
    <row r="9527" spans="9:10" x14ac:dyDescent="0.2">
      <c r="I9527" s="1125"/>
      <c r="J9527" s="1125"/>
    </row>
    <row r="9528" spans="9:10" x14ac:dyDescent="0.2">
      <c r="I9528" s="1125"/>
      <c r="J9528" s="1125"/>
    </row>
    <row r="9529" spans="9:10" x14ac:dyDescent="0.2">
      <c r="I9529" s="1125"/>
      <c r="J9529" s="1125"/>
    </row>
    <row r="9530" spans="9:10" x14ac:dyDescent="0.2">
      <c r="I9530" s="1125"/>
      <c r="J9530" s="1125"/>
    </row>
    <row r="9531" spans="9:10" x14ac:dyDescent="0.2">
      <c r="I9531" s="1125"/>
      <c r="J9531" s="1125"/>
    </row>
    <row r="9532" spans="9:10" x14ac:dyDescent="0.2">
      <c r="I9532" s="1125"/>
      <c r="J9532" s="1125"/>
    </row>
    <row r="9533" spans="9:10" x14ac:dyDescent="0.2">
      <c r="I9533" s="1125"/>
      <c r="J9533" s="1125"/>
    </row>
    <row r="9534" spans="9:10" x14ac:dyDescent="0.2">
      <c r="I9534" s="1125"/>
      <c r="J9534" s="1125"/>
    </row>
    <row r="9535" spans="9:10" x14ac:dyDescent="0.2">
      <c r="I9535" s="1125"/>
      <c r="J9535" s="1125"/>
    </row>
    <row r="9536" spans="9:10" x14ac:dyDescent="0.2">
      <c r="I9536" s="1125"/>
      <c r="J9536" s="1125"/>
    </row>
    <row r="9537" spans="9:10" x14ac:dyDescent="0.2">
      <c r="I9537" s="1125"/>
      <c r="J9537" s="1125"/>
    </row>
    <row r="9538" spans="9:10" x14ac:dyDescent="0.2">
      <c r="I9538" s="1125"/>
      <c r="J9538" s="1125"/>
    </row>
    <row r="9539" spans="9:10" x14ac:dyDescent="0.2">
      <c r="I9539" s="1125"/>
      <c r="J9539" s="1125"/>
    </row>
    <row r="9540" spans="9:10" x14ac:dyDescent="0.2">
      <c r="I9540" s="1125"/>
      <c r="J9540" s="1125"/>
    </row>
    <row r="9541" spans="9:10" x14ac:dyDescent="0.2">
      <c r="I9541" s="1125"/>
      <c r="J9541" s="1125"/>
    </row>
    <row r="9542" spans="9:10" x14ac:dyDescent="0.2">
      <c r="I9542" s="1125"/>
      <c r="J9542" s="1125"/>
    </row>
    <row r="9543" spans="9:10" x14ac:dyDescent="0.2">
      <c r="I9543" s="1125"/>
      <c r="J9543" s="1125"/>
    </row>
    <row r="9544" spans="9:10" x14ac:dyDescent="0.2">
      <c r="I9544" s="1125"/>
      <c r="J9544" s="1125"/>
    </row>
    <row r="9545" spans="9:10" x14ac:dyDescent="0.2">
      <c r="I9545" s="1125"/>
      <c r="J9545" s="1125"/>
    </row>
    <row r="9546" spans="9:10" x14ac:dyDescent="0.2">
      <c r="I9546" s="1125"/>
      <c r="J9546" s="1125"/>
    </row>
    <row r="9547" spans="9:10" x14ac:dyDescent="0.2">
      <c r="I9547" s="1125"/>
      <c r="J9547" s="1125"/>
    </row>
    <row r="9548" spans="9:10" x14ac:dyDescent="0.2">
      <c r="I9548" s="1125"/>
      <c r="J9548" s="1125"/>
    </row>
    <row r="9549" spans="9:10" x14ac:dyDescent="0.2">
      <c r="I9549" s="1125"/>
      <c r="J9549" s="1125"/>
    </row>
    <row r="9550" spans="9:10" x14ac:dyDescent="0.2">
      <c r="I9550" s="1125"/>
      <c r="J9550" s="1125"/>
    </row>
    <row r="9551" spans="9:10" x14ac:dyDescent="0.2">
      <c r="I9551" s="1125"/>
      <c r="J9551" s="1125"/>
    </row>
    <row r="9552" spans="9:10" x14ac:dyDescent="0.2">
      <c r="I9552" s="1125"/>
      <c r="J9552" s="1125"/>
    </row>
    <row r="9553" spans="9:10" x14ac:dyDescent="0.2">
      <c r="I9553" s="1125"/>
      <c r="J9553" s="1125"/>
    </row>
    <row r="9554" spans="9:10" x14ac:dyDescent="0.2">
      <c r="I9554" s="1125"/>
      <c r="J9554" s="1125"/>
    </row>
    <row r="9555" spans="9:10" x14ac:dyDescent="0.2">
      <c r="I9555" s="1125"/>
      <c r="J9555" s="1125"/>
    </row>
    <row r="9556" spans="9:10" x14ac:dyDescent="0.2">
      <c r="I9556" s="1125"/>
      <c r="J9556" s="1125"/>
    </row>
    <row r="9557" spans="9:10" x14ac:dyDescent="0.2">
      <c r="I9557" s="1125"/>
      <c r="J9557" s="1125"/>
    </row>
    <row r="9558" spans="9:10" x14ac:dyDescent="0.2">
      <c r="I9558" s="1125"/>
      <c r="J9558" s="1125"/>
    </row>
    <row r="9559" spans="9:10" x14ac:dyDescent="0.2">
      <c r="I9559" s="1125"/>
      <c r="J9559" s="1125"/>
    </row>
    <row r="9560" spans="9:10" x14ac:dyDescent="0.2">
      <c r="I9560" s="1125"/>
      <c r="J9560" s="1125"/>
    </row>
    <row r="9561" spans="9:10" x14ac:dyDescent="0.2">
      <c r="I9561" s="1125"/>
      <c r="J9561" s="1125"/>
    </row>
    <row r="9562" spans="9:10" x14ac:dyDescent="0.2">
      <c r="I9562" s="1125"/>
      <c r="J9562" s="1125"/>
    </row>
    <row r="9563" spans="9:10" x14ac:dyDescent="0.2">
      <c r="I9563" s="1125"/>
      <c r="J9563" s="1125"/>
    </row>
    <row r="9564" spans="9:10" x14ac:dyDescent="0.2">
      <c r="I9564" s="1125"/>
      <c r="J9564" s="1125"/>
    </row>
    <row r="9565" spans="9:10" x14ac:dyDescent="0.2">
      <c r="I9565" s="1125"/>
      <c r="J9565" s="1125"/>
    </row>
    <row r="9566" spans="9:10" x14ac:dyDescent="0.2">
      <c r="I9566" s="1125"/>
      <c r="J9566" s="1125"/>
    </row>
    <row r="9567" spans="9:10" x14ac:dyDescent="0.2">
      <c r="I9567" s="1125"/>
      <c r="J9567" s="1125"/>
    </row>
    <row r="9568" spans="9:10" x14ac:dyDescent="0.2">
      <c r="I9568" s="1125"/>
      <c r="J9568" s="1125"/>
    </row>
    <row r="9569" spans="9:10" x14ac:dyDescent="0.2">
      <c r="I9569" s="1125"/>
      <c r="J9569" s="1125"/>
    </row>
    <row r="9570" spans="9:10" x14ac:dyDescent="0.2">
      <c r="I9570" s="1125"/>
      <c r="J9570" s="1125"/>
    </row>
    <row r="9571" spans="9:10" x14ac:dyDescent="0.2">
      <c r="I9571" s="1125"/>
      <c r="J9571" s="1125"/>
    </row>
    <row r="9572" spans="9:10" x14ac:dyDescent="0.2">
      <c r="I9572" s="1125"/>
      <c r="J9572" s="1125"/>
    </row>
    <row r="9573" spans="9:10" x14ac:dyDescent="0.2">
      <c r="I9573" s="1125"/>
      <c r="J9573" s="1125"/>
    </row>
    <row r="9574" spans="9:10" x14ac:dyDescent="0.2">
      <c r="I9574" s="1125"/>
      <c r="J9574" s="1125"/>
    </row>
    <row r="9575" spans="9:10" x14ac:dyDescent="0.2">
      <c r="I9575" s="1125"/>
      <c r="J9575" s="1125"/>
    </row>
    <row r="9576" spans="9:10" x14ac:dyDescent="0.2">
      <c r="I9576" s="1125"/>
      <c r="J9576" s="1125"/>
    </row>
    <row r="9577" spans="9:10" x14ac:dyDescent="0.2">
      <c r="I9577" s="1125"/>
      <c r="J9577" s="1125"/>
    </row>
    <row r="9578" spans="9:10" x14ac:dyDescent="0.2">
      <c r="I9578" s="1125"/>
      <c r="J9578" s="1125"/>
    </row>
    <row r="9579" spans="9:10" x14ac:dyDescent="0.2">
      <c r="I9579" s="1125"/>
      <c r="J9579" s="1125"/>
    </row>
    <row r="9580" spans="9:10" x14ac:dyDescent="0.2">
      <c r="I9580" s="1125"/>
      <c r="J9580" s="1125"/>
    </row>
    <row r="9581" spans="9:10" x14ac:dyDescent="0.2">
      <c r="I9581" s="1125"/>
      <c r="J9581" s="1125"/>
    </row>
    <row r="9582" spans="9:10" x14ac:dyDescent="0.2">
      <c r="I9582" s="1125"/>
      <c r="J9582" s="1125"/>
    </row>
    <row r="9583" spans="9:10" x14ac:dyDescent="0.2">
      <c r="I9583" s="1125"/>
      <c r="J9583" s="1125"/>
    </row>
    <row r="9584" spans="9:10" x14ac:dyDescent="0.2">
      <c r="I9584" s="1125"/>
      <c r="J9584" s="1125"/>
    </row>
    <row r="9585" spans="9:10" x14ac:dyDescent="0.2">
      <c r="I9585" s="1125"/>
      <c r="J9585" s="1125"/>
    </row>
    <row r="9586" spans="9:10" x14ac:dyDescent="0.2">
      <c r="I9586" s="1125"/>
      <c r="J9586" s="1125"/>
    </row>
    <row r="9587" spans="9:10" x14ac:dyDescent="0.2">
      <c r="I9587" s="1125"/>
      <c r="J9587" s="1125"/>
    </row>
    <row r="9588" spans="9:10" x14ac:dyDescent="0.2">
      <c r="I9588" s="1125"/>
      <c r="J9588" s="1125"/>
    </row>
    <row r="9589" spans="9:10" x14ac:dyDescent="0.2">
      <c r="I9589" s="1125"/>
      <c r="J9589" s="1125"/>
    </row>
    <row r="9590" spans="9:10" x14ac:dyDescent="0.2">
      <c r="I9590" s="1125"/>
      <c r="J9590" s="1125"/>
    </row>
    <row r="9591" spans="9:10" x14ac:dyDescent="0.2">
      <c r="I9591" s="1125"/>
      <c r="J9591" s="1125"/>
    </row>
    <row r="9592" spans="9:10" x14ac:dyDescent="0.2">
      <c r="I9592" s="1125"/>
      <c r="J9592" s="1125"/>
    </row>
    <row r="9593" spans="9:10" x14ac:dyDescent="0.2">
      <c r="I9593" s="1125"/>
      <c r="J9593" s="1125"/>
    </row>
    <row r="9594" spans="9:10" x14ac:dyDescent="0.2">
      <c r="I9594" s="1125"/>
      <c r="J9594" s="1125"/>
    </row>
    <row r="9595" spans="9:10" x14ac:dyDescent="0.2">
      <c r="I9595" s="1125"/>
      <c r="J9595" s="1125"/>
    </row>
    <row r="9596" spans="9:10" x14ac:dyDescent="0.2">
      <c r="I9596" s="1125"/>
      <c r="J9596" s="1125"/>
    </row>
    <row r="9597" spans="9:10" x14ac:dyDescent="0.2">
      <c r="I9597" s="1125"/>
      <c r="J9597" s="1125"/>
    </row>
    <row r="9598" spans="9:10" x14ac:dyDescent="0.2">
      <c r="I9598" s="1125"/>
      <c r="J9598" s="1125"/>
    </row>
    <row r="9599" spans="9:10" x14ac:dyDescent="0.2">
      <c r="I9599" s="1125"/>
      <c r="J9599" s="1125"/>
    </row>
    <row r="9600" spans="9:10" x14ac:dyDescent="0.2">
      <c r="I9600" s="1125"/>
      <c r="J9600" s="1125"/>
    </row>
    <row r="9601" spans="9:10" x14ac:dyDescent="0.2">
      <c r="I9601" s="1125"/>
      <c r="J9601" s="1125"/>
    </row>
    <row r="9602" spans="9:10" x14ac:dyDescent="0.2">
      <c r="I9602" s="1125"/>
      <c r="J9602" s="1125"/>
    </row>
    <row r="9603" spans="9:10" x14ac:dyDescent="0.2">
      <c r="I9603" s="1125"/>
      <c r="J9603" s="1125"/>
    </row>
    <row r="9604" spans="9:10" x14ac:dyDescent="0.2">
      <c r="I9604" s="1125"/>
      <c r="J9604" s="1125"/>
    </row>
    <row r="9605" spans="9:10" x14ac:dyDescent="0.2">
      <c r="I9605" s="1125"/>
      <c r="J9605" s="1125"/>
    </row>
    <row r="9606" spans="9:10" x14ac:dyDescent="0.2">
      <c r="I9606" s="1125"/>
      <c r="J9606" s="1125"/>
    </row>
    <row r="9607" spans="9:10" x14ac:dyDescent="0.2">
      <c r="I9607" s="1125"/>
      <c r="J9607" s="1125"/>
    </row>
    <row r="9608" spans="9:10" x14ac:dyDescent="0.2">
      <c r="I9608" s="1125"/>
      <c r="J9608" s="1125"/>
    </row>
    <row r="9609" spans="9:10" x14ac:dyDescent="0.2">
      <c r="I9609" s="1125"/>
      <c r="J9609" s="1125"/>
    </row>
    <row r="9610" spans="9:10" x14ac:dyDescent="0.2">
      <c r="I9610" s="1125"/>
      <c r="J9610" s="1125"/>
    </row>
    <row r="9611" spans="9:10" x14ac:dyDescent="0.2">
      <c r="I9611" s="1125"/>
      <c r="J9611" s="1125"/>
    </row>
    <row r="9612" spans="9:10" x14ac:dyDescent="0.2">
      <c r="I9612" s="1125"/>
      <c r="J9612" s="1125"/>
    </row>
    <row r="9613" spans="9:10" x14ac:dyDescent="0.2">
      <c r="I9613" s="1125"/>
      <c r="J9613" s="1125"/>
    </row>
    <row r="9614" spans="9:10" x14ac:dyDescent="0.2">
      <c r="I9614" s="1125"/>
      <c r="J9614" s="1125"/>
    </row>
    <row r="9615" spans="9:10" x14ac:dyDescent="0.2">
      <c r="I9615" s="1125"/>
      <c r="J9615" s="1125"/>
    </row>
    <row r="9616" spans="9:10" x14ac:dyDescent="0.2">
      <c r="I9616" s="1125"/>
      <c r="J9616" s="1125"/>
    </row>
    <row r="9617" spans="9:10" x14ac:dyDescent="0.2">
      <c r="I9617" s="1125"/>
      <c r="J9617" s="1125"/>
    </row>
    <row r="9618" spans="9:10" x14ac:dyDescent="0.2">
      <c r="I9618" s="1125"/>
      <c r="J9618" s="1125"/>
    </row>
    <row r="9619" spans="9:10" x14ac:dyDescent="0.2">
      <c r="I9619" s="1125"/>
      <c r="J9619" s="1125"/>
    </row>
    <row r="9620" spans="9:10" x14ac:dyDescent="0.2">
      <c r="I9620" s="1125"/>
      <c r="J9620" s="1125"/>
    </row>
    <row r="9621" spans="9:10" x14ac:dyDescent="0.2">
      <c r="I9621" s="1125"/>
      <c r="J9621" s="1125"/>
    </row>
    <row r="9622" spans="9:10" x14ac:dyDescent="0.2">
      <c r="I9622" s="1125"/>
      <c r="J9622" s="1125"/>
    </row>
    <row r="9623" spans="9:10" x14ac:dyDescent="0.2">
      <c r="I9623" s="1125"/>
      <c r="J9623" s="1125"/>
    </row>
    <row r="9624" spans="9:10" x14ac:dyDescent="0.2">
      <c r="I9624" s="1125"/>
      <c r="J9624" s="1125"/>
    </row>
    <row r="9625" spans="9:10" x14ac:dyDescent="0.2">
      <c r="I9625" s="1125"/>
      <c r="J9625" s="1125"/>
    </row>
    <row r="9626" spans="9:10" x14ac:dyDescent="0.2">
      <c r="I9626" s="1125"/>
      <c r="J9626" s="1125"/>
    </row>
    <row r="9627" spans="9:10" x14ac:dyDescent="0.2">
      <c r="I9627" s="1125"/>
      <c r="J9627" s="1125"/>
    </row>
    <row r="9628" spans="9:10" x14ac:dyDescent="0.2">
      <c r="I9628" s="1125"/>
      <c r="J9628" s="1125"/>
    </row>
    <row r="9629" spans="9:10" x14ac:dyDescent="0.2">
      <c r="I9629" s="1125"/>
      <c r="J9629" s="1125"/>
    </row>
    <row r="9630" spans="9:10" x14ac:dyDescent="0.2">
      <c r="I9630" s="1125"/>
      <c r="J9630" s="1125"/>
    </row>
    <row r="9631" spans="9:10" x14ac:dyDescent="0.2">
      <c r="I9631" s="1125"/>
      <c r="J9631" s="1125"/>
    </row>
    <row r="9632" spans="9:10" x14ac:dyDescent="0.2">
      <c r="I9632" s="1125"/>
      <c r="J9632" s="1125"/>
    </row>
    <row r="9633" spans="9:10" x14ac:dyDescent="0.2">
      <c r="I9633" s="1125"/>
      <c r="J9633" s="1125"/>
    </row>
    <row r="9634" spans="9:10" x14ac:dyDescent="0.2">
      <c r="I9634" s="1125"/>
      <c r="J9634" s="1125"/>
    </row>
    <row r="9635" spans="9:10" x14ac:dyDescent="0.2">
      <c r="I9635" s="1125"/>
      <c r="J9635" s="1125"/>
    </row>
    <row r="9636" spans="9:10" x14ac:dyDescent="0.2">
      <c r="I9636" s="1125"/>
      <c r="J9636" s="1125"/>
    </row>
    <row r="9637" spans="9:10" x14ac:dyDescent="0.2">
      <c r="I9637" s="1125"/>
      <c r="J9637" s="1125"/>
    </row>
    <row r="9638" spans="9:10" x14ac:dyDescent="0.2">
      <c r="I9638" s="1125"/>
      <c r="J9638" s="1125"/>
    </row>
    <row r="9639" spans="9:10" x14ac:dyDescent="0.2">
      <c r="I9639" s="1125"/>
      <c r="J9639" s="1125"/>
    </row>
    <row r="9640" spans="9:10" x14ac:dyDescent="0.2">
      <c r="I9640" s="1125"/>
      <c r="J9640" s="1125"/>
    </row>
    <row r="9641" spans="9:10" x14ac:dyDescent="0.2">
      <c r="I9641" s="1125"/>
      <c r="J9641" s="1125"/>
    </row>
    <row r="9642" spans="9:10" x14ac:dyDescent="0.2">
      <c r="I9642" s="1125"/>
      <c r="J9642" s="1125"/>
    </row>
    <row r="9643" spans="9:10" x14ac:dyDescent="0.2">
      <c r="I9643" s="1125"/>
      <c r="J9643" s="1125"/>
    </row>
    <row r="9644" spans="9:10" x14ac:dyDescent="0.2">
      <c r="I9644" s="1125"/>
      <c r="J9644" s="1125"/>
    </row>
    <row r="9645" spans="9:10" x14ac:dyDescent="0.2">
      <c r="I9645" s="1125"/>
      <c r="J9645" s="1125"/>
    </row>
    <row r="9646" spans="9:10" x14ac:dyDescent="0.2">
      <c r="I9646" s="1125"/>
      <c r="J9646" s="1125"/>
    </row>
    <row r="9647" spans="9:10" x14ac:dyDescent="0.2">
      <c r="I9647" s="1125"/>
      <c r="J9647" s="1125"/>
    </row>
    <row r="9648" spans="9:10" x14ac:dyDescent="0.2">
      <c r="I9648" s="1125"/>
      <c r="J9648" s="1125"/>
    </row>
    <row r="9649" spans="9:10" x14ac:dyDescent="0.2">
      <c r="I9649" s="1125"/>
      <c r="J9649" s="1125"/>
    </row>
    <row r="9650" spans="9:10" x14ac:dyDescent="0.2">
      <c r="I9650" s="1125"/>
      <c r="J9650" s="1125"/>
    </row>
    <row r="9651" spans="9:10" x14ac:dyDescent="0.2">
      <c r="I9651" s="1125"/>
      <c r="J9651" s="1125"/>
    </row>
    <row r="9652" spans="9:10" x14ac:dyDescent="0.2">
      <c r="I9652" s="1125"/>
      <c r="J9652" s="1125"/>
    </row>
    <row r="9653" spans="9:10" x14ac:dyDescent="0.2">
      <c r="I9653" s="1125"/>
      <c r="J9653" s="1125"/>
    </row>
    <row r="9654" spans="9:10" x14ac:dyDescent="0.2">
      <c r="I9654" s="1125"/>
      <c r="J9654" s="1125"/>
    </row>
    <row r="9655" spans="9:10" x14ac:dyDescent="0.2">
      <c r="I9655" s="1125"/>
      <c r="J9655" s="1125"/>
    </row>
    <row r="9656" spans="9:10" x14ac:dyDescent="0.2">
      <c r="I9656" s="1125"/>
      <c r="J9656" s="1125"/>
    </row>
    <row r="9657" spans="9:10" x14ac:dyDescent="0.2">
      <c r="I9657" s="1125"/>
      <c r="J9657" s="1125"/>
    </row>
    <row r="9658" spans="9:10" x14ac:dyDescent="0.2">
      <c r="I9658" s="1125"/>
      <c r="J9658" s="1125"/>
    </row>
    <row r="9659" spans="9:10" x14ac:dyDescent="0.2">
      <c r="I9659" s="1125"/>
      <c r="J9659" s="1125"/>
    </row>
    <row r="9660" spans="9:10" x14ac:dyDescent="0.2">
      <c r="I9660" s="1125"/>
      <c r="J9660" s="1125"/>
    </row>
    <row r="9661" spans="9:10" x14ac:dyDescent="0.2">
      <c r="I9661" s="1125"/>
      <c r="J9661" s="1125"/>
    </row>
    <row r="9662" spans="9:10" x14ac:dyDescent="0.2">
      <c r="I9662" s="1125"/>
      <c r="J9662" s="1125"/>
    </row>
    <row r="9663" spans="9:10" x14ac:dyDescent="0.2">
      <c r="I9663" s="1125"/>
      <c r="J9663" s="1125"/>
    </row>
    <row r="9664" spans="9:10" x14ac:dyDescent="0.2">
      <c r="I9664" s="1125"/>
      <c r="J9664" s="1125"/>
    </row>
    <row r="9665" spans="9:10" x14ac:dyDescent="0.2">
      <c r="I9665" s="1125"/>
      <c r="J9665" s="1125"/>
    </row>
    <row r="9666" spans="9:10" x14ac:dyDescent="0.2">
      <c r="I9666" s="1125"/>
      <c r="J9666" s="1125"/>
    </row>
    <row r="9667" spans="9:10" x14ac:dyDescent="0.2">
      <c r="I9667" s="1125"/>
      <c r="J9667" s="1125"/>
    </row>
    <row r="9668" spans="9:10" x14ac:dyDescent="0.2">
      <c r="I9668" s="1125"/>
      <c r="J9668" s="1125"/>
    </row>
    <row r="9669" spans="9:10" x14ac:dyDescent="0.2">
      <c r="I9669" s="1125"/>
      <c r="J9669" s="1125"/>
    </row>
    <row r="9670" spans="9:10" x14ac:dyDescent="0.2">
      <c r="I9670" s="1125"/>
      <c r="J9670" s="1125"/>
    </row>
    <row r="9671" spans="9:10" x14ac:dyDescent="0.2">
      <c r="I9671" s="1125"/>
      <c r="J9671" s="1125"/>
    </row>
    <row r="9672" spans="9:10" x14ac:dyDescent="0.2">
      <c r="I9672" s="1125"/>
      <c r="J9672" s="1125"/>
    </row>
    <row r="9673" spans="9:10" x14ac:dyDescent="0.2">
      <c r="I9673" s="1125"/>
      <c r="J9673" s="1125"/>
    </row>
    <row r="9674" spans="9:10" x14ac:dyDescent="0.2">
      <c r="I9674" s="1125"/>
      <c r="J9674" s="1125"/>
    </row>
    <row r="9675" spans="9:10" x14ac:dyDescent="0.2">
      <c r="I9675" s="1125"/>
      <c r="J9675" s="1125"/>
    </row>
    <row r="9676" spans="9:10" x14ac:dyDescent="0.2">
      <c r="I9676" s="1125"/>
      <c r="J9676" s="1125"/>
    </row>
    <row r="9677" spans="9:10" x14ac:dyDescent="0.2">
      <c r="I9677" s="1125"/>
      <c r="J9677" s="1125"/>
    </row>
    <row r="9678" spans="9:10" x14ac:dyDescent="0.2">
      <c r="I9678" s="1125"/>
      <c r="J9678" s="1125"/>
    </row>
    <row r="9679" spans="9:10" x14ac:dyDescent="0.2">
      <c r="I9679" s="1125"/>
      <c r="J9679" s="1125"/>
    </row>
    <row r="9680" spans="9:10" x14ac:dyDescent="0.2">
      <c r="I9680" s="1125"/>
      <c r="J9680" s="1125"/>
    </row>
    <row r="9681" spans="9:10" x14ac:dyDescent="0.2">
      <c r="I9681" s="1125"/>
      <c r="J9681" s="1125"/>
    </row>
    <row r="9682" spans="9:10" x14ac:dyDescent="0.2">
      <c r="I9682" s="1125"/>
      <c r="J9682" s="1125"/>
    </row>
    <row r="9683" spans="9:10" x14ac:dyDescent="0.2">
      <c r="I9683" s="1125"/>
      <c r="J9683" s="1125"/>
    </row>
    <row r="9684" spans="9:10" x14ac:dyDescent="0.2">
      <c r="I9684" s="1125"/>
      <c r="J9684" s="1125"/>
    </row>
    <row r="9685" spans="9:10" x14ac:dyDescent="0.2">
      <c r="I9685" s="1125"/>
      <c r="J9685" s="1125"/>
    </row>
    <row r="9686" spans="9:10" x14ac:dyDescent="0.2">
      <c r="I9686" s="1125"/>
      <c r="J9686" s="1125"/>
    </row>
    <row r="9687" spans="9:10" x14ac:dyDescent="0.2">
      <c r="I9687" s="1125"/>
      <c r="J9687" s="1125"/>
    </row>
    <row r="9688" spans="9:10" x14ac:dyDescent="0.2">
      <c r="I9688" s="1125"/>
      <c r="J9688" s="1125"/>
    </row>
    <row r="9689" spans="9:10" x14ac:dyDescent="0.2">
      <c r="I9689" s="1125"/>
      <c r="J9689" s="1125"/>
    </row>
    <row r="9690" spans="9:10" x14ac:dyDescent="0.2">
      <c r="I9690" s="1125"/>
      <c r="J9690" s="1125"/>
    </row>
    <row r="9691" spans="9:10" x14ac:dyDescent="0.2">
      <c r="I9691" s="1125"/>
      <c r="J9691" s="1125"/>
    </row>
    <row r="9692" spans="9:10" x14ac:dyDescent="0.2">
      <c r="I9692" s="1125"/>
      <c r="J9692" s="1125"/>
    </row>
    <row r="9693" spans="9:10" x14ac:dyDescent="0.2">
      <c r="I9693" s="1125"/>
      <c r="J9693" s="1125"/>
    </row>
    <row r="9694" spans="9:10" x14ac:dyDescent="0.2">
      <c r="I9694" s="1125"/>
      <c r="J9694" s="1125"/>
    </row>
    <row r="9695" spans="9:10" x14ac:dyDescent="0.2">
      <c r="I9695" s="1125"/>
      <c r="J9695" s="1125"/>
    </row>
    <row r="9696" spans="9:10" x14ac:dyDescent="0.2">
      <c r="I9696" s="1125"/>
      <c r="J9696" s="1125"/>
    </row>
    <row r="9697" spans="9:10" x14ac:dyDescent="0.2">
      <c r="I9697" s="1125"/>
      <c r="J9697" s="1125"/>
    </row>
    <row r="9698" spans="9:10" x14ac:dyDescent="0.2">
      <c r="I9698" s="1125"/>
      <c r="J9698" s="1125"/>
    </row>
    <row r="9699" spans="9:10" x14ac:dyDescent="0.2">
      <c r="I9699" s="1125"/>
      <c r="J9699" s="1125"/>
    </row>
    <row r="9700" spans="9:10" x14ac:dyDescent="0.2">
      <c r="I9700" s="1125"/>
      <c r="J9700" s="1125"/>
    </row>
    <row r="9701" spans="9:10" x14ac:dyDescent="0.2">
      <c r="I9701" s="1125"/>
      <c r="J9701" s="1125"/>
    </row>
    <row r="9702" spans="9:10" x14ac:dyDescent="0.2">
      <c r="I9702" s="1125"/>
      <c r="J9702" s="1125"/>
    </row>
    <row r="9703" spans="9:10" x14ac:dyDescent="0.2">
      <c r="I9703" s="1125"/>
      <c r="J9703" s="1125"/>
    </row>
    <row r="9704" spans="9:10" x14ac:dyDescent="0.2">
      <c r="I9704" s="1125"/>
      <c r="J9704" s="1125"/>
    </row>
    <row r="9705" spans="9:10" x14ac:dyDescent="0.2">
      <c r="I9705" s="1125"/>
      <c r="J9705" s="1125"/>
    </row>
    <row r="9706" spans="9:10" x14ac:dyDescent="0.2">
      <c r="I9706" s="1125"/>
      <c r="J9706" s="1125"/>
    </row>
    <row r="9707" spans="9:10" x14ac:dyDescent="0.2">
      <c r="I9707" s="1125"/>
      <c r="J9707" s="1125"/>
    </row>
    <row r="9708" spans="9:10" x14ac:dyDescent="0.2">
      <c r="I9708" s="1125"/>
      <c r="J9708" s="1125"/>
    </row>
    <row r="9709" spans="9:10" x14ac:dyDescent="0.2">
      <c r="I9709" s="1125"/>
      <c r="J9709" s="1125"/>
    </row>
    <row r="9710" spans="9:10" x14ac:dyDescent="0.2">
      <c r="I9710" s="1125"/>
      <c r="J9710" s="1125"/>
    </row>
    <row r="9711" spans="9:10" x14ac:dyDescent="0.2">
      <c r="I9711" s="1125"/>
      <c r="J9711" s="1125"/>
    </row>
    <row r="9712" spans="9:10" x14ac:dyDescent="0.2">
      <c r="I9712" s="1125"/>
      <c r="J9712" s="1125"/>
    </row>
    <row r="9713" spans="9:10" x14ac:dyDescent="0.2">
      <c r="I9713" s="1125"/>
      <c r="J9713" s="1125"/>
    </row>
    <row r="9714" spans="9:10" x14ac:dyDescent="0.2">
      <c r="I9714" s="1125"/>
      <c r="J9714" s="1125"/>
    </row>
    <row r="9715" spans="9:10" x14ac:dyDescent="0.2">
      <c r="I9715" s="1125"/>
      <c r="J9715" s="1125"/>
    </row>
    <row r="9716" spans="9:10" x14ac:dyDescent="0.2">
      <c r="I9716" s="1125"/>
      <c r="J9716" s="1125"/>
    </row>
    <row r="9717" spans="9:10" x14ac:dyDescent="0.2">
      <c r="I9717" s="1125"/>
      <c r="J9717" s="1125"/>
    </row>
    <row r="9718" spans="9:10" x14ac:dyDescent="0.2">
      <c r="I9718" s="1125"/>
      <c r="J9718" s="1125"/>
    </row>
    <row r="9719" spans="9:10" x14ac:dyDescent="0.2">
      <c r="I9719" s="1125"/>
      <c r="J9719" s="1125"/>
    </row>
    <row r="9720" spans="9:10" x14ac:dyDescent="0.2">
      <c r="I9720" s="1125"/>
      <c r="J9720" s="1125"/>
    </row>
    <row r="9721" spans="9:10" x14ac:dyDescent="0.2">
      <c r="I9721" s="1125"/>
      <c r="J9721" s="1125"/>
    </row>
    <row r="9722" spans="9:10" x14ac:dyDescent="0.2">
      <c r="I9722" s="1125"/>
      <c r="J9722" s="1125"/>
    </row>
    <row r="9723" spans="9:10" x14ac:dyDescent="0.2">
      <c r="I9723" s="1125"/>
      <c r="J9723" s="1125"/>
    </row>
    <row r="9724" spans="9:10" x14ac:dyDescent="0.2">
      <c r="I9724" s="1125"/>
      <c r="J9724" s="1125"/>
    </row>
    <row r="9725" spans="9:10" x14ac:dyDescent="0.2">
      <c r="I9725" s="1125"/>
      <c r="J9725" s="1125"/>
    </row>
    <row r="9726" spans="9:10" x14ac:dyDescent="0.2">
      <c r="I9726" s="1125"/>
      <c r="J9726" s="1125"/>
    </row>
    <row r="9727" spans="9:10" x14ac:dyDescent="0.2">
      <c r="I9727" s="1125"/>
      <c r="J9727" s="1125"/>
    </row>
    <row r="9728" spans="9:10" x14ac:dyDescent="0.2">
      <c r="I9728" s="1125"/>
      <c r="J9728" s="1125"/>
    </row>
    <row r="9729" spans="9:10" x14ac:dyDescent="0.2">
      <c r="I9729" s="1125"/>
      <c r="J9729" s="1125"/>
    </row>
    <row r="9730" spans="9:10" x14ac:dyDescent="0.2">
      <c r="I9730" s="1125"/>
      <c r="J9730" s="1125"/>
    </row>
    <row r="9731" spans="9:10" x14ac:dyDescent="0.2">
      <c r="I9731" s="1125"/>
      <c r="J9731" s="1125"/>
    </row>
    <row r="9732" spans="9:10" x14ac:dyDescent="0.2">
      <c r="I9732" s="1125"/>
      <c r="J9732" s="1125"/>
    </row>
    <row r="9733" spans="9:10" x14ac:dyDescent="0.2">
      <c r="I9733" s="1125"/>
      <c r="J9733" s="1125"/>
    </row>
    <row r="9734" spans="9:10" x14ac:dyDescent="0.2">
      <c r="I9734" s="1125"/>
      <c r="J9734" s="1125"/>
    </row>
    <row r="9735" spans="9:10" x14ac:dyDescent="0.2">
      <c r="I9735" s="1125"/>
      <c r="J9735" s="1125"/>
    </row>
    <row r="9736" spans="9:10" x14ac:dyDescent="0.2">
      <c r="I9736" s="1125"/>
      <c r="J9736" s="1125"/>
    </row>
    <row r="9737" spans="9:10" x14ac:dyDescent="0.2">
      <c r="I9737" s="1125"/>
      <c r="J9737" s="1125"/>
    </row>
    <row r="9738" spans="9:10" x14ac:dyDescent="0.2">
      <c r="I9738" s="1125"/>
      <c r="J9738" s="1125"/>
    </row>
    <row r="9739" spans="9:10" x14ac:dyDescent="0.2">
      <c r="I9739" s="1125"/>
      <c r="J9739" s="1125"/>
    </row>
    <row r="9740" spans="9:10" x14ac:dyDescent="0.2">
      <c r="I9740" s="1125"/>
      <c r="J9740" s="1125"/>
    </row>
    <row r="9741" spans="9:10" x14ac:dyDescent="0.2">
      <c r="I9741" s="1125"/>
      <c r="J9741" s="1125"/>
    </row>
    <row r="9742" spans="9:10" x14ac:dyDescent="0.2">
      <c r="I9742" s="1125"/>
      <c r="J9742" s="1125"/>
    </row>
    <row r="9743" spans="9:10" x14ac:dyDescent="0.2">
      <c r="I9743" s="1125"/>
      <c r="J9743" s="1125"/>
    </row>
    <row r="9744" spans="9:10" x14ac:dyDescent="0.2">
      <c r="I9744" s="1125"/>
      <c r="J9744" s="1125"/>
    </row>
    <row r="9745" spans="9:10" x14ac:dyDescent="0.2">
      <c r="I9745" s="1125"/>
      <c r="J9745" s="1125"/>
    </row>
    <row r="9746" spans="9:10" x14ac:dyDescent="0.2">
      <c r="I9746" s="1125"/>
      <c r="J9746" s="1125"/>
    </row>
    <row r="9747" spans="9:10" x14ac:dyDescent="0.2">
      <c r="I9747" s="1125"/>
      <c r="J9747" s="1125"/>
    </row>
    <row r="9748" spans="9:10" x14ac:dyDescent="0.2">
      <c r="I9748" s="1125"/>
      <c r="J9748" s="1125"/>
    </row>
    <row r="9749" spans="9:10" x14ac:dyDescent="0.2">
      <c r="I9749" s="1125"/>
      <c r="J9749" s="1125"/>
    </row>
    <row r="9750" spans="9:10" x14ac:dyDescent="0.2">
      <c r="I9750" s="1125"/>
      <c r="J9750" s="1125"/>
    </row>
    <row r="9751" spans="9:10" x14ac:dyDescent="0.2">
      <c r="I9751" s="1125"/>
      <c r="J9751" s="1125"/>
    </row>
    <row r="9752" spans="9:10" x14ac:dyDescent="0.2">
      <c r="I9752" s="1125"/>
      <c r="J9752" s="1125"/>
    </row>
    <row r="9753" spans="9:10" x14ac:dyDescent="0.2">
      <c r="I9753" s="1125"/>
      <c r="J9753" s="1125"/>
    </row>
    <row r="9754" spans="9:10" x14ac:dyDescent="0.2">
      <c r="I9754" s="1125"/>
      <c r="J9754" s="1125"/>
    </row>
    <row r="9755" spans="9:10" x14ac:dyDescent="0.2">
      <c r="I9755" s="1125"/>
      <c r="J9755" s="1125"/>
    </row>
    <row r="9756" spans="9:10" x14ac:dyDescent="0.2">
      <c r="I9756" s="1125"/>
      <c r="J9756" s="1125"/>
    </row>
    <row r="9757" spans="9:10" x14ac:dyDescent="0.2">
      <c r="I9757" s="1125"/>
      <c r="J9757" s="1125"/>
    </row>
    <row r="9758" spans="9:10" x14ac:dyDescent="0.2">
      <c r="I9758" s="1125"/>
      <c r="J9758" s="1125"/>
    </row>
    <row r="9759" spans="9:10" x14ac:dyDescent="0.2">
      <c r="I9759" s="1125"/>
      <c r="J9759" s="1125"/>
    </row>
    <row r="9760" spans="9:10" x14ac:dyDescent="0.2">
      <c r="I9760" s="1125"/>
      <c r="J9760" s="1125"/>
    </row>
    <row r="9761" spans="9:10" x14ac:dyDescent="0.2">
      <c r="I9761" s="1125"/>
      <c r="J9761" s="1125"/>
    </row>
    <row r="9762" spans="9:10" x14ac:dyDescent="0.2">
      <c r="I9762" s="1125"/>
      <c r="J9762" s="1125"/>
    </row>
    <row r="9763" spans="9:10" x14ac:dyDescent="0.2">
      <c r="I9763" s="1125"/>
      <c r="J9763" s="1125"/>
    </row>
    <row r="9764" spans="9:10" x14ac:dyDescent="0.2">
      <c r="I9764" s="1125"/>
      <c r="J9764" s="1125"/>
    </row>
    <row r="9765" spans="9:10" x14ac:dyDescent="0.2">
      <c r="I9765" s="1125"/>
      <c r="J9765" s="1125"/>
    </row>
    <row r="9766" spans="9:10" x14ac:dyDescent="0.2">
      <c r="I9766" s="1125"/>
      <c r="J9766" s="1125"/>
    </row>
    <row r="9767" spans="9:10" x14ac:dyDescent="0.2">
      <c r="I9767" s="1125"/>
      <c r="J9767" s="1125"/>
    </row>
    <row r="9768" spans="9:10" x14ac:dyDescent="0.2">
      <c r="I9768" s="1125"/>
      <c r="J9768" s="1125"/>
    </row>
    <row r="9769" spans="9:10" x14ac:dyDescent="0.2">
      <c r="I9769" s="1125"/>
      <c r="J9769" s="1125"/>
    </row>
    <row r="9770" spans="9:10" x14ac:dyDescent="0.2">
      <c r="I9770" s="1125"/>
      <c r="J9770" s="1125"/>
    </row>
    <row r="9771" spans="9:10" x14ac:dyDescent="0.2">
      <c r="I9771" s="1125"/>
      <c r="J9771" s="1125"/>
    </row>
    <row r="9772" spans="9:10" x14ac:dyDescent="0.2">
      <c r="I9772" s="1125"/>
      <c r="J9772" s="1125"/>
    </row>
    <row r="9773" spans="9:10" x14ac:dyDescent="0.2">
      <c r="I9773" s="1125"/>
      <c r="J9773" s="1125"/>
    </row>
    <row r="9774" spans="9:10" x14ac:dyDescent="0.2">
      <c r="I9774" s="1125"/>
      <c r="J9774" s="1125"/>
    </row>
    <row r="9775" spans="9:10" x14ac:dyDescent="0.2">
      <c r="I9775" s="1125"/>
      <c r="J9775" s="1125"/>
    </row>
    <row r="9776" spans="9:10" x14ac:dyDescent="0.2">
      <c r="I9776" s="1125"/>
      <c r="J9776" s="1125"/>
    </row>
    <row r="9777" spans="9:10" x14ac:dyDescent="0.2">
      <c r="I9777" s="1125"/>
      <c r="J9777" s="1125"/>
    </row>
    <row r="9778" spans="9:10" x14ac:dyDescent="0.2">
      <c r="I9778" s="1125"/>
      <c r="J9778" s="1125"/>
    </row>
    <row r="9779" spans="9:10" x14ac:dyDescent="0.2">
      <c r="I9779" s="1125"/>
      <c r="J9779" s="1125"/>
    </row>
    <row r="9780" spans="9:10" x14ac:dyDescent="0.2">
      <c r="I9780" s="1125"/>
      <c r="J9780" s="1125"/>
    </row>
    <row r="9781" spans="9:10" x14ac:dyDescent="0.2">
      <c r="I9781" s="1125"/>
      <c r="J9781" s="1125"/>
    </row>
    <row r="9782" spans="9:10" x14ac:dyDescent="0.2">
      <c r="I9782" s="1125"/>
      <c r="J9782" s="1125"/>
    </row>
    <row r="9783" spans="9:10" x14ac:dyDescent="0.2">
      <c r="I9783" s="1125"/>
      <c r="J9783" s="1125"/>
    </row>
    <row r="9784" spans="9:10" x14ac:dyDescent="0.2">
      <c r="I9784" s="1125"/>
      <c r="J9784" s="1125"/>
    </row>
    <row r="9785" spans="9:10" x14ac:dyDescent="0.2">
      <c r="I9785" s="1125"/>
      <c r="J9785" s="1125"/>
    </row>
    <row r="9786" spans="9:10" x14ac:dyDescent="0.2">
      <c r="I9786" s="1125"/>
      <c r="J9786" s="1125"/>
    </row>
    <row r="9787" spans="9:10" x14ac:dyDescent="0.2">
      <c r="I9787" s="1125"/>
      <c r="J9787" s="1125"/>
    </row>
    <row r="9788" spans="9:10" x14ac:dyDescent="0.2">
      <c r="I9788" s="1125"/>
      <c r="J9788" s="1125"/>
    </row>
    <row r="9789" spans="9:10" x14ac:dyDescent="0.2">
      <c r="I9789" s="1125"/>
      <c r="J9789" s="1125"/>
    </row>
    <row r="9790" spans="9:10" x14ac:dyDescent="0.2">
      <c r="I9790" s="1125"/>
      <c r="J9790" s="1125"/>
    </row>
    <row r="9791" spans="9:10" x14ac:dyDescent="0.2">
      <c r="I9791" s="1125"/>
      <c r="J9791" s="1125"/>
    </row>
    <row r="9792" spans="9:10" x14ac:dyDescent="0.2">
      <c r="I9792" s="1125"/>
      <c r="J9792" s="1125"/>
    </row>
    <row r="9793" spans="9:10" x14ac:dyDescent="0.2">
      <c r="I9793" s="1125"/>
      <c r="J9793" s="1125"/>
    </row>
    <row r="9794" spans="9:10" x14ac:dyDescent="0.2">
      <c r="I9794" s="1125"/>
      <c r="J9794" s="1125"/>
    </row>
    <row r="9795" spans="9:10" x14ac:dyDescent="0.2">
      <c r="I9795" s="1125"/>
      <c r="J9795" s="1125"/>
    </row>
    <row r="9796" spans="9:10" x14ac:dyDescent="0.2">
      <c r="I9796" s="1125"/>
      <c r="J9796" s="1125"/>
    </row>
    <row r="9797" spans="9:10" x14ac:dyDescent="0.2">
      <c r="I9797" s="1125"/>
      <c r="J9797" s="1125"/>
    </row>
    <row r="9798" spans="9:10" x14ac:dyDescent="0.2">
      <c r="I9798" s="1125"/>
      <c r="J9798" s="1125"/>
    </row>
    <row r="9799" spans="9:10" x14ac:dyDescent="0.2">
      <c r="I9799" s="1125"/>
      <c r="J9799" s="1125"/>
    </row>
    <row r="9800" spans="9:10" x14ac:dyDescent="0.2">
      <c r="I9800" s="1125"/>
      <c r="J9800" s="1125"/>
    </row>
    <row r="9801" spans="9:10" x14ac:dyDescent="0.2">
      <c r="I9801" s="1125"/>
      <c r="J9801" s="1125"/>
    </row>
    <row r="9802" spans="9:10" x14ac:dyDescent="0.2">
      <c r="I9802" s="1125"/>
      <c r="J9802" s="1125"/>
    </row>
    <row r="9803" spans="9:10" x14ac:dyDescent="0.2">
      <c r="I9803" s="1125"/>
      <c r="J9803" s="1125"/>
    </row>
    <row r="9804" spans="9:10" x14ac:dyDescent="0.2">
      <c r="I9804" s="1125"/>
      <c r="J9804" s="1125"/>
    </row>
    <row r="9805" spans="9:10" x14ac:dyDescent="0.2">
      <c r="I9805" s="1125"/>
      <c r="J9805" s="1125"/>
    </row>
    <row r="9806" spans="9:10" x14ac:dyDescent="0.2">
      <c r="I9806" s="1125"/>
      <c r="J9806" s="1125"/>
    </row>
    <row r="9807" spans="9:10" x14ac:dyDescent="0.2">
      <c r="I9807" s="1125"/>
      <c r="J9807" s="1125"/>
    </row>
    <row r="9808" spans="9:10" x14ac:dyDescent="0.2">
      <c r="I9808" s="1125"/>
      <c r="J9808" s="1125"/>
    </row>
    <row r="9809" spans="9:10" x14ac:dyDescent="0.2">
      <c r="I9809" s="1125"/>
      <c r="J9809" s="1125"/>
    </row>
    <row r="9810" spans="9:10" x14ac:dyDescent="0.2">
      <c r="I9810" s="1125"/>
      <c r="J9810" s="1125"/>
    </row>
    <row r="9811" spans="9:10" x14ac:dyDescent="0.2">
      <c r="I9811" s="1125"/>
      <c r="J9811" s="1125"/>
    </row>
    <row r="9812" spans="9:10" x14ac:dyDescent="0.2">
      <c r="I9812" s="1125"/>
      <c r="J9812" s="1125"/>
    </row>
    <row r="9813" spans="9:10" x14ac:dyDescent="0.2">
      <c r="I9813" s="1125"/>
      <c r="J9813" s="1125"/>
    </row>
    <row r="9814" spans="9:10" x14ac:dyDescent="0.2">
      <c r="I9814" s="1125"/>
      <c r="J9814" s="1125"/>
    </row>
    <row r="9815" spans="9:10" x14ac:dyDescent="0.2">
      <c r="I9815" s="1125"/>
      <c r="J9815" s="1125"/>
    </row>
    <row r="9816" spans="9:10" x14ac:dyDescent="0.2">
      <c r="I9816" s="1125"/>
      <c r="J9816" s="1125"/>
    </row>
    <row r="9817" spans="9:10" x14ac:dyDescent="0.2">
      <c r="I9817" s="1125"/>
      <c r="J9817" s="1125"/>
    </row>
    <row r="9818" spans="9:10" x14ac:dyDescent="0.2">
      <c r="I9818" s="1125"/>
      <c r="J9818" s="1125"/>
    </row>
    <row r="9819" spans="9:10" x14ac:dyDescent="0.2">
      <c r="I9819" s="1125"/>
      <c r="J9819" s="1125"/>
    </row>
    <row r="9820" spans="9:10" x14ac:dyDescent="0.2">
      <c r="I9820" s="1125"/>
      <c r="J9820" s="1125"/>
    </row>
    <row r="9821" spans="9:10" x14ac:dyDescent="0.2">
      <c r="I9821" s="1125"/>
      <c r="J9821" s="1125"/>
    </row>
    <row r="9822" spans="9:10" x14ac:dyDescent="0.2">
      <c r="I9822" s="1125"/>
      <c r="J9822" s="1125"/>
    </row>
    <row r="9823" spans="9:10" x14ac:dyDescent="0.2">
      <c r="I9823" s="1125"/>
      <c r="J9823" s="1125"/>
    </row>
    <row r="9824" spans="9:10" x14ac:dyDescent="0.2">
      <c r="I9824" s="1125"/>
      <c r="J9824" s="1125"/>
    </row>
    <row r="9825" spans="9:10" x14ac:dyDescent="0.2">
      <c r="I9825" s="1125"/>
      <c r="J9825" s="1125"/>
    </row>
    <row r="9826" spans="9:10" x14ac:dyDescent="0.2">
      <c r="I9826" s="1125"/>
      <c r="J9826" s="1125"/>
    </row>
    <row r="9827" spans="9:10" x14ac:dyDescent="0.2">
      <c r="I9827" s="1125"/>
      <c r="J9827" s="1125"/>
    </row>
    <row r="9828" spans="9:10" x14ac:dyDescent="0.2">
      <c r="I9828" s="1125"/>
      <c r="J9828" s="1125"/>
    </row>
    <row r="9829" spans="9:10" x14ac:dyDescent="0.2">
      <c r="I9829" s="1125"/>
      <c r="J9829" s="1125"/>
    </row>
    <row r="9830" spans="9:10" x14ac:dyDescent="0.2">
      <c r="I9830" s="1125"/>
      <c r="J9830" s="1125"/>
    </row>
    <row r="9831" spans="9:10" x14ac:dyDescent="0.2">
      <c r="I9831" s="1125"/>
      <c r="J9831" s="1125"/>
    </row>
    <row r="9832" spans="9:10" x14ac:dyDescent="0.2">
      <c r="I9832" s="1125"/>
      <c r="J9832" s="1125"/>
    </row>
    <row r="9833" spans="9:10" x14ac:dyDescent="0.2">
      <c r="I9833" s="1125"/>
      <c r="J9833" s="1125"/>
    </row>
    <row r="9834" spans="9:10" x14ac:dyDescent="0.2">
      <c r="I9834" s="1125"/>
      <c r="J9834" s="1125"/>
    </row>
    <row r="9835" spans="9:10" x14ac:dyDescent="0.2">
      <c r="I9835" s="1125"/>
      <c r="J9835" s="1125"/>
    </row>
    <row r="9836" spans="9:10" x14ac:dyDescent="0.2">
      <c r="I9836" s="1125"/>
      <c r="J9836" s="1125"/>
    </row>
    <row r="9837" spans="9:10" x14ac:dyDescent="0.2">
      <c r="I9837" s="1125"/>
      <c r="J9837" s="1125"/>
    </row>
    <row r="9838" spans="9:10" x14ac:dyDescent="0.2">
      <c r="I9838" s="1125"/>
      <c r="J9838" s="1125"/>
    </row>
    <row r="9839" spans="9:10" x14ac:dyDescent="0.2">
      <c r="I9839" s="1125"/>
      <c r="J9839" s="1125"/>
    </row>
    <row r="9840" spans="9:10" x14ac:dyDescent="0.2">
      <c r="I9840" s="1125"/>
      <c r="J9840" s="1125"/>
    </row>
    <row r="9841" spans="9:10" x14ac:dyDescent="0.2">
      <c r="I9841" s="1125"/>
      <c r="J9841" s="1125"/>
    </row>
    <row r="9842" spans="9:10" x14ac:dyDescent="0.2">
      <c r="I9842" s="1125"/>
      <c r="J9842" s="1125"/>
    </row>
    <row r="9843" spans="9:10" x14ac:dyDescent="0.2">
      <c r="I9843" s="1125"/>
      <c r="J9843" s="1125"/>
    </row>
    <row r="9844" spans="9:10" x14ac:dyDescent="0.2">
      <c r="I9844" s="1125"/>
      <c r="J9844" s="1125"/>
    </row>
    <row r="9845" spans="9:10" x14ac:dyDescent="0.2">
      <c r="I9845" s="1125"/>
      <c r="J9845" s="1125"/>
    </row>
    <row r="9846" spans="9:10" x14ac:dyDescent="0.2">
      <c r="I9846" s="1125"/>
      <c r="J9846" s="1125"/>
    </row>
    <row r="9847" spans="9:10" x14ac:dyDescent="0.2">
      <c r="I9847" s="1125"/>
      <c r="J9847" s="1125"/>
    </row>
    <row r="9848" spans="9:10" x14ac:dyDescent="0.2">
      <c r="I9848" s="1125"/>
      <c r="J9848" s="1125"/>
    </row>
    <row r="9849" spans="9:10" x14ac:dyDescent="0.2">
      <c r="I9849" s="1125"/>
      <c r="J9849" s="1125"/>
    </row>
    <row r="9850" spans="9:10" x14ac:dyDescent="0.2">
      <c r="I9850" s="1125"/>
      <c r="J9850" s="1125"/>
    </row>
    <row r="9851" spans="9:10" x14ac:dyDescent="0.2">
      <c r="I9851" s="1125"/>
      <c r="J9851" s="1125"/>
    </row>
    <row r="9852" spans="9:10" x14ac:dyDescent="0.2">
      <c r="I9852" s="1125"/>
      <c r="J9852" s="1125"/>
    </row>
    <row r="9853" spans="9:10" x14ac:dyDescent="0.2">
      <c r="I9853" s="1125"/>
      <c r="J9853" s="1125"/>
    </row>
    <row r="9854" spans="9:10" x14ac:dyDescent="0.2">
      <c r="I9854" s="1125"/>
      <c r="J9854" s="1125"/>
    </row>
    <row r="9855" spans="9:10" x14ac:dyDescent="0.2">
      <c r="I9855" s="1125"/>
      <c r="J9855" s="1125"/>
    </row>
    <row r="9856" spans="9:10" x14ac:dyDescent="0.2">
      <c r="I9856" s="1125"/>
      <c r="J9856" s="1125"/>
    </row>
    <row r="9857" spans="9:10" x14ac:dyDescent="0.2">
      <c r="I9857" s="1125"/>
      <c r="J9857" s="1125"/>
    </row>
    <row r="9858" spans="9:10" x14ac:dyDescent="0.2">
      <c r="I9858" s="1125"/>
      <c r="J9858" s="1125"/>
    </row>
    <row r="9859" spans="9:10" x14ac:dyDescent="0.2">
      <c r="I9859" s="1125"/>
      <c r="J9859" s="1125"/>
    </row>
    <row r="9860" spans="9:10" x14ac:dyDescent="0.2">
      <c r="I9860" s="1125"/>
      <c r="J9860" s="1125"/>
    </row>
    <row r="9861" spans="9:10" x14ac:dyDescent="0.2">
      <c r="I9861" s="1125"/>
      <c r="J9861" s="1125"/>
    </row>
    <row r="9862" spans="9:10" x14ac:dyDescent="0.2">
      <c r="I9862" s="1125"/>
      <c r="J9862" s="1125"/>
    </row>
    <row r="9863" spans="9:10" x14ac:dyDescent="0.2">
      <c r="I9863" s="1125"/>
      <c r="J9863" s="1125"/>
    </row>
    <row r="9864" spans="9:10" x14ac:dyDescent="0.2">
      <c r="I9864" s="1125"/>
      <c r="J9864" s="1125"/>
    </row>
    <row r="9865" spans="9:10" x14ac:dyDescent="0.2">
      <c r="I9865" s="1125"/>
      <c r="J9865" s="1125"/>
    </row>
    <row r="9866" spans="9:10" x14ac:dyDescent="0.2">
      <c r="I9866" s="1125"/>
      <c r="J9866" s="1125"/>
    </row>
    <row r="9867" spans="9:10" x14ac:dyDescent="0.2">
      <c r="I9867" s="1125"/>
      <c r="J9867" s="1125"/>
    </row>
    <row r="9868" spans="9:10" x14ac:dyDescent="0.2">
      <c r="I9868" s="1125"/>
      <c r="J9868" s="1125"/>
    </row>
    <row r="9869" spans="9:10" x14ac:dyDescent="0.2">
      <c r="I9869" s="1125"/>
      <c r="J9869" s="1125"/>
    </row>
    <row r="9870" spans="9:10" x14ac:dyDescent="0.2">
      <c r="I9870" s="1125"/>
      <c r="J9870" s="1125"/>
    </row>
    <row r="9871" spans="9:10" x14ac:dyDescent="0.2">
      <c r="I9871" s="1125"/>
      <c r="J9871" s="1125"/>
    </row>
    <row r="9872" spans="9:10" x14ac:dyDescent="0.2">
      <c r="I9872" s="1125"/>
      <c r="J9872" s="1125"/>
    </row>
    <row r="9873" spans="9:10" x14ac:dyDescent="0.2">
      <c r="I9873" s="1125"/>
      <c r="J9873" s="1125"/>
    </row>
    <row r="9874" spans="9:10" x14ac:dyDescent="0.2">
      <c r="I9874" s="1125"/>
      <c r="J9874" s="1125"/>
    </row>
    <row r="9875" spans="9:10" x14ac:dyDescent="0.2">
      <c r="I9875" s="1125"/>
      <c r="J9875" s="1125"/>
    </row>
    <row r="9876" spans="9:10" x14ac:dyDescent="0.2">
      <c r="I9876" s="1125"/>
      <c r="J9876" s="1125"/>
    </row>
    <row r="9877" spans="9:10" x14ac:dyDescent="0.2">
      <c r="I9877" s="1125"/>
      <c r="J9877" s="1125"/>
    </row>
    <row r="9878" spans="9:10" x14ac:dyDescent="0.2">
      <c r="I9878" s="1125"/>
      <c r="J9878" s="1125"/>
    </row>
    <row r="9879" spans="9:10" x14ac:dyDescent="0.2">
      <c r="I9879" s="1125"/>
      <c r="J9879" s="1125"/>
    </row>
    <row r="9880" spans="9:10" x14ac:dyDescent="0.2">
      <c r="I9880" s="1125"/>
      <c r="J9880" s="1125"/>
    </row>
    <row r="9881" spans="9:10" x14ac:dyDescent="0.2">
      <c r="I9881" s="1125"/>
      <c r="J9881" s="1125"/>
    </row>
    <row r="9882" spans="9:10" x14ac:dyDescent="0.2">
      <c r="I9882" s="1125"/>
      <c r="J9882" s="1125"/>
    </row>
    <row r="9883" spans="9:10" x14ac:dyDescent="0.2">
      <c r="I9883" s="1125"/>
      <c r="J9883" s="1125"/>
    </row>
    <row r="9884" spans="9:10" x14ac:dyDescent="0.2">
      <c r="I9884" s="1125"/>
      <c r="J9884" s="1125"/>
    </row>
    <row r="9885" spans="9:10" x14ac:dyDescent="0.2">
      <c r="I9885" s="1125"/>
      <c r="J9885" s="1125"/>
    </row>
    <row r="9886" spans="9:10" x14ac:dyDescent="0.2">
      <c r="I9886" s="1125"/>
      <c r="J9886" s="1125"/>
    </row>
    <row r="9887" spans="9:10" x14ac:dyDescent="0.2">
      <c r="I9887" s="1125"/>
      <c r="J9887" s="1125"/>
    </row>
    <row r="9888" spans="9:10" x14ac:dyDescent="0.2">
      <c r="I9888" s="1125"/>
      <c r="J9888" s="1125"/>
    </row>
    <row r="9889" spans="9:10" x14ac:dyDescent="0.2">
      <c r="I9889" s="1125"/>
      <c r="J9889" s="1125"/>
    </row>
    <row r="9890" spans="9:10" x14ac:dyDescent="0.2">
      <c r="I9890" s="1125"/>
      <c r="J9890" s="1125"/>
    </row>
    <row r="9891" spans="9:10" x14ac:dyDescent="0.2">
      <c r="I9891" s="1125"/>
      <c r="J9891" s="1125"/>
    </row>
    <row r="9892" spans="9:10" x14ac:dyDescent="0.2">
      <c r="I9892" s="1125"/>
      <c r="J9892" s="1125"/>
    </row>
    <row r="9893" spans="9:10" x14ac:dyDescent="0.2">
      <c r="I9893" s="1125"/>
      <c r="J9893" s="1125"/>
    </row>
    <row r="9894" spans="9:10" x14ac:dyDescent="0.2">
      <c r="I9894" s="1125"/>
      <c r="J9894" s="1125"/>
    </row>
    <row r="9895" spans="9:10" x14ac:dyDescent="0.2">
      <c r="I9895" s="1125"/>
      <c r="J9895" s="1125"/>
    </row>
    <row r="9896" spans="9:10" x14ac:dyDescent="0.2">
      <c r="I9896" s="1125"/>
      <c r="J9896" s="1125"/>
    </row>
    <row r="9897" spans="9:10" x14ac:dyDescent="0.2">
      <c r="I9897" s="1125"/>
      <c r="J9897" s="1125"/>
    </row>
    <row r="9898" spans="9:10" x14ac:dyDescent="0.2">
      <c r="I9898" s="1125"/>
      <c r="J9898" s="1125"/>
    </row>
    <row r="9899" spans="9:10" x14ac:dyDescent="0.2">
      <c r="I9899" s="1125"/>
      <c r="J9899" s="1125"/>
    </row>
    <row r="9900" spans="9:10" x14ac:dyDescent="0.2">
      <c r="I9900" s="1125"/>
      <c r="J9900" s="1125"/>
    </row>
    <row r="9901" spans="9:10" x14ac:dyDescent="0.2">
      <c r="I9901" s="1125"/>
      <c r="J9901" s="1125"/>
    </row>
    <row r="9902" spans="9:10" x14ac:dyDescent="0.2">
      <c r="I9902" s="1125"/>
      <c r="J9902" s="1125"/>
    </row>
    <row r="9903" spans="9:10" x14ac:dyDescent="0.2">
      <c r="I9903" s="1125"/>
      <c r="J9903" s="1125"/>
    </row>
    <row r="9904" spans="9:10" x14ac:dyDescent="0.2">
      <c r="I9904" s="1125"/>
      <c r="J9904" s="1125"/>
    </row>
    <row r="9905" spans="9:10" x14ac:dyDescent="0.2">
      <c r="I9905" s="1125"/>
      <c r="J9905" s="1125"/>
    </row>
    <row r="9906" spans="9:10" x14ac:dyDescent="0.2">
      <c r="I9906" s="1125"/>
      <c r="J9906" s="1125"/>
    </row>
    <row r="9907" spans="9:10" x14ac:dyDescent="0.2">
      <c r="I9907" s="1125"/>
      <c r="J9907" s="1125"/>
    </row>
    <row r="9908" spans="9:10" x14ac:dyDescent="0.2">
      <c r="I9908" s="1125"/>
      <c r="J9908" s="1125"/>
    </row>
    <row r="9909" spans="9:10" x14ac:dyDescent="0.2">
      <c r="I9909" s="1125"/>
      <c r="J9909" s="1125"/>
    </row>
    <row r="9910" spans="9:10" x14ac:dyDescent="0.2">
      <c r="I9910" s="1125"/>
      <c r="J9910" s="1125"/>
    </row>
    <row r="9911" spans="9:10" x14ac:dyDescent="0.2">
      <c r="I9911" s="1125"/>
      <c r="J9911" s="1125"/>
    </row>
    <row r="9912" spans="9:10" x14ac:dyDescent="0.2">
      <c r="I9912" s="1125"/>
      <c r="J9912" s="1125"/>
    </row>
    <row r="9913" spans="9:10" x14ac:dyDescent="0.2">
      <c r="I9913" s="1125"/>
      <c r="J9913" s="1125"/>
    </row>
    <row r="9914" spans="9:10" x14ac:dyDescent="0.2">
      <c r="I9914" s="1125"/>
      <c r="J9914" s="1125"/>
    </row>
    <row r="9915" spans="9:10" x14ac:dyDescent="0.2">
      <c r="I9915" s="1125"/>
      <c r="J9915" s="1125"/>
    </row>
    <row r="9916" spans="9:10" x14ac:dyDescent="0.2">
      <c r="I9916" s="1125"/>
      <c r="J9916" s="1125"/>
    </row>
    <row r="9917" spans="9:10" x14ac:dyDescent="0.2">
      <c r="I9917" s="1125"/>
      <c r="J9917" s="1125"/>
    </row>
    <row r="9918" spans="9:10" x14ac:dyDescent="0.2">
      <c r="I9918" s="1125"/>
      <c r="J9918" s="1125"/>
    </row>
    <row r="9919" spans="9:10" x14ac:dyDescent="0.2">
      <c r="I9919" s="1125"/>
      <c r="J9919" s="1125"/>
    </row>
    <row r="9920" spans="9:10" x14ac:dyDescent="0.2">
      <c r="I9920" s="1125"/>
      <c r="J9920" s="1125"/>
    </row>
    <row r="9921" spans="9:10" x14ac:dyDescent="0.2">
      <c r="I9921" s="1125"/>
      <c r="J9921" s="1125"/>
    </row>
    <row r="9922" spans="9:10" x14ac:dyDescent="0.2">
      <c r="I9922" s="1125"/>
      <c r="J9922" s="1125"/>
    </row>
    <row r="9923" spans="9:10" x14ac:dyDescent="0.2">
      <c r="I9923" s="1125"/>
      <c r="J9923" s="1125"/>
    </row>
    <row r="9924" spans="9:10" x14ac:dyDescent="0.2">
      <c r="I9924" s="1125"/>
      <c r="J9924" s="1125"/>
    </row>
    <row r="9925" spans="9:10" x14ac:dyDescent="0.2">
      <c r="I9925" s="1125"/>
      <c r="J9925" s="1125"/>
    </row>
    <row r="9926" spans="9:10" x14ac:dyDescent="0.2">
      <c r="I9926" s="1125"/>
      <c r="J9926" s="1125"/>
    </row>
    <row r="9927" spans="9:10" x14ac:dyDescent="0.2">
      <c r="I9927" s="1125"/>
      <c r="J9927" s="1125"/>
    </row>
    <row r="9928" spans="9:10" x14ac:dyDescent="0.2">
      <c r="I9928" s="1125"/>
      <c r="J9928" s="1125"/>
    </row>
    <row r="9929" spans="9:10" x14ac:dyDescent="0.2">
      <c r="I9929" s="1125"/>
      <c r="J9929" s="1125"/>
    </row>
    <row r="9930" spans="9:10" x14ac:dyDescent="0.2">
      <c r="I9930" s="1125"/>
      <c r="J9930" s="1125"/>
    </row>
    <row r="9931" spans="9:10" x14ac:dyDescent="0.2">
      <c r="I9931" s="1125"/>
      <c r="J9931" s="1125"/>
    </row>
    <row r="9932" spans="9:10" x14ac:dyDescent="0.2">
      <c r="I9932" s="1125"/>
      <c r="J9932" s="1125"/>
    </row>
    <row r="9933" spans="9:10" x14ac:dyDescent="0.2">
      <c r="I9933" s="1125"/>
      <c r="J9933" s="1125"/>
    </row>
    <row r="9934" spans="9:10" x14ac:dyDescent="0.2">
      <c r="I9934" s="1125"/>
      <c r="J9934" s="1125"/>
    </row>
    <row r="9935" spans="9:10" x14ac:dyDescent="0.2">
      <c r="I9935" s="1125"/>
      <c r="J9935" s="1125"/>
    </row>
    <row r="9936" spans="9:10" x14ac:dyDescent="0.2">
      <c r="I9936" s="1125"/>
      <c r="J9936" s="1125"/>
    </row>
    <row r="9937" spans="9:10" x14ac:dyDescent="0.2">
      <c r="I9937" s="1125"/>
      <c r="J9937" s="1125"/>
    </row>
    <row r="9938" spans="9:10" x14ac:dyDescent="0.2">
      <c r="I9938" s="1125"/>
      <c r="J9938" s="1125"/>
    </row>
    <row r="9939" spans="9:10" x14ac:dyDescent="0.2">
      <c r="I9939" s="1125"/>
      <c r="J9939" s="1125"/>
    </row>
    <row r="9940" spans="9:10" x14ac:dyDescent="0.2">
      <c r="I9940" s="1125"/>
      <c r="J9940" s="1125"/>
    </row>
    <row r="9941" spans="9:10" x14ac:dyDescent="0.2">
      <c r="I9941" s="1125"/>
      <c r="J9941" s="1125"/>
    </row>
    <row r="9942" spans="9:10" x14ac:dyDescent="0.2">
      <c r="I9942" s="1125"/>
      <c r="J9942" s="1125"/>
    </row>
    <row r="9943" spans="9:10" x14ac:dyDescent="0.2">
      <c r="I9943" s="1125"/>
      <c r="J9943" s="1125"/>
    </row>
    <row r="9944" spans="9:10" x14ac:dyDescent="0.2">
      <c r="I9944" s="1125"/>
      <c r="J9944" s="1125"/>
    </row>
    <row r="9945" spans="9:10" x14ac:dyDescent="0.2">
      <c r="I9945" s="1125"/>
      <c r="J9945" s="1125"/>
    </row>
    <row r="9946" spans="9:10" x14ac:dyDescent="0.2">
      <c r="I9946" s="1125"/>
      <c r="J9946" s="1125"/>
    </row>
    <row r="9947" spans="9:10" x14ac:dyDescent="0.2">
      <c r="I9947" s="1125"/>
      <c r="J9947" s="1125"/>
    </row>
    <row r="9948" spans="9:10" x14ac:dyDescent="0.2">
      <c r="I9948" s="1125"/>
      <c r="J9948" s="1125"/>
    </row>
    <row r="9949" spans="9:10" x14ac:dyDescent="0.2">
      <c r="I9949" s="1125"/>
      <c r="J9949" s="1125"/>
    </row>
    <row r="9950" spans="9:10" x14ac:dyDescent="0.2">
      <c r="I9950" s="1125"/>
      <c r="J9950" s="1125"/>
    </row>
    <row r="9951" spans="9:10" x14ac:dyDescent="0.2">
      <c r="I9951" s="1125"/>
      <c r="J9951" s="1125"/>
    </row>
    <row r="9952" spans="9:10" x14ac:dyDescent="0.2">
      <c r="I9952" s="1125"/>
      <c r="J9952" s="1125"/>
    </row>
    <row r="9953" spans="9:10" x14ac:dyDescent="0.2">
      <c r="I9953" s="1125"/>
      <c r="J9953" s="1125"/>
    </row>
    <row r="9954" spans="9:10" x14ac:dyDescent="0.2">
      <c r="I9954" s="1125"/>
      <c r="J9954" s="1125"/>
    </row>
    <row r="9955" spans="9:10" x14ac:dyDescent="0.2">
      <c r="I9955" s="1125"/>
      <c r="J9955" s="1125"/>
    </row>
    <row r="9956" spans="9:10" x14ac:dyDescent="0.2">
      <c r="I9956" s="1125"/>
      <c r="J9956" s="1125"/>
    </row>
    <row r="9957" spans="9:10" x14ac:dyDescent="0.2">
      <c r="I9957" s="1125"/>
      <c r="J9957" s="1125"/>
    </row>
    <row r="9958" spans="9:10" x14ac:dyDescent="0.2">
      <c r="I9958" s="1125"/>
      <c r="J9958" s="1125"/>
    </row>
    <row r="9959" spans="9:10" x14ac:dyDescent="0.2">
      <c r="I9959" s="1125"/>
      <c r="J9959" s="1125"/>
    </row>
    <row r="9960" spans="9:10" x14ac:dyDescent="0.2">
      <c r="I9960" s="1125"/>
      <c r="J9960" s="1125"/>
    </row>
    <row r="9961" spans="9:10" x14ac:dyDescent="0.2">
      <c r="I9961" s="1125"/>
      <c r="J9961" s="1125"/>
    </row>
    <row r="9962" spans="9:10" x14ac:dyDescent="0.2">
      <c r="I9962" s="1125"/>
      <c r="J9962" s="1125"/>
    </row>
    <row r="9963" spans="9:10" x14ac:dyDescent="0.2">
      <c r="I9963" s="1125"/>
      <c r="J9963" s="1125"/>
    </row>
    <row r="9964" spans="9:10" x14ac:dyDescent="0.2">
      <c r="I9964" s="1125"/>
      <c r="J9964" s="1125"/>
    </row>
    <row r="9965" spans="9:10" x14ac:dyDescent="0.2">
      <c r="I9965" s="1125"/>
      <c r="J9965" s="1125"/>
    </row>
    <row r="9966" spans="9:10" x14ac:dyDescent="0.2">
      <c r="I9966" s="1125"/>
      <c r="J9966" s="1125"/>
    </row>
    <row r="9967" spans="9:10" x14ac:dyDescent="0.2">
      <c r="I9967" s="1125"/>
      <c r="J9967" s="1125"/>
    </row>
    <row r="9968" spans="9:10" x14ac:dyDescent="0.2">
      <c r="I9968" s="1125"/>
      <c r="J9968" s="1125"/>
    </row>
    <row r="9969" spans="9:10" x14ac:dyDescent="0.2">
      <c r="I9969" s="1125"/>
      <c r="J9969" s="1125"/>
    </row>
    <row r="9970" spans="9:10" x14ac:dyDescent="0.2">
      <c r="I9970" s="1125"/>
      <c r="J9970" s="1125"/>
    </row>
    <row r="9971" spans="9:10" x14ac:dyDescent="0.2">
      <c r="I9971" s="1125"/>
      <c r="J9971" s="1125"/>
    </row>
    <row r="9972" spans="9:10" x14ac:dyDescent="0.2">
      <c r="I9972" s="1125"/>
      <c r="J9972" s="1125"/>
    </row>
    <row r="9973" spans="9:10" x14ac:dyDescent="0.2">
      <c r="I9973" s="1125"/>
      <c r="J9973" s="1125"/>
    </row>
    <row r="9974" spans="9:10" x14ac:dyDescent="0.2">
      <c r="I9974" s="1125"/>
      <c r="J9974" s="1125"/>
    </row>
    <row r="9975" spans="9:10" x14ac:dyDescent="0.2">
      <c r="I9975" s="1125"/>
      <c r="J9975" s="1125"/>
    </row>
    <row r="9976" spans="9:10" x14ac:dyDescent="0.2">
      <c r="I9976" s="1125"/>
      <c r="J9976" s="1125"/>
    </row>
    <row r="9977" spans="9:10" x14ac:dyDescent="0.2">
      <c r="I9977" s="1125"/>
      <c r="J9977" s="1125"/>
    </row>
    <row r="9978" spans="9:10" x14ac:dyDescent="0.2">
      <c r="I9978" s="1125"/>
      <c r="J9978" s="1125"/>
    </row>
    <row r="9979" spans="9:10" x14ac:dyDescent="0.2">
      <c r="I9979" s="1125"/>
      <c r="J9979" s="1125"/>
    </row>
    <row r="9980" spans="9:10" x14ac:dyDescent="0.2">
      <c r="I9980" s="1125"/>
      <c r="J9980" s="1125"/>
    </row>
    <row r="9981" spans="9:10" x14ac:dyDescent="0.2">
      <c r="I9981" s="1125"/>
      <c r="J9981" s="1125"/>
    </row>
    <row r="9982" spans="9:10" x14ac:dyDescent="0.2">
      <c r="I9982" s="1125"/>
      <c r="J9982" s="1125"/>
    </row>
    <row r="9983" spans="9:10" x14ac:dyDescent="0.2">
      <c r="I9983" s="1125"/>
      <c r="J9983" s="1125"/>
    </row>
    <row r="9984" spans="9:10" x14ac:dyDescent="0.2">
      <c r="I9984" s="1125"/>
      <c r="J9984" s="1125"/>
    </row>
    <row r="9985" spans="9:10" x14ac:dyDescent="0.2">
      <c r="I9985" s="1125"/>
      <c r="J9985" s="1125"/>
    </row>
    <row r="9986" spans="9:10" x14ac:dyDescent="0.2">
      <c r="I9986" s="1125"/>
      <c r="J9986" s="1125"/>
    </row>
    <row r="9987" spans="9:10" x14ac:dyDescent="0.2">
      <c r="I9987" s="1125"/>
      <c r="J9987" s="1125"/>
    </row>
    <row r="9988" spans="9:10" x14ac:dyDescent="0.2">
      <c r="I9988" s="1125"/>
      <c r="J9988" s="1125"/>
    </row>
    <row r="9989" spans="9:10" x14ac:dyDescent="0.2">
      <c r="I9989" s="1125"/>
      <c r="J9989" s="1125"/>
    </row>
    <row r="9990" spans="9:10" x14ac:dyDescent="0.2">
      <c r="I9990" s="1125"/>
      <c r="J9990" s="1125"/>
    </row>
    <row r="9991" spans="9:10" x14ac:dyDescent="0.2">
      <c r="I9991" s="1125"/>
      <c r="J9991" s="1125"/>
    </row>
    <row r="9992" spans="9:10" x14ac:dyDescent="0.2">
      <c r="I9992" s="1125"/>
      <c r="J9992" s="1125"/>
    </row>
    <row r="9993" spans="9:10" x14ac:dyDescent="0.2">
      <c r="I9993" s="1125"/>
      <c r="J9993" s="1125"/>
    </row>
    <row r="9994" spans="9:10" x14ac:dyDescent="0.2">
      <c r="I9994" s="1125"/>
      <c r="J9994" s="1125"/>
    </row>
    <row r="9995" spans="9:10" x14ac:dyDescent="0.2">
      <c r="I9995" s="1125"/>
      <c r="J9995" s="1125"/>
    </row>
    <row r="9996" spans="9:10" x14ac:dyDescent="0.2">
      <c r="I9996" s="1125"/>
      <c r="J9996" s="1125"/>
    </row>
    <row r="9997" spans="9:10" x14ac:dyDescent="0.2">
      <c r="I9997" s="1125"/>
      <c r="J9997" s="1125"/>
    </row>
    <row r="9998" spans="9:10" x14ac:dyDescent="0.2">
      <c r="I9998" s="1125"/>
      <c r="J9998" s="1125"/>
    </row>
    <row r="9999" spans="9:10" x14ac:dyDescent="0.2">
      <c r="I9999" s="1125"/>
      <c r="J9999" s="1125"/>
    </row>
    <row r="10000" spans="9:10" x14ac:dyDescent="0.2">
      <c r="I10000" s="1125"/>
      <c r="J10000" s="1125"/>
    </row>
    <row r="10001" spans="9:10" x14ac:dyDescent="0.2">
      <c r="I10001" s="1125"/>
      <c r="J10001" s="1125"/>
    </row>
    <row r="10002" spans="9:10" x14ac:dyDescent="0.2">
      <c r="I10002" s="1125"/>
      <c r="J10002" s="1125"/>
    </row>
    <row r="10003" spans="9:10" x14ac:dyDescent="0.2">
      <c r="I10003" s="1125"/>
      <c r="J10003" s="1125"/>
    </row>
    <row r="10004" spans="9:10" x14ac:dyDescent="0.2">
      <c r="I10004" s="1125"/>
      <c r="J10004" s="1125"/>
    </row>
    <row r="10005" spans="9:10" x14ac:dyDescent="0.2">
      <c r="I10005" s="1125"/>
      <c r="J10005" s="1125"/>
    </row>
    <row r="10006" spans="9:10" x14ac:dyDescent="0.2">
      <c r="I10006" s="1125"/>
      <c r="J10006" s="1125"/>
    </row>
    <row r="10007" spans="9:10" x14ac:dyDescent="0.2">
      <c r="I10007" s="1125"/>
      <c r="J10007" s="1125"/>
    </row>
    <row r="10008" spans="9:10" x14ac:dyDescent="0.2">
      <c r="I10008" s="1125"/>
      <c r="J10008" s="1125"/>
    </row>
    <row r="10009" spans="9:10" x14ac:dyDescent="0.2">
      <c r="I10009" s="1125"/>
      <c r="J10009" s="1125"/>
    </row>
    <row r="10010" spans="9:10" x14ac:dyDescent="0.2">
      <c r="I10010" s="1125"/>
      <c r="J10010" s="1125"/>
    </row>
    <row r="10011" spans="9:10" x14ac:dyDescent="0.2">
      <c r="I10011" s="1125"/>
      <c r="J10011" s="1125"/>
    </row>
    <row r="10012" spans="9:10" x14ac:dyDescent="0.2">
      <c r="I10012" s="1125"/>
      <c r="J10012" s="1125"/>
    </row>
    <row r="10013" spans="9:10" x14ac:dyDescent="0.2">
      <c r="I10013" s="1125"/>
      <c r="J10013" s="1125"/>
    </row>
    <row r="10014" spans="9:10" x14ac:dyDescent="0.2">
      <c r="I10014" s="1125"/>
      <c r="J10014" s="1125"/>
    </row>
    <row r="10015" spans="9:10" x14ac:dyDescent="0.2">
      <c r="I10015" s="1125"/>
      <c r="J10015" s="1125"/>
    </row>
    <row r="10016" spans="9:10" x14ac:dyDescent="0.2">
      <c r="I10016" s="1125"/>
      <c r="J10016" s="1125"/>
    </row>
    <row r="10017" spans="9:10" x14ac:dyDescent="0.2">
      <c r="I10017" s="1125"/>
      <c r="J10017" s="1125"/>
    </row>
    <row r="10018" spans="9:10" x14ac:dyDescent="0.2">
      <c r="I10018" s="1125"/>
      <c r="J10018" s="1125"/>
    </row>
    <row r="10019" spans="9:10" x14ac:dyDescent="0.2">
      <c r="I10019" s="1125"/>
      <c r="J10019" s="1125"/>
    </row>
    <row r="10020" spans="9:10" x14ac:dyDescent="0.2">
      <c r="I10020" s="1125"/>
      <c r="J10020" s="1125"/>
    </row>
    <row r="10021" spans="9:10" x14ac:dyDescent="0.2">
      <c r="I10021" s="1125"/>
      <c r="J10021" s="1125"/>
    </row>
    <row r="10022" spans="9:10" x14ac:dyDescent="0.2">
      <c r="I10022" s="1125"/>
      <c r="J10022" s="1125"/>
    </row>
    <row r="10023" spans="9:10" x14ac:dyDescent="0.2">
      <c r="I10023" s="1125"/>
      <c r="J10023" s="1125"/>
    </row>
    <row r="10024" spans="9:10" x14ac:dyDescent="0.2">
      <c r="I10024" s="1125"/>
      <c r="J10024" s="1125"/>
    </row>
    <row r="10025" spans="9:10" x14ac:dyDescent="0.2">
      <c r="I10025" s="1125"/>
      <c r="J10025" s="1125"/>
    </row>
    <row r="10026" spans="9:10" x14ac:dyDescent="0.2">
      <c r="I10026" s="1125"/>
      <c r="J10026" s="1125"/>
    </row>
    <row r="10027" spans="9:10" x14ac:dyDescent="0.2">
      <c r="I10027" s="1125"/>
      <c r="J10027" s="1125"/>
    </row>
    <row r="10028" spans="9:10" x14ac:dyDescent="0.2">
      <c r="I10028" s="1125"/>
      <c r="J10028" s="1125"/>
    </row>
    <row r="10029" spans="9:10" x14ac:dyDescent="0.2">
      <c r="I10029" s="1125"/>
      <c r="J10029" s="1125"/>
    </row>
    <row r="10030" spans="9:10" x14ac:dyDescent="0.2">
      <c r="I10030" s="1125"/>
      <c r="J10030" s="1125"/>
    </row>
    <row r="10031" spans="9:10" x14ac:dyDescent="0.2">
      <c r="I10031" s="1125"/>
      <c r="J10031" s="1125"/>
    </row>
    <row r="10032" spans="9:10" x14ac:dyDescent="0.2">
      <c r="I10032" s="1125"/>
      <c r="J10032" s="1125"/>
    </row>
    <row r="10033" spans="9:10" x14ac:dyDescent="0.2">
      <c r="I10033" s="1125"/>
      <c r="J10033" s="1125"/>
    </row>
    <row r="10034" spans="9:10" x14ac:dyDescent="0.2">
      <c r="I10034" s="1125"/>
      <c r="J10034" s="1125"/>
    </row>
    <row r="10035" spans="9:10" x14ac:dyDescent="0.2">
      <c r="I10035" s="1125"/>
      <c r="J10035" s="1125"/>
    </row>
    <row r="10036" spans="9:10" x14ac:dyDescent="0.2">
      <c r="I10036" s="1125"/>
      <c r="J10036" s="1125"/>
    </row>
    <row r="10037" spans="9:10" x14ac:dyDescent="0.2">
      <c r="I10037" s="1125"/>
      <c r="J10037" s="1125"/>
    </row>
    <row r="10038" spans="9:10" x14ac:dyDescent="0.2">
      <c r="I10038" s="1125"/>
      <c r="J10038" s="1125"/>
    </row>
    <row r="10039" spans="9:10" x14ac:dyDescent="0.2">
      <c r="I10039" s="1125"/>
      <c r="J10039" s="1125"/>
    </row>
    <row r="10040" spans="9:10" x14ac:dyDescent="0.2">
      <c r="I10040" s="1125"/>
      <c r="J10040" s="1125"/>
    </row>
    <row r="10041" spans="9:10" x14ac:dyDescent="0.2">
      <c r="I10041" s="1125"/>
      <c r="J10041" s="1125"/>
    </row>
    <row r="10042" spans="9:10" x14ac:dyDescent="0.2">
      <c r="I10042" s="1125"/>
      <c r="J10042" s="1125"/>
    </row>
    <row r="10043" spans="9:10" x14ac:dyDescent="0.2">
      <c r="I10043" s="1125"/>
      <c r="J10043" s="1125"/>
    </row>
    <row r="10044" spans="9:10" x14ac:dyDescent="0.2">
      <c r="I10044" s="1125"/>
      <c r="J10044" s="1125"/>
    </row>
    <row r="10045" spans="9:10" x14ac:dyDescent="0.2">
      <c r="I10045" s="1125"/>
      <c r="J10045" s="1125"/>
    </row>
    <row r="10046" spans="9:10" x14ac:dyDescent="0.2">
      <c r="I10046" s="1125"/>
      <c r="J10046" s="1125"/>
    </row>
    <row r="10047" spans="9:10" x14ac:dyDescent="0.2">
      <c r="I10047" s="1125"/>
      <c r="J10047" s="1125"/>
    </row>
    <row r="10048" spans="9:10" x14ac:dyDescent="0.2">
      <c r="I10048" s="1125"/>
      <c r="J10048" s="1125"/>
    </row>
    <row r="10049" spans="9:10" x14ac:dyDescent="0.2">
      <c r="I10049" s="1125"/>
      <c r="J10049" s="1125"/>
    </row>
    <row r="10050" spans="9:10" x14ac:dyDescent="0.2">
      <c r="I10050" s="1125"/>
      <c r="J10050" s="1125"/>
    </row>
    <row r="10051" spans="9:10" x14ac:dyDescent="0.2">
      <c r="I10051" s="1125"/>
      <c r="J10051" s="1125"/>
    </row>
    <row r="10052" spans="9:10" x14ac:dyDescent="0.2">
      <c r="I10052" s="1125"/>
      <c r="J10052" s="1125"/>
    </row>
    <row r="10053" spans="9:10" x14ac:dyDescent="0.2">
      <c r="I10053" s="1125"/>
      <c r="J10053" s="1125"/>
    </row>
    <row r="10054" spans="9:10" x14ac:dyDescent="0.2">
      <c r="I10054" s="1125"/>
      <c r="J10054" s="1125"/>
    </row>
    <row r="10055" spans="9:10" x14ac:dyDescent="0.2">
      <c r="I10055" s="1125"/>
      <c r="J10055" s="1125"/>
    </row>
    <row r="10056" spans="9:10" x14ac:dyDescent="0.2">
      <c r="I10056" s="1125"/>
      <c r="J10056" s="1125"/>
    </row>
    <row r="10057" spans="9:10" x14ac:dyDescent="0.2">
      <c r="I10057" s="1125"/>
      <c r="J10057" s="1125"/>
    </row>
    <row r="10058" spans="9:10" x14ac:dyDescent="0.2">
      <c r="I10058" s="1125"/>
      <c r="J10058" s="1125"/>
    </row>
    <row r="10059" spans="9:10" x14ac:dyDescent="0.2">
      <c r="I10059" s="1125"/>
      <c r="J10059" s="1125"/>
    </row>
    <row r="10060" spans="9:10" x14ac:dyDescent="0.2">
      <c r="I10060" s="1125"/>
      <c r="J10060" s="1125"/>
    </row>
    <row r="10061" spans="9:10" x14ac:dyDescent="0.2">
      <c r="I10061" s="1125"/>
      <c r="J10061" s="1125"/>
    </row>
    <row r="10062" spans="9:10" x14ac:dyDescent="0.2">
      <c r="I10062" s="1125"/>
      <c r="J10062" s="1125"/>
    </row>
    <row r="10063" spans="9:10" x14ac:dyDescent="0.2">
      <c r="I10063" s="1125"/>
      <c r="J10063" s="1125"/>
    </row>
    <row r="10064" spans="9:10" x14ac:dyDescent="0.2">
      <c r="I10064" s="1125"/>
      <c r="J10064" s="1125"/>
    </row>
    <row r="10065" spans="9:10" x14ac:dyDescent="0.2">
      <c r="I10065" s="1125"/>
      <c r="J10065" s="1125"/>
    </row>
    <row r="10066" spans="9:10" x14ac:dyDescent="0.2">
      <c r="I10066" s="1125"/>
      <c r="J10066" s="1125"/>
    </row>
    <row r="10067" spans="9:10" x14ac:dyDescent="0.2">
      <c r="I10067" s="1125"/>
      <c r="J10067" s="1125"/>
    </row>
    <row r="10068" spans="9:10" x14ac:dyDescent="0.2">
      <c r="I10068" s="1125"/>
      <c r="J10068" s="1125"/>
    </row>
    <row r="10069" spans="9:10" x14ac:dyDescent="0.2">
      <c r="I10069" s="1125"/>
      <c r="J10069" s="1125"/>
    </row>
    <row r="10070" spans="9:10" x14ac:dyDescent="0.2">
      <c r="I10070" s="1125"/>
      <c r="J10070" s="1125"/>
    </row>
    <row r="10071" spans="9:10" x14ac:dyDescent="0.2">
      <c r="I10071" s="1125"/>
      <c r="J10071" s="1125"/>
    </row>
    <row r="10072" spans="9:10" x14ac:dyDescent="0.2">
      <c r="I10072" s="1125"/>
      <c r="J10072" s="1125"/>
    </row>
    <row r="10073" spans="9:10" x14ac:dyDescent="0.2">
      <c r="I10073" s="1125"/>
      <c r="J10073" s="1125"/>
    </row>
    <row r="10074" spans="9:10" x14ac:dyDescent="0.2">
      <c r="I10074" s="1125"/>
      <c r="J10074" s="1125"/>
    </row>
    <row r="10075" spans="9:10" x14ac:dyDescent="0.2">
      <c r="I10075" s="1125"/>
      <c r="J10075" s="1125"/>
    </row>
    <row r="10076" spans="9:10" x14ac:dyDescent="0.2">
      <c r="I10076" s="1125"/>
      <c r="J10076" s="1125"/>
    </row>
    <row r="10077" spans="9:10" x14ac:dyDescent="0.2">
      <c r="I10077" s="1125"/>
      <c r="J10077" s="1125"/>
    </row>
    <row r="10078" spans="9:10" x14ac:dyDescent="0.2">
      <c r="I10078" s="1125"/>
      <c r="J10078" s="1125"/>
    </row>
    <row r="10079" spans="9:10" x14ac:dyDescent="0.2">
      <c r="I10079" s="1125"/>
      <c r="J10079" s="1125"/>
    </row>
    <row r="10080" spans="9:10" x14ac:dyDescent="0.2">
      <c r="I10080" s="1125"/>
      <c r="J10080" s="1125"/>
    </row>
    <row r="10081" spans="9:10" x14ac:dyDescent="0.2">
      <c r="I10081" s="1125"/>
      <c r="J10081" s="1125"/>
    </row>
    <row r="10082" spans="9:10" x14ac:dyDescent="0.2">
      <c r="I10082" s="1125"/>
      <c r="J10082" s="1125"/>
    </row>
    <row r="10083" spans="9:10" x14ac:dyDescent="0.2">
      <c r="I10083" s="1125"/>
      <c r="J10083" s="1125"/>
    </row>
    <row r="10084" spans="9:10" x14ac:dyDescent="0.2">
      <c r="I10084" s="1125"/>
      <c r="J10084" s="1125"/>
    </row>
    <row r="10085" spans="9:10" x14ac:dyDescent="0.2">
      <c r="I10085" s="1125"/>
      <c r="J10085" s="1125"/>
    </row>
    <row r="10086" spans="9:10" x14ac:dyDescent="0.2">
      <c r="I10086" s="1125"/>
      <c r="J10086" s="1125"/>
    </row>
    <row r="10087" spans="9:10" x14ac:dyDescent="0.2">
      <c r="I10087" s="1125"/>
      <c r="J10087" s="1125"/>
    </row>
    <row r="10088" spans="9:10" x14ac:dyDescent="0.2">
      <c r="I10088" s="1125"/>
      <c r="J10088" s="1125"/>
    </row>
    <row r="10089" spans="9:10" x14ac:dyDescent="0.2">
      <c r="I10089" s="1125"/>
      <c r="J10089" s="1125"/>
    </row>
    <row r="10090" spans="9:10" x14ac:dyDescent="0.2">
      <c r="I10090" s="1125"/>
      <c r="J10090" s="1125"/>
    </row>
    <row r="10091" spans="9:10" x14ac:dyDescent="0.2">
      <c r="I10091" s="1125"/>
      <c r="J10091" s="1125"/>
    </row>
    <row r="10092" spans="9:10" x14ac:dyDescent="0.2">
      <c r="I10092" s="1125"/>
      <c r="J10092" s="1125"/>
    </row>
    <row r="10093" spans="9:10" x14ac:dyDescent="0.2">
      <c r="I10093" s="1125"/>
      <c r="J10093" s="1125"/>
    </row>
    <row r="10094" spans="9:10" x14ac:dyDescent="0.2">
      <c r="I10094" s="1125"/>
      <c r="J10094" s="1125"/>
    </row>
    <row r="10095" spans="9:10" x14ac:dyDescent="0.2">
      <c r="I10095" s="1125"/>
      <c r="J10095" s="1125"/>
    </row>
    <row r="10096" spans="9:10" x14ac:dyDescent="0.2">
      <c r="I10096" s="1125"/>
      <c r="J10096" s="1125"/>
    </row>
    <row r="10097" spans="9:10" x14ac:dyDescent="0.2">
      <c r="I10097" s="1125"/>
      <c r="J10097" s="1125"/>
    </row>
    <row r="10098" spans="9:10" x14ac:dyDescent="0.2">
      <c r="I10098" s="1125"/>
      <c r="J10098" s="1125"/>
    </row>
    <row r="10099" spans="9:10" x14ac:dyDescent="0.2">
      <c r="I10099" s="1125"/>
      <c r="J10099" s="1125"/>
    </row>
    <row r="10100" spans="9:10" x14ac:dyDescent="0.2">
      <c r="I10100" s="1125"/>
      <c r="J10100" s="1125"/>
    </row>
    <row r="10101" spans="9:10" x14ac:dyDescent="0.2">
      <c r="I10101" s="1125"/>
      <c r="J10101" s="1125"/>
    </row>
    <row r="10102" spans="9:10" x14ac:dyDescent="0.2">
      <c r="I10102" s="1125"/>
      <c r="J10102" s="1125"/>
    </row>
    <row r="10103" spans="9:10" x14ac:dyDescent="0.2">
      <c r="I10103" s="1125"/>
      <c r="J10103" s="1125"/>
    </row>
    <row r="10104" spans="9:10" x14ac:dyDescent="0.2">
      <c r="I10104" s="1125"/>
      <c r="J10104" s="1125"/>
    </row>
    <row r="10105" spans="9:10" x14ac:dyDescent="0.2">
      <c r="I10105" s="1125"/>
      <c r="J10105" s="1125"/>
    </row>
    <row r="10106" spans="9:10" x14ac:dyDescent="0.2">
      <c r="I10106" s="1125"/>
      <c r="J10106" s="1125"/>
    </row>
    <row r="10107" spans="9:10" x14ac:dyDescent="0.2">
      <c r="I10107" s="1125"/>
      <c r="J10107" s="1125"/>
    </row>
    <row r="10108" spans="9:10" x14ac:dyDescent="0.2">
      <c r="I10108" s="1125"/>
      <c r="J10108" s="1125"/>
    </row>
    <row r="10109" spans="9:10" x14ac:dyDescent="0.2">
      <c r="I10109" s="1125"/>
      <c r="J10109" s="1125"/>
    </row>
    <row r="10110" spans="9:10" x14ac:dyDescent="0.2">
      <c r="I10110" s="1125"/>
      <c r="J10110" s="1125"/>
    </row>
    <row r="10111" spans="9:10" x14ac:dyDescent="0.2">
      <c r="I10111" s="1125"/>
      <c r="J10111" s="1125"/>
    </row>
    <row r="10112" spans="9:10" x14ac:dyDescent="0.2">
      <c r="I10112" s="1125"/>
      <c r="J10112" s="1125"/>
    </row>
    <row r="10113" spans="9:10" x14ac:dyDescent="0.2">
      <c r="I10113" s="1125"/>
      <c r="J10113" s="1125"/>
    </row>
    <row r="10114" spans="9:10" x14ac:dyDescent="0.2">
      <c r="I10114" s="1125"/>
      <c r="J10114" s="1125"/>
    </row>
    <row r="10115" spans="9:10" x14ac:dyDescent="0.2">
      <c r="I10115" s="1125"/>
      <c r="J10115" s="1125"/>
    </row>
    <row r="10116" spans="9:10" x14ac:dyDescent="0.2">
      <c r="I10116" s="1125"/>
      <c r="J10116" s="1125"/>
    </row>
    <row r="10117" spans="9:10" x14ac:dyDescent="0.2">
      <c r="I10117" s="1125"/>
      <c r="J10117" s="1125"/>
    </row>
    <row r="10118" spans="9:10" x14ac:dyDescent="0.2">
      <c r="I10118" s="1125"/>
      <c r="J10118" s="1125"/>
    </row>
    <row r="10119" spans="9:10" x14ac:dyDescent="0.2">
      <c r="I10119" s="1125"/>
      <c r="J10119" s="1125"/>
    </row>
    <row r="10120" spans="9:10" x14ac:dyDescent="0.2">
      <c r="I10120" s="1125"/>
      <c r="J10120" s="1125"/>
    </row>
    <row r="10121" spans="9:10" x14ac:dyDescent="0.2">
      <c r="I10121" s="1125"/>
      <c r="J10121" s="1125"/>
    </row>
    <row r="10122" spans="9:10" x14ac:dyDescent="0.2">
      <c r="I10122" s="1125"/>
      <c r="J10122" s="1125"/>
    </row>
    <row r="10123" spans="9:10" x14ac:dyDescent="0.2">
      <c r="I10123" s="1125"/>
      <c r="J10123" s="1125"/>
    </row>
    <row r="10124" spans="9:10" x14ac:dyDescent="0.2">
      <c r="I10124" s="1125"/>
      <c r="J10124" s="1125"/>
    </row>
    <row r="10125" spans="9:10" x14ac:dyDescent="0.2">
      <c r="I10125" s="1125"/>
      <c r="J10125" s="1125"/>
    </row>
    <row r="10126" spans="9:10" x14ac:dyDescent="0.2">
      <c r="I10126" s="1125"/>
      <c r="J10126" s="1125"/>
    </row>
    <row r="10127" spans="9:10" x14ac:dyDescent="0.2">
      <c r="I10127" s="1125"/>
      <c r="J10127" s="1125"/>
    </row>
    <row r="10128" spans="9:10" x14ac:dyDescent="0.2">
      <c r="I10128" s="1125"/>
      <c r="J10128" s="1125"/>
    </row>
    <row r="10129" spans="9:10" x14ac:dyDescent="0.2">
      <c r="I10129" s="1125"/>
      <c r="J10129" s="1125"/>
    </row>
    <row r="10130" spans="9:10" x14ac:dyDescent="0.2">
      <c r="I10130" s="1125"/>
      <c r="J10130" s="1125"/>
    </row>
    <row r="10131" spans="9:10" x14ac:dyDescent="0.2">
      <c r="I10131" s="1125"/>
      <c r="J10131" s="1125"/>
    </row>
    <row r="10132" spans="9:10" x14ac:dyDescent="0.2">
      <c r="I10132" s="1125"/>
      <c r="J10132" s="1125"/>
    </row>
    <row r="10133" spans="9:10" x14ac:dyDescent="0.2">
      <c r="I10133" s="1125"/>
      <c r="J10133" s="1125"/>
    </row>
    <row r="10134" spans="9:10" x14ac:dyDescent="0.2">
      <c r="I10134" s="1125"/>
      <c r="J10134" s="1125"/>
    </row>
    <row r="10135" spans="9:10" x14ac:dyDescent="0.2">
      <c r="I10135" s="1125"/>
      <c r="J10135" s="1125"/>
    </row>
    <row r="10136" spans="9:10" x14ac:dyDescent="0.2">
      <c r="I10136" s="1125"/>
      <c r="J10136" s="1125"/>
    </row>
    <row r="10137" spans="9:10" x14ac:dyDescent="0.2">
      <c r="I10137" s="1125"/>
      <c r="J10137" s="1125"/>
    </row>
    <row r="10138" spans="9:10" x14ac:dyDescent="0.2">
      <c r="I10138" s="1125"/>
      <c r="J10138" s="1125"/>
    </row>
    <row r="10139" spans="9:10" x14ac:dyDescent="0.2">
      <c r="I10139" s="1125"/>
      <c r="J10139" s="1125"/>
    </row>
    <row r="10140" spans="9:10" x14ac:dyDescent="0.2">
      <c r="I10140" s="1125"/>
      <c r="J10140" s="1125"/>
    </row>
    <row r="10141" spans="9:10" x14ac:dyDescent="0.2">
      <c r="I10141" s="1125"/>
      <c r="J10141" s="1125"/>
    </row>
    <row r="10142" spans="9:10" x14ac:dyDescent="0.2">
      <c r="I10142" s="1125"/>
      <c r="J10142" s="1125"/>
    </row>
    <row r="10143" spans="9:10" x14ac:dyDescent="0.2">
      <c r="I10143" s="1125"/>
      <c r="J10143" s="1125"/>
    </row>
    <row r="10144" spans="9:10" x14ac:dyDescent="0.2">
      <c r="I10144" s="1125"/>
      <c r="J10144" s="1125"/>
    </row>
    <row r="10145" spans="9:10" x14ac:dyDescent="0.2">
      <c r="I10145" s="1125"/>
      <c r="J10145" s="1125"/>
    </row>
    <row r="10146" spans="9:10" x14ac:dyDescent="0.2">
      <c r="I10146" s="1125"/>
      <c r="J10146" s="1125"/>
    </row>
    <row r="10147" spans="9:10" x14ac:dyDescent="0.2">
      <c r="I10147" s="1125"/>
      <c r="J10147" s="1125"/>
    </row>
    <row r="10148" spans="9:10" x14ac:dyDescent="0.2">
      <c r="I10148" s="1125"/>
      <c r="J10148" s="1125"/>
    </row>
    <row r="10149" spans="9:10" x14ac:dyDescent="0.2">
      <c r="I10149" s="1125"/>
      <c r="J10149" s="1125"/>
    </row>
    <row r="10150" spans="9:10" x14ac:dyDescent="0.2">
      <c r="I10150" s="1125"/>
      <c r="J10150" s="1125"/>
    </row>
    <row r="10151" spans="9:10" x14ac:dyDescent="0.2">
      <c r="I10151" s="1125"/>
      <c r="J10151" s="1125"/>
    </row>
    <row r="10152" spans="9:10" x14ac:dyDescent="0.2">
      <c r="I10152" s="1125"/>
      <c r="J10152" s="1125"/>
    </row>
    <row r="10153" spans="9:10" x14ac:dyDescent="0.2">
      <c r="I10153" s="1125"/>
      <c r="J10153" s="1125"/>
    </row>
    <row r="10154" spans="9:10" x14ac:dyDescent="0.2">
      <c r="I10154" s="1125"/>
      <c r="J10154" s="1125"/>
    </row>
    <row r="10155" spans="9:10" x14ac:dyDescent="0.2">
      <c r="I10155" s="1125"/>
      <c r="J10155" s="1125"/>
    </row>
    <row r="10156" spans="9:10" x14ac:dyDescent="0.2">
      <c r="I10156" s="1125"/>
      <c r="J10156" s="1125"/>
    </row>
    <row r="10157" spans="9:10" x14ac:dyDescent="0.2">
      <c r="I10157" s="1125"/>
      <c r="J10157" s="1125"/>
    </row>
    <row r="10158" spans="9:10" x14ac:dyDescent="0.2">
      <c r="I10158" s="1125"/>
      <c r="J10158" s="1125"/>
    </row>
    <row r="10159" spans="9:10" x14ac:dyDescent="0.2">
      <c r="I10159" s="1125"/>
      <c r="J10159" s="1125"/>
    </row>
    <row r="10160" spans="9:10" x14ac:dyDescent="0.2">
      <c r="I10160" s="1125"/>
      <c r="J10160" s="1125"/>
    </row>
    <row r="10161" spans="9:10" x14ac:dyDescent="0.2">
      <c r="I10161" s="1125"/>
      <c r="J10161" s="1125"/>
    </row>
    <row r="10162" spans="9:10" x14ac:dyDescent="0.2">
      <c r="I10162" s="1125"/>
      <c r="J10162" s="1125"/>
    </row>
    <row r="10163" spans="9:10" x14ac:dyDescent="0.2">
      <c r="I10163" s="1125"/>
      <c r="J10163" s="1125"/>
    </row>
    <row r="10164" spans="9:10" x14ac:dyDescent="0.2">
      <c r="I10164" s="1125"/>
      <c r="J10164" s="1125"/>
    </row>
    <row r="10165" spans="9:10" x14ac:dyDescent="0.2">
      <c r="I10165" s="1125"/>
      <c r="J10165" s="1125"/>
    </row>
    <row r="10166" spans="9:10" x14ac:dyDescent="0.2">
      <c r="I10166" s="1125"/>
      <c r="J10166" s="1125"/>
    </row>
    <row r="10167" spans="9:10" x14ac:dyDescent="0.2">
      <c r="I10167" s="1125"/>
      <c r="J10167" s="1125"/>
    </row>
    <row r="10168" spans="9:10" x14ac:dyDescent="0.2">
      <c r="I10168" s="1125"/>
      <c r="J10168" s="1125"/>
    </row>
    <row r="10169" spans="9:10" x14ac:dyDescent="0.2">
      <c r="I10169" s="1125"/>
      <c r="J10169" s="1125"/>
    </row>
    <row r="10170" spans="9:10" x14ac:dyDescent="0.2">
      <c r="I10170" s="1125"/>
      <c r="J10170" s="1125"/>
    </row>
    <row r="10171" spans="9:10" x14ac:dyDescent="0.2">
      <c r="I10171" s="1125"/>
      <c r="J10171" s="1125"/>
    </row>
    <row r="10172" spans="9:10" x14ac:dyDescent="0.2">
      <c r="I10172" s="1125"/>
      <c r="J10172" s="1125"/>
    </row>
    <row r="10173" spans="9:10" x14ac:dyDescent="0.2">
      <c r="I10173" s="1125"/>
      <c r="J10173" s="1125"/>
    </row>
    <row r="10174" spans="9:10" x14ac:dyDescent="0.2">
      <c r="I10174" s="1125"/>
      <c r="J10174" s="1125"/>
    </row>
    <row r="10175" spans="9:10" x14ac:dyDescent="0.2">
      <c r="I10175" s="1125"/>
      <c r="J10175" s="1125"/>
    </row>
    <row r="10176" spans="9:10" x14ac:dyDescent="0.2">
      <c r="I10176" s="1125"/>
      <c r="J10176" s="1125"/>
    </row>
    <row r="10177" spans="9:10" x14ac:dyDescent="0.2">
      <c r="I10177" s="1125"/>
      <c r="J10177" s="1125"/>
    </row>
    <row r="10178" spans="9:10" x14ac:dyDescent="0.2">
      <c r="I10178" s="1125"/>
      <c r="J10178" s="1125"/>
    </row>
    <row r="10179" spans="9:10" x14ac:dyDescent="0.2">
      <c r="I10179" s="1125"/>
      <c r="J10179" s="1125"/>
    </row>
    <row r="10180" spans="9:10" x14ac:dyDescent="0.2">
      <c r="I10180" s="1125"/>
      <c r="J10180" s="1125"/>
    </row>
    <row r="10181" spans="9:10" x14ac:dyDescent="0.2">
      <c r="I10181" s="1125"/>
      <c r="J10181" s="1125"/>
    </row>
    <row r="10182" spans="9:10" x14ac:dyDescent="0.2">
      <c r="I10182" s="1125"/>
      <c r="J10182" s="1125"/>
    </row>
    <row r="10183" spans="9:10" x14ac:dyDescent="0.2">
      <c r="I10183" s="1125"/>
      <c r="J10183" s="1125"/>
    </row>
    <row r="10184" spans="9:10" x14ac:dyDescent="0.2">
      <c r="I10184" s="1125"/>
      <c r="J10184" s="1125"/>
    </row>
    <row r="10185" spans="9:10" x14ac:dyDescent="0.2">
      <c r="I10185" s="1125"/>
      <c r="J10185" s="1125"/>
    </row>
    <row r="10186" spans="9:10" x14ac:dyDescent="0.2">
      <c r="I10186" s="1125"/>
      <c r="J10186" s="1125"/>
    </row>
    <row r="10187" spans="9:10" x14ac:dyDescent="0.2">
      <c r="I10187" s="1125"/>
      <c r="J10187" s="1125"/>
    </row>
    <row r="10188" spans="9:10" x14ac:dyDescent="0.2">
      <c r="I10188" s="1125"/>
      <c r="J10188" s="1125"/>
    </row>
    <row r="10189" spans="9:10" x14ac:dyDescent="0.2">
      <c r="I10189" s="1125"/>
      <c r="J10189" s="1125"/>
    </row>
    <row r="10190" spans="9:10" x14ac:dyDescent="0.2">
      <c r="I10190" s="1125"/>
      <c r="J10190" s="1125"/>
    </row>
    <row r="10191" spans="9:10" x14ac:dyDescent="0.2">
      <c r="I10191" s="1125"/>
      <c r="J10191" s="1125"/>
    </row>
    <row r="10192" spans="9:10" x14ac:dyDescent="0.2">
      <c r="I10192" s="1125"/>
      <c r="J10192" s="1125"/>
    </row>
    <row r="10193" spans="9:10" x14ac:dyDescent="0.2">
      <c r="I10193" s="1125"/>
      <c r="J10193" s="1125"/>
    </row>
    <row r="10194" spans="9:10" x14ac:dyDescent="0.2">
      <c r="I10194" s="1125"/>
      <c r="J10194" s="1125"/>
    </row>
    <row r="10195" spans="9:10" x14ac:dyDescent="0.2">
      <c r="I10195" s="1125"/>
      <c r="J10195" s="1125"/>
    </row>
    <row r="10196" spans="9:10" x14ac:dyDescent="0.2">
      <c r="I10196" s="1125"/>
      <c r="J10196" s="1125"/>
    </row>
    <row r="10197" spans="9:10" x14ac:dyDescent="0.2">
      <c r="I10197" s="1125"/>
      <c r="J10197" s="1125"/>
    </row>
    <row r="10198" spans="9:10" x14ac:dyDescent="0.2">
      <c r="I10198" s="1125"/>
      <c r="J10198" s="1125"/>
    </row>
    <row r="10199" spans="9:10" x14ac:dyDescent="0.2">
      <c r="I10199" s="1125"/>
      <c r="J10199" s="1125"/>
    </row>
    <row r="10200" spans="9:10" x14ac:dyDescent="0.2">
      <c r="I10200" s="1125"/>
      <c r="J10200" s="1125"/>
    </row>
    <row r="10201" spans="9:10" x14ac:dyDescent="0.2">
      <c r="I10201" s="1125"/>
      <c r="J10201" s="1125"/>
    </row>
    <row r="10202" spans="9:10" x14ac:dyDescent="0.2">
      <c r="I10202" s="1125"/>
      <c r="J10202" s="1125"/>
    </row>
    <row r="10203" spans="9:10" x14ac:dyDescent="0.2">
      <c r="I10203" s="1125"/>
      <c r="J10203" s="1125"/>
    </row>
    <row r="10204" spans="9:10" x14ac:dyDescent="0.2">
      <c r="I10204" s="1125"/>
      <c r="J10204" s="1125"/>
    </row>
    <row r="10205" spans="9:10" x14ac:dyDescent="0.2">
      <c r="I10205" s="1125"/>
      <c r="J10205" s="1125"/>
    </row>
    <row r="10206" spans="9:10" x14ac:dyDescent="0.2">
      <c r="I10206" s="1125"/>
      <c r="J10206" s="1125"/>
    </row>
    <row r="10207" spans="9:10" x14ac:dyDescent="0.2">
      <c r="I10207" s="1125"/>
      <c r="J10207" s="1125"/>
    </row>
    <row r="10208" spans="9:10" x14ac:dyDescent="0.2">
      <c r="I10208" s="1125"/>
      <c r="J10208" s="1125"/>
    </row>
    <row r="10209" spans="9:10" x14ac:dyDescent="0.2">
      <c r="I10209" s="1125"/>
      <c r="J10209" s="1125"/>
    </row>
    <row r="10210" spans="9:10" x14ac:dyDescent="0.2">
      <c r="I10210" s="1125"/>
      <c r="J10210" s="1125"/>
    </row>
    <row r="10211" spans="9:10" x14ac:dyDescent="0.2">
      <c r="I10211" s="1125"/>
      <c r="J10211" s="1125"/>
    </row>
    <row r="10212" spans="9:10" x14ac:dyDescent="0.2">
      <c r="I10212" s="1125"/>
      <c r="J10212" s="1125"/>
    </row>
    <row r="10213" spans="9:10" x14ac:dyDescent="0.2">
      <c r="I10213" s="1125"/>
      <c r="J10213" s="1125"/>
    </row>
    <row r="10214" spans="9:10" x14ac:dyDescent="0.2">
      <c r="I10214" s="1125"/>
      <c r="J10214" s="1125"/>
    </row>
    <row r="10215" spans="9:10" x14ac:dyDescent="0.2">
      <c r="I10215" s="1125"/>
      <c r="J10215" s="1125"/>
    </row>
    <row r="10216" spans="9:10" x14ac:dyDescent="0.2">
      <c r="I10216" s="1125"/>
      <c r="J10216" s="1125"/>
    </row>
    <row r="10217" spans="9:10" x14ac:dyDescent="0.2">
      <c r="I10217" s="1125"/>
      <c r="J10217" s="1125"/>
    </row>
    <row r="10218" spans="9:10" x14ac:dyDescent="0.2">
      <c r="I10218" s="1125"/>
      <c r="J10218" s="1125"/>
    </row>
    <row r="10219" spans="9:10" x14ac:dyDescent="0.2">
      <c r="I10219" s="1125"/>
      <c r="J10219" s="1125"/>
    </row>
    <row r="10220" spans="9:10" x14ac:dyDescent="0.2">
      <c r="I10220" s="1125"/>
      <c r="J10220" s="1125"/>
    </row>
    <row r="10221" spans="9:10" x14ac:dyDescent="0.2">
      <c r="I10221" s="1125"/>
      <c r="J10221" s="1125"/>
    </row>
    <row r="10222" spans="9:10" x14ac:dyDescent="0.2">
      <c r="I10222" s="1125"/>
      <c r="J10222" s="1125"/>
    </row>
    <row r="10223" spans="9:10" x14ac:dyDescent="0.2">
      <c r="I10223" s="1125"/>
      <c r="J10223" s="1125"/>
    </row>
    <row r="10224" spans="9:10" x14ac:dyDescent="0.2">
      <c r="I10224" s="1125"/>
      <c r="J10224" s="1125"/>
    </row>
    <row r="10225" spans="9:10" x14ac:dyDescent="0.2">
      <c r="I10225" s="1125"/>
      <c r="J10225" s="1125"/>
    </row>
    <row r="10226" spans="9:10" x14ac:dyDescent="0.2">
      <c r="I10226" s="1125"/>
      <c r="J10226" s="1125"/>
    </row>
    <row r="10227" spans="9:10" x14ac:dyDescent="0.2">
      <c r="I10227" s="1125"/>
      <c r="J10227" s="1125"/>
    </row>
    <row r="10228" spans="9:10" x14ac:dyDescent="0.2">
      <c r="I10228" s="1125"/>
      <c r="J10228" s="1125"/>
    </row>
    <row r="10229" spans="9:10" x14ac:dyDescent="0.2">
      <c r="I10229" s="1125"/>
      <c r="J10229" s="1125"/>
    </row>
    <row r="10230" spans="9:10" x14ac:dyDescent="0.2">
      <c r="I10230" s="1125"/>
      <c r="J10230" s="1125"/>
    </row>
    <row r="10231" spans="9:10" x14ac:dyDescent="0.2">
      <c r="I10231" s="1125"/>
      <c r="J10231" s="1125"/>
    </row>
    <row r="10232" spans="9:10" x14ac:dyDescent="0.2">
      <c r="I10232" s="1125"/>
      <c r="J10232" s="1125"/>
    </row>
    <row r="10233" spans="9:10" x14ac:dyDescent="0.2">
      <c r="I10233" s="1125"/>
      <c r="J10233" s="1125"/>
    </row>
    <row r="10234" spans="9:10" x14ac:dyDescent="0.2">
      <c r="I10234" s="1125"/>
      <c r="J10234" s="1125"/>
    </row>
    <row r="10235" spans="9:10" x14ac:dyDescent="0.2">
      <c r="I10235" s="1125"/>
      <c r="J10235" s="1125"/>
    </row>
    <row r="10236" spans="9:10" x14ac:dyDescent="0.2">
      <c r="I10236" s="1125"/>
      <c r="J10236" s="1125"/>
    </row>
    <row r="10237" spans="9:10" x14ac:dyDescent="0.2">
      <c r="I10237" s="1125"/>
      <c r="J10237" s="1125"/>
    </row>
    <row r="10238" spans="9:10" x14ac:dyDescent="0.2">
      <c r="I10238" s="1125"/>
      <c r="J10238" s="1125"/>
    </row>
    <row r="10239" spans="9:10" x14ac:dyDescent="0.2">
      <c r="I10239" s="1125"/>
      <c r="J10239" s="1125"/>
    </row>
    <row r="10240" spans="9:10" x14ac:dyDescent="0.2">
      <c r="I10240" s="1125"/>
      <c r="J10240" s="1125"/>
    </row>
    <row r="10241" spans="9:10" x14ac:dyDescent="0.2">
      <c r="I10241" s="1125"/>
      <c r="J10241" s="1125"/>
    </row>
    <row r="10242" spans="9:10" x14ac:dyDescent="0.2">
      <c r="I10242" s="1125"/>
      <c r="J10242" s="1125"/>
    </row>
    <row r="10243" spans="9:10" x14ac:dyDescent="0.2">
      <c r="I10243" s="1125"/>
      <c r="J10243" s="1125"/>
    </row>
    <row r="10244" spans="9:10" x14ac:dyDescent="0.2">
      <c r="I10244" s="1125"/>
      <c r="J10244" s="1125"/>
    </row>
    <row r="10245" spans="9:10" x14ac:dyDescent="0.2">
      <c r="I10245" s="1125"/>
      <c r="J10245" s="1125"/>
    </row>
    <row r="10246" spans="9:10" x14ac:dyDescent="0.2">
      <c r="I10246" s="1125"/>
      <c r="J10246" s="1125"/>
    </row>
    <row r="10247" spans="9:10" x14ac:dyDescent="0.2">
      <c r="I10247" s="1125"/>
      <c r="J10247" s="1125"/>
    </row>
    <row r="10248" spans="9:10" x14ac:dyDescent="0.2">
      <c r="I10248" s="1125"/>
      <c r="J10248" s="1125"/>
    </row>
    <row r="10249" spans="9:10" x14ac:dyDescent="0.2">
      <c r="I10249" s="1125"/>
      <c r="J10249" s="1125"/>
    </row>
    <row r="10250" spans="9:10" x14ac:dyDescent="0.2">
      <c r="I10250" s="1125"/>
      <c r="J10250" s="1125"/>
    </row>
    <row r="10251" spans="9:10" x14ac:dyDescent="0.2">
      <c r="I10251" s="1125"/>
      <c r="J10251" s="1125"/>
    </row>
    <row r="10252" spans="9:10" x14ac:dyDescent="0.2">
      <c r="I10252" s="1125"/>
      <c r="J10252" s="1125"/>
    </row>
    <row r="10253" spans="9:10" x14ac:dyDescent="0.2">
      <c r="I10253" s="1125"/>
      <c r="J10253" s="1125"/>
    </row>
    <row r="10254" spans="9:10" x14ac:dyDescent="0.2">
      <c r="I10254" s="1125"/>
      <c r="J10254" s="1125"/>
    </row>
    <row r="10255" spans="9:10" x14ac:dyDescent="0.2">
      <c r="I10255" s="1125"/>
      <c r="J10255" s="1125"/>
    </row>
    <row r="10256" spans="9:10" x14ac:dyDescent="0.2">
      <c r="I10256" s="1125"/>
      <c r="J10256" s="1125"/>
    </row>
    <row r="10257" spans="9:10" x14ac:dyDescent="0.2">
      <c r="I10257" s="1125"/>
      <c r="J10257" s="1125"/>
    </row>
    <row r="10258" spans="9:10" x14ac:dyDescent="0.2">
      <c r="I10258" s="1125"/>
      <c r="J10258" s="1125"/>
    </row>
    <row r="10259" spans="9:10" x14ac:dyDescent="0.2">
      <c r="I10259" s="1125"/>
      <c r="J10259" s="1125"/>
    </row>
    <row r="10260" spans="9:10" x14ac:dyDescent="0.2">
      <c r="I10260" s="1125"/>
      <c r="J10260" s="1125"/>
    </row>
    <row r="10261" spans="9:10" x14ac:dyDescent="0.2">
      <c r="I10261" s="1125"/>
      <c r="J10261" s="1125"/>
    </row>
    <row r="10262" spans="9:10" x14ac:dyDescent="0.2">
      <c r="I10262" s="1125"/>
      <c r="J10262" s="1125"/>
    </row>
    <row r="10263" spans="9:10" x14ac:dyDescent="0.2">
      <c r="I10263" s="1125"/>
      <c r="J10263" s="1125"/>
    </row>
    <row r="10264" spans="9:10" x14ac:dyDescent="0.2">
      <c r="I10264" s="1125"/>
      <c r="J10264" s="1125"/>
    </row>
    <row r="10265" spans="9:10" x14ac:dyDescent="0.2">
      <c r="I10265" s="1125"/>
      <c r="J10265" s="1125"/>
    </row>
    <row r="10266" spans="9:10" x14ac:dyDescent="0.2">
      <c r="I10266" s="1125"/>
      <c r="J10266" s="1125"/>
    </row>
    <row r="10267" spans="9:10" x14ac:dyDescent="0.2">
      <c r="I10267" s="1125"/>
      <c r="J10267" s="1125"/>
    </row>
    <row r="10268" spans="9:10" x14ac:dyDescent="0.2">
      <c r="I10268" s="1125"/>
      <c r="J10268" s="1125"/>
    </row>
    <row r="10269" spans="9:10" x14ac:dyDescent="0.2">
      <c r="I10269" s="1125"/>
      <c r="J10269" s="1125"/>
    </row>
    <row r="10270" spans="9:10" x14ac:dyDescent="0.2">
      <c r="I10270" s="1125"/>
      <c r="J10270" s="1125"/>
    </row>
    <row r="10271" spans="9:10" x14ac:dyDescent="0.2">
      <c r="I10271" s="1125"/>
      <c r="J10271" s="1125"/>
    </row>
    <row r="10272" spans="9:10" x14ac:dyDescent="0.2">
      <c r="I10272" s="1125"/>
      <c r="J10272" s="1125"/>
    </row>
    <row r="10273" spans="9:10" x14ac:dyDescent="0.2">
      <c r="I10273" s="1125"/>
      <c r="J10273" s="1125"/>
    </row>
    <row r="10274" spans="9:10" x14ac:dyDescent="0.2">
      <c r="I10274" s="1125"/>
      <c r="J10274" s="1125"/>
    </row>
    <row r="10275" spans="9:10" x14ac:dyDescent="0.2">
      <c r="I10275" s="1125"/>
      <c r="J10275" s="1125"/>
    </row>
    <row r="10276" spans="9:10" x14ac:dyDescent="0.2">
      <c r="I10276" s="1125"/>
      <c r="J10276" s="1125"/>
    </row>
    <row r="10277" spans="9:10" x14ac:dyDescent="0.2">
      <c r="I10277" s="1125"/>
      <c r="J10277" s="1125"/>
    </row>
    <row r="10278" spans="9:10" x14ac:dyDescent="0.2">
      <c r="I10278" s="1125"/>
      <c r="J10278" s="1125"/>
    </row>
    <row r="10279" spans="9:10" x14ac:dyDescent="0.2">
      <c r="I10279" s="1125"/>
      <c r="J10279" s="1125"/>
    </row>
    <row r="10280" spans="9:10" x14ac:dyDescent="0.2">
      <c r="I10280" s="1125"/>
      <c r="J10280" s="1125"/>
    </row>
    <row r="10281" spans="9:10" x14ac:dyDescent="0.2">
      <c r="I10281" s="1125"/>
      <c r="J10281" s="1125"/>
    </row>
    <row r="10282" spans="9:10" x14ac:dyDescent="0.2">
      <c r="I10282" s="1125"/>
      <c r="J10282" s="1125"/>
    </row>
    <row r="10283" spans="9:10" x14ac:dyDescent="0.2">
      <c r="I10283" s="1125"/>
      <c r="J10283" s="1125"/>
    </row>
    <row r="10284" spans="9:10" x14ac:dyDescent="0.2">
      <c r="I10284" s="1125"/>
      <c r="J10284" s="1125"/>
    </row>
    <row r="10285" spans="9:10" x14ac:dyDescent="0.2">
      <c r="I10285" s="1125"/>
      <c r="J10285" s="1125"/>
    </row>
    <row r="10286" spans="9:10" x14ac:dyDescent="0.2">
      <c r="I10286" s="1125"/>
      <c r="J10286" s="1125"/>
    </row>
    <row r="10287" spans="9:10" x14ac:dyDescent="0.2">
      <c r="I10287" s="1125"/>
      <c r="J10287" s="1125"/>
    </row>
    <row r="10288" spans="9:10" x14ac:dyDescent="0.2">
      <c r="I10288" s="1125"/>
      <c r="J10288" s="1125"/>
    </row>
    <row r="10289" spans="9:10" x14ac:dyDescent="0.2">
      <c r="I10289" s="1125"/>
      <c r="J10289" s="1125"/>
    </row>
    <row r="10290" spans="9:10" x14ac:dyDescent="0.2">
      <c r="I10290" s="1125"/>
      <c r="J10290" s="1125"/>
    </row>
    <row r="10291" spans="9:10" x14ac:dyDescent="0.2">
      <c r="I10291" s="1125"/>
      <c r="J10291" s="1125"/>
    </row>
    <row r="10292" spans="9:10" x14ac:dyDescent="0.2">
      <c r="I10292" s="1125"/>
      <c r="J10292" s="1125"/>
    </row>
    <row r="10293" spans="9:10" x14ac:dyDescent="0.2">
      <c r="I10293" s="1125"/>
      <c r="J10293" s="1125"/>
    </row>
    <row r="10294" spans="9:10" x14ac:dyDescent="0.2">
      <c r="I10294" s="1125"/>
      <c r="J10294" s="1125"/>
    </row>
    <row r="10295" spans="9:10" x14ac:dyDescent="0.2">
      <c r="I10295" s="1125"/>
      <c r="J10295" s="1125"/>
    </row>
    <row r="10296" spans="9:10" x14ac:dyDescent="0.2">
      <c r="I10296" s="1125"/>
      <c r="J10296" s="1125"/>
    </row>
    <row r="10297" spans="9:10" x14ac:dyDescent="0.2">
      <c r="I10297" s="1125"/>
      <c r="J10297" s="1125"/>
    </row>
    <row r="10298" spans="9:10" x14ac:dyDescent="0.2">
      <c r="I10298" s="1125"/>
      <c r="J10298" s="1125"/>
    </row>
    <row r="10299" spans="9:10" x14ac:dyDescent="0.2">
      <c r="I10299" s="1125"/>
      <c r="J10299" s="1125"/>
    </row>
    <row r="10300" spans="9:10" x14ac:dyDescent="0.2">
      <c r="I10300" s="1125"/>
      <c r="J10300" s="1125"/>
    </row>
    <row r="10301" spans="9:10" x14ac:dyDescent="0.2">
      <c r="I10301" s="1125"/>
      <c r="J10301" s="1125"/>
    </row>
    <row r="10302" spans="9:10" x14ac:dyDescent="0.2">
      <c r="I10302" s="1125"/>
      <c r="J10302" s="1125"/>
    </row>
    <row r="10303" spans="9:10" x14ac:dyDescent="0.2">
      <c r="I10303" s="1125"/>
      <c r="J10303" s="1125"/>
    </row>
    <row r="10304" spans="9:10" x14ac:dyDescent="0.2">
      <c r="I10304" s="1125"/>
      <c r="J10304" s="1125"/>
    </row>
    <row r="10305" spans="9:10" x14ac:dyDescent="0.2">
      <c r="I10305" s="1125"/>
      <c r="J10305" s="1125"/>
    </row>
    <row r="10306" spans="9:10" x14ac:dyDescent="0.2">
      <c r="I10306" s="1125"/>
      <c r="J10306" s="1125"/>
    </row>
    <row r="10307" spans="9:10" x14ac:dyDescent="0.2">
      <c r="I10307" s="1125"/>
      <c r="J10307" s="1125"/>
    </row>
    <row r="10308" spans="9:10" x14ac:dyDescent="0.2">
      <c r="I10308" s="1125"/>
      <c r="J10308" s="1125"/>
    </row>
    <row r="10309" spans="9:10" x14ac:dyDescent="0.2">
      <c r="I10309" s="1125"/>
      <c r="J10309" s="1125"/>
    </row>
    <row r="10310" spans="9:10" x14ac:dyDescent="0.2">
      <c r="I10310" s="1125"/>
      <c r="J10310" s="1125"/>
    </row>
    <row r="10311" spans="9:10" x14ac:dyDescent="0.2">
      <c r="I10311" s="1125"/>
      <c r="J10311" s="1125"/>
    </row>
    <row r="10312" spans="9:10" x14ac:dyDescent="0.2">
      <c r="I10312" s="1125"/>
      <c r="J10312" s="1125"/>
    </row>
    <row r="10313" spans="9:10" x14ac:dyDescent="0.2">
      <c r="I10313" s="1125"/>
      <c r="J10313" s="1125"/>
    </row>
    <row r="10314" spans="9:10" x14ac:dyDescent="0.2">
      <c r="I10314" s="1125"/>
      <c r="J10314" s="1125"/>
    </row>
    <row r="10315" spans="9:10" x14ac:dyDescent="0.2">
      <c r="I10315" s="1125"/>
      <c r="J10315" s="1125"/>
    </row>
    <row r="10316" spans="9:10" x14ac:dyDescent="0.2">
      <c r="I10316" s="1125"/>
      <c r="J10316" s="1125"/>
    </row>
    <row r="10317" spans="9:10" x14ac:dyDescent="0.2">
      <c r="I10317" s="1125"/>
      <c r="J10317" s="1125"/>
    </row>
    <row r="10318" spans="9:10" x14ac:dyDescent="0.2">
      <c r="I10318" s="1125"/>
      <c r="J10318" s="1125"/>
    </row>
    <row r="10319" spans="9:10" x14ac:dyDescent="0.2">
      <c r="I10319" s="1125"/>
      <c r="J10319" s="1125"/>
    </row>
    <row r="10320" spans="9:10" x14ac:dyDescent="0.2">
      <c r="I10320" s="1125"/>
      <c r="J10320" s="1125"/>
    </row>
    <row r="10321" spans="9:10" x14ac:dyDescent="0.2">
      <c r="I10321" s="1125"/>
      <c r="J10321" s="1125"/>
    </row>
    <row r="10322" spans="9:10" x14ac:dyDescent="0.2">
      <c r="I10322" s="1125"/>
      <c r="J10322" s="1125"/>
    </row>
    <row r="10323" spans="9:10" x14ac:dyDescent="0.2">
      <c r="I10323" s="1125"/>
      <c r="J10323" s="1125"/>
    </row>
    <row r="10324" spans="9:10" x14ac:dyDescent="0.2">
      <c r="I10324" s="1125"/>
      <c r="J10324" s="1125"/>
    </row>
    <row r="10325" spans="9:10" x14ac:dyDescent="0.2">
      <c r="I10325" s="1125"/>
      <c r="J10325" s="1125"/>
    </row>
    <row r="10326" spans="9:10" x14ac:dyDescent="0.2">
      <c r="I10326" s="1125"/>
      <c r="J10326" s="1125"/>
    </row>
    <row r="10327" spans="9:10" x14ac:dyDescent="0.2">
      <c r="I10327" s="1125"/>
      <c r="J10327" s="1125"/>
    </row>
    <row r="10328" spans="9:10" x14ac:dyDescent="0.2">
      <c r="I10328" s="1125"/>
      <c r="J10328" s="1125"/>
    </row>
    <row r="10329" spans="9:10" x14ac:dyDescent="0.2">
      <c r="I10329" s="1125"/>
      <c r="J10329" s="1125"/>
    </row>
    <row r="10330" spans="9:10" x14ac:dyDescent="0.2">
      <c r="I10330" s="1125"/>
      <c r="J10330" s="1125"/>
    </row>
    <row r="10331" spans="9:10" x14ac:dyDescent="0.2">
      <c r="I10331" s="1125"/>
      <c r="J10331" s="1125"/>
    </row>
    <row r="10332" spans="9:10" x14ac:dyDescent="0.2">
      <c r="I10332" s="1125"/>
      <c r="J10332" s="1125"/>
    </row>
    <row r="10333" spans="9:10" x14ac:dyDescent="0.2">
      <c r="I10333" s="1125"/>
      <c r="J10333" s="1125"/>
    </row>
    <row r="10334" spans="9:10" x14ac:dyDescent="0.2">
      <c r="I10334" s="1125"/>
      <c r="J10334" s="1125"/>
    </row>
    <row r="10335" spans="9:10" x14ac:dyDescent="0.2">
      <c r="I10335" s="1125"/>
      <c r="J10335" s="1125"/>
    </row>
    <row r="10336" spans="9:10" x14ac:dyDescent="0.2">
      <c r="I10336" s="1125"/>
      <c r="J10336" s="1125"/>
    </row>
    <row r="10337" spans="9:10" x14ac:dyDescent="0.2">
      <c r="I10337" s="1125"/>
      <c r="J10337" s="1125"/>
    </row>
    <row r="10338" spans="9:10" x14ac:dyDescent="0.2">
      <c r="I10338" s="1125"/>
      <c r="J10338" s="1125"/>
    </row>
    <row r="10339" spans="9:10" x14ac:dyDescent="0.2">
      <c r="I10339" s="1125"/>
      <c r="J10339" s="1125"/>
    </row>
    <row r="10340" spans="9:10" x14ac:dyDescent="0.2">
      <c r="I10340" s="1125"/>
      <c r="J10340" s="1125"/>
    </row>
    <row r="10341" spans="9:10" x14ac:dyDescent="0.2">
      <c r="I10341" s="1125"/>
      <c r="J10341" s="1125"/>
    </row>
    <row r="10342" spans="9:10" x14ac:dyDescent="0.2">
      <c r="I10342" s="1125"/>
      <c r="J10342" s="1125"/>
    </row>
    <row r="10343" spans="9:10" x14ac:dyDescent="0.2">
      <c r="I10343" s="1125"/>
      <c r="J10343" s="1125"/>
    </row>
    <row r="10344" spans="9:10" x14ac:dyDescent="0.2">
      <c r="I10344" s="1125"/>
      <c r="J10344" s="1125"/>
    </row>
    <row r="10345" spans="9:10" x14ac:dyDescent="0.2">
      <c r="I10345" s="1125"/>
      <c r="J10345" s="1125"/>
    </row>
    <row r="10346" spans="9:10" x14ac:dyDescent="0.2">
      <c r="I10346" s="1125"/>
      <c r="J10346" s="1125"/>
    </row>
    <row r="10347" spans="9:10" x14ac:dyDescent="0.2">
      <c r="I10347" s="1125"/>
      <c r="J10347" s="1125"/>
    </row>
    <row r="10348" spans="9:10" x14ac:dyDescent="0.2">
      <c r="I10348" s="1125"/>
      <c r="J10348" s="1125"/>
    </row>
    <row r="10349" spans="9:10" x14ac:dyDescent="0.2">
      <c r="I10349" s="1125"/>
      <c r="J10349" s="1125"/>
    </row>
    <row r="10350" spans="9:10" x14ac:dyDescent="0.2">
      <c r="I10350" s="1125"/>
      <c r="J10350" s="1125"/>
    </row>
    <row r="10351" spans="9:10" x14ac:dyDescent="0.2">
      <c r="I10351" s="1125"/>
      <c r="J10351" s="1125"/>
    </row>
    <row r="10352" spans="9:10" x14ac:dyDescent="0.2">
      <c r="I10352" s="1125"/>
      <c r="J10352" s="1125"/>
    </row>
    <row r="10353" spans="9:10" x14ac:dyDescent="0.2">
      <c r="I10353" s="1125"/>
      <c r="J10353" s="1125"/>
    </row>
    <row r="10354" spans="9:10" x14ac:dyDescent="0.2">
      <c r="I10354" s="1125"/>
      <c r="J10354" s="1125"/>
    </row>
    <row r="10355" spans="9:10" x14ac:dyDescent="0.2">
      <c r="I10355" s="1125"/>
      <c r="J10355" s="1125"/>
    </row>
    <row r="10356" spans="9:10" x14ac:dyDescent="0.2">
      <c r="I10356" s="1125"/>
      <c r="J10356" s="1125"/>
    </row>
    <row r="10357" spans="9:10" x14ac:dyDescent="0.2">
      <c r="I10357" s="1125"/>
      <c r="J10357" s="1125"/>
    </row>
    <row r="10358" spans="9:10" x14ac:dyDescent="0.2">
      <c r="I10358" s="1125"/>
      <c r="J10358" s="1125"/>
    </row>
    <row r="10359" spans="9:10" x14ac:dyDescent="0.2">
      <c r="I10359" s="1125"/>
      <c r="J10359" s="1125"/>
    </row>
    <row r="10360" spans="9:10" x14ac:dyDescent="0.2">
      <c r="I10360" s="1125"/>
      <c r="J10360" s="1125"/>
    </row>
    <row r="10361" spans="9:10" x14ac:dyDescent="0.2">
      <c r="I10361" s="1125"/>
      <c r="J10361" s="1125"/>
    </row>
    <row r="10362" spans="9:10" x14ac:dyDescent="0.2">
      <c r="I10362" s="1125"/>
      <c r="J10362" s="1125"/>
    </row>
    <row r="10363" spans="9:10" x14ac:dyDescent="0.2">
      <c r="I10363" s="1125"/>
      <c r="J10363" s="1125"/>
    </row>
    <row r="10364" spans="9:10" x14ac:dyDescent="0.2">
      <c r="I10364" s="1125"/>
      <c r="J10364" s="1125"/>
    </row>
    <row r="10365" spans="9:10" x14ac:dyDescent="0.2">
      <c r="I10365" s="1125"/>
      <c r="J10365" s="1125"/>
    </row>
    <row r="10366" spans="9:10" x14ac:dyDescent="0.2">
      <c r="I10366" s="1125"/>
      <c r="J10366" s="1125"/>
    </row>
    <row r="10367" spans="9:10" x14ac:dyDescent="0.2">
      <c r="I10367" s="1125"/>
      <c r="J10367" s="1125"/>
    </row>
    <row r="10368" spans="9:10" x14ac:dyDescent="0.2">
      <c r="I10368" s="1125"/>
      <c r="J10368" s="1125"/>
    </row>
    <row r="10369" spans="9:10" x14ac:dyDescent="0.2">
      <c r="I10369" s="1125"/>
      <c r="J10369" s="1125"/>
    </row>
    <row r="10370" spans="9:10" x14ac:dyDescent="0.2">
      <c r="I10370" s="1125"/>
      <c r="J10370" s="1125"/>
    </row>
    <row r="10371" spans="9:10" x14ac:dyDescent="0.2">
      <c r="I10371" s="1125"/>
      <c r="J10371" s="1125"/>
    </row>
    <row r="10372" spans="9:10" x14ac:dyDescent="0.2">
      <c r="I10372" s="1125"/>
      <c r="J10372" s="1125"/>
    </row>
    <row r="10373" spans="9:10" x14ac:dyDescent="0.2">
      <c r="I10373" s="1125"/>
      <c r="J10373" s="1125"/>
    </row>
    <row r="10374" spans="9:10" x14ac:dyDescent="0.2">
      <c r="I10374" s="1125"/>
      <c r="J10374" s="1125"/>
    </row>
    <row r="10375" spans="9:10" x14ac:dyDescent="0.2">
      <c r="I10375" s="1125"/>
      <c r="J10375" s="1125"/>
    </row>
    <row r="10376" spans="9:10" x14ac:dyDescent="0.2">
      <c r="I10376" s="1125"/>
      <c r="J10376" s="1125"/>
    </row>
    <row r="10377" spans="9:10" x14ac:dyDescent="0.2">
      <c r="I10377" s="1125"/>
      <c r="J10377" s="1125"/>
    </row>
    <row r="10378" spans="9:10" x14ac:dyDescent="0.2">
      <c r="I10378" s="1125"/>
      <c r="J10378" s="1125"/>
    </row>
    <row r="10379" spans="9:10" x14ac:dyDescent="0.2">
      <c r="I10379" s="1125"/>
      <c r="J10379" s="1125"/>
    </row>
    <row r="10380" spans="9:10" x14ac:dyDescent="0.2">
      <c r="I10380" s="1125"/>
      <c r="J10380" s="1125"/>
    </row>
    <row r="10381" spans="9:10" x14ac:dyDescent="0.2">
      <c r="I10381" s="1125"/>
      <c r="J10381" s="1125"/>
    </row>
    <row r="10382" spans="9:10" x14ac:dyDescent="0.2">
      <c r="I10382" s="1125"/>
      <c r="J10382" s="1125"/>
    </row>
    <row r="10383" spans="9:10" x14ac:dyDescent="0.2">
      <c r="I10383" s="1125"/>
      <c r="J10383" s="1125"/>
    </row>
    <row r="10384" spans="9:10" x14ac:dyDescent="0.2">
      <c r="I10384" s="1125"/>
      <c r="J10384" s="1125"/>
    </row>
    <row r="10385" spans="9:10" x14ac:dyDescent="0.2">
      <c r="I10385" s="1125"/>
      <c r="J10385" s="1125"/>
    </row>
    <row r="10386" spans="9:10" x14ac:dyDescent="0.2">
      <c r="I10386" s="1125"/>
      <c r="J10386" s="1125"/>
    </row>
    <row r="10387" spans="9:10" x14ac:dyDescent="0.2">
      <c r="I10387" s="1125"/>
      <c r="J10387" s="1125"/>
    </row>
    <row r="10388" spans="9:10" x14ac:dyDescent="0.2">
      <c r="I10388" s="1125"/>
      <c r="J10388" s="1125"/>
    </row>
    <row r="10389" spans="9:10" x14ac:dyDescent="0.2">
      <c r="I10389" s="1125"/>
      <c r="J10389" s="1125"/>
    </row>
    <row r="10390" spans="9:10" x14ac:dyDescent="0.2">
      <c r="I10390" s="1125"/>
      <c r="J10390" s="1125"/>
    </row>
    <row r="10391" spans="9:10" x14ac:dyDescent="0.2">
      <c r="I10391" s="1125"/>
      <c r="J10391" s="1125"/>
    </row>
    <row r="10392" spans="9:10" x14ac:dyDescent="0.2">
      <c r="I10392" s="1125"/>
      <c r="J10392" s="1125"/>
    </row>
    <row r="10393" spans="9:10" x14ac:dyDescent="0.2">
      <c r="I10393" s="1125"/>
      <c r="J10393" s="1125"/>
    </row>
    <row r="10394" spans="9:10" x14ac:dyDescent="0.2">
      <c r="I10394" s="1125"/>
      <c r="J10394" s="1125"/>
    </row>
    <row r="10395" spans="9:10" x14ac:dyDescent="0.2">
      <c r="I10395" s="1125"/>
      <c r="J10395" s="1125"/>
    </row>
    <row r="10396" spans="9:10" x14ac:dyDescent="0.2">
      <c r="I10396" s="1125"/>
      <c r="J10396" s="1125"/>
    </row>
    <row r="10397" spans="9:10" x14ac:dyDescent="0.2">
      <c r="I10397" s="1125"/>
      <c r="J10397" s="1125"/>
    </row>
    <row r="10398" spans="9:10" x14ac:dyDescent="0.2">
      <c r="I10398" s="1125"/>
      <c r="J10398" s="1125"/>
    </row>
    <row r="10399" spans="9:10" x14ac:dyDescent="0.2">
      <c r="I10399" s="1125"/>
      <c r="J10399" s="1125"/>
    </row>
    <row r="10400" spans="9:10" x14ac:dyDescent="0.2">
      <c r="I10400" s="1125"/>
      <c r="J10400" s="1125"/>
    </row>
    <row r="10401" spans="9:10" x14ac:dyDescent="0.2">
      <c r="I10401" s="1125"/>
      <c r="J10401" s="1125"/>
    </row>
    <row r="10402" spans="9:10" x14ac:dyDescent="0.2">
      <c r="I10402" s="1125"/>
      <c r="J10402" s="1125"/>
    </row>
    <row r="10403" spans="9:10" x14ac:dyDescent="0.2">
      <c r="I10403" s="1125"/>
      <c r="J10403" s="1125"/>
    </row>
    <row r="10404" spans="9:10" x14ac:dyDescent="0.2">
      <c r="I10404" s="1125"/>
      <c r="J10404" s="1125"/>
    </row>
    <row r="10405" spans="9:10" x14ac:dyDescent="0.2">
      <c r="I10405" s="1125"/>
      <c r="J10405" s="1125"/>
    </row>
    <row r="10406" spans="9:10" x14ac:dyDescent="0.2">
      <c r="I10406" s="1125"/>
      <c r="J10406" s="1125"/>
    </row>
    <row r="10407" spans="9:10" x14ac:dyDescent="0.2">
      <c r="I10407" s="1125"/>
      <c r="J10407" s="1125"/>
    </row>
    <row r="10408" spans="9:10" x14ac:dyDescent="0.2">
      <c r="I10408" s="1125"/>
      <c r="J10408" s="1125"/>
    </row>
    <row r="10409" spans="9:10" x14ac:dyDescent="0.2">
      <c r="I10409" s="1125"/>
      <c r="J10409" s="1125"/>
    </row>
    <row r="10410" spans="9:10" x14ac:dyDescent="0.2">
      <c r="I10410" s="1125"/>
      <c r="J10410" s="1125"/>
    </row>
    <row r="10411" spans="9:10" x14ac:dyDescent="0.2">
      <c r="I10411" s="1125"/>
      <c r="J10411" s="1125"/>
    </row>
    <row r="10412" spans="9:10" x14ac:dyDescent="0.2">
      <c r="I10412" s="1125"/>
      <c r="J10412" s="1125"/>
    </row>
    <row r="10413" spans="9:10" x14ac:dyDescent="0.2">
      <c r="I10413" s="1125"/>
      <c r="J10413" s="1125"/>
    </row>
    <row r="10414" spans="9:10" x14ac:dyDescent="0.2">
      <c r="I10414" s="1125"/>
      <c r="J10414" s="1125"/>
    </row>
    <row r="10415" spans="9:10" x14ac:dyDescent="0.2">
      <c r="I10415" s="1125"/>
      <c r="J10415" s="1125"/>
    </row>
    <row r="10416" spans="9:10" x14ac:dyDescent="0.2">
      <c r="I10416" s="1125"/>
      <c r="J10416" s="1125"/>
    </row>
    <row r="10417" spans="9:10" x14ac:dyDescent="0.2">
      <c r="I10417" s="1125"/>
      <c r="J10417" s="1125"/>
    </row>
    <row r="10418" spans="9:10" x14ac:dyDescent="0.2">
      <c r="I10418" s="1125"/>
      <c r="J10418" s="1125"/>
    </row>
    <row r="10419" spans="9:10" x14ac:dyDescent="0.2">
      <c r="I10419" s="1125"/>
      <c r="J10419" s="1125"/>
    </row>
    <row r="10420" spans="9:10" x14ac:dyDescent="0.2">
      <c r="I10420" s="1125"/>
      <c r="J10420" s="1125"/>
    </row>
    <row r="10421" spans="9:10" x14ac:dyDescent="0.2">
      <c r="I10421" s="1125"/>
      <c r="J10421" s="1125"/>
    </row>
    <row r="10422" spans="9:10" x14ac:dyDescent="0.2">
      <c r="I10422" s="1125"/>
      <c r="J10422" s="1125"/>
    </row>
    <row r="10423" spans="9:10" x14ac:dyDescent="0.2">
      <c r="I10423" s="1125"/>
      <c r="J10423" s="1125"/>
    </row>
    <row r="10424" spans="9:10" x14ac:dyDescent="0.2">
      <c r="I10424" s="1125"/>
      <c r="J10424" s="1125"/>
    </row>
    <row r="10425" spans="9:10" x14ac:dyDescent="0.2">
      <c r="I10425" s="1125"/>
      <c r="J10425" s="1125"/>
    </row>
    <row r="10426" spans="9:10" x14ac:dyDescent="0.2">
      <c r="I10426" s="1125"/>
      <c r="J10426" s="1125"/>
    </row>
    <row r="10427" spans="9:10" x14ac:dyDescent="0.2">
      <c r="I10427" s="1125"/>
      <c r="J10427" s="1125"/>
    </row>
    <row r="10428" spans="9:10" x14ac:dyDescent="0.2">
      <c r="I10428" s="1125"/>
      <c r="J10428" s="1125"/>
    </row>
    <row r="10429" spans="9:10" x14ac:dyDescent="0.2">
      <c r="I10429" s="1125"/>
      <c r="J10429" s="1125"/>
    </row>
    <row r="10430" spans="9:10" x14ac:dyDescent="0.2">
      <c r="I10430" s="1125"/>
      <c r="J10430" s="1125"/>
    </row>
    <row r="10431" spans="9:10" x14ac:dyDescent="0.2">
      <c r="I10431" s="1125"/>
      <c r="J10431" s="1125"/>
    </row>
    <row r="10432" spans="9:10" x14ac:dyDescent="0.2">
      <c r="I10432" s="1125"/>
      <c r="J10432" s="1125"/>
    </row>
    <row r="10433" spans="9:10" x14ac:dyDescent="0.2">
      <c r="I10433" s="1125"/>
      <c r="J10433" s="1125"/>
    </row>
    <row r="10434" spans="9:10" x14ac:dyDescent="0.2">
      <c r="I10434" s="1125"/>
      <c r="J10434" s="1125"/>
    </row>
    <row r="10435" spans="9:10" x14ac:dyDescent="0.2">
      <c r="I10435" s="1125"/>
      <c r="J10435" s="1125"/>
    </row>
    <row r="10436" spans="9:10" x14ac:dyDescent="0.2">
      <c r="I10436" s="1125"/>
      <c r="J10436" s="1125"/>
    </row>
    <row r="10437" spans="9:10" x14ac:dyDescent="0.2">
      <c r="I10437" s="1125"/>
      <c r="J10437" s="1125"/>
    </row>
    <row r="10438" spans="9:10" x14ac:dyDescent="0.2">
      <c r="I10438" s="1125"/>
      <c r="J10438" s="1125"/>
    </row>
    <row r="10439" spans="9:10" x14ac:dyDescent="0.2">
      <c r="I10439" s="1125"/>
      <c r="J10439" s="1125"/>
    </row>
    <row r="10440" spans="9:10" x14ac:dyDescent="0.2">
      <c r="I10440" s="1125"/>
      <c r="J10440" s="1125"/>
    </row>
    <row r="10441" spans="9:10" x14ac:dyDescent="0.2">
      <c r="I10441" s="1125"/>
      <c r="J10441" s="1125"/>
    </row>
    <row r="10442" spans="9:10" x14ac:dyDescent="0.2">
      <c r="I10442" s="1125"/>
      <c r="J10442" s="1125"/>
    </row>
    <row r="10443" spans="9:10" x14ac:dyDescent="0.2">
      <c r="I10443" s="1125"/>
      <c r="J10443" s="1125"/>
    </row>
    <row r="10444" spans="9:10" x14ac:dyDescent="0.2">
      <c r="I10444" s="1125"/>
      <c r="J10444" s="1125"/>
    </row>
    <row r="10445" spans="9:10" x14ac:dyDescent="0.2">
      <c r="I10445" s="1125"/>
      <c r="J10445" s="1125"/>
    </row>
    <row r="10446" spans="9:10" x14ac:dyDescent="0.2">
      <c r="I10446" s="1125"/>
      <c r="J10446" s="1125"/>
    </row>
    <row r="10447" spans="9:10" x14ac:dyDescent="0.2">
      <c r="I10447" s="1125"/>
      <c r="J10447" s="1125"/>
    </row>
    <row r="10448" spans="9:10" x14ac:dyDescent="0.2">
      <c r="I10448" s="1125"/>
      <c r="J10448" s="1125"/>
    </row>
    <row r="10449" spans="9:10" x14ac:dyDescent="0.2">
      <c r="I10449" s="1125"/>
      <c r="J10449" s="1125"/>
    </row>
    <row r="10450" spans="9:10" x14ac:dyDescent="0.2">
      <c r="I10450" s="1125"/>
      <c r="J10450" s="1125"/>
    </row>
    <row r="10451" spans="9:10" x14ac:dyDescent="0.2">
      <c r="I10451" s="1125"/>
      <c r="J10451" s="1125"/>
    </row>
    <row r="10452" spans="9:10" x14ac:dyDescent="0.2">
      <c r="I10452" s="1125"/>
      <c r="J10452" s="1125"/>
    </row>
    <row r="10453" spans="9:10" x14ac:dyDescent="0.2">
      <c r="I10453" s="1125"/>
      <c r="J10453" s="1125"/>
    </row>
    <row r="10454" spans="9:10" x14ac:dyDescent="0.2">
      <c r="I10454" s="1125"/>
      <c r="J10454" s="1125"/>
    </row>
    <row r="10455" spans="9:10" x14ac:dyDescent="0.2">
      <c r="I10455" s="1125"/>
      <c r="J10455" s="1125"/>
    </row>
    <row r="10456" spans="9:10" x14ac:dyDescent="0.2">
      <c r="I10456" s="1125"/>
      <c r="J10456" s="1125"/>
    </row>
    <row r="10457" spans="9:10" x14ac:dyDescent="0.2">
      <c r="I10457" s="1125"/>
      <c r="J10457" s="1125"/>
    </row>
    <row r="10458" spans="9:10" x14ac:dyDescent="0.2">
      <c r="I10458" s="1125"/>
      <c r="J10458" s="1125"/>
    </row>
    <row r="10459" spans="9:10" x14ac:dyDescent="0.2">
      <c r="I10459" s="1125"/>
      <c r="J10459" s="1125"/>
    </row>
    <row r="10460" spans="9:10" x14ac:dyDescent="0.2">
      <c r="I10460" s="1125"/>
      <c r="J10460" s="1125"/>
    </row>
    <row r="10461" spans="9:10" x14ac:dyDescent="0.2">
      <c r="I10461" s="1125"/>
      <c r="J10461" s="1125"/>
    </row>
    <row r="10462" spans="9:10" x14ac:dyDescent="0.2">
      <c r="I10462" s="1125"/>
      <c r="J10462" s="1125"/>
    </row>
    <row r="10463" spans="9:10" x14ac:dyDescent="0.2">
      <c r="I10463" s="1125"/>
      <c r="J10463" s="1125"/>
    </row>
    <row r="10464" spans="9:10" x14ac:dyDescent="0.2">
      <c r="I10464" s="1125"/>
      <c r="J10464" s="1125"/>
    </row>
    <row r="10465" spans="9:10" x14ac:dyDescent="0.2">
      <c r="I10465" s="1125"/>
      <c r="J10465" s="1125"/>
    </row>
    <row r="10466" spans="9:10" x14ac:dyDescent="0.2">
      <c r="I10466" s="1125"/>
      <c r="J10466" s="1125"/>
    </row>
    <row r="10467" spans="9:10" x14ac:dyDescent="0.2">
      <c r="I10467" s="1125"/>
      <c r="J10467" s="1125"/>
    </row>
    <row r="10468" spans="9:10" x14ac:dyDescent="0.2">
      <c r="I10468" s="1125"/>
      <c r="J10468" s="1125"/>
    </row>
    <row r="10469" spans="9:10" x14ac:dyDescent="0.2">
      <c r="I10469" s="1125"/>
      <c r="J10469" s="1125"/>
    </row>
    <row r="10470" spans="9:10" x14ac:dyDescent="0.2">
      <c r="I10470" s="1125"/>
      <c r="J10470" s="1125"/>
    </row>
    <row r="10471" spans="9:10" x14ac:dyDescent="0.2">
      <c r="I10471" s="1125"/>
      <c r="J10471" s="1125"/>
    </row>
    <row r="10472" spans="9:10" x14ac:dyDescent="0.2">
      <c r="I10472" s="1125"/>
      <c r="J10472" s="1125"/>
    </row>
    <row r="10473" spans="9:10" x14ac:dyDescent="0.2">
      <c r="I10473" s="1125"/>
      <c r="J10473" s="1125"/>
    </row>
    <row r="10474" spans="9:10" x14ac:dyDescent="0.2">
      <c r="I10474" s="1125"/>
      <c r="J10474" s="1125"/>
    </row>
    <row r="10475" spans="9:10" x14ac:dyDescent="0.2">
      <c r="I10475" s="1125"/>
      <c r="J10475" s="1125"/>
    </row>
    <row r="10476" spans="9:10" x14ac:dyDescent="0.2">
      <c r="I10476" s="1125"/>
      <c r="J10476" s="1125"/>
    </row>
    <row r="10477" spans="9:10" x14ac:dyDescent="0.2">
      <c r="I10477" s="1125"/>
      <c r="J10477" s="1125"/>
    </row>
    <row r="10478" spans="9:10" x14ac:dyDescent="0.2">
      <c r="I10478" s="1125"/>
      <c r="J10478" s="1125"/>
    </row>
    <row r="10479" spans="9:10" x14ac:dyDescent="0.2">
      <c r="I10479" s="1125"/>
      <c r="J10479" s="1125"/>
    </row>
    <row r="10480" spans="9:10" x14ac:dyDescent="0.2">
      <c r="I10480" s="1125"/>
      <c r="J10480" s="1125"/>
    </row>
    <row r="10481" spans="9:10" x14ac:dyDescent="0.2">
      <c r="I10481" s="1125"/>
      <c r="J10481" s="1125"/>
    </row>
    <row r="10482" spans="9:10" x14ac:dyDescent="0.2">
      <c r="I10482" s="1125"/>
      <c r="J10482" s="1125"/>
    </row>
    <row r="10483" spans="9:10" x14ac:dyDescent="0.2">
      <c r="I10483" s="1125"/>
      <c r="J10483" s="1125"/>
    </row>
    <row r="10484" spans="9:10" x14ac:dyDescent="0.2">
      <c r="I10484" s="1125"/>
      <c r="J10484" s="1125"/>
    </row>
    <row r="10485" spans="9:10" x14ac:dyDescent="0.2">
      <c r="I10485" s="1125"/>
      <c r="J10485" s="1125"/>
    </row>
    <row r="10486" spans="9:10" x14ac:dyDescent="0.2">
      <c r="I10486" s="1125"/>
      <c r="J10486" s="1125"/>
    </row>
    <row r="10487" spans="9:10" x14ac:dyDescent="0.2">
      <c r="I10487" s="1125"/>
      <c r="J10487" s="1125"/>
    </row>
    <row r="10488" spans="9:10" x14ac:dyDescent="0.2">
      <c r="I10488" s="1125"/>
      <c r="J10488" s="1125"/>
    </row>
    <row r="10489" spans="9:10" x14ac:dyDescent="0.2">
      <c r="I10489" s="1125"/>
      <c r="J10489" s="1125"/>
    </row>
    <row r="10490" spans="9:10" x14ac:dyDescent="0.2">
      <c r="I10490" s="1125"/>
      <c r="J10490" s="1125"/>
    </row>
    <row r="10491" spans="9:10" x14ac:dyDescent="0.2">
      <c r="I10491" s="1125"/>
      <c r="J10491" s="1125"/>
    </row>
    <row r="10492" spans="9:10" x14ac:dyDescent="0.2">
      <c r="I10492" s="1125"/>
      <c r="J10492" s="1125"/>
    </row>
    <row r="10493" spans="9:10" x14ac:dyDescent="0.2">
      <c r="I10493" s="1125"/>
      <c r="J10493" s="1125"/>
    </row>
    <row r="10494" spans="9:10" x14ac:dyDescent="0.2">
      <c r="I10494" s="1125"/>
      <c r="J10494" s="1125"/>
    </row>
    <row r="10495" spans="9:10" x14ac:dyDescent="0.2">
      <c r="I10495" s="1125"/>
      <c r="J10495" s="1125"/>
    </row>
    <row r="10496" spans="9:10" x14ac:dyDescent="0.2">
      <c r="I10496" s="1125"/>
      <c r="J10496" s="1125"/>
    </row>
    <row r="10497" spans="9:10" x14ac:dyDescent="0.2">
      <c r="I10497" s="1125"/>
      <c r="J10497" s="1125"/>
    </row>
    <row r="10498" spans="9:10" x14ac:dyDescent="0.2">
      <c r="I10498" s="1125"/>
      <c r="J10498" s="1125"/>
    </row>
    <row r="10499" spans="9:10" x14ac:dyDescent="0.2">
      <c r="I10499" s="1125"/>
      <c r="J10499" s="1125"/>
    </row>
    <row r="10500" spans="9:10" x14ac:dyDescent="0.2">
      <c r="I10500" s="1125"/>
      <c r="J10500" s="1125"/>
    </row>
    <row r="10501" spans="9:10" x14ac:dyDescent="0.2">
      <c r="I10501" s="1125"/>
      <c r="J10501" s="1125"/>
    </row>
    <row r="10502" spans="9:10" x14ac:dyDescent="0.2">
      <c r="I10502" s="1125"/>
      <c r="J10502" s="1125"/>
    </row>
    <row r="10503" spans="9:10" x14ac:dyDescent="0.2">
      <c r="I10503" s="1125"/>
      <c r="J10503" s="1125"/>
    </row>
    <row r="10504" spans="9:10" x14ac:dyDescent="0.2">
      <c r="I10504" s="1125"/>
      <c r="J10504" s="1125"/>
    </row>
    <row r="10505" spans="9:10" x14ac:dyDescent="0.2">
      <c r="I10505" s="1125"/>
      <c r="J10505" s="1125"/>
    </row>
    <row r="10506" spans="9:10" x14ac:dyDescent="0.2">
      <c r="I10506" s="1125"/>
      <c r="J10506" s="1125"/>
    </row>
    <row r="10507" spans="9:10" x14ac:dyDescent="0.2">
      <c r="I10507" s="1125"/>
      <c r="J10507" s="1125"/>
    </row>
    <row r="10508" spans="9:10" x14ac:dyDescent="0.2">
      <c r="I10508" s="1125"/>
      <c r="J10508" s="1125"/>
    </row>
    <row r="10509" spans="9:10" x14ac:dyDescent="0.2">
      <c r="I10509" s="1125"/>
      <c r="J10509" s="1125"/>
    </row>
    <row r="10510" spans="9:10" x14ac:dyDescent="0.2">
      <c r="I10510" s="1125"/>
      <c r="J10510" s="1125"/>
    </row>
    <row r="10511" spans="9:10" x14ac:dyDescent="0.2">
      <c r="I10511" s="1125"/>
      <c r="J10511" s="1125"/>
    </row>
    <row r="10512" spans="9:10" x14ac:dyDescent="0.2">
      <c r="I10512" s="1125"/>
      <c r="J10512" s="1125"/>
    </row>
    <row r="10513" spans="9:10" x14ac:dyDescent="0.2">
      <c r="I10513" s="1125"/>
      <c r="J10513" s="1125"/>
    </row>
    <row r="10514" spans="9:10" x14ac:dyDescent="0.2">
      <c r="I10514" s="1125"/>
      <c r="J10514" s="1125"/>
    </row>
    <row r="10515" spans="9:10" x14ac:dyDescent="0.2">
      <c r="I10515" s="1125"/>
      <c r="J10515" s="1125"/>
    </row>
    <row r="10516" spans="9:10" x14ac:dyDescent="0.2">
      <c r="I10516" s="1125"/>
      <c r="J10516" s="1125"/>
    </row>
    <row r="10517" spans="9:10" x14ac:dyDescent="0.2">
      <c r="I10517" s="1125"/>
      <c r="J10517" s="1125"/>
    </row>
    <row r="10518" spans="9:10" x14ac:dyDescent="0.2">
      <c r="I10518" s="1125"/>
      <c r="J10518" s="1125"/>
    </row>
    <row r="10519" spans="9:10" x14ac:dyDescent="0.2">
      <c r="I10519" s="1125"/>
      <c r="J10519" s="1125"/>
    </row>
    <row r="10520" spans="9:10" x14ac:dyDescent="0.2">
      <c r="I10520" s="1125"/>
      <c r="J10520" s="1125"/>
    </row>
    <row r="10521" spans="9:10" x14ac:dyDescent="0.2">
      <c r="I10521" s="1125"/>
      <c r="J10521" s="1125"/>
    </row>
    <row r="10522" spans="9:10" x14ac:dyDescent="0.2">
      <c r="I10522" s="1125"/>
      <c r="J10522" s="1125"/>
    </row>
    <row r="10523" spans="9:10" x14ac:dyDescent="0.2">
      <c r="I10523" s="1125"/>
      <c r="J10523" s="1125"/>
    </row>
    <row r="10524" spans="9:10" x14ac:dyDescent="0.2">
      <c r="I10524" s="1125"/>
      <c r="J10524" s="1125"/>
    </row>
    <row r="10525" spans="9:10" x14ac:dyDescent="0.2">
      <c r="I10525" s="1125"/>
      <c r="J10525" s="1125"/>
    </row>
    <row r="10526" spans="9:10" x14ac:dyDescent="0.2">
      <c r="I10526" s="1125"/>
      <c r="J10526" s="1125"/>
    </row>
    <row r="10527" spans="9:10" x14ac:dyDescent="0.2">
      <c r="I10527" s="1125"/>
      <c r="J10527" s="1125"/>
    </row>
    <row r="10528" spans="9:10" x14ac:dyDescent="0.2">
      <c r="I10528" s="1125"/>
      <c r="J10528" s="1125"/>
    </row>
    <row r="10529" spans="9:10" x14ac:dyDescent="0.2">
      <c r="I10529" s="1125"/>
      <c r="J10529" s="1125"/>
    </row>
    <row r="10530" spans="9:10" x14ac:dyDescent="0.2">
      <c r="I10530" s="1125"/>
      <c r="J10530" s="1125"/>
    </row>
    <row r="10531" spans="9:10" x14ac:dyDescent="0.2">
      <c r="I10531" s="1125"/>
      <c r="J10531" s="1125"/>
    </row>
    <row r="10532" spans="9:10" x14ac:dyDescent="0.2">
      <c r="I10532" s="1125"/>
      <c r="J10532" s="1125"/>
    </row>
    <row r="10533" spans="9:10" x14ac:dyDescent="0.2">
      <c r="I10533" s="1125"/>
      <c r="J10533" s="1125"/>
    </row>
    <row r="10534" spans="9:10" x14ac:dyDescent="0.2">
      <c r="I10534" s="1125"/>
      <c r="J10534" s="1125"/>
    </row>
    <row r="10535" spans="9:10" x14ac:dyDescent="0.2">
      <c r="I10535" s="1125"/>
      <c r="J10535" s="1125"/>
    </row>
    <row r="10536" spans="9:10" x14ac:dyDescent="0.2">
      <c r="I10536" s="1125"/>
      <c r="J10536" s="1125"/>
    </row>
    <row r="10537" spans="9:10" x14ac:dyDescent="0.2">
      <c r="I10537" s="1125"/>
      <c r="J10537" s="1125"/>
    </row>
    <row r="10538" spans="9:10" x14ac:dyDescent="0.2">
      <c r="I10538" s="1125"/>
      <c r="J10538" s="1125"/>
    </row>
    <row r="10539" spans="9:10" x14ac:dyDescent="0.2">
      <c r="I10539" s="1125"/>
      <c r="J10539" s="1125"/>
    </row>
    <row r="10540" spans="9:10" x14ac:dyDescent="0.2">
      <c r="I10540" s="1125"/>
      <c r="J10540" s="1125"/>
    </row>
    <row r="10541" spans="9:10" x14ac:dyDescent="0.2">
      <c r="I10541" s="1125"/>
      <c r="J10541" s="1125"/>
    </row>
    <row r="10542" spans="9:10" x14ac:dyDescent="0.2">
      <c r="I10542" s="1125"/>
      <c r="J10542" s="1125"/>
    </row>
    <row r="10543" spans="9:10" x14ac:dyDescent="0.2">
      <c r="I10543" s="1125"/>
      <c r="J10543" s="1125"/>
    </row>
    <row r="10544" spans="9:10" x14ac:dyDescent="0.2">
      <c r="I10544" s="1125"/>
      <c r="J10544" s="1125"/>
    </row>
    <row r="10545" spans="9:10" x14ac:dyDescent="0.2">
      <c r="I10545" s="1125"/>
      <c r="J10545" s="1125"/>
    </row>
    <row r="10546" spans="9:10" x14ac:dyDescent="0.2">
      <c r="I10546" s="1125"/>
      <c r="J10546" s="1125"/>
    </row>
    <row r="10547" spans="9:10" x14ac:dyDescent="0.2">
      <c r="I10547" s="1125"/>
      <c r="J10547" s="1125"/>
    </row>
    <row r="10548" spans="9:10" x14ac:dyDescent="0.2">
      <c r="I10548" s="1125"/>
      <c r="J10548" s="1125"/>
    </row>
    <row r="10549" spans="9:10" x14ac:dyDescent="0.2">
      <c r="I10549" s="1125"/>
      <c r="J10549" s="1125"/>
    </row>
    <row r="10550" spans="9:10" x14ac:dyDescent="0.2">
      <c r="I10550" s="1125"/>
      <c r="J10550" s="1125"/>
    </row>
    <row r="10551" spans="9:10" x14ac:dyDescent="0.2">
      <c r="I10551" s="1125"/>
      <c r="J10551" s="1125"/>
    </row>
    <row r="10552" spans="9:10" x14ac:dyDescent="0.2">
      <c r="I10552" s="1125"/>
      <c r="J10552" s="1125"/>
    </row>
    <row r="10553" spans="9:10" x14ac:dyDescent="0.2">
      <c r="I10553" s="1125"/>
      <c r="J10553" s="1125"/>
    </row>
    <row r="10554" spans="9:10" x14ac:dyDescent="0.2">
      <c r="I10554" s="1125"/>
      <c r="J10554" s="1125"/>
    </row>
    <row r="10555" spans="9:10" x14ac:dyDescent="0.2">
      <c r="I10555" s="1125"/>
      <c r="J10555" s="1125"/>
    </row>
    <row r="10556" spans="9:10" x14ac:dyDescent="0.2">
      <c r="I10556" s="1125"/>
      <c r="J10556" s="1125"/>
    </row>
    <row r="10557" spans="9:10" x14ac:dyDescent="0.2">
      <c r="I10557" s="1125"/>
      <c r="J10557" s="1125"/>
    </row>
    <row r="10558" spans="9:10" x14ac:dyDescent="0.2">
      <c r="I10558" s="1125"/>
      <c r="J10558" s="1125"/>
    </row>
    <row r="10559" spans="9:10" x14ac:dyDescent="0.2">
      <c r="I10559" s="1125"/>
      <c r="J10559" s="1125"/>
    </row>
    <row r="10560" spans="9:10" x14ac:dyDescent="0.2">
      <c r="I10560" s="1125"/>
      <c r="J10560" s="1125"/>
    </row>
    <row r="10561" spans="9:10" x14ac:dyDescent="0.2">
      <c r="I10561" s="1125"/>
      <c r="J10561" s="1125"/>
    </row>
    <row r="10562" spans="9:10" x14ac:dyDescent="0.2">
      <c r="I10562" s="1125"/>
      <c r="J10562" s="1125"/>
    </row>
    <row r="10563" spans="9:10" x14ac:dyDescent="0.2">
      <c r="I10563" s="1125"/>
      <c r="J10563" s="1125"/>
    </row>
    <row r="10564" spans="9:10" x14ac:dyDescent="0.2">
      <c r="I10564" s="1125"/>
      <c r="J10564" s="1125"/>
    </row>
    <row r="10565" spans="9:10" x14ac:dyDescent="0.2">
      <c r="I10565" s="1125"/>
      <c r="J10565" s="1125"/>
    </row>
    <row r="10566" spans="9:10" x14ac:dyDescent="0.2">
      <c r="I10566" s="1125"/>
      <c r="J10566" s="1125"/>
    </row>
    <row r="10567" spans="9:10" x14ac:dyDescent="0.2">
      <c r="I10567" s="1125"/>
      <c r="J10567" s="1125"/>
    </row>
    <row r="10568" spans="9:10" x14ac:dyDescent="0.2">
      <c r="I10568" s="1125"/>
      <c r="J10568" s="1125"/>
    </row>
    <row r="10569" spans="9:10" x14ac:dyDescent="0.2">
      <c r="I10569" s="1125"/>
      <c r="J10569" s="1125"/>
    </row>
    <row r="10570" spans="9:10" x14ac:dyDescent="0.2">
      <c r="I10570" s="1125"/>
      <c r="J10570" s="1125"/>
    </row>
    <row r="10571" spans="9:10" x14ac:dyDescent="0.2">
      <c r="I10571" s="1125"/>
      <c r="J10571" s="1125"/>
    </row>
    <row r="10572" spans="9:10" x14ac:dyDescent="0.2">
      <c r="I10572" s="1125"/>
      <c r="J10572" s="1125"/>
    </row>
    <row r="10573" spans="9:10" x14ac:dyDescent="0.2">
      <c r="I10573" s="1125"/>
      <c r="J10573" s="1125"/>
    </row>
    <row r="10574" spans="9:10" x14ac:dyDescent="0.2">
      <c r="I10574" s="1125"/>
      <c r="J10574" s="1125"/>
    </row>
    <row r="10575" spans="9:10" x14ac:dyDescent="0.2">
      <c r="I10575" s="1125"/>
      <c r="J10575" s="1125"/>
    </row>
    <row r="10576" spans="9:10" x14ac:dyDescent="0.2">
      <c r="I10576" s="1125"/>
      <c r="J10576" s="1125"/>
    </row>
    <row r="10577" spans="9:10" x14ac:dyDescent="0.2">
      <c r="I10577" s="1125"/>
      <c r="J10577" s="1125"/>
    </row>
    <row r="10578" spans="9:10" x14ac:dyDescent="0.2">
      <c r="I10578" s="1125"/>
      <c r="J10578" s="1125"/>
    </row>
    <row r="10579" spans="9:10" x14ac:dyDescent="0.2">
      <c r="I10579" s="1125"/>
      <c r="J10579" s="1125"/>
    </row>
    <row r="10580" spans="9:10" x14ac:dyDescent="0.2">
      <c r="I10580" s="1125"/>
      <c r="J10580" s="1125"/>
    </row>
    <row r="10581" spans="9:10" x14ac:dyDescent="0.2">
      <c r="I10581" s="1125"/>
      <c r="J10581" s="1125"/>
    </row>
    <row r="10582" spans="9:10" x14ac:dyDescent="0.2">
      <c r="I10582" s="1125"/>
      <c r="J10582" s="1125"/>
    </row>
    <row r="10583" spans="9:10" x14ac:dyDescent="0.2">
      <c r="I10583" s="1125"/>
      <c r="J10583" s="1125"/>
    </row>
    <row r="10584" spans="9:10" x14ac:dyDescent="0.2">
      <c r="I10584" s="1125"/>
      <c r="J10584" s="1125"/>
    </row>
    <row r="10585" spans="9:10" x14ac:dyDescent="0.2">
      <c r="I10585" s="1125"/>
      <c r="J10585" s="1125"/>
    </row>
    <row r="10586" spans="9:10" x14ac:dyDescent="0.2">
      <c r="I10586" s="1125"/>
      <c r="J10586" s="1125"/>
    </row>
    <row r="10587" spans="9:10" x14ac:dyDescent="0.2">
      <c r="I10587" s="1125"/>
      <c r="J10587" s="1125"/>
    </row>
    <row r="10588" spans="9:10" x14ac:dyDescent="0.2">
      <c r="I10588" s="1125"/>
      <c r="J10588" s="1125"/>
    </row>
    <row r="10589" spans="9:10" x14ac:dyDescent="0.2">
      <c r="I10589" s="1125"/>
      <c r="J10589" s="1125"/>
    </row>
    <row r="10590" spans="9:10" x14ac:dyDescent="0.2">
      <c r="I10590" s="1125"/>
      <c r="J10590" s="1125"/>
    </row>
    <row r="10591" spans="9:10" x14ac:dyDescent="0.2">
      <c r="I10591" s="1125"/>
      <c r="J10591" s="1125"/>
    </row>
    <row r="10592" spans="9:10" x14ac:dyDescent="0.2">
      <c r="I10592" s="1125"/>
      <c r="J10592" s="1125"/>
    </row>
    <row r="10593" spans="9:10" x14ac:dyDescent="0.2">
      <c r="I10593" s="1125"/>
      <c r="J10593" s="1125"/>
    </row>
    <row r="10594" spans="9:10" x14ac:dyDescent="0.2">
      <c r="I10594" s="1125"/>
      <c r="J10594" s="1125"/>
    </row>
    <row r="10595" spans="9:10" x14ac:dyDescent="0.2">
      <c r="I10595" s="1125"/>
      <c r="J10595" s="1125"/>
    </row>
    <row r="10596" spans="9:10" x14ac:dyDescent="0.2">
      <c r="I10596" s="1125"/>
      <c r="J10596" s="1125"/>
    </row>
    <row r="10597" spans="9:10" x14ac:dyDescent="0.2">
      <c r="I10597" s="1125"/>
      <c r="J10597" s="1125"/>
    </row>
    <row r="10598" spans="9:10" x14ac:dyDescent="0.2">
      <c r="I10598" s="1125"/>
      <c r="J10598" s="1125"/>
    </row>
    <row r="10599" spans="9:10" x14ac:dyDescent="0.2">
      <c r="I10599" s="1125"/>
      <c r="J10599" s="1125"/>
    </row>
    <row r="10600" spans="9:10" x14ac:dyDescent="0.2">
      <c r="I10600" s="1125"/>
      <c r="J10600" s="1125"/>
    </row>
    <row r="10601" spans="9:10" x14ac:dyDescent="0.2">
      <c r="I10601" s="1125"/>
      <c r="J10601" s="1125"/>
    </row>
    <row r="10602" spans="9:10" x14ac:dyDescent="0.2">
      <c r="I10602" s="1125"/>
      <c r="J10602" s="1125"/>
    </row>
    <row r="10603" spans="9:10" x14ac:dyDescent="0.2">
      <c r="I10603" s="1125"/>
      <c r="J10603" s="1125"/>
    </row>
    <row r="10604" spans="9:10" x14ac:dyDescent="0.2">
      <c r="I10604" s="1125"/>
      <c r="J10604" s="1125"/>
    </row>
    <row r="10605" spans="9:10" x14ac:dyDescent="0.2">
      <c r="I10605" s="1125"/>
      <c r="J10605" s="1125"/>
    </row>
    <row r="10606" spans="9:10" x14ac:dyDescent="0.2">
      <c r="I10606" s="1125"/>
      <c r="J10606" s="1125"/>
    </row>
    <row r="10607" spans="9:10" x14ac:dyDescent="0.2">
      <c r="I10607" s="1125"/>
      <c r="J10607" s="1125"/>
    </row>
    <row r="10608" spans="9:10" x14ac:dyDescent="0.2">
      <c r="I10608" s="1125"/>
      <c r="J10608" s="1125"/>
    </row>
    <row r="10609" spans="9:10" x14ac:dyDescent="0.2">
      <c r="I10609" s="1125"/>
      <c r="J10609" s="1125"/>
    </row>
    <row r="10610" spans="9:10" x14ac:dyDescent="0.2">
      <c r="I10610" s="1125"/>
      <c r="J10610" s="1125"/>
    </row>
    <row r="10611" spans="9:10" x14ac:dyDescent="0.2">
      <c r="I10611" s="1125"/>
      <c r="J10611" s="1125"/>
    </row>
    <row r="10612" spans="9:10" x14ac:dyDescent="0.2">
      <c r="I10612" s="1125"/>
      <c r="J10612" s="1125"/>
    </row>
    <row r="10613" spans="9:10" x14ac:dyDescent="0.2">
      <c r="I10613" s="1125"/>
      <c r="J10613" s="1125"/>
    </row>
    <row r="10614" spans="9:10" x14ac:dyDescent="0.2">
      <c r="I10614" s="1125"/>
      <c r="J10614" s="1125"/>
    </row>
    <row r="10615" spans="9:10" x14ac:dyDescent="0.2">
      <c r="I10615" s="1125"/>
      <c r="J10615" s="1125"/>
    </row>
    <row r="10616" spans="9:10" x14ac:dyDescent="0.2">
      <c r="I10616" s="1125"/>
      <c r="J10616" s="1125"/>
    </row>
    <row r="10617" spans="9:10" x14ac:dyDescent="0.2">
      <c r="I10617" s="1125"/>
      <c r="J10617" s="1125"/>
    </row>
    <row r="10618" spans="9:10" x14ac:dyDescent="0.2">
      <c r="I10618" s="1125"/>
      <c r="J10618" s="1125"/>
    </row>
    <row r="10619" spans="9:10" x14ac:dyDescent="0.2">
      <c r="I10619" s="1125"/>
      <c r="J10619" s="1125"/>
    </row>
    <row r="10620" spans="9:10" x14ac:dyDescent="0.2">
      <c r="I10620" s="1125"/>
      <c r="J10620" s="1125"/>
    </row>
    <row r="10621" spans="9:10" x14ac:dyDescent="0.2">
      <c r="I10621" s="1125"/>
      <c r="J10621" s="1125"/>
    </row>
    <row r="10622" spans="9:10" x14ac:dyDescent="0.2">
      <c r="I10622" s="1125"/>
      <c r="J10622" s="1125"/>
    </row>
    <row r="10623" spans="9:10" x14ac:dyDescent="0.2">
      <c r="I10623" s="1125"/>
      <c r="J10623" s="1125"/>
    </row>
    <row r="10624" spans="9:10" x14ac:dyDescent="0.2">
      <c r="I10624" s="1125"/>
      <c r="J10624" s="1125"/>
    </row>
    <row r="10625" spans="9:10" x14ac:dyDescent="0.2">
      <c r="I10625" s="1125"/>
      <c r="J10625" s="1125"/>
    </row>
    <row r="10626" spans="9:10" x14ac:dyDescent="0.2">
      <c r="I10626" s="1125"/>
      <c r="J10626" s="1125"/>
    </row>
    <row r="10627" spans="9:10" x14ac:dyDescent="0.2">
      <c r="I10627" s="1125"/>
      <c r="J10627" s="1125"/>
    </row>
    <row r="10628" spans="9:10" x14ac:dyDescent="0.2">
      <c r="I10628" s="1125"/>
      <c r="J10628" s="1125"/>
    </row>
    <row r="10629" spans="9:10" x14ac:dyDescent="0.2">
      <c r="I10629" s="1125"/>
      <c r="J10629" s="1125"/>
    </row>
    <row r="10630" spans="9:10" x14ac:dyDescent="0.2">
      <c r="I10630" s="1125"/>
      <c r="J10630" s="1125"/>
    </row>
    <row r="10631" spans="9:10" x14ac:dyDescent="0.2">
      <c r="I10631" s="1125"/>
      <c r="J10631" s="1125"/>
    </row>
    <row r="10632" spans="9:10" x14ac:dyDescent="0.2">
      <c r="I10632" s="1125"/>
      <c r="J10632" s="1125"/>
    </row>
    <row r="10633" spans="9:10" x14ac:dyDescent="0.2">
      <c r="I10633" s="1125"/>
      <c r="J10633" s="1125"/>
    </row>
    <row r="10634" spans="9:10" x14ac:dyDescent="0.2">
      <c r="I10634" s="1125"/>
      <c r="J10634" s="1125"/>
    </row>
    <row r="10635" spans="9:10" x14ac:dyDescent="0.2">
      <c r="I10635" s="1125"/>
      <c r="J10635" s="1125"/>
    </row>
    <row r="10636" spans="9:10" x14ac:dyDescent="0.2">
      <c r="I10636" s="1125"/>
      <c r="J10636" s="1125"/>
    </row>
    <row r="10637" spans="9:10" x14ac:dyDescent="0.2">
      <c r="I10637" s="1125"/>
      <c r="J10637" s="1125"/>
    </row>
    <row r="10638" spans="9:10" x14ac:dyDescent="0.2">
      <c r="I10638" s="1125"/>
      <c r="J10638" s="1125"/>
    </row>
    <row r="10639" spans="9:10" x14ac:dyDescent="0.2">
      <c r="I10639" s="1125"/>
      <c r="J10639" s="1125"/>
    </row>
    <row r="10640" spans="9:10" x14ac:dyDescent="0.2">
      <c r="I10640" s="1125"/>
      <c r="J10640" s="1125"/>
    </row>
    <row r="10641" spans="9:10" x14ac:dyDescent="0.2">
      <c r="I10641" s="1125"/>
      <c r="J10641" s="1125"/>
    </row>
    <row r="10642" spans="9:10" x14ac:dyDescent="0.2">
      <c r="I10642" s="1125"/>
      <c r="J10642" s="1125"/>
    </row>
    <row r="10643" spans="9:10" x14ac:dyDescent="0.2">
      <c r="I10643" s="1125"/>
      <c r="J10643" s="1125"/>
    </row>
    <row r="10644" spans="9:10" x14ac:dyDescent="0.2">
      <c r="I10644" s="1125"/>
      <c r="J10644" s="1125"/>
    </row>
    <row r="10645" spans="9:10" x14ac:dyDescent="0.2">
      <c r="I10645" s="1125"/>
      <c r="J10645" s="1125"/>
    </row>
    <row r="10646" spans="9:10" x14ac:dyDescent="0.2">
      <c r="I10646" s="1125"/>
      <c r="J10646" s="1125"/>
    </row>
    <row r="10647" spans="9:10" x14ac:dyDescent="0.2">
      <c r="I10647" s="1125"/>
      <c r="J10647" s="1125"/>
    </row>
    <row r="10648" spans="9:10" x14ac:dyDescent="0.2">
      <c r="I10648" s="1125"/>
      <c r="J10648" s="1125"/>
    </row>
    <row r="10649" spans="9:10" x14ac:dyDescent="0.2">
      <c r="I10649" s="1125"/>
      <c r="J10649" s="1125"/>
    </row>
    <row r="10650" spans="9:10" x14ac:dyDescent="0.2">
      <c r="I10650" s="1125"/>
      <c r="J10650" s="1125"/>
    </row>
    <row r="10651" spans="9:10" x14ac:dyDescent="0.2">
      <c r="I10651" s="1125"/>
      <c r="J10651" s="1125"/>
    </row>
    <row r="10652" spans="9:10" x14ac:dyDescent="0.2">
      <c r="I10652" s="1125"/>
      <c r="J10652" s="1125"/>
    </row>
    <row r="10653" spans="9:10" x14ac:dyDescent="0.2">
      <c r="I10653" s="1125"/>
      <c r="J10653" s="1125"/>
    </row>
    <row r="10654" spans="9:10" x14ac:dyDescent="0.2">
      <c r="I10654" s="1125"/>
      <c r="J10654" s="1125"/>
    </row>
    <row r="10655" spans="9:10" x14ac:dyDescent="0.2">
      <c r="I10655" s="1125"/>
      <c r="J10655" s="1125"/>
    </row>
    <row r="10656" spans="9:10" x14ac:dyDescent="0.2">
      <c r="I10656" s="1125"/>
      <c r="J10656" s="1125"/>
    </row>
    <row r="10657" spans="9:10" x14ac:dyDescent="0.2">
      <c r="I10657" s="1125"/>
      <c r="J10657" s="1125"/>
    </row>
    <row r="10658" spans="9:10" x14ac:dyDescent="0.2">
      <c r="I10658" s="1125"/>
      <c r="J10658" s="1125"/>
    </row>
    <row r="10659" spans="9:10" x14ac:dyDescent="0.2">
      <c r="I10659" s="1125"/>
      <c r="J10659" s="1125"/>
    </row>
    <row r="10660" spans="9:10" x14ac:dyDescent="0.2">
      <c r="I10660" s="1125"/>
      <c r="J10660" s="1125"/>
    </row>
    <row r="10661" spans="9:10" x14ac:dyDescent="0.2">
      <c r="I10661" s="1125"/>
      <c r="J10661" s="1125"/>
    </row>
    <row r="10662" spans="9:10" x14ac:dyDescent="0.2">
      <c r="I10662" s="1125"/>
      <c r="J10662" s="1125"/>
    </row>
    <row r="10663" spans="9:10" x14ac:dyDescent="0.2">
      <c r="I10663" s="1125"/>
      <c r="J10663" s="1125"/>
    </row>
    <row r="10664" spans="9:10" x14ac:dyDescent="0.2">
      <c r="I10664" s="1125"/>
      <c r="J10664" s="1125"/>
    </row>
    <row r="10665" spans="9:10" x14ac:dyDescent="0.2">
      <c r="I10665" s="1125"/>
      <c r="J10665" s="1125"/>
    </row>
    <row r="10666" spans="9:10" x14ac:dyDescent="0.2">
      <c r="I10666" s="1125"/>
      <c r="J10666" s="1125"/>
    </row>
    <row r="10667" spans="9:10" x14ac:dyDescent="0.2">
      <c r="I10667" s="1125"/>
      <c r="J10667" s="1125"/>
    </row>
    <row r="10668" spans="9:10" x14ac:dyDescent="0.2">
      <c r="I10668" s="1125"/>
      <c r="J10668" s="1125"/>
    </row>
    <row r="10669" spans="9:10" x14ac:dyDescent="0.2">
      <c r="I10669" s="1125"/>
      <c r="J10669" s="1125"/>
    </row>
    <row r="10670" spans="9:10" x14ac:dyDescent="0.2">
      <c r="I10670" s="1125"/>
      <c r="J10670" s="1125"/>
    </row>
    <row r="10671" spans="9:10" x14ac:dyDescent="0.2">
      <c r="I10671" s="1125"/>
      <c r="J10671" s="1125"/>
    </row>
    <row r="10672" spans="9:10" x14ac:dyDescent="0.2">
      <c r="I10672" s="1125"/>
      <c r="J10672" s="1125"/>
    </row>
    <row r="10673" spans="9:10" x14ac:dyDescent="0.2">
      <c r="I10673" s="1125"/>
      <c r="J10673" s="1125"/>
    </row>
    <row r="10674" spans="9:10" x14ac:dyDescent="0.2">
      <c r="I10674" s="1125"/>
      <c r="J10674" s="1125"/>
    </row>
    <row r="10675" spans="9:10" x14ac:dyDescent="0.2">
      <c r="I10675" s="1125"/>
      <c r="J10675" s="1125"/>
    </row>
    <row r="10676" spans="9:10" x14ac:dyDescent="0.2">
      <c r="I10676" s="1125"/>
      <c r="J10676" s="1125"/>
    </row>
    <row r="10677" spans="9:10" x14ac:dyDescent="0.2">
      <c r="I10677" s="1125"/>
      <c r="J10677" s="1125"/>
    </row>
    <row r="10678" spans="9:10" x14ac:dyDescent="0.2">
      <c r="I10678" s="1125"/>
      <c r="J10678" s="1125"/>
    </row>
    <row r="10679" spans="9:10" x14ac:dyDescent="0.2">
      <c r="I10679" s="1125"/>
      <c r="J10679" s="1125"/>
    </row>
    <row r="10680" spans="9:10" x14ac:dyDescent="0.2">
      <c r="I10680" s="1125"/>
      <c r="J10680" s="1125"/>
    </row>
    <row r="10681" spans="9:10" x14ac:dyDescent="0.2">
      <c r="I10681" s="1125"/>
      <c r="J10681" s="1125"/>
    </row>
    <row r="10682" spans="9:10" x14ac:dyDescent="0.2">
      <c r="I10682" s="1125"/>
      <c r="J10682" s="1125"/>
    </row>
    <row r="10683" spans="9:10" x14ac:dyDescent="0.2">
      <c r="I10683" s="1125"/>
      <c r="J10683" s="1125"/>
    </row>
    <row r="10684" spans="9:10" x14ac:dyDescent="0.2">
      <c r="I10684" s="1125"/>
      <c r="J10684" s="1125"/>
    </row>
    <row r="10685" spans="9:10" x14ac:dyDescent="0.2">
      <c r="I10685" s="1125"/>
      <c r="J10685" s="1125"/>
    </row>
    <row r="10686" spans="9:10" x14ac:dyDescent="0.2">
      <c r="I10686" s="1125"/>
      <c r="J10686" s="1125"/>
    </row>
    <row r="10687" spans="9:10" x14ac:dyDescent="0.2">
      <c r="I10687" s="1125"/>
      <c r="J10687" s="1125"/>
    </row>
    <row r="10688" spans="9:10" x14ac:dyDescent="0.2">
      <c r="I10688" s="1125"/>
      <c r="J10688" s="1125"/>
    </row>
    <row r="10689" spans="9:10" x14ac:dyDescent="0.2">
      <c r="I10689" s="1125"/>
      <c r="J10689" s="1125"/>
    </row>
    <row r="10690" spans="9:10" x14ac:dyDescent="0.2">
      <c r="I10690" s="1125"/>
      <c r="J10690" s="1125"/>
    </row>
    <row r="10691" spans="9:10" x14ac:dyDescent="0.2">
      <c r="I10691" s="1125"/>
      <c r="J10691" s="1125"/>
    </row>
    <row r="10692" spans="9:10" x14ac:dyDescent="0.2">
      <c r="I10692" s="1125"/>
      <c r="J10692" s="1125"/>
    </row>
    <row r="10693" spans="9:10" x14ac:dyDescent="0.2">
      <c r="I10693" s="1125"/>
      <c r="J10693" s="1125"/>
    </row>
    <row r="10694" spans="9:10" x14ac:dyDescent="0.2">
      <c r="I10694" s="1125"/>
      <c r="J10694" s="1125"/>
    </row>
    <row r="10695" spans="9:10" x14ac:dyDescent="0.2">
      <c r="I10695" s="1125"/>
      <c r="J10695" s="1125"/>
    </row>
    <row r="10696" spans="9:10" x14ac:dyDescent="0.2">
      <c r="I10696" s="1125"/>
      <c r="J10696" s="1125"/>
    </row>
    <row r="10697" spans="9:10" x14ac:dyDescent="0.2">
      <c r="I10697" s="1125"/>
      <c r="J10697" s="1125"/>
    </row>
    <row r="10698" spans="9:10" x14ac:dyDescent="0.2">
      <c r="I10698" s="1125"/>
      <c r="J10698" s="1125"/>
    </row>
    <row r="10699" spans="9:10" x14ac:dyDescent="0.2">
      <c r="I10699" s="1125"/>
      <c r="J10699" s="1125"/>
    </row>
    <row r="10700" spans="9:10" x14ac:dyDescent="0.2">
      <c r="I10700" s="1125"/>
      <c r="J10700" s="1125"/>
    </row>
    <row r="10701" spans="9:10" x14ac:dyDescent="0.2">
      <c r="I10701" s="1125"/>
      <c r="J10701" s="1125"/>
    </row>
    <row r="10702" spans="9:10" x14ac:dyDescent="0.2">
      <c r="I10702" s="1125"/>
      <c r="J10702" s="1125"/>
    </row>
    <row r="10703" spans="9:10" x14ac:dyDescent="0.2">
      <c r="I10703" s="1125"/>
      <c r="J10703" s="1125"/>
    </row>
    <row r="10704" spans="9:10" x14ac:dyDescent="0.2">
      <c r="I10704" s="1125"/>
      <c r="J10704" s="1125"/>
    </row>
    <row r="10705" spans="9:10" x14ac:dyDescent="0.2">
      <c r="I10705" s="1125"/>
      <c r="J10705" s="1125"/>
    </row>
    <row r="10706" spans="9:10" x14ac:dyDescent="0.2">
      <c r="I10706" s="1125"/>
      <c r="J10706" s="1125"/>
    </row>
    <row r="10707" spans="9:10" x14ac:dyDescent="0.2">
      <c r="I10707" s="1125"/>
      <c r="J10707" s="1125"/>
    </row>
    <row r="10708" spans="9:10" x14ac:dyDescent="0.2">
      <c r="I10708" s="1125"/>
      <c r="J10708" s="1125"/>
    </row>
    <row r="10709" spans="9:10" x14ac:dyDescent="0.2">
      <c r="I10709" s="1125"/>
      <c r="J10709" s="1125"/>
    </row>
    <row r="10710" spans="9:10" x14ac:dyDescent="0.2">
      <c r="I10710" s="1125"/>
      <c r="J10710" s="1125"/>
    </row>
    <row r="10711" spans="9:10" x14ac:dyDescent="0.2">
      <c r="I10711" s="1125"/>
      <c r="J10711" s="1125"/>
    </row>
    <row r="10712" spans="9:10" x14ac:dyDescent="0.2">
      <c r="I10712" s="1125"/>
      <c r="J10712" s="1125"/>
    </row>
    <row r="10713" spans="9:10" x14ac:dyDescent="0.2">
      <c r="I10713" s="1125"/>
      <c r="J10713" s="1125"/>
    </row>
    <row r="10714" spans="9:10" x14ac:dyDescent="0.2">
      <c r="I10714" s="1125"/>
      <c r="J10714" s="1125"/>
    </row>
    <row r="10715" spans="9:10" x14ac:dyDescent="0.2">
      <c r="I10715" s="1125"/>
      <c r="J10715" s="1125"/>
    </row>
    <row r="10716" spans="9:10" x14ac:dyDescent="0.2">
      <c r="I10716" s="1125"/>
      <c r="J10716" s="1125"/>
    </row>
    <row r="10717" spans="9:10" x14ac:dyDescent="0.2">
      <c r="I10717" s="1125"/>
      <c r="J10717" s="1125"/>
    </row>
    <row r="10718" spans="9:10" x14ac:dyDescent="0.2">
      <c r="I10718" s="1125"/>
      <c r="J10718" s="1125"/>
    </row>
    <row r="10719" spans="9:10" x14ac:dyDescent="0.2">
      <c r="I10719" s="1125"/>
      <c r="J10719" s="1125"/>
    </row>
    <row r="10720" spans="9:10" x14ac:dyDescent="0.2">
      <c r="I10720" s="1125"/>
      <c r="J10720" s="1125"/>
    </row>
    <row r="10721" spans="9:10" x14ac:dyDescent="0.2">
      <c r="I10721" s="1125"/>
      <c r="J10721" s="1125"/>
    </row>
    <row r="10722" spans="9:10" x14ac:dyDescent="0.2">
      <c r="I10722" s="1125"/>
      <c r="J10722" s="1125"/>
    </row>
    <row r="10723" spans="9:10" x14ac:dyDescent="0.2">
      <c r="I10723" s="1125"/>
      <c r="J10723" s="1125"/>
    </row>
    <row r="10724" spans="9:10" x14ac:dyDescent="0.2">
      <c r="I10724" s="1125"/>
      <c r="J10724" s="1125"/>
    </row>
    <row r="10725" spans="9:10" x14ac:dyDescent="0.2">
      <c r="I10725" s="1125"/>
      <c r="J10725" s="1125"/>
    </row>
    <row r="10726" spans="9:10" x14ac:dyDescent="0.2">
      <c r="I10726" s="1125"/>
      <c r="J10726" s="1125"/>
    </row>
    <row r="10727" spans="9:10" x14ac:dyDescent="0.2">
      <c r="I10727" s="1125"/>
      <c r="J10727" s="1125"/>
    </row>
    <row r="10728" spans="9:10" x14ac:dyDescent="0.2">
      <c r="I10728" s="1125"/>
      <c r="J10728" s="1125"/>
    </row>
    <row r="10729" spans="9:10" x14ac:dyDescent="0.2">
      <c r="I10729" s="1125"/>
      <c r="J10729" s="1125"/>
    </row>
    <row r="10730" spans="9:10" x14ac:dyDescent="0.2">
      <c r="I10730" s="1125"/>
      <c r="J10730" s="1125"/>
    </row>
    <row r="10731" spans="9:10" x14ac:dyDescent="0.2">
      <c r="I10731" s="1125"/>
      <c r="J10731" s="1125"/>
    </row>
    <row r="10732" spans="9:10" x14ac:dyDescent="0.2">
      <c r="I10732" s="1125"/>
      <c r="J10732" s="1125"/>
    </row>
    <row r="10733" spans="9:10" x14ac:dyDescent="0.2">
      <c r="I10733" s="1125"/>
      <c r="J10733" s="1125"/>
    </row>
    <row r="10734" spans="9:10" x14ac:dyDescent="0.2">
      <c r="I10734" s="1125"/>
      <c r="J10734" s="1125"/>
    </row>
    <row r="10735" spans="9:10" x14ac:dyDescent="0.2">
      <c r="I10735" s="1125"/>
      <c r="J10735" s="1125"/>
    </row>
    <row r="10736" spans="9:10" x14ac:dyDescent="0.2">
      <c r="I10736" s="1125"/>
      <c r="J10736" s="1125"/>
    </row>
    <row r="10737" spans="9:10" x14ac:dyDescent="0.2">
      <c r="I10737" s="1125"/>
      <c r="J10737" s="1125"/>
    </row>
    <row r="10738" spans="9:10" x14ac:dyDescent="0.2">
      <c r="I10738" s="1125"/>
      <c r="J10738" s="1125"/>
    </row>
    <row r="10739" spans="9:10" x14ac:dyDescent="0.2">
      <c r="I10739" s="1125"/>
      <c r="J10739" s="1125"/>
    </row>
    <row r="10740" spans="9:10" x14ac:dyDescent="0.2">
      <c r="I10740" s="1125"/>
      <c r="J10740" s="1125"/>
    </row>
    <row r="10741" spans="9:10" x14ac:dyDescent="0.2">
      <c r="I10741" s="1125"/>
      <c r="J10741" s="1125"/>
    </row>
    <row r="10742" spans="9:10" x14ac:dyDescent="0.2">
      <c r="I10742" s="1125"/>
      <c r="J10742" s="1125"/>
    </row>
    <row r="10743" spans="9:10" x14ac:dyDescent="0.2">
      <c r="I10743" s="1125"/>
      <c r="J10743" s="1125"/>
    </row>
    <row r="10744" spans="9:10" x14ac:dyDescent="0.2">
      <c r="I10744" s="1125"/>
      <c r="J10744" s="1125"/>
    </row>
    <row r="10745" spans="9:10" x14ac:dyDescent="0.2">
      <c r="I10745" s="1125"/>
      <c r="J10745" s="1125"/>
    </row>
    <row r="10746" spans="9:10" x14ac:dyDescent="0.2">
      <c r="I10746" s="1125"/>
      <c r="J10746" s="1125"/>
    </row>
    <row r="10747" spans="9:10" x14ac:dyDescent="0.2">
      <c r="I10747" s="1125"/>
      <c r="J10747" s="1125"/>
    </row>
    <row r="10748" spans="9:10" x14ac:dyDescent="0.2">
      <c r="I10748" s="1125"/>
      <c r="J10748" s="1125"/>
    </row>
    <row r="10749" spans="9:10" x14ac:dyDescent="0.2">
      <c r="I10749" s="1125"/>
      <c r="J10749" s="1125"/>
    </row>
    <row r="10750" spans="9:10" x14ac:dyDescent="0.2">
      <c r="I10750" s="1125"/>
      <c r="J10750" s="1125"/>
    </row>
    <row r="10751" spans="9:10" x14ac:dyDescent="0.2">
      <c r="I10751" s="1125"/>
      <c r="J10751" s="1125"/>
    </row>
    <row r="10752" spans="9:10" x14ac:dyDescent="0.2">
      <c r="I10752" s="1125"/>
      <c r="J10752" s="1125"/>
    </row>
    <row r="10753" spans="9:10" x14ac:dyDescent="0.2">
      <c r="I10753" s="1125"/>
      <c r="J10753" s="1125"/>
    </row>
    <row r="10754" spans="9:10" x14ac:dyDescent="0.2">
      <c r="I10754" s="1125"/>
      <c r="J10754" s="1125"/>
    </row>
    <row r="10755" spans="9:10" x14ac:dyDescent="0.2">
      <c r="I10755" s="1125"/>
      <c r="J10755" s="1125"/>
    </row>
    <row r="10756" spans="9:10" x14ac:dyDescent="0.2">
      <c r="I10756" s="1125"/>
      <c r="J10756" s="1125"/>
    </row>
    <row r="10757" spans="9:10" x14ac:dyDescent="0.2">
      <c r="I10757" s="1125"/>
      <c r="J10757" s="1125"/>
    </row>
    <row r="10758" spans="9:10" x14ac:dyDescent="0.2">
      <c r="I10758" s="1125"/>
      <c r="J10758" s="1125"/>
    </row>
    <row r="10759" spans="9:10" x14ac:dyDescent="0.2">
      <c r="I10759" s="1125"/>
      <c r="J10759" s="1125"/>
    </row>
    <row r="10760" spans="9:10" x14ac:dyDescent="0.2">
      <c r="I10760" s="1125"/>
      <c r="J10760" s="1125"/>
    </row>
    <row r="10761" spans="9:10" x14ac:dyDescent="0.2">
      <c r="I10761" s="1125"/>
      <c r="J10761" s="1125"/>
    </row>
    <row r="10762" spans="9:10" x14ac:dyDescent="0.2">
      <c r="I10762" s="1125"/>
      <c r="J10762" s="1125"/>
    </row>
    <row r="10763" spans="9:10" x14ac:dyDescent="0.2">
      <c r="I10763" s="1125"/>
      <c r="J10763" s="1125"/>
    </row>
    <row r="10764" spans="9:10" x14ac:dyDescent="0.2">
      <c r="I10764" s="1125"/>
      <c r="J10764" s="1125"/>
    </row>
    <row r="10765" spans="9:10" x14ac:dyDescent="0.2">
      <c r="I10765" s="1125"/>
      <c r="J10765" s="1125"/>
    </row>
    <row r="10766" spans="9:10" x14ac:dyDescent="0.2">
      <c r="I10766" s="1125"/>
      <c r="J10766" s="1125"/>
    </row>
    <row r="10767" spans="9:10" x14ac:dyDescent="0.2">
      <c r="I10767" s="1125"/>
      <c r="J10767" s="1125"/>
    </row>
    <row r="10768" spans="9:10" x14ac:dyDescent="0.2">
      <c r="I10768" s="1125"/>
      <c r="J10768" s="1125"/>
    </row>
    <row r="10769" spans="9:10" x14ac:dyDescent="0.2">
      <c r="I10769" s="1125"/>
      <c r="J10769" s="1125"/>
    </row>
    <row r="10770" spans="9:10" x14ac:dyDescent="0.2">
      <c r="I10770" s="1125"/>
      <c r="J10770" s="1125"/>
    </row>
    <row r="10771" spans="9:10" x14ac:dyDescent="0.2">
      <c r="I10771" s="1125"/>
      <c r="J10771" s="1125"/>
    </row>
    <row r="10772" spans="9:10" x14ac:dyDescent="0.2">
      <c r="I10772" s="1125"/>
      <c r="J10772" s="1125"/>
    </row>
    <row r="10773" spans="9:10" x14ac:dyDescent="0.2">
      <c r="I10773" s="1125"/>
      <c r="J10773" s="1125"/>
    </row>
    <row r="10774" spans="9:10" x14ac:dyDescent="0.2">
      <c r="I10774" s="1125"/>
      <c r="J10774" s="1125"/>
    </row>
    <row r="10775" spans="9:10" x14ac:dyDescent="0.2">
      <c r="I10775" s="1125"/>
      <c r="J10775" s="1125"/>
    </row>
    <row r="10776" spans="9:10" x14ac:dyDescent="0.2">
      <c r="I10776" s="1125"/>
      <c r="J10776" s="1125"/>
    </row>
    <row r="10777" spans="9:10" x14ac:dyDescent="0.2">
      <c r="I10777" s="1125"/>
      <c r="J10777" s="1125"/>
    </row>
    <row r="10778" spans="9:10" x14ac:dyDescent="0.2">
      <c r="I10778" s="1125"/>
      <c r="J10778" s="1125"/>
    </row>
    <row r="10779" spans="9:10" x14ac:dyDescent="0.2">
      <c r="I10779" s="1125"/>
      <c r="J10779" s="1125"/>
    </row>
    <row r="10780" spans="9:10" x14ac:dyDescent="0.2">
      <c r="I10780" s="1125"/>
      <c r="J10780" s="1125"/>
    </row>
    <row r="10781" spans="9:10" x14ac:dyDescent="0.2">
      <c r="I10781" s="1125"/>
      <c r="J10781" s="1125"/>
    </row>
    <row r="10782" spans="9:10" x14ac:dyDescent="0.2">
      <c r="I10782" s="1125"/>
      <c r="J10782" s="1125"/>
    </row>
    <row r="10783" spans="9:10" x14ac:dyDescent="0.2">
      <c r="I10783" s="1125"/>
      <c r="J10783" s="1125"/>
    </row>
    <row r="10784" spans="9:10" x14ac:dyDescent="0.2">
      <c r="I10784" s="1125"/>
      <c r="J10784" s="1125"/>
    </row>
    <row r="10785" spans="9:10" x14ac:dyDescent="0.2">
      <c r="I10785" s="1125"/>
      <c r="J10785" s="1125"/>
    </row>
    <row r="10786" spans="9:10" x14ac:dyDescent="0.2">
      <c r="I10786" s="1125"/>
      <c r="J10786" s="1125"/>
    </row>
    <row r="10787" spans="9:10" x14ac:dyDescent="0.2">
      <c r="I10787" s="1125"/>
      <c r="J10787" s="1125"/>
    </row>
    <row r="10788" spans="9:10" x14ac:dyDescent="0.2">
      <c r="I10788" s="1125"/>
      <c r="J10788" s="1125"/>
    </row>
    <row r="10789" spans="9:10" x14ac:dyDescent="0.2">
      <c r="I10789" s="1125"/>
      <c r="J10789" s="1125"/>
    </row>
    <row r="10790" spans="9:10" x14ac:dyDescent="0.2">
      <c r="I10790" s="1125"/>
      <c r="J10790" s="1125"/>
    </row>
    <row r="10791" spans="9:10" x14ac:dyDescent="0.2">
      <c r="I10791" s="1125"/>
      <c r="J10791" s="1125"/>
    </row>
    <row r="10792" spans="9:10" x14ac:dyDescent="0.2">
      <c r="I10792" s="1125"/>
      <c r="J10792" s="1125"/>
    </row>
    <row r="10793" spans="9:10" x14ac:dyDescent="0.2">
      <c r="I10793" s="1125"/>
      <c r="J10793" s="1125"/>
    </row>
    <row r="10794" spans="9:10" x14ac:dyDescent="0.2">
      <c r="I10794" s="1125"/>
      <c r="J10794" s="1125"/>
    </row>
    <row r="10795" spans="9:10" x14ac:dyDescent="0.2">
      <c r="I10795" s="1125"/>
      <c r="J10795" s="1125"/>
    </row>
    <row r="10796" spans="9:10" x14ac:dyDescent="0.2">
      <c r="I10796" s="1125"/>
      <c r="J10796" s="1125"/>
    </row>
    <row r="10797" spans="9:10" x14ac:dyDescent="0.2">
      <c r="I10797" s="1125"/>
      <c r="J10797" s="1125"/>
    </row>
    <row r="10798" spans="9:10" x14ac:dyDescent="0.2">
      <c r="I10798" s="1125"/>
      <c r="J10798" s="1125"/>
    </row>
    <row r="10799" spans="9:10" x14ac:dyDescent="0.2">
      <c r="I10799" s="1125"/>
      <c r="J10799" s="1125"/>
    </row>
    <row r="10800" spans="9:10" x14ac:dyDescent="0.2">
      <c r="I10800" s="1125"/>
      <c r="J10800" s="1125"/>
    </row>
    <row r="10801" spans="9:10" x14ac:dyDescent="0.2">
      <c r="I10801" s="1125"/>
      <c r="J10801" s="1125"/>
    </row>
    <row r="10802" spans="9:10" x14ac:dyDescent="0.2">
      <c r="I10802" s="1125"/>
      <c r="J10802" s="1125"/>
    </row>
    <row r="10803" spans="9:10" x14ac:dyDescent="0.2">
      <c r="I10803" s="1125"/>
      <c r="J10803" s="1125"/>
    </row>
    <row r="10804" spans="9:10" x14ac:dyDescent="0.2">
      <c r="I10804" s="1125"/>
      <c r="J10804" s="1125"/>
    </row>
    <row r="10805" spans="9:10" x14ac:dyDescent="0.2">
      <c r="I10805" s="1125"/>
      <c r="J10805" s="1125"/>
    </row>
    <row r="10806" spans="9:10" x14ac:dyDescent="0.2">
      <c r="I10806" s="1125"/>
      <c r="J10806" s="1125"/>
    </row>
    <row r="10807" spans="9:10" x14ac:dyDescent="0.2">
      <c r="I10807" s="1125"/>
      <c r="J10807" s="1125"/>
    </row>
    <row r="10808" spans="9:10" x14ac:dyDescent="0.2">
      <c r="I10808" s="1125"/>
      <c r="J10808" s="1125"/>
    </row>
    <row r="10809" spans="9:10" x14ac:dyDescent="0.2">
      <c r="I10809" s="1125"/>
      <c r="J10809" s="1125"/>
    </row>
    <row r="10810" spans="9:10" x14ac:dyDescent="0.2">
      <c r="I10810" s="1125"/>
      <c r="J10810" s="1125"/>
    </row>
    <row r="10811" spans="9:10" x14ac:dyDescent="0.2">
      <c r="I10811" s="1125"/>
      <c r="J10811" s="1125"/>
    </row>
    <row r="10812" spans="9:10" x14ac:dyDescent="0.2">
      <c r="I10812" s="1125"/>
      <c r="J10812" s="1125"/>
    </row>
    <row r="10813" spans="9:10" x14ac:dyDescent="0.2">
      <c r="I10813" s="1125"/>
      <c r="J10813" s="1125"/>
    </row>
    <row r="10814" spans="9:10" x14ac:dyDescent="0.2">
      <c r="I10814" s="1125"/>
      <c r="J10814" s="1125"/>
    </row>
    <row r="10815" spans="9:10" x14ac:dyDescent="0.2">
      <c r="I10815" s="1125"/>
      <c r="J10815" s="1125"/>
    </row>
    <row r="10816" spans="9:10" x14ac:dyDescent="0.2">
      <c r="I10816" s="1125"/>
      <c r="J10816" s="1125"/>
    </row>
    <row r="10817" spans="9:10" x14ac:dyDescent="0.2">
      <c r="I10817" s="1125"/>
      <c r="J10817" s="1125"/>
    </row>
    <row r="10818" spans="9:10" x14ac:dyDescent="0.2">
      <c r="I10818" s="1125"/>
      <c r="J10818" s="1125"/>
    </row>
    <row r="10819" spans="9:10" x14ac:dyDescent="0.2">
      <c r="I10819" s="1125"/>
      <c r="J10819" s="1125"/>
    </row>
    <row r="10820" spans="9:10" x14ac:dyDescent="0.2">
      <c r="I10820" s="1125"/>
      <c r="J10820" s="1125"/>
    </row>
    <row r="10821" spans="9:10" x14ac:dyDescent="0.2">
      <c r="I10821" s="1125"/>
      <c r="J10821" s="1125"/>
    </row>
    <row r="10822" spans="9:10" x14ac:dyDescent="0.2">
      <c r="I10822" s="1125"/>
      <c r="J10822" s="1125"/>
    </row>
    <row r="10823" spans="9:10" x14ac:dyDescent="0.2">
      <c r="I10823" s="1125"/>
      <c r="J10823" s="1125"/>
    </row>
    <row r="10824" spans="9:10" x14ac:dyDescent="0.2">
      <c r="I10824" s="1125"/>
      <c r="J10824" s="1125"/>
    </row>
    <row r="10825" spans="9:10" x14ac:dyDescent="0.2">
      <c r="I10825" s="1125"/>
      <c r="J10825" s="1125"/>
    </row>
    <row r="10826" spans="9:10" x14ac:dyDescent="0.2">
      <c r="I10826" s="1125"/>
      <c r="J10826" s="1125"/>
    </row>
    <row r="10827" spans="9:10" x14ac:dyDescent="0.2">
      <c r="I10827" s="1125"/>
      <c r="J10827" s="1125"/>
    </row>
    <row r="10828" spans="9:10" x14ac:dyDescent="0.2">
      <c r="I10828" s="1125"/>
      <c r="J10828" s="1125"/>
    </row>
    <row r="10829" spans="9:10" x14ac:dyDescent="0.2">
      <c r="I10829" s="1125"/>
      <c r="J10829" s="1125"/>
    </row>
    <row r="10830" spans="9:10" x14ac:dyDescent="0.2">
      <c r="I10830" s="1125"/>
      <c r="J10830" s="1125"/>
    </row>
    <row r="10831" spans="9:10" x14ac:dyDescent="0.2">
      <c r="I10831" s="1125"/>
      <c r="J10831" s="1125"/>
    </row>
    <row r="10832" spans="9:10" x14ac:dyDescent="0.2">
      <c r="I10832" s="1125"/>
      <c r="J10832" s="1125"/>
    </row>
    <row r="10833" spans="9:10" x14ac:dyDescent="0.2">
      <c r="I10833" s="1125"/>
      <c r="J10833" s="1125"/>
    </row>
    <row r="10834" spans="9:10" x14ac:dyDescent="0.2">
      <c r="I10834" s="1125"/>
      <c r="J10834" s="1125"/>
    </row>
    <row r="10835" spans="9:10" x14ac:dyDescent="0.2">
      <c r="I10835" s="1125"/>
      <c r="J10835" s="1125"/>
    </row>
    <row r="10836" spans="9:10" x14ac:dyDescent="0.2">
      <c r="I10836" s="1125"/>
      <c r="J10836" s="1125"/>
    </row>
    <row r="10837" spans="9:10" x14ac:dyDescent="0.2">
      <c r="I10837" s="1125"/>
      <c r="J10837" s="1125"/>
    </row>
    <row r="10838" spans="9:10" x14ac:dyDescent="0.2">
      <c r="I10838" s="1125"/>
      <c r="J10838" s="1125"/>
    </row>
    <row r="10839" spans="9:10" x14ac:dyDescent="0.2">
      <c r="I10839" s="1125"/>
      <c r="J10839" s="1125"/>
    </row>
    <row r="10840" spans="9:10" x14ac:dyDescent="0.2">
      <c r="I10840" s="1125"/>
      <c r="J10840" s="1125"/>
    </row>
    <row r="10841" spans="9:10" x14ac:dyDescent="0.2">
      <c r="I10841" s="1125"/>
      <c r="J10841" s="1125"/>
    </row>
    <row r="10842" spans="9:10" x14ac:dyDescent="0.2">
      <c r="I10842" s="1125"/>
      <c r="J10842" s="1125"/>
    </row>
    <row r="10843" spans="9:10" x14ac:dyDescent="0.2">
      <c r="I10843" s="1125"/>
      <c r="J10843" s="1125"/>
    </row>
    <row r="10844" spans="9:10" x14ac:dyDescent="0.2">
      <c r="I10844" s="1125"/>
      <c r="J10844" s="1125"/>
    </row>
    <row r="10845" spans="9:10" x14ac:dyDescent="0.2">
      <c r="I10845" s="1125"/>
      <c r="J10845" s="1125"/>
    </row>
    <row r="10846" spans="9:10" x14ac:dyDescent="0.2">
      <c r="I10846" s="1125"/>
      <c r="J10846" s="1125"/>
    </row>
    <row r="10847" spans="9:10" x14ac:dyDescent="0.2">
      <c r="I10847" s="1125"/>
      <c r="J10847" s="1125"/>
    </row>
    <row r="10848" spans="9:10" x14ac:dyDescent="0.2">
      <c r="I10848" s="1125"/>
      <c r="J10848" s="1125"/>
    </row>
    <row r="10849" spans="9:10" x14ac:dyDescent="0.2">
      <c r="I10849" s="1125"/>
      <c r="J10849" s="1125"/>
    </row>
    <row r="10850" spans="9:10" x14ac:dyDescent="0.2">
      <c r="I10850" s="1125"/>
      <c r="J10850" s="1125"/>
    </row>
    <row r="10851" spans="9:10" x14ac:dyDescent="0.2">
      <c r="I10851" s="1125"/>
      <c r="J10851" s="1125"/>
    </row>
    <row r="10852" spans="9:10" x14ac:dyDescent="0.2">
      <c r="I10852" s="1125"/>
      <c r="J10852" s="1125"/>
    </row>
    <row r="10853" spans="9:10" x14ac:dyDescent="0.2">
      <c r="I10853" s="1125"/>
      <c r="J10853" s="1125"/>
    </row>
    <row r="10854" spans="9:10" x14ac:dyDescent="0.2">
      <c r="I10854" s="1125"/>
      <c r="J10854" s="1125"/>
    </row>
    <row r="10855" spans="9:10" x14ac:dyDescent="0.2">
      <c r="I10855" s="1125"/>
      <c r="J10855" s="1125"/>
    </row>
    <row r="10856" spans="9:10" x14ac:dyDescent="0.2">
      <c r="I10856" s="1125"/>
      <c r="J10856" s="1125"/>
    </row>
    <row r="10857" spans="9:10" x14ac:dyDescent="0.2">
      <c r="I10857" s="1125"/>
      <c r="J10857" s="1125"/>
    </row>
    <row r="10858" spans="9:10" x14ac:dyDescent="0.2">
      <c r="I10858" s="1125"/>
      <c r="J10858" s="1125"/>
    </row>
    <row r="10859" spans="9:10" x14ac:dyDescent="0.2">
      <c r="I10859" s="1125"/>
      <c r="J10859" s="1125"/>
    </row>
    <row r="10860" spans="9:10" x14ac:dyDescent="0.2">
      <c r="I10860" s="1125"/>
      <c r="J10860" s="1125"/>
    </row>
    <row r="10861" spans="9:10" x14ac:dyDescent="0.2">
      <c r="I10861" s="1125"/>
      <c r="J10861" s="1125"/>
    </row>
    <row r="10862" spans="9:10" x14ac:dyDescent="0.2">
      <c r="I10862" s="1125"/>
      <c r="J10862" s="1125"/>
    </row>
    <row r="10863" spans="9:10" x14ac:dyDescent="0.2">
      <c r="I10863" s="1125"/>
      <c r="J10863" s="1125"/>
    </row>
    <row r="10864" spans="9:10" x14ac:dyDescent="0.2">
      <c r="I10864" s="1125"/>
      <c r="J10864" s="1125"/>
    </row>
    <row r="10865" spans="9:10" x14ac:dyDescent="0.2">
      <c r="I10865" s="1125"/>
      <c r="J10865" s="1125"/>
    </row>
    <row r="10866" spans="9:10" x14ac:dyDescent="0.2">
      <c r="I10866" s="1125"/>
      <c r="J10866" s="1125"/>
    </row>
    <row r="10867" spans="9:10" x14ac:dyDescent="0.2">
      <c r="I10867" s="1125"/>
      <c r="J10867" s="1125"/>
    </row>
    <row r="10868" spans="9:10" x14ac:dyDescent="0.2">
      <c r="I10868" s="1125"/>
      <c r="J10868" s="1125"/>
    </row>
    <row r="10869" spans="9:10" x14ac:dyDescent="0.2">
      <c r="I10869" s="1125"/>
      <c r="J10869" s="1125"/>
    </row>
    <row r="10870" spans="9:10" x14ac:dyDescent="0.2">
      <c r="I10870" s="1125"/>
      <c r="J10870" s="1125"/>
    </row>
    <row r="10871" spans="9:10" x14ac:dyDescent="0.2">
      <c r="I10871" s="1125"/>
      <c r="J10871" s="1125"/>
    </row>
    <row r="10872" spans="9:10" x14ac:dyDescent="0.2">
      <c r="I10872" s="1125"/>
      <c r="J10872" s="1125"/>
    </row>
    <row r="10873" spans="9:10" x14ac:dyDescent="0.2">
      <c r="I10873" s="1125"/>
      <c r="J10873" s="1125"/>
    </row>
    <row r="10874" spans="9:10" x14ac:dyDescent="0.2">
      <c r="I10874" s="1125"/>
      <c r="J10874" s="1125"/>
    </row>
    <row r="10875" spans="9:10" x14ac:dyDescent="0.2">
      <c r="I10875" s="1125"/>
      <c r="J10875" s="1125"/>
    </row>
    <row r="10876" spans="9:10" x14ac:dyDescent="0.2">
      <c r="I10876" s="1125"/>
      <c r="J10876" s="1125"/>
    </row>
    <row r="10877" spans="9:10" x14ac:dyDescent="0.2">
      <c r="I10877" s="1125"/>
      <c r="J10877" s="1125"/>
    </row>
    <row r="10878" spans="9:10" x14ac:dyDescent="0.2">
      <c r="I10878" s="1125"/>
      <c r="J10878" s="1125"/>
    </row>
    <row r="10879" spans="9:10" x14ac:dyDescent="0.2">
      <c r="I10879" s="1125"/>
      <c r="J10879" s="1125"/>
    </row>
    <row r="10880" spans="9:10" x14ac:dyDescent="0.2">
      <c r="I10880" s="1125"/>
      <c r="J10880" s="1125"/>
    </row>
    <row r="10881" spans="9:10" x14ac:dyDescent="0.2">
      <c r="I10881" s="1125"/>
      <c r="J10881" s="1125"/>
    </row>
    <row r="10882" spans="9:10" x14ac:dyDescent="0.2">
      <c r="I10882" s="1125"/>
      <c r="J10882" s="1125"/>
    </row>
    <row r="10883" spans="9:10" x14ac:dyDescent="0.2">
      <c r="I10883" s="1125"/>
      <c r="J10883" s="1125"/>
    </row>
    <row r="10884" spans="9:10" x14ac:dyDescent="0.2">
      <c r="I10884" s="1125"/>
      <c r="J10884" s="1125"/>
    </row>
    <row r="10885" spans="9:10" x14ac:dyDescent="0.2">
      <c r="I10885" s="1125"/>
      <c r="J10885" s="1125"/>
    </row>
    <row r="10886" spans="9:10" x14ac:dyDescent="0.2">
      <c r="I10886" s="1125"/>
      <c r="J10886" s="1125"/>
    </row>
    <row r="10887" spans="9:10" x14ac:dyDescent="0.2">
      <c r="I10887" s="1125"/>
      <c r="J10887" s="1125"/>
    </row>
    <row r="10888" spans="9:10" x14ac:dyDescent="0.2">
      <c r="I10888" s="1125"/>
      <c r="J10888" s="1125"/>
    </row>
    <row r="10889" spans="9:10" x14ac:dyDescent="0.2">
      <c r="I10889" s="1125"/>
      <c r="J10889" s="1125"/>
    </row>
    <row r="10890" spans="9:10" x14ac:dyDescent="0.2">
      <c r="I10890" s="1125"/>
      <c r="J10890" s="1125"/>
    </row>
    <row r="10891" spans="9:10" x14ac:dyDescent="0.2">
      <c r="I10891" s="1125"/>
      <c r="J10891" s="1125"/>
    </row>
    <row r="10892" spans="9:10" x14ac:dyDescent="0.2">
      <c r="I10892" s="1125"/>
      <c r="J10892" s="1125"/>
    </row>
    <row r="10893" spans="9:10" x14ac:dyDescent="0.2">
      <c r="I10893" s="1125"/>
      <c r="J10893" s="1125"/>
    </row>
    <row r="10894" spans="9:10" x14ac:dyDescent="0.2">
      <c r="I10894" s="1125"/>
      <c r="J10894" s="1125"/>
    </row>
    <row r="10895" spans="9:10" x14ac:dyDescent="0.2">
      <c r="I10895" s="1125"/>
      <c r="J10895" s="1125"/>
    </row>
    <row r="10896" spans="9:10" x14ac:dyDescent="0.2">
      <c r="I10896" s="1125"/>
      <c r="J10896" s="1125"/>
    </row>
    <row r="10897" spans="9:10" x14ac:dyDescent="0.2">
      <c r="I10897" s="1125"/>
      <c r="J10897" s="1125"/>
    </row>
    <row r="10898" spans="9:10" x14ac:dyDescent="0.2">
      <c r="I10898" s="1125"/>
      <c r="J10898" s="1125"/>
    </row>
    <row r="10899" spans="9:10" x14ac:dyDescent="0.2">
      <c r="I10899" s="1125"/>
      <c r="J10899" s="1125"/>
    </row>
    <row r="10900" spans="9:10" x14ac:dyDescent="0.2">
      <c r="I10900" s="1125"/>
      <c r="J10900" s="1125"/>
    </row>
    <row r="10901" spans="9:10" x14ac:dyDescent="0.2">
      <c r="I10901" s="1125"/>
      <c r="J10901" s="1125"/>
    </row>
    <row r="10902" spans="9:10" x14ac:dyDescent="0.2">
      <c r="I10902" s="1125"/>
      <c r="J10902" s="1125"/>
    </row>
    <row r="10903" spans="9:10" x14ac:dyDescent="0.2">
      <c r="I10903" s="1125"/>
      <c r="J10903" s="1125"/>
    </row>
    <row r="10904" spans="9:10" x14ac:dyDescent="0.2">
      <c r="I10904" s="1125"/>
      <c r="J10904" s="1125"/>
    </row>
    <row r="10905" spans="9:10" x14ac:dyDescent="0.2">
      <c r="I10905" s="1125"/>
      <c r="J10905" s="1125"/>
    </row>
    <row r="10906" spans="9:10" x14ac:dyDescent="0.2">
      <c r="I10906" s="1125"/>
      <c r="J10906" s="1125"/>
    </row>
    <row r="10907" spans="9:10" x14ac:dyDescent="0.2">
      <c r="I10907" s="1125"/>
      <c r="J10907" s="1125"/>
    </row>
    <row r="10908" spans="9:10" x14ac:dyDescent="0.2">
      <c r="I10908" s="1125"/>
      <c r="J10908" s="1125"/>
    </row>
    <row r="10909" spans="9:10" x14ac:dyDescent="0.2">
      <c r="I10909" s="1125"/>
      <c r="J10909" s="1125"/>
    </row>
    <row r="10910" spans="9:10" x14ac:dyDescent="0.2">
      <c r="I10910" s="1125"/>
      <c r="J10910" s="1125"/>
    </row>
    <row r="10911" spans="9:10" x14ac:dyDescent="0.2">
      <c r="I10911" s="1125"/>
      <c r="J10911" s="1125"/>
    </row>
    <row r="10912" spans="9:10" x14ac:dyDescent="0.2">
      <c r="I10912" s="1125"/>
      <c r="J10912" s="1125"/>
    </row>
    <row r="10913" spans="9:10" x14ac:dyDescent="0.2">
      <c r="I10913" s="1125"/>
      <c r="J10913" s="1125"/>
    </row>
    <row r="10914" spans="9:10" x14ac:dyDescent="0.2">
      <c r="I10914" s="1125"/>
      <c r="J10914" s="1125"/>
    </row>
    <row r="10915" spans="9:10" x14ac:dyDescent="0.2">
      <c r="I10915" s="1125"/>
      <c r="J10915" s="1125"/>
    </row>
    <row r="10916" spans="9:10" x14ac:dyDescent="0.2">
      <c r="I10916" s="1125"/>
      <c r="J10916" s="1125"/>
    </row>
    <row r="10917" spans="9:10" x14ac:dyDescent="0.2">
      <c r="I10917" s="1125"/>
      <c r="J10917" s="1125"/>
    </row>
    <row r="10918" spans="9:10" x14ac:dyDescent="0.2">
      <c r="I10918" s="1125"/>
      <c r="J10918" s="1125"/>
    </row>
    <row r="10919" spans="9:10" x14ac:dyDescent="0.2">
      <c r="I10919" s="1125"/>
      <c r="J10919" s="1125"/>
    </row>
    <row r="10920" spans="9:10" x14ac:dyDescent="0.2">
      <c r="I10920" s="1125"/>
      <c r="J10920" s="1125"/>
    </row>
    <row r="10921" spans="9:10" x14ac:dyDescent="0.2">
      <c r="I10921" s="1125"/>
      <c r="J10921" s="1125"/>
    </row>
    <row r="10922" spans="9:10" x14ac:dyDescent="0.2">
      <c r="I10922" s="1125"/>
      <c r="J10922" s="1125"/>
    </row>
    <row r="10923" spans="9:10" x14ac:dyDescent="0.2">
      <c r="I10923" s="1125"/>
      <c r="J10923" s="1125"/>
    </row>
    <row r="10924" spans="9:10" x14ac:dyDescent="0.2">
      <c r="I10924" s="1125"/>
      <c r="J10924" s="1125"/>
    </row>
    <row r="10925" spans="9:10" x14ac:dyDescent="0.2">
      <c r="I10925" s="1125"/>
      <c r="J10925" s="1125"/>
    </row>
    <row r="10926" spans="9:10" x14ac:dyDescent="0.2">
      <c r="I10926" s="1125"/>
      <c r="J10926" s="1125"/>
    </row>
    <row r="10927" spans="9:10" x14ac:dyDescent="0.2">
      <c r="I10927" s="1125"/>
      <c r="J10927" s="1125"/>
    </row>
    <row r="10928" spans="9:10" x14ac:dyDescent="0.2">
      <c r="I10928" s="1125"/>
      <c r="J10928" s="1125"/>
    </row>
    <row r="10929" spans="9:10" x14ac:dyDescent="0.2">
      <c r="I10929" s="1125"/>
      <c r="J10929" s="1125"/>
    </row>
    <row r="10930" spans="9:10" x14ac:dyDescent="0.2">
      <c r="I10930" s="1125"/>
      <c r="J10930" s="1125"/>
    </row>
    <row r="10931" spans="9:10" x14ac:dyDescent="0.2">
      <c r="I10931" s="1125"/>
      <c r="J10931" s="1125"/>
    </row>
    <row r="10932" spans="9:10" x14ac:dyDescent="0.2">
      <c r="I10932" s="1125"/>
      <c r="J10932" s="1125"/>
    </row>
    <row r="10933" spans="9:10" x14ac:dyDescent="0.2">
      <c r="I10933" s="1125"/>
      <c r="J10933" s="1125"/>
    </row>
    <row r="10934" spans="9:10" x14ac:dyDescent="0.2">
      <c r="I10934" s="1125"/>
      <c r="J10934" s="1125"/>
    </row>
    <row r="10935" spans="9:10" x14ac:dyDescent="0.2">
      <c r="I10935" s="1125"/>
      <c r="J10935" s="1125"/>
    </row>
    <row r="10936" spans="9:10" x14ac:dyDescent="0.2">
      <c r="I10936" s="1125"/>
      <c r="J10936" s="1125"/>
    </row>
    <row r="10937" spans="9:10" x14ac:dyDescent="0.2">
      <c r="I10937" s="1125"/>
      <c r="J10937" s="1125"/>
    </row>
    <row r="10938" spans="9:10" x14ac:dyDescent="0.2">
      <c r="I10938" s="1125"/>
      <c r="J10938" s="1125"/>
    </row>
    <row r="10939" spans="9:10" x14ac:dyDescent="0.2">
      <c r="I10939" s="1125"/>
      <c r="J10939" s="1125"/>
    </row>
    <row r="10940" spans="9:10" x14ac:dyDescent="0.2">
      <c r="I10940" s="1125"/>
      <c r="J10940" s="1125"/>
    </row>
    <row r="10941" spans="9:10" x14ac:dyDescent="0.2">
      <c r="I10941" s="1125"/>
      <c r="J10941" s="1125"/>
    </row>
    <row r="10942" spans="9:10" x14ac:dyDescent="0.2">
      <c r="I10942" s="1125"/>
      <c r="J10942" s="1125"/>
    </row>
    <row r="10943" spans="9:10" x14ac:dyDescent="0.2">
      <c r="I10943" s="1125"/>
      <c r="J10943" s="1125"/>
    </row>
    <row r="10944" spans="9:10" x14ac:dyDescent="0.2">
      <c r="I10944" s="1125"/>
      <c r="J10944" s="1125"/>
    </row>
    <row r="10945" spans="9:10" x14ac:dyDescent="0.2">
      <c r="I10945" s="1125"/>
      <c r="J10945" s="1125"/>
    </row>
    <row r="10946" spans="9:10" x14ac:dyDescent="0.2">
      <c r="I10946" s="1125"/>
      <c r="J10946" s="1125"/>
    </row>
    <row r="10947" spans="9:10" x14ac:dyDescent="0.2">
      <c r="I10947" s="1125"/>
      <c r="J10947" s="1125"/>
    </row>
    <row r="10948" spans="9:10" x14ac:dyDescent="0.2">
      <c r="I10948" s="1125"/>
      <c r="J10948" s="1125"/>
    </row>
    <row r="10949" spans="9:10" x14ac:dyDescent="0.2">
      <c r="I10949" s="1125"/>
      <c r="J10949" s="1125"/>
    </row>
    <row r="10950" spans="9:10" x14ac:dyDescent="0.2">
      <c r="I10950" s="1125"/>
      <c r="J10950" s="1125"/>
    </row>
    <row r="10951" spans="9:10" x14ac:dyDescent="0.2">
      <c r="I10951" s="1125"/>
      <c r="J10951" s="1125"/>
    </row>
    <row r="10952" spans="9:10" x14ac:dyDescent="0.2">
      <c r="I10952" s="1125"/>
      <c r="J10952" s="1125"/>
    </row>
    <row r="10953" spans="9:10" x14ac:dyDescent="0.2">
      <c r="I10953" s="1125"/>
      <c r="J10953" s="1125"/>
    </row>
    <row r="10954" spans="9:10" x14ac:dyDescent="0.2">
      <c r="I10954" s="1125"/>
      <c r="J10954" s="1125"/>
    </row>
    <row r="10955" spans="9:10" x14ac:dyDescent="0.2">
      <c r="I10955" s="1125"/>
      <c r="J10955" s="1125"/>
    </row>
    <row r="10956" spans="9:10" x14ac:dyDescent="0.2">
      <c r="I10956" s="1125"/>
      <c r="J10956" s="1125"/>
    </row>
    <row r="10957" spans="9:10" x14ac:dyDescent="0.2">
      <c r="I10957" s="1125"/>
      <c r="J10957" s="1125"/>
    </row>
    <row r="10958" spans="9:10" x14ac:dyDescent="0.2">
      <c r="I10958" s="1125"/>
      <c r="J10958" s="1125"/>
    </row>
    <row r="10959" spans="9:10" x14ac:dyDescent="0.2">
      <c r="I10959" s="1125"/>
      <c r="J10959" s="1125"/>
    </row>
    <row r="10960" spans="9:10" x14ac:dyDescent="0.2">
      <c r="I10960" s="1125"/>
      <c r="J10960" s="1125"/>
    </row>
    <row r="10961" spans="9:10" x14ac:dyDescent="0.2">
      <c r="I10961" s="1125"/>
      <c r="J10961" s="1125"/>
    </row>
    <row r="10962" spans="9:10" x14ac:dyDescent="0.2">
      <c r="I10962" s="1125"/>
      <c r="J10962" s="1125"/>
    </row>
    <row r="10963" spans="9:10" x14ac:dyDescent="0.2">
      <c r="I10963" s="1125"/>
      <c r="J10963" s="1125"/>
    </row>
    <row r="10964" spans="9:10" x14ac:dyDescent="0.2">
      <c r="I10964" s="1125"/>
      <c r="J10964" s="1125"/>
    </row>
    <row r="10965" spans="9:10" x14ac:dyDescent="0.2">
      <c r="I10965" s="1125"/>
      <c r="J10965" s="1125"/>
    </row>
    <row r="10966" spans="9:10" x14ac:dyDescent="0.2">
      <c r="I10966" s="1125"/>
      <c r="J10966" s="1125"/>
    </row>
    <row r="10967" spans="9:10" x14ac:dyDescent="0.2">
      <c r="I10967" s="1125"/>
      <c r="J10967" s="1125"/>
    </row>
    <row r="10968" spans="9:10" x14ac:dyDescent="0.2">
      <c r="I10968" s="1125"/>
      <c r="J10968" s="1125"/>
    </row>
    <row r="10969" spans="9:10" x14ac:dyDescent="0.2">
      <c r="I10969" s="1125"/>
      <c r="J10969" s="1125"/>
    </row>
    <row r="10970" spans="9:10" x14ac:dyDescent="0.2">
      <c r="I10970" s="1125"/>
      <c r="J10970" s="1125"/>
    </row>
    <row r="10971" spans="9:10" x14ac:dyDescent="0.2">
      <c r="I10971" s="1125"/>
      <c r="J10971" s="1125"/>
    </row>
    <row r="10972" spans="9:10" x14ac:dyDescent="0.2">
      <c r="I10972" s="1125"/>
      <c r="J10972" s="1125"/>
    </row>
    <row r="10973" spans="9:10" x14ac:dyDescent="0.2">
      <c r="I10973" s="1125"/>
      <c r="J10973" s="1125"/>
    </row>
    <row r="10974" spans="9:10" x14ac:dyDescent="0.2">
      <c r="I10974" s="1125"/>
      <c r="J10974" s="1125"/>
    </row>
    <row r="10975" spans="9:10" x14ac:dyDescent="0.2">
      <c r="I10975" s="1125"/>
      <c r="J10975" s="1125"/>
    </row>
    <row r="10976" spans="9:10" x14ac:dyDescent="0.2">
      <c r="I10976" s="1125"/>
      <c r="J10976" s="1125"/>
    </row>
    <row r="10977" spans="9:10" x14ac:dyDescent="0.2">
      <c r="I10977" s="1125"/>
      <c r="J10977" s="1125"/>
    </row>
    <row r="10978" spans="9:10" x14ac:dyDescent="0.2">
      <c r="I10978" s="1125"/>
      <c r="J10978" s="1125"/>
    </row>
    <row r="10979" spans="9:10" x14ac:dyDescent="0.2">
      <c r="I10979" s="1125"/>
      <c r="J10979" s="1125"/>
    </row>
    <row r="10980" spans="9:10" x14ac:dyDescent="0.2">
      <c r="I10980" s="1125"/>
      <c r="J10980" s="1125"/>
    </row>
    <row r="10981" spans="9:10" x14ac:dyDescent="0.2">
      <c r="I10981" s="1125"/>
      <c r="J10981" s="1125"/>
    </row>
    <row r="10982" spans="9:10" x14ac:dyDescent="0.2">
      <c r="I10982" s="1125"/>
      <c r="J10982" s="1125"/>
    </row>
    <row r="10983" spans="9:10" x14ac:dyDescent="0.2">
      <c r="I10983" s="1125"/>
      <c r="J10983" s="1125"/>
    </row>
    <row r="10984" spans="9:10" x14ac:dyDescent="0.2">
      <c r="I10984" s="1125"/>
      <c r="J10984" s="1125"/>
    </row>
    <row r="10985" spans="9:10" x14ac:dyDescent="0.2">
      <c r="I10985" s="1125"/>
      <c r="J10985" s="1125"/>
    </row>
    <row r="10986" spans="9:10" x14ac:dyDescent="0.2">
      <c r="I10986" s="1125"/>
      <c r="J10986" s="1125"/>
    </row>
    <row r="10987" spans="9:10" x14ac:dyDescent="0.2">
      <c r="I10987" s="1125"/>
      <c r="J10987" s="1125"/>
    </row>
    <row r="10988" spans="9:10" x14ac:dyDescent="0.2">
      <c r="I10988" s="1125"/>
      <c r="J10988" s="1125"/>
    </row>
    <row r="10989" spans="9:10" x14ac:dyDescent="0.2">
      <c r="I10989" s="1125"/>
      <c r="J10989" s="1125"/>
    </row>
    <row r="10990" spans="9:10" x14ac:dyDescent="0.2">
      <c r="I10990" s="1125"/>
      <c r="J10990" s="1125"/>
    </row>
    <row r="10991" spans="9:10" x14ac:dyDescent="0.2">
      <c r="I10991" s="1125"/>
      <c r="J10991" s="1125"/>
    </row>
    <row r="10992" spans="9:10" x14ac:dyDescent="0.2">
      <c r="I10992" s="1125"/>
      <c r="J10992" s="1125"/>
    </row>
    <row r="10993" spans="9:10" x14ac:dyDescent="0.2">
      <c r="I10993" s="1125"/>
      <c r="J10993" s="1125"/>
    </row>
    <row r="10994" spans="9:10" x14ac:dyDescent="0.2">
      <c r="I10994" s="1125"/>
      <c r="J10994" s="1125"/>
    </row>
    <row r="10995" spans="9:10" x14ac:dyDescent="0.2">
      <c r="I10995" s="1125"/>
      <c r="J10995" s="1125"/>
    </row>
    <row r="10996" spans="9:10" x14ac:dyDescent="0.2">
      <c r="I10996" s="1125"/>
      <c r="J10996" s="1125"/>
    </row>
    <row r="10997" spans="9:10" x14ac:dyDescent="0.2">
      <c r="I10997" s="1125"/>
      <c r="J10997" s="1125"/>
    </row>
    <row r="10998" spans="9:10" x14ac:dyDescent="0.2">
      <c r="I10998" s="1125"/>
      <c r="J10998" s="1125"/>
    </row>
    <row r="10999" spans="9:10" x14ac:dyDescent="0.2">
      <c r="I10999" s="1125"/>
      <c r="J10999" s="1125"/>
    </row>
    <row r="11000" spans="9:10" x14ac:dyDescent="0.2">
      <c r="I11000" s="1125"/>
      <c r="J11000" s="1125"/>
    </row>
    <row r="11001" spans="9:10" x14ac:dyDescent="0.2">
      <c r="I11001" s="1125"/>
      <c r="J11001" s="1125"/>
    </row>
    <row r="11002" spans="9:10" x14ac:dyDescent="0.2">
      <c r="I11002" s="1125"/>
      <c r="J11002" s="1125"/>
    </row>
    <row r="11003" spans="9:10" x14ac:dyDescent="0.2">
      <c r="I11003" s="1125"/>
      <c r="J11003" s="1125"/>
    </row>
    <row r="11004" spans="9:10" x14ac:dyDescent="0.2">
      <c r="I11004" s="1125"/>
      <c r="J11004" s="1125"/>
    </row>
    <row r="11005" spans="9:10" x14ac:dyDescent="0.2">
      <c r="I11005" s="1125"/>
      <c r="J11005" s="1125"/>
    </row>
    <row r="11006" spans="9:10" x14ac:dyDescent="0.2">
      <c r="I11006" s="1125"/>
      <c r="J11006" s="1125"/>
    </row>
    <row r="11007" spans="9:10" x14ac:dyDescent="0.2">
      <c r="I11007" s="1125"/>
      <c r="J11007" s="1125"/>
    </row>
    <row r="11008" spans="9:10" x14ac:dyDescent="0.2">
      <c r="I11008" s="1125"/>
      <c r="J11008" s="1125"/>
    </row>
    <row r="11009" spans="9:10" x14ac:dyDescent="0.2">
      <c r="I11009" s="1125"/>
      <c r="J11009" s="1125"/>
    </row>
    <row r="11010" spans="9:10" x14ac:dyDescent="0.2">
      <c r="I11010" s="1125"/>
      <c r="J11010" s="1125"/>
    </row>
    <row r="11011" spans="9:10" x14ac:dyDescent="0.2">
      <c r="I11011" s="1125"/>
      <c r="J11011" s="1125"/>
    </row>
    <row r="11012" spans="9:10" x14ac:dyDescent="0.2">
      <c r="I11012" s="1125"/>
      <c r="J11012" s="1125"/>
    </row>
    <row r="11013" spans="9:10" x14ac:dyDescent="0.2">
      <c r="I11013" s="1125"/>
      <c r="J11013" s="1125"/>
    </row>
    <row r="11014" spans="9:10" x14ac:dyDescent="0.2">
      <c r="I11014" s="1125"/>
      <c r="J11014" s="1125"/>
    </row>
    <row r="11015" spans="9:10" x14ac:dyDescent="0.2">
      <c r="I11015" s="1125"/>
      <c r="J11015" s="1125"/>
    </row>
    <row r="11016" spans="9:10" x14ac:dyDescent="0.2">
      <c r="I11016" s="1125"/>
      <c r="J11016" s="1125"/>
    </row>
    <row r="11017" spans="9:10" x14ac:dyDescent="0.2">
      <c r="I11017" s="1125"/>
      <c r="J11017" s="1125"/>
    </row>
    <row r="11018" spans="9:10" x14ac:dyDescent="0.2">
      <c r="I11018" s="1125"/>
      <c r="J11018" s="1125"/>
    </row>
    <row r="11019" spans="9:10" x14ac:dyDescent="0.2">
      <c r="I11019" s="1125"/>
      <c r="J11019" s="1125"/>
    </row>
    <row r="11020" spans="9:10" x14ac:dyDescent="0.2">
      <c r="I11020" s="1125"/>
      <c r="J11020" s="1125"/>
    </row>
    <row r="11021" spans="9:10" x14ac:dyDescent="0.2">
      <c r="I11021" s="1125"/>
      <c r="J11021" s="1125"/>
    </row>
    <row r="11022" spans="9:10" x14ac:dyDescent="0.2">
      <c r="I11022" s="1125"/>
      <c r="J11022" s="1125"/>
    </row>
    <row r="11023" spans="9:10" x14ac:dyDescent="0.2">
      <c r="I11023" s="1125"/>
      <c r="J11023" s="1125"/>
    </row>
    <row r="11024" spans="9:10" x14ac:dyDescent="0.2">
      <c r="I11024" s="1125"/>
      <c r="J11024" s="1125"/>
    </row>
    <row r="11025" spans="9:10" x14ac:dyDescent="0.2">
      <c r="I11025" s="1125"/>
      <c r="J11025" s="1125"/>
    </row>
    <row r="11026" spans="9:10" x14ac:dyDescent="0.2">
      <c r="I11026" s="1125"/>
      <c r="J11026" s="1125"/>
    </row>
    <row r="11027" spans="9:10" x14ac:dyDescent="0.2">
      <c r="I11027" s="1125"/>
      <c r="J11027" s="1125"/>
    </row>
    <row r="11028" spans="9:10" x14ac:dyDescent="0.2">
      <c r="I11028" s="1125"/>
      <c r="J11028" s="1125"/>
    </row>
    <row r="11029" spans="9:10" x14ac:dyDescent="0.2">
      <c r="I11029" s="1125"/>
      <c r="J11029" s="1125"/>
    </row>
    <row r="11030" spans="9:10" x14ac:dyDescent="0.2">
      <c r="I11030" s="1125"/>
      <c r="J11030" s="1125"/>
    </row>
    <row r="11031" spans="9:10" x14ac:dyDescent="0.2">
      <c r="I11031" s="1125"/>
      <c r="J11031" s="1125"/>
    </row>
    <row r="11032" spans="9:10" x14ac:dyDescent="0.2">
      <c r="I11032" s="1125"/>
      <c r="J11032" s="1125"/>
    </row>
    <row r="11033" spans="9:10" x14ac:dyDescent="0.2">
      <c r="I11033" s="1125"/>
      <c r="J11033" s="1125"/>
    </row>
    <row r="11034" spans="9:10" x14ac:dyDescent="0.2">
      <c r="I11034" s="1125"/>
      <c r="J11034" s="1125"/>
    </row>
    <row r="11035" spans="9:10" x14ac:dyDescent="0.2">
      <c r="I11035" s="1125"/>
      <c r="J11035" s="1125"/>
    </row>
    <row r="11036" spans="9:10" x14ac:dyDescent="0.2">
      <c r="I11036" s="1125"/>
      <c r="J11036" s="1125"/>
    </row>
    <row r="11037" spans="9:10" x14ac:dyDescent="0.2">
      <c r="I11037" s="1125"/>
      <c r="J11037" s="1125"/>
    </row>
    <row r="11038" spans="9:10" x14ac:dyDescent="0.2">
      <c r="I11038" s="1125"/>
      <c r="J11038" s="1125"/>
    </row>
    <row r="11039" spans="9:10" x14ac:dyDescent="0.2">
      <c r="I11039" s="1125"/>
      <c r="J11039" s="1125"/>
    </row>
    <row r="11040" spans="9:10" x14ac:dyDescent="0.2">
      <c r="I11040" s="1125"/>
      <c r="J11040" s="1125"/>
    </row>
    <row r="11041" spans="9:10" x14ac:dyDescent="0.2">
      <c r="I11041" s="1125"/>
      <c r="J11041" s="1125"/>
    </row>
    <row r="11042" spans="9:10" x14ac:dyDescent="0.2">
      <c r="I11042" s="1125"/>
      <c r="J11042" s="1125"/>
    </row>
    <row r="11043" spans="9:10" x14ac:dyDescent="0.2">
      <c r="I11043" s="1125"/>
      <c r="J11043" s="1125"/>
    </row>
    <row r="11044" spans="9:10" x14ac:dyDescent="0.2">
      <c r="I11044" s="1125"/>
      <c r="J11044" s="1125"/>
    </row>
    <row r="11045" spans="9:10" x14ac:dyDescent="0.2">
      <c r="I11045" s="1125"/>
      <c r="J11045" s="1125"/>
    </row>
    <row r="11046" spans="9:10" x14ac:dyDescent="0.2">
      <c r="I11046" s="1125"/>
      <c r="J11046" s="1125"/>
    </row>
    <row r="11047" spans="9:10" x14ac:dyDescent="0.2">
      <c r="I11047" s="1125"/>
      <c r="J11047" s="1125"/>
    </row>
    <row r="11048" spans="9:10" x14ac:dyDescent="0.2">
      <c r="I11048" s="1125"/>
      <c r="J11048" s="1125"/>
    </row>
    <row r="11049" spans="9:10" x14ac:dyDescent="0.2">
      <c r="I11049" s="1125"/>
      <c r="J11049" s="1125"/>
    </row>
    <row r="11050" spans="9:10" x14ac:dyDescent="0.2">
      <c r="I11050" s="1125"/>
      <c r="J11050" s="1125"/>
    </row>
    <row r="11051" spans="9:10" x14ac:dyDescent="0.2">
      <c r="I11051" s="1125"/>
      <c r="J11051" s="1125"/>
    </row>
    <row r="11052" spans="9:10" x14ac:dyDescent="0.2">
      <c r="I11052" s="1125"/>
      <c r="J11052" s="1125"/>
    </row>
    <row r="11053" spans="9:10" x14ac:dyDescent="0.2">
      <c r="I11053" s="1125"/>
      <c r="J11053" s="1125"/>
    </row>
    <row r="11054" spans="9:10" x14ac:dyDescent="0.2">
      <c r="I11054" s="1125"/>
      <c r="J11054" s="1125"/>
    </row>
    <row r="11055" spans="9:10" x14ac:dyDescent="0.2">
      <c r="I11055" s="1125"/>
      <c r="J11055" s="1125"/>
    </row>
    <row r="11056" spans="9:10" x14ac:dyDescent="0.2">
      <c r="I11056" s="1125"/>
      <c r="J11056" s="1125"/>
    </row>
    <row r="11057" spans="9:10" x14ac:dyDescent="0.2">
      <c r="I11057" s="1125"/>
      <c r="J11057" s="1125"/>
    </row>
    <row r="11058" spans="9:10" x14ac:dyDescent="0.2">
      <c r="I11058" s="1125"/>
      <c r="J11058" s="1125"/>
    </row>
    <row r="11059" spans="9:10" x14ac:dyDescent="0.2">
      <c r="I11059" s="1125"/>
      <c r="J11059" s="1125"/>
    </row>
    <row r="11060" spans="9:10" x14ac:dyDescent="0.2">
      <c r="I11060" s="1125"/>
      <c r="J11060" s="1125"/>
    </row>
    <row r="11061" spans="9:10" x14ac:dyDescent="0.2">
      <c r="I11061" s="1125"/>
      <c r="J11061" s="1125"/>
    </row>
    <row r="11062" spans="9:10" x14ac:dyDescent="0.2">
      <c r="I11062" s="1125"/>
      <c r="J11062" s="1125"/>
    </row>
    <row r="11063" spans="9:10" x14ac:dyDescent="0.2">
      <c r="I11063" s="1125"/>
      <c r="J11063" s="1125"/>
    </row>
    <row r="11064" spans="9:10" x14ac:dyDescent="0.2">
      <c r="I11064" s="1125"/>
      <c r="J11064" s="1125"/>
    </row>
    <row r="11065" spans="9:10" x14ac:dyDescent="0.2">
      <c r="I11065" s="1125"/>
      <c r="J11065" s="1125"/>
    </row>
    <row r="11066" spans="9:10" x14ac:dyDescent="0.2">
      <c r="I11066" s="1125"/>
      <c r="J11066" s="1125"/>
    </row>
    <row r="11067" spans="9:10" x14ac:dyDescent="0.2">
      <c r="I11067" s="1125"/>
      <c r="J11067" s="1125"/>
    </row>
    <row r="11068" spans="9:10" x14ac:dyDescent="0.2">
      <c r="I11068" s="1125"/>
      <c r="J11068" s="1125"/>
    </row>
    <row r="11069" spans="9:10" x14ac:dyDescent="0.2">
      <c r="I11069" s="1125"/>
      <c r="J11069" s="1125"/>
    </row>
    <row r="11070" spans="9:10" x14ac:dyDescent="0.2">
      <c r="I11070" s="1125"/>
      <c r="J11070" s="1125"/>
    </row>
    <row r="11071" spans="9:10" x14ac:dyDescent="0.2">
      <c r="I11071" s="1125"/>
      <c r="J11071" s="1125"/>
    </row>
    <row r="11072" spans="9:10" x14ac:dyDescent="0.2">
      <c r="I11072" s="1125"/>
      <c r="J11072" s="1125"/>
    </row>
    <row r="11073" spans="9:10" x14ac:dyDescent="0.2">
      <c r="I11073" s="1125"/>
      <c r="J11073" s="1125"/>
    </row>
    <row r="11074" spans="9:10" x14ac:dyDescent="0.2">
      <c r="I11074" s="1125"/>
      <c r="J11074" s="1125"/>
    </row>
    <row r="11075" spans="9:10" x14ac:dyDescent="0.2">
      <c r="I11075" s="1125"/>
      <c r="J11075" s="1125"/>
    </row>
    <row r="11076" spans="9:10" x14ac:dyDescent="0.2">
      <c r="I11076" s="1125"/>
      <c r="J11076" s="1125"/>
    </row>
    <row r="11077" spans="9:10" x14ac:dyDescent="0.2">
      <c r="I11077" s="1125"/>
      <c r="J11077" s="1125"/>
    </row>
    <row r="11078" spans="9:10" x14ac:dyDescent="0.2">
      <c r="I11078" s="1125"/>
      <c r="J11078" s="1125"/>
    </row>
    <row r="11079" spans="9:10" x14ac:dyDescent="0.2">
      <c r="I11079" s="1125"/>
      <c r="J11079" s="1125"/>
    </row>
    <row r="11080" spans="9:10" x14ac:dyDescent="0.2">
      <c r="I11080" s="1125"/>
      <c r="J11080" s="1125"/>
    </row>
    <row r="11081" spans="9:10" x14ac:dyDescent="0.2">
      <c r="I11081" s="1125"/>
      <c r="J11081" s="1125"/>
    </row>
    <row r="11082" spans="9:10" x14ac:dyDescent="0.2">
      <c r="I11082" s="1125"/>
      <c r="J11082" s="1125"/>
    </row>
    <row r="11083" spans="9:10" x14ac:dyDescent="0.2">
      <c r="I11083" s="1125"/>
      <c r="J11083" s="1125"/>
    </row>
    <row r="11084" spans="9:10" x14ac:dyDescent="0.2">
      <c r="I11084" s="1125"/>
      <c r="J11084" s="1125"/>
    </row>
    <row r="11085" spans="9:10" x14ac:dyDescent="0.2">
      <c r="I11085" s="1125"/>
      <c r="J11085" s="1125"/>
    </row>
    <row r="11086" spans="9:10" x14ac:dyDescent="0.2">
      <c r="I11086" s="1125"/>
      <c r="J11086" s="1125"/>
    </row>
    <row r="11087" spans="9:10" x14ac:dyDescent="0.2">
      <c r="I11087" s="1125"/>
      <c r="J11087" s="1125"/>
    </row>
    <row r="11088" spans="9:10" x14ac:dyDescent="0.2">
      <c r="I11088" s="1125"/>
      <c r="J11088" s="1125"/>
    </row>
    <row r="11089" spans="9:10" x14ac:dyDescent="0.2">
      <c r="I11089" s="1125"/>
      <c r="J11089" s="1125"/>
    </row>
    <row r="11090" spans="9:10" x14ac:dyDescent="0.2">
      <c r="I11090" s="1125"/>
      <c r="J11090" s="1125"/>
    </row>
    <row r="11091" spans="9:10" x14ac:dyDescent="0.2">
      <c r="I11091" s="1125"/>
      <c r="J11091" s="1125"/>
    </row>
    <row r="11092" spans="9:10" x14ac:dyDescent="0.2">
      <c r="I11092" s="1125"/>
      <c r="J11092" s="1125"/>
    </row>
    <row r="11093" spans="9:10" x14ac:dyDescent="0.2">
      <c r="I11093" s="1125"/>
      <c r="J11093" s="1125"/>
    </row>
    <row r="11094" spans="9:10" x14ac:dyDescent="0.2">
      <c r="I11094" s="1125"/>
      <c r="J11094" s="1125"/>
    </row>
    <row r="11095" spans="9:10" x14ac:dyDescent="0.2">
      <c r="I11095" s="1125"/>
      <c r="J11095" s="1125"/>
    </row>
    <row r="11096" spans="9:10" x14ac:dyDescent="0.2">
      <c r="I11096" s="1125"/>
      <c r="J11096" s="1125"/>
    </row>
    <row r="11097" spans="9:10" x14ac:dyDescent="0.2">
      <c r="I11097" s="1125"/>
      <c r="J11097" s="1125"/>
    </row>
    <row r="11098" spans="9:10" x14ac:dyDescent="0.2">
      <c r="I11098" s="1125"/>
      <c r="J11098" s="1125"/>
    </row>
    <row r="11099" spans="9:10" x14ac:dyDescent="0.2">
      <c r="I11099" s="1125"/>
      <c r="J11099" s="1125"/>
    </row>
    <row r="11100" spans="9:10" x14ac:dyDescent="0.2">
      <c r="I11100" s="1125"/>
      <c r="J11100" s="1125"/>
    </row>
    <row r="11101" spans="9:10" x14ac:dyDescent="0.2">
      <c r="I11101" s="1125"/>
      <c r="J11101" s="1125"/>
    </row>
    <row r="11102" spans="9:10" x14ac:dyDescent="0.2">
      <c r="I11102" s="1125"/>
      <c r="J11102" s="1125"/>
    </row>
    <row r="11103" spans="9:10" x14ac:dyDescent="0.2">
      <c r="I11103" s="1125"/>
      <c r="J11103" s="1125"/>
    </row>
    <row r="11104" spans="9:10" x14ac:dyDescent="0.2">
      <c r="I11104" s="1125"/>
      <c r="J11104" s="1125"/>
    </row>
    <row r="11105" spans="9:10" x14ac:dyDescent="0.2">
      <c r="I11105" s="1125"/>
      <c r="J11105" s="1125"/>
    </row>
    <row r="11106" spans="9:10" x14ac:dyDescent="0.2">
      <c r="I11106" s="1125"/>
      <c r="J11106" s="1125"/>
    </row>
    <row r="11107" spans="9:10" x14ac:dyDescent="0.2">
      <c r="I11107" s="1125"/>
      <c r="J11107" s="1125"/>
    </row>
    <row r="11108" spans="9:10" x14ac:dyDescent="0.2">
      <c r="I11108" s="1125"/>
      <c r="J11108" s="1125"/>
    </row>
    <row r="11109" spans="9:10" x14ac:dyDescent="0.2">
      <c r="I11109" s="1125"/>
      <c r="J11109" s="1125"/>
    </row>
    <row r="11110" spans="9:10" x14ac:dyDescent="0.2">
      <c r="I11110" s="1125"/>
      <c r="J11110" s="1125"/>
    </row>
    <row r="11111" spans="9:10" x14ac:dyDescent="0.2">
      <c r="I11111" s="1125"/>
      <c r="J11111" s="1125"/>
    </row>
    <row r="11112" spans="9:10" x14ac:dyDescent="0.2">
      <c r="I11112" s="1125"/>
      <c r="J11112" s="1125"/>
    </row>
    <row r="11113" spans="9:10" x14ac:dyDescent="0.2">
      <c r="I11113" s="1125"/>
      <c r="J11113" s="1125"/>
    </row>
    <row r="11114" spans="9:10" x14ac:dyDescent="0.2">
      <c r="I11114" s="1125"/>
      <c r="J11114" s="1125"/>
    </row>
    <row r="11115" spans="9:10" x14ac:dyDescent="0.2">
      <c r="I11115" s="1125"/>
      <c r="J11115" s="1125"/>
    </row>
    <row r="11116" spans="9:10" x14ac:dyDescent="0.2">
      <c r="I11116" s="1125"/>
      <c r="J11116" s="1125"/>
    </row>
    <row r="11117" spans="9:10" x14ac:dyDescent="0.2">
      <c r="I11117" s="1125"/>
      <c r="J11117" s="1125"/>
    </row>
    <row r="11118" spans="9:10" x14ac:dyDescent="0.2">
      <c r="I11118" s="1125"/>
      <c r="J11118" s="1125"/>
    </row>
    <row r="11119" spans="9:10" x14ac:dyDescent="0.2">
      <c r="I11119" s="1125"/>
      <c r="J11119" s="1125"/>
    </row>
    <row r="11120" spans="9:10" x14ac:dyDescent="0.2">
      <c r="I11120" s="1125"/>
      <c r="J11120" s="1125"/>
    </row>
    <row r="11121" spans="9:10" x14ac:dyDescent="0.2">
      <c r="I11121" s="1125"/>
      <c r="J11121" s="1125"/>
    </row>
    <row r="11122" spans="9:10" x14ac:dyDescent="0.2">
      <c r="I11122" s="1125"/>
      <c r="J11122" s="1125"/>
    </row>
    <row r="11123" spans="9:10" x14ac:dyDescent="0.2">
      <c r="I11123" s="1125"/>
      <c r="J11123" s="1125"/>
    </row>
    <row r="11124" spans="9:10" x14ac:dyDescent="0.2">
      <c r="I11124" s="1125"/>
      <c r="J11124" s="1125"/>
    </row>
    <row r="11125" spans="9:10" x14ac:dyDescent="0.2">
      <c r="I11125" s="1125"/>
      <c r="J11125" s="1125"/>
    </row>
    <row r="11126" spans="9:10" x14ac:dyDescent="0.2">
      <c r="I11126" s="1125"/>
      <c r="J11126" s="1125"/>
    </row>
    <row r="11127" spans="9:10" x14ac:dyDescent="0.2">
      <c r="I11127" s="1125"/>
      <c r="J11127" s="1125"/>
    </row>
    <row r="11128" spans="9:10" x14ac:dyDescent="0.2">
      <c r="I11128" s="1125"/>
      <c r="J11128" s="1125"/>
    </row>
    <row r="11129" spans="9:10" x14ac:dyDescent="0.2">
      <c r="I11129" s="1125"/>
      <c r="J11129" s="1125"/>
    </row>
    <row r="11130" spans="9:10" x14ac:dyDescent="0.2">
      <c r="I11130" s="1125"/>
      <c r="J11130" s="1125"/>
    </row>
    <row r="11131" spans="9:10" x14ac:dyDescent="0.2">
      <c r="I11131" s="1125"/>
      <c r="J11131" s="1125"/>
    </row>
    <row r="11132" spans="9:10" x14ac:dyDescent="0.2">
      <c r="I11132" s="1125"/>
      <c r="J11132" s="1125"/>
    </row>
    <row r="11133" spans="9:10" x14ac:dyDescent="0.2">
      <c r="I11133" s="1125"/>
      <c r="J11133" s="1125"/>
    </row>
    <row r="11134" spans="9:10" x14ac:dyDescent="0.2">
      <c r="I11134" s="1125"/>
      <c r="J11134" s="1125"/>
    </row>
    <row r="11135" spans="9:10" x14ac:dyDescent="0.2">
      <c r="I11135" s="1125"/>
      <c r="J11135" s="1125"/>
    </row>
    <row r="11136" spans="9:10" x14ac:dyDescent="0.2">
      <c r="I11136" s="1125"/>
      <c r="J11136" s="1125"/>
    </row>
    <row r="11137" spans="9:10" x14ac:dyDescent="0.2">
      <c r="I11137" s="1125"/>
      <c r="J11137" s="1125"/>
    </row>
    <row r="11138" spans="9:10" x14ac:dyDescent="0.2">
      <c r="I11138" s="1125"/>
      <c r="J11138" s="1125"/>
    </row>
    <row r="11139" spans="9:10" x14ac:dyDescent="0.2">
      <c r="I11139" s="1125"/>
      <c r="J11139" s="1125"/>
    </row>
    <row r="11140" spans="9:10" x14ac:dyDescent="0.2">
      <c r="I11140" s="1125"/>
      <c r="J11140" s="1125"/>
    </row>
    <row r="11141" spans="9:10" x14ac:dyDescent="0.2">
      <c r="I11141" s="1125"/>
      <c r="J11141" s="1125"/>
    </row>
    <row r="11142" spans="9:10" x14ac:dyDescent="0.2">
      <c r="I11142" s="1125"/>
      <c r="J11142" s="1125"/>
    </row>
    <row r="11143" spans="9:10" x14ac:dyDescent="0.2">
      <c r="I11143" s="1125"/>
      <c r="J11143" s="1125"/>
    </row>
    <row r="11144" spans="9:10" x14ac:dyDescent="0.2">
      <c r="I11144" s="1125"/>
      <c r="J11144" s="1125"/>
    </row>
    <row r="11145" spans="9:10" x14ac:dyDescent="0.2">
      <c r="I11145" s="1125"/>
      <c r="J11145" s="1125"/>
    </row>
    <row r="11146" spans="9:10" x14ac:dyDescent="0.2">
      <c r="I11146" s="1125"/>
      <c r="J11146" s="1125"/>
    </row>
    <row r="11147" spans="9:10" x14ac:dyDescent="0.2">
      <c r="I11147" s="1125"/>
      <c r="J11147" s="1125"/>
    </row>
    <row r="11148" spans="9:10" x14ac:dyDescent="0.2">
      <c r="I11148" s="1125"/>
      <c r="J11148" s="1125"/>
    </row>
    <row r="11149" spans="9:10" x14ac:dyDescent="0.2">
      <c r="I11149" s="1125"/>
      <c r="J11149" s="1125"/>
    </row>
    <row r="11150" spans="9:10" x14ac:dyDescent="0.2">
      <c r="I11150" s="1125"/>
      <c r="J11150" s="1125"/>
    </row>
    <row r="11151" spans="9:10" x14ac:dyDescent="0.2">
      <c r="I11151" s="1125"/>
      <c r="J11151" s="1125"/>
    </row>
    <row r="11152" spans="9:10" x14ac:dyDescent="0.2">
      <c r="I11152" s="1125"/>
      <c r="J11152" s="1125"/>
    </row>
    <row r="11153" spans="9:10" x14ac:dyDescent="0.2">
      <c r="I11153" s="1125"/>
      <c r="J11153" s="1125"/>
    </row>
    <row r="11154" spans="9:10" x14ac:dyDescent="0.2">
      <c r="I11154" s="1125"/>
      <c r="J11154" s="1125"/>
    </row>
    <row r="11155" spans="9:10" x14ac:dyDescent="0.2">
      <c r="I11155" s="1125"/>
      <c r="J11155" s="1125"/>
    </row>
    <row r="11156" spans="9:10" x14ac:dyDescent="0.2">
      <c r="I11156" s="1125"/>
      <c r="J11156" s="1125"/>
    </row>
    <row r="11157" spans="9:10" x14ac:dyDescent="0.2">
      <c r="I11157" s="1125"/>
      <c r="J11157" s="1125"/>
    </row>
    <row r="11158" spans="9:10" x14ac:dyDescent="0.2">
      <c r="I11158" s="1125"/>
      <c r="J11158" s="1125"/>
    </row>
    <row r="11159" spans="9:10" x14ac:dyDescent="0.2">
      <c r="I11159" s="1125"/>
      <c r="J11159" s="1125"/>
    </row>
    <row r="11160" spans="9:10" x14ac:dyDescent="0.2">
      <c r="I11160" s="1125"/>
      <c r="J11160" s="1125"/>
    </row>
    <row r="11161" spans="9:10" x14ac:dyDescent="0.2">
      <c r="I11161" s="1125"/>
      <c r="J11161" s="1125"/>
    </row>
    <row r="11162" spans="9:10" x14ac:dyDescent="0.2">
      <c r="I11162" s="1125"/>
      <c r="J11162" s="1125"/>
    </row>
    <row r="11163" spans="9:10" x14ac:dyDescent="0.2">
      <c r="I11163" s="1125"/>
      <c r="J11163" s="1125"/>
    </row>
    <row r="11164" spans="9:10" x14ac:dyDescent="0.2">
      <c r="I11164" s="1125"/>
      <c r="J11164" s="1125"/>
    </row>
    <row r="11165" spans="9:10" x14ac:dyDescent="0.2">
      <c r="I11165" s="1125"/>
      <c r="J11165" s="1125"/>
    </row>
    <row r="11166" spans="9:10" x14ac:dyDescent="0.2">
      <c r="I11166" s="1125"/>
      <c r="J11166" s="1125"/>
    </row>
    <row r="11167" spans="9:10" x14ac:dyDescent="0.2">
      <c r="I11167" s="1125"/>
      <c r="J11167" s="1125"/>
    </row>
    <row r="11168" spans="9:10" x14ac:dyDescent="0.2">
      <c r="I11168" s="1125"/>
      <c r="J11168" s="1125"/>
    </row>
    <row r="11169" spans="9:10" x14ac:dyDescent="0.2">
      <c r="I11169" s="1125"/>
      <c r="J11169" s="1125"/>
    </row>
    <row r="11170" spans="9:10" x14ac:dyDescent="0.2">
      <c r="I11170" s="1125"/>
      <c r="J11170" s="1125"/>
    </row>
    <row r="11171" spans="9:10" x14ac:dyDescent="0.2">
      <c r="I11171" s="1125"/>
      <c r="J11171" s="1125"/>
    </row>
    <row r="11172" spans="9:10" x14ac:dyDescent="0.2">
      <c r="I11172" s="1125"/>
      <c r="J11172" s="1125"/>
    </row>
    <row r="11173" spans="9:10" x14ac:dyDescent="0.2">
      <c r="I11173" s="1125"/>
      <c r="J11173" s="1125"/>
    </row>
    <row r="11174" spans="9:10" x14ac:dyDescent="0.2">
      <c r="I11174" s="1125"/>
      <c r="J11174" s="1125"/>
    </row>
    <row r="11175" spans="9:10" x14ac:dyDescent="0.2">
      <c r="I11175" s="1125"/>
      <c r="J11175" s="1125"/>
    </row>
    <row r="11176" spans="9:10" x14ac:dyDescent="0.2">
      <c r="I11176" s="1125"/>
      <c r="J11176" s="1125"/>
    </row>
    <row r="11177" spans="9:10" x14ac:dyDescent="0.2">
      <c r="I11177" s="1125"/>
      <c r="J11177" s="1125"/>
    </row>
    <row r="11178" spans="9:10" x14ac:dyDescent="0.2">
      <c r="I11178" s="1125"/>
      <c r="J11178" s="1125"/>
    </row>
    <row r="11179" spans="9:10" x14ac:dyDescent="0.2">
      <c r="I11179" s="1125"/>
      <c r="J11179" s="1125"/>
    </row>
    <row r="11180" spans="9:10" x14ac:dyDescent="0.2">
      <c r="I11180" s="1125"/>
      <c r="J11180" s="1125"/>
    </row>
    <row r="11181" spans="9:10" x14ac:dyDescent="0.2">
      <c r="I11181" s="1125"/>
      <c r="J11181" s="1125"/>
    </row>
    <row r="11182" spans="9:10" x14ac:dyDescent="0.2">
      <c r="I11182" s="1125"/>
      <c r="J11182" s="1125"/>
    </row>
    <row r="11183" spans="9:10" x14ac:dyDescent="0.2">
      <c r="I11183" s="1125"/>
      <c r="J11183" s="1125"/>
    </row>
    <row r="11184" spans="9:10" x14ac:dyDescent="0.2">
      <c r="I11184" s="1125"/>
      <c r="J11184" s="1125"/>
    </row>
    <row r="11185" spans="9:10" x14ac:dyDescent="0.2">
      <c r="I11185" s="1125"/>
      <c r="J11185" s="1125"/>
    </row>
    <row r="11186" spans="9:10" x14ac:dyDescent="0.2">
      <c r="I11186" s="1125"/>
      <c r="J11186" s="1125"/>
    </row>
    <row r="11187" spans="9:10" x14ac:dyDescent="0.2">
      <c r="I11187" s="1125"/>
      <c r="J11187" s="1125"/>
    </row>
    <row r="11188" spans="9:10" x14ac:dyDescent="0.2">
      <c r="I11188" s="1125"/>
      <c r="J11188" s="1125"/>
    </row>
    <row r="11189" spans="9:10" x14ac:dyDescent="0.2">
      <c r="I11189" s="1125"/>
      <c r="J11189" s="1125"/>
    </row>
    <row r="11190" spans="9:10" x14ac:dyDescent="0.2">
      <c r="I11190" s="1125"/>
      <c r="J11190" s="1125"/>
    </row>
    <row r="11191" spans="9:10" x14ac:dyDescent="0.2">
      <c r="I11191" s="1125"/>
      <c r="J11191" s="1125"/>
    </row>
    <row r="11192" spans="9:10" x14ac:dyDescent="0.2">
      <c r="I11192" s="1125"/>
      <c r="J11192" s="1125"/>
    </row>
    <row r="11193" spans="9:10" x14ac:dyDescent="0.2">
      <c r="I11193" s="1125"/>
      <c r="J11193" s="1125"/>
    </row>
    <row r="11194" spans="9:10" x14ac:dyDescent="0.2">
      <c r="I11194" s="1125"/>
      <c r="J11194" s="1125"/>
    </row>
    <row r="11195" spans="9:10" x14ac:dyDescent="0.2">
      <c r="I11195" s="1125"/>
      <c r="J11195" s="1125"/>
    </row>
    <row r="11196" spans="9:10" x14ac:dyDescent="0.2">
      <c r="I11196" s="1125"/>
      <c r="J11196" s="1125"/>
    </row>
    <row r="11197" spans="9:10" x14ac:dyDescent="0.2">
      <c r="I11197" s="1125"/>
      <c r="J11197" s="1125"/>
    </row>
    <row r="11198" spans="9:10" x14ac:dyDescent="0.2">
      <c r="I11198" s="1125"/>
      <c r="J11198" s="1125"/>
    </row>
    <row r="11199" spans="9:10" x14ac:dyDescent="0.2">
      <c r="I11199" s="1125"/>
      <c r="J11199" s="1125"/>
    </row>
    <row r="11200" spans="9:10" x14ac:dyDescent="0.2">
      <c r="I11200" s="1125"/>
      <c r="J11200" s="1125"/>
    </row>
    <row r="11201" spans="9:10" x14ac:dyDescent="0.2">
      <c r="I11201" s="1125"/>
      <c r="J11201" s="1125"/>
    </row>
    <row r="11202" spans="9:10" x14ac:dyDescent="0.2">
      <c r="I11202" s="1125"/>
      <c r="J11202" s="1125"/>
    </row>
    <row r="11203" spans="9:10" x14ac:dyDescent="0.2">
      <c r="I11203" s="1125"/>
      <c r="J11203" s="1125"/>
    </row>
    <row r="11204" spans="9:10" x14ac:dyDescent="0.2">
      <c r="I11204" s="1125"/>
      <c r="J11204" s="1125"/>
    </row>
    <row r="11205" spans="9:10" x14ac:dyDescent="0.2">
      <c r="I11205" s="1125"/>
      <c r="J11205" s="1125"/>
    </row>
    <row r="11206" spans="9:10" x14ac:dyDescent="0.2">
      <c r="I11206" s="1125"/>
      <c r="J11206" s="1125"/>
    </row>
    <row r="11207" spans="9:10" x14ac:dyDescent="0.2">
      <c r="I11207" s="1125"/>
      <c r="J11207" s="1125"/>
    </row>
    <row r="11208" spans="9:10" x14ac:dyDescent="0.2">
      <c r="I11208" s="1125"/>
      <c r="J11208" s="1125"/>
    </row>
    <row r="11209" spans="9:10" x14ac:dyDescent="0.2">
      <c r="I11209" s="1125"/>
      <c r="J11209" s="1125"/>
    </row>
    <row r="11210" spans="9:10" x14ac:dyDescent="0.2">
      <c r="I11210" s="1125"/>
      <c r="J11210" s="1125"/>
    </row>
    <row r="11211" spans="9:10" x14ac:dyDescent="0.2">
      <c r="I11211" s="1125"/>
      <c r="J11211" s="1125"/>
    </row>
    <row r="11212" spans="9:10" x14ac:dyDescent="0.2">
      <c r="I11212" s="1125"/>
      <c r="J11212" s="1125"/>
    </row>
    <row r="11213" spans="9:10" x14ac:dyDescent="0.2">
      <c r="I11213" s="1125"/>
      <c r="J11213" s="1125"/>
    </row>
    <row r="11214" spans="9:10" x14ac:dyDescent="0.2">
      <c r="I11214" s="1125"/>
      <c r="J11214" s="1125"/>
    </row>
    <row r="11215" spans="9:10" x14ac:dyDescent="0.2">
      <c r="I11215" s="1125"/>
      <c r="J11215" s="1125"/>
    </row>
    <row r="11216" spans="9:10" x14ac:dyDescent="0.2">
      <c r="I11216" s="1125"/>
      <c r="J11216" s="1125"/>
    </row>
    <row r="11217" spans="9:10" x14ac:dyDescent="0.2">
      <c r="I11217" s="1125"/>
      <c r="J11217" s="1125"/>
    </row>
    <row r="11218" spans="9:10" x14ac:dyDescent="0.2">
      <c r="I11218" s="1125"/>
      <c r="J11218" s="1125"/>
    </row>
    <row r="11219" spans="9:10" x14ac:dyDescent="0.2">
      <c r="I11219" s="1125"/>
      <c r="J11219" s="1125"/>
    </row>
    <row r="11220" spans="9:10" x14ac:dyDescent="0.2">
      <c r="I11220" s="1125"/>
      <c r="J11220" s="1125"/>
    </row>
    <row r="11221" spans="9:10" x14ac:dyDescent="0.2">
      <c r="I11221" s="1125"/>
      <c r="J11221" s="1125"/>
    </row>
    <row r="11222" spans="9:10" x14ac:dyDescent="0.2">
      <c r="I11222" s="1125"/>
      <c r="J11222" s="1125"/>
    </row>
    <row r="11223" spans="9:10" x14ac:dyDescent="0.2">
      <c r="I11223" s="1125"/>
      <c r="J11223" s="1125"/>
    </row>
    <row r="11224" spans="9:10" x14ac:dyDescent="0.2">
      <c r="I11224" s="1125"/>
      <c r="J11224" s="1125"/>
    </row>
    <row r="11225" spans="9:10" x14ac:dyDescent="0.2">
      <c r="I11225" s="1125"/>
      <c r="J11225" s="1125"/>
    </row>
    <row r="11226" spans="9:10" x14ac:dyDescent="0.2">
      <c r="I11226" s="1125"/>
      <c r="J11226" s="1125"/>
    </row>
    <row r="11227" spans="9:10" x14ac:dyDescent="0.2">
      <c r="I11227" s="1125"/>
      <c r="J11227" s="1125"/>
    </row>
    <row r="11228" spans="9:10" x14ac:dyDescent="0.2">
      <c r="I11228" s="1125"/>
      <c r="J11228" s="1125"/>
    </row>
    <row r="11229" spans="9:10" x14ac:dyDescent="0.2">
      <c r="I11229" s="1125"/>
      <c r="J11229" s="1125"/>
    </row>
    <row r="11230" spans="9:10" x14ac:dyDescent="0.2">
      <c r="I11230" s="1125"/>
      <c r="J11230" s="1125"/>
    </row>
    <row r="11231" spans="9:10" x14ac:dyDescent="0.2">
      <c r="I11231" s="1125"/>
      <c r="J11231" s="1125"/>
    </row>
    <row r="11232" spans="9:10" x14ac:dyDescent="0.2">
      <c r="I11232" s="1125"/>
      <c r="J11232" s="1125"/>
    </row>
    <row r="11233" spans="9:10" x14ac:dyDescent="0.2">
      <c r="I11233" s="1125"/>
      <c r="J11233" s="1125"/>
    </row>
    <row r="11234" spans="9:10" x14ac:dyDescent="0.2">
      <c r="I11234" s="1125"/>
      <c r="J11234" s="1125"/>
    </row>
    <row r="11235" spans="9:10" x14ac:dyDescent="0.2">
      <c r="I11235" s="1125"/>
      <c r="J11235" s="1125"/>
    </row>
    <row r="11236" spans="9:10" x14ac:dyDescent="0.2">
      <c r="I11236" s="1125"/>
      <c r="J11236" s="1125"/>
    </row>
    <row r="11237" spans="9:10" x14ac:dyDescent="0.2">
      <c r="I11237" s="1125"/>
      <c r="J11237" s="1125"/>
    </row>
    <row r="11238" spans="9:10" x14ac:dyDescent="0.2">
      <c r="I11238" s="1125"/>
      <c r="J11238" s="1125"/>
    </row>
    <row r="11239" spans="9:10" x14ac:dyDescent="0.2">
      <c r="I11239" s="1125"/>
      <c r="J11239" s="1125"/>
    </row>
    <row r="11240" spans="9:10" x14ac:dyDescent="0.2">
      <c r="I11240" s="1125"/>
      <c r="J11240" s="1125"/>
    </row>
    <row r="11241" spans="9:10" x14ac:dyDescent="0.2">
      <c r="I11241" s="1125"/>
      <c r="J11241" s="1125"/>
    </row>
    <row r="11242" spans="9:10" x14ac:dyDescent="0.2">
      <c r="I11242" s="1125"/>
      <c r="J11242" s="1125"/>
    </row>
    <row r="11243" spans="9:10" x14ac:dyDescent="0.2">
      <c r="I11243" s="1125"/>
      <c r="J11243" s="1125"/>
    </row>
    <row r="11244" spans="9:10" x14ac:dyDescent="0.2">
      <c r="I11244" s="1125"/>
      <c r="J11244" s="1125"/>
    </row>
    <row r="11245" spans="9:10" x14ac:dyDescent="0.2">
      <c r="I11245" s="1125"/>
      <c r="J11245" s="1125"/>
    </row>
    <row r="11246" spans="9:10" x14ac:dyDescent="0.2">
      <c r="I11246" s="1125"/>
      <c r="J11246" s="1125"/>
    </row>
    <row r="11247" spans="9:10" x14ac:dyDescent="0.2">
      <c r="I11247" s="1125"/>
      <c r="J11247" s="1125"/>
    </row>
    <row r="11248" spans="9:10" x14ac:dyDescent="0.2">
      <c r="I11248" s="1125"/>
      <c r="J11248" s="1125"/>
    </row>
    <row r="11249" spans="9:10" x14ac:dyDescent="0.2">
      <c r="I11249" s="1125"/>
      <c r="J11249" s="1125"/>
    </row>
    <row r="11250" spans="9:10" x14ac:dyDescent="0.2">
      <c r="I11250" s="1125"/>
      <c r="J11250" s="1125"/>
    </row>
    <row r="11251" spans="9:10" x14ac:dyDescent="0.2">
      <c r="I11251" s="1125"/>
      <c r="J11251" s="1125"/>
    </row>
    <row r="11252" spans="9:10" x14ac:dyDescent="0.2">
      <c r="I11252" s="1125"/>
      <c r="J11252" s="1125"/>
    </row>
    <row r="11253" spans="9:10" x14ac:dyDescent="0.2">
      <c r="I11253" s="1125"/>
      <c r="J11253" s="1125"/>
    </row>
    <row r="11254" spans="9:10" x14ac:dyDescent="0.2">
      <c r="I11254" s="1125"/>
      <c r="J11254" s="1125"/>
    </row>
    <row r="11255" spans="9:10" x14ac:dyDescent="0.2">
      <c r="I11255" s="1125"/>
      <c r="J11255" s="1125"/>
    </row>
    <row r="11256" spans="9:10" x14ac:dyDescent="0.2">
      <c r="I11256" s="1125"/>
      <c r="J11256" s="1125"/>
    </row>
    <row r="11257" spans="9:10" x14ac:dyDescent="0.2">
      <c r="I11257" s="1125"/>
      <c r="J11257" s="1125"/>
    </row>
    <row r="11258" spans="9:10" x14ac:dyDescent="0.2">
      <c r="I11258" s="1125"/>
      <c r="J11258" s="1125"/>
    </row>
    <row r="11259" spans="9:10" x14ac:dyDescent="0.2">
      <c r="I11259" s="1125"/>
      <c r="J11259" s="1125"/>
    </row>
    <row r="11260" spans="9:10" x14ac:dyDescent="0.2">
      <c r="I11260" s="1125"/>
      <c r="J11260" s="1125"/>
    </row>
    <row r="11261" spans="9:10" x14ac:dyDescent="0.2">
      <c r="I11261" s="1125"/>
      <c r="J11261" s="1125"/>
    </row>
    <row r="11262" spans="9:10" x14ac:dyDescent="0.2">
      <c r="I11262" s="1125"/>
      <c r="J11262" s="1125"/>
    </row>
    <row r="11263" spans="9:10" x14ac:dyDescent="0.2">
      <c r="I11263" s="1125"/>
      <c r="J11263" s="1125"/>
    </row>
    <row r="11264" spans="9:10" x14ac:dyDescent="0.2">
      <c r="I11264" s="1125"/>
      <c r="J11264" s="1125"/>
    </row>
    <row r="11265" spans="9:10" x14ac:dyDescent="0.2">
      <c r="I11265" s="1125"/>
      <c r="J11265" s="1125"/>
    </row>
    <row r="11266" spans="9:10" x14ac:dyDescent="0.2">
      <c r="I11266" s="1125"/>
      <c r="J11266" s="1125"/>
    </row>
    <row r="11267" spans="9:10" x14ac:dyDescent="0.2">
      <c r="I11267" s="1125"/>
      <c r="J11267" s="1125"/>
    </row>
    <row r="11268" spans="9:10" x14ac:dyDescent="0.2">
      <c r="I11268" s="1125"/>
      <c r="J11268" s="1125"/>
    </row>
    <row r="11269" spans="9:10" x14ac:dyDescent="0.2">
      <c r="I11269" s="1125"/>
      <c r="J11269" s="1125"/>
    </row>
    <row r="11270" spans="9:10" x14ac:dyDescent="0.2">
      <c r="I11270" s="1125"/>
      <c r="J11270" s="1125"/>
    </row>
    <row r="11271" spans="9:10" x14ac:dyDescent="0.2">
      <c r="I11271" s="1125"/>
      <c r="J11271" s="1125"/>
    </row>
    <row r="11272" spans="9:10" x14ac:dyDescent="0.2">
      <c r="I11272" s="1125"/>
      <c r="J11272" s="1125"/>
    </row>
    <row r="11273" spans="9:10" x14ac:dyDescent="0.2">
      <c r="I11273" s="1125"/>
      <c r="J11273" s="1125"/>
    </row>
    <row r="11274" spans="9:10" x14ac:dyDescent="0.2">
      <c r="I11274" s="1125"/>
      <c r="J11274" s="1125"/>
    </row>
    <row r="11275" spans="9:10" x14ac:dyDescent="0.2">
      <c r="I11275" s="1125"/>
      <c r="J11275" s="1125"/>
    </row>
    <row r="11276" spans="9:10" x14ac:dyDescent="0.2">
      <c r="I11276" s="1125"/>
      <c r="J11276" s="1125"/>
    </row>
    <row r="11277" spans="9:10" x14ac:dyDescent="0.2">
      <c r="I11277" s="1125"/>
      <c r="J11277" s="1125"/>
    </row>
    <row r="11278" spans="9:10" x14ac:dyDescent="0.2">
      <c r="I11278" s="1125"/>
      <c r="J11278" s="1125"/>
    </row>
    <row r="11279" spans="9:10" x14ac:dyDescent="0.2">
      <c r="I11279" s="1125"/>
      <c r="J11279" s="1125"/>
    </row>
    <row r="11280" spans="9:10" x14ac:dyDescent="0.2">
      <c r="I11280" s="1125"/>
      <c r="J11280" s="1125"/>
    </row>
    <row r="11281" spans="9:10" x14ac:dyDescent="0.2">
      <c r="I11281" s="1125"/>
      <c r="J11281" s="1125"/>
    </row>
    <row r="11282" spans="9:10" x14ac:dyDescent="0.2">
      <c r="I11282" s="1125"/>
      <c r="J11282" s="1125"/>
    </row>
    <row r="11283" spans="9:10" x14ac:dyDescent="0.2">
      <c r="I11283" s="1125"/>
      <c r="J11283" s="1125"/>
    </row>
    <row r="11284" spans="9:10" x14ac:dyDescent="0.2">
      <c r="I11284" s="1125"/>
      <c r="J11284" s="1125"/>
    </row>
    <row r="11285" spans="9:10" x14ac:dyDescent="0.2">
      <c r="I11285" s="1125"/>
      <c r="J11285" s="1125"/>
    </row>
    <row r="11286" spans="9:10" x14ac:dyDescent="0.2">
      <c r="I11286" s="1125"/>
      <c r="J11286" s="1125"/>
    </row>
    <row r="11287" spans="9:10" x14ac:dyDescent="0.2">
      <c r="I11287" s="1125"/>
      <c r="J11287" s="1125"/>
    </row>
    <row r="11288" spans="9:10" x14ac:dyDescent="0.2">
      <c r="I11288" s="1125"/>
      <c r="J11288" s="1125"/>
    </row>
    <row r="11289" spans="9:10" x14ac:dyDescent="0.2">
      <c r="I11289" s="1125"/>
      <c r="J11289" s="1125"/>
    </row>
    <row r="11290" spans="9:10" x14ac:dyDescent="0.2">
      <c r="I11290" s="1125"/>
      <c r="J11290" s="1125"/>
    </row>
    <row r="11291" spans="9:10" x14ac:dyDescent="0.2">
      <c r="I11291" s="1125"/>
      <c r="J11291" s="1125"/>
    </row>
    <row r="11292" spans="9:10" x14ac:dyDescent="0.2">
      <c r="I11292" s="1125"/>
      <c r="J11292" s="1125"/>
    </row>
    <row r="11293" spans="9:10" x14ac:dyDescent="0.2">
      <c r="I11293" s="1125"/>
      <c r="J11293" s="1125"/>
    </row>
    <row r="11294" spans="9:10" x14ac:dyDescent="0.2">
      <c r="I11294" s="1125"/>
      <c r="J11294" s="1125"/>
    </row>
    <row r="11295" spans="9:10" x14ac:dyDescent="0.2">
      <c r="I11295" s="1125"/>
      <c r="J11295" s="1125"/>
    </row>
    <row r="11296" spans="9:10" x14ac:dyDescent="0.2">
      <c r="I11296" s="1125"/>
      <c r="J11296" s="1125"/>
    </row>
    <row r="11297" spans="9:10" x14ac:dyDescent="0.2">
      <c r="I11297" s="1125"/>
      <c r="J11297" s="1125"/>
    </row>
    <row r="11298" spans="9:10" x14ac:dyDescent="0.2">
      <c r="I11298" s="1125"/>
      <c r="J11298" s="1125"/>
    </row>
    <row r="11299" spans="9:10" x14ac:dyDescent="0.2">
      <c r="I11299" s="1125"/>
      <c r="J11299" s="1125"/>
    </row>
    <row r="11300" spans="9:10" x14ac:dyDescent="0.2">
      <c r="I11300" s="1125"/>
      <c r="J11300" s="1125"/>
    </row>
    <row r="11301" spans="9:10" x14ac:dyDescent="0.2">
      <c r="I11301" s="1125"/>
      <c r="J11301" s="1125"/>
    </row>
    <row r="11302" spans="9:10" x14ac:dyDescent="0.2">
      <c r="I11302" s="1125"/>
      <c r="J11302" s="1125"/>
    </row>
    <row r="11303" spans="9:10" x14ac:dyDescent="0.2">
      <c r="I11303" s="1125"/>
      <c r="J11303" s="1125"/>
    </row>
    <row r="11304" spans="9:10" x14ac:dyDescent="0.2">
      <c r="I11304" s="1125"/>
      <c r="J11304" s="1125"/>
    </row>
    <row r="11305" spans="9:10" x14ac:dyDescent="0.2">
      <c r="I11305" s="1125"/>
      <c r="J11305" s="1125"/>
    </row>
    <row r="11306" spans="9:10" x14ac:dyDescent="0.2">
      <c r="I11306" s="1125"/>
      <c r="J11306" s="1125"/>
    </row>
    <row r="11307" spans="9:10" x14ac:dyDescent="0.2">
      <c r="I11307" s="1125"/>
      <c r="J11307" s="1125"/>
    </row>
    <row r="11308" spans="9:10" x14ac:dyDescent="0.2">
      <c r="I11308" s="1125"/>
      <c r="J11308" s="1125"/>
    </row>
    <row r="11309" spans="9:10" x14ac:dyDescent="0.2">
      <c r="I11309" s="1125"/>
      <c r="J11309" s="1125"/>
    </row>
    <row r="11310" spans="9:10" x14ac:dyDescent="0.2">
      <c r="I11310" s="1125"/>
      <c r="J11310" s="1125"/>
    </row>
    <row r="11311" spans="9:10" x14ac:dyDescent="0.2">
      <c r="I11311" s="1125"/>
      <c r="J11311" s="1125"/>
    </row>
    <row r="11312" spans="9:10" x14ac:dyDescent="0.2">
      <c r="I11312" s="1125"/>
      <c r="J11312" s="1125"/>
    </row>
    <row r="11313" spans="9:10" x14ac:dyDescent="0.2">
      <c r="I11313" s="1125"/>
      <c r="J11313" s="1125"/>
    </row>
    <row r="11314" spans="9:10" x14ac:dyDescent="0.2">
      <c r="I11314" s="1125"/>
      <c r="J11314" s="1125"/>
    </row>
    <row r="11315" spans="9:10" x14ac:dyDescent="0.2">
      <c r="I11315" s="1125"/>
      <c r="J11315" s="1125"/>
    </row>
    <row r="11316" spans="9:10" x14ac:dyDescent="0.2">
      <c r="I11316" s="1125"/>
      <c r="J11316" s="1125"/>
    </row>
    <row r="11317" spans="9:10" x14ac:dyDescent="0.2">
      <c r="I11317" s="1125"/>
      <c r="J11317" s="1125"/>
    </row>
    <row r="11318" spans="9:10" x14ac:dyDescent="0.2">
      <c r="I11318" s="1125"/>
      <c r="J11318" s="1125"/>
    </row>
    <row r="11319" spans="9:10" x14ac:dyDescent="0.2">
      <c r="I11319" s="1125"/>
      <c r="J11319" s="1125"/>
    </row>
    <row r="11320" spans="9:10" x14ac:dyDescent="0.2">
      <c r="I11320" s="1125"/>
      <c r="J11320" s="1125"/>
    </row>
    <row r="11321" spans="9:10" x14ac:dyDescent="0.2">
      <c r="I11321" s="1125"/>
      <c r="J11321" s="1125"/>
    </row>
    <row r="11322" spans="9:10" x14ac:dyDescent="0.2">
      <c r="I11322" s="1125"/>
      <c r="J11322" s="1125"/>
    </row>
    <row r="11323" spans="9:10" x14ac:dyDescent="0.2">
      <c r="I11323" s="1125"/>
      <c r="J11323" s="1125"/>
    </row>
    <row r="11324" spans="9:10" x14ac:dyDescent="0.2">
      <c r="I11324" s="1125"/>
      <c r="J11324" s="1125"/>
    </row>
    <row r="11325" spans="9:10" x14ac:dyDescent="0.2">
      <c r="I11325" s="1125"/>
      <c r="J11325" s="1125"/>
    </row>
    <row r="11326" spans="9:10" x14ac:dyDescent="0.2">
      <c r="I11326" s="1125"/>
      <c r="J11326" s="1125"/>
    </row>
    <row r="11327" spans="9:10" x14ac:dyDescent="0.2">
      <c r="I11327" s="1125"/>
      <c r="J11327" s="1125"/>
    </row>
    <row r="11328" spans="9:10" x14ac:dyDescent="0.2">
      <c r="I11328" s="1125"/>
      <c r="J11328" s="1125"/>
    </row>
    <row r="11329" spans="9:10" x14ac:dyDescent="0.2">
      <c r="I11329" s="1125"/>
      <c r="J11329" s="1125"/>
    </row>
    <row r="11330" spans="9:10" x14ac:dyDescent="0.2">
      <c r="I11330" s="1125"/>
      <c r="J11330" s="1125"/>
    </row>
    <row r="11331" spans="9:10" x14ac:dyDescent="0.2">
      <c r="I11331" s="1125"/>
      <c r="J11331" s="1125"/>
    </row>
    <row r="11332" spans="9:10" x14ac:dyDescent="0.2">
      <c r="I11332" s="1125"/>
      <c r="J11332" s="1125"/>
    </row>
    <row r="11333" spans="9:10" x14ac:dyDescent="0.2">
      <c r="I11333" s="1125"/>
      <c r="J11333" s="1125"/>
    </row>
    <row r="11334" spans="9:10" x14ac:dyDescent="0.2">
      <c r="I11334" s="1125"/>
      <c r="J11334" s="1125"/>
    </row>
    <row r="11335" spans="9:10" x14ac:dyDescent="0.2">
      <c r="I11335" s="1125"/>
      <c r="J11335" s="1125"/>
    </row>
    <row r="11336" spans="9:10" x14ac:dyDescent="0.2">
      <c r="I11336" s="1125"/>
      <c r="J11336" s="1125"/>
    </row>
    <row r="11337" spans="9:10" x14ac:dyDescent="0.2">
      <c r="I11337" s="1125"/>
      <c r="J11337" s="1125"/>
    </row>
    <row r="11338" spans="9:10" x14ac:dyDescent="0.2">
      <c r="I11338" s="1125"/>
      <c r="J11338" s="1125"/>
    </row>
    <row r="11339" spans="9:10" x14ac:dyDescent="0.2">
      <c r="I11339" s="1125"/>
      <c r="J11339" s="1125"/>
    </row>
    <row r="11340" spans="9:10" x14ac:dyDescent="0.2">
      <c r="I11340" s="1125"/>
      <c r="J11340" s="1125"/>
    </row>
    <row r="11341" spans="9:10" x14ac:dyDescent="0.2">
      <c r="I11341" s="1125"/>
      <c r="J11341" s="1125"/>
    </row>
    <row r="11342" spans="9:10" x14ac:dyDescent="0.2">
      <c r="I11342" s="1125"/>
      <c r="J11342" s="1125"/>
    </row>
    <row r="11343" spans="9:10" x14ac:dyDescent="0.2">
      <c r="I11343" s="1125"/>
      <c r="J11343" s="1125"/>
    </row>
    <row r="11344" spans="9:10" x14ac:dyDescent="0.2">
      <c r="I11344" s="1125"/>
      <c r="J11344" s="1125"/>
    </row>
    <row r="11345" spans="9:10" x14ac:dyDescent="0.2">
      <c r="I11345" s="1125"/>
      <c r="J11345" s="1125"/>
    </row>
    <row r="11346" spans="9:10" x14ac:dyDescent="0.2">
      <c r="I11346" s="1125"/>
      <c r="J11346" s="1125"/>
    </row>
    <row r="11347" spans="9:10" x14ac:dyDescent="0.2">
      <c r="I11347" s="1125"/>
      <c r="J11347" s="1125"/>
    </row>
    <row r="11348" spans="9:10" x14ac:dyDescent="0.2">
      <c r="I11348" s="1125"/>
      <c r="J11348" s="1125"/>
    </row>
    <row r="11349" spans="9:10" x14ac:dyDescent="0.2">
      <c r="I11349" s="1125"/>
      <c r="J11349" s="1125"/>
    </row>
    <row r="11350" spans="9:10" x14ac:dyDescent="0.2">
      <c r="I11350" s="1125"/>
      <c r="J11350" s="1125"/>
    </row>
    <row r="11351" spans="9:10" x14ac:dyDescent="0.2">
      <c r="I11351" s="1125"/>
      <c r="J11351" s="1125"/>
    </row>
    <row r="11352" spans="9:10" x14ac:dyDescent="0.2">
      <c r="I11352" s="1125"/>
      <c r="J11352" s="1125"/>
    </row>
    <row r="11353" spans="9:10" x14ac:dyDescent="0.2">
      <c r="I11353" s="1125"/>
      <c r="J11353" s="1125"/>
    </row>
    <row r="11354" spans="9:10" x14ac:dyDescent="0.2">
      <c r="I11354" s="1125"/>
      <c r="J11354" s="1125"/>
    </row>
    <row r="11355" spans="9:10" x14ac:dyDescent="0.2">
      <c r="I11355" s="1125"/>
      <c r="J11355" s="1125"/>
    </row>
    <row r="11356" spans="9:10" x14ac:dyDescent="0.2">
      <c r="I11356" s="1125"/>
      <c r="J11356" s="1125"/>
    </row>
    <row r="11357" spans="9:10" x14ac:dyDescent="0.2">
      <c r="I11357" s="1125"/>
      <c r="J11357" s="1125"/>
    </row>
    <row r="11358" spans="9:10" x14ac:dyDescent="0.2">
      <c r="I11358" s="1125"/>
      <c r="J11358" s="1125"/>
    </row>
    <row r="11359" spans="9:10" x14ac:dyDescent="0.2">
      <c r="I11359" s="1125"/>
      <c r="J11359" s="1125"/>
    </row>
    <row r="11360" spans="9:10" x14ac:dyDescent="0.2">
      <c r="I11360" s="1125"/>
      <c r="J11360" s="1125"/>
    </row>
    <row r="11361" spans="9:10" x14ac:dyDescent="0.2">
      <c r="I11361" s="1125"/>
      <c r="J11361" s="1125"/>
    </row>
    <row r="11362" spans="9:10" x14ac:dyDescent="0.2">
      <c r="I11362" s="1125"/>
      <c r="J11362" s="1125"/>
    </row>
    <row r="11363" spans="9:10" x14ac:dyDescent="0.2">
      <c r="I11363" s="1125"/>
      <c r="J11363" s="1125"/>
    </row>
    <row r="11364" spans="9:10" x14ac:dyDescent="0.2">
      <c r="I11364" s="1125"/>
      <c r="J11364" s="1125"/>
    </row>
    <row r="11365" spans="9:10" x14ac:dyDescent="0.2">
      <c r="I11365" s="1125"/>
      <c r="J11365" s="1125"/>
    </row>
    <row r="11366" spans="9:10" x14ac:dyDescent="0.2">
      <c r="I11366" s="1125"/>
      <c r="J11366" s="1125"/>
    </row>
    <row r="11367" spans="9:10" x14ac:dyDescent="0.2">
      <c r="I11367" s="1125"/>
      <c r="J11367" s="1125"/>
    </row>
    <row r="11368" spans="9:10" x14ac:dyDescent="0.2">
      <c r="I11368" s="1125"/>
      <c r="J11368" s="1125"/>
    </row>
    <row r="11369" spans="9:10" x14ac:dyDescent="0.2">
      <c r="I11369" s="1125"/>
      <c r="J11369" s="1125"/>
    </row>
    <row r="11370" spans="9:10" x14ac:dyDescent="0.2">
      <c r="I11370" s="1125"/>
      <c r="J11370" s="1125"/>
    </row>
    <row r="11371" spans="9:10" x14ac:dyDescent="0.2">
      <c r="I11371" s="1125"/>
      <c r="J11371" s="1125"/>
    </row>
    <row r="11372" spans="9:10" x14ac:dyDescent="0.2">
      <c r="I11372" s="1125"/>
      <c r="J11372" s="1125"/>
    </row>
    <row r="11373" spans="9:10" x14ac:dyDescent="0.2">
      <c r="I11373" s="1125"/>
      <c r="J11373" s="1125"/>
    </row>
    <row r="11374" spans="9:10" x14ac:dyDescent="0.2">
      <c r="I11374" s="1125"/>
      <c r="J11374" s="1125"/>
    </row>
    <row r="11375" spans="9:10" x14ac:dyDescent="0.2">
      <c r="I11375" s="1125"/>
      <c r="J11375" s="1125"/>
    </row>
    <row r="11376" spans="9:10" x14ac:dyDescent="0.2">
      <c r="I11376" s="1125"/>
      <c r="J11376" s="1125"/>
    </row>
    <row r="11377" spans="9:10" x14ac:dyDescent="0.2">
      <c r="I11377" s="1125"/>
      <c r="J11377" s="1125"/>
    </row>
    <row r="11378" spans="9:10" x14ac:dyDescent="0.2">
      <c r="I11378" s="1125"/>
      <c r="J11378" s="1125"/>
    </row>
    <row r="11379" spans="9:10" x14ac:dyDescent="0.2">
      <c r="I11379" s="1125"/>
      <c r="J11379" s="1125"/>
    </row>
    <row r="11380" spans="9:10" x14ac:dyDescent="0.2">
      <c r="I11380" s="1125"/>
      <c r="J11380" s="1125"/>
    </row>
    <row r="11381" spans="9:10" x14ac:dyDescent="0.2">
      <c r="I11381" s="1125"/>
      <c r="J11381" s="1125"/>
    </row>
    <row r="11382" spans="9:10" x14ac:dyDescent="0.2">
      <c r="I11382" s="1125"/>
      <c r="J11382" s="1125"/>
    </row>
    <row r="11383" spans="9:10" x14ac:dyDescent="0.2">
      <c r="I11383" s="1125"/>
      <c r="J11383" s="1125"/>
    </row>
    <row r="11384" spans="9:10" x14ac:dyDescent="0.2">
      <c r="I11384" s="1125"/>
      <c r="J11384" s="1125"/>
    </row>
    <row r="11385" spans="9:10" x14ac:dyDescent="0.2">
      <c r="I11385" s="1125"/>
      <c r="J11385" s="1125"/>
    </row>
    <row r="11386" spans="9:10" x14ac:dyDescent="0.2">
      <c r="I11386" s="1125"/>
      <c r="J11386" s="1125"/>
    </row>
    <row r="11387" spans="9:10" x14ac:dyDescent="0.2">
      <c r="I11387" s="1125"/>
      <c r="J11387" s="1125"/>
    </row>
    <row r="11388" spans="9:10" x14ac:dyDescent="0.2">
      <c r="I11388" s="1125"/>
      <c r="J11388" s="1125"/>
    </row>
    <row r="11389" spans="9:10" x14ac:dyDescent="0.2">
      <c r="I11389" s="1125"/>
      <c r="J11389" s="1125"/>
    </row>
    <row r="11390" spans="9:10" x14ac:dyDescent="0.2">
      <c r="I11390" s="1125"/>
      <c r="J11390" s="1125"/>
    </row>
    <row r="11391" spans="9:10" x14ac:dyDescent="0.2">
      <c r="I11391" s="1125"/>
      <c r="J11391" s="1125"/>
    </row>
    <row r="11392" spans="9:10" x14ac:dyDescent="0.2">
      <c r="I11392" s="1125"/>
      <c r="J11392" s="1125"/>
    </row>
    <row r="11393" spans="9:10" x14ac:dyDescent="0.2">
      <c r="I11393" s="1125"/>
      <c r="J11393" s="1125"/>
    </row>
    <row r="11394" spans="9:10" x14ac:dyDescent="0.2">
      <c r="I11394" s="1125"/>
      <c r="J11394" s="1125"/>
    </row>
    <row r="11395" spans="9:10" x14ac:dyDescent="0.2">
      <c r="I11395" s="1125"/>
      <c r="J11395" s="1125"/>
    </row>
    <row r="11396" spans="9:10" x14ac:dyDescent="0.2">
      <c r="I11396" s="1125"/>
      <c r="J11396" s="1125"/>
    </row>
    <row r="11397" spans="9:10" x14ac:dyDescent="0.2">
      <c r="I11397" s="1125"/>
      <c r="J11397" s="1125"/>
    </row>
    <row r="11398" spans="9:10" x14ac:dyDescent="0.2">
      <c r="I11398" s="1125"/>
      <c r="J11398" s="1125"/>
    </row>
    <row r="11399" spans="9:10" x14ac:dyDescent="0.2">
      <c r="I11399" s="1125"/>
      <c r="J11399" s="1125"/>
    </row>
    <row r="11400" spans="9:10" x14ac:dyDescent="0.2">
      <c r="I11400" s="1125"/>
      <c r="J11400" s="1125"/>
    </row>
    <row r="11401" spans="9:10" x14ac:dyDescent="0.2">
      <c r="I11401" s="1125"/>
      <c r="J11401" s="1125"/>
    </row>
    <row r="11402" spans="9:10" x14ac:dyDescent="0.2">
      <c r="I11402" s="1125"/>
      <c r="J11402" s="1125"/>
    </row>
    <row r="11403" spans="9:10" x14ac:dyDescent="0.2">
      <c r="I11403" s="1125"/>
      <c r="J11403" s="1125"/>
    </row>
    <row r="11404" spans="9:10" x14ac:dyDescent="0.2">
      <c r="I11404" s="1125"/>
      <c r="J11404" s="1125"/>
    </row>
    <row r="11405" spans="9:10" x14ac:dyDescent="0.2">
      <c r="I11405" s="1125"/>
      <c r="J11405" s="1125"/>
    </row>
    <row r="11406" spans="9:10" x14ac:dyDescent="0.2">
      <c r="I11406" s="1125"/>
      <c r="J11406" s="1125"/>
    </row>
    <row r="11407" spans="9:10" x14ac:dyDescent="0.2">
      <c r="I11407" s="1125"/>
      <c r="J11407" s="1125"/>
    </row>
    <row r="11408" spans="9:10" x14ac:dyDescent="0.2">
      <c r="I11408" s="1125"/>
      <c r="J11408" s="1125"/>
    </row>
    <row r="11409" spans="9:10" x14ac:dyDescent="0.2">
      <c r="I11409" s="1125"/>
      <c r="J11409" s="1125"/>
    </row>
    <row r="11410" spans="9:10" x14ac:dyDescent="0.2">
      <c r="I11410" s="1125"/>
      <c r="J11410" s="1125"/>
    </row>
    <row r="11411" spans="9:10" x14ac:dyDescent="0.2">
      <c r="I11411" s="1125"/>
      <c r="J11411" s="1125"/>
    </row>
    <row r="11412" spans="9:10" x14ac:dyDescent="0.2">
      <c r="I11412" s="1125"/>
      <c r="J11412" s="1125"/>
    </row>
    <row r="11413" spans="9:10" x14ac:dyDescent="0.2">
      <c r="I11413" s="1125"/>
      <c r="J11413" s="1125"/>
    </row>
    <row r="11414" spans="9:10" x14ac:dyDescent="0.2">
      <c r="I11414" s="1125"/>
      <c r="J11414" s="1125"/>
    </row>
    <row r="11415" spans="9:10" x14ac:dyDescent="0.2">
      <c r="I11415" s="1125"/>
      <c r="J11415" s="1125"/>
    </row>
    <row r="11416" spans="9:10" x14ac:dyDescent="0.2">
      <c r="I11416" s="1125"/>
      <c r="J11416" s="1125"/>
    </row>
    <row r="11417" spans="9:10" x14ac:dyDescent="0.2">
      <c r="I11417" s="1125"/>
      <c r="J11417" s="1125"/>
    </row>
    <row r="11418" spans="9:10" x14ac:dyDescent="0.2">
      <c r="I11418" s="1125"/>
      <c r="J11418" s="1125"/>
    </row>
    <row r="11419" spans="9:10" x14ac:dyDescent="0.2">
      <c r="I11419" s="1125"/>
      <c r="J11419" s="1125"/>
    </row>
    <row r="11420" spans="9:10" x14ac:dyDescent="0.2">
      <c r="I11420" s="1125"/>
      <c r="J11420" s="1125"/>
    </row>
    <row r="11421" spans="9:10" x14ac:dyDescent="0.2">
      <c r="I11421" s="1125"/>
      <c r="J11421" s="1125"/>
    </row>
    <row r="11422" spans="9:10" x14ac:dyDescent="0.2">
      <c r="I11422" s="1125"/>
      <c r="J11422" s="1125"/>
    </row>
    <row r="11423" spans="9:10" x14ac:dyDescent="0.2">
      <c r="I11423" s="1125"/>
      <c r="J11423" s="1125"/>
    </row>
    <row r="11424" spans="9:10" x14ac:dyDescent="0.2">
      <c r="I11424" s="1125"/>
      <c r="J11424" s="1125"/>
    </row>
    <row r="11425" spans="9:10" x14ac:dyDescent="0.2">
      <c r="I11425" s="1125"/>
      <c r="J11425" s="1125"/>
    </row>
    <row r="11426" spans="9:10" x14ac:dyDescent="0.2">
      <c r="I11426" s="1125"/>
      <c r="J11426" s="1125"/>
    </row>
    <row r="11427" spans="9:10" x14ac:dyDescent="0.2">
      <c r="I11427" s="1125"/>
      <c r="J11427" s="1125"/>
    </row>
    <row r="11428" spans="9:10" x14ac:dyDescent="0.2">
      <c r="I11428" s="1125"/>
      <c r="J11428" s="1125"/>
    </row>
    <row r="11429" spans="9:10" x14ac:dyDescent="0.2">
      <c r="I11429" s="1125"/>
      <c r="J11429" s="1125"/>
    </row>
    <row r="11430" spans="9:10" x14ac:dyDescent="0.2">
      <c r="I11430" s="1125"/>
      <c r="J11430" s="1125"/>
    </row>
    <row r="11431" spans="9:10" x14ac:dyDescent="0.2">
      <c r="I11431" s="1125"/>
      <c r="J11431" s="1125"/>
    </row>
    <row r="11432" spans="9:10" x14ac:dyDescent="0.2">
      <c r="I11432" s="1125"/>
      <c r="J11432" s="1125"/>
    </row>
    <row r="11433" spans="9:10" x14ac:dyDescent="0.2">
      <c r="I11433" s="1125"/>
      <c r="J11433" s="1125"/>
    </row>
    <row r="11434" spans="9:10" x14ac:dyDescent="0.2">
      <c r="I11434" s="1125"/>
      <c r="J11434" s="1125"/>
    </row>
    <row r="11435" spans="9:10" x14ac:dyDescent="0.2">
      <c r="I11435" s="1125"/>
      <c r="J11435" s="1125"/>
    </row>
    <row r="11436" spans="9:10" x14ac:dyDescent="0.2">
      <c r="I11436" s="1125"/>
      <c r="J11436" s="1125"/>
    </row>
    <row r="11437" spans="9:10" x14ac:dyDescent="0.2">
      <c r="I11437" s="1125"/>
      <c r="J11437" s="1125"/>
    </row>
    <row r="11438" spans="9:10" x14ac:dyDescent="0.2">
      <c r="I11438" s="1125"/>
      <c r="J11438" s="1125"/>
    </row>
    <row r="11439" spans="9:10" x14ac:dyDescent="0.2">
      <c r="I11439" s="1125"/>
      <c r="J11439" s="1125"/>
    </row>
    <row r="11440" spans="9:10" x14ac:dyDescent="0.2">
      <c r="I11440" s="1125"/>
      <c r="J11440" s="1125"/>
    </row>
    <row r="11441" spans="9:10" x14ac:dyDescent="0.2">
      <c r="I11441" s="1125"/>
      <c r="J11441" s="1125"/>
    </row>
    <row r="11442" spans="9:10" x14ac:dyDescent="0.2">
      <c r="I11442" s="1125"/>
      <c r="J11442" s="1125"/>
    </row>
    <row r="11443" spans="9:10" x14ac:dyDescent="0.2">
      <c r="I11443" s="1125"/>
      <c r="J11443" s="1125"/>
    </row>
    <row r="11444" spans="9:10" x14ac:dyDescent="0.2">
      <c r="I11444" s="1125"/>
      <c r="J11444" s="1125"/>
    </row>
    <row r="11445" spans="9:10" x14ac:dyDescent="0.2">
      <c r="I11445" s="1125"/>
      <c r="J11445" s="1125"/>
    </row>
    <row r="11446" spans="9:10" x14ac:dyDescent="0.2">
      <c r="I11446" s="1125"/>
      <c r="J11446" s="1125"/>
    </row>
    <row r="11447" spans="9:10" x14ac:dyDescent="0.2">
      <c r="I11447" s="1125"/>
      <c r="J11447" s="1125"/>
    </row>
    <row r="11448" spans="9:10" x14ac:dyDescent="0.2">
      <c r="I11448" s="1125"/>
      <c r="J11448" s="1125"/>
    </row>
    <row r="11449" spans="9:10" x14ac:dyDescent="0.2">
      <c r="I11449" s="1125"/>
      <c r="J11449" s="1125"/>
    </row>
    <row r="11450" spans="9:10" x14ac:dyDescent="0.2">
      <c r="I11450" s="1125"/>
      <c r="J11450" s="1125"/>
    </row>
    <row r="11451" spans="9:10" x14ac:dyDescent="0.2">
      <c r="I11451" s="1125"/>
      <c r="J11451" s="1125"/>
    </row>
    <row r="11452" spans="9:10" x14ac:dyDescent="0.2">
      <c r="I11452" s="1125"/>
      <c r="J11452" s="1125"/>
    </row>
    <row r="11453" spans="9:10" x14ac:dyDescent="0.2">
      <c r="I11453" s="1125"/>
      <c r="J11453" s="1125"/>
    </row>
    <row r="11454" spans="9:10" x14ac:dyDescent="0.2">
      <c r="I11454" s="1125"/>
      <c r="J11454" s="1125"/>
    </row>
    <row r="11455" spans="9:10" x14ac:dyDescent="0.2">
      <c r="I11455" s="1125"/>
      <c r="J11455" s="1125"/>
    </row>
    <row r="11456" spans="9:10" x14ac:dyDescent="0.2">
      <c r="I11456" s="1125"/>
      <c r="J11456" s="1125"/>
    </row>
    <row r="11457" spans="9:10" x14ac:dyDescent="0.2">
      <c r="I11457" s="1125"/>
      <c r="J11457" s="1125"/>
    </row>
    <row r="11458" spans="9:10" x14ac:dyDescent="0.2">
      <c r="I11458" s="1125"/>
      <c r="J11458" s="1125"/>
    </row>
    <row r="11459" spans="9:10" x14ac:dyDescent="0.2">
      <c r="I11459" s="1125"/>
      <c r="J11459" s="1125"/>
    </row>
    <row r="11460" spans="9:10" x14ac:dyDescent="0.2">
      <c r="I11460" s="1125"/>
      <c r="J11460" s="1125"/>
    </row>
    <row r="11461" spans="9:10" x14ac:dyDescent="0.2">
      <c r="I11461" s="1125"/>
      <c r="J11461" s="1125"/>
    </row>
    <row r="11462" spans="9:10" x14ac:dyDescent="0.2">
      <c r="I11462" s="1125"/>
      <c r="J11462" s="1125"/>
    </row>
    <row r="11463" spans="9:10" x14ac:dyDescent="0.2">
      <c r="I11463" s="1125"/>
      <c r="J11463" s="1125"/>
    </row>
    <row r="11464" spans="9:10" x14ac:dyDescent="0.2">
      <c r="I11464" s="1125"/>
      <c r="J11464" s="1125"/>
    </row>
    <row r="11465" spans="9:10" x14ac:dyDescent="0.2">
      <c r="I11465" s="1125"/>
      <c r="J11465" s="1125"/>
    </row>
    <row r="11466" spans="9:10" x14ac:dyDescent="0.2">
      <c r="I11466" s="1125"/>
      <c r="J11466" s="1125"/>
    </row>
    <row r="11467" spans="9:10" x14ac:dyDescent="0.2">
      <c r="I11467" s="1125"/>
      <c r="J11467" s="1125"/>
    </row>
    <row r="11468" spans="9:10" x14ac:dyDescent="0.2">
      <c r="I11468" s="1125"/>
      <c r="J11468" s="1125"/>
    </row>
    <row r="11469" spans="9:10" x14ac:dyDescent="0.2">
      <c r="I11469" s="1125"/>
      <c r="J11469" s="1125"/>
    </row>
    <row r="11470" spans="9:10" x14ac:dyDescent="0.2">
      <c r="I11470" s="1125"/>
      <c r="J11470" s="1125"/>
    </row>
    <row r="11471" spans="9:10" x14ac:dyDescent="0.2">
      <c r="I11471" s="1125"/>
      <c r="J11471" s="1125"/>
    </row>
    <row r="11472" spans="9:10" x14ac:dyDescent="0.2">
      <c r="I11472" s="1125"/>
      <c r="J11472" s="1125"/>
    </row>
    <row r="11473" spans="9:10" x14ac:dyDescent="0.2">
      <c r="I11473" s="1125"/>
      <c r="J11473" s="1125"/>
    </row>
    <row r="11474" spans="9:10" x14ac:dyDescent="0.2">
      <c r="I11474" s="1125"/>
      <c r="J11474" s="1125"/>
    </row>
    <row r="11475" spans="9:10" x14ac:dyDescent="0.2">
      <c r="I11475" s="1125"/>
      <c r="J11475" s="1125"/>
    </row>
    <row r="11476" spans="9:10" x14ac:dyDescent="0.2">
      <c r="I11476" s="1125"/>
      <c r="J11476" s="1125"/>
    </row>
    <row r="11477" spans="9:10" x14ac:dyDescent="0.2">
      <c r="I11477" s="1125"/>
      <c r="J11477" s="1125"/>
    </row>
    <row r="11478" spans="9:10" x14ac:dyDescent="0.2">
      <c r="I11478" s="1125"/>
      <c r="J11478" s="1125"/>
    </row>
    <row r="11479" spans="9:10" x14ac:dyDescent="0.2">
      <c r="I11479" s="1125"/>
      <c r="J11479" s="1125"/>
    </row>
    <row r="11480" spans="9:10" x14ac:dyDescent="0.2">
      <c r="I11480" s="1125"/>
      <c r="J11480" s="1125"/>
    </row>
    <row r="11481" spans="9:10" x14ac:dyDescent="0.2">
      <c r="I11481" s="1125"/>
      <c r="J11481" s="1125"/>
    </row>
    <row r="11482" spans="9:10" x14ac:dyDescent="0.2">
      <c r="I11482" s="1125"/>
      <c r="J11482" s="1125"/>
    </row>
    <row r="11483" spans="9:10" x14ac:dyDescent="0.2">
      <c r="I11483" s="1125"/>
      <c r="J11483" s="1125"/>
    </row>
    <row r="11484" spans="9:10" x14ac:dyDescent="0.2">
      <c r="I11484" s="1125"/>
      <c r="J11484" s="1125"/>
    </row>
    <row r="11485" spans="9:10" x14ac:dyDescent="0.2">
      <c r="I11485" s="1125"/>
      <c r="J11485" s="1125"/>
    </row>
    <row r="11486" spans="9:10" x14ac:dyDescent="0.2">
      <c r="I11486" s="1125"/>
      <c r="J11486" s="1125"/>
    </row>
    <row r="11487" spans="9:10" x14ac:dyDescent="0.2">
      <c r="I11487" s="1125"/>
      <c r="J11487" s="1125"/>
    </row>
    <row r="11488" spans="9:10" x14ac:dyDescent="0.2">
      <c r="I11488" s="1125"/>
      <c r="J11488" s="1125"/>
    </row>
    <row r="11489" spans="9:10" x14ac:dyDescent="0.2">
      <c r="I11489" s="1125"/>
      <c r="J11489" s="1125"/>
    </row>
    <row r="11490" spans="9:10" x14ac:dyDescent="0.2">
      <c r="I11490" s="1125"/>
      <c r="J11490" s="1125"/>
    </row>
    <row r="11491" spans="9:10" x14ac:dyDescent="0.2">
      <c r="I11491" s="1125"/>
      <c r="J11491" s="1125"/>
    </row>
    <row r="11492" spans="9:10" x14ac:dyDescent="0.2">
      <c r="I11492" s="1125"/>
      <c r="J11492" s="1125"/>
    </row>
    <row r="11493" spans="9:10" x14ac:dyDescent="0.2">
      <c r="I11493" s="1125"/>
      <c r="J11493" s="1125"/>
    </row>
    <row r="11494" spans="9:10" x14ac:dyDescent="0.2">
      <c r="I11494" s="1125"/>
      <c r="J11494" s="1125"/>
    </row>
    <row r="11495" spans="9:10" x14ac:dyDescent="0.2">
      <c r="I11495" s="1125"/>
      <c r="J11495" s="1125"/>
    </row>
    <row r="11496" spans="9:10" x14ac:dyDescent="0.2">
      <c r="I11496" s="1125"/>
      <c r="J11496" s="1125"/>
    </row>
    <row r="11497" spans="9:10" x14ac:dyDescent="0.2">
      <c r="I11497" s="1125"/>
      <c r="J11497" s="1125"/>
    </row>
    <row r="11498" spans="9:10" x14ac:dyDescent="0.2">
      <c r="I11498" s="1125"/>
      <c r="J11498" s="1125"/>
    </row>
    <row r="11499" spans="9:10" x14ac:dyDescent="0.2">
      <c r="I11499" s="1125"/>
      <c r="J11499" s="1125"/>
    </row>
    <row r="11500" spans="9:10" x14ac:dyDescent="0.2">
      <c r="I11500" s="1125"/>
      <c r="J11500" s="1125"/>
    </row>
    <row r="11501" spans="9:10" x14ac:dyDescent="0.2">
      <c r="I11501" s="1125"/>
      <c r="J11501" s="1125"/>
    </row>
    <row r="11502" spans="9:10" x14ac:dyDescent="0.2">
      <c r="I11502" s="1125"/>
      <c r="J11502" s="1125"/>
    </row>
    <row r="11503" spans="9:10" x14ac:dyDescent="0.2">
      <c r="I11503" s="1125"/>
      <c r="J11503" s="1125"/>
    </row>
    <row r="11504" spans="9:10" x14ac:dyDescent="0.2">
      <c r="I11504" s="1125"/>
      <c r="J11504" s="1125"/>
    </row>
    <row r="11505" spans="9:10" x14ac:dyDescent="0.2">
      <c r="I11505" s="1125"/>
      <c r="J11505" s="1125"/>
    </row>
    <row r="11506" spans="9:10" x14ac:dyDescent="0.2">
      <c r="I11506" s="1125"/>
      <c r="J11506" s="1125"/>
    </row>
    <row r="11507" spans="9:10" x14ac:dyDescent="0.2">
      <c r="I11507" s="1125"/>
      <c r="J11507" s="1125"/>
    </row>
    <row r="11508" spans="9:10" x14ac:dyDescent="0.2">
      <c r="I11508" s="1125"/>
      <c r="J11508" s="1125"/>
    </row>
    <row r="11509" spans="9:10" x14ac:dyDescent="0.2">
      <c r="I11509" s="1125"/>
      <c r="J11509" s="1125"/>
    </row>
    <row r="11510" spans="9:10" x14ac:dyDescent="0.2">
      <c r="I11510" s="1125"/>
      <c r="J11510" s="1125"/>
    </row>
    <row r="11511" spans="9:10" x14ac:dyDescent="0.2">
      <c r="I11511" s="1125"/>
      <c r="J11511" s="1125"/>
    </row>
    <row r="11512" spans="9:10" x14ac:dyDescent="0.2">
      <c r="I11512" s="1125"/>
      <c r="J11512" s="1125"/>
    </row>
    <row r="11513" spans="9:10" x14ac:dyDescent="0.2">
      <c r="I11513" s="1125"/>
      <c r="J11513" s="1125"/>
    </row>
    <row r="11514" spans="9:10" x14ac:dyDescent="0.2">
      <c r="I11514" s="1125"/>
      <c r="J11514" s="1125"/>
    </row>
    <row r="11515" spans="9:10" x14ac:dyDescent="0.2">
      <c r="I11515" s="1125"/>
      <c r="J11515" s="1125"/>
    </row>
    <row r="11516" spans="9:10" x14ac:dyDescent="0.2">
      <c r="I11516" s="1125"/>
      <c r="J11516" s="1125"/>
    </row>
    <row r="11517" spans="9:10" x14ac:dyDescent="0.2">
      <c r="I11517" s="1125"/>
      <c r="J11517" s="1125"/>
    </row>
    <row r="11518" spans="9:10" x14ac:dyDescent="0.2">
      <c r="I11518" s="1125"/>
      <c r="J11518" s="1125"/>
    </row>
    <row r="11519" spans="9:10" x14ac:dyDescent="0.2">
      <c r="I11519" s="1125"/>
      <c r="J11519" s="1125"/>
    </row>
    <row r="11520" spans="9:10" x14ac:dyDescent="0.2">
      <c r="I11520" s="1125"/>
      <c r="J11520" s="1125"/>
    </row>
    <row r="11521" spans="9:10" x14ac:dyDescent="0.2">
      <c r="I11521" s="1125"/>
      <c r="J11521" s="1125"/>
    </row>
    <row r="11522" spans="9:10" x14ac:dyDescent="0.2">
      <c r="I11522" s="1125"/>
      <c r="J11522" s="1125"/>
    </row>
    <row r="11523" spans="9:10" x14ac:dyDescent="0.2">
      <c r="I11523" s="1125"/>
      <c r="J11523" s="1125"/>
    </row>
    <row r="11524" spans="9:10" x14ac:dyDescent="0.2">
      <c r="I11524" s="1125"/>
      <c r="J11524" s="1125"/>
    </row>
    <row r="11525" spans="9:10" x14ac:dyDescent="0.2">
      <c r="I11525" s="1125"/>
      <c r="J11525" s="1125"/>
    </row>
    <row r="11526" spans="9:10" x14ac:dyDescent="0.2">
      <c r="I11526" s="1125"/>
      <c r="J11526" s="1125"/>
    </row>
    <row r="11527" spans="9:10" x14ac:dyDescent="0.2">
      <c r="I11527" s="1125"/>
      <c r="J11527" s="1125"/>
    </row>
    <row r="11528" spans="9:10" x14ac:dyDescent="0.2">
      <c r="I11528" s="1125"/>
      <c r="J11528" s="1125"/>
    </row>
    <row r="11529" spans="9:10" x14ac:dyDescent="0.2">
      <c r="I11529" s="1125"/>
      <c r="J11529" s="1125"/>
    </row>
    <row r="11530" spans="9:10" x14ac:dyDescent="0.2">
      <c r="I11530" s="1125"/>
      <c r="J11530" s="1125"/>
    </row>
    <row r="11531" spans="9:10" x14ac:dyDescent="0.2">
      <c r="I11531" s="1125"/>
      <c r="J11531" s="1125"/>
    </row>
    <row r="11532" spans="9:10" x14ac:dyDescent="0.2">
      <c r="I11532" s="1125"/>
      <c r="J11532" s="1125"/>
    </row>
    <row r="11533" spans="9:10" x14ac:dyDescent="0.2">
      <c r="I11533" s="1125"/>
      <c r="J11533" s="1125"/>
    </row>
    <row r="11534" spans="9:10" x14ac:dyDescent="0.2">
      <c r="I11534" s="1125"/>
      <c r="J11534" s="1125"/>
    </row>
    <row r="11535" spans="9:10" x14ac:dyDescent="0.2">
      <c r="I11535" s="1125"/>
      <c r="J11535" s="1125"/>
    </row>
    <row r="11536" spans="9:10" x14ac:dyDescent="0.2">
      <c r="I11536" s="1125"/>
      <c r="J11536" s="1125"/>
    </row>
    <row r="11537" spans="9:10" x14ac:dyDescent="0.2">
      <c r="I11537" s="1125"/>
      <c r="J11537" s="1125"/>
    </row>
    <row r="11538" spans="9:10" x14ac:dyDescent="0.2">
      <c r="I11538" s="1125"/>
      <c r="J11538" s="1125"/>
    </row>
    <row r="11539" spans="9:10" x14ac:dyDescent="0.2">
      <c r="I11539" s="1125"/>
      <c r="J11539" s="1125"/>
    </row>
    <row r="11540" spans="9:10" x14ac:dyDescent="0.2">
      <c r="I11540" s="1125"/>
      <c r="J11540" s="1125"/>
    </row>
    <row r="11541" spans="9:10" x14ac:dyDescent="0.2">
      <c r="I11541" s="1125"/>
      <c r="J11541" s="1125"/>
    </row>
    <row r="11542" spans="9:10" x14ac:dyDescent="0.2">
      <c r="I11542" s="1125"/>
      <c r="J11542" s="1125"/>
    </row>
    <row r="11543" spans="9:10" x14ac:dyDescent="0.2">
      <c r="I11543" s="1125"/>
      <c r="J11543" s="1125"/>
    </row>
    <row r="11544" spans="9:10" x14ac:dyDescent="0.2">
      <c r="I11544" s="1125"/>
      <c r="J11544" s="1125"/>
    </row>
    <row r="11545" spans="9:10" x14ac:dyDescent="0.2">
      <c r="I11545" s="1125"/>
      <c r="J11545" s="1125"/>
    </row>
    <row r="11546" spans="9:10" x14ac:dyDescent="0.2">
      <c r="I11546" s="1125"/>
      <c r="J11546" s="1125"/>
    </row>
    <row r="11547" spans="9:10" x14ac:dyDescent="0.2">
      <c r="I11547" s="1125"/>
      <c r="J11547" s="1125"/>
    </row>
    <row r="11548" spans="9:10" x14ac:dyDescent="0.2">
      <c r="I11548" s="1125"/>
      <c r="J11548" s="1125"/>
    </row>
    <row r="11549" spans="9:10" x14ac:dyDescent="0.2">
      <c r="I11549" s="1125"/>
      <c r="J11549" s="1125"/>
    </row>
    <row r="11550" spans="9:10" x14ac:dyDescent="0.2">
      <c r="I11550" s="1125"/>
      <c r="J11550" s="1125"/>
    </row>
    <row r="11551" spans="9:10" x14ac:dyDescent="0.2">
      <c r="I11551" s="1125"/>
      <c r="J11551" s="1125"/>
    </row>
    <row r="11552" spans="9:10" x14ac:dyDescent="0.2">
      <c r="I11552" s="1125"/>
      <c r="J11552" s="1125"/>
    </row>
    <row r="11553" spans="9:10" x14ac:dyDescent="0.2">
      <c r="I11553" s="1125"/>
      <c r="J11553" s="1125"/>
    </row>
    <row r="11554" spans="9:10" x14ac:dyDescent="0.2">
      <c r="I11554" s="1125"/>
      <c r="J11554" s="1125"/>
    </row>
    <row r="11555" spans="9:10" x14ac:dyDescent="0.2">
      <c r="I11555" s="1125"/>
      <c r="J11555" s="1125"/>
    </row>
    <row r="11556" spans="9:10" x14ac:dyDescent="0.2">
      <c r="I11556" s="1125"/>
      <c r="J11556" s="1125"/>
    </row>
    <row r="11557" spans="9:10" x14ac:dyDescent="0.2">
      <c r="I11557" s="1125"/>
      <c r="J11557" s="1125"/>
    </row>
    <row r="11558" spans="9:10" x14ac:dyDescent="0.2">
      <c r="I11558" s="1125"/>
      <c r="J11558" s="1125"/>
    </row>
    <row r="11559" spans="9:10" x14ac:dyDescent="0.2">
      <c r="I11559" s="1125"/>
      <c r="J11559" s="1125"/>
    </row>
    <row r="11560" spans="9:10" x14ac:dyDescent="0.2">
      <c r="I11560" s="1125"/>
      <c r="J11560" s="1125"/>
    </row>
    <row r="11561" spans="9:10" x14ac:dyDescent="0.2">
      <c r="I11561" s="1125"/>
      <c r="J11561" s="1125"/>
    </row>
    <row r="11562" spans="9:10" x14ac:dyDescent="0.2">
      <c r="I11562" s="1125"/>
      <c r="J11562" s="1125"/>
    </row>
    <row r="11563" spans="9:10" x14ac:dyDescent="0.2">
      <c r="I11563" s="1125"/>
      <c r="J11563" s="1125"/>
    </row>
    <row r="11564" spans="9:10" x14ac:dyDescent="0.2">
      <c r="I11564" s="1125"/>
      <c r="J11564" s="1125"/>
    </row>
    <row r="11565" spans="9:10" x14ac:dyDescent="0.2">
      <c r="I11565" s="1125"/>
      <c r="J11565" s="1125"/>
    </row>
    <row r="11566" spans="9:10" x14ac:dyDescent="0.2">
      <c r="I11566" s="1125"/>
      <c r="J11566" s="1125"/>
    </row>
    <row r="11567" spans="9:10" x14ac:dyDescent="0.2">
      <c r="I11567" s="1125"/>
      <c r="J11567" s="1125"/>
    </row>
    <row r="11568" spans="9:10" x14ac:dyDescent="0.2">
      <c r="I11568" s="1125"/>
      <c r="J11568" s="1125"/>
    </row>
    <row r="11569" spans="9:10" x14ac:dyDescent="0.2">
      <c r="I11569" s="1125"/>
      <c r="J11569" s="1125"/>
    </row>
    <row r="11570" spans="9:10" x14ac:dyDescent="0.2">
      <c r="I11570" s="1125"/>
      <c r="J11570" s="1125"/>
    </row>
    <row r="11571" spans="9:10" x14ac:dyDescent="0.2">
      <c r="I11571" s="1125"/>
      <c r="J11571" s="1125"/>
    </row>
    <row r="11572" spans="9:10" x14ac:dyDescent="0.2">
      <c r="I11572" s="1125"/>
      <c r="J11572" s="1125"/>
    </row>
    <row r="11573" spans="9:10" x14ac:dyDescent="0.2">
      <c r="I11573" s="1125"/>
      <c r="J11573" s="1125"/>
    </row>
    <row r="11574" spans="9:10" x14ac:dyDescent="0.2">
      <c r="I11574" s="1125"/>
      <c r="J11574" s="1125"/>
    </row>
    <row r="11575" spans="9:10" x14ac:dyDescent="0.2">
      <c r="I11575" s="1125"/>
      <c r="J11575" s="1125"/>
    </row>
    <row r="11576" spans="9:10" x14ac:dyDescent="0.2">
      <c r="I11576" s="1125"/>
      <c r="J11576" s="1125"/>
    </row>
    <row r="11577" spans="9:10" x14ac:dyDescent="0.2">
      <c r="I11577" s="1125"/>
      <c r="J11577" s="1125"/>
    </row>
    <row r="11578" spans="9:10" x14ac:dyDescent="0.2">
      <c r="I11578" s="1125"/>
      <c r="J11578" s="1125"/>
    </row>
    <row r="11579" spans="9:10" x14ac:dyDescent="0.2">
      <c r="I11579" s="1125"/>
      <c r="J11579" s="1125"/>
    </row>
    <row r="11580" spans="9:10" x14ac:dyDescent="0.2">
      <c r="I11580" s="1125"/>
      <c r="J11580" s="1125"/>
    </row>
    <row r="11581" spans="9:10" x14ac:dyDescent="0.2">
      <c r="I11581" s="1125"/>
      <c r="J11581" s="1125"/>
    </row>
    <row r="11582" spans="9:10" x14ac:dyDescent="0.2">
      <c r="I11582" s="1125"/>
      <c r="J11582" s="1125"/>
    </row>
    <row r="11583" spans="9:10" x14ac:dyDescent="0.2">
      <c r="I11583" s="1125"/>
      <c r="J11583" s="1125"/>
    </row>
    <row r="11584" spans="9:10" x14ac:dyDescent="0.2">
      <c r="I11584" s="1125"/>
      <c r="J11584" s="1125"/>
    </row>
    <row r="11585" spans="9:10" x14ac:dyDescent="0.2">
      <c r="I11585" s="1125"/>
      <c r="J11585" s="1125"/>
    </row>
    <row r="11586" spans="9:10" x14ac:dyDescent="0.2">
      <c r="I11586" s="1125"/>
      <c r="J11586" s="1125"/>
    </row>
    <row r="11587" spans="9:10" x14ac:dyDescent="0.2">
      <c r="I11587" s="1125"/>
      <c r="J11587" s="1125"/>
    </row>
    <row r="11588" spans="9:10" x14ac:dyDescent="0.2">
      <c r="I11588" s="1125"/>
      <c r="J11588" s="1125"/>
    </row>
    <row r="11589" spans="9:10" x14ac:dyDescent="0.2">
      <c r="I11589" s="1125"/>
      <c r="J11589" s="1125"/>
    </row>
    <row r="11590" spans="9:10" x14ac:dyDescent="0.2">
      <c r="I11590" s="1125"/>
      <c r="J11590" s="1125"/>
    </row>
    <row r="11591" spans="9:10" x14ac:dyDescent="0.2">
      <c r="I11591" s="1125"/>
      <c r="J11591" s="1125"/>
    </row>
    <row r="11592" spans="9:10" x14ac:dyDescent="0.2">
      <c r="I11592" s="1125"/>
      <c r="J11592" s="1125"/>
    </row>
    <row r="11593" spans="9:10" x14ac:dyDescent="0.2">
      <c r="I11593" s="1125"/>
      <c r="J11593" s="1125"/>
    </row>
    <row r="11594" spans="9:10" x14ac:dyDescent="0.2">
      <c r="I11594" s="1125"/>
      <c r="J11594" s="1125"/>
    </row>
    <row r="11595" spans="9:10" x14ac:dyDescent="0.2">
      <c r="I11595" s="1125"/>
      <c r="J11595" s="1125"/>
    </row>
    <row r="11596" spans="9:10" x14ac:dyDescent="0.2">
      <c r="I11596" s="1125"/>
      <c r="J11596" s="1125"/>
    </row>
    <row r="11597" spans="9:10" x14ac:dyDescent="0.2">
      <c r="I11597" s="1125"/>
      <c r="J11597" s="1125"/>
    </row>
    <row r="11598" spans="9:10" x14ac:dyDescent="0.2">
      <c r="I11598" s="1125"/>
      <c r="J11598" s="1125"/>
    </row>
    <row r="11599" spans="9:10" x14ac:dyDescent="0.2">
      <c r="I11599" s="1125"/>
      <c r="J11599" s="1125"/>
    </row>
    <row r="11600" spans="9:10" x14ac:dyDescent="0.2">
      <c r="I11600" s="1125"/>
      <c r="J11600" s="1125"/>
    </row>
    <row r="11601" spans="9:10" x14ac:dyDescent="0.2">
      <c r="I11601" s="1125"/>
      <c r="J11601" s="1125"/>
    </row>
    <row r="11602" spans="9:10" x14ac:dyDescent="0.2">
      <c r="I11602" s="1125"/>
      <c r="J11602" s="1125"/>
    </row>
    <row r="11603" spans="9:10" x14ac:dyDescent="0.2">
      <c r="I11603" s="1125"/>
      <c r="J11603" s="1125"/>
    </row>
    <row r="11604" spans="9:10" x14ac:dyDescent="0.2">
      <c r="I11604" s="1125"/>
      <c r="J11604" s="1125"/>
    </row>
    <row r="11605" spans="9:10" x14ac:dyDescent="0.2">
      <c r="I11605" s="1125"/>
      <c r="J11605" s="1125"/>
    </row>
    <row r="11606" spans="9:10" x14ac:dyDescent="0.2">
      <c r="I11606" s="1125"/>
      <c r="J11606" s="1125"/>
    </row>
    <row r="11607" spans="9:10" x14ac:dyDescent="0.2">
      <c r="I11607" s="1125"/>
      <c r="J11607" s="1125"/>
    </row>
    <row r="11608" spans="9:10" x14ac:dyDescent="0.2">
      <c r="I11608" s="1125"/>
      <c r="J11608" s="1125"/>
    </row>
    <row r="11609" spans="9:10" x14ac:dyDescent="0.2">
      <c r="I11609" s="1125"/>
      <c r="J11609" s="1125"/>
    </row>
    <row r="11610" spans="9:10" x14ac:dyDescent="0.2">
      <c r="I11610" s="1125"/>
      <c r="J11610" s="1125"/>
    </row>
    <row r="11611" spans="9:10" x14ac:dyDescent="0.2">
      <c r="I11611" s="1125"/>
      <c r="J11611" s="1125"/>
    </row>
    <row r="11612" spans="9:10" x14ac:dyDescent="0.2">
      <c r="I11612" s="1125"/>
      <c r="J11612" s="1125"/>
    </row>
    <row r="11613" spans="9:10" x14ac:dyDescent="0.2">
      <c r="I11613" s="1125"/>
      <c r="J11613" s="1125"/>
    </row>
    <row r="11614" spans="9:10" x14ac:dyDescent="0.2">
      <c r="I11614" s="1125"/>
      <c r="J11614" s="1125"/>
    </row>
    <row r="11615" spans="9:10" x14ac:dyDescent="0.2">
      <c r="I11615" s="1125"/>
      <c r="J11615" s="1125"/>
    </row>
    <row r="11616" spans="9:10" x14ac:dyDescent="0.2">
      <c r="I11616" s="1125"/>
      <c r="J11616" s="1125"/>
    </row>
    <row r="11617" spans="9:10" x14ac:dyDescent="0.2">
      <c r="I11617" s="1125"/>
      <c r="J11617" s="1125"/>
    </row>
    <row r="11618" spans="9:10" x14ac:dyDescent="0.2">
      <c r="I11618" s="1125"/>
      <c r="J11618" s="1125"/>
    </row>
    <row r="11619" spans="9:10" x14ac:dyDescent="0.2">
      <c r="I11619" s="1125"/>
      <c r="J11619" s="1125"/>
    </row>
    <row r="11620" spans="9:10" x14ac:dyDescent="0.2">
      <c r="I11620" s="1125"/>
      <c r="J11620" s="1125"/>
    </row>
    <row r="11621" spans="9:10" x14ac:dyDescent="0.2">
      <c r="I11621" s="1125"/>
      <c r="J11621" s="1125"/>
    </row>
    <row r="11622" spans="9:10" x14ac:dyDescent="0.2">
      <c r="I11622" s="1125"/>
      <c r="J11622" s="1125"/>
    </row>
    <row r="11623" spans="9:10" x14ac:dyDescent="0.2">
      <c r="I11623" s="1125"/>
      <c r="J11623" s="1125"/>
    </row>
    <row r="11624" spans="9:10" x14ac:dyDescent="0.2">
      <c r="I11624" s="1125"/>
      <c r="J11624" s="1125"/>
    </row>
    <row r="11625" spans="9:10" x14ac:dyDescent="0.2">
      <c r="I11625" s="1125"/>
      <c r="J11625" s="1125"/>
    </row>
    <row r="11626" spans="9:10" x14ac:dyDescent="0.2">
      <c r="I11626" s="1125"/>
      <c r="J11626" s="1125"/>
    </row>
    <row r="11627" spans="9:10" x14ac:dyDescent="0.2">
      <c r="I11627" s="1125"/>
      <c r="J11627" s="1125"/>
    </row>
    <row r="11628" spans="9:10" x14ac:dyDescent="0.2">
      <c r="I11628" s="1125"/>
      <c r="J11628" s="1125"/>
    </row>
    <row r="11629" spans="9:10" x14ac:dyDescent="0.2">
      <c r="I11629" s="1125"/>
      <c r="J11629" s="1125"/>
    </row>
    <row r="11630" spans="9:10" x14ac:dyDescent="0.2">
      <c r="I11630" s="1125"/>
      <c r="J11630" s="1125"/>
    </row>
    <row r="11631" spans="9:10" x14ac:dyDescent="0.2">
      <c r="I11631" s="1125"/>
      <c r="J11631" s="1125"/>
    </row>
    <row r="11632" spans="9:10" x14ac:dyDescent="0.2">
      <c r="I11632" s="1125"/>
      <c r="J11632" s="1125"/>
    </row>
    <row r="11633" spans="9:10" x14ac:dyDescent="0.2">
      <c r="I11633" s="1125"/>
      <c r="J11633" s="1125"/>
    </row>
    <row r="11634" spans="9:10" x14ac:dyDescent="0.2">
      <c r="I11634" s="1125"/>
      <c r="J11634" s="1125"/>
    </row>
    <row r="11635" spans="9:10" x14ac:dyDescent="0.2">
      <c r="I11635" s="1125"/>
      <c r="J11635" s="1125"/>
    </row>
    <row r="11636" spans="9:10" x14ac:dyDescent="0.2">
      <c r="I11636" s="1125"/>
      <c r="J11636" s="1125"/>
    </row>
    <row r="11637" spans="9:10" x14ac:dyDescent="0.2">
      <c r="I11637" s="1125"/>
      <c r="J11637" s="1125"/>
    </row>
    <row r="11638" spans="9:10" x14ac:dyDescent="0.2">
      <c r="I11638" s="1125"/>
      <c r="J11638" s="1125"/>
    </row>
    <row r="11639" spans="9:10" x14ac:dyDescent="0.2">
      <c r="I11639" s="1125"/>
      <c r="J11639" s="1125"/>
    </row>
    <row r="11640" spans="9:10" x14ac:dyDescent="0.2">
      <c r="I11640" s="1125"/>
      <c r="J11640" s="1125"/>
    </row>
    <row r="11641" spans="9:10" x14ac:dyDescent="0.2">
      <c r="I11641" s="1125"/>
      <c r="J11641" s="1125"/>
    </row>
    <row r="11642" spans="9:10" x14ac:dyDescent="0.2">
      <c r="I11642" s="1125"/>
      <c r="J11642" s="1125"/>
    </row>
    <row r="11643" spans="9:10" x14ac:dyDescent="0.2">
      <c r="I11643" s="1125"/>
      <c r="J11643" s="1125"/>
    </row>
    <row r="11644" spans="9:10" x14ac:dyDescent="0.2">
      <c r="I11644" s="1125"/>
      <c r="J11644" s="1125"/>
    </row>
    <row r="11645" spans="9:10" x14ac:dyDescent="0.2">
      <c r="I11645" s="1125"/>
      <c r="J11645" s="1125"/>
    </row>
    <row r="11646" spans="9:10" x14ac:dyDescent="0.2">
      <c r="I11646" s="1125"/>
      <c r="J11646" s="1125"/>
    </row>
    <row r="11647" spans="9:10" x14ac:dyDescent="0.2">
      <c r="I11647" s="1125"/>
      <c r="J11647" s="1125"/>
    </row>
    <row r="11648" spans="9:10" x14ac:dyDescent="0.2">
      <c r="I11648" s="1125"/>
      <c r="J11648" s="1125"/>
    </row>
    <row r="11649" spans="9:10" x14ac:dyDescent="0.2">
      <c r="I11649" s="1125"/>
      <c r="J11649" s="1125"/>
    </row>
    <row r="11650" spans="9:10" x14ac:dyDescent="0.2">
      <c r="I11650" s="1125"/>
      <c r="J11650" s="1125"/>
    </row>
    <row r="11651" spans="9:10" x14ac:dyDescent="0.2">
      <c r="I11651" s="1125"/>
      <c r="J11651" s="1125"/>
    </row>
    <row r="11652" spans="9:10" x14ac:dyDescent="0.2">
      <c r="I11652" s="1125"/>
      <c r="J11652" s="1125"/>
    </row>
    <row r="11653" spans="9:10" x14ac:dyDescent="0.2">
      <c r="I11653" s="1125"/>
      <c r="J11653" s="1125"/>
    </row>
    <row r="11654" spans="9:10" x14ac:dyDescent="0.2">
      <c r="I11654" s="1125"/>
      <c r="J11654" s="1125"/>
    </row>
    <row r="11655" spans="9:10" x14ac:dyDescent="0.2">
      <c r="I11655" s="1125"/>
      <c r="J11655" s="1125"/>
    </row>
    <row r="11656" spans="9:10" x14ac:dyDescent="0.2">
      <c r="I11656" s="1125"/>
      <c r="J11656" s="1125"/>
    </row>
    <row r="11657" spans="9:10" x14ac:dyDescent="0.2">
      <c r="I11657" s="1125"/>
      <c r="J11657" s="1125"/>
    </row>
    <row r="11658" spans="9:10" x14ac:dyDescent="0.2">
      <c r="I11658" s="1125"/>
      <c r="J11658" s="1125"/>
    </row>
    <row r="11659" spans="9:10" x14ac:dyDescent="0.2">
      <c r="I11659" s="1125"/>
      <c r="J11659" s="1125"/>
    </row>
    <row r="11660" spans="9:10" x14ac:dyDescent="0.2">
      <c r="I11660" s="1125"/>
      <c r="J11660" s="1125"/>
    </row>
    <row r="11661" spans="9:10" x14ac:dyDescent="0.2">
      <c r="I11661" s="1125"/>
      <c r="J11661" s="1125"/>
    </row>
    <row r="11662" spans="9:10" x14ac:dyDescent="0.2">
      <c r="I11662" s="1125"/>
      <c r="J11662" s="1125"/>
    </row>
    <row r="11663" spans="9:10" x14ac:dyDescent="0.2">
      <c r="I11663" s="1125"/>
      <c r="J11663" s="1125"/>
    </row>
    <row r="11664" spans="9:10" x14ac:dyDescent="0.2">
      <c r="I11664" s="1125"/>
      <c r="J11664" s="1125"/>
    </row>
    <row r="11665" spans="9:10" x14ac:dyDescent="0.2">
      <c r="I11665" s="1125"/>
      <c r="J11665" s="1125"/>
    </row>
    <row r="11666" spans="9:10" x14ac:dyDescent="0.2">
      <c r="I11666" s="1125"/>
      <c r="J11666" s="1125"/>
    </row>
    <row r="11667" spans="9:10" x14ac:dyDescent="0.2">
      <c r="I11667" s="1125"/>
      <c r="J11667" s="1125"/>
    </row>
    <row r="11668" spans="9:10" x14ac:dyDescent="0.2">
      <c r="I11668" s="1125"/>
      <c r="J11668" s="1125"/>
    </row>
    <row r="11669" spans="9:10" x14ac:dyDescent="0.2">
      <c r="I11669" s="1125"/>
      <c r="J11669" s="1125"/>
    </row>
    <row r="11670" spans="9:10" x14ac:dyDescent="0.2">
      <c r="I11670" s="1125"/>
      <c r="J11670" s="1125"/>
    </row>
    <row r="11671" spans="9:10" x14ac:dyDescent="0.2">
      <c r="I11671" s="1125"/>
      <c r="J11671" s="1125"/>
    </row>
    <row r="11672" spans="9:10" x14ac:dyDescent="0.2">
      <c r="I11672" s="1125"/>
      <c r="J11672" s="1125"/>
    </row>
    <row r="11673" spans="9:10" x14ac:dyDescent="0.2">
      <c r="I11673" s="1125"/>
      <c r="J11673" s="1125"/>
    </row>
    <row r="11674" spans="9:10" x14ac:dyDescent="0.2">
      <c r="I11674" s="1125"/>
      <c r="J11674" s="1125"/>
    </row>
    <row r="11675" spans="9:10" x14ac:dyDescent="0.2">
      <c r="I11675" s="1125"/>
      <c r="J11675" s="1125"/>
    </row>
    <row r="11676" spans="9:10" x14ac:dyDescent="0.2">
      <c r="I11676" s="1125"/>
      <c r="J11676" s="1125"/>
    </row>
    <row r="11677" spans="9:10" x14ac:dyDescent="0.2">
      <c r="I11677" s="1125"/>
      <c r="J11677" s="1125"/>
    </row>
    <row r="11678" spans="9:10" x14ac:dyDescent="0.2">
      <c r="I11678" s="1125"/>
      <c r="J11678" s="1125"/>
    </row>
    <row r="11679" spans="9:10" x14ac:dyDescent="0.2">
      <c r="I11679" s="1125"/>
      <c r="J11679" s="1125"/>
    </row>
    <row r="11680" spans="9:10" x14ac:dyDescent="0.2">
      <c r="I11680" s="1125"/>
      <c r="J11680" s="1125"/>
    </row>
    <row r="11681" spans="9:10" x14ac:dyDescent="0.2">
      <c r="I11681" s="1125"/>
      <c r="J11681" s="1125"/>
    </row>
    <row r="11682" spans="9:10" x14ac:dyDescent="0.2">
      <c r="I11682" s="1125"/>
      <c r="J11682" s="1125"/>
    </row>
    <row r="11683" spans="9:10" x14ac:dyDescent="0.2">
      <c r="I11683" s="1125"/>
      <c r="J11683" s="1125"/>
    </row>
    <row r="11684" spans="9:10" x14ac:dyDescent="0.2">
      <c r="I11684" s="1125"/>
      <c r="J11684" s="1125"/>
    </row>
    <row r="11685" spans="9:10" x14ac:dyDescent="0.2">
      <c r="I11685" s="1125"/>
      <c r="J11685" s="1125"/>
    </row>
    <row r="11686" spans="9:10" x14ac:dyDescent="0.2">
      <c r="I11686" s="1125"/>
      <c r="J11686" s="1125"/>
    </row>
    <row r="11687" spans="9:10" x14ac:dyDescent="0.2">
      <c r="I11687" s="1125"/>
      <c r="J11687" s="1125"/>
    </row>
    <row r="11688" spans="9:10" x14ac:dyDescent="0.2">
      <c r="I11688" s="1125"/>
      <c r="J11688" s="1125"/>
    </row>
    <row r="11689" spans="9:10" x14ac:dyDescent="0.2">
      <c r="I11689" s="1125"/>
      <c r="J11689" s="1125"/>
    </row>
    <row r="11690" spans="9:10" x14ac:dyDescent="0.2">
      <c r="I11690" s="1125"/>
      <c r="J11690" s="1125"/>
    </row>
    <row r="11691" spans="9:10" x14ac:dyDescent="0.2">
      <c r="I11691" s="1125"/>
      <c r="J11691" s="1125"/>
    </row>
    <row r="11692" spans="9:10" x14ac:dyDescent="0.2">
      <c r="I11692" s="1125"/>
      <c r="J11692" s="1125"/>
    </row>
    <row r="11693" spans="9:10" x14ac:dyDescent="0.2">
      <c r="I11693" s="1125"/>
      <c r="J11693" s="1125"/>
    </row>
    <row r="11694" spans="9:10" x14ac:dyDescent="0.2">
      <c r="I11694" s="1125"/>
      <c r="J11694" s="1125"/>
    </row>
    <row r="11695" spans="9:10" x14ac:dyDescent="0.2">
      <c r="I11695" s="1125"/>
      <c r="J11695" s="1125"/>
    </row>
    <row r="11696" spans="9:10" x14ac:dyDescent="0.2">
      <c r="I11696" s="1125"/>
      <c r="J11696" s="1125"/>
    </row>
    <row r="11697" spans="9:10" x14ac:dyDescent="0.2">
      <c r="I11697" s="1125"/>
      <c r="J11697" s="1125"/>
    </row>
    <row r="11698" spans="9:10" x14ac:dyDescent="0.2">
      <c r="I11698" s="1125"/>
      <c r="J11698" s="1125"/>
    </row>
    <row r="11699" spans="9:10" x14ac:dyDescent="0.2">
      <c r="I11699" s="1125"/>
      <c r="J11699" s="1125"/>
    </row>
    <row r="11700" spans="9:10" x14ac:dyDescent="0.2">
      <c r="I11700" s="1125"/>
      <c r="J11700" s="1125"/>
    </row>
    <row r="11701" spans="9:10" x14ac:dyDescent="0.2">
      <c r="I11701" s="1125"/>
      <c r="J11701" s="1125"/>
    </row>
    <row r="11702" spans="9:10" x14ac:dyDescent="0.2">
      <c r="I11702" s="1125"/>
      <c r="J11702" s="1125"/>
    </row>
    <row r="11703" spans="9:10" x14ac:dyDescent="0.2">
      <c r="I11703" s="1125"/>
      <c r="J11703" s="1125"/>
    </row>
    <row r="11704" spans="9:10" x14ac:dyDescent="0.2">
      <c r="I11704" s="1125"/>
      <c r="J11704" s="1125"/>
    </row>
    <row r="11705" spans="9:10" x14ac:dyDescent="0.2">
      <c r="I11705" s="1125"/>
      <c r="J11705" s="1125"/>
    </row>
    <row r="11706" spans="9:10" x14ac:dyDescent="0.2">
      <c r="I11706" s="1125"/>
      <c r="J11706" s="1125"/>
    </row>
    <row r="11707" spans="9:10" x14ac:dyDescent="0.2">
      <c r="I11707" s="1125"/>
      <c r="J11707" s="1125"/>
    </row>
    <row r="11708" spans="9:10" x14ac:dyDescent="0.2">
      <c r="I11708" s="1125"/>
      <c r="J11708" s="1125"/>
    </row>
    <row r="11709" spans="9:10" x14ac:dyDescent="0.2">
      <c r="I11709" s="1125"/>
      <c r="J11709" s="1125"/>
    </row>
    <row r="11710" spans="9:10" x14ac:dyDescent="0.2">
      <c r="I11710" s="1125"/>
      <c r="J11710" s="1125"/>
    </row>
    <row r="11711" spans="9:10" x14ac:dyDescent="0.2">
      <c r="I11711" s="1125"/>
      <c r="J11711" s="1125"/>
    </row>
    <row r="11712" spans="9:10" x14ac:dyDescent="0.2">
      <c r="I11712" s="1125"/>
      <c r="J11712" s="1125"/>
    </row>
    <row r="11713" spans="9:10" x14ac:dyDescent="0.2">
      <c r="I11713" s="1125"/>
      <c r="J11713" s="1125"/>
    </row>
    <row r="11714" spans="9:10" x14ac:dyDescent="0.2">
      <c r="I11714" s="1125"/>
      <c r="J11714" s="1125"/>
    </row>
    <row r="11715" spans="9:10" x14ac:dyDescent="0.2">
      <c r="I11715" s="1125"/>
      <c r="J11715" s="1125"/>
    </row>
    <row r="11716" spans="9:10" x14ac:dyDescent="0.2">
      <c r="I11716" s="1125"/>
      <c r="J11716" s="1125"/>
    </row>
    <row r="11717" spans="9:10" x14ac:dyDescent="0.2">
      <c r="I11717" s="1125"/>
      <c r="J11717" s="1125"/>
    </row>
    <row r="11718" spans="9:10" x14ac:dyDescent="0.2">
      <c r="I11718" s="1125"/>
      <c r="J11718" s="1125"/>
    </row>
    <row r="11719" spans="9:10" x14ac:dyDescent="0.2">
      <c r="I11719" s="1125"/>
      <c r="J11719" s="1125"/>
    </row>
    <row r="11720" spans="9:10" x14ac:dyDescent="0.2">
      <c r="I11720" s="1125"/>
      <c r="J11720" s="1125"/>
    </row>
    <row r="11721" spans="9:10" x14ac:dyDescent="0.2">
      <c r="I11721" s="1125"/>
      <c r="J11721" s="1125"/>
    </row>
    <row r="11722" spans="9:10" x14ac:dyDescent="0.2">
      <c r="I11722" s="1125"/>
      <c r="J11722" s="1125"/>
    </row>
    <row r="11723" spans="9:10" x14ac:dyDescent="0.2">
      <c r="I11723" s="1125"/>
      <c r="J11723" s="1125"/>
    </row>
    <row r="11724" spans="9:10" x14ac:dyDescent="0.2">
      <c r="I11724" s="1125"/>
      <c r="J11724" s="1125"/>
    </row>
    <row r="11725" spans="9:10" x14ac:dyDescent="0.2">
      <c r="I11725" s="1125"/>
      <c r="J11725" s="1125"/>
    </row>
    <row r="11726" spans="9:10" x14ac:dyDescent="0.2">
      <c r="I11726" s="1125"/>
      <c r="J11726" s="1125"/>
    </row>
    <row r="11727" spans="9:10" x14ac:dyDescent="0.2">
      <c r="I11727" s="1125"/>
      <c r="J11727" s="1125"/>
    </row>
    <row r="11728" spans="9:10" x14ac:dyDescent="0.2">
      <c r="I11728" s="1125"/>
      <c r="J11728" s="1125"/>
    </row>
    <row r="11729" spans="9:10" x14ac:dyDescent="0.2">
      <c r="I11729" s="1125"/>
      <c r="J11729" s="1125"/>
    </row>
    <row r="11730" spans="9:10" x14ac:dyDescent="0.2">
      <c r="I11730" s="1125"/>
      <c r="J11730" s="1125"/>
    </row>
    <row r="11731" spans="9:10" x14ac:dyDescent="0.2">
      <c r="I11731" s="1125"/>
      <c r="J11731" s="1125"/>
    </row>
    <row r="11732" spans="9:10" x14ac:dyDescent="0.2">
      <c r="I11732" s="1125"/>
      <c r="J11732" s="1125"/>
    </row>
    <row r="11733" spans="9:10" x14ac:dyDescent="0.2">
      <c r="I11733" s="1125"/>
      <c r="J11733" s="1125"/>
    </row>
    <row r="11734" spans="9:10" x14ac:dyDescent="0.2">
      <c r="I11734" s="1125"/>
      <c r="J11734" s="1125"/>
    </row>
    <row r="11735" spans="9:10" x14ac:dyDescent="0.2">
      <c r="I11735" s="1125"/>
      <c r="J11735" s="1125"/>
    </row>
    <row r="11736" spans="9:10" x14ac:dyDescent="0.2">
      <c r="I11736" s="1125"/>
      <c r="J11736" s="1125"/>
    </row>
    <row r="11737" spans="9:10" x14ac:dyDescent="0.2">
      <c r="I11737" s="1125"/>
      <c r="J11737" s="1125"/>
    </row>
    <row r="11738" spans="9:10" x14ac:dyDescent="0.2">
      <c r="I11738" s="1125"/>
      <c r="J11738" s="1125"/>
    </row>
    <row r="11739" spans="9:10" x14ac:dyDescent="0.2">
      <c r="I11739" s="1125"/>
      <c r="J11739" s="1125"/>
    </row>
    <row r="11740" spans="9:10" x14ac:dyDescent="0.2">
      <c r="I11740" s="1125"/>
      <c r="J11740" s="1125"/>
    </row>
    <row r="11741" spans="9:10" x14ac:dyDescent="0.2">
      <c r="I11741" s="1125"/>
      <c r="J11741" s="1125"/>
    </row>
    <row r="11742" spans="9:10" x14ac:dyDescent="0.2">
      <c r="I11742" s="1125"/>
      <c r="J11742" s="1125"/>
    </row>
    <row r="11743" spans="9:10" x14ac:dyDescent="0.2">
      <c r="I11743" s="1125"/>
      <c r="J11743" s="1125"/>
    </row>
    <row r="11744" spans="9:10" x14ac:dyDescent="0.2">
      <c r="I11744" s="1125"/>
      <c r="J11744" s="1125"/>
    </row>
    <row r="11745" spans="9:10" x14ac:dyDescent="0.2">
      <c r="I11745" s="1125"/>
      <c r="J11745" s="1125"/>
    </row>
    <row r="11746" spans="9:10" x14ac:dyDescent="0.2">
      <c r="I11746" s="1125"/>
      <c r="J11746" s="1125"/>
    </row>
    <row r="11747" spans="9:10" x14ac:dyDescent="0.2">
      <c r="I11747" s="1125"/>
      <c r="J11747" s="1125"/>
    </row>
    <row r="11748" spans="9:10" x14ac:dyDescent="0.2">
      <c r="I11748" s="1125"/>
      <c r="J11748" s="1125"/>
    </row>
    <row r="11749" spans="9:10" x14ac:dyDescent="0.2">
      <c r="I11749" s="1125"/>
      <c r="J11749" s="1125"/>
    </row>
    <row r="11750" spans="9:10" x14ac:dyDescent="0.2">
      <c r="I11750" s="1125"/>
      <c r="J11750" s="1125"/>
    </row>
    <row r="11751" spans="9:10" x14ac:dyDescent="0.2">
      <c r="I11751" s="1125"/>
      <c r="J11751" s="1125"/>
    </row>
    <row r="11752" spans="9:10" x14ac:dyDescent="0.2">
      <c r="I11752" s="1125"/>
      <c r="J11752" s="1125"/>
    </row>
    <row r="11753" spans="9:10" x14ac:dyDescent="0.2">
      <c r="I11753" s="1125"/>
      <c r="J11753" s="1125"/>
    </row>
    <row r="11754" spans="9:10" x14ac:dyDescent="0.2">
      <c r="I11754" s="1125"/>
      <c r="J11754" s="1125"/>
    </row>
    <row r="11755" spans="9:10" x14ac:dyDescent="0.2">
      <c r="I11755" s="1125"/>
      <c r="J11755" s="1125"/>
    </row>
    <row r="11756" spans="9:10" x14ac:dyDescent="0.2">
      <c r="I11756" s="1125"/>
      <c r="J11756" s="1125"/>
    </row>
    <row r="11757" spans="9:10" x14ac:dyDescent="0.2">
      <c r="I11757" s="1125"/>
      <c r="J11757" s="1125"/>
    </row>
    <row r="11758" spans="9:10" x14ac:dyDescent="0.2">
      <c r="I11758" s="1125"/>
      <c r="J11758" s="1125"/>
    </row>
    <row r="11759" spans="9:10" x14ac:dyDescent="0.2">
      <c r="I11759" s="1125"/>
      <c r="J11759" s="1125"/>
    </row>
    <row r="11760" spans="9:10" x14ac:dyDescent="0.2">
      <c r="I11760" s="1125"/>
      <c r="J11760" s="1125"/>
    </row>
    <row r="11761" spans="9:10" x14ac:dyDescent="0.2">
      <c r="I11761" s="1125"/>
      <c r="J11761" s="1125"/>
    </row>
    <row r="11762" spans="9:10" x14ac:dyDescent="0.2">
      <c r="I11762" s="1125"/>
      <c r="J11762" s="1125"/>
    </row>
    <row r="11763" spans="9:10" x14ac:dyDescent="0.2">
      <c r="I11763" s="1125"/>
      <c r="J11763" s="1125"/>
    </row>
    <row r="11764" spans="9:10" x14ac:dyDescent="0.2">
      <c r="I11764" s="1125"/>
      <c r="J11764" s="1125"/>
    </row>
    <row r="11765" spans="9:10" x14ac:dyDescent="0.2">
      <c r="I11765" s="1125"/>
      <c r="J11765" s="1125"/>
    </row>
    <row r="11766" spans="9:10" x14ac:dyDescent="0.2">
      <c r="I11766" s="1125"/>
      <c r="J11766" s="1125"/>
    </row>
    <row r="11767" spans="9:10" x14ac:dyDescent="0.2">
      <c r="I11767" s="1125"/>
      <c r="J11767" s="1125"/>
    </row>
    <row r="11768" spans="9:10" x14ac:dyDescent="0.2">
      <c r="I11768" s="1125"/>
      <c r="J11768" s="1125"/>
    </row>
    <row r="11769" spans="9:10" x14ac:dyDescent="0.2">
      <c r="I11769" s="1125"/>
      <c r="J11769" s="1125"/>
    </row>
    <row r="11770" spans="9:10" x14ac:dyDescent="0.2">
      <c r="I11770" s="1125"/>
      <c r="J11770" s="1125"/>
    </row>
    <row r="11771" spans="9:10" x14ac:dyDescent="0.2">
      <c r="I11771" s="1125"/>
      <c r="J11771" s="1125"/>
    </row>
    <row r="11772" spans="9:10" x14ac:dyDescent="0.2">
      <c r="I11772" s="1125"/>
      <c r="J11772" s="1125"/>
    </row>
    <row r="11773" spans="9:10" x14ac:dyDescent="0.2">
      <c r="I11773" s="1125"/>
      <c r="J11773" s="1125"/>
    </row>
    <row r="11774" spans="9:10" x14ac:dyDescent="0.2">
      <c r="I11774" s="1125"/>
      <c r="J11774" s="1125"/>
    </row>
    <row r="11775" spans="9:10" x14ac:dyDescent="0.2">
      <c r="I11775" s="1125"/>
      <c r="J11775" s="1125"/>
    </row>
    <row r="11776" spans="9:10" x14ac:dyDescent="0.2">
      <c r="I11776" s="1125"/>
      <c r="J11776" s="1125"/>
    </row>
    <row r="11777" spans="9:10" x14ac:dyDescent="0.2">
      <c r="I11777" s="1125"/>
      <c r="J11777" s="1125"/>
    </row>
    <row r="11778" spans="9:10" x14ac:dyDescent="0.2">
      <c r="I11778" s="1125"/>
      <c r="J11778" s="1125"/>
    </row>
    <row r="11779" spans="9:10" x14ac:dyDescent="0.2">
      <c r="I11779" s="1125"/>
      <c r="J11779" s="1125"/>
    </row>
    <row r="11780" spans="9:10" x14ac:dyDescent="0.2">
      <c r="I11780" s="1125"/>
      <c r="J11780" s="1125"/>
    </row>
    <row r="11781" spans="9:10" x14ac:dyDescent="0.2">
      <c r="I11781" s="1125"/>
      <c r="J11781" s="1125"/>
    </row>
    <row r="11782" spans="9:10" x14ac:dyDescent="0.2">
      <c r="I11782" s="1125"/>
      <c r="J11782" s="1125"/>
    </row>
    <row r="11783" spans="9:10" x14ac:dyDescent="0.2">
      <c r="I11783" s="1125"/>
      <c r="J11783" s="1125"/>
    </row>
    <row r="11784" spans="9:10" x14ac:dyDescent="0.2">
      <c r="I11784" s="1125"/>
      <c r="J11784" s="1125"/>
    </row>
    <row r="11785" spans="9:10" x14ac:dyDescent="0.2">
      <c r="I11785" s="1125"/>
      <c r="J11785" s="1125"/>
    </row>
    <row r="11786" spans="9:10" x14ac:dyDescent="0.2">
      <c r="I11786" s="1125"/>
      <c r="J11786" s="1125"/>
    </row>
    <row r="11787" spans="9:10" x14ac:dyDescent="0.2">
      <c r="I11787" s="1125"/>
      <c r="J11787" s="1125"/>
    </row>
    <row r="11788" spans="9:10" x14ac:dyDescent="0.2">
      <c r="I11788" s="1125"/>
      <c r="J11788" s="1125"/>
    </row>
    <row r="11789" spans="9:10" x14ac:dyDescent="0.2">
      <c r="I11789" s="1125"/>
      <c r="J11789" s="1125"/>
    </row>
    <row r="11790" spans="9:10" x14ac:dyDescent="0.2">
      <c r="I11790" s="1125"/>
      <c r="J11790" s="1125"/>
    </row>
    <row r="11791" spans="9:10" x14ac:dyDescent="0.2">
      <c r="I11791" s="1125"/>
      <c r="J11791" s="1125"/>
    </row>
    <row r="11792" spans="9:10" x14ac:dyDescent="0.2">
      <c r="I11792" s="1125"/>
      <c r="J11792" s="1125"/>
    </row>
    <row r="11793" spans="9:10" x14ac:dyDescent="0.2">
      <c r="I11793" s="1125"/>
      <c r="J11793" s="1125"/>
    </row>
    <row r="11794" spans="9:10" x14ac:dyDescent="0.2">
      <c r="I11794" s="1125"/>
      <c r="J11794" s="1125"/>
    </row>
    <row r="11795" spans="9:10" x14ac:dyDescent="0.2">
      <c r="I11795" s="1125"/>
      <c r="J11795" s="1125"/>
    </row>
    <row r="11796" spans="9:10" x14ac:dyDescent="0.2">
      <c r="I11796" s="1125"/>
      <c r="J11796" s="1125"/>
    </row>
    <row r="11797" spans="9:10" x14ac:dyDescent="0.2">
      <c r="I11797" s="1125"/>
      <c r="J11797" s="1125"/>
    </row>
    <row r="11798" spans="9:10" x14ac:dyDescent="0.2">
      <c r="I11798" s="1125"/>
      <c r="J11798" s="1125"/>
    </row>
    <row r="11799" spans="9:10" x14ac:dyDescent="0.2">
      <c r="I11799" s="1125"/>
      <c r="J11799" s="1125"/>
    </row>
    <row r="11800" spans="9:10" x14ac:dyDescent="0.2">
      <c r="I11800" s="1125"/>
      <c r="J11800" s="1125"/>
    </row>
    <row r="11801" spans="9:10" x14ac:dyDescent="0.2">
      <c r="I11801" s="1125"/>
      <c r="J11801" s="1125"/>
    </row>
    <row r="11802" spans="9:10" x14ac:dyDescent="0.2">
      <c r="I11802" s="1125"/>
      <c r="J11802" s="1125"/>
    </row>
    <row r="11803" spans="9:10" x14ac:dyDescent="0.2">
      <c r="I11803" s="1125"/>
      <c r="J11803" s="1125"/>
    </row>
    <row r="11804" spans="9:10" x14ac:dyDescent="0.2">
      <c r="I11804" s="1125"/>
      <c r="J11804" s="1125"/>
    </row>
    <row r="11805" spans="9:10" x14ac:dyDescent="0.2">
      <c r="I11805" s="1125"/>
      <c r="J11805" s="1125"/>
    </row>
    <row r="11806" spans="9:10" x14ac:dyDescent="0.2">
      <c r="I11806" s="1125"/>
      <c r="J11806" s="1125"/>
    </row>
    <row r="11807" spans="9:10" x14ac:dyDescent="0.2">
      <c r="I11807" s="1125"/>
      <c r="J11807" s="1125"/>
    </row>
    <row r="11808" spans="9:10" x14ac:dyDescent="0.2">
      <c r="I11808" s="1125"/>
      <c r="J11808" s="1125"/>
    </row>
    <row r="11809" spans="9:10" x14ac:dyDescent="0.2">
      <c r="I11809" s="1125"/>
      <c r="J11809" s="1125"/>
    </row>
    <row r="11810" spans="9:10" x14ac:dyDescent="0.2">
      <c r="I11810" s="1125"/>
      <c r="J11810" s="1125"/>
    </row>
    <row r="11811" spans="9:10" x14ac:dyDescent="0.2">
      <c r="I11811" s="1125"/>
      <c r="J11811" s="1125"/>
    </row>
    <row r="11812" spans="9:10" x14ac:dyDescent="0.2">
      <c r="I11812" s="1125"/>
      <c r="J11812" s="1125"/>
    </row>
    <row r="11813" spans="9:10" x14ac:dyDescent="0.2">
      <c r="I11813" s="1125"/>
      <c r="J11813" s="1125"/>
    </row>
    <row r="11814" spans="9:10" x14ac:dyDescent="0.2">
      <c r="I11814" s="1125"/>
      <c r="J11814" s="1125"/>
    </row>
    <row r="11815" spans="9:10" x14ac:dyDescent="0.2">
      <c r="I11815" s="1125"/>
      <c r="J11815" s="1125"/>
    </row>
    <row r="11816" spans="9:10" x14ac:dyDescent="0.2">
      <c r="I11816" s="1125"/>
      <c r="J11816" s="1125"/>
    </row>
    <row r="11817" spans="9:10" x14ac:dyDescent="0.2">
      <c r="I11817" s="1125"/>
      <c r="J11817" s="1125"/>
    </row>
    <row r="11818" spans="9:10" x14ac:dyDescent="0.2">
      <c r="I11818" s="1125"/>
      <c r="J11818" s="1125"/>
    </row>
    <row r="11819" spans="9:10" x14ac:dyDescent="0.2">
      <c r="I11819" s="1125"/>
      <c r="J11819" s="1125"/>
    </row>
    <row r="11820" spans="9:10" x14ac:dyDescent="0.2">
      <c r="I11820" s="1125"/>
      <c r="J11820" s="1125"/>
    </row>
    <row r="11821" spans="9:10" x14ac:dyDescent="0.2">
      <c r="I11821" s="1125"/>
      <c r="J11821" s="1125"/>
    </row>
    <row r="11822" spans="9:10" x14ac:dyDescent="0.2">
      <c r="I11822" s="1125"/>
      <c r="J11822" s="1125"/>
    </row>
    <row r="11823" spans="9:10" x14ac:dyDescent="0.2">
      <c r="I11823" s="1125"/>
      <c r="J11823" s="1125"/>
    </row>
    <row r="11824" spans="9:10" x14ac:dyDescent="0.2">
      <c r="I11824" s="1125"/>
      <c r="J11824" s="1125"/>
    </row>
    <row r="11825" spans="9:10" x14ac:dyDescent="0.2">
      <c r="I11825" s="1125"/>
      <c r="J11825" s="1125"/>
    </row>
    <row r="11826" spans="9:10" x14ac:dyDescent="0.2">
      <c r="I11826" s="1125"/>
      <c r="J11826" s="1125"/>
    </row>
    <row r="11827" spans="9:10" x14ac:dyDescent="0.2">
      <c r="I11827" s="1125"/>
      <c r="J11827" s="1125"/>
    </row>
    <row r="11828" spans="9:10" x14ac:dyDescent="0.2">
      <c r="I11828" s="1125"/>
      <c r="J11828" s="1125"/>
    </row>
    <row r="11829" spans="9:10" x14ac:dyDescent="0.2">
      <c r="I11829" s="1125"/>
      <c r="J11829" s="1125"/>
    </row>
    <row r="11830" spans="9:10" x14ac:dyDescent="0.2">
      <c r="I11830" s="1125"/>
      <c r="J11830" s="1125"/>
    </row>
    <row r="11831" spans="9:10" x14ac:dyDescent="0.2">
      <c r="I11831" s="1125"/>
      <c r="J11831" s="1125"/>
    </row>
    <row r="11832" spans="9:10" x14ac:dyDescent="0.2">
      <c r="I11832" s="1125"/>
      <c r="J11832" s="1125"/>
    </row>
    <row r="11833" spans="9:10" x14ac:dyDescent="0.2">
      <c r="I11833" s="1125"/>
      <c r="J11833" s="1125"/>
    </row>
    <row r="11834" spans="9:10" x14ac:dyDescent="0.2">
      <c r="I11834" s="1125"/>
      <c r="J11834" s="1125"/>
    </row>
    <row r="11835" spans="9:10" x14ac:dyDescent="0.2">
      <c r="I11835" s="1125"/>
      <c r="J11835" s="1125"/>
    </row>
    <row r="11836" spans="9:10" x14ac:dyDescent="0.2">
      <c r="I11836" s="1125"/>
      <c r="J11836" s="1125"/>
    </row>
    <row r="11837" spans="9:10" x14ac:dyDescent="0.2">
      <c r="I11837" s="1125"/>
      <c r="J11837" s="1125"/>
    </row>
    <row r="11838" spans="9:10" x14ac:dyDescent="0.2">
      <c r="I11838" s="1125"/>
      <c r="J11838" s="1125"/>
    </row>
    <row r="11839" spans="9:10" x14ac:dyDescent="0.2">
      <c r="I11839" s="1125"/>
      <c r="J11839" s="1125"/>
    </row>
    <row r="11840" spans="9:10" x14ac:dyDescent="0.2">
      <c r="I11840" s="1125"/>
      <c r="J11840" s="1125"/>
    </row>
    <row r="11841" spans="9:10" x14ac:dyDescent="0.2">
      <c r="I11841" s="1125"/>
      <c r="J11841" s="1125"/>
    </row>
    <row r="11842" spans="9:10" x14ac:dyDescent="0.2">
      <c r="I11842" s="1125"/>
      <c r="J11842" s="1125"/>
    </row>
    <row r="11843" spans="9:10" x14ac:dyDescent="0.2">
      <c r="I11843" s="1125"/>
      <c r="J11843" s="1125"/>
    </row>
    <row r="11844" spans="9:10" x14ac:dyDescent="0.2">
      <c r="I11844" s="1125"/>
      <c r="J11844" s="1125"/>
    </row>
    <row r="11845" spans="9:10" x14ac:dyDescent="0.2">
      <c r="I11845" s="1125"/>
      <c r="J11845" s="1125"/>
    </row>
    <row r="11846" spans="9:10" x14ac:dyDescent="0.2">
      <c r="I11846" s="1125"/>
      <c r="J11846" s="1125"/>
    </row>
    <row r="11847" spans="9:10" x14ac:dyDescent="0.2">
      <c r="I11847" s="1125"/>
      <c r="J11847" s="1125"/>
    </row>
    <row r="11848" spans="9:10" x14ac:dyDescent="0.2">
      <c r="I11848" s="1125"/>
      <c r="J11848" s="1125"/>
    </row>
    <row r="11849" spans="9:10" x14ac:dyDescent="0.2">
      <c r="I11849" s="1125"/>
      <c r="J11849" s="1125"/>
    </row>
    <row r="11850" spans="9:10" x14ac:dyDescent="0.2">
      <c r="I11850" s="1125"/>
      <c r="J11850" s="1125"/>
    </row>
    <row r="11851" spans="9:10" x14ac:dyDescent="0.2">
      <c r="I11851" s="1125"/>
      <c r="J11851" s="1125"/>
    </row>
    <row r="11852" spans="9:10" x14ac:dyDescent="0.2">
      <c r="I11852" s="1125"/>
      <c r="J11852" s="1125"/>
    </row>
    <row r="11853" spans="9:10" x14ac:dyDescent="0.2">
      <c r="I11853" s="1125"/>
      <c r="J11853" s="1125"/>
    </row>
    <row r="11854" spans="9:10" x14ac:dyDescent="0.2">
      <c r="I11854" s="1125"/>
      <c r="J11854" s="1125"/>
    </row>
    <row r="11855" spans="9:10" x14ac:dyDescent="0.2">
      <c r="I11855" s="1125"/>
      <c r="J11855" s="1125"/>
    </row>
    <row r="11856" spans="9:10" x14ac:dyDescent="0.2">
      <c r="I11856" s="1125"/>
      <c r="J11856" s="1125"/>
    </row>
    <row r="11857" spans="9:10" x14ac:dyDescent="0.2">
      <c r="I11857" s="1125"/>
      <c r="J11857" s="1125"/>
    </row>
    <row r="11858" spans="9:10" x14ac:dyDescent="0.2">
      <c r="I11858" s="1125"/>
      <c r="J11858" s="1125"/>
    </row>
    <row r="11859" spans="9:10" x14ac:dyDescent="0.2">
      <c r="I11859" s="1125"/>
      <c r="J11859" s="1125"/>
    </row>
    <row r="11860" spans="9:10" x14ac:dyDescent="0.2">
      <c r="I11860" s="1125"/>
      <c r="J11860" s="1125"/>
    </row>
    <row r="11861" spans="9:10" x14ac:dyDescent="0.2">
      <c r="I11861" s="1125"/>
      <c r="J11861" s="1125"/>
    </row>
    <row r="11862" spans="9:10" x14ac:dyDescent="0.2">
      <c r="I11862" s="1125"/>
      <c r="J11862" s="1125"/>
    </row>
    <row r="11863" spans="9:10" x14ac:dyDescent="0.2">
      <c r="I11863" s="1125"/>
      <c r="J11863" s="1125"/>
    </row>
    <row r="11864" spans="9:10" x14ac:dyDescent="0.2">
      <c r="I11864" s="1125"/>
      <c r="J11864" s="1125"/>
    </row>
    <row r="11865" spans="9:10" x14ac:dyDescent="0.2">
      <c r="I11865" s="1125"/>
      <c r="J11865" s="1125"/>
    </row>
    <row r="11866" spans="9:10" x14ac:dyDescent="0.2">
      <c r="I11866" s="1125"/>
      <c r="J11866" s="1125"/>
    </row>
    <row r="11867" spans="9:10" x14ac:dyDescent="0.2">
      <c r="I11867" s="1125"/>
      <c r="J11867" s="1125"/>
    </row>
    <row r="11868" spans="9:10" x14ac:dyDescent="0.2">
      <c r="I11868" s="1125"/>
      <c r="J11868" s="1125"/>
    </row>
    <row r="11869" spans="9:10" x14ac:dyDescent="0.2">
      <c r="I11869" s="1125"/>
      <c r="J11869" s="1125"/>
    </row>
    <row r="11870" spans="9:10" x14ac:dyDescent="0.2">
      <c r="I11870" s="1125"/>
      <c r="J11870" s="1125"/>
    </row>
    <row r="11871" spans="9:10" x14ac:dyDescent="0.2">
      <c r="I11871" s="1125"/>
      <c r="J11871" s="1125"/>
    </row>
    <row r="11872" spans="9:10" x14ac:dyDescent="0.2">
      <c r="I11872" s="1125"/>
      <c r="J11872" s="1125"/>
    </row>
    <row r="11873" spans="9:10" x14ac:dyDescent="0.2">
      <c r="I11873" s="1125"/>
      <c r="J11873" s="1125"/>
    </row>
    <row r="11874" spans="9:10" x14ac:dyDescent="0.2">
      <c r="I11874" s="1125"/>
      <c r="J11874" s="1125"/>
    </row>
    <row r="11875" spans="9:10" x14ac:dyDescent="0.2">
      <c r="I11875" s="1125"/>
      <c r="J11875" s="1125"/>
    </row>
    <row r="11876" spans="9:10" x14ac:dyDescent="0.2">
      <c r="I11876" s="1125"/>
      <c r="J11876" s="1125"/>
    </row>
    <row r="11877" spans="9:10" x14ac:dyDescent="0.2">
      <c r="I11877" s="1125"/>
      <c r="J11877" s="1125"/>
    </row>
    <row r="11878" spans="9:10" x14ac:dyDescent="0.2">
      <c r="I11878" s="1125"/>
      <c r="J11878" s="1125"/>
    </row>
    <row r="11879" spans="9:10" x14ac:dyDescent="0.2">
      <c r="I11879" s="1125"/>
      <c r="J11879" s="1125"/>
    </row>
    <row r="11880" spans="9:10" x14ac:dyDescent="0.2">
      <c r="I11880" s="1125"/>
      <c r="J11880" s="1125"/>
    </row>
    <row r="11881" spans="9:10" x14ac:dyDescent="0.2">
      <c r="I11881" s="1125"/>
      <c r="J11881" s="1125"/>
    </row>
    <row r="11882" spans="9:10" x14ac:dyDescent="0.2">
      <c r="I11882" s="1125"/>
      <c r="J11882" s="1125"/>
    </row>
    <row r="11883" spans="9:10" x14ac:dyDescent="0.2">
      <c r="I11883" s="1125"/>
      <c r="J11883" s="1125"/>
    </row>
    <row r="11884" spans="9:10" x14ac:dyDescent="0.2">
      <c r="I11884" s="1125"/>
      <c r="J11884" s="1125"/>
    </row>
    <row r="11885" spans="9:10" x14ac:dyDescent="0.2">
      <c r="I11885" s="1125"/>
      <c r="J11885" s="1125"/>
    </row>
    <row r="11886" spans="9:10" x14ac:dyDescent="0.2">
      <c r="I11886" s="1125"/>
      <c r="J11886" s="1125"/>
    </row>
    <row r="11887" spans="9:10" x14ac:dyDescent="0.2">
      <c r="I11887" s="1125"/>
      <c r="J11887" s="1125"/>
    </row>
    <row r="11888" spans="9:10" x14ac:dyDescent="0.2">
      <c r="I11888" s="1125"/>
      <c r="J11888" s="1125"/>
    </row>
    <row r="11889" spans="9:10" x14ac:dyDescent="0.2">
      <c r="I11889" s="1125"/>
      <c r="J11889" s="1125"/>
    </row>
    <row r="11890" spans="9:10" x14ac:dyDescent="0.2">
      <c r="I11890" s="1125"/>
      <c r="J11890" s="1125"/>
    </row>
    <row r="11891" spans="9:10" x14ac:dyDescent="0.2">
      <c r="I11891" s="1125"/>
      <c r="J11891" s="1125"/>
    </row>
    <row r="11892" spans="9:10" x14ac:dyDescent="0.2">
      <c r="I11892" s="1125"/>
      <c r="J11892" s="1125"/>
    </row>
    <row r="11893" spans="9:10" x14ac:dyDescent="0.2">
      <c r="I11893" s="1125"/>
      <c r="J11893" s="1125"/>
    </row>
    <row r="11894" spans="9:10" x14ac:dyDescent="0.2">
      <c r="I11894" s="1125"/>
      <c r="J11894" s="1125"/>
    </row>
    <row r="11895" spans="9:10" x14ac:dyDescent="0.2">
      <c r="I11895" s="1125"/>
      <c r="J11895" s="1125"/>
    </row>
    <row r="11896" spans="9:10" x14ac:dyDescent="0.2">
      <c r="I11896" s="1125"/>
      <c r="J11896" s="1125"/>
    </row>
    <row r="11897" spans="9:10" x14ac:dyDescent="0.2">
      <c r="I11897" s="1125"/>
      <c r="J11897" s="1125"/>
    </row>
    <row r="11898" spans="9:10" x14ac:dyDescent="0.2">
      <c r="I11898" s="1125"/>
      <c r="J11898" s="1125"/>
    </row>
    <row r="11899" spans="9:10" x14ac:dyDescent="0.2">
      <c r="I11899" s="1125"/>
      <c r="J11899" s="1125"/>
    </row>
    <row r="11900" spans="9:10" x14ac:dyDescent="0.2">
      <c r="I11900" s="1125"/>
      <c r="J11900" s="1125"/>
    </row>
    <row r="11901" spans="9:10" x14ac:dyDescent="0.2">
      <c r="I11901" s="1125"/>
      <c r="J11901" s="1125"/>
    </row>
    <row r="11902" spans="9:10" x14ac:dyDescent="0.2">
      <c r="I11902" s="1125"/>
      <c r="J11902" s="1125"/>
    </row>
    <row r="11903" spans="9:10" x14ac:dyDescent="0.2">
      <c r="I11903" s="1125"/>
      <c r="J11903" s="1125"/>
    </row>
    <row r="11904" spans="9:10" x14ac:dyDescent="0.2">
      <c r="I11904" s="1125"/>
      <c r="J11904" s="1125"/>
    </row>
    <row r="11905" spans="9:10" x14ac:dyDescent="0.2">
      <c r="I11905" s="1125"/>
      <c r="J11905" s="1125"/>
    </row>
    <row r="11906" spans="9:10" x14ac:dyDescent="0.2">
      <c r="I11906" s="1125"/>
      <c r="J11906" s="1125"/>
    </row>
    <row r="11907" spans="9:10" x14ac:dyDescent="0.2">
      <c r="I11907" s="1125"/>
      <c r="J11907" s="1125"/>
    </row>
    <row r="11908" spans="9:10" x14ac:dyDescent="0.2">
      <c r="I11908" s="1125"/>
      <c r="J11908" s="1125"/>
    </row>
    <row r="11909" spans="9:10" x14ac:dyDescent="0.2">
      <c r="I11909" s="1125"/>
      <c r="J11909" s="1125"/>
    </row>
    <row r="11910" spans="9:10" x14ac:dyDescent="0.2">
      <c r="I11910" s="1125"/>
      <c r="J11910" s="1125"/>
    </row>
    <row r="11911" spans="9:10" x14ac:dyDescent="0.2">
      <c r="I11911" s="1125"/>
      <c r="J11911" s="1125"/>
    </row>
    <row r="11912" spans="9:10" x14ac:dyDescent="0.2">
      <c r="I11912" s="1125"/>
      <c r="J11912" s="1125"/>
    </row>
    <row r="11913" spans="9:10" x14ac:dyDescent="0.2">
      <c r="I11913" s="1125"/>
      <c r="J11913" s="1125"/>
    </row>
    <row r="11914" spans="9:10" x14ac:dyDescent="0.2">
      <c r="I11914" s="1125"/>
      <c r="J11914" s="1125"/>
    </row>
    <row r="11915" spans="9:10" x14ac:dyDescent="0.2">
      <c r="I11915" s="1125"/>
      <c r="J11915" s="1125"/>
    </row>
    <row r="11916" spans="9:10" x14ac:dyDescent="0.2">
      <c r="I11916" s="1125"/>
      <c r="J11916" s="1125"/>
    </row>
    <row r="11917" spans="9:10" x14ac:dyDescent="0.2">
      <c r="I11917" s="1125"/>
      <c r="J11917" s="1125"/>
    </row>
    <row r="11918" spans="9:10" x14ac:dyDescent="0.2">
      <c r="I11918" s="1125"/>
      <c r="J11918" s="1125"/>
    </row>
    <row r="11919" spans="9:10" x14ac:dyDescent="0.2">
      <c r="I11919" s="1125"/>
      <c r="J11919" s="1125"/>
    </row>
    <row r="11920" spans="9:10" x14ac:dyDescent="0.2">
      <c r="I11920" s="1125"/>
      <c r="J11920" s="1125"/>
    </row>
    <row r="11921" spans="9:10" x14ac:dyDescent="0.2">
      <c r="I11921" s="1125"/>
      <c r="J11921" s="1125"/>
    </row>
    <row r="11922" spans="9:10" x14ac:dyDescent="0.2">
      <c r="I11922" s="1125"/>
      <c r="J11922" s="1125"/>
    </row>
    <row r="11923" spans="9:10" x14ac:dyDescent="0.2">
      <c r="I11923" s="1125"/>
      <c r="J11923" s="1125"/>
    </row>
    <row r="11924" spans="9:10" x14ac:dyDescent="0.2">
      <c r="I11924" s="1125"/>
      <c r="J11924" s="1125"/>
    </row>
    <row r="11925" spans="9:10" x14ac:dyDescent="0.2">
      <c r="I11925" s="1125"/>
      <c r="J11925" s="1125"/>
    </row>
    <row r="11926" spans="9:10" x14ac:dyDescent="0.2">
      <c r="I11926" s="1125"/>
      <c r="J11926" s="1125"/>
    </row>
    <row r="11927" spans="9:10" x14ac:dyDescent="0.2">
      <c r="I11927" s="1125"/>
      <c r="J11927" s="1125"/>
    </row>
    <row r="11928" spans="9:10" x14ac:dyDescent="0.2">
      <c r="I11928" s="1125"/>
      <c r="J11928" s="1125"/>
    </row>
    <row r="11929" spans="9:10" x14ac:dyDescent="0.2">
      <c r="I11929" s="1125"/>
      <c r="J11929" s="1125"/>
    </row>
    <row r="11930" spans="9:10" x14ac:dyDescent="0.2">
      <c r="I11930" s="1125"/>
      <c r="J11930" s="1125"/>
    </row>
    <row r="11931" spans="9:10" x14ac:dyDescent="0.2">
      <c r="I11931" s="1125"/>
      <c r="J11931" s="1125"/>
    </row>
    <row r="11932" spans="9:10" x14ac:dyDescent="0.2">
      <c r="I11932" s="1125"/>
      <c r="J11932" s="1125"/>
    </row>
    <row r="11933" spans="9:10" x14ac:dyDescent="0.2">
      <c r="I11933" s="1125"/>
      <c r="J11933" s="1125"/>
    </row>
    <row r="11934" spans="9:10" x14ac:dyDescent="0.2">
      <c r="I11934" s="1125"/>
      <c r="J11934" s="1125"/>
    </row>
    <row r="11935" spans="9:10" x14ac:dyDescent="0.2">
      <c r="I11935" s="1125"/>
      <c r="J11935" s="1125"/>
    </row>
    <row r="11936" spans="9:10" x14ac:dyDescent="0.2">
      <c r="I11936" s="1125"/>
      <c r="J11936" s="1125"/>
    </row>
    <row r="11937" spans="9:10" x14ac:dyDescent="0.2">
      <c r="I11937" s="1125"/>
      <c r="J11937" s="1125"/>
    </row>
    <row r="11938" spans="9:10" x14ac:dyDescent="0.2">
      <c r="I11938" s="1125"/>
      <c r="J11938" s="1125"/>
    </row>
    <row r="11939" spans="9:10" x14ac:dyDescent="0.2">
      <c r="I11939" s="1125"/>
      <c r="J11939" s="1125"/>
    </row>
    <row r="11940" spans="9:10" x14ac:dyDescent="0.2">
      <c r="I11940" s="1125"/>
      <c r="J11940" s="1125"/>
    </row>
    <row r="11941" spans="9:10" x14ac:dyDescent="0.2">
      <c r="I11941" s="1125"/>
      <c r="J11941" s="1125"/>
    </row>
    <row r="11942" spans="9:10" x14ac:dyDescent="0.2">
      <c r="I11942" s="1125"/>
      <c r="J11942" s="1125"/>
    </row>
    <row r="11943" spans="9:10" x14ac:dyDescent="0.2">
      <c r="I11943" s="1125"/>
      <c r="J11943" s="1125"/>
    </row>
    <row r="11944" spans="9:10" x14ac:dyDescent="0.2">
      <c r="I11944" s="1125"/>
      <c r="J11944" s="1125"/>
    </row>
    <row r="11945" spans="9:10" x14ac:dyDescent="0.2">
      <c r="I11945" s="1125"/>
      <c r="J11945" s="1125"/>
    </row>
    <row r="11946" spans="9:10" x14ac:dyDescent="0.2">
      <c r="I11946" s="1125"/>
      <c r="J11946" s="1125"/>
    </row>
    <row r="11947" spans="9:10" x14ac:dyDescent="0.2">
      <c r="I11947" s="1125"/>
      <c r="J11947" s="1125"/>
    </row>
    <row r="11948" spans="9:10" x14ac:dyDescent="0.2">
      <c r="I11948" s="1125"/>
      <c r="J11948" s="1125"/>
    </row>
    <row r="11949" spans="9:10" x14ac:dyDescent="0.2">
      <c r="I11949" s="1125"/>
      <c r="J11949" s="1125"/>
    </row>
    <row r="11950" spans="9:10" x14ac:dyDescent="0.2">
      <c r="I11950" s="1125"/>
      <c r="J11950" s="1125"/>
    </row>
    <row r="11951" spans="9:10" x14ac:dyDescent="0.2">
      <c r="I11951" s="1125"/>
      <c r="J11951" s="1125"/>
    </row>
    <row r="11952" spans="9:10" x14ac:dyDescent="0.2">
      <c r="I11952" s="1125"/>
      <c r="J11952" s="1125"/>
    </row>
    <row r="11953" spans="9:10" x14ac:dyDescent="0.2">
      <c r="I11953" s="1125"/>
      <c r="J11953" s="1125"/>
    </row>
    <row r="11954" spans="9:10" x14ac:dyDescent="0.2">
      <c r="I11954" s="1125"/>
      <c r="J11954" s="1125"/>
    </row>
    <row r="11955" spans="9:10" x14ac:dyDescent="0.2">
      <c r="I11955" s="1125"/>
      <c r="J11955" s="1125"/>
    </row>
    <row r="11956" spans="9:10" x14ac:dyDescent="0.2">
      <c r="I11956" s="1125"/>
      <c r="J11956" s="1125"/>
    </row>
    <row r="11957" spans="9:10" x14ac:dyDescent="0.2">
      <c r="I11957" s="1125"/>
      <c r="J11957" s="1125"/>
    </row>
    <row r="11958" spans="9:10" x14ac:dyDescent="0.2">
      <c r="I11958" s="1125"/>
      <c r="J11958" s="1125"/>
    </row>
    <row r="11959" spans="9:10" x14ac:dyDescent="0.2">
      <c r="I11959" s="1125"/>
      <c r="J11959" s="1125"/>
    </row>
    <row r="11960" spans="9:10" x14ac:dyDescent="0.2">
      <c r="I11960" s="1125"/>
      <c r="J11960" s="1125"/>
    </row>
    <row r="11961" spans="9:10" x14ac:dyDescent="0.2">
      <c r="I11961" s="1125"/>
      <c r="J11961" s="1125"/>
    </row>
    <row r="11962" spans="9:10" x14ac:dyDescent="0.2">
      <c r="I11962" s="1125"/>
      <c r="J11962" s="1125"/>
    </row>
    <row r="11963" spans="9:10" x14ac:dyDescent="0.2">
      <c r="I11963" s="1125"/>
      <c r="J11963" s="1125"/>
    </row>
    <row r="11964" spans="9:10" x14ac:dyDescent="0.2">
      <c r="I11964" s="1125"/>
      <c r="J11964" s="1125"/>
    </row>
    <row r="11965" spans="9:10" x14ac:dyDescent="0.2">
      <c r="I11965" s="1125"/>
      <c r="J11965" s="1125"/>
    </row>
    <row r="11966" spans="9:10" x14ac:dyDescent="0.2">
      <c r="I11966" s="1125"/>
      <c r="J11966" s="1125"/>
    </row>
    <row r="11967" spans="9:10" x14ac:dyDescent="0.2">
      <c r="I11967" s="1125"/>
      <c r="J11967" s="1125"/>
    </row>
    <row r="11968" spans="9:10" x14ac:dyDescent="0.2">
      <c r="I11968" s="1125"/>
      <c r="J11968" s="1125"/>
    </row>
    <row r="11969" spans="9:10" x14ac:dyDescent="0.2">
      <c r="I11969" s="1125"/>
      <c r="J11969" s="1125"/>
    </row>
    <row r="11970" spans="9:10" x14ac:dyDescent="0.2">
      <c r="I11970" s="1125"/>
      <c r="J11970" s="1125"/>
    </row>
    <row r="11971" spans="9:10" x14ac:dyDescent="0.2">
      <c r="I11971" s="1125"/>
      <c r="J11971" s="1125"/>
    </row>
    <row r="11972" spans="9:10" x14ac:dyDescent="0.2">
      <c r="I11972" s="1125"/>
      <c r="J11972" s="1125"/>
    </row>
    <row r="11973" spans="9:10" x14ac:dyDescent="0.2">
      <c r="I11973" s="1125"/>
      <c r="J11973" s="1125"/>
    </row>
    <row r="11974" spans="9:10" x14ac:dyDescent="0.2">
      <c r="I11974" s="1125"/>
      <c r="J11974" s="1125"/>
    </row>
    <row r="11975" spans="9:10" x14ac:dyDescent="0.2">
      <c r="I11975" s="1125"/>
      <c r="J11975" s="1125"/>
    </row>
    <row r="11976" spans="9:10" x14ac:dyDescent="0.2">
      <c r="I11976" s="1125"/>
      <c r="J11976" s="1125"/>
    </row>
    <row r="11977" spans="9:10" x14ac:dyDescent="0.2">
      <c r="I11977" s="1125"/>
      <c r="J11977" s="1125"/>
    </row>
    <row r="11978" spans="9:10" x14ac:dyDescent="0.2">
      <c r="I11978" s="1125"/>
      <c r="J11978" s="1125"/>
    </row>
    <row r="11979" spans="9:10" x14ac:dyDescent="0.2">
      <c r="I11979" s="1125"/>
      <c r="J11979" s="1125"/>
    </row>
    <row r="11980" spans="9:10" x14ac:dyDescent="0.2">
      <c r="I11980" s="1125"/>
      <c r="J11980" s="1125"/>
    </row>
    <row r="11981" spans="9:10" x14ac:dyDescent="0.2">
      <c r="I11981" s="1125"/>
      <c r="J11981" s="1125"/>
    </row>
    <row r="11982" spans="9:10" x14ac:dyDescent="0.2">
      <c r="I11982" s="1125"/>
      <c r="J11982" s="1125"/>
    </row>
    <row r="11983" spans="9:10" x14ac:dyDescent="0.2">
      <c r="I11983" s="1125"/>
      <c r="J11983" s="1125"/>
    </row>
    <row r="11984" spans="9:10" x14ac:dyDescent="0.2">
      <c r="I11984" s="1125"/>
      <c r="J11984" s="1125"/>
    </row>
    <row r="11985" spans="9:10" x14ac:dyDescent="0.2">
      <c r="I11985" s="1125"/>
      <c r="J11985" s="1125"/>
    </row>
    <row r="11986" spans="9:10" x14ac:dyDescent="0.2">
      <c r="I11986" s="1125"/>
      <c r="J11986" s="1125"/>
    </row>
    <row r="11987" spans="9:10" x14ac:dyDescent="0.2">
      <c r="I11987" s="1125"/>
      <c r="J11987" s="1125"/>
    </row>
    <row r="11988" spans="9:10" x14ac:dyDescent="0.2">
      <c r="I11988" s="1125"/>
      <c r="J11988" s="1125"/>
    </row>
    <row r="11989" spans="9:10" x14ac:dyDescent="0.2">
      <c r="I11989" s="1125"/>
      <c r="J11989" s="1125"/>
    </row>
    <row r="11990" spans="9:10" x14ac:dyDescent="0.2">
      <c r="I11990" s="1125"/>
      <c r="J11990" s="1125"/>
    </row>
    <row r="11991" spans="9:10" x14ac:dyDescent="0.2">
      <c r="I11991" s="1125"/>
      <c r="J11991" s="1125"/>
    </row>
    <row r="11992" spans="9:10" x14ac:dyDescent="0.2">
      <c r="I11992" s="1125"/>
      <c r="J11992" s="1125"/>
    </row>
    <row r="11993" spans="9:10" x14ac:dyDescent="0.2">
      <c r="I11993" s="1125"/>
      <c r="J11993" s="1125"/>
    </row>
    <row r="11994" spans="9:10" x14ac:dyDescent="0.2">
      <c r="I11994" s="1125"/>
      <c r="J11994" s="1125"/>
    </row>
    <row r="11995" spans="9:10" x14ac:dyDescent="0.2">
      <c r="I11995" s="1125"/>
      <c r="J11995" s="1125"/>
    </row>
    <row r="11996" spans="9:10" x14ac:dyDescent="0.2">
      <c r="I11996" s="1125"/>
      <c r="J11996" s="1125"/>
    </row>
    <row r="11997" spans="9:10" x14ac:dyDescent="0.2">
      <c r="I11997" s="1125"/>
      <c r="J11997" s="1125"/>
    </row>
    <row r="11998" spans="9:10" x14ac:dyDescent="0.2">
      <c r="I11998" s="1125"/>
      <c r="J11998" s="1125"/>
    </row>
    <row r="11999" spans="9:10" x14ac:dyDescent="0.2">
      <c r="I11999" s="1125"/>
      <c r="J11999" s="1125"/>
    </row>
    <row r="12000" spans="9:10" x14ac:dyDescent="0.2">
      <c r="I12000" s="1125"/>
      <c r="J12000" s="1125"/>
    </row>
    <row r="12001" spans="9:10" x14ac:dyDescent="0.2">
      <c r="I12001" s="1125"/>
      <c r="J12001" s="1125"/>
    </row>
    <row r="12002" spans="9:10" x14ac:dyDescent="0.2">
      <c r="I12002" s="1125"/>
      <c r="J12002" s="1125"/>
    </row>
    <row r="12003" spans="9:10" x14ac:dyDescent="0.2">
      <c r="I12003" s="1125"/>
      <c r="J12003" s="1125"/>
    </row>
    <row r="12004" spans="9:10" x14ac:dyDescent="0.2">
      <c r="I12004" s="1125"/>
      <c r="J12004" s="1125"/>
    </row>
    <row r="12005" spans="9:10" x14ac:dyDescent="0.2">
      <c r="I12005" s="1125"/>
      <c r="J12005" s="1125"/>
    </row>
    <row r="12006" spans="9:10" x14ac:dyDescent="0.2">
      <c r="I12006" s="1125"/>
      <c r="J12006" s="1125"/>
    </row>
    <row r="12007" spans="9:10" x14ac:dyDescent="0.2">
      <c r="I12007" s="1125"/>
      <c r="J12007" s="1125"/>
    </row>
    <row r="12008" spans="9:10" x14ac:dyDescent="0.2">
      <c r="I12008" s="1125"/>
      <c r="J12008" s="1125"/>
    </row>
    <row r="12009" spans="9:10" x14ac:dyDescent="0.2">
      <c r="I12009" s="1125"/>
      <c r="J12009" s="1125"/>
    </row>
    <row r="12010" spans="9:10" x14ac:dyDescent="0.2">
      <c r="I12010" s="1125"/>
      <c r="J12010" s="1125"/>
    </row>
    <row r="12011" spans="9:10" x14ac:dyDescent="0.2">
      <c r="I12011" s="1125"/>
      <c r="J12011" s="1125"/>
    </row>
    <row r="12012" spans="9:10" x14ac:dyDescent="0.2">
      <c r="I12012" s="1125"/>
      <c r="J12012" s="1125"/>
    </row>
    <row r="12013" spans="9:10" x14ac:dyDescent="0.2">
      <c r="I12013" s="1125"/>
      <c r="J12013" s="1125"/>
    </row>
    <row r="12014" spans="9:10" x14ac:dyDescent="0.2">
      <c r="I12014" s="1125"/>
      <c r="J12014" s="1125"/>
    </row>
    <row r="12015" spans="9:10" x14ac:dyDescent="0.2">
      <c r="I12015" s="1125"/>
      <c r="J12015" s="1125"/>
    </row>
    <row r="12016" spans="9:10" x14ac:dyDescent="0.2">
      <c r="I12016" s="1125"/>
      <c r="J12016" s="1125"/>
    </row>
    <row r="12017" spans="9:10" x14ac:dyDescent="0.2">
      <c r="I12017" s="1125"/>
      <c r="J12017" s="1125"/>
    </row>
    <row r="12018" spans="9:10" x14ac:dyDescent="0.2">
      <c r="I12018" s="1125"/>
      <c r="J12018" s="1125"/>
    </row>
    <row r="12019" spans="9:10" x14ac:dyDescent="0.2">
      <c r="I12019" s="1125"/>
      <c r="J12019" s="1125"/>
    </row>
    <row r="12020" spans="9:10" x14ac:dyDescent="0.2">
      <c r="I12020" s="1125"/>
      <c r="J12020" s="1125"/>
    </row>
    <row r="12021" spans="9:10" x14ac:dyDescent="0.2">
      <c r="I12021" s="1125"/>
      <c r="J12021" s="1125"/>
    </row>
    <row r="12022" spans="9:10" x14ac:dyDescent="0.2">
      <c r="I12022" s="1125"/>
      <c r="J12022" s="1125"/>
    </row>
    <row r="12023" spans="9:10" x14ac:dyDescent="0.2">
      <c r="I12023" s="1125"/>
      <c r="J12023" s="1125"/>
    </row>
    <row r="12024" spans="9:10" x14ac:dyDescent="0.2">
      <c r="I12024" s="1125"/>
      <c r="J12024" s="1125"/>
    </row>
    <row r="12025" spans="9:10" x14ac:dyDescent="0.2">
      <c r="I12025" s="1125"/>
      <c r="J12025" s="1125"/>
    </row>
    <row r="12026" spans="9:10" x14ac:dyDescent="0.2">
      <c r="I12026" s="1125"/>
      <c r="J12026" s="1125"/>
    </row>
    <row r="12027" spans="9:10" x14ac:dyDescent="0.2">
      <c r="I12027" s="1125"/>
      <c r="J12027" s="1125"/>
    </row>
    <row r="12028" spans="9:10" x14ac:dyDescent="0.2">
      <c r="I12028" s="1125"/>
      <c r="J12028" s="1125"/>
    </row>
    <row r="12029" spans="9:10" x14ac:dyDescent="0.2">
      <c r="I12029" s="1125"/>
      <c r="J12029" s="1125"/>
    </row>
    <row r="12030" spans="9:10" x14ac:dyDescent="0.2">
      <c r="I12030" s="1125"/>
      <c r="J12030" s="1125"/>
    </row>
    <row r="12031" spans="9:10" x14ac:dyDescent="0.2">
      <c r="I12031" s="1125"/>
      <c r="J12031" s="1125"/>
    </row>
    <row r="12032" spans="9:10" x14ac:dyDescent="0.2">
      <c r="I12032" s="1125"/>
      <c r="J12032" s="1125"/>
    </row>
    <row r="12033" spans="9:10" x14ac:dyDescent="0.2">
      <c r="I12033" s="1125"/>
      <c r="J12033" s="1125"/>
    </row>
    <row r="12034" spans="9:10" x14ac:dyDescent="0.2">
      <c r="I12034" s="1125"/>
      <c r="J12034" s="1125"/>
    </row>
    <row r="12035" spans="9:10" x14ac:dyDescent="0.2">
      <c r="I12035" s="1125"/>
      <c r="J12035" s="1125"/>
    </row>
    <row r="12036" spans="9:10" x14ac:dyDescent="0.2">
      <c r="I12036" s="1125"/>
      <c r="J12036" s="1125"/>
    </row>
    <row r="12037" spans="9:10" x14ac:dyDescent="0.2">
      <c r="I12037" s="1125"/>
      <c r="J12037" s="1125"/>
    </row>
    <row r="12038" spans="9:10" x14ac:dyDescent="0.2">
      <c r="I12038" s="1125"/>
      <c r="J12038" s="1125"/>
    </row>
    <row r="12039" spans="9:10" x14ac:dyDescent="0.2">
      <c r="I12039" s="1125"/>
      <c r="J12039" s="1125"/>
    </row>
    <row r="12040" spans="9:10" x14ac:dyDescent="0.2">
      <c r="I12040" s="1125"/>
      <c r="J12040" s="1125"/>
    </row>
    <row r="12041" spans="9:10" x14ac:dyDescent="0.2">
      <c r="I12041" s="1125"/>
      <c r="J12041" s="1125"/>
    </row>
    <row r="12042" spans="9:10" x14ac:dyDescent="0.2">
      <c r="I12042" s="1125"/>
      <c r="J12042" s="1125"/>
    </row>
    <row r="12043" spans="9:10" x14ac:dyDescent="0.2">
      <c r="I12043" s="1125"/>
      <c r="J12043" s="1125"/>
    </row>
    <row r="12044" spans="9:10" x14ac:dyDescent="0.2">
      <c r="I12044" s="1125"/>
      <c r="J12044" s="1125"/>
    </row>
    <row r="12045" spans="9:10" x14ac:dyDescent="0.2">
      <c r="I12045" s="1125"/>
      <c r="J12045" s="1125"/>
    </row>
    <row r="12046" spans="9:10" x14ac:dyDescent="0.2">
      <c r="I12046" s="1125"/>
      <c r="J12046" s="1125"/>
    </row>
    <row r="12047" spans="9:10" x14ac:dyDescent="0.2">
      <c r="I12047" s="1125"/>
      <c r="J12047" s="1125"/>
    </row>
    <row r="12048" spans="9:10" x14ac:dyDescent="0.2">
      <c r="I12048" s="1125"/>
      <c r="J12048" s="1125"/>
    </row>
    <row r="12049" spans="9:10" x14ac:dyDescent="0.2">
      <c r="I12049" s="1125"/>
      <c r="J12049" s="1125"/>
    </row>
    <row r="12050" spans="9:10" x14ac:dyDescent="0.2">
      <c r="I12050" s="1125"/>
      <c r="J12050" s="1125"/>
    </row>
    <row r="12051" spans="9:10" x14ac:dyDescent="0.2">
      <c r="I12051" s="1125"/>
      <c r="J12051" s="1125"/>
    </row>
    <row r="12052" spans="9:10" x14ac:dyDescent="0.2">
      <c r="I12052" s="1125"/>
      <c r="J12052" s="1125"/>
    </row>
    <row r="12053" spans="9:10" x14ac:dyDescent="0.2">
      <c r="I12053" s="1125"/>
      <c r="J12053" s="1125"/>
    </row>
    <row r="12054" spans="9:10" x14ac:dyDescent="0.2">
      <c r="I12054" s="1125"/>
      <c r="J12054" s="1125"/>
    </row>
    <row r="12055" spans="9:10" x14ac:dyDescent="0.2">
      <c r="I12055" s="1125"/>
      <c r="J12055" s="1125"/>
    </row>
    <row r="12056" spans="9:10" x14ac:dyDescent="0.2">
      <c r="I12056" s="1125"/>
      <c r="J12056" s="1125"/>
    </row>
    <row r="12057" spans="9:10" x14ac:dyDescent="0.2">
      <c r="I12057" s="1125"/>
      <c r="J12057" s="1125"/>
    </row>
    <row r="12058" spans="9:10" x14ac:dyDescent="0.2">
      <c r="I12058" s="1125"/>
      <c r="J12058" s="1125"/>
    </row>
    <row r="12059" spans="9:10" x14ac:dyDescent="0.2">
      <c r="I12059" s="1125"/>
      <c r="J12059" s="1125"/>
    </row>
    <row r="12060" spans="9:10" x14ac:dyDescent="0.2">
      <c r="I12060" s="1125"/>
      <c r="J12060" s="1125"/>
    </row>
    <row r="12061" spans="9:10" x14ac:dyDescent="0.2">
      <c r="I12061" s="1125"/>
      <c r="J12061" s="1125"/>
    </row>
    <row r="12062" spans="9:10" x14ac:dyDescent="0.2">
      <c r="I12062" s="1125"/>
      <c r="J12062" s="1125"/>
    </row>
    <row r="12063" spans="9:10" x14ac:dyDescent="0.2">
      <c r="I12063" s="1125"/>
      <c r="J12063" s="1125"/>
    </row>
    <row r="12064" spans="9:10" x14ac:dyDescent="0.2">
      <c r="I12064" s="1125"/>
      <c r="J12064" s="1125"/>
    </row>
    <row r="12065" spans="9:10" x14ac:dyDescent="0.2">
      <c r="I12065" s="1125"/>
      <c r="J12065" s="1125"/>
    </row>
    <row r="12066" spans="9:10" x14ac:dyDescent="0.2">
      <c r="I12066" s="1125"/>
      <c r="J12066" s="1125"/>
    </row>
    <row r="12067" spans="9:10" x14ac:dyDescent="0.2">
      <c r="I12067" s="1125"/>
      <c r="J12067" s="1125"/>
    </row>
    <row r="12068" spans="9:10" x14ac:dyDescent="0.2">
      <c r="I12068" s="1125"/>
      <c r="J12068" s="1125"/>
    </row>
    <row r="12069" spans="9:10" x14ac:dyDescent="0.2">
      <c r="I12069" s="1125"/>
      <c r="J12069" s="1125"/>
    </row>
    <row r="12070" spans="9:10" x14ac:dyDescent="0.2">
      <c r="I12070" s="1125"/>
      <c r="J12070" s="1125"/>
    </row>
    <row r="12071" spans="9:10" x14ac:dyDescent="0.2">
      <c r="I12071" s="1125"/>
      <c r="J12071" s="1125"/>
    </row>
    <row r="12072" spans="9:10" x14ac:dyDescent="0.2">
      <c r="I12072" s="1125"/>
      <c r="J12072" s="1125"/>
    </row>
    <row r="12073" spans="9:10" x14ac:dyDescent="0.2">
      <c r="I12073" s="1125"/>
      <c r="J12073" s="1125"/>
    </row>
    <row r="12074" spans="9:10" x14ac:dyDescent="0.2">
      <c r="I12074" s="1125"/>
      <c r="J12074" s="1125"/>
    </row>
    <row r="12075" spans="9:10" x14ac:dyDescent="0.2">
      <c r="I12075" s="1125"/>
      <c r="J12075" s="1125"/>
    </row>
    <row r="12076" spans="9:10" x14ac:dyDescent="0.2">
      <c r="I12076" s="1125"/>
      <c r="J12076" s="1125"/>
    </row>
    <row r="12077" spans="9:10" x14ac:dyDescent="0.2">
      <c r="I12077" s="1125"/>
      <c r="J12077" s="1125"/>
    </row>
    <row r="12078" spans="9:10" x14ac:dyDescent="0.2">
      <c r="I12078" s="1125"/>
      <c r="J12078" s="1125"/>
    </row>
    <row r="12079" spans="9:10" x14ac:dyDescent="0.2">
      <c r="I12079" s="1125"/>
      <c r="J12079" s="1125"/>
    </row>
    <row r="12080" spans="9:10" x14ac:dyDescent="0.2">
      <c r="I12080" s="1125"/>
      <c r="J12080" s="1125"/>
    </row>
    <row r="12081" spans="9:10" x14ac:dyDescent="0.2">
      <c r="I12081" s="1125"/>
      <c r="J12081" s="1125"/>
    </row>
    <row r="12082" spans="9:10" x14ac:dyDescent="0.2">
      <c r="I12082" s="1125"/>
      <c r="J12082" s="1125"/>
    </row>
    <row r="12083" spans="9:10" x14ac:dyDescent="0.2">
      <c r="I12083" s="1125"/>
      <c r="J12083" s="1125"/>
    </row>
    <row r="12084" spans="9:10" x14ac:dyDescent="0.2">
      <c r="I12084" s="1125"/>
      <c r="J12084" s="1125"/>
    </row>
    <row r="12085" spans="9:10" x14ac:dyDescent="0.2">
      <c r="I12085" s="1125"/>
      <c r="J12085" s="1125"/>
    </row>
    <row r="12086" spans="9:10" x14ac:dyDescent="0.2">
      <c r="I12086" s="1125"/>
      <c r="J12086" s="1125"/>
    </row>
    <row r="12087" spans="9:10" x14ac:dyDescent="0.2">
      <c r="I12087" s="1125"/>
      <c r="J12087" s="1125"/>
    </row>
    <row r="12088" spans="9:10" x14ac:dyDescent="0.2">
      <c r="I12088" s="1125"/>
      <c r="J12088" s="1125"/>
    </row>
    <row r="12089" spans="9:10" x14ac:dyDescent="0.2">
      <c r="I12089" s="1125"/>
      <c r="J12089" s="1125"/>
    </row>
    <row r="12090" spans="9:10" x14ac:dyDescent="0.2">
      <c r="I12090" s="1125"/>
      <c r="J12090" s="1125"/>
    </row>
    <row r="12091" spans="9:10" x14ac:dyDescent="0.2">
      <c r="I12091" s="1125"/>
      <c r="J12091" s="1125"/>
    </row>
    <row r="12092" spans="9:10" x14ac:dyDescent="0.2">
      <c r="I12092" s="1125"/>
      <c r="J12092" s="1125"/>
    </row>
    <row r="12093" spans="9:10" x14ac:dyDescent="0.2">
      <c r="I12093" s="1125"/>
      <c r="J12093" s="1125"/>
    </row>
    <row r="12094" spans="9:10" x14ac:dyDescent="0.2">
      <c r="I12094" s="1125"/>
      <c r="J12094" s="1125"/>
    </row>
    <row r="12095" spans="9:10" x14ac:dyDescent="0.2">
      <c r="I12095" s="1125"/>
      <c r="J12095" s="1125"/>
    </row>
    <row r="12096" spans="9:10" x14ac:dyDescent="0.2">
      <c r="I12096" s="1125"/>
      <c r="J12096" s="1125"/>
    </row>
    <row r="12097" spans="9:10" x14ac:dyDescent="0.2">
      <c r="I12097" s="1125"/>
      <c r="J12097" s="1125"/>
    </row>
    <row r="12098" spans="9:10" x14ac:dyDescent="0.2">
      <c r="I12098" s="1125"/>
      <c r="J12098" s="1125"/>
    </row>
    <row r="12099" spans="9:10" x14ac:dyDescent="0.2">
      <c r="I12099" s="1125"/>
      <c r="J12099" s="1125"/>
    </row>
    <row r="12100" spans="9:10" x14ac:dyDescent="0.2">
      <c r="I12100" s="1125"/>
      <c r="J12100" s="1125"/>
    </row>
    <row r="12101" spans="9:10" x14ac:dyDescent="0.2">
      <c r="I12101" s="1125"/>
      <c r="J12101" s="1125"/>
    </row>
    <row r="12102" spans="9:10" x14ac:dyDescent="0.2">
      <c r="I12102" s="1125"/>
      <c r="J12102" s="1125"/>
    </row>
    <row r="12103" spans="9:10" x14ac:dyDescent="0.2">
      <c r="I12103" s="1125"/>
      <c r="J12103" s="1125"/>
    </row>
    <row r="12104" spans="9:10" x14ac:dyDescent="0.2">
      <c r="I12104" s="1125"/>
      <c r="J12104" s="1125"/>
    </row>
    <row r="12105" spans="9:10" x14ac:dyDescent="0.2">
      <c r="I12105" s="1125"/>
      <c r="J12105" s="1125"/>
    </row>
    <row r="12106" spans="9:10" x14ac:dyDescent="0.2">
      <c r="I12106" s="1125"/>
      <c r="J12106" s="1125"/>
    </row>
    <row r="12107" spans="9:10" x14ac:dyDescent="0.2">
      <c r="I12107" s="1125"/>
      <c r="J12107" s="1125"/>
    </row>
    <row r="12108" spans="9:10" x14ac:dyDescent="0.2">
      <c r="I12108" s="1125"/>
      <c r="J12108" s="1125"/>
    </row>
    <row r="12109" spans="9:10" x14ac:dyDescent="0.2">
      <c r="I12109" s="1125"/>
      <c r="J12109" s="1125"/>
    </row>
    <row r="12110" spans="9:10" x14ac:dyDescent="0.2">
      <c r="I12110" s="1125"/>
      <c r="J12110" s="1125"/>
    </row>
    <row r="12111" spans="9:10" x14ac:dyDescent="0.2">
      <c r="I12111" s="1125"/>
      <c r="J12111" s="1125"/>
    </row>
    <row r="12112" spans="9:10" x14ac:dyDescent="0.2">
      <c r="I12112" s="1125"/>
      <c r="J12112" s="1125"/>
    </row>
    <row r="12113" spans="9:10" x14ac:dyDescent="0.2">
      <c r="I12113" s="1125"/>
      <c r="J12113" s="1125"/>
    </row>
    <row r="12114" spans="9:10" x14ac:dyDescent="0.2">
      <c r="I12114" s="1125"/>
      <c r="J12114" s="1125"/>
    </row>
    <row r="12115" spans="9:10" x14ac:dyDescent="0.2">
      <c r="I12115" s="1125"/>
      <c r="J12115" s="1125"/>
    </row>
    <row r="12116" spans="9:10" x14ac:dyDescent="0.2">
      <c r="I12116" s="1125"/>
      <c r="J12116" s="1125"/>
    </row>
    <row r="12117" spans="9:10" x14ac:dyDescent="0.2">
      <c r="I12117" s="1125"/>
      <c r="J12117" s="1125"/>
    </row>
    <row r="12118" spans="9:10" x14ac:dyDescent="0.2">
      <c r="I12118" s="1125"/>
      <c r="J12118" s="1125"/>
    </row>
    <row r="12119" spans="9:10" x14ac:dyDescent="0.2">
      <c r="I12119" s="1125"/>
      <c r="J12119" s="1125"/>
    </row>
    <row r="12120" spans="9:10" x14ac:dyDescent="0.2">
      <c r="I12120" s="1125"/>
      <c r="J12120" s="1125"/>
    </row>
    <row r="12121" spans="9:10" x14ac:dyDescent="0.2">
      <c r="I12121" s="1125"/>
      <c r="J12121" s="1125"/>
    </row>
    <row r="12122" spans="9:10" x14ac:dyDescent="0.2">
      <c r="I12122" s="1125"/>
      <c r="J12122" s="1125"/>
    </row>
    <row r="12123" spans="9:10" x14ac:dyDescent="0.2">
      <c r="I12123" s="1125"/>
      <c r="J12123" s="1125"/>
    </row>
    <row r="12124" spans="9:10" x14ac:dyDescent="0.2">
      <c r="I12124" s="1125"/>
      <c r="J12124" s="1125"/>
    </row>
    <row r="12125" spans="9:10" x14ac:dyDescent="0.2">
      <c r="I12125" s="1125"/>
      <c r="J12125" s="1125"/>
    </row>
    <row r="12126" spans="9:10" x14ac:dyDescent="0.2">
      <c r="I12126" s="1125"/>
      <c r="J12126" s="1125"/>
    </row>
    <row r="12127" spans="9:10" x14ac:dyDescent="0.2">
      <c r="I12127" s="1125"/>
      <c r="J12127" s="1125"/>
    </row>
    <row r="12128" spans="9:10" x14ac:dyDescent="0.2">
      <c r="I12128" s="1125"/>
      <c r="J12128" s="1125"/>
    </row>
    <row r="12129" spans="9:10" x14ac:dyDescent="0.2">
      <c r="I12129" s="1125"/>
      <c r="J12129" s="1125"/>
    </row>
    <row r="12130" spans="9:10" x14ac:dyDescent="0.2">
      <c r="I12130" s="1125"/>
      <c r="J12130" s="1125"/>
    </row>
    <row r="12131" spans="9:10" x14ac:dyDescent="0.2">
      <c r="I12131" s="1125"/>
      <c r="J12131" s="1125"/>
    </row>
    <row r="12132" spans="9:10" x14ac:dyDescent="0.2">
      <c r="I12132" s="1125"/>
      <c r="J12132" s="1125"/>
    </row>
    <row r="12133" spans="9:10" x14ac:dyDescent="0.2">
      <c r="I12133" s="1125"/>
      <c r="J12133" s="1125"/>
    </row>
    <row r="12134" spans="9:10" x14ac:dyDescent="0.2">
      <c r="I12134" s="1125"/>
      <c r="J12134" s="1125"/>
    </row>
    <row r="12135" spans="9:10" x14ac:dyDescent="0.2">
      <c r="I12135" s="1125"/>
      <c r="J12135" s="1125"/>
    </row>
    <row r="12136" spans="9:10" x14ac:dyDescent="0.2">
      <c r="I12136" s="1125"/>
      <c r="J12136" s="1125"/>
    </row>
    <row r="12137" spans="9:10" x14ac:dyDescent="0.2">
      <c r="I12137" s="1125"/>
      <c r="J12137" s="1125"/>
    </row>
    <row r="12138" spans="9:10" x14ac:dyDescent="0.2">
      <c r="I12138" s="1125"/>
      <c r="J12138" s="1125"/>
    </row>
    <row r="12139" spans="9:10" x14ac:dyDescent="0.2">
      <c r="I12139" s="1125"/>
      <c r="J12139" s="1125"/>
    </row>
    <row r="12140" spans="9:10" x14ac:dyDescent="0.2">
      <c r="I12140" s="1125"/>
      <c r="J12140" s="1125"/>
    </row>
    <row r="12141" spans="9:10" x14ac:dyDescent="0.2">
      <c r="I12141" s="1125"/>
      <c r="J12141" s="1125"/>
    </row>
    <row r="12142" spans="9:10" x14ac:dyDescent="0.2">
      <c r="I12142" s="1125"/>
      <c r="J12142" s="1125"/>
    </row>
    <row r="12143" spans="9:10" x14ac:dyDescent="0.2">
      <c r="I12143" s="1125"/>
      <c r="J12143" s="1125"/>
    </row>
    <row r="12144" spans="9:10" x14ac:dyDescent="0.2">
      <c r="I12144" s="1125"/>
      <c r="J12144" s="1125"/>
    </row>
    <row r="12145" spans="9:10" x14ac:dyDescent="0.2">
      <c r="I12145" s="1125"/>
      <c r="J12145" s="1125"/>
    </row>
    <row r="12146" spans="9:10" x14ac:dyDescent="0.2">
      <c r="I12146" s="1125"/>
      <c r="J12146" s="1125"/>
    </row>
    <row r="12147" spans="9:10" x14ac:dyDescent="0.2">
      <c r="I12147" s="1125"/>
      <c r="J12147" s="1125"/>
    </row>
    <row r="12148" spans="9:10" x14ac:dyDescent="0.2">
      <c r="I12148" s="1125"/>
      <c r="J12148" s="1125"/>
    </row>
    <row r="12149" spans="9:10" x14ac:dyDescent="0.2">
      <c r="I12149" s="1125"/>
      <c r="J12149" s="1125"/>
    </row>
    <row r="12150" spans="9:10" x14ac:dyDescent="0.2">
      <c r="I12150" s="1125"/>
      <c r="J12150" s="1125"/>
    </row>
    <row r="12151" spans="9:10" x14ac:dyDescent="0.2">
      <c r="I12151" s="1125"/>
      <c r="J12151" s="1125"/>
    </row>
    <row r="12152" spans="9:10" x14ac:dyDescent="0.2">
      <c r="I12152" s="1125"/>
      <c r="J12152" s="1125"/>
    </row>
    <row r="12153" spans="9:10" x14ac:dyDescent="0.2">
      <c r="I12153" s="1125"/>
      <c r="J12153" s="1125"/>
    </row>
    <row r="12154" spans="9:10" x14ac:dyDescent="0.2">
      <c r="I12154" s="1125"/>
      <c r="J12154" s="1125"/>
    </row>
    <row r="12155" spans="9:10" x14ac:dyDescent="0.2">
      <c r="I12155" s="1125"/>
      <c r="J12155" s="1125"/>
    </row>
    <row r="12156" spans="9:10" x14ac:dyDescent="0.2">
      <c r="I12156" s="1125"/>
      <c r="J12156" s="1125"/>
    </row>
    <row r="12157" spans="9:10" x14ac:dyDescent="0.2">
      <c r="I12157" s="1125"/>
      <c r="J12157" s="1125"/>
    </row>
    <row r="12158" spans="9:10" x14ac:dyDescent="0.2">
      <c r="I12158" s="1125"/>
      <c r="J12158" s="1125"/>
    </row>
    <row r="12159" spans="9:10" x14ac:dyDescent="0.2">
      <c r="I12159" s="1125"/>
      <c r="J12159" s="1125"/>
    </row>
    <row r="12160" spans="9:10" x14ac:dyDescent="0.2">
      <c r="I12160" s="1125"/>
      <c r="J12160" s="1125"/>
    </row>
    <row r="12161" spans="9:10" x14ac:dyDescent="0.2">
      <c r="I12161" s="1125"/>
      <c r="J12161" s="1125"/>
    </row>
    <row r="12162" spans="9:10" x14ac:dyDescent="0.2">
      <c r="I12162" s="1125"/>
      <c r="J12162" s="1125"/>
    </row>
    <row r="12163" spans="9:10" x14ac:dyDescent="0.2">
      <c r="I12163" s="1125"/>
      <c r="J12163" s="1125"/>
    </row>
    <row r="12164" spans="9:10" x14ac:dyDescent="0.2">
      <c r="I12164" s="1125"/>
      <c r="J12164" s="1125"/>
    </row>
    <row r="12165" spans="9:10" x14ac:dyDescent="0.2">
      <c r="I12165" s="1125"/>
      <c r="J12165" s="1125"/>
    </row>
    <row r="12166" spans="9:10" x14ac:dyDescent="0.2">
      <c r="I12166" s="1125"/>
      <c r="J12166" s="1125"/>
    </row>
    <row r="12167" spans="9:10" x14ac:dyDescent="0.2">
      <c r="I12167" s="1125"/>
      <c r="J12167" s="1125"/>
    </row>
    <row r="12168" spans="9:10" x14ac:dyDescent="0.2">
      <c r="I12168" s="1125"/>
      <c r="J12168" s="1125"/>
    </row>
    <row r="12169" spans="9:10" x14ac:dyDescent="0.2">
      <c r="I12169" s="1125"/>
      <c r="J12169" s="1125"/>
    </row>
    <row r="12170" spans="9:10" x14ac:dyDescent="0.2">
      <c r="I12170" s="1125"/>
      <c r="J12170" s="1125"/>
    </row>
    <row r="12171" spans="9:10" x14ac:dyDescent="0.2">
      <c r="I12171" s="1125"/>
      <c r="J12171" s="1125"/>
    </row>
    <row r="12172" spans="9:10" x14ac:dyDescent="0.2">
      <c r="I12172" s="1125"/>
      <c r="J12172" s="1125"/>
    </row>
    <row r="12173" spans="9:10" x14ac:dyDescent="0.2">
      <c r="I12173" s="1125"/>
      <c r="J12173" s="1125"/>
    </row>
    <row r="12174" spans="9:10" x14ac:dyDescent="0.2">
      <c r="I12174" s="1125"/>
      <c r="J12174" s="1125"/>
    </row>
    <row r="12175" spans="9:10" x14ac:dyDescent="0.2">
      <c r="I12175" s="1125"/>
      <c r="J12175" s="1125"/>
    </row>
    <row r="12176" spans="9:10" x14ac:dyDescent="0.2">
      <c r="I12176" s="1125"/>
      <c r="J12176" s="1125"/>
    </row>
    <row r="12177" spans="9:10" x14ac:dyDescent="0.2">
      <c r="I12177" s="1125"/>
      <c r="J12177" s="1125"/>
    </row>
    <row r="12178" spans="9:10" x14ac:dyDescent="0.2">
      <c r="I12178" s="1125"/>
      <c r="J12178" s="1125"/>
    </row>
    <row r="12179" spans="9:10" x14ac:dyDescent="0.2">
      <c r="I12179" s="1125"/>
      <c r="J12179" s="1125"/>
    </row>
    <row r="12180" spans="9:10" x14ac:dyDescent="0.2">
      <c r="I12180" s="1125"/>
      <c r="J12180" s="1125"/>
    </row>
    <row r="12181" spans="9:10" x14ac:dyDescent="0.2">
      <c r="I12181" s="1125"/>
      <c r="J12181" s="1125"/>
    </row>
    <row r="12182" spans="9:10" x14ac:dyDescent="0.2">
      <c r="I12182" s="1125"/>
      <c r="J12182" s="1125"/>
    </row>
    <row r="12183" spans="9:10" x14ac:dyDescent="0.2">
      <c r="I12183" s="1125"/>
      <c r="J12183" s="1125"/>
    </row>
    <row r="12184" spans="9:10" x14ac:dyDescent="0.2">
      <c r="I12184" s="1125"/>
      <c r="J12184" s="1125"/>
    </row>
    <row r="12185" spans="9:10" x14ac:dyDescent="0.2">
      <c r="I12185" s="1125"/>
      <c r="J12185" s="1125"/>
    </row>
    <row r="12186" spans="9:10" x14ac:dyDescent="0.2">
      <c r="I12186" s="1125"/>
      <c r="J12186" s="1125"/>
    </row>
    <row r="12187" spans="9:10" x14ac:dyDescent="0.2">
      <c r="I12187" s="1125"/>
      <c r="J12187" s="1125"/>
    </row>
    <row r="12188" spans="9:10" x14ac:dyDescent="0.2">
      <c r="I12188" s="1125"/>
      <c r="J12188" s="1125"/>
    </row>
    <row r="12189" spans="9:10" x14ac:dyDescent="0.2">
      <c r="I12189" s="1125"/>
      <c r="J12189" s="1125"/>
    </row>
    <row r="12190" spans="9:10" x14ac:dyDescent="0.2">
      <c r="I12190" s="1125"/>
      <c r="J12190" s="1125"/>
    </row>
    <row r="12191" spans="9:10" x14ac:dyDescent="0.2">
      <c r="I12191" s="1125"/>
      <c r="J12191" s="1125"/>
    </row>
    <row r="12192" spans="9:10" x14ac:dyDescent="0.2">
      <c r="I12192" s="1125"/>
      <c r="J12192" s="1125"/>
    </row>
    <row r="12193" spans="9:10" x14ac:dyDescent="0.2">
      <c r="I12193" s="1125"/>
      <c r="J12193" s="1125"/>
    </row>
    <row r="12194" spans="9:10" x14ac:dyDescent="0.2">
      <c r="I12194" s="1125"/>
      <c r="J12194" s="1125"/>
    </row>
    <row r="12195" spans="9:10" x14ac:dyDescent="0.2">
      <c r="I12195" s="1125"/>
      <c r="J12195" s="1125"/>
    </row>
    <row r="12196" spans="9:10" x14ac:dyDescent="0.2">
      <c r="I12196" s="1125"/>
      <c r="J12196" s="1125"/>
    </row>
    <row r="12197" spans="9:10" x14ac:dyDescent="0.2">
      <c r="I12197" s="1125"/>
      <c r="J12197" s="1125"/>
    </row>
    <row r="12198" spans="9:10" x14ac:dyDescent="0.2">
      <c r="I12198" s="1125"/>
      <c r="J12198" s="1125"/>
    </row>
    <row r="12199" spans="9:10" x14ac:dyDescent="0.2">
      <c r="I12199" s="1125"/>
      <c r="J12199" s="1125"/>
    </row>
    <row r="12200" spans="9:10" x14ac:dyDescent="0.2">
      <c r="I12200" s="1125"/>
      <c r="J12200" s="1125"/>
    </row>
    <row r="12201" spans="9:10" x14ac:dyDescent="0.2">
      <c r="I12201" s="1125"/>
      <c r="J12201" s="1125"/>
    </row>
    <row r="12202" spans="9:10" x14ac:dyDescent="0.2">
      <c r="I12202" s="1125"/>
      <c r="J12202" s="1125"/>
    </row>
    <row r="12203" spans="9:10" x14ac:dyDescent="0.2">
      <c r="I12203" s="1125"/>
      <c r="J12203" s="1125"/>
    </row>
    <row r="12204" spans="9:10" x14ac:dyDescent="0.2">
      <c r="I12204" s="1125"/>
      <c r="J12204" s="1125"/>
    </row>
    <row r="12205" spans="9:10" x14ac:dyDescent="0.2">
      <c r="I12205" s="1125"/>
      <c r="J12205" s="1125"/>
    </row>
    <row r="12206" spans="9:10" x14ac:dyDescent="0.2">
      <c r="I12206" s="1125"/>
      <c r="J12206" s="1125"/>
    </row>
    <row r="12207" spans="9:10" x14ac:dyDescent="0.2">
      <c r="I12207" s="1125"/>
      <c r="J12207" s="1125"/>
    </row>
    <row r="12208" spans="9:10" x14ac:dyDescent="0.2">
      <c r="I12208" s="1125"/>
      <c r="J12208" s="1125"/>
    </row>
    <row r="12209" spans="9:10" x14ac:dyDescent="0.2">
      <c r="I12209" s="1125"/>
      <c r="J12209" s="1125"/>
    </row>
    <row r="12210" spans="9:10" x14ac:dyDescent="0.2">
      <c r="I12210" s="1125"/>
      <c r="J12210" s="1125"/>
    </row>
    <row r="12211" spans="9:10" x14ac:dyDescent="0.2">
      <c r="I12211" s="1125"/>
      <c r="J12211" s="1125"/>
    </row>
    <row r="12212" spans="9:10" x14ac:dyDescent="0.2">
      <c r="I12212" s="1125"/>
      <c r="J12212" s="1125"/>
    </row>
    <row r="12213" spans="9:10" x14ac:dyDescent="0.2">
      <c r="I12213" s="1125"/>
      <c r="J12213" s="1125"/>
    </row>
    <row r="12214" spans="9:10" x14ac:dyDescent="0.2">
      <c r="I12214" s="1125"/>
      <c r="J12214" s="1125"/>
    </row>
    <row r="12215" spans="9:10" x14ac:dyDescent="0.2">
      <c r="I12215" s="1125"/>
      <c r="J12215" s="1125"/>
    </row>
    <row r="12216" spans="9:10" x14ac:dyDescent="0.2">
      <c r="I12216" s="1125"/>
      <c r="J12216" s="1125"/>
    </row>
    <row r="12217" spans="9:10" x14ac:dyDescent="0.2">
      <c r="I12217" s="1125"/>
      <c r="J12217" s="1125"/>
    </row>
    <row r="12218" spans="9:10" x14ac:dyDescent="0.2">
      <c r="I12218" s="1125"/>
      <c r="J12218" s="1125"/>
    </row>
    <row r="12219" spans="9:10" x14ac:dyDescent="0.2">
      <c r="I12219" s="1125"/>
      <c r="J12219" s="1125"/>
    </row>
    <row r="12220" spans="9:10" x14ac:dyDescent="0.2">
      <c r="I12220" s="1125"/>
      <c r="J12220" s="1125"/>
    </row>
    <row r="12221" spans="9:10" x14ac:dyDescent="0.2">
      <c r="I12221" s="1125"/>
      <c r="J12221" s="1125"/>
    </row>
    <row r="12222" spans="9:10" x14ac:dyDescent="0.2">
      <c r="I12222" s="1125"/>
      <c r="J12222" s="1125"/>
    </row>
    <row r="12223" spans="9:10" x14ac:dyDescent="0.2">
      <c r="I12223" s="1125"/>
      <c r="J12223" s="1125"/>
    </row>
    <row r="12224" spans="9:10" x14ac:dyDescent="0.2">
      <c r="I12224" s="1125"/>
      <c r="J12224" s="1125"/>
    </row>
    <row r="12225" spans="9:10" x14ac:dyDescent="0.2">
      <c r="I12225" s="1125"/>
      <c r="J12225" s="1125"/>
    </row>
    <row r="12226" spans="9:10" x14ac:dyDescent="0.2">
      <c r="I12226" s="1125"/>
      <c r="J12226" s="1125"/>
    </row>
    <row r="12227" spans="9:10" x14ac:dyDescent="0.2">
      <c r="I12227" s="1125"/>
      <c r="J12227" s="1125"/>
    </row>
    <row r="12228" spans="9:10" x14ac:dyDescent="0.2">
      <c r="I12228" s="1125"/>
      <c r="J12228" s="1125"/>
    </row>
    <row r="12229" spans="9:10" x14ac:dyDescent="0.2">
      <c r="I12229" s="1125"/>
      <c r="J12229" s="1125"/>
    </row>
    <row r="12230" spans="9:10" x14ac:dyDescent="0.2">
      <c r="I12230" s="1125"/>
      <c r="J12230" s="1125"/>
    </row>
    <row r="12231" spans="9:10" x14ac:dyDescent="0.2">
      <c r="I12231" s="1125"/>
      <c r="J12231" s="1125"/>
    </row>
    <row r="12232" spans="9:10" x14ac:dyDescent="0.2">
      <c r="I12232" s="1125"/>
      <c r="J12232" s="1125"/>
    </row>
    <row r="12233" spans="9:10" x14ac:dyDescent="0.2">
      <c r="I12233" s="1125"/>
      <c r="J12233" s="1125"/>
    </row>
    <row r="12234" spans="9:10" x14ac:dyDescent="0.2">
      <c r="I12234" s="1125"/>
      <c r="J12234" s="1125"/>
    </row>
    <row r="12235" spans="9:10" x14ac:dyDescent="0.2">
      <c r="I12235" s="1125"/>
      <c r="J12235" s="1125"/>
    </row>
    <row r="12236" spans="9:10" x14ac:dyDescent="0.2">
      <c r="I12236" s="1125"/>
      <c r="J12236" s="1125"/>
    </row>
    <row r="12237" spans="9:10" x14ac:dyDescent="0.2">
      <c r="I12237" s="1125"/>
      <c r="J12237" s="1125"/>
    </row>
    <row r="12238" spans="9:10" x14ac:dyDescent="0.2">
      <c r="I12238" s="1125"/>
      <c r="J12238" s="1125"/>
    </row>
    <row r="12239" spans="9:10" x14ac:dyDescent="0.2">
      <c r="I12239" s="1125"/>
      <c r="J12239" s="1125"/>
    </row>
    <row r="12240" spans="9:10" x14ac:dyDescent="0.2">
      <c r="I12240" s="1125"/>
      <c r="J12240" s="1125"/>
    </row>
    <row r="12241" spans="9:10" x14ac:dyDescent="0.2">
      <c r="I12241" s="1125"/>
      <c r="J12241" s="1125"/>
    </row>
    <row r="12242" spans="9:10" x14ac:dyDescent="0.2">
      <c r="I12242" s="1125"/>
      <c r="J12242" s="1125"/>
    </row>
    <row r="12243" spans="9:10" x14ac:dyDescent="0.2">
      <c r="I12243" s="1125"/>
      <c r="J12243" s="1125"/>
    </row>
    <row r="12244" spans="9:10" x14ac:dyDescent="0.2">
      <c r="I12244" s="1125"/>
      <c r="J12244" s="1125"/>
    </row>
    <row r="12245" spans="9:10" x14ac:dyDescent="0.2">
      <c r="I12245" s="1125"/>
      <c r="J12245" s="1125"/>
    </row>
    <row r="12246" spans="9:10" x14ac:dyDescent="0.2">
      <c r="I12246" s="1125"/>
      <c r="J12246" s="1125"/>
    </row>
    <row r="12247" spans="9:10" x14ac:dyDescent="0.2">
      <c r="I12247" s="1125"/>
      <c r="J12247" s="1125"/>
    </row>
    <row r="12248" spans="9:10" x14ac:dyDescent="0.2">
      <c r="I12248" s="1125"/>
      <c r="J12248" s="1125"/>
    </row>
    <row r="12249" spans="9:10" x14ac:dyDescent="0.2">
      <c r="I12249" s="1125"/>
      <c r="J12249" s="1125"/>
    </row>
    <row r="12250" spans="9:10" x14ac:dyDescent="0.2">
      <c r="I12250" s="1125"/>
      <c r="J12250" s="1125"/>
    </row>
    <row r="12251" spans="9:10" x14ac:dyDescent="0.2">
      <c r="I12251" s="1125"/>
      <c r="J12251" s="1125"/>
    </row>
    <row r="12252" spans="9:10" x14ac:dyDescent="0.2">
      <c r="I12252" s="1125"/>
      <c r="J12252" s="1125"/>
    </row>
    <row r="12253" spans="9:10" x14ac:dyDescent="0.2">
      <c r="I12253" s="1125"/>
      <c r="J12253" s="1125"/>
    </row>
    <row r="12254" spans="9:10" x14ac:dyDescent="0.2">
      <c r="I12254" s="1125"/>
      <c r="J12254" s="1125"/>
    </row>
    <row r="12255" spans="9:10" x14ac:dyDescent="0.2">
      <c r="I12255" s="1125"/>
      <c r="J12255" s="1125"/>
    </row>
    <row r="12256" spans="9:10" x14ac:dyDescent="0.2">
      <c r="I12256" s="1125"/>
      <c r="J12256" s="1125"/>
    </row>
    <row r="12257" spans="9:10" x14ac:dyDescent="0.2">
      <c r="I12257" s="1125"/>
      <c r="J12257" s="1125"/>
    </row>
    <row r="12258" spans="9:10" x14ac:dyDescent="0.2">
      <c r="I12258" s="1125"/>
      <c r="J12258" s="1125"/>
    </row>
    <row r="12259" spans="9:10" x14ac:dyDescent="0.2">
      <c r="I12259" s="1125"/>
      <c r="J12259" s="1125"/>
    </row>
    <row r="12260" spans="9:10" x14ac:dyDescent="0.2">
      <c r="I12260" s="1125"/>
      <c r="J12260" s="1125"/>
    </row>
    <row r="12261" spans="9:10" x14ac:dyDescent="0.2">
      <c r="I12261" s="1125"/>
      <c r="J12261" s="1125"/>
    </row>
    <row r="12262" spans="9:10" x14ac:dyDescent="0.2">
      <c r="I12262" s="1125"/>
      <c r="J12262" s="1125"/>
    </row>
    <row r="12263" spans="9:10" x14ac:dyDescent="0.2">
      <c r="I12263" s="1125"/>
      <c r="J12263" s="1125"/>
    </row>
    <row r="12264" spans="9:10" x14ac:dyDescent="0.2">
      <c r="I12264" s="1125"/>
      <c r="J12264" s="1125"/>
    </row>
    <row r="12265" spans="9:10" x14ac:dyDescent="0.2">
      <c r="I12265" s="1125"/>
      <c r="J12265" s="1125"/>
    </row>
    <row r="12266" spans="9:10" x14ac:dyDescent="0.2">
      <c r="I12266" s="1125"/>
      <c r="J12266" s="1125"/>
    </row>
    <row r="12267" spans="9:10" x14ac:dyDescent="0.2">
      <c r="I12267" s="1125"/>
      <c r="J12267" s="1125"/>
    </row>
    <row r="12268" spans="9:10" x14ac:dyDescent="0.2">
      <c r="I12268" s="1125"/>
      <c r="J12268" s="1125"/>
    </row>
    <row r="12269" spans="9:10" x14ac:dyDescent="0.2">
      <c r="I12269" s="1125"/>
      <c r="J12269" s="1125"/>
    </row>
    <row r="12270" spans="9:10" x14ac:dyDescent="0.2">
      <c r="I12270" s="1125"/>
      <c r="J12270" s="1125"/>
    </row>
    <row r="12271" spans="9:10" x14ac:dyDescent="0.2">
      <c r="I12271" s="1125"/>
      <c r="J12271" s="1125"/>
    </row>
    <row r="12272" spans="9:10" x14ac:dyDescent="0.2">
      <c r="I12272" s="1125"/>
      <c r="J12272" s="1125"/>
    </row>
    <row r="12273" spans="9:10" x14ac:dyDescent="0.2">
      <c r="I12273" s="1125"/>
      <c r="J12273" s="1125"/>
    </row>
    <row r="12274" spans="9:10" x14ac:dyDescent="0.2">
      <c r="I12274" s="1125"/>
      <c r="J12274" s="1125"/>
    </row>
    <row r="12275" spans="9:10" x14ac:dyDescent="0.2">
      <c r="I12275" s="1125"/>
      <c r="J12275" s="1125"/>
    </row>
    <row r="12276" spans="9:10" x14ac:dyDescent="0.2">
      <c r="I12276" s="1125"/>
      <c r="J12276" s="1125"/>
    </row>
    <row r="12277" spans="9:10" x14ac:dyDescent="0.2">
      <c r="I12277" s="1125"/>
      <c r="J12277" s="1125"/>
    </row>
    <row r="12278" spans="9:10" x14ac:dyDescent="0.2">
      <c r="I12278" s="1125"/>
      <c r="J12278" s="1125"/>
    </row>
    <row r="12279" spans="9:10" x14ac:dyDescent="0.2">
      <c r="I12279" s="1125"/>
      <c r="J12279" s="1125"/>
    </row>
    <row r="12280" spans="9:10" x14ac:dyDescent="0.2">
      <c r="I12280" s="1125"/>
      <c r="J12280" s="1125"/>
    </row>
    <row r="12281" spans="9:10" x14ac:dyDescent="0.2">
      <c r="I12281" s="1125"/>
      <c r="J12281" s="1125"/>
    </row>
    <row r="12282" spans="9:10" x14ac:dyDescent="0.2">
      <c r="I12282" s="1125"/>
      <c r="J12282" s="1125"/>
    </row>
    <row r="12283" spans="9:10" x14ac:dyDescent="0.2">
      <c r="I12283" s="1125"/>
      <c r="J12283" s="1125"/>
    </row>
    <row r="12284" spans="9:10" x14ac:dyDescent="0.2">
      <c r="I12284" s="1125"/>
      <c r="J12284" s="1125"/>
    </row>
    <row r="12285" spans="9:10" x14ac:dyDescent="0.2">
      <c r="I12285" s="1125"/>
      <c r="J12285" s="1125"/>
    </row>
    <row r="12286" spans="9:10" x14ac:dyDescent="0.2">
      <c r="I12286" s="1125"/>
      <c r="J12286" s="1125"/>
    </row>
    <row r="12287" spans="9:10" x14ac:dyDescent="0.2">
      <c r="I12287" s="1125"/>
      <c r="J12287" s="1125"/>
    </row>
    <row r="12288" spans="9:10" x14ac:dyDescent="0.2">
      <c r="I12288" s="1125"/>
      <c r="J12288" s="1125"/>
    </row>
    <row r="12289" spans="9:10" x14ac:dyDescent="0.2">
      <c r="I12289" s="1125"/>
      <c r="J12289" s="1125"/>
    </row>
    <row r="12290" spans="9:10" x14ac:dyDescent="0.2">
      <c r="I12290" s="1125"/>
      <c r="J12290" s="1125"/>
    </row>
    <row r="12291" spans="9:10" x14ac:dyDescent="0.2">
      <c r="I12291" s="1125"/>
      <c r="J12291" s="1125"/>
    </row>
    <row r="12292" spans="9:10" x14ac:dyDescent="0.2">
      <c r="I12292" s="1125"/>
      <c r="J12292" s="1125"/>
    </row>
    <row r="12293" spans="9:10" x14ac:dyDescent="0.2">
      <c r="I12293" s="1125"/>
      <c r="J12293" s="1125"/>
    </row>
    <row r="12294" spans="9:10" x14ac:dyDescent="0.2">
      <c r="I12294" s="1125"/>
      <c r="J12294" s="1125"/>
    </row>
    <row r="12295" spans="9:10" x14ac:dyDescent="0.2">
      <c r="I12295" s="1125"/>
      <c r="J12295" s="1125"/>
    </row>
    <row r="12296" spans="9:10" x14ac:dyDescent="0.2">
      <c r="I12296" s="1125"/>
      <c r="J12296" s="1125"/>
    </row>
    <row r="12297" spans="9:10" x14ac:dyDescent="0.2">
      <c r="I12297" s="1125"/>
      <c r="J12297" s="1125"/>
    </row>
    <row r="12298" spans="9:10" x14ac:dyDescent="0.2">
      <c r="I12298" s="1125"/>
      <c r="J12298" s="1125"/>
    </row>
    <row r="12299" spans="9:10" x14ac:dyDescent="0.2">
      <c r="I12299" s="1125"/>
      <c r="J12299" s="1125"/>
    </row>
    <row r="12300" spans="9:10" x14ac:dyDescent="0.2">
      <c r="I12300" s="1125"/>
      <c r="J12300" s="1125"/>
    </row>
    <row r="12301" spans="9:10" x14ac:dyDescent="0.2">
      <c r="I12301" s="1125"/>
      <c r="J12301" s="1125"/>
    </row>
    <row r="12302" spans="9:10" x14ac:dyDescent="0.2">
      <c r="I12302" s="1125"/>
      <c r="J12302" s="1125"/>
    </row>
    <row r="12303" spans="9:10" x14ac:dyDescent="0.2">
      <c r="I12303" s="1125"/>
      <c r="J12303" s="1125"/>
    </row>
    <row r="12304" spans="9:10" x14ac:dyDescent="0.2">
      <c r="I12304" s="1125"/>
      <c r="J12304" s="1125"/>
    </row>
    <row r="12305" spans="9:10" x14ac:dyDescent="0.2">
      <c r="I12305" s="1125"/>
      <c r="J12305" s="1125"/>
    </row>
    <row r="12306" spans="9:10" x14ac:dyDescent="0.2">
      <c r="I12306" s="1125"/>
      <c r="J12306" s="1125"/>
    </row>
    <row r="12307" spans="9:10" x14ac:dyDescent="0.2">
      <c r="I12307" s="1125"/>
      <c r="J12307" s="1125"/>
    </row>
    <row r="12308" spans="9:10" x14ac:dyDescent="0.2">
      <c r="I12308" s="1125"/>
      <c r="J12308" s="1125"/>
    </row>
    <row r="12309" spans="9:10" x14ac:dyDescent="0.2">
      <c r="I12309" s="1125"/>
      <c r="J12309" s="1125"/>
    </row>
    <row r="12310" spans="9:10" x14ac:dyDescent="0.2">
      <c r="I12310" s="1125"/>
      <c r="J12310" s="1125"/>
    </row>
    <row r="12311" spans="9:10" x14ac:dyDescent="0.2">
      <c r="I12311" s="1125"/>
      <c r="J12311" s="1125"/>
    </row>
    <row r="12312" spans="9:10" x14ac:dyDescent="0.2">
      <c r="I12312" s="1125"/>
      <c r="J12312" s="1125"/>
    </row>
    <row r="12313" spans="9:10" x14ac:dyDescent="0.2">
      <c r="I12313" s="1125"/>
      <c r="J12313" s="1125"/>
    </row>
    <row r="12314" spans="9:10" x14ac:dyDescent="0.2">
      <c r="I12314" s="1125"/>
      <c r="J12314" s="1125"/>
    </row>
    <row r="12315" spans="9:10" x14ac:dyDescent="0.2">
      <c r="I12315" s="1125"/>
      <c r="J12315" s="1125"/>
    </row>
    <row r="12316" spans="9:10" x14ac:dyDescent="0.2">
      <c r="I12316" s="1125"/>
      <c r="J12316" s="1125"/>
    </row>
    <row r="12317" spans="9:10" x14ac:dyDescent="0.2">
      <c r="I12317" s="1125"/>
      <c r="J12317" s="1125"/>
    </row>
    <row r="12318" spans="9:10" x14ac:dyDescent="0.2">
      <c r="I12318" s="1125"/>
      <c r="J12318" s="1125"/>
    </row>
    <row r="12319" spans="9:10" x14ac:dyDescent="0.2">
      <c r="I12319" s="1125"/>
      <c r="J12319" s="1125"/>
    </row>
    <row r="12320" spans="9:10" x14ac:dyDescent="0.2">
      <c r="I12320" s="1125"/>
      <c r="J12320" s="1125"/>
    </row>
    <row r="12321" spans="9:10" x14ac:dyDescent="0.2">
      <c r="I12321" s="1125"/>
      <c r="J12321" s="1125"/>
    </row>
    <row r="12322" spans="9:10" x14ac:dyDescent="0.2">
      <c r="I12322" s="1125"/>
      <c r="J12322" s="1125"/>
    </row>
    <row r="12323" spans="9:10" x14ac:dyDescent="0.2">
      <c r="I12323" s="1125"/>
      <c r="J12323" s="1125"/>
    </row>
    <row r="12324" spans="9:10" x14ac:dyDescent="0.2">
      <c r="I12324" s="1125"/>
      <c r="J12324" s="1125"/>
    </row>
    <row r="12325" spans="9:10" x14ac:dyDescent="0.2">
      <c r="I12325" s="1125"/>
      <c r="J12325" s="1125"/>
    </row>
    <row r="12326" spans="9:10" x14ac:dyDescent="0.2">
      <c r="I12326" s="1125"/>
      <c r="J12326" s="1125"/>
    </row>
    <row r="12327" spans="9:10" x14ac:dyDescent="0.2">
      <c r="I12327" s="1125"/>
      <c r="J12327" s="1125"/>
    </row>
    <row r="12328" spans="9:10" x14ac:dyDescent="0.2">
      <c r="I12328" s="1125"/>
      <c r="J12328" s="1125"/>
    </row>
    <row r="12329" spans="9:10" x14ac:dyDescent="0.2">
      <c r="I12329" s="1125"/>
      <c r="J12329" s="1125"/>
    </row>
    <row r="12330" spans="9:10" x14ac:dyDescent="0.2">
      <c r="I12330" s="1125"/>
      <c r="J12330" s="1125"/>
    </row>
    <row r="12331" spans="9:10" x14ac:dyDescent="0.2">
      <c r="I12331" s="1125"/>
      <c r="J12331" s="1125"/>
    </row>
    <row r="12332" spans="9:10" x14ac:dyDescent="0.2">
      <c r="I12332" s="1125"/>
      <c r="J12332" s="1125"/>
    </row>
    <row r="12333" spans="9:10" x14ac:dyDescent="0.2">
      <c r="I12333" s="1125"/>
      <c r="J12333" s="1125"/>
    </row>
    <row r="12334" spans="9:10" x14ac:dyDescent="0.2">
      <c r="I12334" s="1125"/>
      <c r="J12334" s="1125"/>
    </row>
    <row r="12335" spans="9:10" x14ac:dyDescent="0.2">
      <c r="I12335" s="1125"/>
      <c r="J12335" s="1125"/>
    </row>
    <row r="12336" spans="9:10" x14ac:dyDescent="0.2">
      <c r="I12336" s="1125"/>
      <c r="J12336" s="1125"/>
    </row>
    <row r="12337" spans="9:10" x14ac:dyDescent="0.2">
      <c r="I12337" s="1125"/>
      <c r="J12337" s="1125"/>
    </row>
    <row r="12338" spans="9:10" x14ac:dyDescent="0.2">
      <c r="I12338" s="1125"/>
      <c r="J12338" s="1125"/>
    </row>
    <row r="12339" spans="9:10" x14ac:dyDescent="0.2">
      <c r="I12339" s="1125"/>
      <c r="J12339" s="1125"/>
    </row>
    <row r="12340" spans="9:10" x14ac:dyDescent="0.2">
      <c r="I12340" s="1125"/>
      <c r="J12340" s="1125"/>
    </row>
    <row r="12341" spans="9:10" x14ac:dyDescent="0.2">
      <c r="I12341" s="1125"/>
      <c r="J12341" s="1125"/>
    </row>
    <row r="12342" spans="9:10" x14ac:dyDescent="0.2">
      <c r="I12342" s="1125"/>
      <c r="J12342" s="1125"/>
    </row>
    <row r="12343" spans="9:10" x14ac:dyDescent="0.2">
      <c r="I12343" s="1125"/>
      <c r="J12343" s="1125"/>
    </row>
    <row r="12344" spans="9:10" x14ac:dyDescent="0.2">
      <c r="I12344" s="1125"/>
      <c r="J12344" s="1125"/>
    </row>
    <row r="12345" spans="9:10" x14ac:dyDescent="0.2">
      <c r="I12345" s="1125"/>
      <c r="J12345" s="1125"/>
    </row>
    <row r="12346" spans="9:10" x14ac:dyDescent="0.2">
      <c r="I12346" s="1125"/>
      <c r="J12346" s="1125"/>
    </row>
    <row r="12347" spans="9:10" x14ac:dyDescent="0.2">
      <c r="I12347" s="1125"/>
      <c r="J12347" s="1125"/>
    </row>
    <row r="12348" spans="9:10" x14ac:dyDescent="0.2">
      <c r="I12348" s="1125"/>
      <c r="J12348" s="1125"/>
    </row>
    <row r="12349" spans="9:10" x14ac:dyDescent="0.2">
      <c r="I12349" s="1125"/>
      <c r="J12349" s="1125"/>
    </row>
    <row r="12350" spans="9:10" x14ac:dyDescent="0.2">
      <c r="I12350" s="1125"/>
      <c r="J12350" s="1125"/>
    </row>
    <row r="12351" spans="9:10" x14ac:dyDescent="0.2">
      <c r="I12351" s="1125"/>
      <c r="J12351" s="1125"/>
    </row>
    <row r="12352" spans="9:10" x14ac:dyDescent="0.2">
      <c r="I12352" s="1125"/>
      <c r="J12352" s="1125"/>
    </row>
    <row r="12353" spans="9:10" x14ac:dyDescent="0.2">
      <c r="I12353" s="1125"/>
      <c r="J12353" s="1125"/>
    </row>
    <row r="12354" spans="9:10" x14ac:dyDescent="0.2">
      <c r="I12354" s="1125"/>
      <c r="J12354" s="1125"/>
    </row>
    <row r="12355" spans="9:10" x14ac:dyDescent="0.2">
      <c r="I12355" s="1125"/>
      <c r="J12355" s="1125"/>
    </row>
    <row r="12356" spans="9:10" x14ac:dyDescent="0.2">
      <c r="I12356" s="1125"/>
      <c r="J12356" s="1125"/>
    </row>
    <row r="12357" spans="9:10" x14ac:dyDescent="0.2">
      <c r="I12357" s="1125"/>
      <c r="J12357" s="1125"/>
    </row>
    <row r="12358" spans="9:10" x14ac:dyDescent="0.2">
      <c r="I12358" s="1125"/>
      <c r="J12358" s="1125"/>
    </row>
    <row r="12359" spans="9:10" x14ac:dyDescent="0.2">
      <c r="I12359" s="1125"/>
      <c r="J12359" s="1125"/>
    </row>
    <row r="12360" spans="9:10" x14ac:dyDescent="0.2">
      <c r="I12360" s="1125"/>
      <c r="J12360" s="1125"/>
    </row>
    <row r="12361" spans="9:10" x14ac:dyDescent="0.2">
      <c r="I12361" s="1125"/>
      <c r="J12361" s="1125"/>
    </row>
    <row r="12362" spans="9:10" x14ac:dyDescent="0.2">
      <c r="I12362" s="1125"/>
      <c r="J12362" s="1125"/>
    </row>
    <row r="12363" spans="9:10" x14ac:dyDescent="0.2">
      <c r="I12363" s="1125"/>
      <c r="J12363" s="1125"/>
    </row>
    <row r="12364" spans="9:10" x14ac:dyDescent="0.2">
      <c r="I12364" s="1125"/>
      <c r="J12364" s="1125"/>
    </row>
    <row r="12365" spans="9:10" x14ac:dyDescent="0.2">
      <c r="I12365" s="1125"/>
      <c r="J12365" s="1125"/>
    </row>
    <row r="12366" spans="9:10" x14ac:dyDescent="0.2">
      <c r="I12366" s="1125"/>
      <c r="J12366" s="1125"/>
    </row>
    <row r="12367" spans="9:10" x14ac:dyDescent="0.2">
      <c r="I12367" s="1125"/>
      <c r="J12367" s="1125"/>
    </row>
    <row r="12368" spans="9:10" x14ac:dyDescent="0.2">
      <c r="I12368" s="1125"/>
      <c r="J12368" s="1125"/>
    </row>
    <row r="12369" spans="9:10" x14ac:dyDescent="0.2">
      <c r="I12369" s="1125"/>
      <c r="J12369" s="1125"/>
    </row>
    <row r="12370" spans="9:10" x14ac:dyDescent="0.2">
      <c r="I12370" s="1125"/>
      <c r="J12370" s="1125"/>
    </row>
    <row r="12371" spans="9:10" x14ac:dyDescent="0.2">
      <c r="I12371" s="1125"/>
      <c r="J12371" s="1125"/>
    </row>
    <row r="12372" spans="9:10" x14ac:dyDescent="0.2">
      <c r="I12372" s="1125"/>
      <c r="J12372" s="1125"/>
    </row>
    <row r="12373" spans="9:10" x14ac:dyDescent="0.2">
      <c r="I12373" s="1125"/>
      <c r="J12373" s="1125"/>
    </row>
    <row r="12374" spans="9:10" x14ac:dyDescent="0.2">
      <c r="I12374" s="1125"/>
      <c r="J12374" s="1125"/>
    </row>
    <row r="12375" spans="9:10" x14ac:dyDescent="0.2">
      <c r="I12375" s="1125"/>
      <c r="J12375" s="1125"/>
    </row>
    <row r="12376" spans="9:10" x14ac:dyDescent="0.2">
      <c r="I12376" s="1125"/>
      <c r="J12376" s="1125"/>
    </row>
    <row r="12377" spans="9:10" x14ac:dyDescent="0.2">
      <c r="I12377" s="1125"/>
      <c r="J12377" s="1125"/>
    </row>
    <row r="12378" spans="9:10" x14ac:dyDescent="0.2">
      <c r="I12378" s="1125"/>
      <c r="J12378" s="1125"/>
    </row>
    <row r="12379" spans="9:10" x14ac:dyDescent="0.2">
      <c r="I12379" s="1125"/>
      <c r="J12379" s="1125"/>
    </row>
    <row r="12380" spans="9:10" x14ac:dyDescent="0.2">
      <c r="I12380" s="1125"/>
      <c r="J12380" s="1125"/>
    </row>
    <row r="12381" spans="9:10" x14ac:dyDescent="0.2">
      <c r="I12381" s="1125"/>
      <c r="J12381" s="1125"/>
    </row>
    <row r="12382" spans="9:10" x14ac:dyDescent="0.2">
      <c r="I12382" s="1125"/>
      <c r="J12382" s="1125"/>
    </row>
    <row r="12383" spans="9:10" x14ac:dyDescent="0.2">
      <c r="I12383" s="1125"/>
      <c r="J12383" s="1125"/>
    </row>
    <row r="12384" spans="9:10" x14ac:dyDescent="0.2">
      <c r="I12384" s="1125"/>
      <c r="J12384" s="1125"/>
    </row>
    <row r="12385" spans="9:10" x14ac:dyDescent="0.2">
      <c r="I12385" s="1125"/>
      <c r="J12385" s="1125"/>
    </row>
    <row r="12386" spans="9:10" x14ac:dyDescent="0.2">
      <c r="I12386" s="1125"/>
      <c r="J12386" s="1125"/>
    </row>
    <row r="12387" spans="9:10" x14ac:dyDescent="0.2">
      <c r="I12387" s="1125"/>
      <c r="J12387" s="1125"/>
    </row>
    <row r="12388" spans="9:10" x14ac:dyDescent="0.2">
      <c r="I12388" s="1125"/>
      <c r="J12388" s="1125"/>
    </row>
    <row r="12389" spans="9:10" x14ac:dyDescent="0.2">
      <c r="I12389" s="1125"/>
      <c r="J12389" s="1125"/>
    </row>
    <row r="12390" spans="9:10" x14ac:dyDescent="0.2">
      <c r="I12390" s="1125"/>
      <c r="J12390" s="1125"/>
    </row>
    <row r="12391" spans="9:10" x14ac:dyDescent="0.2">
      <c r="I12391" s="1125"/>
      <c r="J12391" s="1125"/>
    </row>
    <row r="12392" spans="9:10" x14ac:dyDescent="0.2">
      <c r="I12392" s="1125"/>
      <c r="J12392" s="1125"/>
    </row>
    <row r="12393" spans="9:10" x14ac:dyDescent="0.2">
      <c r="I12393" s="1125"/>
      <c r="J12393" s="1125"/>
    </row>
    <row r="12394" spans="9:10" x14ac:dyDescent="0.2">
      <c r="I12394" s="1125"/>
      <c r="J12394" s="1125"/>
    </row>
    <row r="12395" spans="9:10" x14ac:dyDescent="0.2">
      <c r="I12395" s="1125"/>
      <c r="J12395" s="1125"/>
    </row>
    <row r="12396" spans="9:10" x14ac:dyDescent="0.2">
      <c r="I12396" s="1125"/>
      <c r="J12396" s="1125"/>
    </row>
    <row r="12397" spans="9:10" x14ac:dyDescent="0.2">
      <c r="I12397" s="1125"/>
      <c r="J12397" s="1125"/>
    </row>
    <row r="12398" spans="9:10" x14ac:dyDescent="0.2">
      <c r="I12398" s="1125"/>
      <c r="J12398" s="1125"/>
    </row>
    <row r="12399" spans="9:10" x14ac:dyDescent="0.2">
      <c r="I12399" s="1125"/>
      <c r="J12399" s="1125"/>
    </row>
    <row r="12400" spans="9:10" x14ac:dyDescent="0.2">
      <c r="I12400" s="1125"/>
      <c r="J12400" s="1125"/>
    </row>
    <row r="12401" spans="9:10" x14ac:dyDescent="0.2">
      <c r="I12401" s="1125"/>
      <c r="J12401" s="1125"/>
    </row>
    <row r="12402" spans="9:10" x14ac:dyDescent="0.2">
      <c r="I12402" s="1125"/>
      <c r="J12402" s="1125"/>
    </row>
    <row r="12403" spans="9:10" x14ac:dyDescent="0.2">
      <c r="I12403" s="1125"/>
      <c r="J12403" s="1125"/>
    </row>
    <row r="12404" spans="9:10" x14ac:dyDescent="0.2">
      <c r="I12404" s="1125"/>
      <c r="J12404" s="1125"/>
    </row>
    <row r="12405" spans="9:10" x14ac:dyDescent="0.2">
      <c r="I12405" s="1125"/>
      <c r="J12405" s="1125"/>
    </row>
    <row r="12406" spans="9:10" x14ac:dyDescent="0.2">
      <c r="I12406" s="1125"/>
      <c r="J12406" s="1125"/>
    </row>
    <row r="12407" spans="9:10" x14ac:dyDescent="0.2">
      <c r="I12407" s="1125"/>
      <c r="J12407" s="1125"/>
    </row>
    <row r="12408" spans="9:10" x14ac:dyDescent="0.2">
      <c r="I12408" s="1125"/>
      <c r="J12408" s="1125"/>
    </row>
    <row r="12409" spans="9:10" x14ac:dyDescent="0.2">
      <c r="I12409" s="1125"/>
      <c r="J12409" s="1125"/>
    </row>
    <row r="12410" spans="9:10" x14ac:dyDescent="0.2">
      <c r="I12410" s="1125"/>
      <c r="J12410" s="1125"/>
    </row>
    <row r="12411" spans="9:10" x14ac:dyDescent="0.2">
      <c r="I12411" s="1125"/>
      <c r="J12411" s="1125"/>
    </row>
    <row r="12412" spans="9:10" x14ac:dyDescent="0.2">
      <c r="I12412" s="1125"/>
      <c r="J12412" s="1125"/>
    </row>
    <row r="12413" spans="9:10" x14ac:dyDescent="0.2">
      <c r="I12413" s="1125"/>
      <c r="J12413" s="1125"/>
    </row>
    <row r="12414" spans="9:10" x14ac:dyDescent="0.2">
      <c r="I12414" s="1125"/>
      <c r="J12414" s="1125"/>
    </row>
    <row r="12415" spans="9:10" x14ac:dyDescent="0.2">
      <c r="I12415" s="1125"/>
      <c r="J12415" s="1125"/>
    </row>
    <row r="12416" spans="9:10" x14ac:dyDescent="0.2">
      <c r="I12416" s="1125"/>
      <c r="J12416" s="1125"/>
    </row>
    <row r="12417" spans="9:10" x14ac:dyDescent="0.2">
      <c r="I12417" s="1125"/>
      <c r="J12417" s="1125"/>
    </row>
    <row r="12418" spans="9:10" x14ac:dyDescent="0.2">
      <c r="I12418" s="1125"/>
      <c r="J12418" s="1125"/>
    </row>
    <row r="12419" spans="9:10" x14ac:dyDescent="0.2">
      <c r="I12419" s="1125"/>
      <c r="J12419" s="1125"/>
    </row>
    <row r="12420" spans="9:10" x14ac:dyDescent="0.2">
      <c r="I12420" s="1125"/>
      <c r="J12420" s="1125"/>
    </row>
    <row r="12421" spans="9:10" x14ac:dyDescent="0.2">
      <c r="I12421" s="1125"/>
      <c r="J12421" s="1125"/>
    </row>
    <row r="12422" spans="9:10" x14ac:dyDescent="0.2">
      <c r="I12422" s="1125"/>
      <c r="J12422" s="1125"/>
    </row>
    <row r="12423" spans="9:10" x14ac:dyDescent="0.2">
      <c r="I12423" s="1125"/>
      <c r="J12423" s="1125"/>
    </row>
    <row r="12424" spans="9:10" x14ac:dyDescent="0.2">
      <c r="I12424" s="1125"/>
      <c r="J12424" s="1125"/>
    </row>
    <row r="12425" spans="9:10" x14ac:dyDescent="0.2">
      <c r="I12425" s="1125"/>
      <c r="J12425" s="1125"/>
    </row>
    <row r="12426" spans="9:10" x14ac:dyDescent="0.2">
      <c r="I12426" s="1125"/>
      <c r="J12426" s="1125"/>
    </row>
    <row r="12427" spans="9:10" x14ac:dyDescent="0.2">
      <c r="I12427" s="1125"/>
      <c r="J12427" s="1125"/>
    </row>
    <row r="12428" spans="9:10" x14ac:dyDescent="0.2">
      <c r="I12428" s="1125"/>
      <c r="J12428" s="1125"/>
    </row>
    <row r="12429" spans="9:10" x14ac:dyDescent="0.2">
      <c r="I12429" s="1125"/>
      <c r="J12429" s="1125"/>
    </row>
    <row r="12430" spans="9:10" x14ac:dyDescent="0.2">
      <c r="I12430" s="1125"/>
      <c r="J12430" s="1125"/>
    </row>
    <row r="12431" spans="9:10" x14ac:dyDescent="0.2">
      <c r="I12431" s="1125"/>
      <c r="J12431" s="1125"/>
    </row>
    <row r="12432" spans="9:10" x14ac:dyDescent="0.2">
      <c r="I12432" s="1125"/>
      <c r="J12432" s="1125"/>
    </row>
    <row r="12433" spans="9:10" x14ac:dyDescent="0.2">
      <c r="I12433" s="1125"/>
      <c r="J12433" s="1125"/>
    </row>
    <row r="12434" spans="9:10" x14ac:dyDescent="0.2">
      <c r="I12434" s="1125"/>
      <c r="J12434" s="1125"/>
    </row>
    <row r="12435" spans="9:10" x14ac:dyDescent="0.2">
      <c r="I12435" s="1125"/>
      <c r="J12435" s="1125"/>
    </row>
    <row r="12436" spans="9:10" x14ac:dyDescent="0.2">
      <c r="I12436" s="1125"/>
      <c r="J12436" s="1125"/>
    </row>
    <row r="12437" spans="9:10" x14ac:dyDescent="0.2">
      <c r="I12437" s="1125"/>
      <c r="J12437" s="1125"/>
    </row>
    <row r="12438" spans="9:10" x14ac:dyDescent="0.2">
      <c r="I12438" s="1125"/>
      <c r="J12438" s="1125"/>
    </row>
    <row r="12439" spans="9:10" x14ac:dyDescent="0.2">
      <c r="I12439" s="1125"/>
      <c r="J12439" s="1125"/>
    </row>
    <row r="12440" spans="9:10" x14ac:dyDescent="0.2">
      <c r="I12440" s="1125"/>
      <c r="J12440" s="1125"/>
    </row>
    <row r="12441" spans="9:10" x14ac:dyDescent="0.2">
      <c r="I12441" s="1125"/>
      <c r="J12441" s="1125"/>
    </row>
    <row r="12442" spans="9:10" x14ac:dyDescent="0.2">
      <c r="I12442" s="1125"/>
      <c r="J12442" s="1125"/>
    </row>
    <row r="12443" spans="9:10" x14ac:dyDescent="0.2">
      <c r="I12443" s="1125"/>
      <c r="J12443" s="1125"/>
    </row>
    <row r="12444" spans="9:10" x14ac:dyDescent="0.2">
      <c r="I12444" s="1125"/>
      <c r="J12444" s="1125"/>
    </row>
    <row r="12445" spans="9:10" x14ac:dyDescent="0.2">
      <c r="I12445" s="1125"/>
      <c r="J12445" s="1125"/>
    </row>
    <row r="12446" spans="9:10" x14ac:dyDescent="0.2">
      <c r="I12446" s="1125"/>
      <c r="J12446" s="1125"/>
    </row>
    <row r="12447" spans="9:10" x14ac:dyDescent="0.2">
      <c r="I12447" s="1125"/>
      <c r="J12447" s="1125"/>
    </row>
    <row r="12448" spans="9:10" x14ac:dyDescent="0.2">
      <c r="I12448" s="1125"/>
      <c r="J12448" s="1125"/>
    </row>
    <row r="12449" spans="9:10" x14ac:dyDescent="0.2">
      <c r="I12449" s="1125"/>
      <c r="J12449" s="1125"/>
    </row>
    <row r="12450" spans="9:10" x14ac:dyDescent="0.2">
      <c r="I12450" s="1125"/>
      <c r="J12450" s="1125"/>
    </row>
    <row r="12451" spans="9:10" x14ac:dyDescent="0.2">
      <c r="I12451" s="1125"/>
      <c r="J12451" s="1125"/>
    </row>
    <row r="12452" spans="9:10" x14ac:dyDescent="0.2">
      <c r="I12452" s="1125"/>
      <c r="J12452" s="1125"/>
    </row>
    <row r="12453" spans="9:10" x14ac:dyDescent="0.2">
      <c r="I12453" s="1125"/>
      <c r="J12453" s="1125"/>
    </row>
    <row r="12454" spans="9:10" x14ac:dyDescent="0.2">
      <c r="I12454" s="1125"/>
      <c r="J12454" s="1125"/>
    </row>
    <row r="12455" spans="9:10" x14ac:dyDescent="0.2">
      <c r="I12455" s="1125"/>
      <c r="J12455" s="1125"/>
    </row>
    <row r="12456" spans="9:10" x14ac:dyDescent="0.2">
      <c r="I12456" s="1125"/>
      <c r="J12456" s="1125"/>
    </row>
    <row r="12457" spans="9:10" x14ac:dyDescent="0.2">
      <c r="I12457" s="1125"/>
      <c r="J12457" s="1125"/>
    </row>
    <row r="12458" spans="9:10" x14ac:dyDescent="0.2">
      <c r="I12458" s="1125"/>
      <c r="J12458" s="1125"/>
    </row>
    <row r="12459" spans="9:10" x14ac:dyDescent="0.2">
      <c r="I12459" s="1125"/>
      <c r="J12459" s="1125"/>
    </row>
    <row r="12460" spans="9:10" x14ac:dyDescent="0.2">
      <c r="I12460" s="1125"/>
      <c r="J12460" s="1125"/>
    </row>
    <row r="12461" spans="9:10" x14ac:dyDescent="0.2">
      <c r="I12461" s="1125"/>
      <c r="J12461" s="1125"/>
    </row>
    <row r="12462" spans="9:10" x14ac:dyDescent="0.2">
      <c r="I12462" s="1125"/>
      <c r="J12462" s="1125"/>
    </row>
    <row r="12463" spans="9:10" x14ac:dyDescent="0.2">
      <c r="I12463" s="1125"/>
      <c r="J12463" s="1125"/>
    </row>
    <row r="12464" spans="9:10" x14ac:dyDescent="0.2">
      <c r="I12464" s="1125"/>
      <c r="J12464" s="1125"/>
    </row>
    <row r="12465" spans="9:10" x14ac:dyDescent="0.2">
      <c r="I12465" s="1125"/>
      <c r="J12465" s="1125"/>
    </row>
    <row r="12466" spans="9:10" x14ac:dyDescent="0.2">
      <c r="I12466" s="1125"/>
      <c r="J12466" s="1125"/>
    </row>
    <row r="12467" spans="9:10" x14ac:dyDescent="0.2">
      <c r="I12467" s="1125"/>
      <c r="J12467" s="1125"/>
    </row>
    <row r="12468" spans="9:10" x14ac:dyDescent="0.2">
      <c r="I12468" s="1125"/>
      <c r="J12468" s="1125"/>
    </row>
    <row r="12469" spans="9:10" x14ac:dyDescent="0.2">
      <c r="I12469" s="1125"/>
      <c r="J12469" s="1125"/>
    </row>
    <row r="12470" spans="9:10" x14ac:dyDescent="0.2">
      <c r="I12470" s="1125"/>
      <c r="J12470" s="1125"/>
    </row>
    <row r="12471" spans="9:10" x14ac:dyDescent="0.2">
      <c r="I12471" s="1125"/>
      <c r="J12471" s="1125"/>
    </row>
    <row r="12472" spans="9:10" x14ac:dyDescent="0.2">
      <c r="I12472" s="1125"/>
      <c r="J12472" s="1125"/>
    </row>
    <row r="12473" spans="9:10" x14ac:dyDescent="0.2">
      <c r="I12473" s="1125"/>
      <c r="J12473" s="1125"/>
    </row>
    <row r="12474" spans="9:10" x14ac:dyDescent="0.2">
      <c r="I12474" s="1125"/>
      <c r="J12474" s="1125"/>
    </row>
    <row r="12475" spans="9:10" x14ac:dyDescent="0.2">
      <c r="I12475" s="1125"/>
      <c r="J12475" s="1125"/>
    </row>
    <row r="12476" spans="9:10" x14ac:dyDescent="0.2">
      <c r="I12476" s="1125"/>
      <c r="J12476" s="1125"/>
    </row>
    <row r="12477" spans="9:10" x14ac:dyDescent="0.2">
      <c r="I12477" s="1125"/>
      <c r="J12477" s="1125"/>
    </row>
    <row r="12478" spans="9:10" x14ac:dyDescent="0.2">
      <c r="I12478" s="1125"/>
      <c r="J12478" s="1125"/>
    </row>
    <row r="12479" spans="9:10" x14ac:dyDescent="0.2">
      <c r="I12479" s="1125"/>
      <c r="J12479" s="1125"/>
    </row>
    <row r="12480" spans="9:10" x14ac:dyDescent="0.2">
      <c r="I12480" s="1125"/>
      <c r="J12480" s="1125"/>
    </row>
    <row r="12481" spans="9:10" x14ac:dyDescent="0.2">
      <c r="I12481" s="1125"/>
      <c r="J12481" s="1125"/>
    </row>
    <row r="12482" spans="9:10" x14ac:dyDescent="0.2">
      <c r="I12482" s="1125"/>
      <c r="J12482" s="1125"/>
    </row>
    <row r="12483" spans="9:10" x14ac:dyDescent="0.2">
      <c r="I12483" s="1125"/>
      <c r="J12483" s="1125"/>
    </row>
    <row r="12484" spans="9:10" x14ac:dyDescent="0.2">
      <c r="I12484" s="1125"/>
      <c r="J12484" s="1125"/>
    </row>
    <row r="12485" spans="9:10" x14ac:dyDescent="0.2">
      <c r="I12485" s="1125"/>
      <c r="J12485" s="1125"/>
    </row>
    <row r="12486" spans="9:10" x14ac:dyDescent="0.2">
      <c r="I12486" s="1125"/>
      <c r="J12486" s="1125"/>
    </row>
    <row r="12487" spans="9:10" x14ac:dyDescent="0.2">
      <c r="I12487" s="1125"/>
      <c r="J12487" s="1125"/>
    </row>
    <row r="12488" spans="9:10" x14ac:dyDescent="0.2">
      <c r="I12488" s="1125"/>
      <c r="J12488" s="1125"/>
    </row>
    <row r="12489" spans="9:10" x14ac:dyDescent="0.2">
      <c r="I12489" s="1125"/>
      <c r="J12489" s="1125"/>
    </row>
    <row r="12490" spans="9:10" x14ac:dyDescent="0.2">
      <c r="I12490" s="1125"/>
      <c r="J12490" s="1125"/>
    </row>
    <row r="12491" spans="9:10" x14ac:dyDescent="0.2">
      <c r="I12491" s="1125"/>
      <c r="J12491" s="1125"/>
    </row>
    <row r="12492" spans="9:10" x14ac:dyDescent="0.2">
      <c r="I12492" s="1125"/>
      <c r="J12492" s="1125"/>
    </row>
    <row r="12493" spans="9:10" x14ac:dyDescent="0.2">
      <c r="I12493" s="1125"/>
      <c r="J12493" s="1125"/>
    </row>
    <row r="12494" spans="9:10" x14ac:dyDescent="0.2">
      <c r="I12494" s="1125"/>
      <c r="J12494" s="1125"/>
    </row>
    <row r="12495" spans="9:10" x14ac:dyDescent="0.2">
      <c r="I12495" s="1125"/>
      <c r="J12495" s="1125"/>
    </row>
    <row r="12496" spans="9:10" x14ac:dyDescent="0.2">
      <c r="I12496" s="1125"/>
      <c r="J12496" s="1125"/>
    </row>
    <row r="12497" spans="9:10" x14ac:dyDescent="0.2">
      <c r="I12497" s="1125"/>
      <c r="J12497" s="1125"/>
    </row>
    <row r="12498" spans="9:10" x14ac:dyDescent="0.2">
      <c r="I12498" s="1125"/>
      <c r="J12498" s="1125"/>
    </row>
    <row r="12499" spans="9:10" x14ac:dyDescent="0.2">
      <c r="I12499" s="1125"/>
      <c r="J12499" s="1125"/>
    </row>
    <row r="12500" spans="9:10" x14ac:dyDescent="0.2">
      <c r="I12500" s="1125"/>
      <c r="J12500" s="1125"/>
    </row>
    <row r="12501" spans="9:10" x14ac:dyDescent="0.2">
      <c r="I12501" s="1125"/>
      <c r="J12501" s="1125"/>
    </row>
    <row r="12502" spans="9:10" x14ac:dyDescent="0.2">
      <c r="I12502" s="1125"/>
      <c r="J12502" s="1125"/>
    </row>
    <row r="12503" spans="9:10" x14ac:dyDescent="0.2">
      <c r="I12503" s="1125"/>
      <c r="J12503" s="1125"/>
    </row>
    <row r="12504" spans="9:10" x14ac:dyDescent="0.2">
      <c r="I12504" s="1125"/>
      <c r="J12504" s="1125"/>
    </row>
    <row r="12505" spans="9:10" x14ac:dyDescent="0.2">
      <c r="I12505" s="1125"/>
      <c r="J12505" s="1125"/>
    </row>
    <row r="12506" spans="9:10" x14ac:dyDescent="0.2">
      <c r="I12506" s="1125"/>
      <c r="J12506" s="1125"/>
    </row>
    <row r="12507" spans="9:10" x14ac:dyDescent="0.2">
      <c r="I12507" s="1125"/>
      <c r="J12507" s="1125"/>
    </row>
    <row r="12508" spans="9:10" x14ac:dyDescent="0.2">
      <c r="I12508" s="1125"/>
      <c r="J12508" s="1125"/>
    </row>
    <row r="12509" spans="9:10" x14ac:dyDescent="0.2">
      <c r="I12509" s="1125"/>
      <c r="J12509" s="1125"/>
    </row>
    <row r="12510" spans="9:10" x14ac:dyDescent="0.2">
      <c r="I12510" s="1125"/>
      <c r="J12510" s="1125"/>
    </row>
    <row r="12511" spans="9:10" x14ac:dyDescent="0.2">
      <c r="I12511" s="1125"/>
      <c r="J12511" s="1125"/>
    </row>
    <row r="12512" spans="9:10" x14ac:dyDescent="0.2">
      <c r="I12512" s="1125"/>
      <c r="J12512" s="1125"/>
    </row>
    <row r="12513" spans="9:10" x14ac:dyDescent="0.2">
      <c r="I12513" s="1125"/>
      <c r="J12513" s="1125"/>
    </row>
    <row r="12514" spans="9:10" x14ac:dyDescent="0.2">
      <c r="I12514" s="1125"/>
      <c r="J12514" s="1125"/>
    </row>
    <row r="12515" spans="9:10" x14ac:dyDescent="0.2">
      <c r="I12515" s="1125"/>
      <c r="J12515" s="1125"/>
    </row>
    <row r="12516" spans="9:10" x14ac:dyDescent="0.2">
      <c r="I12516" s="1125"/>
      <c r="J12516" s="1125"/>
    </row>
    <row r="12517" spans="9:10" x14ac:dyDescent="0.2">
      <c r="I12517" s="1125"/>
      <c r="J12517" s="1125"/>
    </row>
    <row r="12518" spans="9:10" x14ac:dyDescent="0.2">
      <c r="I12518" s="1125"/>
      <c r="J12518" s="1125"/>
    </row>
    <row r="12519" spans="9:10" x14ac:dyDescent="0.2">
      <c r="I12519" s="1125"/>
      <c r="J12519" s="1125"/>
    </row>
    <row r="12520" spans="9:10" x14ac:dyDescent="0.2">
      <c r="I12520" s="1125"/>
      <c r="J12520" s="1125"/>
    </row>
    <row r="12521" spans="9:10" x14ac:dyDescent="0.2">
      <c r="I12521" s="1125"/>
      <c r="J12521" s="1125"/>
    </row>
    <row r="12522" spans="9:10" x14ac:dyDescent="0.2">
      <c r="I12522" s="1125"/>
      <c r="J12522" s="1125"/>
    </row>
    <row r="12523" spans="9:10" x14ac:dyDescent="0.2">
      <c r="I12523" s="1125"/>
      <c r="J12523" s="1125"/>
    </row>
    <row r="12524" spans="9:10" x14ac:dyDescent="0.2">
      <c r="I12524" s="1125"/>
      <c r="J12524" s="1125"/>
    </row>
    <row r="12525" spans="9:10" x14ac:dyDescent="0.2">
      <c r="I12525" s="1125"/>
      <c r="J12525" s="1125"/>
    </row>
    <row r="12526" spans="9:10" x14ac:dyDescent="0.2">
      <c r="I12526" s="1125"/>
      <c r="J12526" s="1125"/>
    </row>
    <row r="12527" spans="9:10" x14ac:dyDescent="0.2">
      <c r="I12527" s="1125"/>
      <c r="J12527" s="1125"/>
    </row>
    <row r="12528" spans="9:10" x14ac:dyDescent="0.2">
      <c r="I12528" s="1125"/>
      <c r="J12528" s="1125"/>
    </row>
    <row r="12529" spans="9:10" x14ac:dyDescent="0.2">
      <c r="I12529" s="1125"/>
      <c r="J12529" s="1125"/>
    </row>
    <row r="12530" spans="9:10" x14ac:dyDescent="0.2">
      <c r="I12530" s="1125"/>
      <c r="J12530" s="1125"/>
    </row>
    <row r="12531" spans="9:10" x14ac:dyDescent="0.2">
      <c r="I12531" s="1125"/>
      <c r="J12531" s="1125"/>
    </row>
    <row r="12532" spans="9:10" x14ac:dyDescent="0.2">
      <c r="I12532" s="1125"/>
      <c r="J12532" s="1125"/>
    </row>
    <row r="12533" spans="9:10" x14ac:dyDescent="0.2">
      <c r="I12533" s="1125"/>
      <c r="J12533" s="1125"/>
    </row>
    <row r="12534" spans="9:10" x14ac:dyDescent="0.2">
      <c r="I12534" s="1125"/>
      <c r="J12534" s="1125"/>
    </row>
    <row r="12535" spans="9:10" x14ac:dyDescent="0.2">
      <c r="I12535" s="1125"/>
      <c r="J12535" s="1125"/>
    </row>
    <row r="12536" spans="9:10" x14ac:dyDescent="0.2">
      <c r="I12536" s="1125"/>
      <c r="J12536" s="1125"/>
    </row>
    <row r="12537" spans="9:10" x14ac:dyDescent="0.2">
      <c r="I12537" s="1125"/>
      <c r="J12537" s="1125"/>
    </row>
    <row r="12538" spans="9:10" x14ac:dyDescent="0.2">
      <c r="I12538" s="1125"/>
      <c r="J12538" s="1125"/>
    </row>
    <row r="12539" spans="9:10" x14ac:dyDescent="0.2">
      <c r="I12539" s="1125"/>
      <c r="J12539" s="1125"/>
    </row>
    <row r="12540" spans="9:10" x14ac:dyDescent="0.2">
      <c r="I12540" s="1125"/>
      <c r="J12540" s="1125"/>
    </row>
    <row r="12541" spans="9:10" x14ac:dyDescent="0.2">
      <c r="I12541" s="1125"/>
      <c r="J12541" s="1125"/>
    </row>
    <row r="12542" spans="9:10" x14ac:dyDescent="0.2">
      <c r="I12542" s="1125"/>
      <c r="J12542" s="1125"/>
    </row>
    <row r="12543" spans="9:10" x14ac:dyDescent="0.2">
      <c r="I12543" s="1125"/>
      <c r="J12543" s="1125"/>
    </row>
    <row r="12544" spans="9:10" x14ac:dyDescent="0.2">
      <c r="I12544" s="1125"/>
      <c r="J12544" s="1125"/>
    </row>
    <row r="12545" spans="9:10" x14ac:dyDescent="0.2">
      <c r="I12545" s="1125"/>
      <c r="J12545" s="1125"/>
    </row>
    <row r="12546" spans="9:10" x14ac:dyDescent="0.2">
      <c r="I12546" s="1125"/>
      <c r="J12546" s="1125"/>
    </row>
    <row r="12547" spans="9:10" x14ac:dyDescent="0.2">
      <c r="I12547" s="1125"/>
      <c r="J12547" s="1125"/>
    </row>
    <row r="12548" spans="9:10" x14ac:dyDescent="0.2">
      <c r="I12548" s="1125"/>
      <c r="J12548" s="1125"/>
    </row>
    <row r="12549" spans="9:10" x14ac:dyDescent="0.2">
      <c r="I12549" s="1125"/>
      <c r="J12549" s="1125"/>
    </row>
    <row r="12550" spans="9:10" x14ac:dyDescent="0.2">
      <c r="I12550" s="1125"/>
      <c r="J12550" s="1125"/>
    </row>
    <row r="12551" spans="9:10" x14ac:dyDescent="0.2">
      <c r="I12551" s="1125"/>
      <c r="J12551" s="1125"/>
    </row>
    <row r="12552" spans="9:10" x14ac:dyDescent="0.2">
      <c r="I12552" s="1125"/>
      <c r="J12552" s="1125"/>
    </row>
    <row r="12553" spans="9:10" x14ac:dyDescent="0.2">
      <c r="I12553" s="1125"/>
      <c r="J12553" s="1125"/>
    </row>
    <row r="12554" spans="9:10" x14ac:dyDescent="0.2">
      <c r="I12554" s="1125"/>
      <c r="J12554" s="1125"/>
    </row>
    <row r="12555" spans="9:10" x14ac:dyDescent="0.2">
      <c r="I12555" s="1125"/>
      <c r="J12555" s="1125"/>
    </row>
    <row r="12556" spans="9:10" x14ac:dyDescent="0.2">
      <c r="I12556" s="1125"/>
      <c r="J12556" s="1125"/>
    </row>
    <row r="12557" spans="9:10" x14ac:dyDescent="0.2">
      <c r="I12557" s="1125"/>
      <c r="J12557" s="1125"/>
    </row>
    <row r="12558" spans="9:10" x14ac:dyDescent="0.2">
      <c r="I12558" s="1125"/>
      <c r="J12558" s="1125"/>
    </row>
    <row r="12559" spans="9:10" x14ac:dyDescent="0.2">
      <c r="I12559" s="1125"/>
      <c r="J12559" s="1125"/>
    </row>
    <row r="12560" spans="9:10" x14ac:dyDescent="0.2">
      <c r="I12560" s="1125"/>
      <c r="J12560" s="1125"/>
    </row>
    <row r="12561" spans="9:10" x14ac:dyDescent="0.2">
      <c r="I12561" s="1125"/>
      <c r="J12561" s="1125"/>
    </row>
    <row r="12562" spans="9:10" x14ac:dyDescent="0.2">
      <c r="I12562" s="1125"/>
      <c r="J12562" s="1125"/>
    </row>
    <row r="12563" spans="9:10" x14ac:dyDescent="0.2">
      <c r="I12563" s="1125"/>
      <c r="J12563" s="1125"/>
    </row>
    <row r="12564" spans="9:10" x14ac:dyDescent="0.2">
      <c r="I12564" s="1125"/>
      <c r="J12564" s="1125"/>
    </row>
    <row r="12565" spans="9:10" x14ac:dyDescent="0.2">
      <c r="I12565" s="1125"/>
      <c r="J12565" s="1125"/>
    </row>
    <row r="12566" spans="9:10" x14ac:dyDescent="0.2">
      <c r="I12566" s="1125"/>
      <c r="J12566" s="1125"/>
    </row>
    <row r="12567" spans="9:10" x14ac:dyDescent="0.2">
      <c r="I12567" s="1125"/>
      <c r="J12567" s="1125"/>
    </row>
    <row r="12568" spans="9:10" x14ac:dyDescent="0.2">
      <c r="I12568" s="1125"/>
      <c r="J12568" s="1125"/>
    </row>
    <row r="12569" spans="9:10" x14ac:dyDescent="0.2">
      <c r="I12569" s="1125"/>
      <c r="J12569" s="1125"/>
    </row>
    <row r="12570" spans="9:10" x14ac:dyDescent="0.2">
      <c r="I12570" s="1125"/>
      <c r="J12570" s="1125"/>
    </row>
    <row r="12571" spans="9:10" x14ac:dyDescent="0.2">
      <c r="I12571" s="1125"/>
      <c r="J12571" s="1125"/>
    </row>
    <row r="12572" spans="9:10" x14ac:dyDescent="0.2">
      <c r="I12572" s="1125"/>
      <c r="J12572" s="1125"/>
    </row>
    <row r="12573" spans="9:10" x14ac:dyDescent="0.2">
      <c r="I12573" s="1125"/>
      <c r="J12573" s="1125"/>
    </row>
    <row r="12574" spans="9:10" x14ac:dyDescent="0.2">
      <c r="I12574" s="1125"/>
      <c r="J12574" s="1125"/>
    </row>
    <row r="12575" spans="9:10" x14ac:dyDescent="0.2">
      <c r="I12575" s="1125"/>
      <c r="J12575" s="1125"/>
    </row>
    <row r="12576" spans="9:10" x14ac:dyDescent="0.2">
      <c r="I12576" s="1125"/>
      <c r="J12576" s="1125"/>
    </row>
    <row r="12577" spans="9:10" x14ac:dyDescent="0.2">
      <c r="I12577" s="1125"/>
      <c r="J12577" s="1125"/>
    </row>
    <row r="12578" spans="9:10" x14ac:dyDescent="0.2">
      <c r="I12578" s="1125"/>
      <c r="J12578" s="1125"/>
    </row>
    <row r="12579" spans="9:10" x14ac:dyDescent="0.2">
      <c r="I12579" s="1125"/>
      <c r="J12579" s="1125"/>
    </row>
    <row r="12580" spans="9:10" x14ac:dyDescent="0.2">
      <c r="I12580" s="1125"/>
      <c r="J12580" s="1125"/>
    </row>
    <row r="12581" spans="9:10" x14ac:dyDescent="0.2">
      <c r="I12581" s="1125"/>
      <c r="J12581" s="1125"/>
    </row>
    <row r="12582" spans="9:10" x14ac:dyDescent="0.2">
      <c r="I12582" s="1125"/>
      <c r="J12582" s="1125"/>
    </row>
    <row r="12583" spans="9:10" x14ac:dyDescent="0.2">
      <c r="I12583" s="1125"/>
      <c r="J12583" s="1125"/>
    </row>
    <row r="12584" spans="9:10" x14ac:dyDescent="0.2">
      <c r="I12584" s="1125"/>
      <c r="J12584" s="1125"/>
    </row>
    <row r="12585" spans="9:10" x14ac:dyDescent="0.2">
      <c r="I12585" s="1125"/>
      <c r="J12585" s="1125"/>
    </row>
    <row r="12586" spans="9:10" x14ac:dyDescent="0.2">
      <c r="I12586" s="1125"/>
      <c r="J12586" s="1125"/>
    </row>
    <row r="12587" spans="9:10" x14ac:dyDescent="0.2">
      <c r="I12587" s="1125"/>
      <c r="J12587" s="1125"/>
    </row>
    <row r="12588" spans="9:10" x14ac:dyDescent="0.2">
      <c r="I12588" s="1125"/>
      <c r="J12588" s="1125"/>
    </row>
    <row r="12589" spans="9:10" x14ac:dyDescent="0.2">
      <c r="I12589" s="1125"/>
      <c r="J12589" s="1125"/>
    </row>
    <row r="12590" spans="9:10" x14ac:dyDescent="0.2">
      <c r="I12590" s="1125"/>
      <c r="J12590" s="1125"/>
    </row>
    <row r="12591" spans="9:10" x14ac:dyDescent="0.2">
      <c r="I12591" s="1125"/>
      <c r="J12591" s="1125"/>
    </row>
    <row r="12592" spans="9:10" x14ac:dyDescent="0.2">
      <c r="I12592" s="1125"/>
      <c r="J12592" s="1125"/>
    </row>
    <row r="12593" spans="9:10" x14ac:dyDescent="0.2">
      <c r="I12593" s="1125"/>
      <c r="J12593" s="1125"/>
    </row>
    <row r="12594" spans="9:10" x14ac:dyDescent="0.2">
      <c r="I12594" s="1125"/>
      <c r="J12594" s="1125"/>
    </row>
    <row r="12595" spans="9:10" x14ac:dyDescent="0.2">
      <c r="I12595" s="1125"/>
      <c r="J12595" s="1125"/>
    </row>
    <row r="12596" spans="9:10" x14ac:dyDescent="0.2">
      <c r="I12596" s="1125"/>
      <c r="J12596" s="1125"/>
    </row>
    <row r="12597" spans="9:10" x14ac:dyDescent="0.2">
      <c r="I12597" s="1125"/>
      <c r="J12597" s="1125"/>
    </row>
    <row r="12598" spans="9:10" x14ac:dyDescent="0.2">
      <c r="I12598" s="1125"/>
      <c r="J12598" s="1125"/>
    </row>
    <row r="12599" spans="9:10" x14ac:dyDescent="0.2">
      <c r="I12599" s="1125"/>
      <c r="J12599" s="1125"/>
    </row>
    <row r="12600" spans="9:10" x14ac:dyDescent="0.2">
      <c r="I12600" s="1125"/>
      <c r="J12600" s="1125"/>
    </row>
    <row r="12601" spans="9:10" x14ac:dyDescent="0.2">
      <c r="I12601" s="1125"/>
      <c r="J12601" s="1125"/>
    </row>
    <row r="12602" spans="9:10" x14ac:dyDescent="0.2">
      <c r="I12602" s="1125"/>
      <c r="J12602" s="1125"/>
    </row>
    <row r="12603" spans="9:10" x14ac:dyDescent="0.2">
      <c r="I12603" s="1125"/>
      <c r="J12603" s="1125"/>
    </row>
    <row r="12604" spans="9:10" x14ac:dyDescent="0.2">
      <c r="I12604" s="1125"/>
      <c r="J12604" s="1125"/>
    </row>
    <row r="12605" spans="9:10" x14ac:dyDescent="0.2">
      <c r="I12605" s="1125"/>
      <c r="J12605" s="1125"/>
    </row>
    <row r="12606" spans="9:10" x14ac:dyDescent="0.2">
      <c r="I12606" s="1125"/>
      <c r="J12606" s="1125"/>
    </row>
    <row r="12607" spans="9:10" x14ac:dyDescent="0.2">
      <c r="I12607" s="1125"/>
      <c r="J12607" s="1125"/>
    </row>
    <row r="12608" spans="9:10" x14ac:dyDescent="0.2">
      <c r="I12608" s="1125"/>
      <c r="J12608" s="1125"/>
    </row>
    <row r="12609" spans="9:10" x14ac:dyDescent="0.2">
      <c r="I12609" s="1125"/>
      <c r="J12609" s="1125"/>
    </row>
    <row r="12610" spans="9:10" x14ac:dyDescent="0.2">
      <c r="I12610" s="1125"/>
      <c r="J12610" s="1125"/>
    </row>
    <row r="12611" spans="9:10" x14ac:dyDescent="0.2">
      <c r="I12611" s="1125"/>
      <c r="J12611" s="1125"/>
    </row>
    <row r="12612" spans="9:10" x14ac:dyDescent="0.2">
      <c r="I12612" s="1125"/>
      <c r="J12612" s="1125"/>
    </row>
    <row r="12613" spans="9:10" x14ac:dyDescent="0.2">
      <c r="I12613" s="1125"/>
      <c r="J12613" s="1125"/>
    </row>
    <row r="12614" spans="9:10" x14ac:dyDescent="0.2">
      <c r="I12614" s="1125"/>
      <c r="J12614" s="1125"/>
    </row>
    <row r="12615" spans="9:10" x14ac:dyDescent="0.2">
      <c r="I12615" s="1125"/>
      <c r="J12615" s="1125"/>
    </row>
    <row r="12616" spans="9:10" x14ac:dyDescent="0.2">
      <c r="I12616" s="1125"/>
      <c r="J12616" s="1125"/>
    </row>
    <row r="12617" spans="9:10" x14ac:dyDescent="0.2">
      <c r="I12617" s="1125"/>
      <c r="J12617" s="1125"/>
    </row>
    <row r="12618" spans="9:10" x14ac:dyDescent="0.2">
      <c r="I12618" s="1125"/>
      <c r="J12618" s="1125"/>
    </row>
    <row r="12619" spans="9:10" x14ac:dyDescent="0.2">
      <c r="I12619" s="1125"/>
      <c r="J12619" s="1125"/>
    </row>
    <row r="12620" spans="9:10" x14ac:dyDescent="0.2">
      <c r="I12620" s="1125"/>
      <c r="J12620" s="1125"/>
    </row>
    <row r="12621" spans="9:10" x14ac:dyDescent="0.2">
      <c r="I12621" s="1125"/>
      <c r="J12621" s="1125"/>
    </row>
    <row r="12622" spans="9:10" x14ac:dyDescent="0.2">
      <c r="I12622" s="1125"/>
      <c r="J12622" s="1125"/>
    </row>
    <row r="12623" spans="9:10" x14ac:dyDescent="0.2">
      <c r="I12623" s="1125"/>
      <c r="J12623" s="1125"/>
    </row>
    <row r="12624" spans="9:10" x14ac:dyDescent="0.2">
      <c r="I12624" s="1125"/>
      <c r="J12624" s="1125"/>
    </row>
    <row r="12625" spans="9:10" x14ac:dyDescent="0.2">
      <c r="I12625" s="1125"/>
      <c r="J12625" s="1125"/>
    </row>
    <row r="12626" spans="9:10" x14ac:dyDescent="0.2">
      <c r="I12626" s="1125"/>
      <c r="J12626" s="1125"/>
    </row>
    <row r="12627" spans="9:10" x14ac:dyDescent="0.2">
      <c r="I12627" s="1125"/>
      <c r="J12627" s="1125"/>
    </row>
    <row r="12628" spans="9:10" x14ac:dyDescent="0.2">
      <c r="I12628" s="1125"/>
      <c r="J12628" s="1125"/>
    </row>
    <row r="12629" spans="9:10" x14ac:dyDescent="0.2">
      <c r="I12629" s="1125"/>
      <c r="J12629" s="1125"/>
    </row>
    <row r="12630" spans="9:10" x14ac:dyDescent="0.2">
      <c r="I12630" s="1125"/>
      <c r="J12630" s="1125"/>
    </row>
    <row r="12631" spans="9:10" x14ac:dyDescent="0.2">
      <c r="I12631" s="1125"/>
      <c r="J12631" s="1125"/>
    </row>
    <row r="12632" spans="9:10" x14ac:dyDescent="0.2">
      <c r="I12632" s="1125"/>
      <c r="J12632" s="1125"/>
    </row>
    <row r="12633" spans="9:10" x14ac:dyDescent="0.2">
      <c r="I12633" s="1125"/>
      <c r="J12633" s="1125"/>
    </row>
    <row r="12634" spans="9:10" x14ac:dyDescent="0.2">
      <c r="I12634" s="1125"/>
      <c r="J12634" s="1125"/>
    </row>
    <row r="12635" spans="9:10" x14ac:dyDescent="0.2">
      <c r="I12635" s="1125"/>
      <c r="J12635" s="1125"/>
    </row>
    <row r="12636" spans="9:10" x14ac:dyDescent="0.2">
      <c r="I12636" s="1125"/>
      <c r="J12636" s="1125"/>
    </row>
    <row r="12637" spans="9:10" x14ac:dyDescent="0.2">
      <c r="I12637" s="1125"/>
      <c r="J12637" s="1125"/>
    </row>
    <row r="12638" spans="9:10" x14ac:dyDescent="0.2">
      <c r="I12638" s="1125"/>
      <c r="J12638" s="1125"/>
    </row>
    <row r="12639" spans="9:10" x14ac:dyDescent="0.2">
      <c r="I12639" s="1125"/>
      <c r="J12639" s="1125"/>
    </row>
    <row r="12640" spans="9:10" x14ac:dyDescent="0.2">
      <c r="I12640" s="1125"/>
      <c r="J12640" s="1125"/>
    </row>
    <row r="12641" spans="9:10" x14ac:dyDescent="0.2">
      <c r="I12641" s="1125"/>
      <c r="J12641" s="1125"/>
    </row>
    <row r="12642" spans="9:10" x14ac:dyDescent="0.2">
      <c r="I12642" s="1125"/>
      <c r="J12642" s="1125"/>
    </row>
    <row r="12643" spans="9:10" x14ac:dyDescent="0.2">
      <c r="I12643" s="1125"/>
      <c r="J12643" s="1125"/>
    </row>
    <row r="12644" spans="9:10" x14ac:dyDescent="0.2">
      <c r="I12644" s="1125"/>
      <c r="J12644" s="1125"/>
    </row>
    <row r="12645" spans="9:10" x14ac:dyDescent="0.2">
      <c r="I12645" s="1125"/>
      <c r="J12645" s="1125"/>
    </row>
    <row r="12646" spans="9:10" x14ac:dyDescent="0.2">
      <c r="I12646" s="1125"/>
      <c r="J12646" s="1125"/>
    </row>
    <row r="12647" spans="9:10" x14ac:dyDescent="0.2">
      <c r="I12647" s="1125"/>
      <c r="J12647" s="1125"/>
    </row>
    <row r="12648" spans="9:10" x14ac:dyDescent="0.2">
      <c r="I12648" s="1125"/>
      <c r="J12648" s="1125"/>
    </row>
    <row r="12649" spans="9:10" x14ac:dyDescent="0.2">
      <c r="I12649" s="1125"/>
      <c r="J12649" s="1125"/>
    </row>
    <row r="12650" spans="9:10" x14ac:dyDescent="0.2">
      <c r="I12650" s="1125"/>
      <c r="J12650" s="1125"/>
    </row>
    <row r="12651" spans="9:10" x14ac:dyDescent="0.2">
      <c r="I12651" s="1125"/>
      <c r="J12651" s="1125"/>
    </row>
    <row r="12652" spans="9:10" x14ac:dyDescent="0.2">
      <c r="I12652" s="1125"/>
      <c r="J12652" s="1125"/>
    </row>
    <row r="12653" spans="9:10" x14ac:dyDescent="0.2">
      <c r="I12653" s="1125"/>
      <c r="J12653" s="1125"/>
    </row>
    <row r="12654" spans="9:10" x14ac:dyDescent="0.2">
      <c r="I12654" s="1125"/>
      <c r="J12654" s="1125"/>
    </row>
    <row r="12655" spans="9:10" x14ac:dyDescent="0.2">
      <c r="I12655" s="1125"/>
      <c r="J12655" s="1125"/>
    </row>
    <row r="12656" spans="9:10" x14ac:dyDescent="0.2">
      <c r="I12656" s="1125"/>
      <c r="J12656" s="1125"/>
    </row>
    <row r="12657" spans="9:10" x14ac:dyDescent="0.2">
      <c r="I12657" s="1125"/>
      <c r="J12657" s="1125"/>
    </row>
    <row r="12658" spans="9:10" x14ac:dyDescent="0.2">
      <c r="I12658" s="1125"/>
      <c r="J12658" s="1125"/>
    </row>
    <row r="12659" spans="9:10" x14ac:dyDescent="0.2">
      <c r="I12659" s="1125"/>
      <c r="J12659" s="1125"/>
    </row>
    <row r="12660" spans="9:10" x14ac:dyDescent="0.2">
      <c r="I12660" s="1125"/>
      <c r="J12660" s="1125"/>
    </row>
    <row r="12661" spans="9:10" x14ac:dyDescent="0.2">
      <c r="I12661" s="1125"/>
      <c r="J12661" s="1125"/>
    </row>
    <row r="12662" spans="9:10" x14ac:dyDescent="0.2">
      <c r="I12662" s="1125"/>
      <c r="J12662" s="1125"/>
    </row>
    <row r="12663" spans="9:10" x14ac:dyDescent="0.2">
      <c r="I12663" s="1125"/>
      <c r="J12663" s="1125"/>
    </row>
    <row r="12664" spans="9:10" x14ac:dyDescent="0.2">
      <c r="I12664" s="1125"/>
      <c r="J12664" s="1125"/>
    </row>
    <row r="12665" spans="9:10" x14ac:dyDescent="0.2">
      <c r="I12665" s="1125"/>
      <c r="J12665" s="1125"/>
    </row>
    <row r="12666" spans="9:10" x14ac:dyDescent="0.2">
      <c r="I12666" s="1125"/>
      <c r="J12666" s="1125"/>
    </row>
    <row r="12667" spans="9:10" x14ac:dyDescent="0.2">
      <c r="I12667" s="1125"/>
      <c r="J12667" s="1125"/>
    </row>
    <row r="12668" spans="9:10" x14ac:dyDescent="0.2">
      <c r="I12668" s="1125"/>
      <c r="J12668" s="1125"/>
    </row>
    <row r="12669" spans="9:10" x14ac:dyDescent="0.2">
      <c r="I12669" s="1125"/>
      <c r="J12669" s="1125"/>
    </row>
    <row r="12670" spans="9:10" x14ac:dyDescent="0.2">
      <c r="I12670" s="1125"/>
      <c r="J12670" s="1125"/>
    </row>
    <row r="12671" spans="9:10" x14ac:dyDescent="0.2">
      <c r="I12671" s="1125"/>
      <c r="J12671" s="1125"/>
    </row>
    <row r="12672" spans="9:10" x14ac:dyDescent="0.2">
      <c r="I12672" s="1125"/>
      <c r="J12672" s="1125"/>
    </row>
    <row r="12673" spans="9:10" x14ac:dyDescent="0.2">
      <c r="I12673" s="1125"/>
      <c r="J12673" s="1125"/>
    </row>
    <row r="12674" spans="9:10" x14ac:dyDescent="0.2">
      <c r="I12674" s="1125"/>
      <c r="J12674" s="1125"/>
    </row>
    <row r="12675" spans="9:10" x14ac:dyDescent="0.2">
      <c r="I12675" s="1125"/>
      <c r="J12675" s="1125"/>
    </row>
    <row r="12676" spans="9:10" x14ac:dyDescent="0.2">
      <c r="I12676" s="1125"/>
      <c r="J12676" s="1125"/>
    </row>
    <row r="12677" spans="9:10" x14ac:dyDescent="0.2">
      <c r="I12677" s="1125"/>
      <c r="J12677" s="1125"/>
    </row>
    <row r="12678" spans="9:10" x14ac:dyDescent="0.2">
      <c r="I12678" s="1125"/>
      <c r="J12678" s="1125"/>
    </row>
    <row r="12679" spans="9:10" x14ac:dyDescent="0.2">
      <c r="I12679" s="1125"/>
      <c r="J12679" s="1125"/>
    </row>
    <row r="12680" spans="9:10" x14ac:dyDescent="0.2">
      <c r="I12680" s="1125"/>
      <c r="J12680" s="1125"/>
    </row>
    <row r="12681" spans="9:10" x14ac:dyDescent="0.2">
      <c r="I12681" s="1125"/>
      <c r="J12681" s="1125"/>
    </row>
    <row r="12682" spans="9:10" x14ac:dyDescent="0.2">
      <c r="I12682" s="1125"/>
      <c r="J12682" s="1125"/>
    </row>
    <row r="12683" spans="9:10" x14ac:dyDescent="0.2">
      <c r="I12683" s="1125"/>
      <c r="J12683" s="1125"/>
    </row>
    <row r="12684" spans="9:10" x14ac:dyDescent="0.2">
      <c r="I12684" s="1125"/>
      <c r="J12684" s="1125"/>
    </row>
    <row r="12685" spans="9:10" x14ac:dyDescent="0.2">
      <c r="I12685" s="1125"/>
      <c r="J12685" s="1125"/>
    </row>
    <row r="12686" spans="9:10" x14ac:dyDescent="0.2">
      <c r="I12686" s="1125"/>
      <c r="J12686" s="1125"/>
    </row>
    <row r="12687" spans="9:10" x14ac:dyDescent="0.2">
      <c r="I12687" s="1125"/>
      <c r="J12687" s="1125"/>
    </row>
    <row r="12688" spans="9:10" x14ac:dyDescent="0.2">
      <c r="I12688" s="1125"/>
      <c r="J12688" s="1125"/>
    </row>
    <row r="12689" spans="9:10" x14ac:dyDescent="0.2">
      <c r="I12689" s="1125"/>
      <c r="J12689" s="1125"/>
    </row>
    <row r="12690" spans="9:10" x14ac:dyDescent="0.2">
      <c r="I12690" s="1125"/>
      <c r="J12690" s="1125"/>
    </row>
    <row r="12691" spans="9:10" x14ac:dyDescent="0.2">
      <c r="I12691" s="1125"/>
      <c r="J12691" s="1125"/>
    </row>
    <row r="12692" spans="9:10" x14ac:dyDescent="0.2">
      <c r="I12692" s="1125"/>
      <c r="J12692" s="1125"/>
    </row>
    <row r="12693" spans="9:10" x14ac:dyDescent="0.2">
      <c r="I12693" s="1125"/>
      <c r="J12693" s="1125"/>
    </row>
    <row r="12694" spans="9:10" x14ac:dyDescent="0.2">
      <c r="I12694" s="1125"/>
      <c r="J12694" s="1125"/>
    </row>
    <row r="12695" spans="9:10" x14ac:dyDescent="0.2">
      <c r="I12695" s="1125"/>
      <c r="J12695" s="1125"/>
    </row>
    <row r="12696" spans="9:10" x14ac:dyDescent="0.2">
      <c r="I12696" s="1125"/>
      <c r="J12696" s="1125"/>
    </row>
    <row r="12697" spans="9:10" x14ac:dyDescent="0.2">
      <c r="I12697" s="1125"/>
      <c r="J12697" s="1125"/>
    </row>
    <row r="12698" spans="9:10" x14ac:dyDescent="0.2">
      <c r="I12698" s="1125"/>
      <c r="J12698" s="1125"/>
    </row>
    <row r="12699" spans="9:10" x14ac:dyDescent="0.2">
      <c r="I12699" s="1125"/>
      <c r="J12699" s="1125"/>
    </row>
    <row r="12700" spans="9:10" x14ac:dyDescent="0.2">
      <c r="I12700" s="1125"/>
      <c r="J12700" s="1125"/>
    </row>
    <row r="12701" spans="9:10" x14ac:dyDescent="0.2">
      <c r="I12701" s="1125"/>
      <c r="J12701" s="1125"/>
    </row>
    <row r="12702" spans="9:10" x14ac:dyDescent="0.2">
      <c r="I12702" s="1125"/>
      <c r="J12702" s="1125"/>
    </row>
    <row r="12703" spans="9:10" x14ac:dyDescent="0.2">
      <c r="I12703" s="1125"/>
      <c r="J12703" s="1125"/>
    </row>
    <row r="12704" spans="9:10" x14ac:dyDescent="0.2">
      <c r="I12704" s="1125"/>
      <c r="J12704" s="1125"/>
    </row>
    <row r="12705" spans="9:10" x14ac:dyDescent="0.2">
      <c r="I12705" s="1125"/>
      <c r="J12705" s="1125"/>
    </row>
    <row r="12706" spans="9:10" x14ac:dyDescent="0.2">
      <c r="I12706" s="1125"/>
      <c r="J12706" s="1125"/>
    </row>
    <row r="12707" spans="9:10" x14ac:dyDescent="0.2">
      <c r="I12707" s="1125"/>
      <c r="J12707" s="1125"/>
    </row>
    <row r="12708" spans="9:10" x14ac:dyDescent="0.2">
      <c r="I12708" s="1125"/>
      <c r="J12708" s="1125"/>
    </row>
    <row r="12709" spans="9:10" x14ac:dyDescent="0.2">
      <c r="I12709" s="1125"/>
      <c r="J12709" s="1125"/>
    </row>
    <row r="12710" spans="9:10" x14ac:dyDescent="0.2">
      <c r="I12710" s="1125"/>
      <c r="J12710" s="1125"/>
    </row>
    <row r="12711" spans="9:10" x14ac:dyDescent="0.2">
      <c r="I12711" s="1125"/>
      <c r="J12711" s="1125"/>
    </row>
    <row r="12712" spans="9:10" x14ac:dyDescent="0.2">
      <c r="I12712" s="1125"/>
      <c r="J12712" s="1125"/>
    </row>
    <row r="12713" spans="9:10" x14ac:dyDescent="0.2">
      <c r="I12713" s="1125"/>
      <c r="J12713" s="1125"/>
    </row>
    <row r="12714" spans="9:10" x14ac:dyDescent="0.2">
      <c r="I12714" s="1125"/>
      <c r="J12714" s="1125"/>
    </row>
    <row r="12715" spans="9:10" x14ac:dyDescent="0.2">
      <c r="I12715" s="1125"/>
      <c r="J12715" s="1125"/>
    </row>
    <row r="12716" spans="9:10" x14ac:dyDescent="0.2">
      <c r="I12716" s="1125"/>
      <c r="J12716" s="1125"/>
    </row>
    <row r="12717" spans="9:10" x14ac:dyDescent="0.2">
      <c r="I12717" s="1125"/>
      <c r="J12717" s="1125"/>
    </row>
    <row r="12718" spans="9:10" x14ac:dyDescent="0.2">
      <c r="I12718" s="1125"/>
      <c r="J12718" s="1125"/>
    </row>
    <row r="12719" spans="9:10" x14ac:dyDescent="0.2">
      <c r="I12719" s="1125"/>
      <c r="J12719" s="1125"/>
    </row>
    <row r="12720" spans="9:10" x14ac:dyDescent="0.2">
      <c r="I12720" s="1125"/>
      <c r="J12720" s="1125"/>
    </row>
    <row r="12721" spans="9:10" x14ac:dyDescent="0.2">
      <c r="I12721" s="1125"/>
      <c r="J12721" s="1125"/>
    </row>
    <row r="12722" spans="9:10" x14ac:dyDescent="0.2">
      <c r="I12722" s="1125"/>
      <c r="J12722" s="1125"/>
    </row>
    <row r="12723" spans="9:10" x14ac:dyDescent="0.2">
      <c r="I12723" s="1125"/>
      <c r="J12723" s="1125"/>
    </row>
    <row r="12724" spans="9:10" x14ac:dyDescent="0.2">
      <c r="I12724" s="1125"/>
      <c r="J12724" s="1125"/>
    </row>
    <row r="12725" spans="9:10" x14ac:dyDescent="0.2">
      <c r="I12725" s="1125"/>
      <c r="J12725" s="1125"/>
    </row>
    <row r="12726" spans="9:10" x14ac:dyDescent="0.2">
      <c r="I12726" s="1125"/>
      <c r="J12726" s="1125"/>
    </row>
    <row r="12727" spans="9:10" x14ac:dyDescent="0.2">
      <c r="I12727" s="1125"/>
      <c r="J12727" s="1125"/>
    </row>
    <row r="12728" spans="9:10" x14ac:dyDescent="0.2">
      <c r="I12728" s="1125"/>
      <c r="J12728" s="1125"/>
    </row>
    <row r="12729" spans="9:10" x14ac:dyDescent="0.2">
      <c r="I12729" s="1125"/>
      <c r="J12729" s="1125"/>
    </row>
    <row r="12730" spans="9:10" x14ac:dyDescent="0.2">
      <c r="I12730" s="1125"/>
      <c r="J12730" s="1125"/>
    </row>
    <row r="12731" spans="9:10" x14ac:dyDescent="0.2">
      <c r="I12731" s="1125"/>
      <c r="J12731" s="1125"/>
    </row>
    <row r="12732" spans="9:10" x14ac:dyDescent="0.2">
      <c r="I12732" s="1125"/>
      <c r="J12732" s="1125"/>
    </row>
    <row r="12733" spans="9:10" x14ac:dyDescent="0.2">
      <c r="I12733" s="1125"/>
      <c r="J12733" s="1125"/>
    </row>
    <row r="12734" spans="9:10" x14ac:dyDescent="0.2">
      <c r="I12734" s="1125"/>
      <c r="J12734" s="1125"/>
    </row>
    <row r="12735" spans="9:10" x14ac:dyDescent="0.2">
      <c r="I12735" s="1125"/>
      <c r="J12735" s="1125"/>
    </row>
    <row r="12736" spans="9:10" x14ac:dyDescent="0.2">
      <c r="I12736" s="1125"/>
      <c r="J12736" s="1125"/>
    </row>
    <row r="12737" spans="9:10" x14ac:dyDescent="0.2">
      <c r="I12737" s="1125"/>
      <c r="J12737" s="1125"/>
    </row>
    <row r="12738" spans="9:10" x14ac:dyDescent="0.2">
      <c r="I12738" s="1125"/>
      <c r="J12738" s="1125"/>
    </row>
    <row r="12739" spans="9:10" x14ac:dyDescent="0.2">
      <c r="I12739" s="1125"/>
      <c r="J12739" s="1125"/>
    </row>
    <row r="12740" spans="9:10" x14ac:dyDescent="0.2">
      <c r="I12740" s="1125"/>
      <c r="J12740" s="1125"/>
    </row>
    <row r="12741" spans="9:10" x14ac:dyDescent="0.2">
      <c r="I12741" s="1125"/>
      <c r="J12741" s="1125"/>
    </row>
    <row r="12742" spans="9:10" x14ac:dyDescent="0.2">
      <c r="I12742" s="1125"/>
      <c r="J12742" s="1125"/>
    </row>
    <row r="12743" spans="9:10" x14ac:dyDescent="0.2">
      <c r="I12743" s="1125"/>
      <c r="J12743" s="1125"/>
    </row>
    <row r="12744" spans="9:10" x14ac:dyDescent="0.2">
      <c r="I12744" s="1125"/>
      <c r="J12744" s="1125"/>
    </row>
    <row r="12745" spans="9:10" x14ac:dyDescent="0.2">
      <c r="I12745" s="1125"/>
      <c r="J12745" s="1125"/>
    </row>
    <row r="12746" spans="9:10" x14ac:dyDescent="0.2">
      <c r="I12746" s="1125"/>
      <c r="J12746" s="1125"/>
    </row>
    <row r="12747" spans="9:10" x14ac:dyDescent="0.2">
      <c r="I12747" s="1125"/>
      <c r="J12747" s="1125"/>
    </row>
    <row r="12748" spans="9:10" x14ac:dyDescent="0.2">
      <c r="I12748" s="1125"/>
      <c r="J12748" s="1125"/>
    </row>
    <row r="12749" spans="9:10" x14ac:dyDescent="0.2">
      <c r="I12749" s="1125"/>
      <c r="J12749" s="1125"/>
    </row>
    <row r="12750" spans="9:10" x14ac:dyDescent="0.2">
      <c r="I12750" s="1125"/>
      <c r="J12750" s="1125"/>
    </row>
    <row r="12751" spans="9:10" x14ac:dyDescent="0.2">
      <c r="I12751" s="1125"/>
      <c r="J12751" s="1125"/>
    </row>
    <row r="12752" spans="9:10" x14ac:dyDescent="0.2">
      <c r="I12752" s="1125"/>
      <c r="J12752" s="1125"/>
    </row>
    <row r="12753" spans="9:10" x14ac:dyDescent="0.2">
      <c r="I12753" s="1125"/>
      <c r="J12753" s="1125"/>
    </row>
    <row r="12754" spans="9:10" x14ac:dyDescent="0.2">
      <c r="I12754" s="1125"/>
      <c r="J12754" s="1125"/>
    </row>
    <row r="12755" spans="9:10" x14ac:dyDescent="0.2">
      <c r="I12755" s="1125"/>
      <c r="J12755" s="1125"/>
    </row>
    <row r="12756" spans="9:10" x14ac:dyDescent="0.2">
      <c r="I12756" s="1125"/>
      <c r="J12756" s="1125"/>
    </row>
    <row r="12757" spans="9:10" x14ac:dyDescent="0.2">
      <c r="I12757" s="1125"/>
      <c r="J12757" s="1125"/>
    </row>
    <row r="12758" spans="9:10" x14ac:dyDescent="0.2">
      <c r="I12758" s="1125"/>
      <c r="J12758" s="1125"/>
    </row>
    <row r="12759" spans="9:10" x14ac:dyDescent="0.2">
      <c r="I12759" s="1125"/>
      <c r="J12759" s="1125"/>
    </row>
    <row r="12760" spans="9:10" x14ac:dyDescent="0.2">
      <c r="I12760" s="1125"/>
      <c r="J12760" s="1125"/>
    </row>
    <row r="12761" spans="9:10" x14ac:dyDescent="0.2">
      <c r="I12761" s="1125"/>
      <c r="J12761" s="1125"/>
    </row>
    <row r="12762" spans="9:10" x14ac:dyDescent="0.2">
      <c r="I12762" s="1125"/>
      <c r="J12762" s="1125"/>
    </row>
    <row r="12763" spans="9:10" x14ac:dyDescent="0.2">
      <c r="I12763" s="1125"/>
      <c r="J12763" s="1125"/>
    </row>
    <row r="12764" spans="9:10" x14ac:dyDescent="0.2">
      <c r="I12764" s="1125"/>
      <c r="J12764" s="1125"/>
    </row>
    <row r="12765" spans="9:10" x14ac:dyDescent="0.2">
      <c r="I12765" s="1125"/>
      <c r="J12765" s="1125"/>
    </row>
    <row r="12766" spans="9:10" x14ac:dyDescent="0.2">
      <c r="I12766" s="1125"/>
      <c r="J12766" s="1125"/>
    </row>
    <row r="12767" spans="9:10" x14ac:dyDescent="0.2">
      <c r="I12767" s="1125"/>
      <c r="J12767" s="1125"/>
    </row>
    <row r="12768" spans="9:10" x14ac:dyDescent="0.2">
      <c r="I12768" s="1125"/>
      <c r="J12768" s="1125"/>
    </row>
    <row r="12769" spans="9:10" x14ac:dyDescent="0.2">
      <c r="I12769" s="1125"/>
      <c r="J12769" s="1125"/>
    </row>
    <row r="12770" spans="9:10" x14ac:dyDescent="0.2">
      <c r="I12770" s="1125"/>
      <c r="J12770" s="1125"/>
    </row>
    <row r="12771" spans="9:10" x14ac:dyDescent="0.2">
      <c r="I12771" s="1125"/>
      <c r="J12771" s="1125"/>
    </row>
    <row r="12772" spans="9:10" x14ac:dyDescent="0.2">
      <c r="I12772" s="1125"/>
      <c r="J12772" s="1125"/>
    </row>
    <row r="12773" spans="9:10" x14ac:dyDescent="0.2">
      <c r="I12773" s="1125"/>
      <c r="J12773" s="1125"/>
    </row>
    <row r="12774" spans="9:10" x14ac:dyDescent="0.2">
      <c r="I12774" s="1125"/>
      <c r="J12774" s="1125"/>
    </row>
    <row r="12775" spans="9:10" x14ac:dyDescent="0.2">
      <c r="I12775" s="1125"/>
      <c r="J12775" s="1125"/>
    </row>
    <row r="12776" spans="9:10" x14ac:dyDescent="0.2">
      <c r="I12776" s="1125"/>
      <c r="J12776" s="1125"/>
    </row>
    <row r="12777" spans="9:10" x14ac:dyDescent="0.2">
      <c r="I12777" s="1125"/>
      <c r="J12777" s="1125"/>
    </row>
    <row r="12778" spans="9:10" x14ac:dyDescent="0.2">
      <c r="I12778" s="1125"/>
      <c r="J12778" s="1125"/>
    </row>
    <row r="12779" spans="9:10" x14ac:dyDescent="0.2">
      <c r="I12779" s="1125"/>
      <c r="J12779" s="1125"/>
    </row>
    <row r="12780" spans="9:10" x14ac:dyDescent="0.2">
      <c r="I12780" s="1125"/>
      <c r="J12780" s="1125"/>
    </row>
    <row r="12781" spans="9:10" x14ac:dyDescent="0.2">
      <c r="I12781" s="1125"/>
      <c r="J12781" s="1125"/>
    </row>
    <row r="12782" spans="9:10" x14ac:dyDescent="0.2">
      <c r="I12782" s="1125"/>
      <c r="J12782" s="1125"/>
    </row>
    <row r="12783" spans="9:10" x14ac:dyDescent="0.2">
      <c r="I12783" s="1125"/>
      <c r="J12783" s="1125"/>
    </row>
    <row r="12784" spans="9:10" x14ac:dyDescent="0.2">
      <c r="I12784" s="1125"/>
      <c r="J12784" s="1125"/>
    </row>
    <row r="12785" spans="9:10" x14ac:dyDescent="0.2">
      <c r="I12785" s="1125"/>
      <c r="J12785" s="1125"/>
    </row>
    <row r="12786" spans="9:10" x14ac:dyDescent="0.2">
      <c r="I12786" s="1125"/>
      <c r="J12786" s="1125"/>
    </row>
    <row r="12787" spans="9:10" x14ac:dyDescent="0.2">
      <c r="I12787" s="1125"/>
      <c r="J12787" s="1125"/>
    </row>
    <row r="12788" spans="9:10" x14ac:dyDescent="0.2">
      <c r="I12788" s="1125"/>
      <c r="J12788" s="1125"/>
    </row>
    <row r="12789" spans="9:10" x14ac:dyDescent="0.2">
      <c r="I12789" s="1125"/>
      <c r="J12789" s="1125"/>
    </row>
    <row r="12790" spans="9:10" x14ac:dyDescent="0.2">
      <c r="I12790" s="1125"/>
      <c r="J12790" s="1125"/>
    </row>
    <row r="12791" spans="9:10" x14ac:dyDescent="0.2">
      <c r="I12791" s="1125"/>
      <c r="J12791" s="1125"/>
    </row>
    <row r="12792" spans="9:10" x14ac:dyDescent="0.2">
      <c r="I12792" s="1125"/>
      <c r="J12792" s="1125"/>
    </row>
    <row r="12793" spans="9:10" x14ac:dyDescent="0.2">
      <c r="I12793" s="1125"/>
      <c r="J12793" s="1125"/>
    </row>
    <row r="12794" spans="9:10" x14ac:dyDescent="0.2">
      <c r="I12794" s="1125"/>
      <c r="J12794" s="1125"/>
    </row>
    <row r="12795" spans="9:10" x14ac:dyDescent="0.2">
      <c r="I12795" s="1125"/>
      <c r="J12795" s="1125"/>
    </row>
    <row r="12796" spans="9:10" x14ac:dyDescent="0.2">
      <c r="I12796" s="1125"/>
      <c r="J12796" s="1125"/>
    </row>
    <row r="12797" spans="9:10" x14ac:dyDescent="0.2">
      <c r="I12797" s="1125"/>
      <c r="J12797" s="1125"/>
    </row>
    <row r="12798" spans="9:10" x14ac:dyDescent="0.2">
      <c r="I12798" s="1125"/>
      <c r="J12798" s="1125"/>
    </row>
    <row r="12799" spans="9:10" x14ac:dyDescent="0.2">
      <c r="I12799" s="1125"/>
      <c r="J12799" s="1125"/>
    </row>
    <row r="12800" spans="9:10" x14ac:dyDescent="0.2">
      <c r="I12800" s="1125"/>
      <c r="J12800" s="1125"/>
    </row>
    <row r="12801" spans="9:10" x14ac:dyDescent="0.2">
      <c r="I12801" s="1125"/>
      <c r="J12801" s="1125"/>
    </row>
    <row r="12802" spans="9:10" x14ac:dyDescent="0.2">
      <c r="I12802" s="1125"/>
      <c r="J12802" s="1125"/>
    </row>
    <row r="12803" spans="9:10" x14ac:dyDescent="0.2">
      <c r="I12803" s="1125"/>
      <c r="J12803" s="1125"/>
    </row>
    <row r="12804" spans="9:10" x14ac:dyDescent="0.2">
      <c r="I12804" s="1125"/>
      <c r="J12804" s="1125"/>
    </row>
    <row r="12805" spans="9:10" x14ac:dyDescent="0.2">
      <c r="I12805" s="1125"/>
      <c r="J12805" s="1125"/>
    </row>
    <row r="12806" spans="9:10" x14ac:dyDescent="0.2">
      <c r="I12806" s="1125"/>
      <c r="J12806" s="1125"/>
    </row>
    <row r="12807" spans="9:10" x14ac:dyDescent="0.2">
      <c r="I12807" s="1125"/>
      <c r="J12807" s="1125"/>
    </row>
    <row r="12808" spans="9:10" x14ac:dyDescent="0.2">
      <c r="I12808" s="1125"/>
      <c r="J12808" s="1125"/>
    </row>
    <row r="12809" spans="9:10" x14ac:dyDescent="0.2">
      <c r="I12809" s="1125"/>
      <c r="J12809" s="1125"/>
    </row>
    <row r="12810" spans="9:10" x14ac:dyDescent="0.2">
      <c r="I12810" s="1125"/>
      <c r="J12810" s="1125"/>
    </row>
    <row r="12811" spans="9:10" x14ac:dyDescent="0.2">
      <c r="I12811" s="1125"/>
      <c r="J12811" s="1125"/>
    </row>
    <row r="12812" spans="9:10" x14ac:dyDescent="0.2">
      <c r="I12812" s="1125"/>
      <c r="J12812" s="1125"/>
    </row>
    <row r="12813" spans="9:10" x14ac:dyDescent="0.2">
      <c r="I12813" s="1125"/>
      <c r="J12813" s="1125"/>
    </row>
    <row r="12814" spans="9:10" x14ac:dyDescent="0.2">
      <c r="I12814" s="1125"/>
      <c r="J12814" s="1125"/>
    </row>
    <row r="12815" spans="9:10" x14ac:dyDescent="0.2">
      <c r="I12815" s="1125"/>
      <c r="J12815" s="1125"/>
    </row>
    <row r="12816" spans="9:10" x14ac:dyDescent="0.2">
      <c r="I12816" s="1125"/>
      <c r="J12816" s="1125"/>
    </row>
    <row r="12817" spans="9:10" x14ac:dyDescent="0.2">
      <c r="I12817" s="1125"/>
      <c r="J12817" s="1125"/>
    </row>
    <row r="12818" spans="9:10" x14ac:dyDescent="0.2">
      <c r="I12818" s="1125"/>
      <c r="J12818" s="1125"/>
    </row>
    <row r="12819" spans="9:10" x14ac:dyDescent="0.2">
      <c r="I12819" s="1125"/>
      <c r="J12819" s="1125"/>
    </row>
    <row r="12820" spans="9:10" x14ac:dyDescent="0.2">
      <c r="I12820" s="1125"/>
      <c r="J12820" s="1125"/>
    </row>
    <row r="12821" spans="9:10" x14ac:dyDescent="0.2">
      <c r="I12821" s="1125"/>
      <c r="J12821" s="1125"/>
    </row>
    <row r="12822" spans="9:10" x14ac:dyDescent="0.2">
      <c r="I12822" s="1125"/>
      <c r="J12822" s="1125"/>
    </row>
    <row r="12823" spans="9:10" x14ac:dyDescent="0.2">
      <c r="I12823" s="1125"/>
      <c r="J12823" s="1125"/>
    </row>
    <row r="12824" spans="9:10" x14ac:dyDescent="0.2">
      <c r="I12824" s="1125"/>
      <c r="J12824" s="1125"/>
    </row>
    <row r="12825" spans="9:10" x14ac:dyDescent="0.2">
      <c r="I12825" s="1125"/>
      <c r="J12825" s="1125"/>
    </row>
    <row r="12826" spans="9:10" x14ac:dyDescent="0.2">
      <c r="I12826" s="1125"/>
      <c r="J12826" s="1125"/>
    </row>
    <row r="12827" spans="9:10" x14ac:dyDescent="0.2">
      <c r="I12827" s="1125"/>
      <c r="J12827" s="1125"/>
    </row>
    <row r="12828" spans="9:10" x14ac:dyDescent="0.2">
      <c r="I12828" s="1125"/>
      <c r="J12828" s="1125"/>
    </row>
    <row r="12829" spans="9:10" x14ac:dyDescent="0.2">
      <c r="I12829" s="1125"/>
      <c r="J12829" s="1125"/>
    </row>
    <row r="12830" spans="9:10" x14ac:dyDescent="0.2">
      <c r="I12830" s="1125"/>
      <c r="J12830" s="1125"/>
    </row>
    <row r="12831" spans="9:10" x14ac:dyDescent="0.2">
      <c r="I12831" s="1125"/>
      <c r="J12831" s="1125"/>
    </row>
    <row r="12832" spans="9:10" x14ac:dyDescent="0.2">
      <c r="I12832" s="1125"/>
      <c r="J12832" s="1125"/>
    </row>
    <row r="12833" spans="9:10" x14ac:dyDescent="0.2">
      <c r="I12833" s="1125"/>
      <c r="J12833" s="1125"/>
    </row>
    <row r="12834" spans="9:10" x14ac:dyDescent="0.2">
      <c r="I12834" s="1125"/>
      <c r="J12834" s="1125"/>
    </row>
    <row r="12835" spans="9:10" x14ac:dyDescent="0.2">
      <c r="I12835" s="1125"/>
      <c r="J12835" s="1125"/>
    </row>
    <row r="12836" spans="9:10" x14ac:dyDescent="0.2">
      <c r="I12836" s="1125"/>
      <c r="J12836" s="1125"/>
    </row>
    <row r="12837" spans="9:10" x14ac:dyDescent="0.2">
      <c r="I12837" s="1125"/>
      <c r="J12837" s="1125"/>
    </row>
    <row r="12838" spans="9:10" x14ac:dyDescent="0.2">
      <c r="I12838" s="1125"/>
      <c r="J12838" s="1125"/>
    </row>
    <row r="12839" spans="9:10" x14ac:dyDescent="0.2">
      <c r="I12839" s="1125"/>
      <c r="J12839" s="1125"/>
    </row>
    <row r="12840" spans="9:10" x14ac:dyDescent="0.2">
      <c r="I12840" s="1125"/>
      <c r="J12840" s="1125"/>
    </row>
    <row r="12841" spans="9:10" x14ac:dyDescent="0.2">
      <c r="I12841" s="1125"/>
      <c r="J12841" s="1125"/>
    </row>
    <row r="12842" spans="9:10" x14ac:dyDescent="0.2">
      <c r="I12842" s="1125"/>
      <c r="J12842" s="1125"/>
    </row>
    <row r="12843" spans="9:10" x14ac:dyDescent="0.2">
      <c r="I12843" s="1125"/>
      <c r="J12843" s="1125"/>
    </row>
    <row r="12844" spans="9:10" x14ac:dyDescent="0.2">
      <c r="I12844" s="1125"/>
      <c r="J12844" s="1125"/>
    </row>
    <row r="12845" spans="9:10" x14ac:dyDescent="0.2">
      <c r="I12845" s="1125"/>
      <c r="J12845" s="1125"/>
    </row>
    <row r="12846" spans="9:10" x14ac:dyDescent="0.2">
      <c r="I12846" s="1125"/>
      <c r="J12846" s="1125"/>
    </row>
    <row r="12847" spans="9:10" x14ac:dyDescent="0.2">
      <c r="I12847" s="1125"/>
      <c r="J12847" s="1125"/>
    </row>
    <row r="12848" spans="9:10" x14ac:dyDescent="0.2">
      <c r="I12848" s="1125"/>
      <c r="J12848" s="1125"/>
    </row>
    <row r="12849" spans="9:10" x14ac:dyDescent="0.2">
      <c r="I12849" s="1125"/>
      <c r="J12849" s="1125"/>
    </row>
    <row r="12850" spans="9:10" x14ac:dyDescent="0.2">
      <c r="I12850" s="1125"/>
      <c r="J12850" s="1125"/>
    </row>
    <row r="12851" spans="9:10" x14ac:dyDescent="0.2">
      <c r="I12851" s="1125"/>
      <c r="J12851" s="1125"/>
    </row>
    <row r="12852" spans="9:10" x14ac:dyDescent="0.2">
      <c r="I12852" s="1125"/>
      <c r="J12852" s="1125"/>
    </row>
    <row r="12853" spans="9:10" x14ac:dyDescent="0.2">
      <c r="I12853" s="1125"/>
      <c r="J12853" s="1125"/>
    </row>
    <row r="12854" spans="9:10" x14ac:dyDescent="0.2">
      <c r="I12854" s="1125"/>
      <c r="J12854" s="1125"/>
    </row>
    <row r="12855" spans="9:10" x14ac:dyDescent="0.2">
      <c r="I12855" s="1125"/>
      <c r="J12855" s="1125"/>
    </row>
    <row r="12856" spans="9:10" x14ac:dyDescent="0.2">
      <c r="I12856" s="1125"/>
      <c r="J12856" s="1125"/>
    </row>
    <row r="12857" spans="9:10" x14ac:dyDescent="0.2">
      <c r="I12857" s="1125"/>
      <c r="J12857" s="1125"/>
    </row>
    <row r="12858" spans="9:10" x14ac:dyDescent="0.2">
      <c r="I12858" s="1125"/>
      <c r="J12858" s="1125"/>
    </row>
    <row r="12859" spans="9:10" x14ac:dyDescent="0.2">
      <c r="I12859" s="1125"/>
      <c r="J12859" s="1125"/>
    </row>
    <row r="12860" spans="9:10" x14ac:dyDescent="0.2">
      <c r="I12860" s="1125"/>
      <c r="J12860" s="1125"/>
    </row>
    <row r="12861" spans="9:10" x14ac:dyDescent="0.2">
      <c r="I12861" s="1125"/>
      <c r="J12861" s="1125"/>
    </row>
    <row r="12862" spans="9:10" x14ac:dyDescent="0.2">
      <c r="I12862" s="1125"/>
      <c r="J12862" s="1125"/>
    </row>
    <row r="12863" spans="9:10" x14ac:dyDescent="0.2">
      <c r="I12863" s="1125"/>
      <c r="J12863" s="1125"/>
    </row>
    <row r="12864" spans="9:10" x14ac:dyDescent="0.2">
      <c r="I12864" s="1125"/>
      <c r="J12864" s="1125"/>
    </row>
    <row r="12865" spans="9:10" x14ac:dyDescent="0.2">
      <c r="I12865" s="1125"/>
      <c r="J12865" s="1125"/>
    </row>
    <row r="12866" spans="9:10" x14ac:dyDescent="0.2">
      <c r="I12866" s="1125"/>
      <c r="J12866" s="1125"/>
    </row>
    <row r="12867" spans="9:10" x14ac:dyDescent="0.2">
      <c r="I12867" s="1125"/>
      <c r="J12867" s="1125"/>
    </row>
    <row r="12868" spans="9:10" x14ac:dyDescent="0.2">
      <c r="I12868" s="1125"/>
      <c r="J12868" s="1125"/>
    </row>
    <row r="12869" spans="9:10" x14ac:dyDescent="0.2">
      <c r="I12869" s="1125"/>
      <c r="J12869" s="1125"/>
    </row>
    <row r="12870" spans="9:10" x14ac:dyDescent="0.2">
      <c r="I12870" s="1125"/>
      <c r="J12870" s="1125"/>
    </row>
    <row r="12871" spans="9:10" x14ac:dyDescent="0.2">
      <c r="I12871" s="1125"/>
      <c r="J12871" s="1125"/>
    </row>
    <row r="12872" spans="9:10" x14ac:dyDescent="0.2">
      <c r="I12872" s="1125"/>
      <c r="J12872" s="1125"/>
    </row>
    <row r="12873" spans="9:10" x14ac:dyDescent="0.2">
      <c r="I12873" s="1125"/>
      <c r="J12873" s="1125"/>
    </row>
    <row r="12874" spans="9:10" x14ac:dyDescent="0.2">
      <c r="I12874" s="1125"/>
      <c r="J12874" s="1125"/>
    </row>
    <row r="12875" spans="9:10" x14ac:dyDescent="0.2">
      <c r="I12875" s="1125"/>
      <c r="J12875" s="1125"/>
    </row>
    <row r="12876" spans="9:10" x14ac:dyDescent="0.2">
      <c r="I12876" s="1125"/>
      <c r="J12876" s="1125"/>
    </row>
    <row r="12877" spans="9:10" x14ac:dyDescent="0.2">
      <c r="I12877" s="1125"/>
      <c r="J12877" s="1125"/>
    </row>
    <row r="12878" spans="9:10" x14ac:dyDescent="0.2">
      <c r="I12878" s="1125"/>
      <c r="J12878" s="1125"/>
    </row>
    <row r="12879" spans="9:10" x14ac:dyDescent="0.2">
      <c r="I12879" s="1125"/>
      <c r="J12879" s="1125"/>
    </row>
    <row r="12880" spans="9:10" x14ac:dyDescent="0.2">
      <c r="I12880" s="1125"/>
      <c r="J12880" s="1125"/>
    </row>
    <row r="12881" spans="9:10" x14ac:dyDescent="0.2">
      <c r="I12881" s="1125"/>
      <c r="J12881" s="1125"/>
    </row>
    <row r="12882" spans="9:10" x14ac:dyDescent="0.2">
      <c r="I12882" s="1125"/>
      <c r="J12882" s="1125"/>
    </row>
    <row r="12883" spans="9:10" x14ac:dyDescent="0.2">
      <c r="I12883" s="1125"/>
      <c r="J12883" s="1125"/>
    </row>
    <row r="12884" spans="9:10" x14ac:dyDescent="0.2">
      <c r="I12884" s="1125"/>
      <c r="J12884" s="1125"/>
    </row>
    <row r="12885" spans="9:10" x14ac:dyDescent="0.2">
      <c r="I12885" s="1125"/>
      <c r="J12885" s="1125"/>
    </row>
    <row r="12886" spans="9:10" x14ac:dyDescent="0.2">
      <c r="I12886" s="1125"/>
      <c r="J12886" s="1125"/>
    </row>
    <row r="12887" spans="9:10" x14ac:dyDescent="0.2">
      <c r="I12887" s="1125"/>
      <c r="J12887" s="1125"/>
    </row>
    <row r="12888" spans="9:10" x14ac:dyDescent="0.2">
      <c r="I12888" s="1125"/>
      <c r="J12888" s="1125"/>
    </row>
    <row r="12889" spans="9:10" x14ac:dyDescent="0.2">
      <c r="I12889" s="1125"/>
      <c r="J12889" s="1125"/>
    </row>
    <row r="12890" spans="9:10" x14ac:dyDescent="0.2">
      <c r="I12890" s="1125"/>
      <c r="J12890" s="1125"/>
    </row>
    <row r="12891" spans="9:10" x14ac:dyDescent="0.2">
      <c r="I12891" s="1125"/>
      <c r="J12891" s="1125"/>
    </row>
    <row r="12892" spans="9:10" x14ac:dyDescent="0.2">
      <c r="I12892" s="1125"/>
      <c r="J12892" s="1125"/>
    </row>
    <row r="12893" spans="9:10" x14ac:dyDescent="0.2">
      <c r="I12893" s="1125"/>
      <c r="J12893" s="1125"/>
    </row>
    <row r="12894" spans="9:10" x14ac:dyDescent="0.2">
      <c r="I12894" s="1125"/>
      <c r="J12894" s="1125"/>
    </row>
    <row r="12895" spans="9:10" x14ac:dyDescent="0.2">
      <c r="I12895" s="1125"/>
      <c r="J12895" s="1125"/>
    </row>
    <row r="12896" spans="9:10" x14ac:dyDescent="0.2">
      <c r="I12896" s="1125"/>
      <c r="J12896" s="1125"/>
    </row>
    <row r="12897" spans="9:10" x14ac:dyDescent="0.2">
      <c r="I12897" s="1125"/>
      <c r="J12897" s="1125"/>
    </row>
    <row r="12898" spans="9:10" x14ac:dyDescent="0.2">
      <c r="I12898" s="1125"/>
      <c r="J12898" s="1125"/>
    </row>
    <row r="12899" spans="9:10" x14ac:dyDescent="0.2">
      <c r="I12899" s="1125"/>
      <c r="J12899" s="1125"/>
    </row>
    <row r="12900" spans="9:10" x14ac:dyDescent="0.2">
      <c r="I12900" s="1125"/>
      <c r="J12900" s="1125"/>
    </row>
    <row r="12901" spans="9:10" x14ac:dyDescent="0.2">
      <c r="I12901" s="1125"/>
      <c r="J12901" s="1125"/>
    </row>
    <row r="12902" spans="9:10" x14ac:dyDescent="0.2">
      <c r="I12902" s="1125"/>
      <c r="J12902" s="1125"/>
    </row>
    <row r="12903" spans="9:10" x14ac:dyDescent="0.2">
      <c r="I12903" s="1125"/>
      <c r="J12903" s="1125"/>
    </row>
    <row r="12904" spans="9:10" x14ac:dyDescent="0.2">
      <c r="I12904" s="1125"/>
      <c r="J12904" s="1125"/>
    </row>
    <row r="12905" spans="9:10" x14ac:dyDescent="0.2">
      <c r="I12905" s="1125"/>
      <c r="J12905" s="1125"/>
    </row>
    <row r="12906" spans="9:10" x14ac:dyDescent="0.2">
      <c r="I12906" s="1125"/>
      <c r="J12906" s="1125"/>
    </row>
    <row r="12907" spans="9:10" x14ac:dyDescent="0.2">
      <c r="I12907" s="1125"/>
      <c r="J12907" s="1125"/>
    </row>
    <row r="12908" spans="9:10" x14ac:dyDescent="0.2">
      <c r="I12908" s="1125"/>
      <c r="J12908" s="1125"/>
    </row>
    <row r="12909" spans="9:10" x14ac:dyDescent="0.2">
      <c r="I12909" s="1125"/>
      <c r="J12909" s="1125"/>
    </row>
    <row r="12910" spans="9:10" x14ac:dyDescent="0.2">
      <c r="I12910" s="1125"/>
      <c r="J12910" s="1125"/>
    </row>
    <row r="12911" spans="9:10" x14ac:dyDescent="0.2">
      <c r="I12911" s="1125"/>
      <c r="J12911" s="1125"/>
    </row>
    <row r="12912" spans="9:10" x14ac:dyDescent="0.2">
      <c r="I12912" s="1125"/>
      <c r="J12912" s="1125"/>
    </row>
    <row r="12913" spans="9:10" x14ac:dyDescent="0.2">
      <c r="I12913" s="1125"/>
      <c r="J12913" s="1125"/>
    </row>
    <row r="12914" spans="9:10" x14ac:dyDescent="0.2">
      <c r="I12914" s="1125"/>
      <c r="J12914" s="1125"/>
    </row>
    <row r="12915" spans="9:10" x14ac:dyDescent="0.2">
      <c r="I12915" s="1125"/>
      <c r="J12915" s="1125"/>
    </row>
    <row r="12916" spans="9:10" x14ac:dyDescent="0.2">
      <c r="I12916" s="1125"/>
      <c r="J12916" s="1125"/>
    </row>
    <row r="12917" spans="9:10" x14ac:dyDescent="0.2">
      <c r="I12917" s="1125"/>
      <c r="J12917" s="1125"/>
    </row>
    <row r="12918" spans="9:10" x14ac:dyDescent="0.2">
      <c r="I12918" s="1125"/>
      <c r="J12918" s="1125"/>
    </row>
    <row r="12919" spans="9:10" x14ac:dyDescent="0.2">
      <c r="I12919" s="1125"/>
      <c r="J12919" s="1125"/>
    </row>
    <row r="12920" spans="9:10" x14ac:dyDescent="0.2">
      <c r="I12920" s="1125"/>
      <c r="J12920" s="1125"/>
    </row>
    <row r="12921" spans="9:10" x14ac:dyDescent="0.2">
      <c r="I12921" s="1125"/>
      <c r="J12921" s="1125"/>
    </row>
    <row r="12922" spans="9:10" x14ac:dyDescent="0.2">
      <c r="I12922" s="1125"/>
      <c r="J12922" s="1125"/>
    </row>
    <row r="12923" spans="9:10" x14ac:dyDescent="0.2">
      <c r="I12923" s="1125"/>
      <c r="J12923" s="1125"/>
    </row>
    <row r="12924" spans="9:10" x14ac:dyDescent="0.2">
      <c r="I12924" s="1125"/>
      <c r="J12924" s="1125"/>
    </row>
    <row r="12925" spans="9:10" x14ac:dyDescent="0.2">
      <c r="I12925" s="1125"/>
      <c r="J12925" s="1125"/>
    </row>
    <row r="12926" spans="9:10" x14ac:dyDescent="0.2">
      <c r="I12926" s="1125"/>
      <c r="J12926" s="1125"/>
    </row>
    <row r="12927" spans="9:10" x14ac:dyDescent="0.2">
      <c r="I12927" s="1125"/>
      <c r="J12927" s="1125"/>
    </row>
    <row r="12928" spans="9:10" x14ac:dyDescent="0.2">
      <c r="I12928" s="1125"/>
      <c r="J12928" s="1125"/>
    </row>
    <row r="12929" spans="9:10" x14ac:dyDescent="0.2">
      <c r="I12929" s="1125"/>
      <c r="J12929" s="1125"/>
    </row>
    <row r="12930" spans="9:10" x14ac:dyDescent="0.2">
      <c r="I12930" s="1125"/>
      <c r="J12930" s="1125"/>
    </row>
    <row r="12931" spans="9:10" x14ac:dyDescent="0.2">
      <c r="I12931" s="1125"/>
      <c r="J12931" s="1125"/>
    </row>
    <row r="12932" spans="9:10" x14ac:dyDescent="0.2">
      <c r="I12932" s="1125"/>
      <c r="J12932" s="1125"/>
    </row>
    <row r="12933" spans="9:10" x14ac:dyDescent="0.2">
      <c r="I12933" s="1125"/>
      <c r="J12933" s="1125"/>
    </row>
    <row r="12934" spans="9:10" x14ac:dyDescent="0.2">
      <c r="I12934" s="1125"/>
      <c r="J12934" s="1125"/>
    </row>
    <row r="12935" spans="9:10" x14ac:dyDescent="0.2">
      <c r="I12935" s="1125"/>
      <c r="J12935" s="1125"/>
    </row>
    <row r="12936" spans="9:10" x14ac:dyDescent="0.2">
      <c r="I12936" s="1125"/>
      <c r="J12936" s="1125"/>
    </row>
    <row r="12937" spans="9:10" x14ac:dyDescent="0.2">
      <c r="I12937" s="1125"/>
      <c r="J12937" s="1125"/>
    </row>
    <row r="12938" spans="9:10" x14ac:dyDescent="0.2">
      <c r="I12938" s="1125"/>
      <c r="J12938" s="1125"/>
    </row>
    <row r="12939" spans="9:10" x14ac:dyDescent="0.2">
      <c r="I12939" s="1125"/>
      <c r="J12939" s="1125"/>
    </row>
    <row r="12940" spans="9:10" x14ac:dyDescent="0.2">
      <c r="I12940" s="1125"/>
      <c r="J12940" s="1125"/>
    </row>
    <row r="12941" spans="9:10" x14ac:dyDescent="0.2">
      <c r="I12941" s="1125"/>
      <c r="J12941" s="1125"/>
    </row>
    <row r="12942" spans="9:10" x14ac:dyDescent="0.2">
      <c r="I12942" s="1125"/>
      <c r="J12942" s="1125"/>
    </row>
    <row r="12943" spans="9:10" x14ac:dyDescent="0.2">
      <c r="I12943" s="1125"/>
      <c r="J12943" s="1125"/>
    </row>
    <row r="12944" spans="9:10" x14ac:dyDescent="0.2">
      <c r="I12944" s="1125"/>
      <c r="J12944" s="1125"/>
    </row>
    <row r="12945" spans="9:10" x14ac:dyDescent="0.2">
      <c r="I12945" s="1125"/>
      <c r="J12945" s="1125"/>
    </row>
    <row r="12946" spans="9:10" x14ac:dyDescent="0.2">
      <c r="I12946" s="1125"/>
      <c r="J12946" s="1125"/>
    </row>
    <row r="12947" spans="9:10" x14ac:dyDescent="0.2">
      <c r="I12947" s="1125"/>
      <c r="J12947" s="1125"/>
    </row>
    <row r="12948" spans="9:10" x14ac:dyDescent="0.2">
      <c r="I12948" s="1125"/>
      <c r="J12948" s="1125"/>
    </row>
    <row r="12949" spans="9:10" x14ac:dyDescent="0.2">
      <c r="I12949" s="1125"/>
      <c r="J12949" s="1125"/>
    </row>
    <row r="12950" spans="9:10" x14ac:dyDescent="0.2">
      <c r="I12950" s="1125"/>
      <c r="J12950" s="1125"/>
    </row>
    <row r="12951" spans="9:10" x14ac:dyDescent="0.2">
      <c r="I12951" s="1125"/>
      <c r="J12951" s="1125"/>
    </row>
    <row r="12952" spans="9:10" x14ac:dyDescent="0.2">
      <c r="I12952" s="1125"/>
      <c r="J12952" s="1125"/>
    </row>
    <row r="12953" spans="9:10" x14ac:dyDescent="0.2">
      <c r="I12953" s="1125"/>
      <c r="J12953" s="1125"/>
    </row>
    <row r="12954" spans="9:10" x14ac:dyDescent="0.2">
      <c r="I12954" s="1125"/>
      <c r="J12954" s="1125"/>
    </row>
    <row r="12955" spans="9:10" x14ac:dyDescent="0.2">
      <c r="I12955" s="1125"/>
      <c r="J12955" s="1125"/>
    </row>
    <row r="12956" spans="9:10" x14ac:dyDescent="0.2">
      <c r="I12956" s="1125"/>
      <c r="J12956" s="1125"/>
    </row>
    <row r="12957" spans="9:10" x14ac:dyDescent="0.2">
      <c r="I12957" s="1125"/>
      <c r="J12957" s="1125"/>
    </row>
    <row r="12958" spans="9:10" x14ac:dyDescent="0.2">
      <c r="I12958" s="1125"/>
      <c r="J12958" s="1125"/>
    </row>
    <row r="12959" spans="9:10" x14ac:dyDescent="0.2">
      <c r="I12959" s="1125"/>
      <c r="J12959" s="1125"/>
    </row>
    <row r="12960" spans="9:10" x14ac:dyDescent="0.2">
      <c r="I12960" s="1125"/>
      <c r="J12960" s="1125"/>
    </row>
    <row r="12961" spans="9:10" x14ac:dyDescent="0.2">
      <c r="I12961" s="1125"/>
      <c r="J12961" s="1125"/>
    </row>
    <row r="12962" spans="9:10" x14ac:dyDescent="0.2">
      <c r="I12962" s="1125"/>
      <c r="J12962" s="1125"/>
    </row>
    <row r="12963" spans="9:10" x14ac:dyDescent="0.2">
      <c r="I12963" s="1125"/>
      <c r="J12963" s="1125"/>
    </row>
    <row r="12964" spans="9:10" x14ac:dyDescent="0.2">
      <c r="I12964" s="1125"/>
      <c r="J12964" s="1125"/>
    </row>
    <row r="12965" spans="9:10" x14ac:dyDescent="0.2">
      <c r="I12965" s="1125"/>
      <c r="J12965" s="1125"/>
    </row>
    <row r="12966" spans="9:10" x14ac:dyDescent="0.2">
      <c r="I12966" s="1125"/>
      <c r="J12966" s="1125"/>
    </row>
    <row r="12967" spans="9:10" x14ac:dyDescent="0.2">
      <c r="I12967" s="1125"/>
      <c r="J12967" s="1125"/>
    </row>
    <row r="12968" spans="9:10" x14ac:dyDescent="0.2">
      <c r="I12968" s="1125"/>
      <c r="J12968" s="1125"/>
    </row>
    <row r="12969" spans="9:10" x14ac:dyDescent="0.2">
      <c r="I12969" s="1125"/>
      <c r="J12969" s="1125"/>
    </row>
    <row r="12970" spans="9:10" x14ac:dyDescent="0.2">
      <c r="I12970" s="1125"/>
      <c r="J12970" s="1125"/>
    </row>
    <row r="12971" spans="9:10" x14ac:dyDescent="0.2">
      <c r="I12971" s="1125"/>
      <c r="J12971" s="1125"/>
    </row>
    <row r="12972" spans="9:10" x14ac:dyDescent="0.2">
      <c r="I12972" s="1125"/>
      <c r="J12972" s="1125"/>
    </row>
    <row r="12973" spans="9:10" x14ac:dyDescent="0.2">
      <c r="I12973" s="1125"/>
      <c r="J12973" s="1125"/>
    </row>
    <row r="12974" spans="9:10" x14ac:dyDescent="0.2">
      <c r="I12974" s="1125"/>
      <c r="J12974" s="1125"/>
    </row>
    <row r="12975" spans="9:10" x14ac:dyDescent="0.2">
      <c r="I12975" s="1125"/>
      <c r="J12975" s="1125"/>
    </row>
    <row r="12976" spans="9:10" x14ac:dyDescent="0.2">
      <c r="I12976" s="1125"/>
      <c r="J12976" s="1125"/>
    </row>
    <row r="12977" spans="9:10" x14ac:dyDescent="0.2">
      <c r="I12977" s="1125"/>
      <c r="J12977" s="1125"/>
    </row>
    <row r="12978" spans="9:10" x14ac:dyDescent="0.2">
      <c r="I12978" s="1125"/>
      <c r="J12978" s="1125"/>
    </row>
    <row r="12979" spans="9:10" x14ac:dyDescent="0.2">
      <c r="I12979" s="1125"/>
      <c r="J12979" s="1125"/>
    </row>
    <row r="12980" spans="9:10" x14ac:dyDescent="0.2">
      <c r="I12980" s="1125"/>
      <c r="J12980" s="1125"/>
    </row>
    <row r="12981" spans="9:10" x14ac:dyDescent="0.2">
      <c r="I12981" s="1125"/>
      <c r="J12981" s="1125"/>
    </row>
    <row r="12982" spans="9:10" x14ac:dyDescent="0.2">
      <c r="I12982" s="1125"/>
      <c r="J12982" s="1125"/>
    </row>
    <row r="12983" spans="9:10" x14ac:dyDescent="0.2">
      <c r="I12983" s="1125"/>
      <c r="J12983" s="1125"/>
    </row>
    <row r="12984" spans="9:10" x14ac:dyDescent="0.2">
      <c r="I12984" s="1125"/>
      <c r="J12984" s="1125"/>
    </row>
    <row r="12985" spans="9:10" x14ac:dyDescent="0.2">
      <c r="I12985" s="1125"/>
      <c r="J12985" s="1125"/>
    </row>
    <row r="12986" spans="9:10" x14ac:dyDescent="0.2">
      <c r="I12986" s="1125"/>
      <c r="J12986" s="1125"/>
    </row>
    <row r="12987" spans="9:10" x14ac:dyDescent="0.2">
      <c r="I12987" s="1125"/>
      <c r="J12987" s="1125"/>
    </row>
    <row r="12988" spans="9:10" x14ac:dyDescent="0.2">
      <c r="I12988" s="1125"/>
      <c r="J12988" s="1125"/>
    </row>
    <row r="12989" spans="9:10" x14ac:dyDescent="0.2">
      <c r="I12989" s="1125"/>
      <c r="J12989" s="1125"/>
    </row>
    <row r="12990" spans="9:10" x14ac:dyDescent="0.2">
      <c r="I12990" s="1125"/>
      <c r="J12990" s="1125"/>
    </row>
    <row r="12991" spans="9:10" x14ac:dyDescent="0.2">
      <c r="I12991" s="1125"/>
      <c r="J12991" s="1125"/>
    </row>
    <row r="12992" spans="9:10" x14ac:dyDescent="0.2">
      <c r="I12992" s="1125"/>
      <c r="J12992" s="1125"/>
    </row>
    <row r="12993" spans="9:10" x14ac:dyDescent="0.2">
      <c r="I12993" s="1125"/>
      <c r="J12993" s="1125"/>
    </row>
    <row r="12994" spans="9:10" x14ac:dyDescent="0.2">
      <c r="I12994" s="1125"/>
      <c r="J12994" s="1125"/>
    </row>
    <row r="12995" spans="9:10" x14ac:dyDescent="0.2">
      <c r="I12995" s="1125"/>
      <c r="J12995" s="1125"/>
    </row>
    <row r="12996" spans="9:10" x14ac:dyDescent="0.2">
      <c r="I12996" s="1125"/>
      <c r="J12996" s="1125"/>
    </row>
    <row r="12997" spans="9:10" x14ac:dyDescent="0.2">
      <c r="I12997" s="1125"/>
      <c r="J12997" s="1125"/>
    </row>
    <row r="12998" spans="9:10" x14ac:dyDescent="0.2">
      <c r="I12998" s="1125"/>
      <c r="J12998" s="1125"/>
    </row>
    <row r="12999" spans="9:10" x14ac:dyDescent="0.2">
      <c r="I12999" s="1125"/>
      <c r="J12999" s="1125"/>
    </row>
    <row r="13000" spans="9:10" x14ac:dyDescent="0.2">
      <c r="I13000" s="1125"/>
      <c r="J13000" s="1125"/>
    </row>
    <row r="13001" spans="9:10" x14ac:dyDescent="0.2">
      <c r="I13001" s="1125"/>
      <c r="J13001" s="1125"/>
    </row>
    <row r="13002" spans="9:10" x14ac:dyDescent="0.2">
      <c r="I13002" s="1125"/>
      <c r="J13002" s="1125"/>
    </row>
    <row r="13003" spans="9:10" x14ac:dyDescent="0.2">
      <c r="I13003" s="1125"/>
      <c r="J13003" s="1125"/>
    </row>
    <row r="13004" spans="9:10" x14ac:dyDescent="0.2">
      <c r="I13004" s="1125"/>
      <c r="J13004" s="1125"/>
    </row>
    <row r="13005" spans="9:10" x14ac:dyDescent="0.2">
      <c r="I13005" s="1125"/>
      <c r="J13005" s="1125"/>
    </row>
    <row r="13006" spans="9:10" x14ac:dyDescent="0.2">
      <c r="I13006" s="1125"/>
      <c r="J13006" s="1125"/>
    </row>
    <row r="13007" spans="9:10" x14ac:dyDescent="0.2">
      <c r="I13007" s="1125"/>
      <c r="J13007" s="1125"/>
    </row>
    <row r="13008" spans="9:10" x14ac:dyDescent="0.2">
      <c r="I13008" s="1125"/>
      <c r="J13008" s="1125"/>
    </row>
    <row r="13009" spans="9:10" x14ac:dyDescent="0.2">
      <c r="I13009" s="1125"/>
      <c r="J13009" s="1125"/>
    </row>
    <row r="13010" spans="9:10" x14ac:dyDescent="0.2">
      <c r="I13010" s="1125"/>
      <c r="J13010" s="1125"/>
    </row>
    <row r="13011" spans="9:10" x14ac:dyDescent="0.2">
      <c r="I13011" s="1125"/>
      <c r="J13011" s="1125"/>
    </row>
    <row r="13012" spans="9:10" x14ac:dyDescent="0.2">
      <c r="I13012" s="1125"/>
      <c r="J13012" s="1125"/>
    </row>
    <row r="13013" spans="9:10" x14ac:dyDescent="0.2">
      <c r="I13013" s="1125"/>
      <c r="J13013" s="1125"/>
    </row>
    <row r="13014" spans="9:10" x14ac:dyDescent="0.2">
      <c r="I13014" s="1125"/>
      <c r="J13014" s="1125"/>
    </row>
    <row r="13015" spans="9:10" x14ac:dyDescent="0.2">
      <c r="I13015" s="1125"/>
      <c r="J13015" s="1125"/>
    </row>
    <row r="13016" spans="9:10" x14ac:dyDescent="0.2">
      <c r="I13016" s="1125"/>
      <c r="J13016" s="1125"/>
    </row>
    <row r="13017" spans="9:10" x14ac:dyDescent="0.2">
      <c r="I13017" s="1125"/>
      <c r="J13017" s="1125"/>
    </row>
    <row r="13018" spans="9:10" x14ac:dyDescent="0.2">
      <c r="I13018" s="1125"/>
      <c r="J13018" s="1125"/>
    </row>
    <row r="13019" spans="9:10" x14ac:dyDescent="0.2">
      <c r="I13019" s="1125"/>
      <c r="J13019" s="1125"/>
    </row>
    <row r="13020" spans="9:10" x14ac:dyDescent="0.2">
      <c r="I13020" s="1125"/>
      <c r="J13020" s="1125"/>
    </row>
    <row r="13021" spans="9:10" x14ac:dyDescent="0.2">
      <c r="I13021" s="1125"/>
      <c r="J13021" s="1125"/>
    </row>
    <row r="13022" spans="9:10" x14ac:dyDescent="0.2">
      <c r="I13022" s="1125"/>
      <c r="J13022" s="1125"/>
    </row>
    <row r="13023" spans="9:10" x14ac:dyDescent="0.2">
      <c r="I13023" s="1125"/>
      <c r="J13023" s="1125"/>
    </row>
    <row r="13024" spans="9:10" x14ac:dyDescent="0.2">
      <c r="I13024" s="1125"/>
      <c r="J13024" s="1125"/>
    </row>
    <row r="13025" spans="9:10" x14ac:dyDescent="0.2">
      <c r="I13025" s="1125"/>
      <c r="J13025" s="1125"/>
    </row>
    <row r="13026" spans="9:10" x14ac:dyDescent="0.2">
      <c r="I13026" s="1125"/>
      <c r="J13026" s="1125"/>
    </row>
    <row r="13027" spans="9:10" x14ac:dyDescent="0.2">
      <c r="I13027" s="1125"/>
      <c r="J13027" s="1125"/>
    </row>
    <row r="13028" spans="9:10" x14ac:dyDescent="0.2">
      <c r="I13028" s="1125"/>
      <c r="J13028" s="1125"/>
    </row>
    <row r="13029" spans="9:10" x14ac:dyDescent="0.2">
      <c r="I13029" s="1125"/>
      <c r="J13029" s="1125"/>
    </row>
    <row r="13030" spans="9:10" x14ac:dyDescent="0.2">
      <c r="I13030" s="1125"/>
      <c r="J13030" s="1125"/>
    </row>
    <row r="13031" spans="9:10" x14ac:dyDescent="0.2">
      <c r="I13031" s="1125"/>
      <c r="J13031" s="1125"/>
    </row>
    <row r="13032" spans="9:10" x14ac:dyDescent="0.2">
      <c r="I13032" s="1125"/>
      <c r="J13032" s="1125"/>
    </row>
    <row r="13033" spans="9:10" x14ac:dyDescent="0.2">
      <c r="I13033" s="1125"/>
      <c r="J13033" s="1125"/>
    </row>
    <row r="13034" spans="9:10" x14ac:dyDescent="0.2">
      <c r="I13034" s="1125"/>
      <c r="J13034" s="1125"/>
    </row>
    <row r="13035" spans="9:10" x14ac:dyDescent="0.2">
      <c r="I13035" s="1125"/>
      <c r="J13035" s="1125"/>
    </row>
    <row r="13036" spans="9:10" x14ac:dyDescent="0.2">
      <c r="I13036" s="1125"/>
      <c r="J13036" s="1125"/>
    </row>
    <row r="13037" spans="9:10" x14ac:dyDescent="0.2">
      <c r="I13037" s="1125"/>
      <c r="J13037" s="1125"/>
    </row>
    <row r="13038" spans="9:10" x14ac:dyDescent="0.2">
      <c r="I13038" s="1125"/>
      <c r="J13038" s="1125"/>
    </row>
    <row r="13039" spans="9:10" x14ac:dyDescent="0.2">
      <c r="I13039" s="1125"/>
      <c r="J13039" s="1125"/>
    </row>
    <row r="13040" spans="9:10" x14ac:dyDescent="0.2">
      <c r="I13040" s="1125"/>
      <c r="J13040" s="1125"/>
    </row>
    <row r="13041" spans="9:10" x14ac:dyDescent="0.2">
      <c r="I13041" s="1125"/>
      <c r="J13041" s="1125"/>
    </row>
    <row r="13042" spans="9:10" x14ac:dyDescent="0.2">
      <c r="I13042" s="1125"/>
      <c r="J13042" s="1125"/>
    </row>
    <row r="13043" spans="9:10" x14ac:dyDescent="0.2">
      <c r="I13043" s="1125"/>
      <c r="J13043" s="1125"/>
    </row>
    <row r="13044" spans="9:10" x14ac:dyDescent="0.2">
      <c r="I13044" s="1125"/>
      <c r="J13044" s="1125"/>
    </row>
    <row r="13045" spans="9:10" x14ac:dyDescent="0.2">
      <c r="I13045" s="1125"/>
      <c r="J13045" s="1125"/>
    </row>
    <row r="13046" spans="9:10" x14ac:dyDescent="0.2">
      <c r="I13046" s="1125"/>
      <c r="J13046" s="1125"/>
    </row>
    <row r="13047" spans="9:10" x14ac:dyDescent="0.2">
      <c r="I13047" s="1125"/>
      <c r="J13047" s="1125"/>
    </row>
    <row r="13048" spans="9:10" x14ac:dyDescent="0.2">
      <c r="I13048" s="1125"/>
      <c r="J13048" s="1125"/>
    </row>
    <row r="13049" spans="9:10" x14ac:dyDescent="0.2">
      <c r="I13049" s="1125"/>
      <c r="J13049" s="1125"/>
    </row>
    <row r="13050" spans="9:10" x14ac:dyDescent="0.2">
      <c r="I13050" s="1125"/>
      <c r="J13050" s="1125"/>
    </row>
    <row r="13051" spans="9:10" x14ac:dyDescent="0.2">
      <c r="I13051" s="1125"/>
      <c r="J13051" s="1125"/>
    </row>
    <row r="13052" spans="9:10" x14ac:dyDescent="0.2">
      <c r="I13052" s="1125"/>
      <c r="J13052" s="1125"/>
    </row>
    <row r="13053" spans="9:10" x14ac:dyDescent="0.2">
      <c r="I13053" s="1125"/>
      <c r="J13053" s="1125"/>
    </row>
    <row r="13054" spans="9:10" x14ac:dyDescent="0.2">
      <c r="I13054" s="1125"/>
      <c r="J13054" s="1125"/>
    </row>
    <row r="13055" spans="9:10" x14ac:dyDescent="0.2">
      <c r="I13055" s="1125"/>
      <c r="J13055" s="1125"/>
    </row>
    <row r="13056" spans="9:10" x14ac:dyDescent="0.2">
      <c r="I13056" s="1125"/>
      <c r="J13056" s="1125"/>
    </row>
    <row r="13057" spans="9:10" x14ac:dyDescent="0.2">
      <c r="I13057" s="1125"/>
      <c r="J13057" s="1125"/>
    </row>
    <row r="13058" spans="9:10" x14ac:dyDescent="0.2">
      <c r="I13058" s="1125"/>
      <c r="J13058" s="1125"/>
    </row>
    <row r="13059" spans="9:10" x14ac:dyDescent="0.2">
      <c r="I13059" s="1125"/>
      <c r="J13059" s="1125"/>
    </row>
    <row r="13060" spans="9:10" x14ac:dyDescent="0.2">
      <c r="I13060" s="1125"/>
      <c r="J13060" s="1125"/>
    </row>
    <row r="13061" spans="9:10" x14ac:dyDescent="0.2">
      <c r="I13061" s="1125"/>
      <c r="J13061" s="1125"/>
    </row>
    <row r="13062" spans="9:10" x14ac:dyDescent="0.2">
      <c r="I13062" s="1125"/>
      <c r="J13062" s="1125"/>
    </row>
    <row r="13063" spans="9:10" x14ac:dyDescent="0.2">
      <c r="I13063" s="1125"/>
      <c r="J13063" s="1125"/>
    </row>
    <row r="13064" spans="9:10" x14ac:dyDescent="0.2">
      <c r="I13064" s="1125"/>
      <c r="J13064" s="1125"/>
    </row>
    <row r="13065" spans="9:10" x14ac:dyDescent="0.2">
      <c r="I13065" s="1125"/>
      <c r="J13065" s="1125"/>
    </row>
    <row r="13066" spans="9:10" x14ac:dyDescent="0.2">
      <c r="I13066" s="1125"/>
      <c r="J13066" s="1125"/>
    </row>
    <row r="13067" spans="9:10" x14ac:dyDescent="0.2">
      <c r="I13067" s="1125"/>
      <c r="J13067" s="1125"/>
    </row>
    <row r="13068" spans="9:10" x14ac:dyDescent="0.2">
      <c r="I13068" s="1125"/>
      <c r="J13068" s="1125"/>
    </row>
    <row r="13069" spans="9:10" x14ac:dyDescent="0.2">
      <c r="I13069" s="1125"/>
      <c r="J13069" s="1125"/>
    </row>
    <row r="13070" spans="9:10" x14ac:dyDescent="0.2">
      <c r="I13070" s="1125"/>
      <c r="J13070" s="1125"/>
    </row>
    <row r="13071" spans="9:10" x14ac:dyDescent="0.2">
      <c r="I13071" s="1125"/>
      <c r="J13071" s="1125"/>
    </row>
    <row r="13072" spans="9:10" x14ac:dyDescent="0.2">
      <c r="I13072" s="1125"/>
      <c r="J13072" s="1125"/>
    </row>
    <row r="13073" spans="9:10" x14ac:dyDescent="0.2">
      <c r="I13073" s="1125"/>
      <c r="J13073" s="1125"/>
    </row>
    <row r="13074" spans="9:10" x14ac:dyDescent="0.2">
      <c r="I13074" s="1125"/>
      <c r="J13074" s="1125"/>
    </row>
    <row r="13075" spans="9:10" x14ac:dyDescent="0.2">
      <c r="I13075" s="1125"/>
      <c r="J13075" s="1125"/>
    </row>
    <row r="13076" spans="9:10" x14ac:dyDescent="0.2">
      <c r="I13076" s="1125"/>
      <c r="J13076" s="1125"/>
    </row>
    <row r="13077" spans="9:10" x14ac:dyDescent="0.2">
      <c r="I13077" s="1125"/>
      <c r="J13077" s="1125"/>
    </row>
    <row r="13078" spans="9:10" x14ac:dyDescent="0.2">
      <c r="I13078" s="1125"/>
      <c r="J13078" s="1125"/>
    </row>
    <row r="13079" spans="9:10" x14ac:dyDescent="0.2">
      <c r="I13079" s="1125"/>
      <c r="J13079" s="1125"/>
    </row>
    <row r="13080" spans="9:10" x14ac:dyDescent="0.2">
      <c r="I13080" s="1125"/>
      <c r="J13080" s="1125"/>
    </row>
    <row r="13081" spans="9:10" x14ac:dyDescent="0.2">
      <c r="I13081" s="1125"/>
      <c r="J13081" s="1125"/>
    </row>
    <row r="13082" spans="9:10" x14ac:dyDescent="0.2">
      <c r="I13082" s="1125"/>
      <c r="J13082" s="1125"/>
    </row>
    <row r="13083" spans="9:10" x14ac:dyDescent="0.2">
      <c r="I13083" s="1125"/>
      <c r="J13083" s="1125"/>
    </row>
    <row r="13084" spans="9:10" x14ac:dyDescent="0.2">
      <c r="I13084" s="1125"/>
      <c r="J13084" s="1125"/>
    </row>
    <row r="13085" spans="9:10" x14ac:dyDescent="0.2">
      <c r="I13085" s="1125"/>
      <c r="J13085" s="1125"/>
    </row>
    <row r="13086" spans="9:10" x14ac:dyDescent="0.2">
      <c r="I13086" s="1125"/>
      <c r="J13086" s="1125"/>
    </row>
    <row r="13087" spans="9:10" x14ac:dyDescent="0.2">
      <c r="I13087" s="1125"/>
      <c r="J13087" s="1125"/>
    </row>
    <row r="13088" spans="9:10" x14ac:dyDescent="0.2">
      <c r="I13088" s="1125"/>
      <c r="J13088" s="1125"/>
    </row>
    <row r="13089" spans="9:10" x14ac:dyDescent="0.2">
      <c r="I13089" s="1125"/>
      <c r="J13089" s="1125"/>
    </row>
    <row r="13090" spans="9:10" x14ac:dyDescent="0.2">
      <c r="I13090" s="1125"/>
      <c r="J13090" s="1125"/>
    </row>
    <row r="13091" spans="9:10" x14ac:dyDescent="0.2">
      <c r="I13091" s="1125"/>
      <c r="J13091" s="1125"/>
    </row>
    <row r="13092" spans="9:10" x14ac:dyDescent="0.2">
      <c r="I13092" s="1125"/>
      <c r="J13092" s="1125"/>
    </row>
    <row r="13093" spans="9:10" x14ac:dyDescent="0.2">
      <c r="I13093" s="1125"/>
      <c r="J13093" s="1125"/>
    </row>
    <row r="13094" spans="9:10" x14ac:dyDescent="0.2">
      <c r="I13094" s="1125"/>
      <c r="J13094" s="1125"/>
    </row>
    <row r="13095" spans="9:10" x14ac:dyDescent="0.2">
      <c r="I13095" s="1125"/>
      <c r="J13095" s="1125"/>
    </row>
    <row r="13096" spans="9:10" x14ac:dyDescent="0.2">
      <c r="I13096" s="1125"/>
      <c r="J13096" s="1125"/>
    </row>
    <row r="13097" spans="9:10" x14ac:dyDescent="0.2">
      <c r="I13097" s="1125"/>
      <c r="J13097" s="1125"/>
    </row>
    <row r="13098" spans="9:10" x14ac:dyDescent="0.2">
      <c r="I13098" s="1125"/>
      <c r="J13098" s="1125"/>
    </row>
    <row r="13099" spans="9:10" x14ac:dyDescent="0.2">
      <c r="I13099" s="1125"/>
      <c r="J13099" s="1125"/>
    </row>
    <row r="13100" spans="9:10" x14ac:dyDescent="0.2">
      <c r="I13100" s="1125"/>
      <c r="J13100" s="1125"/>
    </row>
    <row r="13101" spans="9:10" x14ac:dyDescent="0.2">
      <c r="I13101" s="1125"/>
      <c r="J13101" s="1125"/>
    </row>
    <row r="13102" spans="9:10" x14ac:dyDescent="0.2">
      <c r="I13102" s="1125"/>
      <c r="J13102" s="1125"/>
    </row>
    <row r="13103" spans="9:10" x14ac:dyDescent="0.2">
      <c r="I13103" s="1125"/>
      <c r="J13103" s="1125"/>
    </row>
    <row r="13104" spans="9:10" x14ac:dyDescent="0.2">
      <c r="I13104" s="1125"/>
      <c r="J13104" s="1125"/>
    </row>
    <row r="13105" spans="9:10" x14ac:dyDescent="0.2">
      <c r="I13105" s="1125"/>
      <c r="J13105" s="1125"/>
    </row>
    <row r="13106" spans="9:10" x14ac:dyDescent="0.2">
      <c r="I13106" s="1125"/>
      <c r="J13106" s="1125"/>
    </row>
    <row r="13107" spans="9:10" x14ac:dyDescent="0.2">
      <c r="I13107" s="1125"/>
      <c r="J13107" s="1125"/>
    </row>
    <row r="13108" spans="9:10" x14ac:dyDescent="0.2">
      <c r="I13108" s="1125"/>
      <c r="J13108" s="1125"/>
    </row>
    <row r="13109" spans="9:10" x14ac:dyDescent="0.2">
      <c r="I13109" s="1125"/>
      <c r="J13109" s="1125"/>
    </row>
    <row r="13110" spans="9:10" x14ac:dyDescent="0.2">
      <c r="I13110" s="1125"/>
      <c r="J13110" s="1125"/>
    </row>
    <row r="13111" spans="9:10" x14ac:dyDescent="0.2">
      <c r="I13111" s="1125"/>
      <c r="J13111" s="1125"/>
    </row>
    <row r="13112" spans="9:10" x14ac:dyDescent="0.2">
      <c r="I13112" s="1125"/>
      <c r="J13112" s="1125"/>
    </row>
    <row r="13113" spans="9:10" x14ac:dyDescent="0.2">
      <c r="I13113" s="1125"/>
      <c r="J13113" s="1125"/>
    </row>
    <row r="13114" spans="9:10" x14ac:dyDescent="0.2">
      <c r="I13114" s="1125"/>
      <c r="J13114" s="1125"/>
    </row>
    <row r="13115" spans="9:10" x14ac:dyDescent="0.2">
      <c r="I13115" s="1125"/>
      <c r="J13115" s="1125"/>
    </row>
    <row r="13116" spans="9:10" x14ac:dyDescent="0.2">
      <c r="I13116" s="1125"/>
      <c r="J13116" s="1125"/>
    </row>
    <row r="13117" spans="9:10" x14ac:dyDescent="0.2">
      <c r="I13117" s="1125"/>
      <c r="J13117" s="1125"/>
    </row>
    <row r="13118" spans="9:10" x14ac:dyDescent="0.2">
      <c r="I13118" s="1125"/>
      <c r="J13118" s="1125"/>
    </row>
    <row r="13119" spans="9:10" x14ac:dyDescent="0.2">
      <c r="I13119" s="1125"/>
      <c r="J13119" s="1125"/>
    </row>
    <row r="13120" spans="9:10" x14ac:dyDescent="0.2">
      <c r="I13120" s="1125"/>
      <c r="J13120" s="1125"/>
    </row>
    <row r="13121" spans="9:10" x14ac:dyDescent="0.2">
      <c r="I13121" s="1125"/>
      <c r="J13121" s="1125"/>
    </row>
    <row r="13122" spans="9:10" x14ac:dyDescent="0.2">
      <c r="I13122" s="1125"/>
      <c r="J13122" s="1125"/>
    </row>
    <row r="13123" spans="9:10" x14ac:dyDescent="0.2">
      <c r="I13123" s="1125"/>
      <c r="J13123" s="1125"/>
    </row>
    <row r="13124" spans="9:10" x14ac:dyDescent="0.2">
      <c r="I13124" s="1125"/>
      <c r="J13124" s="1125"/>
    </row>
    <row r="13125" spans="9:10" x14ac:dyDescent="0.2">
      <c r="I13125" s="1125"/>
      <c r="J13125" s="1125"/>
    </row>
    <row r="13126" spans="9:10" x14ac:dyDescent="0.2">
      <c r="I13126" s="1125"/>
      <c r="J13126" s="1125"/>
    </row>
    <row r="13127" spans="9:10" x14ac:dyDescent="0.2">
      <c r="I13127" s="1125"/>
      <c r="J13127" s="1125"/>
    </row>
    <row r="13128" spans="9:10" x14ac:dyDescent="0.2">
      <c r="I13128" s="1125"/>
      <c r="J13128" s="1125"/>
    </row>
    <row r="13129" spans="9:10" x14ac:dyDescent="0.2">
      <c r="I13129" s="1125"/>
      <c r="J13129" s="1125"/>
    </row>
    <row r="13130" spans="9:10" x14ac:dyDescent="0.2">
      <c r="I13130" s="1125"/>
      <c r="J13130" s="1125"/>
    </row>
    <row r="13131" spans="9:10" x14ac:dyDescent="0.2">
      <c r="I13131" s="1125"/>
      <c r="J13131" s="1125"/>
    </row>
    <row r="13132" spans="9:10" x14ac:dyDescent="0.2">
      <c r="I13132" s="1125"/>
      <c r="J13132" s="1125"/>
    </row>
    <row r="13133" spans="9:10" x14ac:dyDescent="0.2">
      <c r="I13133" s="1125"/>
      <c r="J13133" s="1125"/>
    </row>
    <row r="13134" spans="9:10" x14ac:dyDescent="0.2">
      <c r="I13134" s="1125"/>
      <c r="J13134" s="1125"/>
    </row>
    <row r="13135" spans="9:10" x14ac:dyDescent="0.2">
      <c r="I13135" s="1125"/>
      <c r="J13135" s="1125"/>
    </row>
    <row r="13136" spans="9:10" x14ac:dyDescent="0.2">
      <c r="I13136" s="1125"/>
      <c r="J13136" s="1125"/>
    </row>
    <row r="13137" spans="9:10" x14ac:dyDescent="0.2">
      <c r="I13137" s="1125"/>
      <c r="J13137" s="1125"/>
    </row>
    <row r="13138" spans="9:10" x14ac:dyDescent="0.2">
      <c r="I13138" s="1125"/>
      <c r="J13138" s="1125"/>
    </row>
    <row r="13139" spans="9:10" x14ac:dyDescent="0.2">
      <c r="I13139" s="1125"/>
      <c r="J13139" s="1125"/>
    </row>
    <row r="13140" spans="9:10" x14ac:dyDescent="0.2">
      <c r="I13140" s="1125"/>
      <c r="J13140" s="1125"/>
    </row>
    <row r="13141" spans="9:10" x14ac:dyDescent="0.2">
      <c r="I13141" s="1125"/>
      <c r="J13141" s="1125"/>
    </row>
    <row r="13142" spans="9:10" x14ac:dyDescent="0.2">
      <c r="I13142" s="1125"/>
      <c r="J13142" s="1125"/>
    </row>
    <row r="13143" spans="9:10" x14ac:dyDescent="0.2">
      <c r="I13143" s="1125"/>
      <c r="J13143" s="1125"/>
    </row>
    <row r="13144" spans="9:10" x14ac:dyDescent="0.2">
      <c r="I13144" s="1125"/>
      <c r="J13144" s="1125"/>
    </row>
    <row r="13145" spans="9:10" x14ac:dyDescent="0.2">
      <c r="I13145" s="1125"/>
      <c r="J13145" s="1125"/>
    </row>
    <row r="13146" spans="9:10" x14ac:dyDescent="0.2">
      <c r="I13146" s="1125"/>
      <c r="J13146" s="1125"/>
    </row>
    <row r="13147" spans="9:10" x14ac:dyDescent="0.2">
      <c r="I13147" s="1125"/>
      <c r="J13147" s="1125"/>
    </row>
    <row r="13148" spans="9:10" x14ac:dyDescent="0.2">
      <c r="I13148" s="1125"/>
      <c r="J13148" s="1125"/>
    </row>
    <row r="13149" spans="9:10" x14ac:dyDescent="0.2">
      <c r="I13149" s="1125"/>
      <c r="J13149" s="1125"/>
    </row>
    <row r="13150" spans="9:10" x14ac:dyDescent="0.2">
      <c r="I13150" s="1125"/>
      <c r="J13150" s="1125"/>
    </row>
    <row r="13151" spans="9:10" x14ac:dyDescent="0.2">
      <c r="I13151" s="1125"/>
      <c r="J13151" s="1125"/>
    </row>
    <row r="13152" spans="9:10" x14ac:dyDescent="0.2">
      <c r="I13152" s="1125"/>
      <c r="J13152" s="1125"/>
    </row>
    <row r="13153" spans="9:10" x14ac:dyDescent="0.2">
      <c r="I13153" s="1125"/>
      <c r="J13153" s="1125"/>
    </row>
    <row r="13154" spans="9:10" x14ac:dyDescent="0.2">
      <c r="I13154" s="1125"/>
      <c r="J13154" s="1125"/>
    </row>
    <row r="13155" spans="9:10" x14ac:dyDescent="0.2">
      <c r="I13155" s="1125"/>
      <c r="J13155" s="1125"/>
    </row>
    <row r="13156" spans="9:10" x14ac:dyDescent="0.2">
      <c r="I13156" s="1125"/>
      <c r="J13156" s="1125"/>
    </row>
    <row r="13157" spans="9:10" x14ac:dyDescent="0.2">
      <c r="I13157" s="1125"/>
      <c r="J13157" s="1125"/>
    </row>
    <row r="13158" spans="9:10" x14ac:dyDescent="0.2">
      <c r="I13158" s="1125"/>
      <c r="J13158" s="1125"/>
    </row>
    <row r="13159" spans="9:10" x14ac:dyDescent="0.2">
      <c r="I13159" s="1125"/>
      <c r="J13159" s="1125"/>
    </row>
    <row r="13160" spans="9:10" x14ac:dyDescent="0.2">
      <c r="I13160" s="1125"/>
      <c r="J13160" s="1125"/>
    </row>
    <row r="13161" spans="9:10" x14ac:dyDescent="0.2">
      <c r="I13161" s="1125"/>
      <c r="J13161" s="1125"/>
    </row>
    <row r="13162" spans="9:10" x14ac:dyDescent="0.2">
      <c r="I13162" s="1125"/>
      <c r="J13162" s="1125"/>
    </row>
    <row r="13163" spans="9:10" x14ac:dyDescent="0.2">
      <c r="I13163" s="1125"/>
      <c r="J13163" s="1125"/>
    </row>
    <row r="13164" spans="9:10" x14ac:dyDescent="0.2">
      <c r="I13164" s="1125"/>
      <c r="J13164" s="1125"/>
    </row>
    <row r="13165" spans="9:10" x14ac:dyDescent="0.2">
      <c r="I13165" s="1125"/>
      <c r="J13165" s="1125"/>
    </row>
    <row r="13166" spans="9:10" x14ac:dyDescent="0.2">
      <c r="I13166" s="1125"/>
      <c r="J13166" s="1125"/>
    </row>
    <row r="13167" spans="9:10" x14ac:dyDescent="0.2">
      <c r="I13167" s="1125"/>
      <c r="J13167" s="1125"/>
    </row>
    <row r="13168" spans="9:10" x14ac:dyDescent="0.2">
      <c r="I13168" s="1125"/>
      <c r="J13168" s="1125"/>
    </row>
    <row r="13169" spans="9:10" x14ac:dyDescent="0.2">
      <c r="I13169" s="1125"/>
      <c r="J13169" s="1125"/>
    </row>
    <row r="13170" spans="9:10" x14ac:dyDescent="0.2">
      <c r="I13170" s="1125"/>
      <c r="J13170" s="1125"/>
    </row>
    <row r="13171" spans="9:10" x14ac:dyDescent="0.2">
      <c r="I13171" s="1125"/>
      <c r="J13171" s="1125"/>
    </row>
    <row r="13172" spans="9:10" x14ac:dyDescent="0.2">
      <c r="I13172" s="1125"/>
      <c r="J13172" s="1125"/>
    </row>
    <row r="13173" spans="9:10" x14ac:dyDescent="0.2">
      <c r="I13173" s="1125"/>
      <c r="J13173" s="1125"/>
    </row>
    <row r="13174" spans="9:10" x14ac:dyDescent="0.2">
      <c r="I13174" s="1125"/>
      <c r="J13174" s="1125"/>
    </row>
    <row r="13175" spans="9:10" x14ac:dyDescent="0.2">
      <c r="I13175" s="1125"/>
      <c r="J13175" s="1125"/>
    </row>
    <row r="13176" spans="9:10" x14ac:dyDescent="0.2">
      <c r="I13176" s="1125"/>
      <c r="J13176" s="1125"/>
    </row>
    <row r="13177" spans="9:10" x14ac:dyDescent="0.2">
      <c r="I13177" s="1125"/>
      <c r="J13177" s="1125"/>
    </row>
    <row r="13178" spans="9:10" x14ac:dyDescent="0.2">
      <c r="I13178" s="1125"/>
      <c r="J13178" s="1125"/>
    </row>
    <row r="13179" spans="9:10" x14ac:dyDescent="0.2">
      <c r="I13179" s="1125"/>
      <c r="J13179" s="1125"/>
    </row>
    <row r="13180" spans="9:10" x14ac:dyDescent="0.2">
      <c r="I13180" s="1125"/>
      <c r="J13180" s="1125"/>
    </row>
    <row r="13181" spans="9:10" x14ac:dyDescent="0.2">
      <c r="I13181" s="1125"/>
      <c r="J13181" s="1125"/>
    </row>
    <row r="13182" spans="9:10" x14ac:dyDescent="0.2">
      <c r="I13182" s="1125"/>
      <c r="J13182" s="1125"/>
    </row>
    <row r="13183" spans="9:10" x14ac:dyDescent="0.2">
      <c r="I13183" s="1125"/>
      <c r="J13183" s="1125"/>
    </row>
    <row r="13184" spans="9:10" x14ac:dyDescent="0.2">
      <c r="I13184" s="1125"/>
      <c r="J13184" s="1125"/>
    </row>
    <row r="13185" spans="9:10" x14ac:dyDescent="0.2">
      <c r="I13185" s="1125"/>
      <c r="J13185" s="1125"/>
    </row>
    <row r="13186" spans="9:10" x14ac:dyDescent="0.2">
      <c r="I13186" s="1125"/>
      <c r="J13186" s="1125"/>
    </row>
    <row r="13187" spans="9:10" x14ac:dyDescent="0.2">
      <c r="I13187" s="1125"/>
      <c r="J13187" s="1125"/>
    </row>
    <row r="13188" spans="9:10" x14ac:dyDescent="0.2">
      <c r="I13188" s="1125"/>
      <c r="J13188" s="1125"/>
    </row>
    <row r="13189" spans="9:10" x14ac:dyDescent="0.2">
      <c r="I13189" s="1125"/>
      <c r="J13189" s="1125"/>
    </row>
    <row r="13190" spans="9:10" x14ac:dyDescent="0.2">
      <c r="I13190" s="1125"/>
      <c r="J13190" s="1125"/>
    </row>
    <row r="13191" spans="9:10" x14ac:dyDescent="0.2">
      <c r="I13191" s="1125"/>
      <c r="J13191" s="1125"/>
    </row>
    <row r="13192" spans="9:10" x14ac:dyDescent="0.2">
      <c r="I13192" s="1125"/>
      <c r="J13192" s="1125"/>
    </row>
    <row r="13193" spans="9:10" x14ac:dyDescent="0.2">
      <c r="I13193" s="1125"/>
      <c r="J13193" s="1125"/>
    </row>
    <row r="13194" spans="9:10" x14ac:dyDescent="0.2">
      <c r="I13194" s="1125"/>
      <c r="J13194" s="1125"/>
    </row>
    <row r="13195" spans="9:10" x14ac:dyDescent="0.2">
      <c r="I13195" s="1125"/>
      <c r="J13195" s="1125"/>
    </row>
    <row r="13196" spans="9:10" x14ac:dyDescent="0.2">
      <c r="I13196" s="1125"/>
      <c r="J13196" s="1125"/>
    </row>
    <row r="13197" spans="9:10" x14ac:dyDescent="0.2">
      <c r="I13197" s="1125"/>
      <c r="J13197" s="1125"/>
    </row>
    <row r="13198" spans="9:10" x14ac:dyDescent="0.2">
      <c r="I13198" s="1125"/>
      <c r="J13198" s="1125"/>
    </row>
    <row r="13199" spans="9:10" x14ac:dyDescent="0.2">
      <c r="I13199" s="1125"/>
      <c r="J13199" s="1125"/>
    </row>
    <row r="13200" spans="9:10" x14ac:dyDescent="0.2">
      <c r="I13200" s="1125"/>
      <c r="J13200" s="1125"/>
    </row>
    <row r="13201" spans="9:10" x14ac:dyDescent="0.2">
      <c r="I13201" s="1125"/>
      <c r="J13201" s="1125"/>
    </row>
    <row r="13202" spans="9:10" x14ac:dyDescent="0.2">
      <c r="I13202" s="1125"/>
      <c r="J13202" s="1125"/>
    </row>
    <row r="13203" spans="9:10" x14ac:dyDescent="0.2">
      <c r="I13203" s="1125"/>
      <c r="J13203" s="1125"/>
    </row>
    <row r="13204" spans="9:10" x14ac:dyDescent="0.2">
      <c r="I13204" s="1125"/>
      <c r="J13204" s="1125"/>
    </row>
    <row r="13205" spans="9:10" x14ac:dyDescent="0.2">
      <c r="I13205" s="1125"/>
      <c r="J13205" s="1125"/>
    </row>
    <row r="13206" spans="9:10" x14ac:dyDescent="0.2">
      <c r="I13206" s="1125"/>
      <c r="J13206" s="1125"/>
    </row>
    <row r="13207" spans="9:10" x14ac:dyDescent="0.2">
      <c r="I13207" s="1125"/>
      <c r="J13207" s="1125"/>
    </row>
    <row r="13208" spans="9:10" x14ac:dyDescent="0.2">
      <c r="I13208" s="1125"/>
      <c r="J13208" s="1125"/>
    </row>
    <row r="13209" spans="9:10" x14ac:dyDescent="0.2">
      <c r="I13209" s="1125"/>
      <c r="J13209" s="1125"/>
    </row>
    <row r="13210" spans="9:10" x14ac:dyDescent="0.2">
      <c r="I13210" s="1125"/>
      <c r="J13210" s="1125"/>
    </row>
    <row r="13211" spans="9:10" x14ac:dyDescent="0.2">
      <c r="I13211" s="1125"/>
      <c r="J13211" s="1125"/>
    </row>
    <row r="13212" spans="9:10" x14ac:dyDescent="0.2">
      <c r="I13212" s="1125"/>
      <c r="J13212" s="1125"/>
    </row>
    <row r="13213" spans="9:10" x14ac:dyDescent="0.2">
      <c r="I13213" s="1125"/>
      <c r="J13213" s="1125"/>
    </row>
    <row r="13214" spans="9:10" x14ac:dyDescent="0.2">
      <c r="I13214" s="1125"/>
      <c r="J13214" s="1125"/>
    </row>
    <row r="13215" spans="9:10" x14ac:dyDescent="0.2">
      <c r="I13215" s="1125"/>
      <c r="J13215" s="1125"/>
    </row>
    <row r="13216" spans="9:10" x14ac:dyDescent="0.2">
      <c r="I13216" s="1125"/>
      <c r="J13216" s="1125"/>
    </row>
    <row r="13217" spans="9:10" x14ac:dyDescent="0.2">
      <c r="I13217" s="1125"/>
      <c r="J13217" s="1125"/>
    </row>
    <row r="13218" spans="9:10" x14ac:dyDescent="0.2">
      <c r="I13218" s="1125"/>
      <c r="J13218" s="1125"/>
    </row>
    <row r="13219" spans="9:10" x14ac:dyDescent="0.2">
      <c r="I13219" s="1125"/>
      <c r="J13219" s="1125"/>
    </row>
    <row r="13220" spans="9:10" x14ac:dyDescent="0.2">
      <c r="I13220" s="1125"/>
      <c r="J13220" s="1125"/>
    </row>
    <row r="13221" spans="9:10" x14ac:dyDescent="0.2">
      <c r="I13221" s="1125"/>
      <c r="J13221" s="1125"/>
    </row>
    <row r="13222" spans="9:10" x14ac:dyDescent="0.2">
      <c r="I13222" s="1125"/>
      <c r="J13222" s="1125"/>
    </row>
    <row r="13223" spans="9:10" x14ac:dyDescent="0.2">
      <c r="I13223" s="1125"/>
      <c r="J13223" s="1125"/>
    </row>
    <row r="13224" spans="9:10" x14ac:dyDescent="0.2">
      <c r="I13224" s="1125"/>
      <c r="J13224" s="1125"/>
    </row>
    <row r="13225" spans="9:10" x14ac:dyDescent="0.2">
      <c r="I13225" s="1125"/>
      <c r="J13225" s="1125"/>
    </row>
    <row r="13226" spans="9:10" x14ac:dyDescent="0.2">
      <c r="I13226" s="1125"/>
      <c r="J13226" s="1125"/>
    </row>
    <row r="13227" spans="9:10" x14ac:dyDescent="0.2">
      <c r="I13227" s="1125"/>
      <c r="J13227" s="1125"/>
    </row>
    <row r="13228" spans="9:10" x14ac:dyDescent="0.2">
      <c r="I13228" s="1125"/>
      <c r="J13228" s="1125"/>
    </row>
    <row r="13229" spans="9:10" x14ac:dyDescent="0.2">
      <c r="I13229" s="1125"/>
      <c r="J13229" s="1125"/>
    </row>
    <row r="13230" spans="9:10" x14ac:dyDescent="0.2">
      <c r="I13230" s="1125"/>
      <c r="J13230" s="1125"/>
    </row>
    <row r="13231" spans="9:10" x14ac:dyDescent="0.2">
      <c r="I13231" s="1125"/>
      <c r="J13231" s="1125"/>
    </row>
    <row r="13232" spans="9:10" x14ac:dyDescent="0.2">
      <c r="I13232" s="1125"/>
      <c r="J13232" s="1125"/>
    </row>
    <row r="13233" spans="9:10" x14ac:dyDescent="0.2">
      <c r="I13233" s="1125"/>
      <c r="J13233" s="1125"/>
    </row>
    <row r="13234" spans="9:10" x14ac:dyDescent="0.2">
      <c r="I13234" s="1125"/>
      <c r="J13234" s="1125"/>
    </row>
    <row r="13235" spans="9:10" x14ac:dyDescent="0.2">
      <c r="I13235" s="1125"/>
      <c r="J13235" s="1125"/>
    </row>
    <row r="13236" spans="9:10" x14ac:dyDescent="0.2">
      <c r="I13236" s="1125"/>
      <c r="J13236" s="1125"/>
    </row>
    <row r="13237" spans="9:10" x14ac:dyDescent="0.2">
      <c r="I13237" s="1125"/>
      <c r="J13237" s="1125"/>
    </row>
    <row r="13238" spans="9:10" x14ac:dyDescent="0.2">
      <c r="I13238" s="1125"/>
      <c r="J13238" s="1125"/>
    </row>
    <row r="13239" spans="9:10" x14ac:dyDescent="0.2">
      <c r="I13239" s="1125"/>
      <c r="J13239" s="1125"/>
    </row>
    <row r="13240" spans="9:10" x14ac:dyDescent="0.2">
      <c r="I13240" s="1125"/>
      <c r="J13240" s="1125"/>
    </row>
    <row r="13241" spans="9:10" x14ac:dyDescent="0.2">
      <c r="I13241" s="1125"/>
      <c r="J13241" s="1125"/>
    </row>
    <row r="13242" spans="9:10" x14ac:dyDescent="0.2">
      <c r="I13242" s="1125"/>
      <c r="J13242" s="1125"/>
    </row>
    <row r="13243" spans="9:10" x14ac:dyDescent="0.2">
      <c r="I13243" s="1125"/>
      <c r="J13243" s="1125"/>
    </row>
    <row r="13244" spans="9:10" x14ac:dyDescent="0.2">
      <c r="I13244" s="1125"/>
      <c r="J13244" s="1125"/>
    </row>
    <row r="13245" spans="9:10" x14ac:dyDescent="0.2">
      <c r="I13245" s="1125"/>
      <c r="J13245" s="1125"/>
    </row>
    <row r="13246" spans="9:10" x14ac:dyDescent="0.2">
      <c r="I13246" s="1125"/>
      <c r="J13246" s="1125"/>
    </row>
    <row r="13247" spans="9:10" x14ac:dyDescent="0.2">
      <c r="I13247" s="1125"/>
      <c r="J13247" s="1125"/>
    </row>
    <row r="13248" spans="9:10" x14ac:dyDescent="0.2">
      <c r="I13248" s="1125"/>
      <c r="J13248" s="1125"/>
    </row>
    <row r="13249" spans="9:10" x14ac:dyDescent="0.2">
      <c r="I13249" s="1125"/>
      <c r="J13249" s="1125"/>
    </row>
    <row r="13250" spans="9:10" x14ac:dyDescent="0.2">
      <c r="I13250" s="1125"/>
      <c r="J13250" s="1125"/>
    </row>
    <row r="13251" spans="9:10" x14ac:dyDescent="0.2">
      <c r="I13251" s="1125"/>
      <c r="J13251" s="1125"/>
    </row>
    <row r="13252" spans="9:10" x14ac:dyDescent="0.2">
      <c r="I13252" s="1125"/>
      <c r="J13252" s="1125"/>
    </row>
    <row r="13253" spans="9:10" x14ac:dyDescent="0.2">
      <c r="I13253" s="1125"/>
      <c r="J13253" s="1125"/>
    </row>
    <row r="13254" spans="9:10" x14ac:dyDescent="0.2">
      <c r="I13254" s="1125"/>
      <c r="J13254" s="1125"/>
    </row>
    <row r="13255" spans="9:10" x14ac:dyDescent="0.2">
      <c r="I13255" s="1125"/>
      <c r="J13255" s="1125"/>
    </row>
    <row r="13256" spans="9:10" x14ac:dyDescent="0.2">
      <c r="I13256" s="1125"/>
      <c r="J13256" s="1125"/>
    </row>
    <row r="13257" spans="9:10" x14ac:dyDescent="0.2">
      <c r="I13257" s="1125"/>
      <c r="J13257" s="1125"/>
    </row>
    <row r="13258" spans="9:10" x14ac:dyDescent="0.2">
      <c r="I13258" s="1125"/>
      <c r="J13258" s="1125"/>
    </row>
    <row r="13259" spans="9:10" x14ac:dyDescent="0.2">
      <c r="I13259" s="1125"/>
      <c r="J13259" s="1125"/>
    </row>
    <row r="13260" spans="9:10" x14ac:dyDescent="0.2">
      <c r="I13260" s="1125"/>
      <c r="J13260" s="1125"/>
    </row>
    <row r="13261" spans="9:10" x14ac:dyDescent="0.2">
      <c r="I13261" s="1125"/>
      <c r="J13261" s="1125"/>
    </row>
    <row r="13262" spans="9:10" x14ac:dyDescent="0.2">
      <c r="I13262" s="1125"/>
      <c r="J13262" s="1125"/>
    </row>
    <row r="13263" spans="9:10" x14ac:dyDescent="0.2">
      <c r="I13263" s="1125"/>
      <c r="J13263" s="1125"/>
    </row>
    <row r="13264" spans="9:10" x14ac:dyDescent="0.2">
      <c r="I13264" s="1125"/>
      <c r="J13264" s="1125"/>
    </row>
    <row r="13265" spans="9:10" x14ac:dyDescent="0.2">
      <c r="I13265" s="1125"/>
      <c r="J13265" s="1125"/>
    </row>
    <row r="13266" spans="9:10" x14ac:dyDescent="0.2">
      <c r="I13266" s="1125"/>
      <c r="J13266" s="1125"/>
    </row>
    <row r="13267" spans="9:10" x14ac:dyDescent="0.2">
      <c r="I13267" s="1125"/>
      <c r="J13267" s="1125"/>
    </row>
    <row r="13268" spans="9:10" x14ac:dyDescent="0.2">
      <c r="I13268" s="1125"/>
      <c r="J13268" s="1125"/>
    </row>
    <row r="13269" spans="9:10" x14ac:dyDescent="0.2">
      <c r="I13269" s="1125"/>
      <c r="J13269" s="1125"/>
    </row>
    <row r="13270" spans="9:10" x14ac:dyDescent="0.2">
      <c r="I13270" s="1125"/>
      <c r="J13270" s="1125"/>
    </row>
    <row r="13271" spans="9:10" x14ac:dyDescent="0.2">
      <c r="I13271" s="1125"/>
      <c r="J13271" s="1125"/>
    </row>
    <row r="13272" spans="9:10" x14ac:dyDescent="0.2">
      <c r="I13272" s="1125"/>
      <c r="J13272" s="1125"/>
    </row>
    <row r="13273" spans="9:10" x14ac:dyDescent="0.2">
      <c r="I13273" s="1125"/>
      <c r="J13273" s="1125"/>
    </row>
    <row r="13274" spans="9:10" x14ac:dyDescent="0.2">
      <c r="I13274" s="1125"/>
      <c r="J13274" s="1125"/>
    </row>
    <row r="13275" spans="9:10" x14ac:dyDescent="0.2">
      <c r="I13275" s="1125"/>
      <c r="J13275" s="1125"/>
    </row>
    <row r="13276" spans="9:10" x14ac:dyDescent="0.2">
      <c r="I13276" s="1125"/>
      <c r="J13276" s="1125"/>
    </row>
    <row r="13277" spans="9:10" x14ac:dyDescent="0.2">
      <c r="I13277" s="1125"/>
      <c r="J13277" s="1125"/>
    </row>
    <row r="13278" spans="9:10" x14ac:dyDescent="0.2">
      <c r="I13278" s="1125"/>
      <c r="J13278" s="1125"/>
    </row>
    <row r="13279" spans="9:10" x14ac:dyDescent="0.2">
      <c r="I13279" s="1125"/>
      <c r="J13279" s="1125"/>
    </row>
    <row r="13280" spans="9:10" x14ac:dyDescent="0.2">
      <c r="I13280" s="1125"/>
      <c r="J13280" s="1125"/>
    </row>
    <row r="13281" spans="9:10" x14ac:dyDescent="0.2">
      <c r="I13281" s="1125"/>
      <c r="J13281" s="1125"/>
    </row>
    <row r="13282" spans="9:10" x14ac:dyDescent="0.2">
      <c r="I13282" s="1125"/>
      <c r="J13282" s="1125"/>
    </row>
    <row r="13283" spans="9:10" x14ac:dyDescent="0.2">
      <c r="I13283" s="1125"/>
      <c r="J13283" s="1125"/>
    </row>
    <row r="13284" spans="9:10" x14ac:dyDescent="0.2">
      <c r="I13284" s="1125"/>
      <c r="J13284" s="1125"/>
    </row>
    <row r="13285" spans="9:10" x14ac:dyDescent="0.2">
      <c r="I13285" s="1125"/>
      <c r="J13285" s="1125"/>
    </row>
    <row r="13286" spans="9:10" x14ac:dyDescent="0.2">
      <c r="I13286" s="1125"/>
      <c r="J13286" s="1125"/>
    </row>
    <row r="13287" spans="9:10" x14ac:dyDescent="0.2">
      <c r="I13287" s="1125"/>
      <c r="J13287" s="1125"/>
    </row>
    <row r="13288" spans="9:10" x14ac:dyDescent="0.2">
      <c r="I13288" s="1125"/>
      <c r="J13288" s="1125"/>
    </row>
    <row r="13289" spans="9:10" x14ac:dyDescent="0.2">
      <c r="I13289" s="1125"/>
      <c r="J13289" s="1125"/>
    </row>
    <row r="13290" spans="9:10" x14ac:dyDescent="0.2">
      <c r="I13290" s="1125"/>
      <c r="J13290" s="1125"/>
    </row>
    <row r="13291" spans="9:10" x14ac:dyDescent="0.2">
      <c r="I13291" s="1125"/>
      <c r="J13291" s="1125"/>
    </row>
    <row r="13292" spans="9:10" x14ac:dyDescent="0.2">
      <c r="I13292" s="1125"/>
      <c r="J13292" s="1125"/>
    </row>
    <row r="13293" spans="9:10" x14ac:dyDescent="0.2">
      <c r="I13293" s="1125"/>
      <c r="J13293" s="1125"/>
    </row>
    <row r="13294" spans="9:10" x14ac:dyDescent="0.2">
      <c r="I13294" s="1125"/>
      <c r="J13294" s="1125"/>
    </row>
    <row r="13295" spans="9:10" x14ac:dyDescent="0.2">
      <c r="I13295" s="1125"/>
      <c r="J13295" s="1125"/>
    </row>
    <row r="13296" spans="9:10" x14ac:dyDescent="0.2">
      <c r="I13296" s="1125"/>
      <c r="J13296" s="1125"/>
    </row>
    <row r="13297" spans="9:10" x14ac:dyDescent="0.2">
      <c r="I13297" s="1125"/>
      <c r="J13297" s="1125"/>
    </row>
    <row r="13298" spans="9:10" x14ac:dyDescent="0.2">
      <c r="I13298" s="1125"/>
      <c r="J13298" s="1125"/>
    </row>
    <row r="13299" spans="9:10" x14ac:dyDescent="0.2">
      <c r="I13299" s="1125"/>
      <c r="J13299" s="1125"/>
    </row>
    <row r="13300" spans="9:10" x14ac:dyDescent="0.2">
      <c r="I13300" s="1125"/>
      <c r="J13300" s="1125"/>
    </row>
    <row r="13301" spans="9:10" x14ac:dyDescent="0.2">
      <c r="I13301" s="1125"/>
      <c r="J13301" s="1125"/>
    </row>
    <row r="13302" spans="9:10" x14ac:dyDescent="0.2">
      <c r="I13302" s="1125"/>
      <c r="J13302" s="1125"/>
    </row>
    <row r="13303" spans="9:10" x14ac:dyDescent="0.2">
      <c r="I13303" s="1125"/>
      <c r="J13303" s="1125"/>
    </row>
    <row r="13304" spans="9:10" x14ac:dyDescent="0.2">
      <c r="I13304" s="1125"/>
      <c r="J13304" s="1125"/>
    </row>
    <row r="13305" spans="9:10" x14ac:dyDescent="0.2">
      <c r="I13305" s="1125"/>
      <c r="J13305" s="1125"/>
    </row>
    <row r="13306" spans="9:10" x14ac:dyDescent="0.2">
      <c r="I13306" s="1125"/>
      <c r="J13306" s="1125"/>
    </row>
    <row r="13307" spans="9:10" x14ac:dyDescent="0.2">
      <c r="I13307" s="1125"/>
      <c r="J13307" s="1125"/>
    </row>
    <row r="13308" spans="9:10" x14ac:dyDescent="0.2">
      <c r="I13308" s="1125"/>
      <c r="J13308" s="1125"/>
    </row>
    <row r="13309" spans="9:10" x14ac:dyDescent="0.2">
      <c r="I13309" s="1125"/>
      <c r="J13309" s="1125"/>
    </row>
    <row r="13310" spans="9:10" x14ac:dyDescent="0.2">
      <c r="I13310" s="1125"/>
      <c r="J13310" s="1125"/>
    </row>
    <row r="13311" spans="9:10" x14ac:dyDescent="0.2">
      <c r="I13311" s="1125"/>
      <c r="J13311" s="1125"/>
    </row>
    <row r="13312" spans="9:10" x14ac:dyDescent="0.2">
      <c r="I13312" s="1125"/>
      <c r="J13312" s="1125"/>
    </row>
    <row r="13313" spans="9:10" x14ac:dyDescent="0.2">
      <c r="I13313" s="1125"/>
      <c r="J13313" s="1125"/>
    </row>
    <row r="13314" spans="9:10" x14ac:dyDescent="0.2">
      <c r="I13314" s="1125"/>
      <c r="J13314" s="1125"/>
    </row>
    <row r="13315" spans="9:10" x14ac:dyDescent="0.2">
      <c r="I13315" s="1125"/>
      <c r="J13315" s="1125"/>
    </row>
    <row r="13316" spans="9:10" x14ac:dyDescent="0.2">
      <c r="I13316" s="1125"/>
      <c r="J13316" s="1125"/>
    </row>
    <row r="13317" spans="9:10" x14ac:dyDescent="0.2">
      <c r="I13317" s="1125"/>
      <c r="J13317" s="1125"/>
    </row>
    <row r="13318" spans="9:10" x14ac:dyDescent="0.2">
      <c r="I13318" s="1125"/>
      <c r="J13318" s="1125"/>
    </row>
    <row r="13319" spans="9:10" x14ac:dyDescent="0.2">
      <c r="I13319" s="1125"/>
      <c r="J13319" s="1125"/>
    </row>
    <row r="13320" spans="9:10" x14ac:dyDescent="0.2">
      <c r="I13320" s="1125"/>
      <c r="J13320" s="1125"/>
    </row>
    <row r="13321" spans="9:10" x14ac:dyDescent="0.2">
      <c r="I13321" s="1125"/>
      <c r="J13321" s="1125"/>
    </row>
    <row r="13322" spans="9:10" x14ac:dyDescent="0.2">
      <c r="I13322" s="1125"/>
      <c r="J13322" s="1125"/>
    </row>
    <row r="13323" spans="9:10" x14ac:dyDescent="0.2">
      <c r="I13323" s="1125"/>
      <c r="J13323" s="1125"/>
    </row>
    <row r="13324" spans="9:10" x14ac:dyDescent="0.2">
      <c r="I13324" s="1125"/>
      <c r="J13324" s="1125"/>
    </row>
    <row r="13325" spans="9:10" x14ac:dyDescent="0.2">
      <c r="I13325" s="1125"/>
      <c r="J13325" s="1125"/>
    </row>
    <row r="13326" spans="9:10" x14ac:dyDescent="0.2">
      <c r="I13326" s="1125"/>
      <c r="J13326" s="1125"/>
    </row>
    <row r="13327" spans="9:10" x14ac:dyDescent="0.2">
      <c r="I13327" s="1125"/>
      <c r="J13327" s="1125"/>
    </row>
    <row r="13328" spans="9:10" x14ac:dyDescent="0.2">
      <c r="I13328" s="1125"/>
      <c r="J13328" s="1125"/>
    </row>
    <row r="13329" spans="9:10" x14ac:dyDescent="0.2">
      <c r="I13329" s="1125"/>
      <c r="J13329" s="1125"/>
    </row>
    <row r="13330" spans="9:10" x14ac:dyDescent="0.2">
      <c r="I13330" s="1125"/>
      <c r="J13330" s="1125"/>
    </row>
    <row r="13331" spans="9:10" x14ac:dyDescent="0.2">
      <c r="I13331" s="1125"/>
      <c r="J13331" s="1125"/>
    </row>
    <row r="13332" spans="9:10" x14ac:dyDescent="0.2">
      <c r="I13332" s="1125"/>
      <c r="J13332" s="1125"/>
    </row>
    <row r="13333" spans="9:10" x14ac:dyDescent="0.2">
      <c r="I13333" s="1125"/>
      <c r="J13333" s="1125"/>
    </row>
    <row r="13334" spans="9:10" x14ac:dyDescent="0.2">
      <c r="I13334" s="1125"/>
      <c r="J13334" s="1125"/>
    </row>
    <row r="13335" spans="9:10" x14ac:dyDescent="0.2">
      <c r="I13335" s="1125"/>
      <c r="J13335" s="1125"/>
    </row>
    <row r="13336" spans="9:10" x14ac:dyDescent="0.2">
      <c r="I13336" s="1125"/>
      <c r="J13336" s="1125"/>
    </row>
    <row r="13337" spans="9:10" x14ac:dyDescent="0.2">
      <c r="I13337" s="1125"/>
      <c r="J13337" s="1125"/>
    </row>
    <row r="13338" spans="9:10" x14ac:dyDescent="0.2">
      <c r="I13338" s="1125"/>
      <c r="J13338" s="1125"/>
    </row>
    <row r="13339" spans="9:10" x14ac:dyDescent="0.2">
      <c r="I13339" s="1125"/>
      <c r="J13339" s="1125"/>
    </row>
    <row r="13340" spans="9:10" x14ac:dyDescent="0.2">
      <c r="I13340" s="1125"/>
      <c r="J13340" s="1125"/>
    </row>
    <row r="13341" spans="9:10" x14ac:dyDescent="0.2">
      <c r="I13341" s="1125"/>
      <c r="J13341" s="1125"/>
    </row>
    <row r="13342" spans="9:10" x14ac:dyDescent="0.2">
      <c r="I13342" s="1125"/>
      <c r="J13342" s="1125"/>
    </row>
    <row r="13343" spans="9:10" x14ac:dyDescent="0.2">
      <c r="I13343" s="1125"/>
      <c r="J13343" s="1125"/>
    </row>
    <row r="13344" spans="9:10" x14ac:dyDescent="0.2">
      <c r="I13344" s="1125"/>
      <c r="J13344" s="1125"/>
    </row>
    <row r="13345" spans="9:10" x14ac:dyDescent="0.2">
      <c r="I13345" s="1125"/>
      <c r="J13345" s="1125"/>
    </row>
    <row r="13346" spans="9:10" x14ac:dyDescent="0.2">
      <c r="I13346" s="1125"/>
      <c r="J13346" s="1125"/>
    </row>
    <row r="13347" spans="9:10" x14ac:dyDescent="0.2">
      <c r="I13347" s="1125"/>
      <c r="J13347" s="1125"/>
    </row>
    <row r="13348" spans="9:10" x14ac:dyDescent="0.2">
      <c r="I13348" s="1125"/>
      <c r="J13348" s="1125"/>
    </row>
    <row r="13349" spans="9:10" x14ac:dyDescent="0.2">
      <c r="I13349" s="1125"/>
      <c r="J13349" s="1125"/>
    </row>
    <row r="13350" spans="9:10" x14ac:dyDescent="0.2">
      <c r="I13350" s="1125"/>
      <c r="J13350" s="1125"/>
    </row>
    <row r="13351" spans="9:10" x14ac:dyDescent="0.2">
      <c r="I13351" s="1125"/>
      <c r="J13351" s="1125"/>
    </row>
    <row r="13352" spans="9:10" x14ac:dyDescent="0.2">
      <c r="I13352" s="1125"/>
      <c r="J13352" s="1125"/>
    </row>
    <row r="13353" spans="9:10" x14ac:dyDescent="0.2">
      <c r="I13353" s="1125"/>
      <c r="J13353" s="1125"/>
    </row>
    <row r="13354" spans="9:10" x14ac:dyDescent="0.2">
      <c r="I13354" s="1125"/>
      <c r="J13354" s="1125"/>
    </row>
    <row r="13355" spans="9:10" x14ac:dyDescent="0.2">
      <c r="I13355" s="1125"/>
      <c r="J13355" s="1125"/>
    </row>
    <row r="13356" spans="9:10" x14ac:dyDescent="0.2">
      <c r="I13356" s="1125"/>
      <c r="J13356" s="1125"/>
    </row>
    <row r="13357" spans="9:10" x14ac:dyDescent="0.2">
      <c r="I13357" s="1125"/>
      <c r="J13357" s="1125"/>
    </row>
    <row r="13358" spans="9:10" x14ac:dyDescent="0.2">
      <c r="I13358" s="1125"/>
      <c r="J13358" s="1125"/>
    </row>
    <row r="13359" spans="9:10" x14ac:dyDescent="0.2">
      <c r="I13359" s="1125"/>
      <c r="J13359" s="1125"/>
    </row>
    <row r="13360" spans="9:10" x14ac:dyDescent="0.2">
      <c r="I13360" s="1125"/>
      <c r="J13360" s="1125"/>
    </row>
    <row r="13361" spans="9:10" x14ac:dyDescent="0.2">
      <c r="I13361" s="1125"/>
      <c r="J13361" s="1125"/>
    </row>
    <row r="13362" spans="9:10" x14ac:dyDescent="0.2">
      <c r="I13362" s="1125"/>
      <c r="J13362" s="1125"/>
    </row>
    <row r="13363" spans="9:10" x14ac:dyDescent="0.2">
      <c r="I13363" s="1125"/>
      <c r="J13363" s="1125"/>
    </row>
    <row r="13364" spans="9:10" x14ac:dyDescent="0.2">
      <c r="I13364" s="1125"/>
      <c r="J13364" s="1125"/>
    </row>
    <row r="13365" spans="9:10" x14ac:dyDescent="0.2">
      <c r="I13365" s="1125"/>
      <c r="J13365" s="1125"/>
    </row>
    <row r="13366" spans="9:10" x14ac:dyDescent="0.2">
      <c r="I13366" s="1125"/>
      <c r="J13366" s="1125"/>
    </row>
    <row r="13367" spans="9:10" x14ac:dyDescent="0.2">
      <c r="I13367" s="1125"/>
      <c r="J13367" s="1125"/>
    </row>
    <row r="13368" spans="9:10" x14ac:dyDescent="0.2">
      <c r="I13368" s="1125"/>
      <c r="J13368" s="1125"/>
    </row>
    <row r="13369" spans="9:10" x14ac:dyDescent="0.2">
      <c r="I13369" s="1125"/>
      <c r="J13369" s="1125"/>
    </row>
    <row r="13370" spans="9:10" x14ac:dyDescent="0.2">
      <c r="I13370" s="1125"/>
      <c r="J13370" s="1125"/>
    </row>
    <row r="13371" spans="9:10" x14ac:dyDescent="0.2">
      <c r="I13371" s="1125"/>
      <c r="J13371" s="1125"/>
    </row>
    <row r="13372" spans="9:10" x14ac:dyDescent="0.2">
      <c r="I13372" s="1125"/>
      <c r="J13372" s="1125"/>
    </row>
    <row r="13373" spans="9:10" x14ac:dyDescent="0.2">
      <c r="I13373" s="1125"/>
      <c r="J13373" s="1125"/>
    </row>
    <row r="13374" spans="9:10" x14ac:dyDescent="0.2">
      <c r="I13374" s="1125"/>
      <c r="J13374" s="1125"/>
    </row>
    <row r="13375" spans="9:10" x14ac:dyDescent="0.2">
      <c r="I13375" s="1125"/>
      <c r="J13375" s="1125"/>
    </row>
    <row r="13376" spans="9:10" x14ac:dyDescent="0.2">
      <c r="I13376" s="1125"/>
      <c r="J13376" s="1125"/>
    </row>
    <row r="13377" spans="9:10" x14ac:dyDescent="0.2">
      <c r="I13377" s="1125"/>
      <c r="J13377" s="1125"/>
    </row>
    <row r="13378" spans="9:10" x14ac:dyDescent="0.2">
      <c r="I13378" s="1125"/>
      <c r="J13378" s="1125"/>
    </row>
    <row r="13379" spans="9:10" x14ac:dyDescent="0.2">
      <c r="I13379" s="1125"/>
      <c r="J13379" s="1125"/>
    </row>
    <row r="13380" spans="9:10" x14ac:dyDescent="0.2">
      <c r="I13380" s="1125"/>
      <c r="J13380" s="1125"/>
    </row>
    <row r="13381" spans="9:10" x14ac:dyDescent="0.2">
      <c r="I13381" s="1125"/>
      <c r="J13381" s="1125"/>
    </row>
    <row r="13382" spans="9:10" x14ac:dyDescent="0.2">
      <c r="I13382" s="1125"/>
      <c r="J13382" s="1125"/>
    </row>
    <row r="13383" spans="9:10" x14ac:dyDescent="0.2">
      <c r="I13383" s="1125"/>
      <c r="J13383" s="1125"/>
    </row>
    <row r="13384" spans="9:10" x14ac:dyDescent="0.2">
      <c r="I13384" s="1125"/>
      <c r="J13384" s="1125"/>
    </row>
    <row r="13385" spans="9:10" x14ac:dyDescent="0.2">
      <c r="I13385" s="1125"/>
      <c r="J13385" s="1125"/>
    </row>
    <row r="13386" spans="9:10" x14ac:dyDescent="0.2">
      <c r="I13386" s="1125"/>
      <c r="J13386" s="1125"/>
    </row>
    <row r="13387" spans="9:10" x14ac:dyDescent="0.2">
      <c r="I13387" s="1125"/>
      <c r="J13387" s="1125"/>
    </row>
    <row r="13388" spans="9:10" x14ac:dyDescent="0.2">
      <c r="I13388" s="1125"/>
      <c r="J13388" s="1125"/>
    </row>
    <row r="13389" spans="9:10" x14ac:dyDescent="0.2">
      <c r="I13389" s="1125"/>
      <c r="J13389" s="1125"/>
    </row>
    <row r="13390" spans="9:10" x14ac:dyDescent="0.2">
      <c r="I13390" s="1125"/>
      <c r="J13390" s="1125"/>
    </row>
    <row r="13391" spans="9:10" x14ac:dyDescent="0.2">
      <c r="I13391" s="1125"/>
      <c r="J13391" s="1125"/>
    </row>
    <row r="13392" spans="9:10" x14ac:dyDescent="0.2">
      <c r="I13392" s="1125"/>
      <c r="J13392" s="1125"/>
    </row>
    <row r="13393" spans="9:10" x14ac:dyDescent="0.2">
      <c r="I13393" s="1125"/>
      <c r="J13393" s="1125"/>
    </row>
    <row r="13394" spans="9:10" x14ac:dyDescent="0.2">
      <c r="I13394" s="1125"/>
      <c r="J13394" s="1125"/>
    </row>
    <row r="13395" spans="9:10" x14ac:dyDescent="0.2">
      <c r="I13395" s="1125"/>
      <c r="J13395" s="1125"/>
    </row>
    <row r="13396" spans="9:10" x14ac:dyDescent="0.2">
      <c r="I13396" s="1125"/>
      <c r="J13396" s="1125"/>
    </row>
    <row r="13397" spans="9:10" x14ac:dyDescent="0.2">
      <c r="I13397" s="1125"/>
      <c r="J13397" s="1125"/>
    </row>
    <row r="13398" spans="9:10" x14ac:dyDescent="0.2">
      <c r="I13398" s="1125"/>
      <c r="J13398" s="1125"/>
    </row>
    <row r="13399" spans="9:10" x14ac:dyDescent="0.2">
      <c r="I13399" s="1125"/>
      <c r="J13399" s="1125"/>
    </row>
    <row r="13400" spans="9:10" x14ac:dyDescent="0.2">
      <c r="I13400" s="1125"/>
      <c r="J13400" s="1125"/>
    </row>
    <row r="13401" spans="9:10" x14ac:dyDescent="0.2">
      <c r="I13401" s="1125"/>
      <c r="J13401" s="1125"/>
    </row>
    <row r="13402" spans="9:10" x14ac:dyDescent="0.2">
      <c r="I13402" s="1125"/>
      <c r="J13402" s="1125"/>
    </row>
    <row r="13403" spans="9:10" x14ac:dyDescent="0.2">
      <c r="I13403" s="1125"/>
      <c r="J13403" s="1125"/>
    </row>
    <row r="13404" spans="9:10" x14ac:dyDescent="0.2">
      <c r="I13404" s="1125"/>
      <c r="J13404" s="1125"/>
    </row>
    <row r="13405" spans="9:10" x14ac:dyDescent="0.2">
      <c r="I13405" s="1125"/>
      <c r="J13405" s="1125"/>
    </row>
    <row r="13406" spans="9:10" x14ac:dyDescent="0.2">
      <c r="I13406" s="1125"/>
      <c r="J13406" s="1125"/>
    </row>
    <row r="13407" spans="9:10" x14ac:dyDescent="0.2">
      <c r="I13407" s="1125"/>
      <c r="J13407" s="1125"/>
    </row>
    <row r="13408" spans="9:10" x14ac:dyDescent="0.2">
      <c r="I13408" s="1125"/>
      <c r="J13408" s="1125"/>
    </row>
    <row r="13409" spans="9:10" x14ac:dyDescent="0.2">
      <c r="I13409" s="1125"/>
      <c r="J13409" s="1125"/>
    </row>
    <row r="13410" spans="9:10" x14ac:dyDescent="0.2">
      <c r="I13410" s="1125"/>
      <c r="J13410" s="1125"/>
    </row>
    <row r="13411" spans="9:10" x14ac:dyDescent="0.2">
      <c r="I13411" s="1125"/>
      <c r="J13411" s="1125"/>
    </row>
    <row r="13412" spans="9:10" x14ac:dyDescent="0.2">
      <c r="I13412" s="1125"/>
      <c r="J13412" s="1125"/>
    </row>
    <row r="13413" spans="9:10" x14ac:dyDescent="0.2">
      <c r="I13413" s="1125"/>
      <c r="J13413" s="1125"/>
    </row>
    <row r="13414" spans="9:10" x14ac:dyDescent="0.2">
      <c r="I13414" s="1125"/>
      <c r="J13414" s="1125"/>
    </row>
    <row r="13415" spans="9:10" x14ac:dyDescent="0.2">
      <c r="I13415" s="1125"/>
      <c r="J13415" s="1125"/>
    </row>
    <row r="13416" spans="9:10" x14ac:dyDescent="0.2">
      <c r="I13416" s="1125"/>
      <c r="J13416" s="1125"/>
    </row>
    <row r="13417" spans="9:10" x14ac:dyDescent="0.2">
      <c r="I13417" s="1125"/>
      <c r="J13417" s="1125"/>
    </row>
    <row r="13418" spans="9:10" x14ac:dyDescent="0.2">
      <c r="I13418" s="1125"/>
      <c r="J13418" s="1125"/>
    </row>
    <row r="13419" spans="9:10" x14ac:dyDescent="0.2">
      <c r="I13419" s="1125"/>
      <c r="J13419" s="1125"/>
    </row>
    <row r="13420" spans="9:10" x14ac:dyDescent="0.2">
      <c r="I13420" s="1125"/>
      <c r="J13420" s="1125"/>
    </row>
    <row r="13421" spans="9:10" x14ac:dyDescent="0.2">
      <c r="I13421" s="1125"/>
      <c r="J13421" s="1125"/>
    </row>
    <row r="13422" spans="9:10" x14ac:dyDescent="0.2">
      <c r="I13422" s="1125"/>
      <c r="J13422" s="1125"/>
    </row>
    <row r="13423" spans="9:10" x14ac:dyDescent="0.2">
      <c r="I13423" s="1125"/>
      <c r="J13423" s="1125"/>
    </row>
    <row r="13424" spans="9:10" x14ac:dyDescent="0.2">
      <c r="I13424" s="1125"/>
      <c r="J13424" s="1125"/>
    </row>
    <row r="13425" spans="9:10" x14ac:dyDescent="0.2">
      <c r="I13425" s="1125"/>
      <c r="J13425" s="1125"/>
    </row>
    <row r="13426" spans="9:10" x14ac:dyDescent="0.2">
      <c r="I13426" s="1125"/>
      <c r="J13426" s="1125"/>
    </row>
    <row r="13427" spans="9:10" x14ac:dyDescent="0.2">
      <c r="I13427" s="1125"/>
      <c r="J13427" s="1125"/>
    </row>
    <row r="13428" spans="9:10" x14ac:dyDescent="0.2">
      <c r="I13428" s="1125"/>
      <c r="J13428" s="1125"/>
    </row>
    <row r="13429" spans="9:10" x14ac:dyDescent="0.2">
      <c r="I13429" s="1125"/>
      <c r="J13429" s="1125"/>
    </row>
    <row r="13430" spans="9:10" x14ac:dyDescent="0.2">
      <c r="I13430" s="1125"/>
      <c r="J13430" s="1125"/>
    </row>
    <row r="13431" spans="9:10" x14ac:dyDescent="0.2">
      <c r="I13431" s="1125"/>
      <c r="J13431" s="1125"/>
    </row>
    <row r="13432" spans="9:10" x14ac:dyDescent="0.2">
      <c r="I13432" s="1125"/>
      <c r="J13432" s="1125"/>
    </row>
    <row r="13433" spans="9:10" x14ac:dyDescent="0.2">
      <c r="I13433" s="1125"/>
      <c r="J13433" s="1125"/>
    </row>
    <row r="13434" spans="9:10" x14ac:dyDescent="0.2">
      <c r="I13434" s="1125"/>
      <c r="J13434" s="1125"/>
    </row>
    <row r="13435" spans="9:10" x14ac:dyDescent="0.2">
      <c r="I13435" s="1125"/>
      <c r="J13435" s="1125"/>
    </row>
    <row r="13436" spans="9:10" x14ac:dyDescent="0.2">
      <c r="I13436" s="1125"/>
      <c r="J13436" s="1125"/>
    </row>
    <row r="13437" spans="9:10" x14ac:dyDescent="0.2">
      <c r="I13437" s="1125"/>
      <c r="J13437" s="1125"/>
    </row>
    <row r="13438" spans="9:10" x14ac:dyDescent="0.2">
      <c r="I13438" s="1125"/>
      <c r="J13438" s="1125"/>
    </row>
    <row r="13439" spans="9:10" x14ac:dyDescent="0.2">
      <c r="I13439" s="1125"/>
      <c r="J13439" s="1125"/>
    </row>
    <row r="13440" spans="9:10" x14ac:dyDescent="0.2">
      <c r="I13440" s="1125"/>
      <c r="J13440" s="1125"/>
    </row>
    <row r="13441" spans="9:10" x14ac:dyDescent="0.2">
      <c r="I13441" s="1125"/>
      <c r="J13441" s="1125"/>
    </row>
    <row r="13442" spans="9:10" x14ac:dyDescent="0.2">
      <c r="I13442" s="1125"/>
      <c r="J13442" s="1125"/>
    </row>
    <row r="13443" spans="9:10" x14ac:dyDescent="0.2">
      <c r="I13443" s="1125"/>
      <c r="J13443" s="1125"/>
    </row>
    <row r="13444" spans="9:10" x14ac:dyDescent="0.2">
      <c r="I13444" s="1125"/>
      <c r="J13444" s="1125"/>
    </row>
    <row r="13445" spans="9:10" x14ac:dyDescent="0.2">
      <c r="I13445" s="1125"/>
      <c r="J13445" s="1125"/>
    </row>
    <row r="13446" spans="9:10" x14ac:dyDescent="0.2">
      <c r="I13446" s="1125"/>
      <c r="J13446" s="1125"/>
    </row>
    <row r="13447" spans="9:10" x14ac:dyDescent="0.2">
      <c r="I13447" s="1125"/>
      <c r="J13447" s="1125"/>
    </row>
    <row r="13448" spans="9:10" x14ac:dyDescent="0.2">
      <c r="I13448" s="1125"/>
      <c r="J13448" s="1125"/>
    </row>
    <row r="13449" spans="9:10" x14ac:dyDescent="0.2">
      <c r="I13449" s="1125"/>
      <c r="J13449" s="1125"/>
    </row>
    <row r="13450" spans="9:10" x14ac:dyDescent="0.2">
      <c r="I13450" s="1125"/>
      <c r="J13450" s="1125"/>
    </row>
    <row r="13451" spans="9:10" x14ac:dyDescent="0.2">
      <c r="I13451" s="1125"/>
      <c r="J13451" s="1125"/>
    </row>
    <row r="13452" spans="9:10" x14ac:dyDescent="0.2">
      <c r="I13452" s="1125"/>
      <c r="J13452" s="1125"/>
    </row>
    <row r="13453" spans="9:10" x14ac:dyDescent="0.2">
      <c r="I13453" s="1125"/>
      <c r="J13453" s="1125"/>
    </row>
    <row r="13454" spans="9:10" x14ac:dyDescent="0.2">
      <c r="I13454" s="1125"/>
      <c r="J13454" s="1125"/>
    </row>
    <row r="13455" spans="9:10" x14ac:dyDescent="0.2">
      <c r="I13455" s="1125"/>
      <c r="J13455" s="1125"/>
    </row>
    <row r="13456" spans="9:10" x14ac:dyDescent="0.2">
      <c r="I13456" s="1125"/>
      <c r="J13456" s="1125"/>
    </row>
    <row r="13457" spans="9:10" x14ac:dyDescent="0.2">
      <c r="I13457" s="1125"/>
      <c r="J13457" s="1125"/>
    </row>
    <row r="13458" spans="9:10" x14ac:dyDescent="0.2">
      <c r="I13458" s="1125"/>
      <c r="J13458" s="1125"/>
    </row>
    <row r="13459" spans="9:10" x14ac:dyDescent="0.2">
      <c r="I13459" s="1125"/>
      <c r="J13459" s="1125"/>
    </row>
    <row r="13460" spans="9:10" x14ac:dyDescent="0.2">
      <c r="I13460" s="1125"/>
      <c r="J13460" s="1125"/>
    </row>
    <row r="13461" spans="9:10" x14ac:dyDescent="0.2">
      <c r="I13461" s="1125"/>
      <c r="J13461" s="1125"/>
    </row>
    <row r="13462" spans="9:10" x14ac:dyDescent="0.2">
      <c r="I13462" s="1125"/>
      <c r="J13462" s="1125"/>
    </row>
    <row r="13463" spans="9:10" x14ac:dyDescent="0.2">
      <c r="I13463" s="1125"/>
      <c r="J13463" s="1125"/>
    </row>
    <row r="13464" spans="9:10" x14ac:dyDescent="0.2">
      <c r="I13464" s="1125"/>
      <c r="J13464" s="1125"/>
    </row>
    <row r="13465" spans="9:10" x14ac:dyDescent="0.2">
      <c r="I13465" s="1125"/>
      <c r="J13465" s="1125"/>
    </row>
    <row r="13466" spans="9:10" x14ac:dyDescent="0.2">
      <c r="I13466" s="1125"/>
      <c r="J13466" s="1125"/>
    </row>
    <row r="13467" spans="9:10" x14ac:dyDescent="0.2">
      <c r="I13467" s="1125"/>
      <c r="J13467" s="1125"/>
    </row>
    <row r="13468" spans="9:10" x14ac:dyDescent="0.2">
      <c r="I13468" s="1125"/>
      <c r="J13468" s="1125"/>
    </row>
    <row r="13469" spans="9:10" x14ac:dyDescent="0.2">
      <c r="I13469" s="1125"/>
      <c r="J13469" s="1125"/>
    </row>
    <row r="13470" spans="9:10" x14ac:dyDescent="0.2">
      <c r="I13470" s="1125"/>
      <c r="J13470" s="1125"/>
    </row>
    <row r="13471" spans="9:10" x14ac:dyDescent="0.2">
      <c r="I13471" s="1125"/>
      <c r="J13471" s="1125"/>
    </row>
    <row r="13472" spans="9:10" x14ac:dyDescent="0.2">
      <c r="I13472" s="1125"/>
      <c r="J13472" s="1125"/>
    </row>
    <row r="13473" spans="9:10" x14ac:dyDescent="0.2">
      <c r="I13473" s="1125"/>
      <c r="J13473" s="1125"/>
    </row>
    <row r="13474" spans="9:10" x14ac:dyDescent="0.2">
      <c r="I13474" s="1125"/>
      <c r="J13474" s="1125"/>
    </row>
    <row r="13475" spans="9:10" x14ac:dyDescent="0.2">
      <c r="I13475" s="1125"/>
      <c r="J13475" s="1125"/>
    </row>
    <row r="13476" spans="9:10" x14ac:dyDescent="0.2">
      <c r="I13476" s="1125"/>
      <c r="J13476" s="1125"/>
    </row>
    <row r="13477" spans="9:10" x14ac:dyDescent="0.2">
      <c r="I13477" s="1125"/>
      <c r="J13477" s="1125"/>
    </row>
    <row r="13478" spans="9:10" x14ac:dyDescent="0.2">
      <c r="I13478" s="1125"/>
      <c r="J13478" s="1125"/>
    </row>
    <row r="13479" spans="9:10" x14ac:dyDescent="0.2">
      <c r="I13479" s="1125"/>
      <c r="J13479" s="1125"/>
    </row>
    <row r="13480" spans="9:10" x14ac:dyDescent="0.2">
      <c r="I13480" s="1125"/>
      <c r="J13480" s="1125"/>
    </row>
    <row r="13481" spans="9:10" x14ac:dyDescent="0.2">
      <c r="I13481" s="1125"/>
      <c r="J13481" s="1125"/>
    </row>
    <row r="13482" spans="9:10" x14ac:dyDescent="0.2">
      <c r="I13482" s="1125"/>
      <c r="J13482" s="1125"/>
    </row>
    <row r="13483" spans="9:10" x14ac:dyDescent="0.2">
      <c r="I13483" s="1125"/>
      <c r="J13483" s="1125"/>
    </row>
    <row r="13484" spans="9:10" x14ac:dyDescent="0.2">
      <c r="I13484" s="1125"/>
      <c r="J13484" s="1125"/>
    </row>
    <row r="13485" spans="9:10" x14ac:dyDescent="0.2">
      <c r="I13485" s="1125"/>
      <c r="J13485" s="1125"/>
    </row>
    <row r="13486" spans="9:10" x14ac:dyDescent="0.2">
      <c r="I13486" s="1125"/>
      <c r="J13486" s="1125"/>
    </row>
    <row r="13487" spans="9:10" x14ac:dyDescent="0.2">
      <c r="I13487" s="1125"/>
      <c r="J13487" s="1125"/>
    </row>
    <row r="13488" spans="9:10" x14ac:dyDescent="0.2">
      <c r="I13488" s="1125"/>
      <c r="J13488" s="1125"/>
    </row>
    <row r="13489" spans="9:10" x14ac:dyDescent="0.2">
      <c r="I13489" s="1125"/>
      <c r="J13489" s="1125"/>
    </row>
    <row r="13490" spans="9:10" x14ac:dyDescent="0.2">
      <c r="I13490" s="1125"/>
      <c r="J13490" s="1125"/>
    </row>
    <row r="13491" spans="9:10" x14ac:dyDescent="0.2">
      <c r="I13491" s="1125"/>
      <c r="J13491" s="1125"/>
    </row>
    <row r="13492" spans="9:10" x14ac:dyDescent="0.2">
      <c r="I13492" s="1125"/>
      <c r="J13492" s="1125"/>
    </row>
    <row r="13493" spans="9:10" x14ac:dyDescent="0.2">
      <c r="I13493" s="1125"/>
      <c r="J13493" s="1125"/>
    </row>
    <row r="13494" spans="9:10" x14ac:dyDescent="0.2">
      <c r="I13494" s="1125"/>
      <c r="J13494" s="1125"/>
    </row>
    <row r="13495" spans="9:10" x14ac:dyDescent="0.2">
      <c r="I13495" s="1125"/>
      <c r="J13495" s="1125"/>
    </row>
    <row r="13496" spans="9:10" x14ac:dyDescent="0.2">
      <c r="I13496" s="1125"/>
      <c r="J13496" s="1125"/>
    </row>
    <row r="13497" spans="9:10" x14ac:dyDescent="0.2">
      <c r="I13497" s="1125"/>
      <c r="J13497" s="1125"/>
    </row>
    <row r="13498" spans="9:10" x14ac:dyDescent="0.2">
      <c r="I13498" s="1125"/>
      <c r="J13498" s="1125"/>
    </row>
    <row r="13499" spans="9:10" x14ac:dyDescent="0.2">
      <c r="I13499" s="1125"/>
      <c r="J13499" s="1125"/>
    </row>
    <row r="13500" spans="9:10" x14ac:dyDescent="0.2">
      <c r="I13500" s="1125"/>
      <c r="J13500" s="1125"/>
    </row>
    <row r="13501" spans="9:10" x14ac:dyDescent="0.2">
      <c r="I13501" s="1125"/>
      <c r="J13501" s="1125"/>
    </row>
    <row r="13502" spans="9:10" x14ac:dyDescent="0.2">
      <c r="I13502" s="1125"/>
      <c r="J13502" s="1125"/>
    </row>
    <row r="13503" spans="9:10" x14ac:dyDescent="0.2">
      <c r="I13503" s="1125"/>
      <c r="J13503" s="1125"/>
    </row>
    <row r="13504" spans="9:10" x14ac:dyDescent="0.2">
      <c r="I13504" s="1125"/>
      <c r="J13504" s="1125"/>
    </row>
    <row r="13505" spans="9:10" x14ac:dyDescent="0.2">
      <c r="I13505" s="1125"/>
      <c r="J13505" s="1125"/>
    </row>
    <row r="13506" spans="9:10" x14ac:dyDescent="0.2">
      <c r="I13506" s="1125"/>
      <c r="J13506" s="1125"/>
    </row>
    <row r="13507" spans="9:10" x14ac:dyDescent="0.2">
      <c r="I13507" s="1125"/>
      <c r="J13507" s="1125"/>
    </row>
    <row r="13508" spans="9:10" x14ac:dyDescent="0.2">
      <c r="I13508" s="1125"/>
      <c r="J13508" s="1125"/>
    </row>
    <row r="13509" spans="9:10" x14ac:dyDescent="0.2">
      <c r="I13509" s="1125"/>
      <c r="J13509" s="1125"/>
    </row>
    <row r="13510" spans="9:10" x14ac:dyDescent="0.2">
      <c r="I13510" s="1125"/>
      <c r="J13510" s="1125"/>
    </row>
    <row r="13511" spans="9:10" x14ac:dyDescent="0.2">
      <c r="I13511" s="1125"/>
      <c r="J13511" s="1125"/>
    </row>
    <row r="13512" spans="9:10" x14ac:dyDescent="0.2">
      <c r="I13512" s="1125"/>
      <c r="J13512" s="1125"/>
    </row>
    <row r="13513" spans="9:10" x14ac:dyDescent="0.2">
      <c r="I13513" s="1125"/>
      <c r="J13513" s="1125"/>
    </row>
    <row r="13514" spans="9:10" x14ac:dyDescent="0.2">
      <c r="I13514" s="1125"/>
      <c r="J13514" s="1125"/>
    </row>
    <row r="13515" spans="9:10" x14ac:dyDescent="0.2">
      <c r="I13515" s="1125"/>
      <c r="J13515" s="1125"/>
    </row>
    <row r="13516" spans="9:10" x14ac:dyDescent="0.2">
      <c r="I13516" s="1125"/>
      <c r="J13516" s="1125"/>
    </row>
    <row r="13517" spans="9:10" x14ac:dyDescent="0.2">
      <c r="I13517" s="1125"/>
      <c r="J13517" s="1125"/>
    </row>
    <row r="13518" spans="9:10" x14ac:dyDescent="0.2">
      <c r="I13518" s="1125"/>
      <c r="J13518" s="1125"/>
    </row>
    <row r="13519" spans="9:10" x14ac:dyDescent="0.2">
      <c r="I13519" s="1125"/>
      <c r="J13519" s="1125"/>
    </row>
    <row r="13520" spans="9:10" x14ac:dyDescent="0.2">
      <c r="I13520" s="1125"/>
      <c r="J13520" s="1125"/>
    </row>
    <row r="13521" spans="9:10" x14ac:dyDescent="0.2">
      <c r="I13521" s="1125"/>
      <c r="J13521" s="1125"/>
    </row>
    <row r="13522" spans="9:10" x14ac:dyDescent="0.2">
      <c r="I13522" s="1125"/>
      <c r="J13522" s="1125"/>
    </row>
    <row r="13523" spans="9:10" x14ac:dyDescent="0.2">
      <c r="I13523" s="1125"/>
      <c r="J13523" s="1125"/>
    </row>
    <row r="13524" spans="9:10" x14ac:dyDescent="0.2">
      <c r="I13524" s="1125"/>
      <c r="J13524" s="1125"/>
    </row>
    <row r="13525" spans="9:10" x14ac:dyDescent="0.2">
      <c r="I13525" s="1125"/>
      <c r="J13525" s="1125"/>
    </row>
    <row r="13526" spans="9:10" x14ac:dyDescent="0.2">
      <c r="I13526" s="1125"/>
      <c r="J13526" s="1125"/>
    </row>
    <row r="13527" spans="9:10" x14ac:dyDescent="0.2">
      <c r="I13527" s="1125"/>
      <c r="J13527" s="1125"/>
    </row>
    <row r="13528" spans="9:10" x14ac:dyDescent="0.2">
      <c r="I13528" s="1125"/>
      <c r="J13528" s="1125"/>
    </row>
    <row r="13529" spans="9:10" x14ac:dyDescent="0.2">
      <c r="I13529" s="1125"/>
      <c r="J13529" s="1125"/>
    </row>
    <row r="13530" spans="9:10" x14ac:dyDescent="0.2">
      <c r="I13530" s="1125"/>
      <c r="J13530" s="1125"/>
    </row>
    <row r="13531" spans="9:10" x14ac:dyDescent="0.2">
      <c r="I13531" s="1125"/>
      <c r="J13531" s="1125"/>
    </row>
    <row r="13532" spans="9:10" x14ac:dyDescent="0.2">
      <c r="I13532" s="1125"/>
      <c r="J13532" s="1125"/>
    </row>
    <row r="13533" spans="9:10" x14ac:dyDescent="0.2">
      <c r="I13533" s="1125"/>
      <c r="J13533" s="1125"/>
    </row>
    <row r="13534" spans="9:10" x14ac:dyDescent="0.2">
      <c r="I13534" s="1125"/>
      <c r="J13534" s="1125"/>
    </row>
    <row r="13535" spans="9:10" x14ac:dyDescent="0.2">
      <c r="I13535" s="1125"/>
      <c r="J13535" s="1125"/>
    </row>
    <row r="13536" spans="9:10" x14ac:dyDescent="0.2">
      <c r="I13536" s="1125"/>
      <c r="J13536" s="1125"/>
    </row>
    <row r="13537" spans="9:10" x14ac:dyDescent="0.2">
      <c r="I13537" s="1125"/>
      <c r="J13537" s="1125"/>
    </row>
    <row r="13538" spans="9:10" x14ac:dyDescent="0.2">
      <c r="I13538" s="1125"/>
      <c r="J13538" s="1125"/>
    </row>
    <row r="13539" spans="9:10" x14ac:dyDescent="0.2">
      <c r="I13539" s="1125"/>
      <c r="J13539" s="1125"/>
    </row>
    <row r="13540" spans="9:10" x14ac:dyDescent="0.2">
      <c r="I13540" s="1125"/>
      <c r="J13540" s="1125"/>
    </row>
    <row r="13541" spans="9:10" x14ac:dyDescent="0.2">
      <c r="I13541" s="1125"/>
      <c r="J13541" s="1125"/>
    </row>
    <row r="13542" spans="9:10" x14ac:dyDescent="0.2">
      <c r="I13542" s="1125"/>
      <c r="J13542" s="1125"/>
    </row>
    <row r="13543" spans="9:10" x14ac:dyDescent="0.2">
      <c r="I13543" s="1125"/>
      <c r="J13543" s="1125"/>
    </row>
    <row r="13544" spans="9:10" x14ac:dyDescent="0.2">
      <c r="I13544" s="1125"/>
      <c r="J13544" s="1125"/>
    </row>
    <row r="13545" spans="9:10" x14ac:dyDescent="0.2">
      <c r="I13545" s="1125"/>
      <c r="J13545" s="1125"/>
    </row>
    <row r="13546" spans="9:10" x14ac:dyDescent="0.2">
      <c r="I13546" s="1125"/>
      <c r="J13546" s="1125"/>
    </row>
    <row r="13547" spans="9:10" x14ac:dyDescent="0.2">
      <c r="I13547" s="1125"/>
      <c r="J13547" s="1125"/>
    </row>
    <row r="13548" spans="9:10" x14ac:dyDescent="0.2">
      <c r="I13548" s="1125"/>
      <c r="J13548" s="1125"/>
    </row>
    <row r="13549" spans="9:10" x14ac:dyDescent="0.2">
      <c r="I13549" s="1125"/>
      <c r="J13549" s="1125"/>
    </row>
    <row r="13550" spans="9:10" x14ac:dyDescent="0.2">
      <c r="I13550" s="1125"/>
      <c r="J13550" s="1125"/>
    </row>
    <row r="13551" spans="9:10" x14ac:dyDescent="0.2">
      <c r="I13551" s="1125"/>
      <c r="J13551" s="1125"/>
    </row>
    <row r="13552" spans="9:10" x14ac:dyDescent="0.2">
      <c r="I13552" s="1125"/>
      <c r="J13552" s="1125"/>
    </row>
    <row r="13553" spans="9:10" x14ac:dyDescent="0.2">
      <c r="I13553" s="1125"/>
      <c r="J13553" s="1125"/>
    </row>
    <row r="13554" spans="9:10" x14ac:dyDescent="0.2">
      <c r="I13554" s="1125"/>
      <c r="J13554" s="1125"/>
    </row>
    <row r="13555" spans="9:10" x14ac:dyDescent="0.2">
      <c r="I13555" s="1125"/>
      <c r="J13555" s="1125"/>
    </row>
    <row r="13556" spans="9:10" x14ac:dyDescent="0.2">
      <c r="I13556" s="1125"/>
      <c r="J13556" s="1125"/>
    </row>
    <row r="13557" spans="9:10" x14ac:dyDescent="0.2">
      <c r="I13557" s="1125"/>
      <c r="J13557" s="1125"/>
    </row>
    <row r="13558" spans="9:10" x14ac:dyDescent="0.2">
      <c r="I13558" s="1125"/>
      <c r="J13558" s="1125"/>
    </row>
    <row r="13559" spans="9:10" x14ac:dyDescent="0.2">
      <c r="I13559" s="1125"/>
      <c r="J13559" s="1125"/>
    </row>
    <row r="13560" spans="9:10" x14ac:dyDescent="0.2">
      <c r="I13560" s="1125"/>
      <c r="J13560" s="1125"/>
    </row>
    <row r="13561" spans="9:10" x14ac:dyDescent="0.2">
      <c r="I13561" s="1125"/>
      <c r="J13561" s="1125"/>
    </row>
    <row r="13562" spans="9:10" x14ac:dyDescent="0.2">
      <c r="I13562" s="1125"/>
      <c r="J13562" s="1125"/>
    </row>
    <row r="13563" spans="9:10" x14ac:dyDescent="0.2">
      <c r="I13563" s="1125"/>
      <c r="J13563" s="1125"/>
    </row>
    <row r="13564" spans="9:10" x14ac:dyDescent="0.2">
      <c r="I13564" s="1125"/>
      <c r="J13564" s="1125"/>
    </row>
    <row r="13565" spans="9:10" x14ac:dyDescent="0.2">
      <c r="I13565" s="1125"/>
      <c r="J13565" s="1125"/>
    </row>
    <row r="13566" spans="9:10" x14ac:dyDescent="0.2">
      <c r="I13566" s="1125"/>
      <c r="J13566" s="1125"/>
    </row>
    <row r="13567" spans="9:10" x14ac:dyDescent="0.2">
      <c r="I13567" s="1125"/>
      <c r="J13567" s="1125"/>
    </row>
    <row r="13568" spans="9:10" x14ac:dyDescent="0.2">
      <c r="I13568" s="1125"/>
      <c r="J13568" s="1125"/>
    </row>
    <row r="13569" spans="9:10" x14ac:dyDescent="0.2">
      <c r="I13569" s="1125"/>
      <c r="J13569" s="1125"/>
    </row>
    <row r="13570" spans="9:10" x14ac:dyDescent="0.2">
      <c r="I13570" s="1125"/>
      <c r="J13570" s="1125"/>
    </row>
    <row r="13571" spans="9:10" x14ac:dyDescent="0.2">
      <c r="I13571" s="1125"/>
      <c r="J13571" s="1125"/>
    </row>
    <row r="13572" spans="9:10" x14ac:dyDescent="0.2">
      <c r="I13572" s="1125"/>
      <c r="J13572" s="1125"/>
    </row>
    <row r="13573" spans="9:10" x14ac:dyDescent="0.2">
      <c r="I13573" s="1125"/>
      <c r="J13573" s="1125"/>
    </row>
    <row r="13574" spans="9:10" x14ac:dyDescent="0.2">
      <c r="I13574" s="1125"/>
      <c r="J13574" s="1125"/>
    </row>
    <row r="13575" spans="9:10" x14ac:dyDescent="0.2">
      <c r="I13575" s="1125"/>
      <c r="J13575" s="1125"/>
    </row>
    <row r="13576" spans="9:10" x14ac:dyDescent="0.2">
      <c r="I13576" s="1125"/>
      <c r="J13576" s="1125"/>
    </row>
    <row r="13577" spans="9:10" x14ac:dyDescent="0.2">
      <c r="I13577" s="1125"/>
      <c r="J13577" s="1125"/>
    </row>
    <row r="13578" spans="9:10" x14ac:dyDescent="0.2">
      <c r="I13578" s="1125"/>
      <c r="J13578" s="1125"/>
    </row>
    <row r="13579" spans="9:10" x14ac:dyDescent="0.2">
      <c r="I13579" s="1125"/>
      <c r="J13579" s="1125"/>
    </row>
    <row r="13580" spans="9:10" x14ac:dyDescent="0.2">
      <c r="I13580" s="1125"/>
      <c r="J13580" s="1125"/>
    </row>
    <row r="13581" spans="9:10" x14ac:dyDescent="0.2">
      <c r="I13581" s="1125"/>
      <c r="J13581" s="1125"/>
    </row>
    <row r="13582" spans="9:10" x14ac:dyDescent="0.2">
      <c r="I13582" s="1125"/>
      <c r="J13582" s="1125"/>
    </row>
    <row r="13583" spans="9:10" x14ac:dyDescent="0.2">
      <c r="I13583" s="1125"/>
      <c r="J13583" s="1125"/>
    </row>
    <row r="13584" spans="9:10" x14ac:dyDescent="0.2">
      <c r="I13584" s="1125"/>
      <c r="J13584" s="1125"/>
    </row>
    <row r="13585" spans="9:10" x14ac:dyDescent="0.2">
      <c r="I13585" s="1125"/>
      <c r="J13585" s="1125"/>
    </row>
    <row r="13586" spans="9:10" x14ac:dyDescent="0.2">
      <c r="I13586" s="1125"/>
      <c r="J13586" s="1125"/>
    </row>
    <row r="13587" spans="9:10" x14ac:dyDescent="0.2">
      <c r="I13587" s="1125"/>
      <c r="J13587" s="1125"/>
    </row>
    <row r="13588" spans="9:10" x14ac:dyDescent="0.2">
      <c r="I13588" s="1125"/>
      <c r="J13588" s="1125"/>
    </row>
    <row r="13589" spans="9:10" x14ac:dyDescent="0.2">
      <c r="I13589" s="1125"/>
      <c r="J13589" s="1125"/>
    </row>
    <row r="13590" spans="9:10" x14ac:dyDescent="0.2">
      <c r="I13590" s="1125"/>
      <c r="J13590" s="1125"/>
    </row>
    <row r="13591" spans="9:10" x14ac:dyDescent="0.2">
      <c r="I13591" s="1125"/>
      <c r="J13591" s="1125"/>
    </row>
    <row r="13592" spans="9:10" x14ac:dyDescent="0.2">
      <c r="I13592" s="1125"/>
      <c r="J13592" s="1125"/>
    </row>
    <row r="13593" spans="9:10" x14ac:dyDescent="0.2">
      <c r="I13593" s="1125"/>
      <c r="J13593" s="1125"/>
    </row>
    <row r="13594" spans="9:10" x14ac:dyDescent="0.2">
      <c r="I13594" s="1125"/>
      <c r="J13594" s="1125"/>
    </row>
    <row r="13595" spans="9:10" x14ac:dyDescent="0.2">
      <c r="I13595" s="1125"/>
      <c r="J13595" s="1125"/>
    </row>
    <row r="13596" spans="9:10" x14ac:dyDescent="0.2">
      <c r="I13596" s="1125"/>
      <c r="J13596" s="1125"/>
    </row>
    <row r="13597" spans="9:10" x14ac:dyDescent="0.2">
      <c r="I13597" s="1125"/>
      <c r="J13597" s="1125"/>
    </row>
    <row r="13598" spans="9:10" x14ac:dyDescent="0.2">
      <c r="I13598" s="1125"/>
      <c r="J13598" s="1125"/>
    </row>
    <row r="13599" spans="9:10" x14ac:dyDescent="0.2">
      <c r="I13599" s="1125"/>
      <c r="J13599" s="1125"/>
    </row>
    <row r="13600" spans="9:10" x14ac:dyDescent="0.2">
      <c r="I13600" s="1125"/>
      <c r="J13600" s="1125"/>
    </row>
    <row r="13601" spans="9:10" x14ac:dyDescent="0.2">
      <c r="I13601" s="1125"/>
      <c r="J13601" s="1125"/>
    </row>
    <row r="13602" spans="9:10" x14ac:dyDescent="0.2">
      <c r="I13602" s="1125"/>
      <c r="J13602" s="1125"/>
    </row>
    <row r="13603" spans="9:10" x14ac:dyDescent="0.2">
      <c r="I13603" s="1125"/>
      <c r="J13603" s="1125"/>
    </row>
    <row r="13604" spans="9:10" x14ac:dyDescent="0.2">
      <c r="I13604" s="1125"/>
      <c r="J13604" s="1125"/>
    </row>
    <row r="13605" spans="9:10" x14ac:dyDescent="0.2">
      <c r="I13605" s="1125"/>
      <c r="J13605" s="1125"/>
    </row>
    <row r="13606" spans="9:10" x14ac:dyDescent="0.2">
      <c r="I13606" s="1125"/>
      <c r="J13606" s="1125"/>
    </row>
    <row r="13607" spans="9:10" x14ac:dyDescent="0.2">
      <c r="I13607" s="1125"/>
      <c r="J13607" s="1125"/>
    </row>
    <row r="13608" spans="9:10" x14ac:dyDescent="0.2">
      <c r="I13608" s="1125"/>
      <c r="J13608" s="1125"/>
    </row>
    <row r="13609" spans="9:10" x14ac:dyDescent="0.2">
      <c r="I13609" s="1125"/>
      <c r="J13609" s="1125"/>
    </row>
    <row r="13610" spans="9:10" x14ac:dyDescent="0.2">
      <c r="I13610" s="1125"/>
      <c r="J13610" s="1125"/>
    </row>
    <row r="13611" spans="9:10" x14ac:dyDescent="0.2">
      <c r="I13611" s="1125"/>
      <c r="J13611" s="1125"/>
    </row>
    <row r="13612" spans="9:10" x14ac:dyDescent="0.2">
      <c r="I13612" s="1125"/>
      <c r="J13612" s="1125"/>
    </row>
    <row r="13613" spans="9:10" x14ac:dyDescent="0.2">
      <c r="I13613" s="1125"/>
      <c r="J13613" s="1125"/>
    </row>
    <row r="13614" spans="9:10" x14ac:dyDescent="0.2">
      <c r="I13614" s="1125"/>
      <c r="J13614" s="1125"/>
    </row>
    <row r="13615" spans="9:10" x14ac:dyDescent="0.2">
      <c r="I13615" s="1125"/>
      <c r="J13615" s="1125"/>
    </row>
    <row r="13616" spans="9:10" x14ac:dyDescent="0.2">
      <c r="I13616" s="1125"/>
      <c r="J13616" s="1125"/>
    </row>
    <row r="13617" spans="9:10" x14ac:dyDescent="0.2">
      <c r="I13617" s="1125"/>
      <c r="J13617" s="1125"/>
    </row>
    <row r="13618" spans="9:10" x14ac:dyDescent="0.2">
      <c r="I13618" s="1125"/>
      <c r="J13618" s="1125"/>
    </row>
    <row r="13619" spans="9:10" x14ac:dyDescent="0.2">
      <c r="I13619" s="1125"/>
      <c r="J13619" s="1125"/>
    </row>
    <row r="13620" spans="9:10" x14ac:dyDescent="0.2">
      <c r="I13620" s="1125"/>
      <c r="J13620" s="1125"/>
    </row>
    <row r="13621" spans="9:10" x14ac:dyDescent="0.2">
      <c r="I13621" s="1125"/>
      <c r="J13621" s="1125"/>
    </row>
    <row r="13622" spans="9:10" x14ac:dyDescent="0.2">
      <c r="I13622" s="1125"/>
      <c r="J13622" s="1125"/>
    </row>
    <row r="13623" spans="9:10" x14ac:dyDescent="0.2">
      <c r="I13623" s="1125"/>
      <c r="J13623" s="1125"/>
    </row>
    <row r="13624" spans="9:10" x14ac:dyDescent="0.2">
      <c r="I13624" s="1125"/>
      <c r="J13624" s="1125"/>
    </row>
    <row r="13625" spans="9:10" x14ac:dyDescent="0.2">
      <c r="I13625" s="1125"/>
      <c r="J13625" s="1125"/>
    </row>
    <row r="13626" spans="9:10" x14ac:dyDescent="0.2">
      <c r="I13626" s="1125"/>
      <c r="J13626" s="1125"/>
    </row>
    <row r="13627" spans="9:10" x14ac:dyDescent="0.2">
      <c r="I13627" s="1125"/>
      <c r="J13627" s="1125"/>
    </row>
    <row r="13628" spans="9:10" x14ac:dyDescent="0.2">
      <c r="I13628" s="1125"/>
      <c r="J13628" s="1125"/>
    </row>
    <row r="13629" spans="9:10" x14ac:dyDescent="0.2">
      <c r="I13629" s="1125"/>
      <c r="J13629" s="1125"/>
    </row>
    <row r="13630" spans="9:10" x14ac:dyDescent="0.2">
      <c r="I13630" s="1125"/>
      <c r="J13630" s="1125"/>
    </row>
    <row r="13631" spans="9:10" x14ac:dyDescent="0.2">
      <c r="I13631" s="1125"/>
      <c r="J13631" s="1125"/>
    </row>
    <row r="13632" spans="9:10" x14ac:dyDescent="0.2">
      <c r="I13632" s="1125"/>
      <c r="J13632" s="1125"/>
    </row>
    <row r="13633" spans="9:10" x14ac:dyDescent="0.2">
      <c r="I13633" s="1125"/>
      <c r="J13633" s="1125"/>
    </row>
    <row r="13634" spans="9:10" x14ac:dyDescent="0.2">
      <c r="I13634" s="1125"/>
      <c r="J13634" s="1125"/>
    </row>
    <row r="13635" spans="9:10" x14ac:dyDescent="0.2">
      <c r="I13635" s="1125"/>
      <c r="J13635" s="1125"/>
    </row>
    <row r="13636" spans="9:10" x14ac:dyDescent="0.2">
      <c r="I13636" s="1125"/>
      <c r="J13636" s="1125"/>
    </row>
    <row r="13637" spans="9:10" x14ac:dyDescent="0.2">
      <c r="I13637" s="1125"/>
      <c r="J13637" s="1125"/>
    </row>
    <row r="13638" spans="9:10" x14ac:dyDescent="0.2">
      <c r="I13638" s="1125"/>
      <c r="J13638" s="1125"/>
    </row>
    <row r="13639" spans="9:10" x14ac:dyDescent="0.2">
      <c r="I13639" s="1125"/>
      <c r="J13639" s="1125"/>
    </row>
    <row r="13640" spans="9:10" x14ac:dyDescent="0.2">
      <c r="I13640" s="1125"/>
      <c r="J13640" s="1125"/>
    </row>
    <row r="13641" spans="9:10" x14ac:dyDescent="0.2">
      <c r="I13641" s="1125"/>
      <c r="J13641" s="1125"/>
    </row>
    <row r="13642" spans="9:10" x14ac:dyDescent="0.2">
      <c r="I13642" s="1125"/>
      <c r="J13642" s="1125"/>
    </row>
    <row r="13643" spans="9:10" x14ac:dyDescent="0.2">
      <c r="I13643" s="1125"/>
      <c r="J13643" s="1125"/>
    </row>
    <row r="13644" spans="9:10" x14ac:dyDescent="0.2">
      <c r="I13644" s="1125"/>
      <c r="J13644" s="1125"/>
    </row>
    <row r="13645" spans="9:10" x14ac:dyDescent="0.2">
      <c r="I13645" s="1125"/>
      <c r="J13645" s="1125"/>
    </row>
    <row r="13646" spans="9:10" x14ac:dyDescent="0.2">
      <c r="I13646" s="1125"/>
      <c r="J13646" s="1125"/>
    </row>
    <row r="13647" spans="9:10" x14ac:dyDescent="0.2">
      <c r="I13647" s="1125"/>
      <c r="J13647" s="1125"/>
    </row>
    <row r="13648" spans="9:10" x14ac:dyDescent="0.2">
      <c r="I13648" s="1125"/>
      <c r="J13648" s="1125"/>
    </row>
    <row r="13649" spans="9:10" x14ac:dyDescent="0.2">
      <c r="I13649" s="1125"/>
      <c r="J13649" s="1125"/>
    </row>
    <row r="13650" spans="9:10" x14ac:dyDescent="0.2">
      <c r="I13650" s="1125"/>
      <c r="J13650" s="1125"/>
    </row>
    <row r="13651" spans="9:10" x14ac:dyDescent="0.2">
      <c r="I13651" s="1125"/>
      <c r="J13651" s="1125"/>
    </row>
    <row r="13652" spans="9:10" x14ac:dyDescent="0.2">
      <c r="I13652" s="1125"/>
      <c r="J13652" s="1125"/>
    </row>
    <row r="13653" spans="9:10" x14ac:dyDescent="0.2">
      <c r="I13653" s="1125"/>
      <c r="J13653" s="1125"/>
    </row>
    <row r="13654" spans="9:10" x14ac:dyDescent="0.2">
      <c r="I13654" s="1125"/>
      <c r="J13654" s="1125"/>
    </row>
    <row r="13655" spans="9:10" x14ac:dyDescent="0.2">
      <c r="I13655" s="1125"/>
      <c r="J13655" s="1125"/>
    </row>
    <row r="13656" spans="9:10" x14ac:dyDescent="0.2">
      <c r="I13656" s="1125"/>
      <c r="J13656" s="1125"/>
    </row>
    <row r="13657" spans="9:10" x14ac:dyDescent="0.2">
      <c r="I13657" s="1125"/>
      <c r="J13657" s="1125"/>
    </row>
    <row r="13658" spans="9:10" x14ac:dyDescent="0.2">
      <c r="I13658" s="1125"/>
      <c r="J13658" s="1125"/>
    </row>
    <row r="13659" spans="9:10" x14ac:dyDescent="0.2">
      <c r="I13659" s="1125"/>
      <c r="J13659" s="1125"/>
    </row>
    <row r="13660" spans="9:10" x14ac:dyDescent="0.2">
      <c r="I13660" s="1125"/>
      <c r="J13660" s="1125"/>
    </row>
    <row r="13661" spans="9:10" x14ac:dyDescent="0.2">
      <c r="I13661" s="1125"/>
      <c r="J13661" s="1125"/>
    </row>
    <row r="13662" spans="9:10" x14ac:dyDescent="0.2">
      <c r="I13662" s="1125"/>
      <c r="J13662" s="1125"/>
    </row>
    <row r="13663" spans="9:10" x14ac:dyDescent="0.2">
      <c r="I13663" s="1125"/>
      <c r="J13663" s="1125"/>
    </row>
    <row r="13664" spans="9:10" x14ac:dyDescent="0.2">
      <c r="I13664" s="1125"/>
      <c r="J13664" s="1125"/>
    </row>
    <row r="13665" spans="9:10" x14ac:dyDescent="0.2">
      <c r="I13665" s="1125"/>
      <c r="J13665" s="1125"/>
    </row>
    <row r="13666" spans="9:10" x14ac:dyDescent="0.2">
      <c r="I13666" s="1125"/>
      <c r="J13666" s="1125"/>
    </row>
    <row r="13667" spans="9:10" x14ac:dyDescent="0.2">
      <c r="I13667" s="1125"/>
      <c r="J13667" s="1125"/>
    </row>
    <row r="13668" spans="9:10" x14ac:dyDescent="0.2">
      <c r="I13668" s="1125"/>
      <c r="J13668" s="1125"/>
    </row>
    <row r="13669" spans="9:10" x14ac:dyDescent="0.2">
      <c r="I13669" s="1125"/>
      <c r="J13669" s="1125"/>
    </row>
    <row r="13670" spans="9:10" x14ac:dyDescent="0.2">
      <c r="I13670" s="1125"/>
      <c r="J13670" s="1125"/>
    </row>
    <row r="13671" spans="9:10" x14ac:dyDescent="0.2">
      <c r="I13671" s="1125"/>
      <c r="J13671" s="1125"/>
    </row>
    <row r="13672" spans="9:10" x14ac:dyDescent="0.2">
      <c r="I13672" s="1125"/>
      <c r="J13672" s="1125"/>
    </row>
    <row r="13673" spans="9:10" x14ac:dyDescent="0.2">
      <c r="I13673" s="1125"/>
      <c r="J13673" s="1125"/>
    </row>
    <row r="13674" spans="9:10" x14ac:dyDescent="0.2">
      <c r="I13674" s="1125"/>
      <c r="J13674" s="1125"/>
    </row>
    <row r="13675" spans="9:10" x14ac:dyDescent="0.2">
      <c r="I13675" s="1125"/>
      <c r="J13675" s="1125"/>
    </row>
    <row r="13676" spans="9:10" x14ac:dyDescent="0.2">
      <c r="I13676" s="1125"/>
      <c r="J13676" s="1125"/>
    </row>
    <row r="13677" spans="9:10" x14ac:dyDescent="0.2">
      <c r="I13677" s="1125"/>
      <c r="J13677" s="1125"/>
    </row>
    <row r="13678" spans="9:10" x14ac:dyDescent="0.2">
      <c r="I13678" s="1125"/>
      <c r="J13678" s="1125"/>
    </row>
    <row r="13679" spans="9:10" x14ac:dyDescent="0.2">
      <c r="I13679" s="1125"/>
      <c r="J13679" s="1125"/>
    </row>
    <row r="13680" spans="9:10" x14ac:dyDescent="0.2">
      <c r="I13680" s="1125"/>
      <c r="J13680" s="1125"/>
    </row>
    <row r="13681" spans="9:10" x14ac:dyDescent="0.2">
      <c r="I13681" s="1125"/>
      <c r="J13681" s="1125"/>
    </row>
    <row r="13682" spans="9:10" x14ac:dyDescent="0.2">
      <c r="I13682" s="1125"/>
      <c r="J13682" s="1125"/>
    </row>
    <row r="13683" spans="9:10" x14ac:dyDescent="0.2">
      <c r="I13683" s="1125"/>
      <c r="J13683" s="1125"/>
    </row>
    <row r="13684" spans="9:10" x14ac:dyDescent="0.2">
      <c r="I13684" s="1125"/>
      <c r="J13684" s="1125"/>
    </row>
    <row r="13685" spans="9:10" x14ac:dyDescent="0.2">
      <c r="I13685" s="1125"/>
      <c r="J13685" s="1125"/>
    </row>
    <row r="13686" spans="9:10" x14ac:dyDescent="0.2">
      <c r="I13686" s="1125"/>
      <c r="J13686" s="1125"/>
    </row>
    <row r="13687" spans="9:10" x14ac:dyDescent="0.2">
      <c r="I13687" s="1125"/>
      <c r="J13687" s="1125"/>
    </row>
    <row r="13688" spans="9:10" x14ac:dyDescent="0.2">
      <c r="I13688" s="1125"/>
      <c r="J13688" s="1125"/>
    </row>
    <row r="13689" spans="9:10" x14ac:dyDescent="0.2">
      <c r="I13689" s="1125"/>
      <c r="J13689" s="1125"/>
    </row>
    <row r="13690" spans="9:10" x14ac:dyDescent="0.2">
      <c r="I13690" s="1125"/>
      <c r="J13690" s="1125"/>
    </row>
    <row r="13691" spans="9:10" x14ac:dyDescent="0.2">
      <c r="I13691" s="1125"/>
      <c r="J13691" s="1125"/>
    </row>
    <row r="13692" spans="9:10" x14ac:dyDescent="0.2">
      <c r="I13692" s="1125"/>
      <c r="J13692" s="1125"/>
    </row>
    <row r="13693" spans="9:10" x14ac:dyDescent="0.2">
      <c r="I13693" s="1125"/>
      <c r="J13693" s="1125"/>
    </row>
    <row r="13694" spans="9:10" x14ac:dyDescent="0.2">
      <c r="I13694" s="1125"/>
      <c r="J13694" s="1125"/>
    </row>
    <row r="13695" spans="9:10" x14ac:dyDescent="0.2">
      <c r="I13695" s="1125"/>
      <c r="J13695" s="1125"/>
    </row>
    <row r="13696" spans="9:10" x14ac:dyDescent="0.2">
      <c r="I13696" s="1125"/>
      <c r="J13696" s="1125"/>
    </row>
    <row r="13697" spans="9:10" x14ac:dyDescent="0.2">
      <c r="I13697" s="1125"/>
      <c r="J13697" s="1125"/>
    </row>
    <row r="13698" spans="9:10" x14ac:dyDescent="0.2">
      <c r="I13698" s="1125"/>
      <c r="J13698" s="1125"/>
    </row>
    <row r="13699" spans="9:10" x14ac:dyDescent="0.2">
      <c r="I13699" s="1125"/>
      <c r="J13699" s="1125"/>
    </row>
    <row r="13700" spans="9:10" x14ac:dyDescent="0.2">
      <c r="I13700" s="1125"/>
      <c r="J13700" s="1125"/>
    </row>
    <row r="13701" spans="9:10" x14ac:dyDescent="0.2">
      <c r="I13701" s="1125"/>
      <c r="J13701" s="1125"/>
    </row>
    <row r="13702" spans="9:10" x14ac:dyDescent="0.2">
      <c r="I13702" s="1125"/>
      <c r="J13702" s="1125"/>
    </row>
    <row r="13703" spans="9:10" x14ac:dyDescent="0.2">
      <c r="I13703" s="1125"/>
      <c r="J13703" s="1125"/>
    </row>
    <row r="13704" spans="9:10" x14ac:dyDescent="0.2">
      <c r="I13704" s="1125"/>
      <c r="J13704" s="1125"/>
    </row>
    <row r="13705" spans="9:10" x14ac:dyDescent="0.2">
      <c r="I13705" s="1125"/>
      <c r="J13705" s="1125"/>
    </row>
    <row r="13706" spans="9:10" x14ac:dyDescent="0.2">
      <c r="I13706" s="1125"/>
      <c r="J13706" s="1125"/>
    </row>
    <row r="13707" spans="9:10" x14ac:dyDescent="0.2">
      <c r="I13707" s="1125"/>
      <c r="J13707" s="1125"/>
    </row>
    <row r="13708" spans="9:10" x14ac:dyDescent="0.2">
      <c r="I13708" s="1125"/>
      <c r="J13708" s="1125"/>
    </row>
    <row r="13709" spans="9:10" x14ac:dyDescent="0.2">
      <c r="I13709" s="1125"/>
      <c r="J13709" s="1125"/>
    </row>
    <row r="13710" spans="9:10" x14ac:dyDescent="0.2">
      <c r="I13710" s="1125"/>
      <c r="J13710" s="1125"/>
    </row>
    <row r="13711" spans="9:10" x14ac:dyDescent="0.2">
      <c r="I13711" s="1125"/>
      <c r="J13711" s="1125"/>
    </row>
    <row r="13712" spans="9:10" x14ac:dyDescent="0.2">
      <c r="I13712" s="1125"/>
      <c r="J13712" s="1125"/>
    </row>
    <row r="13713" spans="9:10" x14ac:dyDescent="0.2">
      <c r="I13713" s="1125"/>
      <c r="J13713" s="1125"/>
    </row>
    <row r="13714" spans="9:10" x14ac:dyDescent="0.2">
      <c r="I13714" s="1125"/>
      <c r="J13714" s="1125"/>
    </row>
    <row r="13715" spans="9:10" x14ac:dyDescent="0.2">
      <c r="I13715" s="1125"/>
      <c r="J13715" s="1125"/>
    </row>
    <row r="13716" spans="9:10" x14ac:dyDescent="0.2">
      <c r="I13716" s="1125"/>
      <c r="J13716" s="1125"/>
    </row>
    <row r="13717" spans="9:10" x14ac:dyDescent="0.2">
      <c r="I13717" s="1125"/>
      <c r="J13717" s="1125"/>
    </row>
    <row r="13718" spans="9:10" x14ac:dyDescent="0.2">
      <c r="I13718" s="1125"/>
      <c r="J13718" s="1125"/>
    </row>
    <row r="13719" spans="9:10" x14ac:dyDescent="0.2">
      <c r="I13719" s="1125"/>
      <c r="J13719" s="1125"/>
    </row>
    <row r="13720" spans="9:10" x14ac:dyDescent="0.2">
      <c r="I13720" s="1125"/>
      <c r="J13720" s="1125"/>
    </row>
    <row r="13721" spans="9:10" x14ac:dyDescent="0.2">
      <c r="I13721" s="1125"/>
      <c r="J13721" s="1125"/>
    </row>
    <row r="13722" spans="9:10" x14ac:dyDescent="0.2">
      <c r="I13722" s="1125"/>
      <c r="J13722" s="1125"/>
    </row>
    <row r="13723" spans="9:10" x14ac:dyDescent="0.2">
      <c r="I13723" s="1125"/>
      <c r="J13723" s="1125"/>
    </row>
    <row r="13724" spans="9:10" x14ac:dyDescent="0.2">
      <c r="I13724" s="1125"/>
      <c r="J13724" s="1125"/>
    </row>
    <row r="13725" spans="9:10" x14ac:dyDescent="0.2">
      <c r="I13725" s="1125"/>
      <c r="J13725" s="1125"/>
    </row>
    <row r="13726" spans="9:10" x14ac:dyDescent="0.2">
      <c r="I13726" s="1125"/>
      <c r="J13726" s="1125"/>
    </row>
    <row r="13727" spans="9:10" x14ac:dyDescent="0.2">
      <c r="I13727" s="1125"/>
      <c r="J13727" s="1125"/>
    </row>
    <row r="13728" spans="9:10" x14ac:dyDescent="0.2">
      <c r="I13728" s="1125"/>
      <c r="J13728" s="1125"/>
    </row>
    <row r="13729" spans="9:10" x14ac:dyDescent="0.2">
      <c r="I13729" s="1125"/>
      <c r="J13729" s="1125"/>
    </row>
    <row r="13730" spans="9:10" x14ac:dyDescent="0.2">
      <c r="I13730" s="1125"/>
      <c r="J13730" s="1125"/>
    </row>
    <row r="13731" spans="9:10" x14ac:dyDescent="0.2">
      <c r="I13731" s="1125"/>
      <c r="J13731" s="1125"/>
    </row>
    <row r="13732" spans="9:10" x14ac:dyDescent="0.2">
      <c r="I13732" s="1125"/>
      <c r="J13732" s="1125"/>
    </row>
    <row r="13733" spans="9:10" x14ac:dyDescent="0.2">
      <c r="I13733" s="1125"/>
      <c r="J13733" s="1125"/>
    </row>
    <row r="13734" spans="9:10" x14ac:dyDescent="0.2">
      <c r="I13734" s="1125"/>
      <c r="J13734" s="1125"/>
    </row>
    <row r="13735" spans="9:10" x14ac:dyDescent="0.2">
      <c r="I13735" s="1125"/>
      <c r="J13735" s="1125"/>
    </row>
    <row r="13736" spans="9:10" x14ac:dyDescent="0.2">
      <c r="I13736" s="1125"/>
      <c r="J13736" s="1125"/>
    </row>
    <row r="13737" spans="9:10" x14ac:dyDescent="0.2">
      <c r="I13737" s="1125"/>
      <c r="J13737" s="1125"/>
    </row>
    <row r="13738" spans="9:10" x14ac:dyDescent="0.2">
      <c r="I13738" s="1125"/>
      <c r="J13738" s="1125"/>
    </row>
    <row r="13739" spans="9:10" x14ac:dyDescent="0.2">
      <c r="I13739" s="1125"/>
      <c r="J13739" s="1125"/>
    </row>
    <row r="13740" spans="9:10" x14ac:dyDescent="0.2">
      <c r="I13740" s="1125"/>
      <c r="J13740" s="1125"/>
    </row>
    <row r="13741" spans="9:10" x14ac:dyDescent="0.2">
      <c r="I13741" s="1125"/>
      <c r="J13741" s="1125"/>
    </row>
    <row r="13742" spans="9:10" x14ac:dyDescent="0.2">
      <c r="I13742" s="1125"/>
      <c r="J13742" s="1125"/>
    </row>
    <row r="13743" spans="9:10" x14ac:dyDescent="0.2">
      <c r="I13743" s="1125"/>
      <c r="J13743" s="1125"/>
    </row>
    <row r="13744" spans="9:10" x14ac:dyDescent="0.2">
      <c r="I13744" s="1125"/>
      <c r="J13744" s="1125"/>
    </row>
    <row r="13745" spans="9:10" x14ac:dyDescent="0.2">
      <c r="I13745" s="1125"/>
      <c r="J13745" s="1125"/>
    </row>
    <row r="13746" spans="9:10" x14ac:dyDescent="0.2">
      <c r="I13746" s="1125"/>
      <c r="J13746" s="1125"/>
    </row>
    <row r="13747" spans="9:10" x14ac:dyDescent="0.2">
      <c r="I13747" s="1125"/>
      <c r="J13747" s="1125"/>
    </row>
    <row r="13748" spans="9:10" x14ac:dyDescent="0.2">
      <c r="I13748" s="1125"/>
      <c r="J13748" s="1125"/>
    </row>
    <row r="13749" spans="9:10" x14ac:dyDescent="0.2">
      <c r="I13749" s="1125"/>
      <c r="J13749" s="1125"/>
    </row>
    <row r="13750" spans="9:10" x14ac:dyDescent="0.2">
      <c r="I13750" s="1125"/>
      <c r="J13750" s="1125"/>
    </row>
    <row r="13751" spans="9:10" x14ac:dyDescent="0.2">
      <c r="I13751" s="1125"/>
      <c r="J13751" s="1125"/>
    </row>
    <row r="13752" spans="9:10" x14ac:dyDescent="0.2">
      <c r="I13752" s="1125"/>
      <c r="J13752" s="1125"/>
    </row>
    <row r="13753" spans="9:10" x14ac:dyDescent="0.2">
      <c r="I13753" s="1125"/>
      <c r="J13753" s="1125"/>
    </row>
    <row r="13754" spans="9:10" x14ac:dyDescent="0.2">
      <c r="I13754" s="1125"/>
      <c r="J13754" s="1125"/>
    </row>
    <row r="13755" spans="9:10" x14ac:dyDescent="0.2">
      <c r="I13755" s="1125"/>
      <c r="J13755" s="1125"/>
    </row>
    <row r="13756" spans="9:10" x14ac:dyDescent="0.2">
      <c r="I13756" s="1125"/>
      <c r="J13756" s="1125"/>
    </row>
    <row r="13757" spans="9:10" x14ac:dyDescent="0.2">
      <c r="I13757" s="1125"/>
      <c r="J13757" s="1125"/>
    </row>
    <row r="13758" spans="9:10" x14ac:dyDescent="0.2">
      <c r="I13758" s="1125"/>
      <c r="J13758" s="1125"/>
    </row>
    <row r="13759" spans="9:10" x14ac:dyDescent="0.2">
      <c r="I13759" s="1125"/>
      <c r="J13759" s="1125"/>
    </row>
    <row r="13760" spans="9:10" x14ac:dyDescent="0.2">
      <c r="I13760" s="1125"/>
      <c r="J13760" s="1125"/>
    </row>
    <row r="13761" spans="9:10" x14ac:dyDescent="0.2">
      <c r="I13761" s="1125"/>
      <c r="J13761" s="1125"/>
    </row>
    <row r="13762" spans="9:10" x14ac:dyDescent="0.2">
      <c r="I13762" s="1125"/>
      <c r="J13762" s="1125"/>
    </row>
    <row r="13763" spans="9:10" x14ac:dyDescent="0.2">
      <c r="I13763" s="1125"/>
      <c r="J13763" s="1125"/>
    </row>
    <row r="13764" spans="9:10" x14ac:dyDescent="0.2">
      <c r="I13764" s="1125"/>
      <c r="J13764" s="1125"/>
    </row>
    <row r="13765" spans="9:10" x14ac:dyDescent="0.2">
      <c r="I13765" s="1125"/>
      <c r="J13765" s="1125"/>
    </row>
    <row r="13766" spans="9:10" x14ac:dyDescent="0.2">
      <c r="I13766" s="1125"/>
      <c r="J13766" s="1125"/>
    </row>
    <row r="13767" spans="9:10" x14ac:dyDescent="0.2">
      <c r="I13767" s="1125"/>
      <c r="J13767" s="1125"/>
    </row>
    <row r="13768" spans="9:10" x14ac:dyDescent="0.2">
      <c r="I13768" s="1125"/>
      <c r="J13768" s="1125"/>
    </row>
    <row r="13769" spans="9:10" x14ac:dyDescent="0.2">
      <c r="I13769" s="1125"/>
      <c r="J13769" s="1125"/>
    </row>
    <row r="13770" spans="9:10" x14ac:dyDescent="0.2">
      <c r="I13770" s="1125"/>
      <c r="J13770" s="1125"/>
    </row>
    <row r="13771" spans="9:10" x14ac:dyDescent="0.2">
      <c r="I13771" s="1125"/>
      <c r="J13771" s="1125"/>
    </row>
    <row r="13772" spans="9:10" x14ac:dyDescent="0.2">
      <c r="I13772" s="1125"/>
      <c r="J13772" s="1125"/>
    </row>
    <row r="13773" spans="9:10" x14ac:dyDescent="0.2">
      <c r="I13773" s="1125"/>
      <c r="J13773" s="1125"/>
    </row>
    <row r="13774" spans="9:10" x14ac:dyDescent="0.2">
      <c r="I13774" s="1125"/>
      <c r="J13774" s="1125"/>
    </row>
    <row r="13775" spans="9:10" x14ac:dyDescent="0.2">
      <c r="I13775" s="1125"/>
      <c r="J13775" s="1125"/>
    </row>
    <row r="13776" spans="9:10" x14ac:dyDescent="0.2">
      <c r="I13776" s="1125"/>
      <c r="J13776" s="1125"/>
    </row>
    <row r="13777" spans="9:10" x14ac:dyDescent="0.2">
      <c r="I13777" s="1125"/>
      <c r="J13777" s="1125"/>
    </row>
    <row r="13778" spans="9:10" x14ac:dyDescent="0.2">
      <c r="I13778" s="1125"/>
      <c r="J13778" s="1125"/>
    </row>
    <row r="13779" spans="9:10" x14ac:dyDescent="0.2">
      <c r="I13779" s="1125"/>
      <c r="J13779" s="1125"/>
    </row>
    <row r="13780" spans="9:10" x14ac:dyDescent="0.2">
      <c r="I13780" s="1125"/>
      <c r="J13780" s="1125"/>
    </row>
    <row r="13781" spans="9:10" x14ac:dyDescent="0.2">
      <c r="I13781" s="1125"/>
      <c r="J13781" s="1125"/>
    </row>
    <row r="13782" spans="9:10" x14ac:dyDescent="0.2">
      <c r="I13782" s="1125"/>
      <c r="J13782" s="1125"/>
    </row>
    <row r="13783" spans="9:10" x14ac:dyDescent="0.2">
      <c r="I13783" s="1125"/>
      <c r="J13783" s="1125"/>
    </row>
    <row r="13784" spans="9:10" x14ac:dyDescent="0.2">
      <c r="I13784" s="1125"/>
      <c r="J13784" s="1125"/>
    </row>
    <row r="13785" spans="9:10" x14ac:dyDescent="0.2">
      <c r="I13785" s="1125"/>
      <c r="J13785" s="1125"/>
    </row>
    <row r="13786" spans="9:10" x14ac:dyDescent="0.2">
      <c r="I13786" s="1125"/>
      <c r="J13786" s="1125"/>
    </row>
    <row r="13787" spans="9:10" x14ac:dyDescent="0.2">
      <c r="I13787" s="1125"/>
      <c r="J13787" s="1125"/>
    </row>
    <row r="13788" spans="9:10" x14ac:dyDescent="0.2">
      <c r="I13788" s="1125"/>
      <c r="J13788" s="1125"/>
    </row>
    <row r="13789" spans="9:10" x14ac:dyDescent="0.2">
      <c r="I13789" s="1125"/>
      <c r="J13789" s="1125"/>
    </row>
    <row r="13790" spans="9:10" x14ac:dyDescent="0.2">
      <c r="I13790" s="1125"/>
      <c r="J13790" s="1125"/>
    </row>
    <row r="13791" spans="9:10" x14ac:dyDescent="0.2">
      <c r="I13791" s="1125"/>
      <c r="J13791" s="1125"/>
    </row>
    <row r="13792" spans="9:10" x14ac:dyDescent="0.2">
      <c r="I13792" s="1125"/>
      <c r="J13792" s="1125"/>
    </row>
    <row r="13793" spans="9:10" x14ac:dyDescent="0.2">
      <c r="I13793" s="1125"/>
      <c r="J13793" s="1125"/>
    </row>
    <row r="13794" spans="9:10" x14ac:dyDescent="0.2">
      <c r="I13794" s="1125"/>
      <c r="J13794" s="1125"/>
    </row>
    <row r="13795" spans="9:10" x14ac:dyDescent="0.2">
      <c r="I13795" s="1125"/>
      <c r="J13795" s="1125"/>
    </row>
    <row r="13796" spans="9:10" x14ac:dyDescent="0.2">
      <c r="I13796" s="1125"/>
      <c r="J13796" s="1125"/>
    </row>
    <row r="13797" spans="9:10" x14ac:dyDescent="0.2">
      <c r="I13797" s="1125"/>
      <c r="J13797" s="1125"/>
    </row>
    <row r="13798" spans="9:10" x14ac:dyDescent="0.2">
      <c r="I13798" s="1125"/>
      <c r="J13798" s="1125"/>
    </row>
    <row r="13799" spans="9:10" x14ac:dyDescent="0.2">
      <c r="I13799" s="1125"/>
      <c r="J13799" s="1125"/>
    </row>
    <row r="13800" spans="9:10" x14ac:dyDescent="0.2">
      <c r="I13800" s="1125"/>
      <c r="J13800" s="1125"/>
    </row>
    <row r="13801" spans="9:10" x14ac:dyDescent="0.2">
      <c r="I13801" s="1125"/>
      <c r="J13801" s="1125"/>
    </row>
    <row r="13802" spans="9:10" x14ac:dyDescent="0.2">
      <c r="I13802" s="1125"/>
      <c r="J13802" s="1125"/>
    </row>
    <row r="13803" spans="9:10" x14ac:dyDescent="0.2">
      <c r="I13803" s="1125"/>
      <c r="J13803" s="1125"/>
    </row>
    <row r="13804" spans="9:10" x14ac:dyDescent="0.2">
      <c r="I13804" s="1125"/>
      <c r="J13804" s="1125"/>
    </row>
    <row r="13805" spans="9:10" x14ac:dyDescent="0.2">
      <c r="I13805" s="1125"/>
      <c r="J13805" s="1125"/>
    </row>
    <row r="13806" spans="9:10" x14ac:dyDescent="0.2">
      <c r="I13806" s="1125"/>
      <c r="J13806" s="1125"/>
    </row>
    <row r="13807" spans="9:10" x14ac:dyDescent="0.2">
      <c r="I13807" s="1125"/>
      <c r="J13807" s="1125"/>
    </row>
    <row r="13808" spans="9:10" x14ac:dyDescent="0.2">
      <c r="I13808" s="1125"/>
      <c r="J13808" s="1125"/>
    </row>
    <row r="13809" spans="9:10" x14ac:dyDescent="0.2">
      <c r="I13809" s="1125"/>
      <c r="J13809" s="1125"/>
    </row>
    <row r="13810" spans="9:10" x14ac:dyDescent="0.2">
      <c r="I13810" s="1125"/>
      <c r="J13810" s="1125"/>
    </row>
    <row r="13811" spans="9:10" x14ac:dyDescent="0.2">
      <c r="I13811" s="1125"/>
      <c r="J13811" s="1125"/>
    </row>
    <row r="13812" spans="9:10" x14ac:dyDescent="0.2">
      <c r="I13812" s="1125"/>
      <c r="J13812" s="1125"/>
    </row>
    <row r="13813" spans="9:10" x14ac:dyDescent="0.2">
      <c r="I13813" s="1125"/>
      <c r="J13813" s="1125"/>
    </row>
    <row r="13814" spans="9:10" x14ac:dyDescent="0.2">
      <c r="I13814" s="1125"/>
      <c r="J13814" s="1125"/>
    </row>
    <row r="13815" spans="9:10" x14ac:dyDescent="0.2">
      <c r="I13815" s="1125"/>
      <c r="J13815" s="1125"/>
    </row>
    <row r="13816" spans="9:10" x14ac:dyDescent="0.2">
      <c r="I13816" s="1125"/>
      <c r="J13816" s="1125"/>
    </row>
    <row r="13817" spans="9:10" x14ac:dyDescent="0.2">
      <c r="I13817" s="1125"/>
      <c r="J13817" s="1125"/>
    </row>
    <row r="13818" spans="9:10" x14ac:dyDescent="0.2">
      <c r="I13818" s="1125"/>
      <c r="J13818" s="1125"/>
    </row>
    <row r="13819" spans="9:10" x14ac:dyDescent="0.2">
      <c r="I13819" s="1125"/>
      <c r="J13819" s="1125"/>
    </row>
    <row r="13820" spans="9:10" x14ac:dyDescent="0.2">
      <c r="I13820" s="1125"/>
      <c r="J13820" s="1125"/>
    </row>
    <row r="13821" spans="9:10" x14ac:dyDescent="0.2">
      <c r="I13821" s="1125"/>
      <c r="J13821" s="1125"/>
    </row>
    <row r="13822" spans="9:10" x14ac:dyDescent="0.2">
      <c r="I13822" s="1125"/>
      <c r="J13822" s="1125"/>
    </row>
    <row r="13823" spans="9:10" x14ac:dyDescent="0.2">
      <c r="I13823" s="1125"/>
      <c r="J13823" s="1125"/>
    </row>
    <row r="13824" spans="9:10" x14ac:dyDescent="0.2">
      <c r="I13824" s="1125"/>
      <c r="J13824" s="1125"/>
    </row>
    <row r="13825" spans="9:10" x14ac:dyDescent="0.2">
      <c r="I13825" s="1125"/>
      <c r="J13825" s="1125"/>
    </row>
    <row r="13826" spans="9:10" x14ac:dyDescent="0.2">
      <c r="I13826" s="1125"/>
      <c r="J13826" s="1125"/>
    </row>
    <row r="13827" spans="9:10" x14ac:dyDescent="0.2">
      <c r="I13827" s="1125"/>
      <c r="J13827" s="1125"/>
    </row>
    <row r="13828" spans="9:10" x14ac:dyDescent="0.2">
      <c r="I13828" s="1125"/>
      <c r="J13828" s="1125"/>
    </row>
    <row r="13829" spans="9:10" x14ac:dyDescent="0.2">
      <c r="I13829" s="1125"/>
      <c r="J13829" s="1125"/>
    </row>
    <row r="13830" spans="9:10" x14ac:dyDescent="0.2">
      <c r="I13830" s="1125"/>
      <c r="J13830" s="1125"/>
    </row>
    <row r="13831" spans="9:10" x14ac:dyDescent="0.2">
      <c r="I13831" s="1125"/>
      <c r="J13831" s="1125"/>
    </row>
    <row r="13832" spans="9:10" x14ac:dyDescent="0.2">
      <c r="I13832" s="1125"/>
      <c r="J13832" s="1125"/>
    </row>
    <row r="13833" spans="9:10" x14ac:dyDescent="0.2">
      <c r="I13833" s="1125"/>
      <c r="J13833" s="1125"/>
    </row>
    <row r="13834" spans="9:10" x14ac:dyDescent="0.2">
      <c r="I13834" s="1125"/>
      <c r="J13834" s="1125"/>
    </row>
    <row r="13835" spans="9:10" x14ac:dyDescent="0.2">
      <c r="I13835" s="1125"/>
      <c r="J13835" s="1125"/>
    </row>
    <row r="13836" spans="9:10" x14ac:dyDescent="0.2">
      <c r="I13836" s="1125"/>
      <c r="J13836" s="1125"/>
    </row>
    <row r="13837" spans="9:10" x14ac:dyDescent="0.2">
      <c r="I13837" s="1125"/>
      <c r="J13837" s="1125"/>
    </row>
    <row r="13838" spans="9:10" x14ac:dyDescent="0.2">
      <c r="I13838" s="1125"/>
      <c r="J13838" s="1125"/>
    </row>
    <row r="13839" spans="9:10" x14ac:dyDescent="0.2">
      <c r="I13839" s="1125"/>
      <c r="J13839" s="1125"/>
    </row>
    <row r="13840" spans="9:10" x14ac:dyDescent="0.2">
      <c r="I13840" s="1125"/>
      <c r="J13840" s="1125"/>
    </row>
    <row r="13841" spans="9:10" x14ac:dyDescent="0.2">
      <c r="I13841" s="1125"/>
      <c r="J13841" s="1125"/>
    </row>
    <row r="13842" spans="9:10" x14ac:dyDescent="0.2">
      <c r="I13842" s="1125"/>
      <c r="J13842" s="1125"/>
    </row>
    <row r="13843" spans="9:10" x14ac:dyDescent="0.2">
      <c r="I13843" s="1125"/>
      <c r="J13843" s="1125"/>
    </row>
    <row r="13844" spans="9:10" x14ac:dyDescent="0.2">
      <c r="I13844" s="1125"/>
      <c r="J13844" s="1125"/>
    </row>
    <row r="13845" spans="9:10" x14ac:dyDescent="0.2">
      <c r="I13845" s="1125"/>
      <c r="J13845" s="1125"/>
    </row>
    <row r="13846" spans="9:10" x14ac:dyDescent="0.2">
      <c r="I13846" s="1125"/>
      <c r="J13846" s="1125"/>
    </row>
    <row r="13847" spans="9:10" x14ac:dyDescent="0.2">
      <c r="I13847" s="1125"/>
      <c r="J13847" s="1125"/>
    </row>
    <row r="13848" spans="9:10" x14ac:dyDescent="0.2">
      <c r="I13848" s="1125"/>
      <c r="J13848" s="1125"/>
    </row>
    <row r="13849" spans="9:10" x14ac:dyDescent="0.2">
      <c r="I13849" s="1125"/>
      <c r="J13849" s="1125"/>
    </row>
    <row r="13850" spans="9:10" x14ac:dyDescent="0.2">
      <c r="I13850" s="1125"/>
      <c r="J13850" s="1125"/>
    </row>
    <row r="13851" spans="9:10" x14ac:dyDescent="0.2">
      <c r="I13851" s="1125"/>
      <c r="J13851" s="1125"/>
    </row>
    <row r="13852" spans="9:10" x14ac:dyDescent="0.2">
      <c r="I13852" s="1125"/>
      <c r="J13852" s="1125"/>
    </row>
    <row r="13853" spans="9:10" x14ac:dyDescent="0.2">
      <c r="I13853" s="1125"/>
      <c r="J13853" s="1125"/>
    </row>
    <row r="13854" spans="9:10" x14ac:dyDescent="0.2">
      <c r="I13854" s="1125"/>
      <c r="J13854" s="1125"/>
    </row>
    <row r="13855" spans="9:10" x14ac:dyDescent="0.2">
      <c r="I13855" s="1125"/>
      <c r="J13855" s="1125"/>
    </row>
    <row r="13856" spans="9:10" x14ac:dyDescent="0.2">
      <c r="I13856" s="1125"/>
      <c r="J13856" s="1125"/>
    </row>
    <row r="13857" spans="9:10" x14ac:dyDescent="0.2">
      <c r="I13857" s="1125"/>
      <c r="J13857" s="1125"/>
    </row>
    <row r="13858" spans="9:10" x14ac:dyDescent="0.2">
      <c r="I13858" s="1125"/>
      <c r="J13858" s="1125"/>
    </row>
    <row r="13859" spans="9:10" x14ac:dyDescent="0.2">
      <c r="I13859" s="1125"/>
      <c r="J13859" s="1125"/>
    </row>
    <row r="13860" spans="9:10" x14ac:dyDescent="0.2">
      <c r="I13860" s="1125"/>
      <c r="J13860" s="1125"/>
    </row>
    <row r="13861" spans="9:10" x14ac:dyDescent="0.2">
      <c r="I13861" s="1125"/>
      <c r="J13861" s="1125"/>
    </row>
    <row r="13862" spans="9:10" x14ac:dyDescent="0.2">
      <c r="I13862" s="1125"/>
      <c r="J13862" s="1125"/>
    </row>
    <row r="13863" spans="9:10" x14ac:dyDescent="0.2">
      <c r="I13863" s="1125"/>
      <c r="J13863" s="1125"/>
    </row>
    <row r="13864" spans="9:10" x14ac:dyDescent="0.2">
      <c r="I13864" s="1125"/>
      <c r="J13864" s="1125"/>
    </row>
    <row r="13865" spans="9:10" x14ac:dyDescent="0.2">
      <c r="I13865" s="1125"/>
      <c r="J13865" s="1125"/>
    </row>
    <row r="13866" spans="9:10" x14ac:dyDescent="0.2">
      <c r="I13866" s="1125"/>
      <c r="J13866" s="1125"/>
    </row>
    <row r="13867" spans="9:10" x14ac:dyDescent="0.2">
      <c r="I13867" s="1125"/>
      <c r="J13867" s="1125"/>
    </row>
    <row r="13868" spans="9:10" x14ac:dyDescent="0.2">
      <c r="I13868" s="1125"/>
      <c r="J13868" s="1125"/>
    </row>
    <row r="13869" spans="9:10" x14ac:dyDescent="0.2">
      <c r="I13869" s="1125"/>
      <c r="J13869" s="1125"/>
    </row>
    <row r="13870" spans="9:10" x14ac:dyDescent="0.2">
      <c r="I13870" s="1125"/>
      <c r="J13870" s="1125"/>
    </row>
    <row r="13871" spans="9:10" x14ac:dyDescent="0.2">
      <c r="I13871" s="1125"/>
      <c r="J13871" s="1125"/>
    </row>
    <row r="13872" spans="9:10" x14ac:dyDescent="0.2">
      <c r="I13872" s="1125"/>
      <c r="J13872" s="1125"/>
    </row>
    <row r="13873" spans="9:10" x14ac:dyDescent="0.2">
      <c r="I13873" s="1125"/>
      <c r="J13873" s="1125"/>
    </row>
    <row r="13874" spans="9:10" x14ac:dyDescent="0.2">
      <c r="I13874" s="1125"/>
      <c r="J13874" s="1125"/>
    </row>
    <row r="13875" spans="9:10" x14ac:dyDescent="0.2">
      <c r="I13875" s="1125"/>
      <c r="J13875" s="1125"/>
    </row>
    <row r="13876" spans="9:10" x14ac:dyDescent="0.2">
      <c r="I13876" s="1125"/>
      <c r="J13876" s="1125"/>
    </row>
    <row r="13877" spans="9:10" x14ac:dyDescent="0.2">
      <c r="I13877" s="1125"/>
      <c r="J13877" s="1125"/>
    </row>
    <row r="13878" spans="9:10" x14ac:dyDescent="0.2">
      <c r="I13878" s="1125"/>
      <c r="J13878" s="1125"/>
    </row>
    <row r="13879" spans="9:10" x14ac:dyDescent="0.2">
      <c r="I13879" s="1125"/>
      <c r="J13879" s="1125"/>
    </row>
    <row r="13880" spans="9:10" x14ac:dyDescent="0.2">
      <c r="I13880" s="1125"/>
      <c r="J13880" s="1125"/>
    </row>
    <row r="13881" spans="9:10" x14ac:dyDescent="0.2">
      <c r="I13881" s="1125"/>
      <c r="J13881" s="1125"/>
    </row>
    <row r="13882" spans="9:10" x14ac:dyDescent="0.2">
      <c r="I13882" s="1125"/>
      <c r="J13882" s="1125"/>
    </row>
    <row r="13883" spans="9:10" x14ac:dyDescent="0.2">
      <c r="I13883" s="1125"/>
      <c r="J13883" s="1125"/>
    </row>
    <row r="13884" spans="9:10" x14ac:dyDescent="0.2">
      <c r="I13884" s="1125"/>
      <c r="J13884" s="1125"/>
    </row>
    <row r="13885" spans="9:10" x14ac:dyDescent="0.2">
      <c r="I13885" s="1125"/>
      <c r="J13885" s="1125"/>
    </row>
    <row r="13886" spans="9:10" x14ac:dyDescent="0.2">
      <c r="I13886" s="1125"/>
      <c r="J13886" s="1125"/>
    </row>
    <row r="13887" spans="9:10" x14ac:dyDescent="0.2">
      <c r="I13887" s="1125"/>
      <c r="J13887" s="1125"/>
    </row>
    <row r="13888" spans="9:10" x14ac:dyDescent="0.2">
      <c r="I13888" s="1125"/>
      <c r="J13888" s="1125"/>
    </row>
    <row r="13889" spans="9:10" x14ac:dyDescent="0.2">
      <c r="I13889" s="1125"/>
      <c r="J13889" s="1125"/>
    </row>
    <row r="13890" spans="9:10" x14ac:dyDescent="0.2">
      <c r="I13890" s="1125"/>
      <c r="J13890" s="1125"/>
    </row>
    <row r="13891" spans="9:10" x14ac:dyDescent="0.2">
      <c r="I13891" s="1125"/>
      <c r="J13891" s="1125"/>
    </row>
    <row r="13892" spans="9:10" x14ac:dyDescent="0.2">
      <c r="I13892" s="1125"/>
      <c r="J13892" s="1125"/>
    </row>
    <row r="13893" spans="9:10" x14ac:dyDescent="0.2">
      <c r="I13893" s="1125"/>
      <c r="J13893" s="1125"/>
    </row>
    <row r="13894" spans="9:10" x14ac:dyDescent="0.2">
      <c r="I13894" s="1125"/>
      <c r="J13894" s="1125"/>
    </row>
    <row r="13895" spans="9:10" x14ac:dyDescent="0.2">
      <c r="I13895" s="1125"/>
      <c r="J13895" s="1125"/>
    </row>
    <row r="13896" spans="9:10" x14ac:dyDescent="0.2">
      <c r="I13896" s="1125"/>
      <c r="J13896" s="1125"/>
    </row>
    <row r="13897" spans="9:10" x14ac:dyDescent="0.2">
      <c r="I13897" s="1125"/>
      <c r="J13897" s="1125"/>
    </row>
    <row r="13898" spans="9:10" x14ac:dyDescent="0.2">
      <c r="I13898" s="1125"/>
      <c r="J13898" s="1125"/>
    </row>
    <row r="13899" spans="9:10" x14ac:dyDescent="0.2">
      <c r="I13899" s="1125"/>
      <c r="J13899" s="1125"/>
    </row>
    <row r="13900" spans="9:10" x14ac:dyDescent="0.2">
      <c r="I13900" s="1125"/>
      <c r="J13900" s="1125"/>
    </row>
    <row r="13901" spans="9:10" x14ac:dyDescent="0.2">
      <c r="I13901" s="1125"/>
      <c r="J13901" s="1125"/>
    </row>
    <row r="13902" spans="9:10" x14ac:dyDescent="0.2">
      <c r="I13902" s="1125"/>
      <c r="J13902" s="1125"/>
    </row>
    <row r="13903" spans="9:10" x14ac:dyDescent="0.2">
      <c r="I13903" s="1125"/>
      <c r="J13903" s="1125"/>
    </row>
    <row r="13904" spans="9:10" x14ac:dyDescent="0.2">
      <c r="I13904" s="1125"/>
      <c r="J13904" s="1125"/>
    </row>
    <row r="13905" spans="9:10" x14ac:dyDescent="0.2">
      <c r="I13905" s="1125"/>
      <c r="J13905" s="1125"/>
    </row>
    <row r="13906" spans="9:10" x14ac:dyDescent="0.2">
      <c r="I13906" s="1125"/>
      <c r="J13906" s="1125"/>
    </row>
    <row r="13907" spans="9:10" x14ac:dyDescent="0.2">
      <c r="I13907" s="1125"/>
      <c r="J13907" s="1125"/>
    </row>
    <row r="13908" spans="9:10" x14ac:dyDescent="0.2">
      <c r="I13908" s="1125"/>
      <c r="J13908" s="1125"/>
    </row>
    <row r="13909" spans="9:10" x14ac:dyDescent="0.2">
      <c r="I13909" s="1125"/>
      <c r="J13909" s="1125"/>
    </row>
    <row r="13910" spans="9:10" x14ac:dyDescent="0.2">
      <c r="I13910" s="1125"/>
      <c r="J13910" s="1125"/>
    </row>
    <row r="13911" spans="9:10" x14ac:dyDescent="0.2">
      <c r="I13911" s="1125"/>
      <c r="J13911" s="1125"/>
    </row>
    <row r="13912" spans="9:10" x14ac:dyDescent="0.2">
      <c r="I13912" s="1125"/>
      <c r="J13912" s="1125"/>
    </row>
    <row r="13913" spans="9:10" x14ac:dyDescent="0.2">
      <c r="I13913" s="1125"/>
      <c r="J13913" s="1125"/>
    </row>
    <row r="13914" spans="9:10" x14ac:dyDescent="0.2">
      <c r="I13914" s="1125"/>
      <c r="J13914" s="1125"/>
    </row>
    <row r="13915" spans="9:10" x14ac:dyDescent="0.2">
      <c r="I13915" s="1125"/>
      <c r="J13915" s="1125"/>
    </row>
    <row r="13916" spans="9:10" x14ac:dyDescent="0.2">
      <c r="I13916" s="1125"/>
      <c r="J13916" s="1125"/>
    </row>
    <row r="13917" spans="9:10" x14ac:dyDescent="0.2">
      <c r="I13917" s="1125"/>
      <c r="J13917" s="1125"/>
    </row>
    <row r="13918" spans="9:10" x14ac:dyDescent="0.2">
      <c r="I13918" s="1125"/>
      <c r="J13918" s="1125"/>
    </row>
    <row r="13919" spans="9:10" x14ac:dyDescent="0.2">
      <c r="I13919" s="1125"/>
      <c r="J13919" s="1125"/>
    </row>
    <row r="13920" spans="9:10" x14ac:dyDescent="0.2">
      <c r="I13920" s="1125"/>
      <c r="J13920" s="1125"/>
    </row>
    <row r="13921" spans="9:10" x14ac:dyDescent="0.2">
      <c r="I13921" s="1125"/>
      <c r="J13921" s="1125"/>
    </row>
    <row r="13922" spans="9:10" x14ac:dyDescent="0.2">
      <c r="I13922" s="1125"/>
      <c r="J13922" s="1125"/>
    </row>
    <row r="13923" spans="9:10" x14ac:dyDescent="0.2">
      <c r="I13923" s="1125"/>
      <c r="J13923" s="1125"/>
    </row>
    <row r="13924" spans="9:10" x14ac:dyDescent="0.2">
      <c r="I13924" s="1125"/>
      <c r="J13924" s="1125"/>
    </row>
    <row r="13925" spans="9:10" x14ac:dyDescent="0.2">
      <c r="I13925" s="1125"/>
      <c r="J13925" s="1125"/>
    </row>
    <row r="13926" spans="9:10" x14ac:dyDescent="0.2">
      <c r="I13926" s="1125"/>
      <c r="J13926" s="1125"/>
    </row>
    <row r="13927" spans="9:10" x14ac:dyDescent="0.2">
      <c r="I13927" s="1125"/>
      <c r="J13927" s="1125"/>
    </row>
    <row r="13928" spans="9:10" x14ac:dyDescent="0.2">
      <c r="I13928" s="1125"/>
      <c r="J13928" s="1125"/>
    </row>
    <row r="13929" spans="9:10" x14ac:dyDescent="0.2">
      <c r="I13929" s="1125"/>
      <c r="J13929" s="1125"/>
    </row>
    <row r="13930" spans="9:10" x14ac:dyDescent="0.2">
      <c r="I13930" s="1125"/>
      <c r="J13930" s="1125"/>
    </row>
    <row r="13931" spans="9:10" x14ac:dyDescent="0.2">
      <c r="I13931" s="1125"/>
      <c r="J13931" s="1125"/>
    </row>
    <row r="13932" spans="9:10" x14ac:dyDescent="0.2">
      <c r="I13932" s="1125"/>
      <c r="J13932" s="1125"/>
    </row>
    <row r="13933" spans="9:10" x14ac:dyDescent="0.2">
      <c r="I13933" s="1125"/>
      <c r="J13933" s="1125"/>
    </row>
    <row r="13934" spans="9:10" x14ac:dyDescent="0.2">
      <c r="I13934" s="1125"/>
      <c r="J13934" s="1125"/>
    </row>
    <row r="13935" spans="9:10" x14ac:dyDescent="0.2">
      <c r="I13935" s="1125"/>
      <c r="J13935" s="1125"/>
    </row>
    <row r="13936" spans="9:10" x14ac:dyDescent="0.2">
      <c r="I13936" s="1125"/>
      <c r="J13936" s="1125"/>
    </row>
    <row r="13937" spans="9:10" x14ac:dyDescent="0.2">
      <c r="I13937" s="1125"/>
      <c r="J13937" s="1125"/>
    </row>
    <row r="13938" spans="9:10" x14ac:dyDescent="0.2">
      <c r="I13938" s="1125"/>
      <c r="J13938" s="1125"/>
    </row>
    <row r="13939" spans="9:10" x14ac:dyDescent="0.2">
      <c r="I13939" s="1125"/>
      <c r="J13939" s="1125"/>
    </row>
    <row r="13940" spans="9:10" x14ac:dyDescent="0.2">
      <c r="I13940" s="1125"/>
      <c r="J13940" s="1125"/>
    </row>
    <row r="13941" spans="9:10" x14ac:dyDescent="0.2">
      <c r="I13941" s="1125"/>
      <c r="J13941" s="1125"/>
    </row>
    <row r="13942" spans="9:10" x14ac:dyDescent="0.2">
      <c r="I13942" s="1125"/>
      <c r="J13942" s="1125"/>
    </row>
    <row r="13943" spans="9:10" x14ac:dyDescent="0.2">
      <c r="I13943" s="1125"/>
      <c r="J13943" s="1125"/>
    </row>
    <row r="13944" spans="9:10" x14ac:dyDescent="0.2">
      <c r="I13944" s="1125"/>
      <c r="J13944" s="1125"/>
    </row>
    <row r="13945" spans="9:10" x14ac:dyDescent="0.2">
      <c r="I13945" s="1125"/>
      <c r="J13945" s="1125"/>
    </row>
    <row r="13946" spans="9:10" x14ac:dyDescent="0.2">
      <c r="I13946" s="1125"/>
      <c r="J13946" s="1125"/>
    </row>
    <row r="13947" spans="9:10" x14ac:dyDescent="0.2">
      <c r="I13947" s="1125"/>
      <c r="J13947" s="1125"/>
    </row>
    <row r="13948" spans="9:10" x14ac:dyDescent="0.2">
      <c r="I13948" s="1125"/>
      <c r="J13948" s="1125"/>
    </row>
    <row r="13949" spans="9:10" x14ac:dyDescent="0.2">
      <c r="I13949" s="1125"/>
      <c r="J13949" s="1125"/>
    </row>
    <row r="13950" spans="9:10" x14ac:dyDescent="0.2">
      <c r="I13950" s="1125"/>
      <c r="J13950" s="1125"/>
    </row>
    <row r="13951" spans="9:10" x14ac:dyDescent="0.2">
      <c r="I13951" s="1125"/>
      <c r="J13951" s="1125"/>
    </row>
    <row r="13952" spans="9:10" x14ac:dyDescent="0.2">
      <c r="I13952" s="1125"/>
      <c r="J13952" s="1125"/>
    </row>
    <row r="13953" spans="9:10" x14ac:dyDescent="0.2">
      <c r="I13953" s="1125"/>
      <c r="J13953" s="1125"/>
    </row>
    <row r="13954" spans="9:10" x14ac:dyDescent="0.2">
      <c r="I13954" s="1125"/>
      <c r="J13954" s="1125"/>
    </row>
    <row r="13955" spans="9:10" x14ac:dyDescent="0.2">
      <c r="I13955" s="1125"/>
      <c r="J13955" s="1125"/>
    </row>
    <row r="13956" spans="9:10" x14ac:dyDescent="0.2">
      <c r="I13956" s="1125"/>
      <c r="J13956" s="1125"/>
    </row>
    <row r="13957" spans="9:10" x14ac:dyDescent="0.2">
      <c r="I13957" s="1125"/>
      <c r="J13957" s="1125"/>
    </row>
    <row r="13958" spans="9:10" x14ac:dyDescent="0.2">
      <c r="I13958" s="1125"/>
      <c r="J13958" s="1125"/>
    </row>
    <row r="13959" spans="9:10" x14ac:dyDescent="0.2">
      <c r="I13959" s="1125"/>
      <c r="J13959" s="1125"/>
    </row>
    <row r="13960" spans="9:10" x14ac:dyDescent="0.2">
      <c r="I13960" s="1125"/>
      <c r="J13960" s="1125"/>
    </row>
    <row r="13961" spans="9:10" x14ac:dyDescent="0.2">
      <c r="I13961" s="1125"/>
      <c r="J13961" s="1125"/>
    </row>
    <row r="13962" spans="9:10" x14ac:dyDescent="0.2">
      <c r="I13962" s="1125"/>
      <c r="J13962" s="1125"/>
    </row>
    <row r="13963" spans="9:10" x14ac:dyDescent="0.2">
      <c r="I13963" s="1125"/>
      <c r="J13963" s="1125"/>
    </row>
    <row r="13964" spans="9:10" x14ac:dyDescent="0.2">
      <c r="I13964" s="1125"/>
      <c r="J13964" s="1125"/>
    </row>
    <row r="13965" spans="9:10" x14ac:dyDescent="0.2">
      <c r="I13965" s="1125"/>
      <c r="J13965" s="1125"/>
    </row>
    <row r="13966" spans="9:10" x14ac:dyDescent="0.2">
      <c r="I13966" s="1125"/>
      <c r="J13966" s="1125"/>
    </row>
    <row r="13967" spans="9:10" x14ac:dyDescent="0.2">
      <c r="I13967" s="1125"/>
      <c r="J13967" s="1125"/>
    </row>
    <row r="13968" spans="9:10" x14ac:dyDescent="0.2">
      <c r="I13968" s="1125"/>
      <c r="J13968" s="1125"/>
    </row>
    <row r="13969" spans="9:10" x14ac:dyDescent="0.2">
      <c r="I13969" s="1125"/>
      <c r="J13969" s="1125"/>
    </row>
    <row r="13970" spans="9:10" x14ac:dyDescent="0.2">
      <c r="I13970" s="1125"/>
      <c r="J13970" s="1125"/>
    </row>
    <row r="13971" spans="9:10" x14ac:dyDescent="0.2">
      <c r="I13971" s="1125"/>
      <c r="J13971" s="1125"/>
    </row>
    <row r="13972" spans="9:10" x14ac:dyDescent="0.2">
      <c r="I13972" s="1125"/>
      <c r="J13972" s="1125"/>
    </row>
    <row r="13973" spans="9:10" x14ac:dyDescent="0.2">
      <c r="I13973" s="1125"/>
      <c r="J13973" s="1125"/>
    </row>
    <row r="13974" spans="9:10" x14ac:dyDescent="0.2">
      <c r="I13974" s="1125"/>
      <c r="J13974" s="1125"/>
    </row>
    <row r="13975" spans="9:10" x14ac:dyDescent="0.2">
      <c r="I13975" s="1125"/>
      <c r="J13975" s="1125"/>
    </row>
    <row r="13976" spans="9:10" x14ac:dyDescent="0.2">
      <c r="I13976" s="1125"/>
      <c r="J13976" s="1125"/>
    </row>
    <row r="13977" spans="9:10" x14ac:dyDescent="0.2">
      <c r="I13977" s="1125"/>
      <c r="J13977" s="1125"/>
    </row>
    <row r="13978" spans="9:10" x14ac:dyDescent="0.2">
      <c r="I13978" s="1125"/>
      <c r="J13978" s="1125"/>
    </row>
    <row r="13979" spans="9:10" x14ac:dyDescent="0.2">
      <c r="I13979" s="1125"/>
      <c r="J13979" s="1125"/>
    </row>
    <row r="13980" spans="9:10" x14ac:dyDescent="0.2">
      <c r="I13980" s="1125"/>
      <c r="J13980" s="1125"/>
    </row>
    <row r="13981" spans="9:10" x14ac:dyDescent="0.2">
      <c r="I13981" s="1125"/>
      <c r="J13981" s="1125"/>
    </row>
    <row r="13982" spans="9:10" x14ac:dyDescent="0.2">
      <c r="I13982" s="1125"/>
      <c r="J13982" s="1125"/>
    </row>
    <row r="13983" spans="9:10" x14ac:dyDescent="0.2">
      <c r="I13983" s="1125"/>
      <c r="J13983" s="1125"/>
    </row>
    <row r="13984" spans="9:10" x14ac:dyDescent="0.2">
      <c r="I13984" s="1125"/>
      <c r="J13984" s="1125"/>
    </row>
    <row r="13985" spans="9:10" x14ac:dyDescent="0.2">
      <c r="I13985" s="1125"/>
      <c r="J13985" s="1125"/>
    </row>
    <row r="13986" spans="9:10" x14ac:dyDescent="0.2">
      <c r="I13986" s="1125"/>
      <c r="J13986" s="1125"/>
    </row>
    <row r="13987" spans="9:10" x14ac:dyDescent="0.2">
      <c r="I13987" s="1125"/>
      <c r="J13987" s="1125"/>
    </row>
    <row r="13988" spans="9:10" x14ac:dyDescent="0.2">
      <c r="I13988" s="1125"/>
      <c r="J13988" s="1125"/>
    </row>
    <row r="13989" spans="9:10" x14ac:dyDescent="0.2">
      <c r="I13989" s="1125"/>
      <c r="J13989" s="1125"/>
    </row>
    <row r="13990" spans="9:10" x14ac:dyDescent="0.2">
      <c r="I13990" s="1125"/>
      <c r="J13990" s="1125"/>
    </row>
    <row r="13991" spans="9:10" x14ac:dyDescent="0.2">
      <c r="I13991" s="1125"/>
      <c r="J13991" s="1125"/>
    </row>
    <row r="13992" spans="9:10" x14ac:dyDescent="0.2">
      <c r="I13992" s="1125"/>
      <c r="J13992" s="1125"/>
    </row>
    <row r="13993" spans="9:10" x14ac:dyDescent="0.2">
      <c r="I13993" s="1125"/>
      <c r="J13993" s="1125"/>
    </row>
    <row r="13994" spans="9:10" x14ac:dyDescent="0.2">
      <c r="I13994" s="1125"/>
      <c r="J13994" s="1125"/>
    </row>
    <row r="13995" spans="9:10" x14ac:dyDescent="0.2">
      <c r="I13995" s="1125"/>
      <c r="J13995" s="1125"/>
    </row>
    <row r="13996" spans="9:10" x14ac:dyDescent="0.2">
      <c r="I13996" s="1125"/>
      <c r="J13996" s="1125"/>
    </row>
    <row r="13997" spans="9:10" x14ac:dyDescent="0.2">
      <c r="I13997" s="1125"/>
      <c r="J13997" s="1125"/>
    </row>
    <row r="13998" spans="9:10" x14ac:dyDescent="0.2">
      <c r="I13998" s="1125"/>
      <c r="J13998" s="1125"/>
    </row>
    <row r="13999" spans="9:10" x14ac:dyDescent="0.2">
      <c r="I13999" s="1125"/>
      <c r="J13999" s="1125"/>
    </row>
    <row r="14000" spans="9:10" x14ac:dyDescent="0.2">
      <c r="I14000" s="1125"/>
      <c r="J14000" s="1125"/>
    </row>
    <row r="14001" spans="9:10" x14ac:dyDescent="0.2">
      <c r="I14001" s="1125"/>
      <c r="J14001" s="1125"/>
    </row>
    <row r="14002" spans="9:10" x14ac:dyDescent="0.2">
      <c r="I14002" s="1125"/>
      <c r="J14002" s="1125"/>
    </row>
    <row r="14003" spans="9:10" x14ac:dyDescent="0.2">
      <c r="I14003" s="1125"/>
      <c r="J14003" s="1125"/>
    </row>
    <row r="14004" spans="9:10" x14ac:dyDescent="0.2">
      <c r="I14004" s="1125"/>
      <c r="J14004" s="1125"/>
    </row>
    <row r="14005" spans="9:10" x14ac:dyDescent="0.2">
      <c r="I14005" s="1125"/>
      <c r="J14005" s="1125"/>
    </row>
    <row r="14006" spans="9:10" x14ac:dyDescent="0.2">
      <c r="I14006" s="1125"/>
      <c r="J14006" s="1125"/>
    </row>
    <row r="14007" spans="9:10" x14ac:dyDescent="0.2">
      <c r="I14007" s="1125"/>
      <c r="J14007" s="1125"/>
    </row>
    <row r="14008" spans="9:10" x14ac:dyDescent="0.2">
      <c r="I14008" s="1125"/>
      <c r="J14008" s="1125"/>
    </row>
    <row r="14009" spans="9:10" x14ac:dyDescent="0.2">
      <c r="I14009" s="1125"/>
      <c r="J14009" s="1125"/>
    </row>
    <row r="14010" spans="9:10" x14ac:dyDescent="0.2">
      <c r="I14010" s="1125"/>
      <c r="J14010" s="1125"/>
    </row>
    <row r="14011" spans="9:10" x14ac:dyDescent="0.2">
      <c r="I14011" s="1125"/>
      <c r="J14011" s="1125"/>
    </row>
    <row r="14012" spans="9:10" x14ac:dyDescent="0.2">
      <c r="I14012" s="1125"/>
      <c r="J14012" s="1125"/>
    </row>
    <row r="14013" spans="9:10" x14ac:dyDescent="0.2">
      <c r="I14013" s="1125"/>
      <c r="J14013" s="1125"/>
    </row>
    <row r="14014" spans="9:10" x14ac:dyDescent="0.2">
      <c r="I14014" s="1125"/>
      <c r="J14014" s="1125"/>
    </row>
    <row r="14015" spans="9:10" x14ac:dyDescent="0.2">
      <c r="I14015" s="1125"/>
      <c r="J14015" s="1125"/>
    </row>
    <row r="14016" spans="9:10" x14ac:dyDescent="0.2">
      <c r="I14016" s="1125"/>
      <c r="J14016" s="1125"/>
    </row>
    <row r="14017" spans="9:10" x14ac:dyDescent="0.2">
      <c r="I14017" s="1125"/>
      <c r="J14017" s="1125"/>
    </row>
    <row r="14018" spans="9:10" x14ac:dyDescent="0.2">
      <c r="I14018" s="1125"/>
      <c r="J14018" s="1125"/>
    </row>
    <row r="14019" spans="9:10" x14ac:dyDescent="0.2">
      <c r="I14019" s="1125"/>
      <c r="J14019" s="1125"/>
    </row>
    <row r="14020" spans="9:10" x14ac:dyDescent="0.2">
      <c r="I14020" s="1125"/>
      <c r="J14020" s="1125"/>
    </row>
    <row r="14021" spans="9:10" x14ac:dyDescent="0.2">
      <c r="I14021" s="1125"/>
      <c r="J14021" s="1125"/>
    </row>
    <row r="14022" spans="9:10" x14ac:dyDescent="0.2">
      <c r="I14022" s="1125"/>
      <c r="J14022" s="1125"/>
    </row>
    <row r="14023" spans="9:10" x14ac:dyDescent="0.2">
      <c r="I14023" s="1125"/>
      <c r="J14023" s="1125"/>
    </row>
    <row r="14024" spans="9:10" x14ac:dyDescent="0.2">
      <c r="I14024" s="1125"/>
      <c r="J14024" s="1125"/>
    </row>
    <row r="14025" spans="9:10" x14ac:dyDescent="0.2">
      <c r="I14025" s="1125"/>
      <c r="J14025" s="1125"/>
    </row>
    <row r="14026" spans="9:10" x14ac:dyDescent="0.2">
      <c r="I14026" s="1125"/>
      <c r="J14026" s="1125"/>
    </row>
    <row r="14027" spans="9:10" x14ac:dyDescent="0.2">
      <c r="I14027" s="1125"/>
      <c r="J14027" s="1125"/>
    </row>
    <row r="14028" spans="9:10" x14ac:dyDescent="0.2">
      <c r="I14028" s="1125"/>
      <c r="J14028" s="1125"/>
    </row>
    <row r="14029" spans="9:10" x14ac:dyDescent="0.2">
      <c r="I14029" s="1125"/>
      <c r="J14029" s="1125"/>
    </row>
    <row r="14030" spans="9:10" x14ac:dyDescent="0.2">
      <c r="I14030" s="1125"/>
      <c r="J14030" s="1125"/>
    </row>
    <row r="14031" spans="9:10" x14ac:dyDescent="0.2">
      <c r="I14031" s="1125"/>
      <c r="J14031" s="1125"/>
    </row>
    <row r="14032" spans="9:10" x14ac:dyDescent="0.2">
      <c r="I14032" s="1125"/>
      <c r="J14032" s="1125"/>
    </row>
    <row r="14033" spans="9:10" x14ac:dyDescent="0.2">
      <c r="I14033" s="1125"/>
      <c r="J14033" s="1125"/>
    </row>
    <row r="14034" spans="9:10" x14ac:dyDescent="0.2">
      <c r="I14034" s="1125"/>
      <c r="J14034" s="1125"/>
    </row>
    <row r="14035" spans="9:10" x14ac:dyDescent="0.2">
      <c r="I14035" s="1125"/>
      <c r="J14035" s="1125"/>
    </row>
    <row r="14036" spans="9:10" x14ac:dyDescent="0.2">
      <c r="I14036" s="1125"/>
      <c r="J14036" s="1125"/>
    </row>
    <row r="14037" spans="9:10" x14ac:dyDescent="0.2">
      <c r="I14037" s="1125"/>
      <c r="J14037" s="1125"/>
    </row>
    <row r="14038" spans="9:10" x14ac:dyDescent="0.2">
      <c r="I14038" s="1125"/>
      <c r="J14038" s="1125"/>
    </row>
    <row r="14039" spans="9:10" x14ac:dyDescent="0.2">
      <c r="I14039" s="1125"/>
      <c r="J14039" s="1125"/>
    </row>
    <row r="14040" spans="9:10" x14ac:dyDescent="0.2">
      <c r="I14040" s="1125"/>
      <c r="J14040" s="1125"/>
    </row>
    <row r="14041" spans="9:10" x14ac:dyDescent="0.2">
      <c r="I14041" s="1125"/>
      <c r="J14041" s="1125"/>
    </row>
    <row r="14042" spans="9:10" x14ac:dyDescent="0.2">
      <c r="I14042" s="1125"/>
      <c r="J14042" s="1125"/>
    </row>
    <row r="14043" spans="9:10" x14ac:dyDescent="0.2">
      <c r="I14043" s="1125"/>
      <c r="J14043" s="1125"/>
    </row>
    <row r="14044" spans="9:10" x14ac:dyDescent="0.2">
      <c r="I14044" s="1125"/>
      <c r="J14044" s="1125"/>
    </row>
    <row r="14045" spans="9:10" x14ac:dyDescent="0.2">
      <c r="I14045" s="1125"/>
      <c r="J14045" s="1125"/>
    </row>
    <row r="14046" spans="9:10" x14ac:dyDescent="0.2">
      <c r="I14046" s="1125"/>
      <c r="J14046" s="1125"/>
    </row>
    <row r="14047" spans="9:10" x14ac:dyDescent="0.2">
      <c r="I14047" s="1125"/>
      <c r="J14047" s="1125"/>
    </row>
    <row r="14048" spans="9:10" x14ac:dyDescent="0.2">
      <c r="I14048" s="1125"/>
      <c r="J14048" s="1125"/>
    </row>
    <row r="14049" spans="9:10" x14ac:dyDescent="0.2">
      <c r="I14049" s="1125"/>
      <c r="J14049" s="1125"/>
    </row>
    <row r="14050" spans="9:10" x14ac:dyDescent="0.2">
      <c r="I14050" s="1125"/>
      <c r="J14050" s="1125"/>
    </row>
    <row r="14051" spans="9:10" x14ac:dyDescent="0.2">
      <c r="I14051" s="1125"/>
      <c r="J14051" s="1125"/>
    </row>
    <row r="14052" spans="9:10" x14ac:dyDescent="0.2">
      <c r="I14052" s="1125"/>
      <c r="J14052" s="1125"/>
    </row>
    <row r="14053" spans="9:10" x14ac:dyDescent="0.2">
      <c r="I14053" s="1125"/>
      <c r="J14053" s="1125"/>
    </row>
    <row r="14054" spans="9:10" x14ac:dyDescent="0.2">
      <c r="I14054" s="1125"/>
      <c r="J14054" s="1125"/>
    </row>
    <row r="14055" spans="9:10" x14ac:dyDescent="0.2">
      <c r="I14055" s="1125"/>
      <c r="J14055" s="1125"/>
    </row>
    <row r="14056" spans="9:10" x14ac:dyDescent="0.2">
      <c r="I14056" s="1125"/>
      <c r="J14056" s="1125"/>
    </row>
    <row r="14057" spans="9:10" x14ac:dyDescent="0.2">
      <c r="I14057" s="1125"/>
      <c r="J14057" s="1125"/>
    </row>
    <row r="14058" spans="9:10" x14ac:dyDescent="0.2">
      <c r="I14058" s="1125"/>
      <c r="J14058" s="1125"/>
    </row>
    <row r="14059" spans="9:10" x14ac:dyDescent="0.2">
      <c r="I14059" s="1125"/>
      <c r="J14059" s="1125"/>
    </row>
    <row r="14060" spans="9:10" x14ac:dyDescent="0.2">
      <c r="I14060" s="1125"/>
      <c r="J14060" s="1125"/>
    </row>
    <row r="14061" spans="9:10" x14ac:dyDescent="0.2">
      <c r="I14061" s="1125"/>
      <c r="J14061" s="1125"/>
    </row>
    <row r="14062" spans="9:10" x14ac:dyDescent="0.2">
      <c r="I14062" s="1125"/>
      <c r="J14062" s="1125"/>
    </row>
    <row r="14063" spans="9:10" x14ac:dyDescent="0.2">
      <c r="I14063" s="1125"/>
      <c r="J14063" s="1125"/>
    </row>
    <row r="14064" spans="9:10" x14ac:dyDescent="0.2">
      <c r="I14064" s="1125"/>
      <c r="J14064" s="1125"/>
    </row>
    <row r="14065" spans="9:10" x14ac:dyDescent="0.2">
      <c r="I14065" s="1125"/>
      <c r="J14065" s="1125"/>
    </row>
    <row r="14066" spans="9:10" x14ac:dyDescent="0.2">
      <c r="I14066" s="1125"/>
      <c r="J14066" s="1125"/>
    </row>
    <row r="14067" spans="9:10" x14ac:dyDescent="0.2">
      <c r="I14067" s="1125"/>
      <c r="J14067" s="1125"/>
    </row>
    <row r="14068" spans="9:10" x14ac:dyDescent="0.2">
      <c r="I14068" s="1125"/>
      <c r="J14068" s="1125"/>
    </row>
    <row r="14069" spans="9:10" x14ac:dyDescent="0.2">
      <c r="I14069" s="1125"/>
      <c r="J14069" s="1125"/>
    </row>
    <row r="14070" spans="9:10" x14ac:dyDescent="0.2">
      <c r="I14070" s="1125"/>
      <c r="J14070" s="1125"/>
    </row>
    <row r="14071" spans="9:10" x14ac:dyDescent="0.2">
      <c r="I14071" s="1125"/>
      <c r="J14071" s="1125"/>
    </row>
    <row r="14072" spans="9:10" x14ac:dyDescent="0.2">
      <c r="I14072" s="1125"/>
      <c r="J14072" s="1125"/>
    </row>
    <row r="14073" spans="9:10" x14ac:dyDescent="0.2">
      <c r="I14073" s="1125"/>
      <c r="J14073" s="1125"/>
    </row>
    <row r="14074" spans="9:10" x14ac:dyDescent="0.2">
      <c r="I14074" s="1125"/>
      <c r="J14074" s="1125"/>
    </row>
    <row r="14075" spans="9:10" x14ac:dyDescent="0.2">
      <c r="I14075" s="1125"/>
      <c r="J14075" s="1125"/>
    </row>
    <row r="14076" spans="9:10" x14ac:dyDescent="0.2">
      <c r="I14076" s="1125"/>
      <c r="J14076" s="1125"/>
    </row>
    <row r="14077" spans="9:10" x14ac:dyDescent="0.2">
      <c r="I14077" s="1125"/>
      <c r="J14077" s="1125"/>
    </row>
    <row r="14078" spans="9:10" x14ac:dyDescent="0.2">
      <c r="I14078" s="1125"/>
      <c r="J14078" s="1125"/>
    </row>
    <row r="14079" spans="9:10" x14ac:dyDescent="0.2">
      <c r="I14079" s="1125"/>
      <c r="J14079" s="1125"/>
    </row>
    <row r="14080" spans="9:10" x14ac:dyDescent="0.2">
      <c r="I14080" s="1125"/>
      <c r="J14080" s="1125"/>
    </row>
    <row r="14081" spans="9:10" x14ac:dyDescent="0.2">
      <c r="I14081" s="1125"/>
      <c r="J14081" s="1125"/>
    </row>
    <row r="14082" spans="9:10" x14ac:dyDescent="0.2">
      <c r="I14082" s="1125"/>
      <c r="J14082" s="1125"/>
    </row>
    <row r="14083" spans="9:10" x14ac:dyDescent="0.2">
      <c r="I14083" s="1125"/>
      <c r="J14083" s="1125"/>
    </row>
    <row r="14084" spans="9:10" x14ac:dyDescent="0.2">
      <c r="I14084" s="1125"/>
      <c r="J14084" s="1125"/>
    </row>
    <row r="14085" spans="9:10" x14ac:dyDescent="0.2">
      <c r="I14085" s="1125"/>
      <c r="J14085" s="1125"/>
    </row>
    <row r="14086" spans="9:10" x14ac:dyDescent="0.2">
      <c r="I14086" s="1125"/>
      <c r="J14086" s="1125"/>
    </row>
    <row r="14087" spans="9:10" x14ac:dyDescent="0.2">
      <c r="I14087" s="1125"/>
      <c r="J14087" s="1125"/>
    </row>
    <row r="14088" spans="9:10" x14ac:dyDescent="0.2">
      <c r="I14088" s="1125"/>
      <c r="J14088" s="1125"/>
    </row>
    <row r="14089" spans="9:10" x14ac:dyDescent="0.2">
      <c r="I14089" s="1125"/>
      <c r="J14089" s="1125"/>
    </row>
    <row r="14090" spans="9:10" x14ac:dyDescent="0.2">
      <c r="I14090" s="1125"/>
      <c r="J14090" s="1125"/>
    </row>
    <row r="14091" spans="9:10" x14ac:dyDescent="0.2">
      <c r="I14091" s="1125"/>
      <c r="J14091" s="1125"/>
    </row>
    <row r="14092" spans="9:10" x14ac:dyDescent="0.2">
      <c r="I14092" s="1125"/>
      <c r="J14092" s="1125"/>
    </row>
    <row r="14093" spans="9:10" x14ac:dyDescent="0.2">
      <c r="I14093" s="1125"/>
      <c r="J14093" s="1125"/>
    </row>
    <row r="14094" spans="9:10" x14ac:dyDescent="0.2">
      <c r="I14094" s="1125"/>
      <c r="J14094" s="1125"/>
    </row>
    <row r="14095" spans="9:10" x14ac:dyDescent="0.2">
      <c r="I14095" s="1125"/>
      <c r="J14095" s="1125"/>
    </row>
    <row r="14096" spans="9:10" x14ac:dyDescent="0.2">
      <c r="I14096" s="1125"/>
      <c r="J14096" s="1125"/>
    </row>
    <row r="14097" spans="9:10" x14ac:dyDescent="0.2">
      <c r="I14097" s="1125"/>
      <c r="J14097" s="1125"/>
    </row>
    <row r="14098" spans="9:10" x14ac:dyDescent="0.2">
      <c r="I14098" s="1125"/>
      <c r="J14098" s="1125"/>
    </row>
    <row r="14099" spans="9:10" x14ac:dyDescent="0.2">
      <c r="I14099" s="1125"/>
      <c r="J14099" s="1125"/>
    </row>
    <row r="14100" spans="9:10" x14ac:dyDescent="0.2">
      <c r="I14100" s="1125"/>
      <c r="J14100" s="1125"/>
    </row>
    <row r="14101" spans="9:10" x14ac:dyDescent="0.2">
      <c r="I14101" s="1125"/>
      <c r="J14101" s="1125"/>
    </row>
    <row r="14102" spans="9:10" x14ac:dyDescent="0.2">
      <c r="I14102" s="1125"/>
      <c r="J14102" s="1125"/>
    </row>
    <row r="14103" spans="9:10" x14ac:dyDescent="0.2">
      <c r="I14103" s="1125"/>
      <c r="J14103" s="1125"/>
    </row>
    <row r="14104" spans="9:10" x14ac:dyDescent="0.2">
      <c r="I14104" s="1125"/>
      <c r="J14104" s="1125"/>
    </row>
    <row r="14105" spans="9:10" x14ac:dyDescent="0.2">
      <c r="I14105" s="1125"/>
      <c r="J14105" s="1125"/>
    </row>
    <row r="14106" spans="9:10" x14ac:dyDescent="0.2">
      <c r="I14106" s="1125"/>
      <c r="J14106" s="1125"/>
    </row>
    <row r="14107" spans="9:10" x14ac:dyDescent="0.2">
      <c r="I14107" s="1125"/>
      <c r="J14107" s="1125"/>
    </row>
    <row r="14108" spans="9:10" x14ac:dyDescent="0.2">
      <c r="I14108" s="1125"/>
      <c r="J14108" s="1125"/>
    </row>
    <row r="14109" spans="9:10" x14ac:dyDescent="0.2">
      <c r="I14109" s="1125"/>
      <c r="J14109" s="1125"/>
    </row>
    <row r="14110" spans="9:10" x14ac:dyDescent="0.2">
      <c r="I14110" s="1125"/>
      <c r="J14110" s="1125"/>
    </row>
    <row r="14111" spans="9:10" x14ac:dyDescent="0.2">
      <c r="I14111" s="1125"/>
      <c r="J14111" s="1125"/>
    </row>
    <row r="14112" spans="9:10" x14ac:dyDescent="0.2">
      <c r="I14112" s="1125"/>
      <c r="J14112" s="1125"/>
    </row>
    <row r="14113" spans="9:10" x14ac:dyDescent="0.2">
      <c r="I14113" s="1125"/>
      <c r="J14113" s="1125"/>
    </row>
    <row r="14114" spans="9:10" x14ac:dyDescent="0.2">
      <c r="I14114" s="1125"/>
      <c r="J14114" s="1125"/>
    </row>
    <row r="14115" spans="9:10" x14ac:dyDescent="0.2">
      <c r="I14115" s="1125"/>
      <c r="J14115" s="1125"/>
    </row>
    <row r="14116" spans="9:10" x14ac:dyDescent="0.2">
      <c r="I14116" s="1125"/>
      <c r="J14116" s="1125"/>
    </row>
    <row r="14117" spans="9:10" x14ac:dyDescent="0.2">
      <c r="I14117" s="1125"/>
      <c r="J14117" s="1125"/>
    </row>
    <row r="14118" spans="9:10" x14ac:dyDescent="0.2">
      <c r="I14118" s="1125"/>
      <c r="J14118" s="1125"/>
    </row>
    <row r="14119" spans="9:10" x14ac:dyDescent="0.2">
      <c r="I14119" s="1125"/>
      <c r="J14119" s="1125"/>
    </row>
    <row r="14120" spans="9:10" x14ac:dyDescent="0.2">
      <c r="I14120" s="1125"/>
      <c r="J14120" s="1125"/>
    </row>
    <row r="14121" spans="9:10" x14ac:dyDescent="0.2">
      <c r="I14121" s="1125"/>
      <c r="J14121" s="1125"/>
    </row>
    <row r="14122" spans="9:10" x14ac:dyDescent="0.2">
      <c r="I14122" s="1125"/>
      <c r="J14122" s="1125"/>
    </row>
    <row r="14123" spans="9:10" x14ac:dyDescent="0.2">
      <c r="I14123" s="1125"/>
      <c r="J14123" s="1125"/>
    </row>
    <row r="14124" spans="9:10" x14ac:dyDescent="0.2">
      <c r="I14124" s="1125"/>
      <c r="J14124" s="1125"/>
    </row>
    <row r="14125" spans="9:10" x14ac:dyDescent="0.2">
      <c r="I14125" s="1125"/>
      <c r="J14125" s="1125"/>
    </row>
    <row r="14126" spans="9:10" x14ac:dyDescent="0.2">
      <c r="I14126" s="1125"/>
      <c r="J14126" s="1125"/>
    </row>
    <row r="14127" spans="9:10" x14ac:dyDescent="0.2">
      <c r="I14127" s="1125"/>
      <c r="J14127" s="1125"/>
    </row>
    <row r="14128" spans="9:10" x14ac:dyDescent="0.2">
      <c r="I14128" s="1125"/>
      <c r="J14128" s="1125"/>
    </row>
    <row r="14129" spans="9:10" x14ac:dyDescent="0.2">
      <c r="I14129" s="1125"/>
      <c r="J14129" s="1125"/>
    </row>
    <row r="14130" spans="9:10" x14ac:dyDescent="0.2">
      <c r="I14130" s="1125"/>
      <c r="J14130" s="1125"/>
    </row>
    <row r="14131" spans="9:10" x14ac:dyDescent="0.2">
      <c r="I14131" s="1125"/>
      <c r="J14131" s="1125"/>
    </row>
    <row r="14132" spans="9:10" x14ac:dyDescent="0.2">
      <c r="I14132" s="1125"/>
      <c r="J14132" s="1125"/>
    </row>
    <row r="14133" spans="9:10" x14ac:dyDescent="0.2">
      <c r="I14133" s="1125"/>
      <c r="J14133" s="1125"/>
    </row>
    <row r="14134" spans="9:10" x14ac:dyDescent="0.2">
      <c r="I14134" s="1125"/>
      <c r="J14134" s="1125"/>
    </row>
    <row r="14135" spans="9:10" x14ac:dyDescent="0.2">
      <c r="I14135" s="1125"/>
      <c r="J14135" s="1125"/>
    </row>
    <row r="14136" spans="9:10" x14ac:dyDescent="0.2">
      <c r="I14136" s="1125"/>
      <c r="J14136" s="1125"/>
    </row>
    <row r="14137" spans="9:10" x14ac:dyDescent="0.2">
      <c r="I14137" s="1125"/>
      <c r="J14137" s="1125"/>
    </row>
    <row r="14138" spans="9:10" x14ac:dyDescent="0.2">
      <c r="I14138" s="1125"/>
      <c r="J14138" s="1125"/>
    </row>
    <row r="14139" spans="9:10" x14ac:dyDescent="0.2">
      <c r="I14139" s="1125"/>
      <c r="J14139" s="1125"/>
    </row>
    <row r="14140" spans="9:10" x14ac:dyDescent="0.2">
      <c r="I14140" s="1125"/>
      <c r="J14140" s="1125"/>
    </row>
    <row r="14141" spans="9:10" x14ac:dyDescent="0.2">
      <c r="I14141" s="1125"/>
      <c r="J14141" s="1125"/>
    </row>
    <row r="14142" spans="9:10" x14ac:dyDescent="0.2">
      <c r="I14142" s="1125"/>
      <c r="J14142" s="1125"/>
    </row>
    <row r="14143" spans="9:10" x14ac:dyDescent="0.2">
      <c r="I14143" s="1125"/>
      <c r="J14143" s="1125"/>
    </row>
    <row r="14144" spans="9:10" x14ac:dyDescent="0.2">
      <c r="I14144" s="1125"/>
      <c r="J14144" s="1125"/>
    </row>
    <row r="14145" spans="9:10" x14ac:dyDescent="0.2">
      <c r="I14145" s="1125"/>
      <c r="J14145" s="1125"/>
    </row>
    <row r="14146" spans="9:10" x14ac:dyDescent="0.2">
      <c r="I14146" s="1125"/>
      <c r="J14146" s="1125"/>
    </row>
    <row r="14147" spans="9:10" x14ac:dyDescent="0.2">
      <c r="I14147" s="1125"/>
      <c r="J14147" s="1125"/>
    </row>
    <row r="14148" spans="9:10" x14ac:dyDescent="0.2">
      <c r="I14148" s="1125"/>
      <c r="J14148" s="1125"/>
    </row>
    <row r="14149" spans="9:10" x14ac:dyDescent="0.2">
      <c r="I14149" s="1125"/>
      <c r="J14149" s="1125"/>
    </row>
    <row r="14150" spans="9:10" x14ac:dyDescent="0.2">
      <c r="I14150" s="1125"/>
      <c r="J14150" s="1125"/>
    </row>
    <row r="14151" spans="9:10" x14ac:dyDescent="0.2">
      <c r="I14151" s="1125"/>
      <c r="J14151" s="1125"/>
    </row>
    <row r="14152" spans="9:10" x14ac:dyDescent="0.2">
      <c r="I14152" s="1125"/>
      <c r="J14152" s="1125"/>
    </row>
    <row r="14153" spans="9:10" x14ac:dyDescent="0.2">
      <c r="I14153" s="1125"/>
      <c r="J14153" s="1125"/>
    </row>
    <row r="14154" spans="9:10" x14ac:dyDescent="0.2">
      <c r="I14154" s="1125"/>
      <c r="J14154" s="1125"/>
    </row>
    <row r="14155" spans="9:10" x14ac:dyDescent="0.2">
      <c r="I14155" s="1125"/>
      <c r="J14155" s="1125"/>
    </row>
    <row r="14156" spans="9:10" x14ac:dyDescent="0.2">
      <c r="I14156" s="1125"/>
      <c r="J14156" s="1125"/>
    </row>
    <row r="14157" spans="9:10" x14ac:dyDescent="0.2">
      <c r="I14157" s="1125"/>
      <c r="J14157" s="1125"/>
    </row>
    <row r="14158" spans="9:10" x14ac:dyDescent="0.2">
      <c r="I14158" s="1125"/>
      <c r="J14158" s="1125"/>
    </row>
    <row r="14159" spans="9:10" x14ac:dyDescent="0.2">
      <c r="I14159" s="1125"/>
      <c r="J14159" s="1125"/>
    </row>
    <row r="14160" spans="9:10" x14ac:dyDescent="0.2">
      <c r="I14160" s="1125"/>
      <c r="J14160" s="1125"/>
    </row>
    <row r="14161" spans="9:10" x14ac:dyDescent="0.2">
      <c r="I14161" s="1125"/>
      <c r="J14161" s="1125"/>
    </row>
    <row r="14162" spans="9:10" x14ac:dyDescent="0.2">
      <c r="I14162" s="1125"/>
      <c r="J14162" s="1125"/>
    </row>
    <row r="14163" spans="9:10" x14ac:dyDescent="0.2">
      <c r="I14163" s="1125"/>
      <c r="J14163" s="1125"/>
    </row>
    <row r="14164" spans="9:10" x14ac:dyDescent="0.2">
      <c r="I14164" s="1125"/>
      <c r="J14164" s="1125"/>
    </row>
    <row r="14165" spans="9:10" x14ac:dyDescent="0.2">
      <c r="I14165" s="1125"/>
      <c r="J14165" s="1125"/>
    </row>
    <row r="14166" spans="9:10" x14ac:dyDescent="0.2">
      <c r="I14166" s="1125"/>
      <c r="J14166" s="1125"/>
    </row>
    <row r="14167" spans="9:10" x14ac:dyDescent="0.2">
      <c r="I14167" s="1125"/>
      <c r="J14167" s="1125"/>
    </row>
    <row r="14168" spans="9:10" x14ac:dyDescent="0.2">
      <c r="I14168" s="1125"/>
      <c r="J14168" s="1125"/>
    </row>
    <row r="14169" spans="9:10" x14ac:dyDescent="0.2">
      <c r="I14169" s="1125"/>
      <c r="J14169" s="1125"/>
    </row>
    <row r="14170" spans="9:10" x14ac:dyDescent="0.2">
      <c r="I14170" s="1125"/>
      <c r="J14170" s="1125"/>
    </row>
    <row r="14171" spans="9:10" x14ac:dyDescent="0.2">
      <c r="I14171" s="1125"/>
      <c r="J14171" s="1125"/>
    </row>
    <row r="14172" spans="9:10" x14ac:dyDescent="0.2">
      <c r="I14172" s="1125"/>
      <c r="J14172" s="1125"/>
    </row>
    <row r="14173" spans="9:10" x14ac:dyDescent="0.2">
      <c r="I14173" s="1125"/>
      <c r="J14173" s="1125"/>
    </row>
    <row r="14174" spans="9:10" x14ac:dyDescent="0.2">
      <c r="I14174" s="1125"/>
      <c r="J14174" s="1125"/>
    </row>
    <row r="14175" spans="9:10" x14ac:dyDescent="0.2">
      <c r="I14175" s="1125"/>
      <c r="J14175" s="1125"/>
    </row>
    <row r="14176" spans="9:10" x14ac:dyDescent="0.2">
      <c r="I14176" s="1125"/>
      <c r="J14176" s="1125"/>
    </row>
    <row r="14177" spans="9:10" x14ac:dyDescent="0.2">
      <c r="I14177" s="1125"/>
      <c r="J14177" s="1125"/>
    </row>
    <row r="14178" spans="9:10" x14ac:dyDescent="0.2">
      <c r="I14178" s="1125"/>
      <c r="J14178" s="1125"/>
    </row>
    <row r="14179" spans="9:10" x14ac:dyDescent="0.2">
      <c r="I14179" s="1125"/>
      <c r="J14179" s="1125"/>
    </row>
    <row r="14180" spans="9:10" x14ac:dyDescent="0.2">
      <c r="I14180" s="1125"/>
      <c r="J14180" s="1125"/>
    </row>
    <row r="14181" spans="9:10" x14ac:dyDescent="0.2">
      <c r="I14181" s="1125"/>
      <c r="J14181" s="1125"/>
    </row>
    <row r="14182" spans="9:10" x14ac:dyDescent="0.2">
      <c r="I14182" s="1125"/>
      <c r="J14182" s="1125"/>
    </row>
    <row r="14183" spans="9:10" x14ac:dyDescent="0.2">
      <c r="I14183" s="1125"/>
      <c r="J14183" s="1125"/>
    </row>
    <row r="14184" spans="9:10" x14ac:dyDescent="0.2">
      <c r="I14184" s="1125"/>
      <c r="J14184" s="1125"/>
    </row>
    <row r="14185" spans="9:10" x14ac:dyDescent="0.2">
      <c r="I14185" s="1125"/>
      <c r="J14185" s="1125"/>
    </row>
    <row r="14186" spans="9:10" x14ac:dyDescent="0.2">
      <c r="I14186" s="1125"/>
      <c r="J14186" s="1125"/>
    </row>
    <row r="14187" spans="9:10" x14ac:dyDescent="0.2">
      <c r="I14187" s="1125"/>
      <c r="J14187" s="1125"/>
    </row>
    <row r="14188" spans="9:10" x14ac:dyDescent="0.2">
      <c r="I14188" s="1125"/>
      <c r="J14188" s="1125"/>
    </row>
    <row r="14189" spans="9:10" x14ac:dyDescent="0.2">
      <c r="I14189" s="1125"/>
      <c r="J14189" s="1125"/>
    </row>
    <row r="14190" spans="9:10" x14ac:dyDescent="0.2">
      <c r="I14190" s="1125"/>
      <c r="J14190" s="1125"/>
    </row>
    <row r="14191" spans="9:10" x14ac:dyDescent="0.2">
      <c r="I14191" s="1125"/>
      <c r="J14191" s="1125"/>
    </row>
    <row r="14192" spans="9:10" x14ac:dyDescent="0.2">
      <c r="I14192" s="1125"/>
      <c r="J14192" s="1125"/>
    </row>
    <row r="14193" spans="9:10" x14ac:dyDescent="0.2">
      <c r="I14193" s="1125"/>
      <c r="J14193" s="1125"/>
    </row>
    <row r="14194" spans="9:10" x14ac:dyDescent="0.2">
      <c r="I14194" s="1125"/>
      <c r="J14194" s="1125"/>
    </row>
    <row r="14195" spans="9:10" x14ac:dyDescent="0.2">
      <c r="I14195" s="1125"/>
      <c r="J14195" s="1125"/>
    </row>
    <row r="14196" spans="9:10" x14ac:dyDescent="0.2">
      <c r="I14196" s="1125"/>
      <c r="J14196" s="1125"/>
    </row>
    <row r="14197" spans="9:10" x14ac:dyDescent="0.2">
      <c r="I14197" s="1125"/>
      <c r="J14197" s="1125"/>
    </row>
    <row r="14198" spans="9:10" x14ac:dyDescent="0.2">
      <c r="I14198" s="1125"/>
      <c r="J14198" s="1125"/>
    </row>
    <row r="14199" spans="9:10" x14ac:dyDescent="0.2">
      <c r="I14199" s="1125"/>
      <c r="J14199" s="1125"/>
    </row>
    <row r="14200" spans="9:10" x14ac:dyDescent="0.2">
      <c r="I14200" s="1125"/>
      <c r="J14200" s="1125"/>
    </row>
    <row r="14201" spans="9:10" x14ac:dyDescent="0.2">
      <c r="I14201" s="1125"/>
      <c r="J14201" s="1125"/>
    </row>
    <row r="14202" spans="9:10" x14ac:dyDescent="0.2">
      <c r="I14202" s="1125"/>
      <c r="J14202" s="1125"/>
    </row>
    <row r="14203" spans="9:10" x14ac:dyDescent="0.2">
      <c r="I14203" s="1125"/>
      <c r="J14203" s="1125"/>
    </row>
    <row r="14204" spans="9:10" x14ac:dyDescent="0.2">
      <c r="I14204" s="1125"/>
      <c r="J14204" s="1125"/>
    </row>
    <row r="14205" spans="9:10" x14ac:dyDescent="0.2">
      <c r="I14205" s="1125"/>
      <c r="J14205" s="1125"/>
    </row>
    <row r="14206" spans="9:10" x14ac:dyDescent="0.2">
      <c r="I14206" s="1125"/>
      <c r="J14206" s="1125"/>
    </row>
    <row r="14207" spans="9:10" x14ac:dyDescent="0.2">
      <c r="I14207" s="1125"/>
      <c r="J14207" s="1125"/>
    </row>
    <row r="14208" spans="9:10" x14ac:dyDescent="0.2">
      <c r="I14208" s="1125"/>
      <c r="J14208" s="1125"/>
    </row>
    <row r="14209" spans="9:10" x14ac:dyDescent="0.2">
      <c r="I14209" s="1125"/>
      <c r="J14209" s="1125"/>
    </row>
    <row r="14210" spans="9:10" x14ac:dyDescent="0.2">
      <c r="I14210" s="1125"/>
      <c r="J14210" s="1125"/>
    </row>
    <row r="14211" spans="9:10" x14ac:dyDescent="0.2">
      <c r="I14211" s="1125"/>
      <c r="J14211" s="1125"/>
    </row>
    <row r="14212" spans="9:10" x14ac:dyDescent="0.2">
      <c r="I14212" s="1125"/>
      <c r="J14212" s="1125"/>
    </row>
    <row r="14213" spans="9:10" x14ac:dyDescent="0.2">
      <c r="I14213" s="1125"/>
      <c r="J14213" s="1125"/>
    </row>
    <row r="14214" spans="9:10" x14ac:dyDescent="0.2">
      <c r="I14214" s="1125"/>
      <c r="J14214" s="1125"/>
    </row>
    <row r="14215" spans="9:10" x14ac:dyDescent="0.2">
      <c r="I14215" s="1125"/>
      <c r="J14215" s="1125"/>
    </row>
    <row r="14216" spans="9:10" x14ac:dyDescent="0.2">
      <c r="I14216" s="1125"/>
      <c r="J14216" s="1125"/>
    </row>
    <row r="14217" spans="9:10" x14ac:dyDescent="0.2">
      <c r="I14217" s="1125"/>
      <c r="J14217" s="1125"/>
    </row>
    <row r="14218" spans="9:10" x14ac:dyDescent="0.2">
      <c r="I14218" s="1125"/>
      <c r="J14218" s="1125"/>
    </row>
    <row r="14219" spans="9:10" x14ac:dyDescent="0.2">
      <c r="I14219" s="1125"/>
      <c r="J14219" s="1125"/>
    </row>
    <row r="14220" spans="9:10" x14ac:dyDescent="0.2">
      <c r="I14220" s="1125"/>
      <c r="J14220" s="1125"/>
    </row>
    <row r="14221" spans="9:10" x14ac:dyDescent="0.2">
      <c r="I14221" s="1125"/>
      <c r="J14221" s="1125"/>
    </row>
    <row r="14222" spans="9:10" x14ac:dyDescent="0.2">
      <c r="I14222" s="1125"/>
      <c r="J14222" s="1125"/>
    </row>
    <row r="14223" spans="9:10" x14ac:dyDescent="0.2">
      <c r="I14223" s="1125"/>
      <c r="J14223" s="1125"/>
    </row>
    <row r="14224" spans="9:10" x14ac:dyDescent="0.2">
      <c r="I14224" s="1125"/>
      <c r="J14224" s="1125"/>
    </row>
    <row r="14225" spans="9:10" x14ac:dyDescent="0.2">
      <c r="I14225" s="1125"/>
      <c r="J14225" s="1125"/>
    </row>
    <row r="14226" spans="9:10" x14ac:dyDescent="0.2">
      <c r="I14226" s="1125"/>
      <c r="J14226" s="1125"/>
    </row>
    <row r="14227" spans="9:10" x14ac:dyDescent="0.2">
      <c r="I14227" s="1125"/>
      <c r="J14227" s="1125"/>
    </row>
    <row r="14228" spans="9:10" x14ac:dyDescent="0.2">
      <c r="I14228" s="1125"/>
      <c r="J14228" s="1125"/>
    </row>
    <row r="14229" spans="9:10" x14ac:dyDescent="0.2">
      <c r="I14229" s="1125"/>
      <c r="J14229" s="1125"/>
    </row>
    <row r="14230" spans="9:10" x14ac:dyDescent="0.2">
      <c r="I14230" s="1125"/>
      <c r="J14230" s="1125"/>
    </row>
    <row r="14231" spans="9:10" x14ac:dyDescent="0.2">
      <c r="I14231" s="1125"/>
      <c r="J14231" s="1125"/>
    </row>
    <row r="14232" spans="9:10" x14ac:dyDescent="0.2">
      <c r="I14232" s="1125"/>
      <c r="J14232" s="1125"/>
    </row>
    <row r="14233" spans="9:10" x14ac:dyDescent="0.2">
      <c r="I14233" s="1125"/>
      <c r="J14233" s="1125"/>
    </row>
    <row r="14234" spans="9:10" x14ac:dyDescent="0.2">
      <c r="I14234" s="1125"/>
      <c r="J14234" s="1125"/>
    </row>
    <row r="14235" spans="9:10" x14ac:dyDescent="0.2">
      <c r="I14235" s="1125"/>
      <c r="J14235" s="1125"/>
    </row>
    <row r="14236" spans="9:10" x14ac:dyDescent="0.2">
      <c r="I14236" s="1125"/>
      <c r="J14236" s="1125"/>
    </row>
    <row r="14237" spans="9:10" x14ac:dyDescent="0.2">
      <c r="I14237" s="1125"/>
      <c r="J14237" s="1125"/>
    </row>
    <row r="14238" spans="9:10" x14ac:dyDescent="0.2">
      <c r="I14238" s="1125"/>
      <c r="J14238" s="1125"/>
    </row>
    <row r="14239" spans="9:10" x14ac:dyDescent="0.2">
      <c r="I14239" s="1125"/>
      <c r="J14239" s="1125"/>
    </row>
    <row r="14240" spans="9:10" x14ac:dyDescent="0.2">
      <c r="I14240" s="1125"/>
      <c r="J14240" s="1125"/>
    </row>
    <row r="14241" spans="9:10" x14ac:dyDescent="0.2">
      <c r="I14241" s="1125"/>
      <c r="J14241" s="1125"/>
    </row>
    <row r="14242" spans="9:10" x14ac:dyDescent="0.2">
      <c r="I14242" s="1125"/>
      <c r="J14242" s="1125"/>
    </row>
    <row r="14243" spans="9:10" x14ac:dyDescent="0.2">
      <c r="I14243" s="1125"/>
      <c r="J14243" s="1125"/>
    </row>
    <row r="14244" spans="9:10" x14ac:dyDescent="0.2">
      <c r="I14244" s="1125"/>
      <c r="J14244" s="1125"/>
    </row>
    <row r="14245" spans="9:10" x14ac:dyDescent="0.2">
      <c r="I14245" s="1125"/>
      <c r="J14245" s="1125"/>
    </row>
    <row r="14246" spans="9:10" x14ac:dyDescent="0.2">
      <c r="I14246" s="1125"/>
      <c r="J14246" s="1125"/>
    </row>
    <row r="14247" spans="9:10" x14ac:dyDescent="0.2">
      <c r="I14247" s="1125"/>
      <c r="J14247" s="1125"/>
    </row>
    <row r="14248" spans="9:10" x14ac:dyDescent="0.2">
      <c r="I14248" s="1125"/>
      <c r="J14248" s="1125"/>
    </row>
    <row r="14249" spans="9:10" x14ac:dyDescent="0.2">
      <c r="I14249" s="1125"/>
      <c r="J14249" s="1125"/>
    </row>
    <row r="14250" spans="9:10" x14ac:dyDescent="0.2">
      <c r="I14250" s="1125"/>
      <c r="J14250" s="1125"/>
    </row>
    <row r="14251" spans="9:10" x14ac:dyDescent="0.2">
      <c r="I14251" s="1125"/>
      <c r="J14251" s="1125"/>
    </row>
    <row r="14252" spans="9:10" x14ac:dyDescent="0.2">
      <c r="I14252" s="1125"/>
      <c r="J14252" s="1125"/>
    </row>
    <row r="14253" spans="9:10" x14ac:dyDescent="0.2">
      <c r="I14253" s="1125"/>
      <c r="J14253" s="1125"/>
    </row>
    <row r="14254" spans="9:10" x14ac:dyDescent="0.2">
      <c r="I14254" s="1125"/>
      <c r="J14254" s="1125"/>
    </row>
    <row r="14255" spans="9:10" x14ac:dyDescent="0.2">
      <c r="I14255" s="1125"/>
      <c r="J14255" s="1125"/>
    </row>
    <row r="14256" spans="9:10" x14ac:dyDescent="0.2">
      <c r="I14256" s="1125"/>
      <c r="J14256" s="1125"/>
    </row>
    <row r="14257" spans="9:10" x14ac:dyDescent="0.2">
      <c r="I14257" s="1125"/>
      <c r="J14257" s="1125"/>
    </row>
    <row r="14258" spans="9:10" x14ac:dyDescent="0.2">
      <c r="I14258" s="1125"/>
      <c r="J14258" s="1125"/>
    </row>
    <row r="14259" spans="9:10" x14ac:dyDescent="0.2">
      <c r="I14259" s="1125"/>
      <c r="J14259" s="1125"/>
    </row>
    <row r="14260" spans="9:10" x14ac:dyDescent="0.2">
      <c r="I14260" s="1125"/>
      <c r="J14260" s="1125"/>
    </row>
    <row r="14261" spans="9:10" x14ac:dyDescent="0.2">
      <c r="I14261" s="1125"/>
      <c r="J14261" s="1125"/>
    </row>
    <row r="14262" spans="9:10" x14ac:dyDescent="0.2">
      <c r="I14262" s="1125"/>
      <c r="J14262" s="1125"/>
    </row>
    <row r="14263" spans="9:10" x14ac:dyDescent="0.2">
      <c r="I14263" s="1125"/>
      <c r="J14263" s="1125"/>
    </row>
    <row r="14264" spans="9:10" x14ac:dyDescent="0.2">
      <c r="I14264" s="1125"/>
      <c r="J14264" s="1125"/>
    </row>
    <row r="14265" spans="9:10" x14ac:dyDescent="0.2">
      <c r="I14265" s="1125"/>
      <c r="J14265" s="1125"/>
    </row>
    <row r="14266" spans="9:10" x14ac:dyDescent="0.2">
      <c r="I14266" s="1125"/>
      <c r="J14266" s="1125"/>
    </row>
    <row r="14267" spans="9:10" x14ac:dyDescent="0.2">
      <c r="I14267" s="1125"/>
      <c r="J14267" s="1125"/>
    </row>
    <row r="14268" spans="9:10" x14ac:dyDescent="0.2">
      <c r="I14268" s="1125"/>
      <c r="J14268" s="1125"/>
    </row>
    <row r="14269" spans="9:10" x14ac:dyDescent="0.2">
      <c r="I14269" s="1125"/>
      <c r="J14269" s="1125"/>
    </row>
    <row r="14270" spans="9:10" x14ac:dyDescent="0.2">
      <c r="I14270" s="1125"/>
      <c r="J14270" s="1125"/>
    </row>
    <row r="14271" spans="9:10" x14ac:dyDescent="0.2">
      <c r="I14271" s="1125"/>
      <c r="J14271" s="1125"/>
    </row>
    <row r="14272" spans="9:10" x14ac:dyDescent="0.2">
      <c r="I14272" s="1125"/>
      <c r="J14272" s="1125"/>
    </row>
    <row r="14273" spans="9:10" x14ac:dyDescent="0.2">
      <c r="I14273" s="1125"/>
      <c r="J14273" s="1125"/>
    </row>
    <row r="14274" spans="9:10" x14ac:dyDescent="0.2">
      <c r="I14274" s="1125"/>
      <c r="J14274" s="1125"/>
    </row>
    <row r="14275" spans="9:10" x14ac:dyDescent="0.2">
      <c r="I14275" s="1125"/>
      <c r="J14275" s="1125"/>
    </row>
    <row r="14276" spans="9:10" x14ac:dyDescent="0.2">
      <c r="I14276" s="1125"/>
      <c r="J14276" s="1125"/>
    </row>
    <row r="14277" spans="9:10" x14ac:dyDescent="0.2">
      <c r="I14277" s="1125"/>
      <c r="J14277" s="1125"/>
    </row>
    <row r="14278" spans="9:10" x14ac:dyDescent="0.2">
      <c r="I14278" s="1125"/>
      <c r="J14278" s="1125"/>
    </row>
    <row r="14279" spans="9:10" x14ac:dyDescent="0.2">
      <c r="I14279" s="1125"/>
      <c r="J14279" s="1125"/>
    </row>
    <row r="14280" spans="9:10" x14ac:dyDescent="0.2">
      <c r="I14280" s="1125"/>
      <c r="J14280" s="1125"/>
    </row>
    <row r="14281" spans="9:10" x14ac:dyDescent="0.2">
      <c r="I14281" s="1125"/>
      <c r="J14281" s="1125"/>
    </row>
    <row r="14282" spans="9:10" x14ac:dyDescent="0.2">
      <c r="I14282" s="1125"/>
      <c r="J14282" s="1125"/>
    </row>
    <row r="14283" spans="9:10" x14ac:dyDescent="0.2">
      <c r="I14283" s="1125"/>
      <c r="J14283" s="1125"/>
    </row>
    <row r="14284" spans="9:10" x14ac:dyDescent="0.2">
      <c r="I14284" s="1125"/>
      <c r="J14284" s="1125"/>
    </row>
    <row r="14285" spans="9:10" x14ac:dyDescent="0.2">
      <c r="I14285" s="1125"/>
      <c r="J14285" s="1125"/>
    </row>
    <row r="14286" spans="9:10" x14ac:dyDescent="0.2">
      <c r="I14286" s="1125"/>
      <c r="J14286" s="1125"/>
    </row>
    <row r="14287" spans="9:10" x14ac:dyDescent="0.2">
      <c r="I14287" s="1125"/>
      <c r="J14287" s="1125"/>
    </row>
    <row r="14288" spans="9:10" x14ac:dyDescent="0.2">
      <c r="I14288" s="1125"/>
      <c r="J14288" s="1125"/>
    </row>
    <row r="14289" spans="9:10" x14ac:dyDescent="0.2">
      <c r="I14289" s="1125"/>
      <c r="J14289" s="1125"/>
    </row>
    <row r="14290" spans="9:10" x14ac:dyDescent="0.2">
      <c r="I14290" s="1125"/>
      <c r="J14290" s="1125"/>
    </row>
    <row r="14291" spans="9:10" x14ac:dyDescent="0.2">
      <c r="I14291" s="1125"/>
      <c r="J14291" s="1125"/>
    </row>
    <row r="14292" spans="9:10" x14ac:dyDescent="0.2">
      <c r="I14292" s="1125"/>
      <c r="J14292" s="1125"/>
    </row>
    <row r="14293" spans="9:10" x14ac:dyDescent="0.2">
      <c r="I14293" s="1125"/>
      <c r="J14293" s="1125"/>
    </row>
    <row r="14294" spans="9:10" x14ac:dyDescent="0.2">
      <c r="I14294" s="1125"/>
      <c r="J14294" s="1125"/>
    </row>
    <row r="14295" spans="9:10" x14ac:dyDescent="0.2">
      <c r="I14295" s="1125"/>
      <c r="J14295" s="1125"/>
    </row>
    <row r="14296" spans="9:10" x14ac:dyDescent="0.2">
      <c r="I14296" s="1125"/>
      <c r="J14296" s="1125"/>
    </row>
    <row r="14297" spans="9:10" x14ac:dyDescent="0.2">
      <c r="I14297" s="1125"/>
      <c r="J14297" s="1125"/>
    </row>
    <row r="14298" spans="9:10" x14ac:dyDescent="0.2">
      <c r="I14298" s="1125"/>
      <c r="J14298" s="1125"/>
    </row>
    <row r="14299" spans="9:10" x14ac:dyDescent="0.2">
      <c r="I14299" s="1125"/>
      <c r="J14299" s="1125"/>
    </row>
    <row r="14300" spans="9:10" x14ac:dyDescent="0.2">
      <c r="I14300" s="1125"/>
      <c r="J14300" s="1125"/>
    </row>
    <row r="14301" spans="9:10" x14ac:dyDescent="0.2">
      <c r="I14301" s="1125"/>
      <c r="J14301" s="1125"/>
    </row>
    <row r="14302" spans="9:10" x14ac:dyDescent="0.2">
      <c r="I14302" s="1125"/>
      <c r="J14302" s="1125"/>
    </row>
    <row r="14303" spans="9:10" x14ac:dyDescent="0.2">
      <c r="I14303" s="1125"/>
      <c r="J14303" s="1125"/>
    </row>
    <row r="14304" spans="9:10" x14ac:dyDescent="0.2">
      <c r="I14304" s="1125"/>
      <c r="J14304" s="1125"/>
    </row>
    <row r="14305" spans="9:10" x14ac:dyDescent="0.2">
      <c r="I14305" s="1125"/>
      <c r="J14305" s="1125"/>
    </row>
    <row r="14306" spans="9:10" x14ac:dyDescent="0.2">
      <c r="I14306" s="1125"/>
      <c r="J14306" s="1125"/>
    </row>
    <row r="14307" spans="9:10" x14ac:dyDescent="0.2">
      <c r="I14307" s="1125"/>
      <c r="J14307" s="1125"/>
    </row>
    <row r="14308" spans="9:10" x14ac:dyDescent="0.2">
      <c r="I14308" s="1125"/>
      <c r="J14308" s="1125"/>
    </row>
    <row r="14309" spans="9:10" x14ac:dyDescent="0.2">
      <c r="I14309" s="1125"/>
      <c r="J14309" s="1125"/>
    </row>
    <row r="14310" spans="9:10" x14ac:dyDescent="0.2">
      <c r="I14310" s="1125"/>
      <c r="J14310" s="1125"/>
    </row>
    <row r="14311" spans="9:10" x14ac:dyDescent="0.2">
      <c r="I14311" s="1125"/>
      <c r="J14311" s="1125"/>
    </row>
    <row r="14312" spans="9:10" x14ac:dyDescent="0.2">
      <c r="I14312" s="1125"/>
      <c r="J14312" s="1125"/>
    </row>
    <row r="14313" spans="9:10" x14ac:dyDescent="0.2">
      <c r="I14313" s="1125"/>
      <c r="J14313" s="1125"/>
    </row>
    <row r="14314" spans="9:10" x14ac:dyDescent="0.2">
      <c r="I14314" s="1125"/>
      <c r="J14314" s="1125"/>
    </row>
    <row r="14315" spans="9:10" x14ac:dyDescent="0.2">
      <c r="I14315" s="1125"/>
      <c r="J14315" s="1125"/>
    </row>
    <row r="14316" spans="9:10" x14ac:dyDescent="0.2">
      <c r="I14316" s="1125"/>
      <c r="J14316" s="1125"/>
    </row>
    <row r="14317" spans="9:10" x14ac:dyDescent="0.2">
      <c r="I14317" s="1125"/>
      <c r="J14317" s="1125"/>
    </row>
    <row r="14318" spans="9:10" x14ac:dyDescent="0.2">
      <c r="I14318" s="1125"/>
      <c r="J14318" s="1125"/>
    </row>
    <row r="14319" spans="9:10" x14ac:dyDescent="0.2">
      <c r="I14319" s="1125"/>
      <c r="J14319" s="1125"/>
    </row>
    <row r="14320" spans="9:10" x14ac:dyDescent="0.2">
      <c r="I14320" s="1125"/>
      <c r="J14320" s="1125"/>
    </row>
    <row r="14321" spans="9:10" x14ac:dyDescent="0.2">
      <c r="I14321" s="1125"/>
      <c r="J14321" s="1125"/>
    </row>
    <row r="14322" spans="9:10" x14ac:dyDescent="0.2">
      <c r="I14322" s="1125"/>
      <c r="J14322" s="1125"/>
    </row>
    <row r="14323" spans="9:10" x14ac:dyDescent="0.2">
      <c r="I14323" s="1125"/>
      <c r="J14323" s="1125"/>
    </row>
    <row r="14324" spans="9:10" x14ac:dyDescent="0.2">
      <c r="I14324" s="1125"/>
      <c r="J14324" s="1125"/>
    </row>
    <row r="14325" spans="9:10" x14ac:dyDescent="0.2">
      <c r="I14325" s="1125"/>
      <c r="J14325" s="1125"/>
    </row>
    <row r="14326" spans="9:10" x14ac:dyDescent="0.2">
      <c r="I14326" s="1125"/>
      <c r="J14326" s="1125"/>
    </row>
    <row r="14327" spans="9:10" x14ac:dyDescent="0.2">
      <c r="I14327" s="1125"/>
      <c r="J14327" s="1125"/>
    </row>
    <row r="14328" spans="9:10" x14ac:dyDescent="0.2">
      <c r="I14328" s="1125"/>
      <c r="J14328" s="1125"/>
    </row>
    <row r="14329" spans="9:10" x14ac:dyDescent="0.2">
      <c r="I14329" s="1125"/>
      <c r="J14329" s="1125"/>
    </row>
    <row r="14330" spans="9:10" x14ac:dyDescent="0.2">
      <c r="I14330" s="1125"/>
      <c r="J14330" s="1125"/>
    </row>
    <row r="14331" spans="9:10" x14ac:dyDescent="0.2">
      <c r="I14331" s="1125"/>
      <c r="J14331" s="1125"/>
    </row>
    <row r="14332" spans="9:10" x14ac:dyDescent="0.2">
      <c r="I14332" s="1125"/>
      <c r="J14332" s="1125"/>
    </row>
    <row r="14333" spans="9:10" x14ac:dyDescent="0.2">
      <c r="I14333" s="1125"/>
      <c r="J14333" s="1125"/>
    </row>
    <row r="14334" spans="9:10" x14ac:dyDescent="0.2">
      <c r="I14334" s="1125"/>
      <c r="J14334" s="1125"/>
    </row>
    <row r="14335" spans="9:10" x14ac:dyDescent="0.2">
      <c r="I14335" s="1125"/>
      <c r="J14335" s="1125"/>
    </row>
    <row r="14336" spans="9:10" x14ac:dyDescent="0.2">
      <c r="I14336" s="1125"/>
      <c r="J14336" s="1125"/>
    </row>
    <row r="14337" spans="9:10" x14ac:dyDescent="0.2">
      <c r="I14337" s="1125"/>
      <c r="J14337" s="1125"/>
    </row>
    <row r="14338" spans="9:10" x14ac:dyDescent="0.2">
      <c r="I14338" s="1125"/>
      <c r="J14338" s="1125"/>
    </row>
    <row r="14339" spans="9:10" x14ac:dyDescent="0.2">
      <c r="I14339" s="1125"/>
      <c r="J14339" s="1125"/>
    </row>
    <row r="14340" spans="9:10" x14ac:dyDescent="0.2">
      <c r="I14340" s="1125"/>
      <c r="J14340" s="1125"/>
    </row>
    <row r="14341" spans="9:10" x14ac:dyDescent="0.2">
      <c r="I14341" s="1125"/>
      <c r="J14341" s="1125"/>
    </row>
    <row r="14342" spans="9:10" x14ac:dyDescent="0.2">
      <c r="I14342" s="1125"/>
      <c r="J14342" s="1125"/>
    </row>
    <row r="14343" spans="9:10" x14ac:dyDescent="0.2">
      <c r="I14343" s="1125"/>
      <c r="J14343" s="1125"/>
    </row>
    <row r="14344" spans="9:10" x14ac:dyDescent="0.2">
      <c r="I14344" s="1125"/>
      <c r="J14344" s="1125"/>
    </row>
    <row r="14345" spans="9:10" x14ac:dyDescent="0.2">
      <c r="I14345" s="1125"/>
      <c r="J14345" s="1125"/>
    </row>
    <row r="14346" spans="9:10" x14ac:dyDescent="0.2">
      <c r="I14346" s="1125"/>
      <c r="J14346" s="1125"/>
    </row>
    <row r="14347" spans="9:10" x14ac:dyDescent="0.2">
      <c r="I14347" s="1125"/>
      <c r="J14347" s="1125"/>
    </row>
    <row r="14348" spans="9:10" x14ac:dyDescent="0.2">
      <c r="I14348" s="1125"/>
      <c r="J14348" s="1125"/>
    </row>
    <row r="14349" spans="9:10" x14ac:dyDescent="0.2">
      <c r="I14349" s="1125"/>
      <c r="J14349" s="1125"/>
    </row>
    <row r="14350" spans="9:10" x14ac:dyDescent="0.2">
      <c r="I14350" s="1125"/>
      <c r="J14350" s="1125"/>
    </row>
    <row r="14351" spans="9:10" x14ac:dyDescent="0.2">
      <c r="I14351" s="1125"/>
      <c r="J14351" s="1125"/>
    </row>
    <row r="14352" spans="9:10" x14ac:dyDescent="0.2">
      <c r="I14352" s="1125"/>
      <c r="J14352" s="1125"/>
    </row>
    <row r="14353" spans="9:10" x14ac:dyDescent="0.2">
      <c r="I14353" s="1125"/>
      <c r="J14353" s="1125"/>
    </row>
    <row r="14354" spans="9:10" x14ac:dyDescent="0.2">
      <c r="I14354" s="1125"/>
      <c r="J14354" s="1125"/>
    </row>
    <row r="14355" spans="9:10" x14ac:dyDescent="0.2">
      <c r="I14355" s="1125"/>
      <c r="J14355" s="1125"/>
    </row>
    <row r="14356" spans="9:10" x14ac:dyDescent="0.2">
      <c r="I14356" s="1125"/>
      <c r="J14356" s="1125"/>
    </row>
    <row r="14357" spans="9:10" x14ac:dyDescent="0.2">
      <c r="I14357" s="1125"/>
      <c r="J14357" s="1125"/>
    </row>
    <row r="14358" spans="9:10" x14ac:dyDescent="0.2">
      <c r="I14358" s="1125"/>
      <c r="J14358" s="1125"/>
    </row>
    <row r="14359" spans="9:10" x14ac:dyDescent="0.2">
      <c r="I14359" s="1125"/>
      <c r="J14359" s="1125"/>
    </row>
    <row r="14360" spans="9:10" x14ac:dyDescent="0.2">
      <c r="I14360" s="1125"/>
      <c r="J14360" s="1125"/>
    </row>
    <row r="14361" spans="9:10" x14ac:dyDescent="0.2">
      <c r="I14361" s="1125"/>
      <c r="J14361" s="1125"/>
    </row>
    <row r="14362" spans="9:10" x14ac:dyDescent="0.2">
      <c r="I14362" s="1125"/>
      <c r="J14362" s="1125"/>
    </row>
    <row r="14363" spans="9:10" x14ac:dyDescent="0.2">
      <c r="I14363" s="1125"/>
      <c r="J14363" s="1125"/>
    </row>
    <row r="14364" spans="9:10" x14ac:dyDescent="0.2">
      <c r="I14364" s="1125"/>
      <c r="J14364" s="1125"/>
    </row>
    <row r="14365" spans="9:10" x14ac:dyDescent="0.2">
      <c r="I14365" s="1125"/>
      <c r="J14365" s="1125"/>
    </row>
    <row r="14366" spans="9:10" x14ac:dyDescent="0.2">
      <c r="I14366" s="1125"/>
      <c r="J14366" s="1125"/>
    </row>
    <row r="14367" spans="9:10" x14ac:dyDescent="0.2">
      <c r="I14367" s="1125"/>
      <c r="J14367" s="1125"/>
    </row>
    <row r="14368" spans="9:10" x14ac:dyDescent="0.2">
      <c r="I14368" s="1125"/>
      <c r="J14368" s="1125"/>
    </row>
    <row r="14369" spans="9:10" x14ac:dyDescent="0.2">
      <c r="I14369" s="1125"/>
      <c r="J14369" s="1125"/>
    </row>
    <row r="14370" spans="9:10" x14ac:dyDescent="0.2">
      <c r="I14370" s="1125"/>
      <c r="J14370" s="1125"/>
    </row>
    <row r="14371" spans="9:10" x14ac:dyDescent="0.2">
      <c r="I14371" s="1125"/>
      <c r="J14371" s="1125"/>
    </row>
    <row r="14372" spans="9:10" x14ac:dyDescent="0.2">
      <c r="I14372" s="1125"/>
      <c r="J14372" s="1125"/>
    </row>
    <row r="14373" spans="9:10" x14ac:dyDescent="0.2">
      <c r="I14373" s="1125"/>
      <c r="J14373" s="1125"/>
    </row>
    <row r="14374" spans="9:10" x14ac:dyDescent="0.2">
      <c r="I14374" s="1125"/>
      <c r="J14374" s="1125"/>
    </row>
    <row r="14375" spans="9:10" x14ac:dyDescent="0.2">
      <c r="I14375" s="1125"/>
      <c r="J14375" s="1125"/>
    </row>
    <row r="14376" spans="9:10" x14ac:dyDescent="0.2">
      <c r="I14376" s="1125"/>
      <c r="J14376" s="1125"/>
    </row>
    <row r="14377" spans="9:10" x14ac:dyDescent="0.2">
      <c r="I14377" s="1125"/>
      <c r="J14377" s="1125"/>
    </row>
    <row r="14378" spans="9:10" x14ac:dyDescent="0.2">
      <c r="I14378" s="1125"/>
      <c r="J14378" s="1125"/>
    </row>
    <row r="14379" spans="9:10" x14ac:dyDescent="0.2">
      <c r="I14379" s="1125"/>
      <c r="J14379" s="1125"/>
    </row>
    <row r="14380" spans="9:10" x14ac:dyDescent="0.2">
      <c r="I14380" s="1125"/>
      <c r="J14380" s="1125"/>
    </row>
    <row r="14381" spans="9:10" x14ac:dyDescent="0.2">
      <c r="I14381" s="1125"/>
      <c r="J14381" s="1125"/>
    </row>
    <row r="14382" spans="9:10" x14ac:dyDescent="0.2">
      <c r="I14382" s="1125"/>
      <c r="J14382" s="1125"/>
    </row>
    <row r="14383" spans="9:10" x14ac:dyDescent="0.2">
      <c r="I14383" s="1125"/>
      <c r="J14383" s="1125"/>
    </row>
    <row r="14384" spans="9:10" x14ac:dyDescent="0.2">
      <c r="I14384" s="1125"/>
      <c r="J14384" s="1125"/>
    </row>
    <row r="14385" spans="9:10" x14ac:dyDescent="0.2">
      <c r="I14385" s="1125"/>
      <c r="J14385" s="1125"/>
    </row>
    <row r="14386" spans="9:10" x14ac:dyDescent="0.2">
      <c r="I14386" s="1125"/>
      <c r="J14386" s="1125"/>
    </row>
    <row r="14387" spans="9:10" x14ac:dyDescent="0.2">
      <c r="I14387" s="1125"/>
      <c r="J14387" s="1125"/>
    </row>
    <row r="14388" spans="9:10" x14ac:dyDescent="0.2">
      <c r="I14388" s="1125"/>
      <c r="J14388" s="1125"/>
    </row>
    <row r="14389" spans="9:10" x14ac:dyDescent="0.2">
      <c r="I14389" s="1125"/>
      <c r="J14389" s="1125"/>
    </row>
    <row r="14390" spans="9:10" x14ac:dyDescent="0.2">
      <c r="I14390" s="1125"/>
      <c r="J14390" s="1125"/>
    </row>
    <row r="14391" spans="9:10" x14ac:dyDescent="0.2">
      <c r="I14391" s="1125"/>
      <c r="J14391" s="1125"/>
    </row>
    <row r="14392" spans="9:10" x14ac:dyDescent="0.2">
      <c r="I14392" s="1125"/>
      <c r="J14392" s="1125"/>
    </row>
    <row r="14393" spans="9:10" x14ac:dyDescent="0.2">
      <c r="I14393" s="1125"/>
      <c r="J14393" s="1125"/>
    </row>
    <row r="14394" spans="9:10" x14ac:dyDescent="0.2">
      <c r="I14394" s="1125"/>
      <c r="J14394" s="1125"/>
    </row>
    <row r="14395" spans="9:10" x14ac:dyDescent="0.2">
      <c r="I14395" s="1125"/>
      <c r="J14395" s="1125"/>
    </row>
    <row r="14396" spans="9:10" x14ac:dyDescent="0.2">
      <c r="I14396" s="1125"/>
      <c r="J14396" s="1125"/>
    </row>
    <row r="14397" spans="9:10" x14ac:dyDescent="0.2">
      <c r="I14397" s="1125"/>
      <c r="J14397" s="1125"/>
    </row>
    <row r="14398" spans="9:10" x14ac:dyDescent="0.2">
      <c r="I14398" s="1125"/>
      <c r="J14398" s="1125"/>
    </row>
    <row r="14399" spans="9:10" x14ac:dyDescent="0.2">
      <c r="I14399" s="1125"/>
      <c r="J14399" s="1125"/>
    </row>
    <row r="14400" spans="9:10" x14ac:dyDescent="0.2">
      <c r="I14400" s="1125"/>
      <c r="J14400" s="1125"/>
    </row>
    <row r="14401" spans="9:10" x14ac:dyDescent="0.2">
      <c r="I14401" s="1125"/>
      <c r="J14401" s="1125"/>
    </row>
    <row r="14402" spans="9:10" x14ac:dyDescent="0.2">
      <c r="I14402" s="1125"/>
      <c r="J14402" s="1125"/>
    </row>
    <row r="14403" spans="9:10" x14ac:dyDescent="0.2">
      <c r="I14403" s="1125"/>
      <c r="J14403" s="1125"/>
    </row>
    <row r="14404" spans="9:10" x14ac:dyDescent="0.2">
      <c r="I14404" s="1125"/>
      <c r="J14404" s="1125"/>
    </row>
    <row r="14405" spans="9:10" x14ac:dyDescent="0.2">
      <c r="I14405" s="1125"/>
      <c r="J14405" s="1125"/>
    </row>
    <row r="14406" spans="9:10" x14ac:dyDescent="0.2">
      <c r="I14406" s="1125"/>
      <c r="J14406" s="1125"/>
    </row>
    <row r="14407" spans="9:10" x14ac:dyDescent="0.2">
      <c r="I14407" s="1125"/>
      <c r="J14407" s="1125"/>
    </row>
    <row r="14408" spans="9:10" x14ac:dyDescent="0.2">
      <c r="I14408" s="1125"/>
      <c r="J14408" s="1125"/>
    </row>
    <row r="14409" spans="9:10" x14ac:dyDescent="0.2">
      <c r="I14409" s="1125"/>
      <c r="J14409" s="1125"/>
    </row>
    <row r="14410" spans="9:10" x14ac:dyDescent="0.2">
      <c r="I14410" s="1125"/>
      <c r="J14410" s="1125"/>
    </row>
    <row r="14411" spans="9:10" x14ac:dyDescent="0.2">
      <c r="I14411" s="1125"/>
      <c r="J14411" s="1125"/>
    </row>
    <row r="14412" spans="9:10" x14ac:dyDescent="0.2">
      <c r="I14412" s="1125"/>
      <c r="J14412" s="1125"/>
    </row>
    <row r="14413" spans="9:10" x14ac:dyDescent="0.2">
      <c r="I14413" s="1125"/>
      <c r="J14413" s="1125"/>
    </row>
    <row r="14414" spans="9:10" x14ac:dyDescent="0.2">
      <c r="I14414" s="1125"/>
      <c r="J14414" s="1125"/>
    </row>
    <row r="14415" spans="9:10" x14ac:dyDescent="0.2">
      <c r="I14415" s="1125"/>
      <c r="J14415" s="1125"/>
    </row>
    <row r="14416" spans="9:10" x14ac:dyDescent="0.2">
      <c r="I14416" s="1125"/>
      <c r="J14416" s="1125"/>
    </row>
    <row r="14417" spans="9:10" x14ac:dyDescent="0.2">
      <c r="I14417" s="1125"/>
      <c r="J14417" s="1125"/>
    </row>
    <row r="14418" spans="9:10" x14ac:dyDescent="0.2">
      <c r="I14418" s="1125"/>
      <c r="J14418" s="1125"/>
    </row>
    <row r="14419" spans="9:10" x14ac:dyDescent="0.2">
      <c r="I14419" s="1125"/>
      <c r="J14419" s="1125"/>
    </row>
    <row r="14420" spans="9:10" x14ac:dyDescent="0.2">
      <c r="I14420" s="1125"/>
      <c r="J14420" s="1125"/>
    </row>
    <row r="14421" spans="9:10" x14ac:dyDescent="0.2">
      <c r="I14421" s="1125"/>
      <c r="J14421" s="1125"/>
    </row>
    <row r="14422" spans="9:10" x14ac:dyDescent="0.2">
      <c r="I14422" s="1125"/>
      <c r="J14422" s="1125"/>
    </row>
    <row r="14423" spans="9:10" x14ac:dyDescent="0.2">
      <c r="I14423" s="1125"/>
      <c r="J14423" s="1125"/>
    </row>
    <row r="14424" spans="9:10" x14ac:dyDescent="0.2">
      <c r="I14424" s="1125"/>
      <c r="J14424" s="1125"/>
    </row>
    <row r="14425" spans="9:10" x14ac:dyDescent="0.2">
      <c r="I14425" s="1125"/>
      <c r="J14425" s="1125"/>
    </row>
    <row r="14426" spans="9:10" x14ac:dyDescent="0.2">
      <c r="I14426" s="1125"/>
      <c r="J14426" s="1125"/>
    </row>
    <row r="14427" spans="9:10" x14ac:dyDescent="0.2">
      <c r="I14427" s="1125"/>
      <c r="J14427" s="1125"/>
    </row>
    <row r="14428" spans="9:10" x14ac:dyDescent="0.2">
      <c r="I14428" s="1125"/>
      <c r="J14428" s="1125"/>
    </row>
    <row r="14429" spans="9:10" x14ac:dyDescent="0.2">
      <c r="I14429" s="1125"/>
      <c r="J14429" s="1125"/>
    </row>
    <row r="14430" spans="9:10" x14ac:dyDescent="0.2">
      <c r="I14430" s="1125"/>
      <c r="J14430" s="1125"/>
    </row>
    <row r="14431" spans="9:10" x14ac:dyDescent="0.2">
      <c r="I14431" s="1125"/>
      <c r="J14431" s="1125"/>
    </row>
    <row r="14432" spans="9:10" x14ac:dyDescent="0.2">
      <c r="I14432" s="1125"/>
      <c r="J14432" s="1125"/>
    </row>
    <row r="14433" spans="9:10" x14ac:dyDescent="0.2">
      <c r="I14433" s="1125"/>
      <c r="J14433" s="1125"/>
    </row>
    <row r="14434" spans="9:10" x14ac:dyDescent="0.2">
      <c r="I14434" s="1125"/>
      <c r="J14434" s="1125"/>
    </row>
    <row r="14435" spans="9:10" x14ac:dyDescent="0.2">
      <c r="I14435" s="1125"/>
      <c r="J14435" s="1125"/>
    </row>
    <row r="14436" spans="9:10" x14ac:dyDescent="0.2">
      <c r="I14436" s="1125"/>
      <c r="J14436" s="1125"/>
    </row>
    <row r="14437" spans="9:10" x14ac:dyDescent="0.2">
      <c r="I14437" s="1125"/>
      <c r="J14437" s="1125"/>
    </row>
    <row r="14438" spans="9:10" x14ac:dyDescent="0.2">
      <c r="I14438" s="1125"/>
      <c r="J14438" s="1125"/>
    </row>
    <row r="14439" spans="9:10" x14ac:dyDescent="0.2">
      <c r="I14439" s="1125"/>
      <c r="J14439" s="1125"/>
    </row>
    <row r="14440" spans="9:10" x14ac:dyDescent="0.2">
      <c r="I14440" s="1125"/>
      <c r="J14440" s="1125"/>
    </row>
    <row r="14441" spans="9:10" x14ac:dyDescent="0.2">
      <c r="I14441" s="1125"/>
      <c r="J14441" s="1125"/>
    </row>
    <row r="14442" spans="9:10" x14ac:dyDescent="0.2">
      <c r="I14442" s="1125"/>
      <c r="J14442" s="1125"/>
    </row>
    <row r="14443" spans="9:10" x14ac:dyDescent="0.2">
      <c r="I14443" s="1125"/>
      <c r="J14443" s="1125"/>
    </row>
    <row r="14444" spans="9:10" x14ac:dyDescent="0.2">
      <c r="I14444" s="1125"/>
      <c r="J14444" s="1125"/>
    </row>
    <row r="14445" spans="9:10" x14ac:dyDescent="0.2">
      <c r="I14445" s="1125"/>
      <c r="J14445" s="1125"/>
    </row>
    <row r="14446" spans="9:10" x14ac:dyDescent="0.2">
      <c r="I14446" s="1125"/>
      <c r="J14446" s="1125"/>
    </row>
    <row r="14447" spans="9:10" x14ac:dyDescent="0.2">
      <c r="I14447" s="1125"/>
      <c r="J14447" s="1125"/>
    </row>
    <row r="14448" spans="9:10" x14ac:dyDescent="0.2">
      <c r="I14448" s="1125"/>
      <c r="J14448" s="1125"/>
    </row>
    <row r="14449" spans="9:10" x14ac:dyDescent="0.2">
      <c r="I14449" s="1125"/>
      <c r="J14449" s="1125"/>
    </row>
    <row r="14450" spans="9:10" x14ac:dyDescent="0.2">
      <c r="I14450" s="1125"/>
      <c r="J14450" s="1125"/>
    </row>
    <row r="14451" spans="9:10" x14ac:dyDescent="0.2">
      <c r="I14451" s="1125"/>
      <c r="J14451" s="1125"/>
    </row>
    <row r="14452" spans="9:10" x14ac:dyDescent="0.2">
      <c r="I14452" s="1125"/>
      <c r="J14452" s="1125"/>
    </row>
    <row r="14453" spans="9:10" x14ac:dyDescent="0.2">
      <c r="I14453" s="1125"/>
      <c r="J14453" s="1125"/>
    </row>
    <row r="14454" spans="9:10" x14ac:dyDescent="0.2">
      <c r="I14454" s="1125"/>
      <c r="J14454" s="1125"/>
    </row>
    <row r="14455" spans="9:10" x14ac:dyDescent="0.2">
      <c r="I14455" s="1125"/>
      <c r="J14455" s="1125"/>
    </row>
    <row r="14456" spans="9:10" x14ac:dyDescent="0.2">
      <c r="I14456" s="1125"/>
      <c r="J14456" s="1125"/>
    </row>
    <row r="14457" spans="9:10" x14ac:dyDescent="0.2">
      <c r="I14457" s="1125"/>
      <c r="J14457" s="1125"/>
    </row>
    <row r="14458" spans="9:10" x14ac:dyDescent="0.2">
      <c r="I14458" s="1125"/>
      <c r="J14458" s="1125"/>
    </row>
    <row r="14459" spans="9:10" x14ac:dyDescent="0.2">
      <c r="I14459" s="1125"/>
      <c r="J14459" s="1125"/>
    </row>
    <row r="14460" spans="9:10" x14ac:dyDescent="0.2">
      <c r="I14460" s="1125"/>
      <c r="J14460" s="1125"/>
    </row>
    <row r="14461" spans="9:10" x14ac:dyDescent="0.2">
      <c r="I14461" s="1125"/>
      <c r="J14461" s="1125"/>
    </row>
    <row r="14462" spans="9:10" x14ac:dyDescent="0.2">
      <c r="I14462" s="1125"/>
      <c r="J14462" s="1125"/>
    </row>
    <row r="14463" spans="9:10" x14ac:dyDescent="0.2">
      <c r="I14463" s="1125"/>
      <c r="J14463" s="1125"/>
    </row>
    <row r="14464" spans="9:10" x14ac:dyDescent="0.2">
      <c r="I14464" s="1125"/>
      <c r="J14464" s="1125"/>
    </row>
    <row r="14465" spans="9:10" x14ac:dyDescent="0.2">
      <c r="I14465" s="1125"/>
      <c r="J14465" s="1125"/>
    </row>
    <row r="14466" spans="9:10" x14ac:dyDescent="0.2">
      <c r="I14466" s="1125"/>
      <c r="J14466" s="1125"/>
    </row>
    <row r="14467" spans="9:10" x14ac:dyDescent="0.2">
      <c r="I14467" s="1125"/>
      <c r="J14467" s="1125"/>
    </row>
    <row r="14468" spans="9:10" x14ac:dyDescent="0.2">
      <c r="I14468" s="1125"/>
      <c r="J14468" s="1125"/>
    </row>
    <row r="14469" spans="9:10" x14ac:dyDescent="0.2">
      <c r="I14469" s="1125"/>
      <c r="J14469" s="1125"/>
    </row>
    <row r="14470" spans="9:10" x14ac:dyDescent="0.2">
      <c r="I14470" s="1125"/>
      <c r="J14470" s="1125"/>
    </row>
    <row r="14471" spans="9:10" x14ac:dyDescent="0.2">
      <c r="I14471" s="1125"/>
      <c r="J14471" s="1125"/>
    </row>
    <row r="14472" spans="9:10" x14ac:dyDescent="0.2">
      <c r="I14472" s="1125"/>
      <c r="J14472" s="1125"/>
    </row>
    <row r="14473" spans="9:10" x14ac:dyDescent="0.2">
      <c r="I14473" s="1125"/>
      <c r="J14473" s="1125"/>
    </row>
    <row r="14474" spans="9:10" x14ac:dyDescent="0.2">
      <c r="I14474" s="1125"/>
      <c r="J14474" s="1125"/>
    </row>
    <row r="14475" spans="9:10" x14ac:dyDescent="0.2">
      <c r="I14475" s="1125"/>
      <c r="J14475" s="1125"/>
    </row>
    <row r="14476" spans="9:10" x14ac:dyDescent="0.2">
      <c r="I14476" s="1125"/>
      <c r="J14476" s="1125"/>
    </row>
    <row r="14477" spans="9:10" x14ac:dyDescent="0.2">
      <c r="I14477" s="1125"/>
      <c r="J14477" s="1125"/>
    </row>
    <row r="14478" spans="9:10" x14ac:dyDescent="0.2">
      <c r="I14478" s="1125"/>
      <c r="J14478" s="1125"/>
    </row>
    <row r="14479" spans="9:10" x14ac:dyDescent="0.2">
      <c r="I14479" s="1125"/>
      <c r="J14479" s="1125"/>
    </row>
    <row r="14480" spans="9:10" x14ac:dyDescent="0.2">
      <c r="I14480" s="1125"/>
      <c r="J14480" s="1125"/>
    </row>
    <row r="14481" spans="9:10" x14ac:dyDescent="0.2">
      <c r="I14481" s="1125"/>
      <c r="J14481" s="1125"/>
    </row>
    <row r="14482" spans="9:10" x14ac:dyDescent="0.2">
      <c r="I14482" s="1125"/>
      <c r="J14482" s="1125"/>
    </row>
    <row r="14483" spans="9:10" x14ac:dyDescent="0.2">
      <c r="I14483" s="1125"/>
      <c r="J14483" s="1125"/>
    </row>
    <row r="14484" spans="9:10" x14ac:dyDescent="0.2">
      <c r="I14484" s="1125"/>
      <c r="J14484" s="1125"/>
    </row>
    <row r="14485" spans="9:10" x14ac:dyDescent="0.2">
      <c r="I14485" s="1125"/>
      <c r="J14485" s="1125"/>
    </row>
    <row r="14486" spans="9:10" x14ac:dyDescent="0.2">
      <c r="I14486" s="1125"/>
      <c r="J14486" s="1125"/>
    </row>
    <row r="14487" spans="9:10" x14ac:dyDescent="0.2">
      <c r="I14487" s="1125"/>
      <c r="J14487" s="1125"/>
    </row>
    <row r="14488" spans="9:10" x14ac:dyDescent="0.2">
      <c r="I14488" s="1125"/>
      <c r="J14488" s="1125"/>
    </row>
    <row r="14489" spans="9:10" x14ac:dyDescent="0.2">
      <c r="I14489" s="1125"/>
      <c r="J14489" s="1125"/>
    </row>
    <row r="14490" spans="9:10" x14ac:dyDescent="0.2">
      <c r="I14490" s="1125"/>
      <c r="J14490" s="1125"/>
    </row>
    <row r="14491" spans="9:10" x14ac:dyDescent="0.2">
      <c r="I14491" s="1125"/>
      <c r="J14491" s="1125"/>
    </row>
    <row r="14492" spans="9:10" x14ac:dyDescent="0.2">
      <c r="I14492" s="1125"/>
      <c r="J14492" s="1125"/>
    </row>
    <row r="14493" spans="9:10" x14ac:dyDescent="0.2">
      <c r="I14493" s="1125"/>
      <c r="J14493" s="1125"/>
    </row>
    <row r="14494" spans="9:10" x14ac:dyDescent="0.2">
      <c r="I14494" s="1125"/>
      <c r="J14494" s="1125"/>
    </row>
    <row r="14495" spans="9:10" x14ac:dyDescent="0.2">
      <c r="I14495" s="1125"/>
      <c r="J14495" s="1125"/>
    </row>
    <row r="14496" spans="9:10" x14ac:dyDescent="0.2">
      <c r="I14496" s="1125"/>
      <c r="J14496" s="1125"/>
    </row>
    <row r="14497" spans="9:10" x14ac:dyDescent="0.2">
      <c r="I14497" s="1125"/>
      <c r="J14497" s="1125"/>
    </row>
    <row r="14498" spans="9:10" x14ac:dyDescent="0.2">
      <c r="I14498" s="1125"/>
      <c r="J14498" s="1125"/>
    </row>
    <row r="14499" spans="9:10" x14ac:dyDescent="0.2">
      <c r="I14499" s="1125"/>
      <c r="J14499" s="1125"/>
    </row>
    <row r="14500" spans="9:10" x14ac:dyDescent="0.2">
      <c r="I14500" s="1125"/>
      <c r="J14500" s="1125"/>
    </row>
    <row r="14501" spans="9:10" x14ac:dyDescent="0.2">
      <c r="I14501" s="1125"/>
      <c r="J14501" s="1125"/>
    </row>
    <row r="14502" spans="9:10" x14ac:dyDescent="0.2">
      <c r="I14502" s="1125"/>
      <c r="J14502" s="1125"/>
    </row>
    <row r="14503" spans="9:10" x14ac:dyDescent="0.2">
      <c r="I14503" s="1125"/>
      <c r="J14503" s="1125"/>
    </row>
    <row r="14504" spans="9:10" x14ac:dyDescent="0.2">
      <c r="I14504" s="1125"/>
      <c r="J14504" s="1125"/>
    </row>
    <row r="14505" spans="9:10" x14ac:dyDescent="0.2">
      <c r="I14505" s="1125"/>
      <c r="J14505" s="1125"/>
    </row>
    <row r="14506" spans="9:10" x14ac:dyDescent="0.2">
      <c r="I14506" s="1125"/>
      <c r="J14506" s="1125"/>
    </row>
    <row r="14507" spans="9:10" x14ac:dyDescent="0.2">
      <c r="I14507" s="1125"/>
      <c r="J14507" s="1125"/>
    </row>
    <row r="14508" spans="9:10" x14ac:dyDescent="0.2">
      <c r="I14508" s="1125"/>
      <c r="J14508" s="1125"/>
    </row>
    <row r="14509" spans="9:10" x14ac:dyDescent="0.2">
      <c r="I14509" s="1125"/>
      <c r="J14509" s="1125"/>
    </row>
    <row r="14510" spans="9:10" x14ac:dyDescent="0.2">
      <c r="I14510" s="1125"/>
      <c r="J14510" s="1125"/>
    </row>
    <row r="14511" spans="9:10" x14ac:dyDescent="0.2">
      <c r="I14511" s="1125"/>
      <c r="J14511" s="1125"/>
    </row>
    <row r="14512" spans="9:10" x14ac:dyDescent="0.2">
      <c r="I14512" s="1125"/>
      <c r="J14512" s="1125"/>
    </row>
    <row r="14513" spans="9:10" x14ac:dyDescent="0.2">
      <c r="I14513" s="1125"/>
      <c r="J14513" s="1125"/>
    </row>
    <row r="14514" spans="9:10" x14ac:dyDescent="0.2">
      <c r="I14514" s="1125"/>
      <c r="J14514" s="1125"/>
    </row>
    <row r="14515" spans="9:10" x14ac:dyDescent="0.2">
      <c r="I14515" s="1125"/>
      <c r="J14515" s="1125"/>
    </row>
    <row r="14516" spans="9:10" x14ac:dyDescent="0.2">
      <c r="I14516" s="1125"/>
      <c r="J14516" s="1125"/>
    </row>
    <row r="14517" spans="9:10" x14ac:dyDescent="0.2">
      <c r="I14517" s="1125"/>
      <c r="J14517" s="1125"/>
    </row>
    <row r="14518" spans="9:10" x14ac:dyDescent="0.2">
      <c r="I14518" s="1125"/>
      <c r="J14518" s="1125"/>
    </row>
    <row r="14519" spans="9:10" x14ac:dyDescent="0.2">
      <c r="I14519" s="1125"/>
      <c r="J14519" s="1125"/>
    </row>
    <row r="14520" spans="9:10" x14ac:dyDescent="0.2">
      <c r="I14520" s="1125"/>
      <c r="J14520" s="1125"/>
    </row>
    <row r="14521" spans="9:10" x14ac:dyDescent="0.2">
      <c r="I14521" s="1125"/>
      <c r="J14521" s="1125"/>
    </row>
    <row r="14522" spans="9:10" x14ac:dyDescent="0.2">
      <c r="I14522" s="1125"/>
      <c r="J14522" s="1125"/>
    </row>
    <row r="14523" spans="9:10" x14ac:dyDescent="0.2">
      <c r="I14523" s="1125"/>
      <c r="J14523" s="1125"/>
    </row>
    <row r="14524" spans="9:10" x14ac:dyDescent="0.2">
      <c r="I14524" s="1125"/>
      <c r="J14524" s="1125"/>
    </row>
    <row r="14525" spans="9:10" x14ac:dyDescent="0.2">
      <c r="I14525" s="1125"/>
      <c r="J14525" s="1125"/>
    </row>
    <row r="14526" spans="9:10" x14ac:dyDescent="0.2">
      <c r="I14526" s="1125"/>
      <c r="J14526" s="1125"/>
    </row>
    <row r="14527" spans="9:10" x14ac:dyDescent="0.2">
      <c r="I14527" s="1125"/>
      <c r="J14527" s="1125"/>
    </row>
    <row r="14528" spans="9:10" x14ac:dyDescent="0.2">
      <c r="I14528" s="1125"/>
      <c r="J14528" s="1125"/>
    </row>
    <row r="14529" spans="9:10" x14ac:dyDescent="0.2">
      <c r="I14529" s="1125"/>
      <c r="J14529" s="1125"/>
    </row>
    <row r="14530" spans="9:10" x14ac:dyDescent="0.2">
      <c r="I14530" s="1125"/>
      <c r="J14530" s="1125"/>
    </row>
    <row r="14531" spans="9:10" x14ac:dyDescent="0.2">
      <c r="I14531" s="1125"/>
      <c r="J14531" s="1125"/>
    </row>
    <row r="14532" spans="9:10" x14ac:dyDescent="0.2">
      <c r="I14532" s="1125"/>
      <c r="J14532" s="1125"/>
    </row>
    <row r="14533" spans="9:10" x14ac:dyDescent="0.2">
      <c r="I14533" s="1125"/>
      <c r="J14533" s="1125"/>
    </row>
    <row r="14534" spans="9:10" x14ac:dyDescent="0.2">
      <c r="I14534" s="1125"/>
      <c r="J14534" s="1125"/>
    </row>
    <row r="14535" spans="9:10" x14ac:dyDescent="0.2">
      <c r="I14535" s="1125"/>
      <c r="J14535" s="1125"/>
    </row>
    <row r="14536" spans="9:10" x14ac:dyDescent="0.2">
      <c r="I14536" s="1125"/>
      <c r="J14536" s="1125"/>
    </row>
    <row r="14537" spans="9:10" x14ac:dyDescent="0.2">
      <c r="I14537" s="1125"/>
      <c r="J14537" s="1125"/>
    </row>
    <row r="14538" spans="9:10" x14ac:dyDescent="0.2">
      <c r="I14538" s="1125"/>
      <c r="J14538" s="1125"/>
    </row>
    <row r="14539" spans="9:10" x14ac:dyDescent="0.2">
      <c r="I14539" s="1125"/>
      <c r="J14539" s="1125"/>
    </row>
    <row r="14540" spans="9:10" x14ac:dyDescent="0.2">
      <c r="I14540" s="1125"/>
      <c r="J14540" s="1125"/>
    </row>
    <row r="14541" spans="9:10" x14ac:dyDescent="0.2">
      <c r="I14541" s="1125"/>
      <c r="J14541" s="1125"/>
    </row>
    <row r="14542" spans="9:10" x14ac:dyDescent="0.2">
      <c r="I14542" s="1125"/>
      <c r="J14542" s="1125"/>
    </row>
    <row r="14543" spans="9:10" x14ac:dyDescent="0.2">
      <c r="I14543" s="1125"/>
      <c r="J14543" s="1125"/>
    </row>
    <row r="14544" spans="9:10" x14ac:dyDescent="0.2">
      <c r="I14544" s="1125"/>
      <c r="J14544" s="1125"/>
    </row>
    <row r="14545" spans="9:10" x14ac:dyDescent="0.2">
      <c r="I14545" s="1125"/>
      <c r="J14545" s="1125"/>
    </row>
    <row r="14546" spans="9:10" x14ac:dyDescent="0.2">
      <c r="I14546" s="1125"/>
      <c r="J14546" s="1125"/>
    </row>
    <row r="14547" spans="9:10" x14ac:dyDescent="0.2">
      <c r="I14547" s="1125"/>
      <c r="J14547" s="1125"/>
    </row>
    <row r="14548" spans="9:10" x14ac:dyDescent="0.2">
      <c r="I14548" s="1125"/>
      <c r="J14548" s="1125"/>
    </row>
    <row r="14549" spans="9:10" x14ac:dyDescent="0.2">
      <c r="I14549" s="1125"/>
      <c r="J14549" s="1125"/>
    </row>
    <row r="14550" spans="9:10" x14ac:dyDescent="0.2">
      <c r="I14550" s="1125"/>
      <c r="J14550" s="1125"/>
    </row>
    <row r="14551" spans="9:10" x14ac:dyDescent="0.2">
      <c r="I14551" s="1125"/>
      <c r="J14551" s="1125"/>
    </row>
    <row r="14552" spans="9:10" x14ac:dyDescent="0.2">
      <c r="I14552" s="1125"/>
      <c r="J14552" s="1125"/>
    </row>
    <row r="14553" spans="9:10" x14ac:dyDescent="0.2">
      <c r="I14553" s="1125"/>
      <c r="J14553" s="1125"/>
    </row>
    <row r="14554" spans="9:10" x14ac:dyDescent="0.2">
      <c r="I14554" s="1125"/>
      <c r="J14554" s="1125"/>
    </row>
    <row r="14555" spans="9:10" x14ac:dyDescent="0.2">
      <c r="I14555" s="1125"/>
      <c r="J14555" s="1125"/>
    </row>
    <row r="14556" spans="9:10" x14ac:dyDescent="0.2">
      <c r="I14556" s="1125"/>
      <c r="J14556" s="1125"/>
    </row>
    <row r="14557" spans="9:10" x14ac:dyDescent="0.2">
      <c r="I14557" s="1125"/>
      <c r="J14557" s="1125"/>
    </row>
    <row r="14558" spans="9:10" x14ac:dyDescent="0.2">
      <c r="I14558" s="1125"/>
      <c r="J14558" s="1125"/>
    </row>
    <row r="14559" spans="9:10" x14ac:dyDescent="0.2">
      <c r="I14559" s="1125"/>
      <c r="J14559" s="1125"/>
    </row>
    <row r="14560" spans="9:10" x14ac:dyDescent="0.2">
      <c r="I14560" s="1125"/>
      <c r="J14560" s="1125"/>
    </row>
    <row r="14561" spans="9:10" x14ac:dyDescent="0.2">
      <c r="I14561" s="1125"/>
      <c r="J14561" s="1125"/>
    </row>
    <row r="14562" spans="9:10" x14ac:dyDescent="0.2">
      <c r="I14562" s="1125"/>
      <c r="J14562" s="1125"/>
    </row>
    <row r="14563" spans="9:10" x14ac:dyDescent="0.2">
      <c r="I14563" s="1125"/>
      <c r="J14563" s="1125"/>
    </row>
    <row r="14564" spans="9:10" x14ac:dyDescent="0.2">
      <c r="I14564" s="1125"/>
      <c r="J14564" s="1125"/>
    </row>
    <row r="14565" spans="9:10" x14ac:dyDescent="0.2">
      <c r="I14565" s="1125"/>
      <c r="J14565" s="1125"/>
    </row>
    <row r="14566" spans="9:10" x14ac:dyDescent="0.2">
      <c r="I14566" s="1125"/>
      <c r="J14566" s="1125"/>
    </row>
    <row r="14567" spans="9:10" x14ac:dyDescent="0.2">
      <c r="I14567" s="1125"/>
      <c r="J14567" s="1125"/>
    </row>
    <row r="14568" spans="9:10" x14ac:dyDescent="0.2">
      <c r="I14568" s="1125"/>
      <c r="J14568" s="1125"/>
    </row>
    <row r="14569" spans="9:10" x14ac:dyDescent="0.2">
      <c r="I14569" s="1125"/>
      <c r="J14569" s="1125"/>
    </row>
    <row r="14570" spans="9:10" x14ac:dyDescent="0.2">
      <c r="I14570" s="1125"/>
      <c r="J14570" s="1125"/>
    </row>
    <row r="14571" spans="9:10" x14ac:dyDescent="0.2">
      <c r="I14571" s="1125"/>
      <c r="J14571" s="1125"/>
    </row>
    <row r="14572" spans="9:10" x14ac:dyDescent="0.2">
      <c r="I14572" s="1125"/>
      <c r="J14572" s="1125"/>
    </row>
    <row r="14573" spans="9:10" x14ac:dyDescent="0.2">
      <c r="I14573" s="1125"/>
      <c r="J14573" s="1125"/>
    </row>
    <row r="14574" spans="9:10" x14ac:dyDescent="0.2">
      <c r="I14574" s="1125"/>
      <c r="J14574" s="1125"/>
    </row>
    <row r="14575" spans="9:10" x14ac:dyDescent="0.2">
      <c r="I14575" s="1125"/>
      <c r="J14575" s="1125"/>
    </row>
    <row r="14576" spans="9:10" x14ac:dyDescent="0.2">
      <c r="I14576" s="1125"/>
      <c r="J14576" s="1125"/>
    </row>
    <row r="14577" spans="9:10" x14ac:dyDescent="0.2">
      <c r="I14577" s="1125"/>
      <c r="J14577" s="1125"/>
    </row>
    <row r="14578" spans="9:10" x14ac:dyDescent="0.2">
      <c r="I14578" s="1125"/>
      <c r="J14578" s="1125"/>
    </row>
    <row r="14579" spans="9:10" x14ac:dyDescent="0.2">
      <c r="I14579" s="1125"/>
      <c r="J14579" s="1125"/>
    </row>
    <row r="14580" spans="9:10" x14ac:dyDescent="0.2">
      <c r="I14580" s="1125"/>
      <c r="J14580" s="1125"/>
    </row>
    <row r="14581" spans="9:10" x14ac:dyDescent="0.2">
      <c r="I14581" s="1125"/>
      <c r="J14581" s="1125"/>
    </row>
    <row r="14582" spans="9:10" x14ac:dyDescent="0.2">
      <c r="I14582" s="1125"/>
      <c r="J14582" s="1125"/>
    </row>
    <row r="14583" spans="9:10" x14ac:dyDescent="0.2">
      <c r="I14583" s="1125"/>
      <c r="J14583" s="1125"/>
    </row>
    <row r="14584" spans="9:10" x14ac:dyDescent="0.2">
      <c r="I14584" s="1125"/>
      <c r="J14584" s="1125"/>
    </row>
    <row r="14585" spans="9:10" x14ac:dyDescent="0.2">
      <c r="I14585" s="1125"/>
      <c r="J14585" s="1125"/>
    </row>
    <row r="14586" spans="9:10" x14ac:dyDescent="0.2">
      <c r="I14586" s="1125"/>
      <c r="J14586" s="1125"/>
    </row>
    <row r="14587" spans="9:10" x14ac:dyDescent="0.2">
      <c r="I14587" s="1125"/>
      <c r="J14587" s="1125"/>
    </row>
    <row r="14588" spans="9:10" x14ac:dyDescent="0.2">
      <c r="I14588" s="1125"/>
      <c r="J14588" s="1125"/>
    </row>
    <row r="14589" spans="9:10" x14ac:dyDescent="0.2">
      <c r="I14589" s="1125"/>
      <c r="J14589" s="1125"/>
    </row>
    <row r="14590" spans="9:10" x14ac:dyDescent="0.2">
      <c r="I14590" s="1125"/>
      <c r="J14590" s="1125"/>
    </row>
    <row r="14591" spans="9:10" x14ac:dyDescent="0.2">
      <c r="I14591" s="1125"/>
      <c r="J14591" s="1125"/>
    </row>
    <row r="14592" spans="9:10" x14ac:dyDescent="0.2">
      <c r="I14592" s="1125"/>
      <c r="J14592" s="1125"/>
    </row>
    <row r="14593" spans="9:10" x14ac:dyDescent="0.2">
      <c r="I14593" s="1125"/>
      <c r="J14593" s="1125"/>
    </row>
    <row r="14594" spans="9:10" x14ac:dyDescent="0.2">
      <c r="I14594" s="1125"/>
      <c r="J14594" s="1125"/>
    </row>
    <row r="14595" spans="9:10" x14ac:dyDescent="0.2">
      <c r="I14595" s="1125"/>
      <c r="J14595" s="1125"/>
    </row>
    <row r="14596" spans="9:10" x14ac:dyDescent="0.2">
      <c r="I14596" s="1125"/>
      <c r="J14596" s="1125"/>
    </row>
    <row r="14597" spans="9:10" x14ac:dyDescent="0.2">
      <c r="I14597" s="1125"/>
      <c r="J14597" s="1125"/>
    </row>
    <row r="14598" spans="9:10" x14ac:dyDescent="0.2">
      <c r="I14598" s="1125"/>
      <c r="J14598" s="1125"/>
    </row>
    <row r="14599" spans="9:10" x14ac:dyDescent="0.2">
      <c r="I14599" s="1125"/>
      <c r="J14599" s="1125"/>
    </row>
    <row r="14600" spans="9:10" x14ac:dyDescent="0.2">
      <c r="I14600" s="1125"/>
      <c r="J14600" s="1125"/>
    </row>
    <row r="14601" spans="9:10" x14ac:dyDescent="0.2">
      <c r="I14601" s="1125"/>
      <c r="J14601" s="1125"/>
    </row>
    <row r="14602" spans="9:10" x14ac:dyDescent="0.2">
      <c r="I14602" s="1125"/>
      <c r="J14602" s="1125"/>
    </row>
    <row r="14603" spans="9:10" x14ac:dyDescent="0.2">
      <c r="I14603" s="1125"/>
      <c r="J14603" s="1125"/>
    </row>
    <row r="14604" spans="9:10" x14ac:dyDescent="0.2">
      <c r="I14604" s="1125"/>
      <c r="J14604" s="1125"/>
    </row>
    <row r="14605" spans="9:10" x14ac:dyDescent="0.2">
      <c r="I14605" s="1125"/>
      <c r="J14605" s="1125"/>
    </row>
    <row r="14606" spans="9:10" x14ac:dyDescent="0.2">
      <c r="I14606" s="1125"/>
      <c r="J14606" s="1125"/>
    </row>
    <row r="14607" spans="9:10" x14ac:dyDescent="0.2">
      <c r="I14607" s="1125"/>
      <c r="J14607" s="1125"/>
    </row>
    <row r="14608" spans="9:10" x14ac:dyDescent="0.2">
      <c r="I14608" s="1125"/>
      <c r="J14608" s="1125"/>
    </row>
    <row r="14609" spans="9:10" x14ac:dyDescent="0.2">
      <c r="I14609" s="1125"/>
      <c r="J14609" s="1125"/>
    </row>
    <row r="14610" spans="9:10" x14ac:dyDescent="0.2">
      <c r="I14610" s="1125"/>
      <c r="J14610" s="1125"/>
    </row>
    <row r="14611" spans="9:10" x14ac:dyDescent="0.2">
      <c r="I14611" s="1125"/>
      <c r="J14611" s="1125"/>
    </row>
    <row r="14612" spans="9:10" x14ac:dyDescent="0.2">
      <c r="I14612" s="1125"/>
      <c r="J14612" s="1125"/>
    </row>
    <row r="14613" spans="9:10" x14ac:dyDescent="0.2">
      <c r="I14613" s="1125"/>
      <c r="J14613" s="1125"/>
    </row>
    <row r="14614" spans="9:10" x14ac:dyDescent="0.2">
      <c r="I14614" s="1125"/>
      <c r="J14614" s="1125"/>
    </row>
    <row r="14615" spans="9:10" x14ac:dyDescent="0.2">
      <c r="I14615" s="1125"/>
      <c r="J14615" s="1125"/>
    </row>
    <row r="14616" spans="9:10" x14ac:dyDescent="0.2">
      <c r="I14616" s="1125"/>
      <c r="J14616" s="1125"/>
    </row>
    <row r="14617" spans="9:10" x14ac:dyDescent="0.2">
      <c r="I14617" s="1125"/>
      <c r="J14617" s="1125"/>
    </row>
    <row r="14618" spans="9:10" x14ac:dyDescent="0.2">
      <c r="I14618" s="1125"/>
      <c r="J14618" s="1125"/>
    </row>
    <row r="14619" spans="9:10" x14ac:dyDescent="0.2">
      <c r="I14619" s="1125"/>
      <c r="J14619" s="1125"/>
    </row>
    <row r="14620" spans="9:10" x14ac:dyDescent="0.2">
      <c r="I14620" s="1125"/>
      <c r="J14620" s="1125"/>
    </row>
    <row r="14621" spans="9:10" x14ac:dyDescent="0.2">
      <c r="I14621" s="1125"/>
      <c r="J14621" s="1125"/>
    </row>
    <row r="14622" spans="9:10" x14ac:dyDescent="0.2">
      <c r="I14622" s="1125"/>
      <c r="J14622" s="1125"/>
    </row>
    <row r="14623" spans="9:10" x14ac:dyDescent="0.2">
      <c r="I14623" s="1125"/>
      <c r="J14623" s="1125"/>
    </row>
    <row r="14624" spans="9:10" x14ac:dyDescent="0.2">
      <c r="I14624" s="1125"/>
      <c r="J14624" s="1125"/>
    </row>
    <row r="14625" spans="9:10" x14ac:dyDescent="0.2">
      <c r="I14625" s="1125"/>
      <c r="J14625" s="1125"/>
    </row>
    <row r="14626" spans="9:10" x14ac:dyDescent="0.2">
      <c r="I14626" s="1125"/>
      <c r="J14626" s="1125"/>
    </row>
    <row r="14627" spans="9:10" x14ac:dyDescent="0.2">
      <c r="I14627" s="1125"/>
      <c r="J14627" s="1125"/>
    </row>
    <row r="14628" spans="9:10" x14ac:dyDescent="0.2">
      <c r="I14628" s="1125"/>
      <c r="J14628" s="1125"/>
    </row>
    <row r="14629" spans="9:10" x14ac:dyDescent="0.2">
      <c r="I14629" s="1125"/>
      <c r="J14629" s="1125"/>
    </row>
    <row r="14630" spans="9:10" x14ac:dyDescent="0.2">
      <c r="I14630" s="1125"/>
      <c r="J14630" s="1125"/>
    </row>
    <row r="14631" spans="9:10" x14ac:dyDescent="0.2">
      <c r="I14631" s="1125"/>
      <c r="J14631" s="1125"/>
    </row>
    <row r="14632" spans="9:10" x14ac:dyDescent="0.2">
      <c r="I14632" s="1125"/>
      <c r="J14632" s="1125"/>
    </row>
    <row r="14633" spans="9:10" x14ac:dyDescent="0.2">
      <c r="I14633" s="1125"/>
      <c r="J14633" s="1125"/>
    </row>
    <row r="14634" spans="9:10" x14ac:dyDescent="0.2">
      <c r="I14634" s="1125"/>
      <c r="J14634" s="1125"/>
    </row>
    <row r="14635" spans="9:10" x14ac:dyDescent="0.2">
      <c r="I14635" s="1125"/>
      <c r="J14635" s="1125"/>
    </row>
    <row r="14636" spans="9:10" x14ac:dyDescent="0.2">
      <c r="I14636" s="1125"/>
      <c r="J14636" s="1125"/>
    </row>
    <row r="14637" spans="9:10" x14ac:dyDescent="0.2">
      <c r="I14637" s="1125"/>
      <c r="J14637" s="1125"/>
    </row>
    <row r="14638" spans="9:10" x14ac:dyDescent="0.2">
      <c r="I14638" s="1125"/>
      <c r="J14638" s="1125"/>
    </row>
    <row r="14639" spans="9:10" x14ac:dyDescent="0.2">
      <c r="I14639" s="1125"/>
      <c r="J14639" s="1125"/>
    </row>
    <row r="14640" spans="9:10" x14ac:dyDescent="0.2">
      <c r="I14640" s="1125"/>
      <c r="J14640" s="1125"/>
    </row>
    <row r="14641" spans="9:10" x14ac:dyDescent="0.2">
      <c r="I14641" s="1125"/>
      <c r="J14641" s="1125"/>
    </row>
    <row r="14642" spans="9:10" x14ac:dyDescent="0.2">
      <c r="I14642" s="1125"/>
      <c r="J14642" s="1125"/>
    </row>
    <row r="14643" spans="9:10" x14ac:dyDescent="0.2">
      <c r="I14643" s="1125"/>
      <c r="J14643" s="1125"/>
    </row>
    <row r="14644" spans="9:10" x14ac:dyDescent="0.2">
      <c r="I14644" s="1125"/>
      <c r="J14644" s="1125"/>
    </row>
    <row r="14645" spans="9:10" x14ac:dyDescent="0.2">
      <c r="I14645" s="1125"/>
      <c r="J14645" s="1125"/>
    </row>
    <row r="14646" spans="9:10" x14ac:dyDescent="0.2">
      <c r="I14646" s="1125"/>
      <c r="J14646" s="1125"/>
    </row>
    <row r="14647" spans="9:10" x14ac:dyDescent="0.2">
      <c r="I14647" s="1125"/>
      <c r="J14647" s="1125"/>
    </row>
    <row r="14648" spans="9:10" x14ac:dyDescent="0.2">
      <c r="I14648" s="1125"/>
      <c r="J14648" s="1125"/>
    </row>
    <row r="14649" spans="9:10" x14ac:dyDescent="0.2">
      <c r="I14649" s="1125"/>
      <c r="J14649" s="1125"/>
    </row>
    <row r="14650" spans="9:10" x14ac:dyDescent="0.2">
      <c r="I14650" s="1125"/>
      <c r="J14650" s="1125"/>
    </row>
    <row r="14651" spans="9:10" x14ac:dyDescent="0.2">
      <c r="I14651" s="1125"/>
      <c r="J14651" s="1125"/>
    </row>
    <row r="14652" spans="9:10" x14ac:dyDescent="0.2">
      <c r="I14652" s="1125"/>
      <c r="J14652" s="1125"/>
    </row>
    <row r="14653" spans="9:10" x14ac:dyDescent="0.2">
      <c r="I14653" s="1125"/>
      <c r="J14653" s="1125"/>
    </row>
    <row r="14654" spans="9:10" x14ac:dyDescent="0.2">
      <c r="I14654" s="1125"/>
      <c r="J14654" s="1125"/>
    </row>
    <row r="14655" spans="9:10" x14ac:dyDescent="0.2">
      <c r="I14655" s="1125"/>
      <c r="J14655" s="1125"/>
    </row>
    <row r="14656" spans="9:10" x14ac:dyDescent="0.2">
      <c r="I14656" s="1125"/>
      <c r="J14656" s="1125"/>
    </row>
    <row r="14657" spans="9:10" x14ac:dyDescent="0.2">
      <c r="I14657" s="1125"/>
      <c r="J14657" s="1125"/>
    </row>
    <row r="14658" spans="9:10" x14ac:dyDescent="0.2">
      <c r="I14658" s="1125"/>
      <c r="J14658" s="1125"/>
    </row>
    <row r="14659" spans="9:10" x14ac:dyDescent="0.2">
      <c r="I14659" s="1125"/>
      <c r="J14659" s="1125"/>
    </row>
    <row r="14660" spans="9:10" x14ac:dyDescent="0.2">
      <c r="I14660" s="1125"/>
      <c r="J14660" s="1125"/>
    </row>
    <row r="14661" spans="9:10" x14ac:dyDescent="0.2">
      <c r="I14661" s="1125"/>
      <c r="J14661" s="1125"/>
    </row>
    <row r="14662" spans="9:10" x14ac:dyDescent="0.2">
      <c r="I14662" s="1125"/>
      <c r="J14662" s="1125"/>
    </row>
    <row r="14663" spans="9:10" x14ac:dyDescent="0.2">
      <c r="I14663" s="1125"/>
      <c r="J14663" s="1125"/>
    </row>
    <row r="14664" spans="9:10" x14ac:dyDescent="0.2">
      <c r="I14664" s="1125"/>
      <c r="J14664" s="1125"/>
    </row>
    <row r="14665" spans="9:10" x14ac:dyDescent="0.2">
      <c r="I14665" s="1125"/>
      <c r="J14665" s="1125"/>
    </row>
    <row r="14666" spans="9:10" x14ac:dyDescent="0.2">
      <c r="I14666" s="1125"/>
      <c r="J14666" s="1125"/>
    </row>
    <row r="14667" spans="9:10" x14ac:dyDescent="0.2">
      <c r="I14667" s="1125"/>
      <c r="J14667" s="1125"/>
    </row>
    <row r="14668" spans="9:10" x14ac:dyDescent="0.2">
      <c r="I14668" s="1125"/>
      <c r="J14668" s="1125"/>
    </row>
    <row r="14669" spans="9:10" x14ac:dyDescent="0.2">
      <c r="I14669" s="1125"/>
      <c r="J14669" s="1125"/>
    </row>
    <row r="14670" spans="9:10" x14ac:dyDescent="0.2">
      <c r="I14670" s="1125"/>
      <c r="J14670" s="1125"/>
    </row>
    <row r="14671" spans="9:10" x14ac:dyDescent="0.2">
      <c r="I14671" s="1125"/>
      <c r="J14671" s="1125"/>
    </row>
    <row r="14672" spans="9:10" x14ac:dyDescent="0.2">
      <c r="I14672" s="1125"/>
      <c r="J14672" s="1125"/>
    </row>
    <row r="14673" spans="9:10" x14ac:dyDescent="0.2">
      <c r="I14673" s="1125"/>
      <c r="J14673" s="1125"/>
    </row>
    <row r="14674" spans="9:10" x14ac:dyDescent="0.2">
      <c r="I14674" s="1125"/>
      <c r="J14674" s="1125"/>
    </row>
    <row r="14675" spans="9:10" x14ac:dyDescent="0.2">
      <c r="I14675" s="1125"/>
      <c r="J14675" s="1125"/>
    </row>
    <row r="14676" spans="9:10" x14ac:dyDescent="0.2">
      <c r="I14676" s="1125"/>
      <c r="J14676" s="1125"/>
    </row>
    <row r="14677" spans="9:10" x14ac:dyDescent="0.2">
      <c r="I14677" s="1125"/>
      <c r="J14677" s="1125"/>
    </row>
    <row r="14678" spans="9:10" x14ac:dyDescent="0.2">
      <c r="I14678" s="1125"/>
      <c r="J14678" s="1125"/>
    </row>
    <row r="14679" spans="9:10" x14ac:dyDescent="0.2">
      <c r="I14679" s="1125"/>
      <c r="J14679" s="1125"/>
    </row>
    <row r="14680" spans="9:10" x14ac:dyDescent="0.2">
      <c r="I14680" s="1125"/>
      <c r="J14680" s="1125"/>
    </row>
    <row r="14681" spans="9:10" x14ac:dyDescent="0.2">
      <c r="I14681" s="1125"/>
      <c r="J14681" s="1125"/>
    </row>
    <row r="14682" spans="9:10" x14ac:dyDescent="0.2">
      <c r="I14682" s="1125"/>
      <c r="J14682" s="1125"/>
    </row>
    <row r="14683" spans="9:10" x14ac:dyDescent="0.2">
      <c r="I14683" s="1125"/>
      <c r="J14683" s="1125"/>
    </row>
    <row r="14684" spans="9:10" x14ac:dyDescent="0.2">
      <c r="I14684" s="1125"/>
      <c r="J14684" s="1125"/>
    </row>
    <row r="14685" spans="9:10" x14ac:dyDescent="0.2">
      <c r="I14685" s="1125"/>
      <c r="J14685" s="1125"/>
    </row>
    <row r="14686" spans="9:10" x14ac:dyDescent="0.2">
      <c r="I14686" s="1125"/>
      <c r="J14686" s="1125"/>
    </row>
    <row r="14687" spans="9:10" x14ac:dyDescent="0.2">
      <c r="I14687" s="1125"/>
      <c r="J14687" s="1125"/>
    </row>
    <row r="14688" spans="9:10" x14ac:dyDescent="0.2">
      <c r="I14688" s="1125"/>
      <c r="J14688" s="1125"/>
    </row>
    <row r="14689" spans="9:10" x14ac:dyDescent="0.2">
      <c r="I14689" s="1125"/>
      <c r="J14689" s="1125"/>
    </row>
    <row r="14690" spans="9:10" x14ac:dyDescent="0.2">
      <c r="I14690" s="1125"/>
      <c r="J14690" s="1125"/>
    </row>
    <row r="14691" spans="9:10" x14ac:dyDescent="0.2">
      <c r="I14691" s="1125"/>
      <c r="J14691" s="1125"/>
    </row>
    <row r="14692" spans="9:10" x14ac:dyDescent="0.2">
      <c r="I14692" s="1125"/>
      <c r="J14692" s="1125"/>
    </row>
    <row r="14693" spans="9:10" x14ac:dyDescent="0.2">
      <c r="I14693" s="1125"/>
      <c r="J14693" s="1125"/>
    </row>
    <row r="14694" spans="9:10" x14ac:dyDescent="0.2">
      <c r="I14694" s="1125"/>
      <c r="J14694" s="1125"/>
    </row>
    <row r="14695" spans="9:10" x14ac:dyDescent="0.2">
      <c r="I14695" s="1125"/>
      <c r="J14695" s="1125"/>
    </row>
    <row r="14696" spans="9:10" x14ac:dyDescent="0.2">
      <c r="I14696" s="1125"/>
      <c r="J14696" s="1125"/>
    </row>
    <row r="14697" spans="9:10" x14ac:dyDescent="0.2">
      <c r="I14697" s="1125"/>
      <c r="J14697" s="1125"/>
    </row>
    <row r="14698" spans="9:10" x14ac:dyDescent="0.2">
      <c r="I14698" s="1125"/>
      <c r="J14698" s="1125"/>
    </row>
    <row r="14699" spans="9:10" x14ac:dyDescent="0.2">
      <c r="I14699" s="1125"/>
      <c r="J14699" s="1125"/>
    </row>
    <row r="14700" spans="9:10" x14ac:dyDescent="0.2">
      <c r="I14700" s="1125"/>
      <c r="J14700" s="1125"/>
    </row>
    <row r="14701" spans="9:10" x14ac:dyDescent="0.2">
      <c r="I14701" s="1125"/>
      <c r="J14701" s="1125"/>
    </row>
    <row r="14702" spans="9:10" x14ac:dyDescent="0.2">
      <c r="I14702" s="1125"/>
      <c r="J14702" s="1125"/>
    </row>
    <row r="14703" spans="9:10" x14ac:dyDescent="0.2">
      <c r="I14703" s="1125"/>
      <c r="J14703" s="1125"/>
    </row>
    <row r="14704" spans="9:10" x14ac:dyDescent="0.2">
      <c r="I14704" s="1125"/>
      <c r="J14704" s="1125"/>
    </row>
    <row r="14705" spans="9:10" x14ac:dyDescent="0.2">
      <c r="I14705" s="1125"/>
      <c r="J14705" s="1125"/>
    </row>
    <row r="14706" spans="9:10" x14ac:dyDescent="0.2">
      <c r="I14706" s="1125"/>
      <c r="J14706" s="1125"/>
    </row>
    <row r="14707" spans="9:10" x14ac:dyDescent="0.2">
      <c r="I14707" s="1125"/>
      <c r="J14707" s="1125"/>
    </row>
    <row r="14708" spans="9:10" x14ac:dyDescent="0.2">
      <c r="I14708" s="1125"/>
      <c r="J14708" s="1125"/>
    </row>
    <row r="14709" spans="9:10" x14ac:dyDescent="0.2">
      <c r="I14709" s="1125"/>
      <c r="J14709" s="1125"/>
    </row>
    <row r="14710" spans="9:10" x14ac:dyDescent="0.2">
      <c r="I14710" s="1125"/>
      <c r="J14710" s="1125"/>
    </row>
    <row r="14711" spans="9:10" x14ac:dyDescent="0.2">
      <c r="I14711" s="1125"/>
      <c r="J14711" s="1125"/>
    </row>
    <row r="14712" spans="9:10" x14ac:dyDescent="0.2">
      <c r="I14712" s="1125"/>
      <c r="J14712" s="1125"/>
    </row>
    <row r="14713" spans="9:10" x14ac:dyDescent="0.2">
      <c r="I14713" s="1125"/>
      <c r="J14713" s="1125"/>
    </row>
    <row r="14714" spans="9:10" x14ac:dyDescent="0.2">
      <c r="I14714" s="1125"/>
      <c r="J14714" s="1125"/>
    </row>
    <row r="14715" spans="9:10" x14ac:dyDescent="0.2">
      <c r="I14715" s="1125"/>
      <c r="J14715" s="1125"/>
    </row>
    <row r="14716" spans="9:10" x14ac:dyDescent="0.2">
      <c r="I14716" s="1125"/>
      <c r="J14716" s="1125"/>
    </row>
    <row r="14717" spans="9:10" x14ac:dyDescent="0.2">
      <c r="I14717" s="1125"/>
      <c r="J14717" s="1125"/>
    </row>
    <row r="14718" spans="9:10" x14ac:dyDescent="0.2">
      <c r="I14718" s="1125"/>
      <c r="J14718" s="1125"/>
    </row>
    <row r="14719" spans="9:10" x14ac:dyDescent="0.2">
      <c r="I14719" s="1125"/>
      <c r="J14719" s="1125"/>
    </row>
    <row r="14720" spans="9:10" x14ac:dyDescent="0.2">
      <c r="I14720" s="1125"/>
      <c r="J14720" s="1125"/>
    </row>
    <row r="14721" spans="9:10" x14ac:dyDescent="0.2">
      <c r="I14721" s="1125"/>
      <c r="J14721" s="1125"/>
    </row>
    <row r="14722" spans="9:10" x14ac:dyDescent="0.2">
      <c r="I14722" s="1125"/>
      <c r="J14722" s="1125"/>
    </row>
    <row r="14723" spans="9:10" x14ac:dyDescent="0.2">
      <c r="I14723" s="1125"/>
      <c r="J14723" s="1125"/>
    </row>
    <row r="14724" spans="9:10" x14ac:dyDescent="0.2">
      <c r="I14724" s="1125"/>
      <c r="J14724" s="1125"/>
    </row>
    <row r="14725" spans="9:10" x14ac:dyDescent="0.2">
      <c r="I14725" s="1125"/>
      <c r="J14725" s="1125"/>
    </row>
    <row r="14726" spans="9:10" x14ac:dyDescent="0.2">
      <c r="I14726" s="1125"/>
      <c r="J14726" s="1125"/>
    </row>
    <row r="14727" spans="9:10" x14ac:dyDescent="0.2">
      <c r="I14727" s="1125"/>
      <c r="J14727" s="1125"/>
    </row>
    <row r="14728" spans="9:10" x14ac:dyDescent="0.2">
      <c r="I14728" s="1125"/>
      <c r="J14728" s="1125"/>
    </row>
    <row r="14729" spans="9:10" x14ac:dyDescent="0.2">
      <c r="I14729" s="1125"/>
      <c r="J14729" s="1125"/>
    </row>
    <row r="14730" spans="9:10" x14ac:dyDescent="0.2">
      <c r="I14730" s="1125"/>
      <c r="J14730" s="1125"/>
    </row>
    <row r="14731" spans="9:10" x14ac:dyDescent="0.2">
      <c r="I14731" s="1125"/>
      <c r="J14731" s="1125"/>
    </row>
    <row r="14732" spans="9:10" x14ac:dyDescent="0.2">
      <c r="I14732" s="1125"/>
      <c r="J14732" s="1125"/>
    </row>
    <row r="14733" spans="9:10" x14ac:dyDescent="0.2">
      <c r="I14733" s="1125"/>
      <c r="J14733" s="1125"/>
    </row>
    <row r="14734" spans="9:10" x14ac:dyDescent="0.2">
      <c r="I14734" s="1125"/>
      <c r="J14734" s="1125"/>
    </row>
    <row r="14735" spans="9:10" x14ac:dyDescent="0.2">
      <c r="I14735" s="1125"/>
      <c r="J14735" s="1125"/>
    </row>
    <row r="14736" spans="9:10" x14ac:dyDescent="0.2">
      <c r="I14736" s="1125"/>
      <c r="J14736" s="1125"/>
    </row>
    <row r="14737" spans="9:10" x14ac:dyDescent="0.2">
      <c r="I14737" s="1125"/>
      <c r="J14737" s="1125"/>
    </row>
    <row r="14738" spans="9:10" x14ac:dyDescent="0.2">
      <c r="I14738" s="1125"/>
      <c r="J14738" s="1125"/>
    </row>
    <row r="14739" spans="9:10" x14ac:dyDescent="0.2">
      <c r="I14739" s="1125"/>
      <c r="J14739" s="1125"/>
    </row>
    <row r="14740" spans="9:10" x14ac:dyDescent="0.2">
      <c r="I14740" s="1125"/>
      <c r="J14740" s="1125"/>
    </row>
    <row r="14741" spans="9:10" x14ac:dyDescent="0.2">
      <c r="I14741" s="1125"/>
      <c r="J14741" s="1125"/>
    </row>
    <row r="14742" spans="9:10" x14ac:dyDescent="0.2">
      <c r="I14742" s="1125"/>
      <c r="J14742" s="1125"/>
    </row>
    <row r="14743" spans="9:10" x14ac:dyDescent="0.2">
      <c r="I14743" s="1125"/>
      <c r="J14743" s="1125"/>
    </row>
    <row r="14744" spans="9:10" x14ac:dyDescent="0.2">
      <c r="I14744" s="1125"/>
      <c r="J14744" s="1125"/>
    </row>
    <row r="14745" spans="9:10" x14ac:dyDescent="0.2">
      <c r="I14745" s="1125"/>
      <c r="J14745" s="1125"/>
    </row>
    <row r="14746" spans="9:10" x14ac:dyDescent="0.2">
      <c r="I14746" s="1125"/>
      <c r="J14746" s="1125"/>
    </row>
    <row r="14747" spans="9:10" x14ac:dyDescent="0.2">
      <c r="I14747" s="1125"/>
      <c r="J14747" s="1125"/>
    </row>
    <row r="14748" spans="9:10" x14ac:dyDescent="0.2">
      <c r="I14748" s="1125"/>
      <c r="J14748" s="1125"/>
    </row>
    <row r="14749" spans="9:10" x14ac:dyDescent="0.2">
      <c r="I14749" s="1125"/>
      <c r="J14749" s="1125"/>
    </row>
    <row r="14750" spans="9:10" x14ac:dyDescent="0.2">
      <c r="I14750" s="1125"/>
      <c r="J14750" s="1125"/>
    </row>
    <row r="14751" spans="9:10" x14ac:dyDescent="0.2">
      <c r="I14751" s="1125"/>
      <c r="J14751" s="1125"/>
    </row>
    <row r="14752" spans="9:10" x14ac:dyDescent="0.2">
      <c r="I14752" s="1125"/>
      <c r="J14752" s="1125"/>
    </row>
    <row r="14753" spans="9:10" x14ac:dyDescent="0.2">
      <c r="I14753" s="1125"/>
      <c r="J14753" s="1125"/>
    </row>
    <row r="14754" spans="9:10" x14ac:dyDescent="0.2">
      <c r="I14754" s="1125"/>
      <c r="J14754" s="1125"/>
    </row>
    <row r="14755" spans="9:10" x14ac:dyDescent="0.2">
      <c r="I14755" s="1125"/>
      <c r="J14755" s="1125"/>
    </row>
    <row r="14756" spans="9:10" x14ac:dyDescent="0.2">
      <c r="I14756" s="1125"/>
      <c r="J14756" s="1125"/>
    </row>
    <row r="14757" spans="9:10" x14ac:dyDescent="0.2">
      <c r="I14757" s="1125"/>
      <c r="J14757" s="1125"/>
    </row>
    <row r="14758" spans="9:10" x14ac:dyDescent="0.2">
      <c r="I14758" s="1125"/>
      <c r="J14758" s="1125"/>
    </row>
    <row r="14759" spans="9:10" x14ac:dyDescent="0.2">
      <c r="I14759" s="1125"/>
      <c r="J14759" s="1125"/>
    </row>
    <row r="14760" spans="9:10" x14ac:dyDescent="0.2">
      <c r="I14760" s="1125"/>
      <c r="J14760" s="1125"/>
    </row>
    <row r="14761" spans="9:10" x14ac:dyDescent="0.2">
      <c r="I14761" s="1125"/>
      <c r="J14761" s="1125"/>
    </row>
    <row r="14762" spans="9:10" x14ac:dyDescent="0.2">
      <c r="I14762" s="1125"/>
      <c r="J14762" s="1125"/>
    </row>
    <row r="14763" spans="9:10" x14ac:dyDescent="0.2">
      <c r="I14763" s="1125"/>
      <c r="J14763" s="1125"/>
    </row>
    <row r="14764" spans="9:10" x14ac:dyDescent="0.2">
      <c r="I14764" s="1125"/>
      <c r="J14764" s="1125"/>
    </row>
    <row r="14765" spans="9:10" x14ac:dyDescent="0.2">
      <c r="I14765" s="1125"/>
      <c r="J14765" s="1125"/>
    </row>
    <row r="14766" spans="9:10" x14ac:dyDescent="0.2">
      <c r="I14766" s="1125"/>
      <c r="J14766" s="1125"/>
    </row>
    <row r="14767" spans="9:10" x14ac:dyDescent="0.2">
      <c r="I14767" s="1125"/>
      <c r="J14767" s="1125"/>
    </row>
    <row r="14768" spans="9:10" x14ac:dyDescent="0.2">
      <c r="I14768" s="1125"/>
      <c r="J14768" s="1125"/>
    </row>
    <row r="14769" spans="9:10" x14ac:dyDescent="0.2">
      <c r="I14769" s="1125"/>
      <c r="J14769" s="1125"/>
    </row>
    <row r="14770" spans="9:10" x14ac:dyDescent="0.2">
      <c r="I14770" s="1125"/>
      <c r="J14770" s="1125"/>
    </row>
    <row r="14771" spans="9:10" x14ac:dyDescent="0.2">
      <c r="I14771" s="1125"/>
      <c r="J14771" s="1125"/>
    </row>
    <row r="14772" spans="9:10" x14ac:dyDescent="0.2">
      <c r="I14772" s="1125"/>
      <c r="J14772" s="1125"/>
    </row>
    <row r="14773" spans="9:10" x14ac:dyDescent="0.2">
      <c r="I14773" s="1125"/>
      <c r="J14773" s="1125"/>
    </row>
    <row r="14774" spans="9:10" x14ac:dyDescent="0.2">
      <c r="I14774" s="1125"/>
      <c r="J14774" s="1125"/>
    </row>
    <row r="14775" spans="9:10" x14ac:dyDescent="0.2">
      <c r="I14775" s="1125"/>
      <c r="J14775" s="1125"/>
    </row>
    <row r="14776" spans="9:10" x14ac:dyDescent="0.2">
      <c r="I14776" s="1125"/>
      <c r="J14776" s="1125"/>
    </row>
    <row r="14777" spans="9:10" x14ac:dyDescent="0.2">
      <c r="I14777" s="1125"/>
      <c r="J14777" s="1125"/>
    </row>
    <row r="14778" spans="9:10" x14ac:dyDescent="0.2">
      <c r="I14778" s="1125"/>
      <c r="J14778" s="1125"/>
    </row>
    <row r="14779" spans="9:10" x14ac:dyDescent="0.2">
      <c r="I14779" s="1125"/>
      <c r="J14779" s="1125"/>
    </row>
    <row r="14780" spans="9:10" x14ac:dyDescent="0.2">
      <c r="I14780" s="1125"/>
      <c r="J14780" s="1125"/>
    </row>
    <row r="14781" spans="9:10" x14ac:dyDescent="0.2">
      <c r="I14781" s="1125"/>
      <c r="J14781" s="1125"/>
    </row>
    <row r="14782" spans="9:10" x14ac:dyDescent="0.2">
      <c r="I14782" s="1125"/>
      <c r="J14782" s="1125"/>
    </row>
    <row r="14783" spans="9:10" x14ac:dyDescent="0.2">
      <c r="I14783" s="1125"/>
      <c r="J14783" s="1125"/>
    </row>
    <row r="14784" spans="9:10" x14ac:dyDescent="0.2">
      <c r="I14784" s="1125"/>
      <c r="J14784" s="1125"/>
    </row>
    <row r="14785" spans="9:10" x14ac:dyDescent="0.2">
      <c r="I14785" s="1125"/>
      <c r="J14785" s="1125"/>
    </row>
    <row r="14786" spans="9:10" x14ac:dyDescent="0.2">
      <c r="I14786" s="1125"/>
      <c r="J14786" s="1125"/>
    </row>
    <row r="14787" spans="9:10" x14ac:dyDescent="0.2">
      <c r="I14787" s="1125"/>
      <c r="J14787" s="1125"/>
    </row>
    <row r="14788" spans="9:10" x14ac:dyDescent="0.2">
      <c r="I14788" s="1125"/>
      <c r="J14788" s="1125"/>
    </row>
    <row r="14789" spans="9:10" x14ac:dyDescent="0.2">
      <c r="I14789" s="1125"/>
      <c r="J14789" s="1125"/>
    </row>
    <row r="14790" spans="9:10" x14ac:dyDescent="0.2">
      <c r="I14790" s="1125"/>
      <c r="J14790" s="1125"/>
    </row>
    <row r="14791" spans="9:10" x14ac:dyDescent="0.2">
      <c r="I14791" s="1125"/>
      <c r="J14791" s="1125"/>
    </row>
    <row r="14792" spans="9:10" x14ac:dyDescent="0.2">
      <c r="I14792" s="1125"/>
      <c r="J14792" s="1125"/>
    </row>
    <row r="14793" spans="9:10" x14ac:dyDescent="0.2">
      <c r="I14793" s="1125"/>
      <c r="J14793" s="1125"/>
    </row>
    <row r="14794" spans="9:10" x14ac:dyDescent="0.2">
      <c r="I14794" s="1125"/>
      <c r="J14794" s="1125"/>
    </row>
    <row r="14795" spans="9:10" x14ac:dyDescent="0.2">
      <c r="I14795" s="1125"/>
      <c r="J14795" s="1125"/>
    </row>
    <row r="14796" spans="9:10" x14ac:dyDescent="0.2">
      <c r="I14796" s="1125"/>
      <c r="J14796" s="1125"/>
    </row>
    <row r="14797" spans="9:10" x14ac:dyDescent="0.2">
      <c r="I14797" s="1125"/>
      <c r="J14797" s="1125"/>
    </row>
    <row r="14798" spans="9:10" x14ac:dyDescent="0.2">
      <c r="I14798" s="1125"/>
      <c r="J14798" s="1125"/>
    </row>
    <row r="14799" spans="9:10" x14ac:dyDescent="0.2">
      <c r="I14799" s="1125"/>
      <c r="J14799" s="1125"/>
    </row>
    <row r="14800" spans="9:10" x14ac:dyDescent="0.2">
      <c r="I14800" s="1125"/>
      <c r="J14800" s="1125"/>
    </row>
    <row r="14801" spans="9:10" x14ac:dyDescent="0.2">
      <c r="I14801" s="1125"/>
      <c r="J14801" s="1125"/>
    </row>
    <row r="14802" spans="9:10" x14ac:dyDescent="0.2">
      <c r="I14802" s="1125"/>
      <c r="J14802" s="1125"/>
    </row>
    <row r="14803" spans="9:10" x14ac:dyDescent="0.2">
      <c r="I14803" s="1125"/>
      <c r="J14803" s="1125"/>
    </row>
    <row r="14804" spans="9:10" x14ac:dyDescent="0.2">
      <c r="I14804" s="1125"/>
      <c r="J14804" s="1125"/>
    </row>
    <row r="14805" spans="9:10" x14ac:dyDescent="0.2">
      <c r="I14805" s="1125"/>
      <c r="J14805" s="1125"/>
    </row>
    <row r="14806" spans="9:10" x14ac:dyDescent="0.2">
      <c r="I14806" s="1125"/>
      <c r="J14806" s="1125"/>
    </row>
    <row r="14807" spans="9:10" x14ac:dyDescent="0.2">
      <c r="I14807" s="1125"/>
      <c r="J14807" s="1125"/>
    </row>
    <row r="14808" spans="9:10" x14ac:dyDescent="0.2">
      <c r="I14808" s="1125"/>
      <c r="J14808" s="1125"/>
    </row>
    <row r="14809" spans="9:10" x14ac:dyDescent="0.2">
      <c r="I14809" s="1125"/>
      <c r="J14809" s="1125"/>
    </row>
    <row r="14810" spans="9:10" x14ac:dyDescent="0.2">
      <c r="I14810" s="1125"/>
      <c r="J14810" s="1125"/>
    </row>
    <row r="14811" spans="9:10" x14ac:dyDescent="0.2">
      <c r="I14811" s="1125"/>
      <c r="J14811" s="1125"/>
    </row>
    <row r="14812" spans="9:10" x14ac:dyDescent="0.2">
      <c r="I14812" s="1125"/>
      <c r="J14812" s="1125"/>
    </row>
    <row r="14813" spans="9:10" x14ac:dyDescent="0.2">
      <c r="I14813" s="1125"/>
      <c r="J14813" s="1125"/>
    </row>
    <row r="14814" spans="9:10" x14ac:dyDescent="0.2">
      <c r="I14814" s="1125"/>
      <c r="J14814" s="1125"/>
    </row>
    <row r="14815" spans="9:10" x14ac:dyDescent="0.2">
      <c r="I14815" s="1125"/>
      <c r="J14815" s="1125"/>
    </row>
    <row r="14816" spans="9:10" x14ac:dyDescent="0.2">
      <c r="I14816" s="1125"/>
      <c r="J14816" s="1125"/>
    </row>
    <row r="14817" spans="9:10" x14ac:dyDescent="0.2">
      <c r="I14817" s="1125"/>
      <c r="J14817" s="1125"/>
    </row>
    <row r="14818" spans="9:10" x14ac:dyDescent="0.2">
      <c r="I14818" s="1125"/>
      <c r="J14818" s="1125"/>
    </row>
    <row r="14819" spans="9:10" x14ac:dyDescent="0.2">
      <c r="I14819" s="1125"/>
      <c r="J14819" s="1125"/>
    </row>
    <row r="14820" spans="9:10" x14ac:dyDescent="0.2">
      <c r="I14820" s="1125"/>
      <c r="J14820" s="1125"/>
    </row>
    <row r="14821" spans="9:10" x14ac:dyDescent="0.2">
      <c r="I14821" s="1125"/>
      <c r="J14821" s="1125"/>
    </row>
    <row r="14822" spans="9:10" x14ac:dyDescent="0.2">
      <c r="I14822" s="1125"/>
      <c r="J14822" s="1125"/>
    </row>
    <row r="14823" spans="9:10" x14ac:dyDescent="0.2">
      <c r="I14823" s="1125"/>
      <c r="J14823" s="1125"/>
    </row>
    <row r="14824" spans="9:10" x14ac:dyDescent="0.2">
      <c r="I14824" s="1125"/>
      <c r="J14824" s="1125"/>
    </row>
    <row r="14825" spans="9:10" x14ac:dyDescent="0.2">
      <c r="I14825" s="1125"/>
      <c r="J14825" s="1125"/>
    </row>
    <row r="14826" spans="9:10" x14ac:dyDescent="0.2">
      <c r="I14826" s="1125"/>
      <c r="J14826" s="1125"/>
    </row>
    <row r="14827" spans="9:10" x14ac:dyDescent="0.2">
      <c r="I14827" s="1125"/>
      <c r="J14827" s="1125"/>
    </row>
    <row r="14828" spans="9:10" x14ac:dyDescent="0.2">
      <c r="I14828" s="1125"/>
      <c r="J14828" s="1125"/>
    </row>
    <row r="14829" spans="9:10" x14ac:dyDescent="0.2">
      <c r="I14829" s="1125"/>
      <c r="J14829" s="1125"/>
    </row>
    <row r="14830" spans="9:10" x14ac:dyDescent="0.2">
      <c r="I14830" s="1125"/>
      <c r="J14830" s="1125"/>
    </row>
    <row r="14831" spans="9:10" x14ac:dyDescent="0.2">
      <c r="I14831" s="1125"/>
      <c r="J14831" s="1125"/>
    </row>
    <row r="14832" spans="9:10" x14ac:dyDescent="0.2">
      <c r="I14832" s="1125"/>
      <c r="J14832" s="1125"/>
    </row>
    <row r="14833" spans="9:10" x14ac:dyDescent="0.2">
      <c r="I14833" s="1125"/>
      <c r="J14833" s="1125"/>
    </row>
    <row r="14834" spans="9:10" x14ac:dyDescent="0.2">
      <c r="I14834" s="1125"/>
      <c r="J14834" s="1125"/>
    </row>
    <row r="14835" spans="9:10" x14ac:dyDescent="0.2">
      <c r="I14835" s="1125"/>
      <c r="J14835" s="1125"/>
    </row>
    <row r="14836" spans="9:10" x14ac:dyDescent="0.2">
      <c r="I14836" s="1125"/>
      <c r="J14836" s="1125"/>
    </row>
    <row r="14837" spans="9:10" x14ac:dyDescent="0.2">
      <c r="I14837" s="1125"/>
      <c r="J14837" s="1125"/>
    </row>
    <row r="14838" spans="9:10" x14ac:dyDescent="0.2">
      <c r="I14838" s="1125"/>
      <c r="J14838" s="1125"/>
    </row>
    <row r="14839" spans="9:10" x14ac:dyDescent="0.2">
      <c r="I14839" s="1125"/>
      <c r="J14839" s="1125"/>
    </row>
    <row r="14840" spans="9:10" x14ac:dyDescent="0.2">
      <c r="I14840" s="1125"/>
      <c r="J14840" s="1125"/>
    </row>
    <row r="14841" spans="9:10" x14ac:dyDescent="0.2">
      <c r="I14841" s="1125"/>
      <c r="J14841" s="1125"/>
    </row>
    <row r="14842" spans="9:10" x14ac:dyDescent="0.2">
      <c r="I14842" s="1125"/>
      <c r="J14842" s="1125"/>
    </row>
    <row r="14843" spans="9:10" x14ac:dyDescent="0.2">
      <c r="I14843" s="1125"/>
      <c r="J14843" s="1125"/>
    </row>
    <row r="14844" spans="9:10" x14ac:dyDescent="0.2">
      <c r="I14844" s="1125"/>
      <c r="J14844" s="1125"/>
    </row>
    <row r="14845" spans="9:10" x14ac:dyDescent="0.2">
      <c r="I14845" s="1125"/>
      <c r="J14845" s="1125"/>
    </row>
    <row r="14846" spans="9:10" x14ac:dyDescent="0.2">
      <c r="I14846" s="1125"/>
      <c r="J14846" s="1125"/>
    </row>
    <row r="14847" spans="9:10" x14ac:dyDescent="0.2">
      <c r="I14847" s="1125"/>
      <c r="J14847" s="1125"/>
    </row>
    <row r="14848" spans="9:10" x14ac:dyDescent="0.2">
      <c r="I14848" s="1125"/>
      <c r="J14848" s="1125"/>
    </row>
    <row r="14849" spans="9:10" x14ac:dyDescent="0.2">
      <c r="I14849" s="1125"/>
      <c r="J14849" s="1125"/>
    </row>
    <row r="14850" spans="9:10" x14ac:dyDescent="0.2">
      <c r="I14850" s="1125"/>
      <c r="J14850" s="1125"/>
    </row>
    <row r="14851" spans="9:10" x14ac:dyDescent="0.2">
      <c r="I14851" s="1125"/>
      <c r="J14851" s="1125"/>
    </row>
    <row r="14852" spans="9:10" x14ac:dyDescent="0.2">
      <c r="I14852" s="1125"/>
      <c r="J14852" s="1125"/>
    </row>
    <row r="14853" spans="9:10" x14ac:dyDescent="0.2">
      <c r="I14853" s="1125"/>
      <c r="J14853" s="1125"/>
    </row>
    <row r="14854" spans="9:10" x14ac:dyDescent="0.2">
      <c r="I14854" s="1125"/>
      <c r="J14854" s="1125"/>
    </row>
    <row r="14855" spans="9:10" x14ac:dyDescent="0.2">
      <c r="I14855" s="1125"/>
      <c r="J14855" s="1125"/>
    </row>
    <row r="14856" spans="9:10" x14ac:dyDescent="0.2">
      <c r="I14856" s="1125"/>
      <c r="J14856" s="1125"/>
    </row>
    <row r="14857" spans="9:10" x14ac:dyDescent="0.2">
      <c r="I14857" s="1125"/>
      <c r="J14857" s="1125"/>
    </row>
    <row r="14858" spans="9:10" x14ac:dyDescent="0.2">
      <c r="I14858" s="1125"/>
      <c r="J14858" s="1125"/>
    </row>
    <row r="14859" spans="9:10" x14ac:dyDescent="0.2">
      <c r="I14859" s="1125"/>
      <c r="J14859" s="1125"/>
    </row>
    <row r="14860" spans="9:10" x14ac:dyDescent="0.2">
      <c r="I14860" s="1125"/>
      <c r="J14860" s="1125"/>
    </row>
    <row r="14861" spans="9:10" x14ac:dyDescent="0.2">
      <c r="I14861" s="1125"/>
      <c r="J14861" s="1125"/>
    </row>
    <row r="14862" spans="9:10" x14ac:dyDescent="0.2">
      <c r="I14862" s="1125"/>
      <c r="J14862" s="1125"/>
    </row>
    <row r="14863" spans="9:10" x14ac:dyDescent="0.2">
      <c r="I14863" s="1125"/>
      <c r="J14863" s="1125"/>
    </row>
    <row r="14864" spans="9:10" x14ac:dyDescent="0.2">
      <c r="I14864" s="1125"/>
      <c r="J14864" s="1125"/>
    </row>
    <row r="14865" spans="9:10" x14ac:dyDescent="0.2">
      <c r="I14865" s="1125"/>
      <c r="J14865" s="1125"/>
    </row>
    <row r="14866" spans="9:10" x14ac:dyDescent="0.2">
      <c r="I14866" s="1125"/>
      <c r="J14866" s="1125"/>
    </row>
    <row r="14867" spans="9:10" x14ac:dyDescent="0.2">
      <c r="I14867" s="1125"/>
      <c r="J14867" s="1125"/>
    </row>
    <row r="14868" spans="9:10" x14ac:dyDescent="0.2">
      <c r="I14868" s="1125"/>
      <c r="J14868" s="1125"/>
    </row>
    <row r="14869" spans="9:10" x14ac:dyDescent="0.2">
      <c r="I14869" s="1125"/>
      <c r="J14869" s="1125"/>
    </row>
    <row r="14870" spans="9:10" x14ac:dyDescent="0.2">
      <c r="I14870" s="1125"/>
      <c r="J14870" s="1125"/>
    </row>
    <row r="14871" spans="9:10" x14ac:dyDescent="0.2">
      <c r="I14871" s="1125"/>
      <c r="J14871" s="1125"/>
    </row>
    <row r="14872" spans="9:10" x14ac:dyDescent="0.2">
      <c r="I14872" s="1125"/>
      <c r="J14872" s="1125"/>
    </row>
    <row r="14873" spans="9:10" x14ac:dyDescent="0.2">
      <c r="I14873" s="1125"/>
      <c r="J14873" s="1125"/>
    </row>
    <row r="14874" spans="9:10" x14ac:dyDescent="0.2">
      <c r="I14874" s="1125"/>
      <c r="J14874" s="1125"/>
    </row>
    <row r="14875" spans="9:10" x14ac:dyDescent="0.2">
      <c r="I14875" s="1125"/>
      <c r="J14875" s="1125"/>
    </row>
    <row r="14876" spans="9:10" x14ac:dyDescent="0.2">
      <c r="I14876" s="1125"/>
      <c r="J14876" s="1125"/>
    </row>
    <row r="14877" spans="9:10" x14ac:dyDescent="0.2">
      <c r="I14877" s="1125"/>
      <c r="J14877" s="1125"/>
    </row>
    <row r="14878" spans="9:10" x14ac:dyDescent="0.2">
      <c r="I14878" s="1125"/>
      <c r="J14878" s="1125"/>
    </row>
    <row r="14879" spans="9:10" x14ac:dyDescent="0.2">
      <c r="I14879" s="1125"/>
      <c r="J14879" s="1125"/>
    </row>
    <row r="14880" spans="9:10" x14ac:dyDescent="0.2">
      <c r="I14880" s="1125"/>
      <c r="J14880" s="1125"/>
    </row>
    <row r="14881" spans="9:10" x14ac:dyDescent="0.2">
      <c r="I14881" s="1125"/>
      <c r="J14881" s="1125"/>
    </row>
    <row r="14882" spans="9:10" x14ac:dyDescent="0.2">
      <c r="I14882" s="1125"/>
      <c r="J14882" s="1125"/>
    </row>
    <row r="14883" spans="9:10" x14ac:dyDescent="0.2">
      <c r="I14883" s="1125"/>
      <c r="J14883" s="1125"/>
    </row>
    <row r="14884" spans="9:10" x14ac:dyDescent="0.2">
      <c r="I14884" s="1125"/>
      <c r="J14884" s="1125"/>
    </row>
    <row r="14885" spans="9:10" x14ac:dyDescent="0.2">
      <c r="I14885" s="1125"/>
      <c r="J14885" s="1125"/>
    </row>
    <row r="14886" spans="9:10" x14ac:dyDescent="0.2">
      <c r="I14886" s="1125"/>
      <c r="J14886" s="1125"/>
    </row>
    <row r="14887" spans="9:10" x14ac:dyDescent="0.2">
      <c r="I14887" s="1125"/>
      <c r="J14887" s="1125"/>
    </row>
    <row r="14888" spans="9:10" x14ac:dyDescent="0.2">
      <c r="I14888" s="1125"/>
      <c r="J14888" s="1125"/>
    </row>
    <row r="14889" spans="9:10" x14ac:dyDescent="0.2">
      <c r="I14889" s="1125"/>
      <c r="J14889" s="1125"/>
    </row>
    <row r="14890" spans="9:10" x14ac:dyDescent="0.2">
      <c r="I14890" s="1125"/>
      <c r="J14890" s="1125"/>
    </row>
    <row r="14891" spans="9:10" x14ac:dyDescent="0.2">
      <c r="I14891" s="1125"/>
      <c r="J14891" s="1125"/>
    </row>
    <row r="14892" spans="9:10" x14ac:dyDescent="0.2">
      <c r="I14892" s="1125"/>
      <c r="J14892" s="1125"/>
    </row>
    <row r="14893" spans="9:10" x14ac:dyDescent="0.2">
      <c r="I14893" s="1125"/>
      <c r="J14893" s="1125"/>
    </row>
    <row r="14894" spans="9:10" x14ac:dyDescent="0.2">
      <c r="I14894" s="1125"/>
      <c r="J14894" s="1125"/>
    </row>
    <row r="14895" spans="9:10" x14ac:dyDescent="0.2">
      <c r="I14895" s="1125"/>
      <c r="J14895" s="1125"/>
    </row>
    <row r="14896" spans="9:10" x14ac:dyDescent="0.2">
      <c r="I14896" s="1125"/>
      <c r="J14896" s="1125"/>
    </row>
    <row r="14897" spans="9:10" x14ac:dyDescent="0.2">
      <c r="I14897" s="1125"/>
      <c r="J14897" s="1125"/>
    </row>
    <row r="14898" spans="9:10" x14ac:dyDescent="0.2">
      <c r="I14898" s="1125"/>
      <c r="J14898" s="1125"/>
    </row>
    <row r="14899" spans="9:10" x14ac:dyDescent="0.2">
      <c r="I14899" s="1125"/>
      <c r="J14899" s="1125"/>
    </row>
    <row r="14900" spans="9:10" x14ac:dyDescent="0.2">
      <c r="I14900" s="1125"/>
      <c r="J14900" s="1125"/>
    </row>
    <row r="14901" spans="9:10" x14ac:dyDescent="0.2">
      <c r="I14901" s="1125"/>
      <c r="J14901" s="1125"/>
    </row>
    <row r="14902" spans="9:10" x14ac:dyDescent="0.2">
      <c r="I14902" s="1125"/>
      <c r="J14902" s="1125"/>
    </row>
    <row r="14903" spans="9:10" x14ac:dyDescent="0.2">
      <c r="I14903" s="1125"/>
      <c r="J14903" s="1125"/>
    </row>
    <row r="14904" spans="9:10" x14ac:dyDescent="0.2">
      <c r="I14904" s="1125"/>
      <c r="J14904" s="1125"/>
    </row>
    <row r="14905" spans="9:10" x14ac:dyDescent="0.2">
      <c r="I14905" s="1125"/>
      <c r="J14905" s="1125"/>
    </row>
    <row r="14906" spans="9:10" x14ac:dyDescent="0.2">
      <c r="I14906" s="1125"/>
      <c r="J14906" s="1125"/>
    </row>
    <row r="14907" spans="9:10" x14ac:dyDescent="0.2">
      <c r="I14907" s="1125"/>
      <c r="J14907" s="1125"/>
    </row>
    <row r="14908" spans="9:10" x14ac:dyDescent="0.2">
      <c r="I14908" s="1125"/>
      <c r="J14908" s="1125"/>
    </row>
    <row r="14909" spans="9:10" x14ac:dyDescent="0.2">
      <c r="I14909" s="1125"/>
      <c r="J14909" s="1125"/>
    </row>
    <row r="14910" spans="9:10" x14ac:dyDescent="0.2">
      <c r="I14910" s="1125"/>
      <c r="J14910" s="1125"/>
    </row>
    <row r="14911" spans="9:10" x14ac:dyDescent="0.2">
      <c r="I14911" s="1125"/>
      <c r="J14911" s="1125"/>
    </row>
    <row r="14912" spans="9:10" x14ac:dyDescent="0.2">
      <c r="I14912" s="1125"/>
      <c r="J14912" s="1125"/>
    </row>
    <row r="14913" spans="9:10" x14ac:dyDescent="0.2">
      <c r="I14913" s="1125"/>
      <c r="J14913" s="1125"/>
    </row>
    <row r="14914" spans="9:10" x14ac:dyDescent="0.2">
      <c r="I14914" s="1125"/>
      <c r="J14914" s="1125"/>
    </row>
    <row r="14915" spans="9:10" x14ac:dyDescent="0.2">
      <c r="I14915" s="1125"/>
      <c r="J14915" s="1125"/>
    </row>
    <row r="14916" spans="9:10" x14ac:dyDescent="0.2">
      <c r="I14916" s="1125"/>
      <c r="J14916" s="1125"/>
    </row>
    <row r="14917" spans="9:10" x14ac:dyDescent="0.2">
      <c r="I14917" s="1125"/>
      <c r="J14917" s="1125"/>
    </row>
    <row r="14918" spans="9:10" x14ac:dyDescent="0.2">
      <c r="I14918" s="1125"/>
      <c r="J14918" s="1125"/>
    </row>
    <row r="14919" spans="9:10" x14ac:dyDescent="0.2">
      <c r="I14919" s="1125"/>
      <c r="J14919" s="1125"/>
    </row>
    <row r="14920" spans="9:10" x14ac:dyDescent="0.2">
      <c r="I14920" s="1125"/>
      <c r="J14920" s="1125"/>
    </row>
    <row r="14921" spans="9:10" x14ac:dyDescent="0.2">
      <c r="I14921" s="1125"/>
      <c r="J14921" s="1125"/>
    </row>
    <row r="14922" spans="9:10" x14ac:dyDescent="0.2">
      <c r="I14922" s="1125"/>
      <c r="J14922" s="1125"/>
    </row>
    <row r="14923" spans="9:10" x14ac:dyDescent="0.2">
      <c r="I14923" s="1125"/>
      <c r="J14923" s="1125"/>
    </row>
    <row r="14924" spans="9:10" x14ac:dyDescent="0.2">
      <c r="I14924" s="1125"/>
      <c r="J14924" s="1125"/>
    </row>
    <row r="14925" spans="9:10" x14ac:dyDescent="0.2">
      <c r="I14925" s="1125"/>
      <c r="J14925" s="1125"/>
    </row>
    <row r="14926" spans="9:10" x14ac:dyDescent="0.2">
      <c r="I14926" s="1125"/>
      <c r="J14926" s="1125"/>
    </row>
    <row r="14927" spans="9:10" x14ac:dyDescent="0.2">
      <c r="I14927" s="1125"/>
      <c r="J14927" s="1125"/>
    </row>
    <row r="14928" spans="9:10" x14ac:dyDescent="0.2">
      <c r="I14928" s="1125"/>
      <c r="J14928" s="1125"/>
    </row>
    <row r="14929" spans="9:10" x14ac:dyDescent="0.2">
      <c r="I14929" s="1125"/>
      <c r="J14929" s="1125"/>
    </row>
    <row r="14930" spans="9:10" x14ac:dyDescent="0.2">
      <c r="I14930" s="1125"/>
      <c r="J14930" s="1125"/>
    </row>
    <row r="14931" spans="9:10" x14ac:dyDescent="0.2">
      <c r="I14931" s="1125"/>
      <c r="J14931" s="1125"/>
    </row>
    <row r="14932" spans="9:10" x14ac:dyDescent="0.2">
      <c r="I14932" s="1125"/>
      <c r="J14932" s="1125"/>
    </row>
    <row r="14933" spans="9:10" x14ac:dyDescent="0.2">
      <c r="I14933" s="1125"/>
      <c r="J14933" s="1125"/>
    </row>
    <row r="14934" spans="9:10" x14ac:dyDescent="0.2">
      <c r="I14934" s="1125"/>
      <c r="J14934" s="1125"/>
    </row>
    <row r="14935" spans="9:10" x14ac:dyDescent="0.2">
      <c r="I14935" s="1125"/>
      <c r="J14935" s="1125"/>
    </row>
    <row r="14936" spans="9:10" x14ac:dyDescent="0.2">
      <c r="I14936" s="1125"/>
      <c r="J14936" s="1125"/>
    </row>
    <row r="14937" spans="9:10" x14ac:dyDescent="0.2">
      <c r="I14937" s="1125"/>
      <c r="J14937" s="1125"/>
    </row>
    <row r="14938" spans="9:10" x14ac:dyDescent="0.2">
      <c r="I14938" s="1125"/>
      <c r="J14938" s="1125"/>
    </row>
    <row r="14939" spans="9:10" x14ac:dyDescent="0.2">
      <c r="I14939" s="1125"/>
      <c r="J14939" s="1125"/>
    </row>
    <row r="14940" spans="9:10" x14ac:dyDescent="0.2">
      <c r="I14940" s="1125"/>
      <c r="J14940" s="1125"/>
    </row>
    <row r="14941" spans="9:10" x14ac:dyDescent="0.2">
      <c r="I14941" s="1125"/>
      <c r="J14941" s="1125"/>
    </row>
    <row r="14942" spans="9:10" x14ac:dyDescent="0.2">
      <c r="I14942" s="1125"/>
      <c r="J14942" s="1125"/>
    </row>
    <row r="14943" spans="9:10" x14ac:dyDescent="0.2">
      <c r="I14943" s="1125"/>
      <c r="J14943" s="1125"/>
    </row>
    <row r="14944" spans="9:10" x14ac:dyDescent="0.2">
      <c r="I14944" s="1125"/>
      <c r="J14944" s="1125"/>
    </row>
    <row r="14945" spans="9:10" x14ac:dyDescent="0.2">
      <c r="I14945" s="1125"/>
      <c r="J14945" s="1125"/>
    </row>
    <row r="14946" spans="9:10" x14ac:dyDescent="0.2">
      <c r="I14946" s="1125"/>
      <c r="J14946" s="1125"/>
    </row>
    <row r="14947" spans="9:10" x14ac:dyDescent="0.2">
      <c r="I14947" s="1125"/>
      <c r="J14947" s="1125"/>
    </row>
    <row r="14948" spans="9:10" x14ac:dyDescent="0.2">
      <c r="I14948" s="1125"/>
      <c r="J14948" s="1125"/>
    </row>
    <row r="14949" spans="9:10" x14ac:dyDescent="0.2">
      <c r="I14949" s="1125"/>
      <c r="J14949" s="1125"/>
    </row>
    <row r="14950" spans="9:10" x14ac:dyDescent="0.2">
      <c r="I14950" s="1125"/>
      <c r="J14950" s="1125"/>
    </row>
    <row r="14951" spans="9:10" x14ac:dyDescent="0.2">
      <c r="I14951" s="1125"/>
      <c r="J14951" s="1125"/>
    </row>
    <row r="14952" spans="9:10" x14ac:dyDescent="0.2">
      <c r="I14952" s="1125"/>
      <c r="J14952" s="1125"/>
    </row>
    <row r="14953" spans="9:10" x14ac:dyDescent="0.2">
      <c r="I14953" s="1125"/>
      <c r="J14953" s="1125"/>
    </row>
    <row r="14954" spans="9:10" x14ac:dyDescent="0.2">
      <c r="I14954" s="1125"/>
      <c r="J14954" s="1125"/>
    </row>
    <row r="14955" spans="9:10" x14ac:dyDescent="0.2">
      <c r="I14955" s="1125"/>
      <c r="J14955" s="1125"/>
    </row>
    <row r="14956" spans="9:10" x14ac:dyDescent="0.2">
      <c r="I14956" s="1125"/>
      <c r="J14956" s="1125"/>
    </row>
    <row r="14957" spans="9:10" x14ac:dyDescent="0.2">
      <c r="I14957" s="1125"/>
      <c r="J14957" s="1125"/>
    </row>
    <row r="14958" spans="9:10" x14ac:dyDescent="0.2">
      <c r="I14958" s="1125"/>
      <c r="J14958" s="1125"/>
    </row>
    <row r="14959" spans="9:10" x14ac:dyDescent="0.2">
      <c r="I14959" s="1125"/>
      <c r="J14959" s="1125"/>
    </row>
    <row r="14960" spans="9:10" x14ac:dyDescent="0.2">
      <c r="I14960" s="1125"/>
      <c r="J14960" s="1125"/>
    </row>
    <row r="14961" spans="9:10" x14ac:dyDescent="0.2">
      <c r="I14961" s="1125"/>
      <c r="J14961" s="1125"/>
    </row>
    <row r="14962" spans="9:10" x14ac:dyDescent="0.2">
      <c r="I14962" s="1125"/>
      <c r="J14962" s="1125"/>
    </row>
    <row r="14963" spans="9:10" x14ac:dyDescent="0.2">
      <c r="I14963" s="1125"/>
      <c r="J14963" s="1125"/>
    </row>
    <row r="14964" spans="9:10" x14ac:dyDescent="0.2">
      <c r="I14964" s="1125"/>
      <c r="J14964" s="1125"/>
    </row>
    <row r="14965" spans="9:10" x14ac:dyDescent="0.2">
      <c r="I14965" s="1125"/>
      <c r="J14965" s="1125"/>
    </row>
    <row r="14966" spans="9:10" x14ac:dyDescent="0.2">
      <c r="I14966" s="1125"/>
      <c r="J14966" s="1125"/>
    </row>
    <row r="14967" spans="9:10" x14ac:dyDescent="0.2">
      <c r="I14967" s="1125"/>
      <c r="J14967" s="1125"/>
    </row>
    <row r="14968" spans="9:10" x14ac:dyDescent="0.2">
      <c r="I14968" s="1125"/>
      <c r="J14968" s="1125"/>
    </row>
    <row r="14969" spans="9:10" x14ac:dyDescent="0.2">
      <c r="I14969" s="1125"/>
      <c r="J14969" s="1125"/>
    </row>
    <row r="14970" spans="9:10" x14ac:dyDescent="0.2">
      <c r="I14970" s="1125"/>
      <c r="J14970" s="1125"/>
    </row>
    <row r="14971" spans="9:10" x14ac:dyDescent="0.2">
      <c r="I14971" s="1125"/>
      <c r="J14971" s="1125"/>
    </row>
    <row r="14972" spans="9:10" x14ac:dyDescent="0.2">
      <c r="I14972" s="1125"/>
      <c r="J14972" s="1125"/>
    </row>
    <row r="14973" spans="9:10" x14ac:dyDescent="0.2">
      <c r="I14973" s="1125"/>
      <c r="J14973" s="1125"/>
    </row>
    <row r="14974" spans="9:10" x14ac:dyDescent="0.2">
      <c r="I14974" s="1125"/>
      <c r="J14974" s="1125"/>
    </row>
    <row r="14975" spans="9:10" x14ac:dyDescent="0.2">
      <c r="I14975" s="1125"/>
      <c r="J14975" s="1125"/>
    </row>
    <row r="14976" spans="9:10" x14ac:dyDescent="0.2">
      <c r="I14976" s="1125"/>
      <c r="J14976" s="1125"/>
    </row>
    <row r="14977" spans="9:10" x14ac:dyDescent="0.2">
      <c r="I14977" s="1125"/>
      <c r="J14977" s="1125"/>
    </row>
    <row r="14978" spans="9:10" x14ac:dyDescent="0.2">
      <c r="I14978" s="1125"/>
      <c r="J14978" s="1125"/>
    </row>
    <row r="14979" spans="9:10" x14ac:dyDescent="0.2">
      <c r="I14979" s="1125"/>
      <c r="J14979" s="1125"/>
    </row>
    <row r="14980" spans="9:10" x14ac:dyDescent="0.2">
      <c r="I14980" s="1125"/>
      <c r="J14980" s="1125"/>
    </row>
    <row r="14981" spans="9:10" x14ac:dyDescent="0.2">
      <c r="I14981" s="1125"/>
      <c r="J14981" s="1125"/>
    </row>
    <row r="14982" spans="9:10" x14ac:dyDescent="0.2">
      <c r="I14982" s="1125"/>
      <c r="J14982" s="1125"/>
    </row>
    <row r="14983" spans="9:10" x14ac:dyDescent="0.2">
      <c r="I14983" s="1125"/>
      <c r="J14983" s="1125"/>
    </row>
    <row r="14984" spans="9:10" x14ac:dyDescent="0.2">
      <c r="I14984" s="1125"/>
      <c r="J14984" s="1125"/>
    </row>
    <row r="14985" spans="9:10" x14ac:dyDescent="0.2">
      <c r="I14985" s="1125"/>
      <c r="J14985" s="1125"/>
    </row>
    <row r="14986" spans="9:10" x14ac:dyDescent="0.2">
      <c r="I14986" s="1125"/>
      <c r="J14986" s="1125"/>
    </row>
    <row r="14987" spans="9:10" x14ac:dyDescent="0.2">
      <c r="I14987" s="1125"/>
      <c r="J14987" s="1125"/>
    </row>
    <row r="14988" spans="9:10" x14ac:dyDescent="0.2">
      <c r="I14988" s="1125"/>
      <c r="J14988" s="1125"/>
    </row>
    <row r="14989" spans="9:10" x14ac:dyDescent="0.2">
      <c r="I14989" s="1125"/>
      <c r="J14989" s="1125"/>
    </row>
    <row r="14990" spans="9:10" x14ac:dyDescent="0.2">
      <c r="I14990" s="1125"/>
      <c r="J14990" s="1125"/>
    </row>
    <row r="14991" spans="9:10" x14ac:dyDescent="0.2">
      <c r="I14991" s="1125"/>
      <c r="J14991" s="1125"/>
    </row>
    <row r="14992" spans="9:10" x14ac:dyDescent="0.2">
      <c r="I14992" s="1125"/>
      <c r="J14992" s="1125"/>
    </row>
    <row r="14993" spans="9:10" x14ac:dyDescent="0.2">
      <c r="I14993" s="1125"/>
      <c r="J14993" s="1125"/>
    </row>
    <row r="14994" spans="9:10" x14ac:dyDescent="0.2">
      <c r="I14994" s="1125"/>
      <c r="J14994" s="1125"/>
    </row>
    <row r="14995" spans="9:10" x14ac:dyDescent="0.2">
      <c r="I14995" s="1125"/>
      <c r="J14995" s="1125"/>
    </row>
    <row r="14996" spans="9:10" x14ac:dyDescent="0.2">
      <c r="I14996" s="1125"/>
      <c r="J14996" s="1125"/>
    </row>
    <row r="14997" spans="9:10" x14ac:dyDescent="0.2">
      <c r="I14997" s="1125"/>
      <c r="J14997" s="1125"/>
    </row>
    <row r="14998" spans="9:10" x14ac:dyDescent="0.2">
      <c r="I14998" s="1125"/>
      <c r="J14998" s="1125"/>
    </row>
    <row r="14999" spans="9:10" x14ac:dyDescent="0.2">
      <c r="I14999" s="1125"/>
      <c r="J14999" s="1125"/>
    </row>
    <row r="15000" spans="9:10" x14ac:dyDescent="0.2">
      <c r="I15000" s="1125"/>
      <c r="J15000" s="1125"/>
    </row>
    <row r="15001" spans="9:10" x14ac:dyDescent="0.2">
      <c r="I15001" s="1125"/>
      <c r="J15001" s="1125"/>
    </row>
    <row r="15002" spans="9:10" x14ac:dyDescent="0.2">
      <c r="I15002" s="1125"/>
      <c r="J15002" s="1125"/>
    </row>
    <row r="15003" spans="9:10" x14ac:dyDescent="0.2">
      <c r="I15003" s="1125"/>
      <c r="J15003" s="1125"/>
    </row>
    <row r="15004" spans="9:10" x14ac:dyDescent="0.2">
      <c r="I15004" s="1125"/>
      <c r="J15004" s="1125"/>
    </row>
    <row r="15005" spans="9:10" x14ac:dyDescent="0.2">
      <c r="I15005" s="1125"/>
      <c r="J15005" s="1125"/>
    </row>
    <row r="15006" spans="9:10" x14ac:dyDescent="0.2">
      <c r="I15006" s="1125"/>
      <c r="J15006" s="1125"/>
    </row>
    <row r="15007" spans="9:10" x14ac:dyDescent="0.2">
      <c r="I15007" s="1125"/>
      <c r="J15007" s="1125"/>
    </row>
    <row r="15008" spans="9:10" x14ac:dyDescent="0.2">
      <c r="I15008" s="1125"/>
      <c r="J15008" s="1125"/>
    </row>
    <row r="15009" spans="9:10" x14ac:dyDescent="0.2">
      <c r="I15009" s="1125"/>
      <c r="J15009" s="1125"/>
    </row>
    <row r="15010" spans="9:10" x14ac:dyDescent="0.2">
      <c r="I15010" s="1125"/>
      <c r="J15010" s="1125"/>
    </row>
    <row r="15011" spans="9:10" x14ac:dyDescent="0.2">
      <c r="I15011" s="1125"/>
      <c r="J15011" s="1125"/>
    </row>
    <row r="15012" spans="9:10" x14ac:dyDescent="0.2">
      <c r="I15012" s="1125"/>
      <c r="J15012" s="1125"/>
    </row>
    <row r="15013" spans="9:10" x14ac:dyDescent="0.2">
      <c r="I15013" s="1125"/>
      <c r="J15013" s="1125"/>
    </row>
    <row r="15014" spans="9:10" x14ac:dyDescent="0.2">
      <c r="I15014" s="1125"/>
      <c r="J15014" s="1125"/>
    </row>
    <row r="15015" spans="9:10" x14ac:dyDescent="0.2">
      <c r="I15015" s="1125"/>
      <c r="J15015" s="1125"/>
    </row>
    <row r="15016" spans="9:10" x14ac:dyDescent="0.2">
      <c r="I15016" s="1125"/>
      <c r="J15016" s="1125"/>
    </row>
    <row r="15017" spans="9:10" x14ac:dyDescent="0.2">
      <c r="I15017" s="1125"/>
      <c r="J15017" s="1125"/>
    </row>
    <row r="15018" spans="9:10" x14ac:dyDescent="0.2">
      <c r="I15018" s="1125"/>
      <c r="J15018" s="1125"/>
    </row>
    <row r="15019" spans="9:10" x14ac:dyDescent="0.2">
      <c r="I15019" s="1125"/>
      <c r="J15019" s="1125"/>
    </row>
    <row r="15020" spans="9:10" x14ac:dyDescent="0.2">
      <c r="I15020" s="1125"/>
      <c r="J15020" s="1125"/>
    </row>
    <row r="15021" spans="9:10" x14ac:dyDescent="0.2">
      <c r="I15021" s="1125"/>
      <c r="J15021" s="1125"/>
    </row>
    <row r="15022" spans="9:10" x14ac:dyDescent="0.2">
      <c r="I15022" s="1125"/>
      <c r="J15022" s="1125"/>
    </row>
    <row r="15023" spans="9:10" x14ac:dyDescent="0.2">
      <c r="I15023" s="1125"/>
      <c r="J15023" s="1125"/>
    </row>
    <row r="15024" spans="9:10" x14ac:dyDescent="0.2">
      <c r="I15024" s="1125"/>
      <c r="J15024" s="1125"/>
    </row>
    <row r="15025" spans="9:10" x14ac:dyDescent="0.2">
      <c r="I15025" s="1125"/>
      <c r="J15025" s="1125"/>
    </row>
    <row r="15026" spans="9:10" x14ac:dyDescent="0.2">
      <c r="I15026" s="1125"/>
      <c r="J15026" s="1125"/>
    </row>
    <row r="15027" spans="9:10" x14ac:dyDescent="0.2">
      <c r="I15027" s="1125"/>
      <c r="J15027" s="1125"/>
    </row>
    <row r="15028" spans="9:10" x14ac:dyDescent="0.2">
      <c r="I15028" s="1125"/>
      <c r="J15028" s="1125"/>
    </row>
    <row r="15029" spans="9:10" x14ac:dyDescent="0.2">
      <c r="I15029" s="1125"/>
      <c r="J15029" s="1125"/>
    </row>
    <row r="15030" spans="9:10" x14ac:dyDescent="0.2">
      <c r="I15030" s="1125"/>
      <c r="J15030" s="1125"/>
    </row>
    <row r="15031" spans="9:10" x14ac:dyDescent="0.2">
      <c r="I15031" s="1125"/>
      <c r="J15031" s="1125"/>
    </row>
    <row r="15032" spans="9:10" x14ac:dyDescent="0.2">
      <c r="I15032" s="1125"/>
      <c r="J15032" s="1125"/>
    </row>
    <row r="15033" spans="9:10" x14ac:dyDescent="0.2">
      <c r="I15033" s="1125"/>
      <c r="J15033" s="1125"/>
    </row>
    <row r="15034" spans="9:10" x14ac:dyDescent="0.2">
      <c r="I15034" s="1125"/>
      <c r="J15034" s="1125"/>
    </row>
    <row r="15035" spans="9:10" x14ac:dyDescent="0.2">
      <c r="I15035" s="1125"/>
      <c r="J15035" s="1125"/>
    </row>
    <row r="15036" spans="9:10" x14ac:dyDescent="0.2">
      <c r="I15036" s="1125"/>
      <c r="J15036" s="1125"/>
    </row>
    <row r="15037" spans="9:10" x14ac:dyDescent="0.2">
      <c r="I15037" s="1125"/>
      <c r="J15037" s="1125"/>
    </row>
    <row r="15038" spans="9:10" x14ac:dyDescent="0.2">
      <c r="I15038" s="1125"/>
      <c r="J15038" s="1125"/>
    </row>
    <row r="15039" spans="9:10" x14ac:dyDescent="0.2">
      <c r="I15039" s="1125"/>
      <c r="J15039" s="1125"/>
    </row>
    <row r="15040" spans="9:10" x14ac:dyDescent="0.2">
      <c r="I15040" s="1125"/>
      <c r="J15040" s="1125"/>
    </row>
    <row r="15041" spans="9:10" x14ac:dyDescent="0.2">
      <c r="I15041" s="1125"/>
      <c r="J15041" s="1125"/>
    </row>
    <row r="15042" spans="9:10" x14ac:dyDescent="0.2">
      <c r="I15042" s="1125"/>
      <c r="J15042" s="1125"/>
    </row>
    <row r="15043" spans="9:10" x14ac:dyDescent="0.2">
      <c r="I15043" s="1125"/>
      <c r="J15043" s="1125"/>
    </row>
    <row r="15044" spans="9:10" x14ac:dyDescent="0.2">
      <c r="I15044" s="1125"/>
      <c r="J15044" s="1125"/>
    </row>
    <row r="15045" spans="9:10" x14ac:dyDescent="0.2">
      <c r="I15045" s="1125"/>
      <c r="J15045" s="1125"/>
    </row>
    <row r="15046" spans="9:10" x14ac:dyDescent="0.2">
      <c r="I15046" s="1125"/>
      <c r="J15046" s="1125"/>
    </row>
    <row r="15047" spans="9:10" x14ac:dyDescent="0.2">
      <c r="I15047" s="1125"/>
      <c r="J15047" s="1125"/>
    </row>
    <row r="15048" spans="9:10" x14ac:dyDescent="0.2">
      <c r="I15048" s="1125"/>
      <c r="J15048" s="1125"/>
    </row>
    <row r="15049" spans="9:10" x14ac:dyDescent="0.2">
      <c r="I15049" s="1125"/>
      <c r="J15049" s="1125"/>
    </row>
    <row r="15050" spans="9:10" x14ac:dyDescent="0.2">
      <c r="I15050" s="1125"/>
      <c r="J15050" s="1125"/>
    </row>
    <row r="15051" spans="9:10" x14ac:dyDescent="0.2">
      <c r="I15051" s="1125"/>
      <c r="J15051" s="1125"/>
    </row>
    <row r="15052" spans="9:10" x14ac:dyDescent="0.2">
      <c r="I15052" s="1125"/>
      <c r="J15052" s="1125"/>
    </row>
    <row r="15053" spans="9:10" x14ac:dyDescent="0.2">
      <c r="I15053" s="1125"/>
      <c r="J15053" s="1125"/>
    </row>
    <row r="15054" spans="9:10" x14ac:dyDescent="0.2">
      <c r="I15054" s="1125"/>
      <c r="J15054" s="1125"/>
    </row>
    <row r="15055" spans="9:10" x14ac:dyDescent="0.2">
      <c r="I15055" s="1125"/>
      <c r="J15055" s="1125"/>
    </row>
    <row r="15056" spans="9:10" x14ac:dyDescent="0.2">
      <c r="I15056" s="1125"/>
      <c r="J15056" s="1125"/>
    </row>
    <row r="15057" spans="9:10" x14ac:dyDescent="0.2">
      <c r="I15057" s="1125"/>
      <c r="J15057" s="1125"/>
    </row>
    <row r="15058" spans="9:10" x14ac:dyDescent="0.2">
      <c r="I15058" s="1125"/>
      <c r="J15058" s="1125"/>
    </row>
    <row r="15059" spans="9:10" x14ac:dyDescent="0.2">
      <c r="I15059" s="1125"/>
      <c r="J15059" s="1125"/>
    </row>
    <row r="15060" spans="9:10" x14ac:dyDescent="0.2">
      <c r="I15060" s="1125"/>
      <c r="J15060" s="1125"/>
    </row>
    <row r="15061" spans="9:10" x14ac:dyDescent="0.2">
      <c r="I15061" s="1125"/>
      <c r="J15061" s="1125"/>
    </row>
    <row r="15062" spans="9:10" x14ac:dyDescent="0.2">
      <c r="I15062" s="1125"/>
      <c r="J15062" s="1125"/>
    </row>
    <row r="15063" spans="9:10" x14ac:dyDescent="0.2">
      <c r="I15063" s="1125"/>
      <c r="J15063" s="1125"/>
    </row>
    <row r="15064" spans="9:10" x14ac:dyDescent="0.2">
      <c r="I15064" s="1125"/>
      <c r="J15064" s="1125"/>
    </row>
    <row r="15065" spans="9:10" x14ac:dyDescent="0.2">
      <c r="I15065" s="1125"/>
      <c r="J15065" s="1125"/>
    </row>
    <row r="15066" spans="9:10" x14ac:dyDescent="0.2">
      <c r="I15066" s="1125"/>
      <c r="J15066" s="1125"/>
    </row>
    <row r="15067" spans="9:10" x14ac:dyDescent="0.2">
      <c r="I15067" s="1125"/>
      <c r="J15067" s="1125"/>
    </row>
    <row r="15068" spans="9:10" x14ac:dyDescent="0.2">
      <c r="I15068" s="1125"/>
      <c r="J15068" s="1125"/>
    </row>
    <row r="15069" spans="9:10" x14ac:dyDescent="0.2">
      <c r="I15069" s="1125"/>
      <c r="J15069" s="1125"/>
    </row>
    <row r="15070" spans="9:10" x14ac:dyDescent="0.2">
      <c r="I15070" s="1125"/>
      <c r="J15070" s="1125"/>
    </row>
    <row r="15071" spans="9:10" x14ac:dyDescent="0.2">
      <c r="I15071" s="1125"/>
      <c r="J15071" s="1125"/>
    </row>
    <row r="15072" spans="9:10" x14ac:dyDescent="0.2">
      <c r="I15072" s="1125"/>
      <c r="J15072" s="1125"/>
    </row>
    <row r="15073" spans="9:10" x14ac:dyDescent="0.2">
      <c r="I15073" s="1125"/>
      <c r="J15073" s="1125"/>
    </row>
    <row r="15074" spans="9:10" x14ac:dyDescent="0.2">
      <c r="I15074" s="1125"/>
      <c r="J15074" s="1125"/>
    </row>
    <row r="15075" spans="9:10" x14ac:dyDescent="0.2">
      <c r="I15075" s="1125"/>
      <c r="J15075" s="1125"/>
    </row>
    <row r="15076" spans="9:10" x14ac:dyDescent="0.2">
      <c r="I15076" s="1125"/>
      <c r="J15076" s="1125"/>
    </row>
    <row r="15077" spans="9:10" x14ac:dyDescent="0.2">
      <c r="I15077" s="1125"/>
      <c r="J15077" s="1125"/>
    </row>
    <row r="15078" spans="9:10" x14ac:dyDescent="0.2">
      <c r="I15078" s="1125"/>
      <c r="J15078" s="1125"/>
    </row>
    <row r="15079" spans="9:10" x14ac:dyDescent="0.2">
      <c r="I15079" s="1125"/>
      <c r="J15079" s="1125"/>
    </row>
    <row r="15080" spans="9:10" x14ac:dyDescent="0.2">
      <c r="I15080" s="1125"/>
      <c r="J15080" s="1125"/>
    </row>
    <row r="15081" spans="9:10" x14ac:dyDescent="0.2">
      <c r="I15081" s="1125"/>
      <c r="J15081" s="1125"/>
    </row>
    <row r="15082" spans="9:10" x14ac:dyDescent="0.2">
      <c r="I15082" s="1125"/>
      <c r="J15082" s="1125"/>
    </row>
    <row r="15083" spans="9:10" x14ac:dyDescent="0.2">
      <c r="I15083" s="1125"/>
      <c r="J15083" s="1125"/>
    </row>
    <row r="15084" spans="9:10" x14ac:dyDescent="0.2">
      <c r="I15084" s="1125"/>
      <c r="J15084" s="1125"/>
    </row>
    <row r="15085" spans="9:10" x14ac:dyDescent="0.2">
      <c r="I15085" s="1125"/>
      <c r="J15085" s="1125"/>
    </row>
    <row r="15086" spans="9:10" x14ac:dyDescent="0.2">
      <c r="I15086" s="1125"/>
      <c r="J15086" s="1125"/>
    </row>
    <row r="15087" spans="9:10" x14ac:dyDescent="0.2">
      <c r="I15087" s="1125"/>
      <c r="J15087" s="1125"/>
    </row>
    <row r="15088" spans="9:10" x14ac:dyDescent="0.2">
      <c r="I15088" s="1125"/>
      <c r="J15088" s="1125"/>
    </row>
    <row r="15089" spans="9:10" x14ac:dyDescent="0.2">
      <c r="I15089" s="1125"/>
      <c r="J15089" s="1125"/>
    </row>
    <row r="15090" spans="9:10" x14ac:dyDescent="0.2">
      <c r="I15090" s="1125"/>
      <c r="J15090" s="1125"/>
    </row>
    <row r="15091" spans="9:10" x14ac:dyDescent="0.2">
      <c r="I15091" s="1125"/>
      <c r="J15091" s="1125"/>
    </row>
    <row r="15092" spans="9:10" x14ac:dyDescent="0.2">
      <c r="I15092" s="1125"/>
      <c r="J15092" s="1125"/>
    </row>
    <row r="15093" spans="9:10" x14ac:dyDescent="0.2">
      <c r="I15093" s="1125"/>
      <c r="J15093" s="1125"/>
    </row>
    <row r="15094" spans="9:10" x14ac:dyDescent="0.2">
      <c r="I15094" s="1125"/>
      <c r="J15094" s="1125"/>
    </row>
    <row r="15095" spans="9:10" x14ac:dyDescent="0.2">
      <c r="I15095" s="1125"/>
      <c r="J15095" s="1125"/>
    </row>
    <row r="15096" spans="9:10" x14ac:dyDescent="0.2">
      <c r="I15096" s="1125"/>
      <c r="J15096" s="1125"/>
    </row>
    <row r="15097" spans="9:10" x14ac:dyDescent="0.2">
      <c r="I15097" s="1125"/>
      <c r="J15097" s="1125"/>
    </row>
    <row r="15098" spans="9:10" x14ac:dyDescent="0.2">
      <c r="I15098" s="1125"/>
      <c r="J15098" s="1125"/>
    </row>
    <row r="15099" spans="9:10" x14ac:dyDescent="0.2">
      <c r="I15099" s="1125"/>
      <c r="J15099" s="1125"/>
    </row>
    <row r="15100" spans="9:10" x14ac:dyDescent="0.2">
      <c r="I15100" s="1125"/>
      <c r="J15100" s="1125"/>
    </row>
    <row r="15101" spans="9:10" x14ac:dyDescent="0.2">
      <c r="I15101" s="1125"/>
      <c r="J15101" s="1125"/>
    </row>
    <row r="15102" spans="9:10" x14ac:dyDescent="0.2">
      <c r="I15102" s="1125"/>
      <c r="J15102" s="1125"/>
    </row>
    <row r="15103" spans="9:10" x14ac:dyDescent="0.2">
      <c r="I15103" s="1125"/>
      <c r="J15103" s="1125"/>
    </row>
    <row r="15104" spans="9:10" x14ac:dyDescent="0.2">
      <c r="I15104" s="1125"/>
      <c r="J15104" s="1125"/>
    </row>
    <row r="15105" spans="9:10" x14ac:dyDescent="0.2">
      <c r="I15105" s="1125"/>
      <c r="J15105" s="1125"/>
    </row>
    <row r="15106" spans="9:10" x14ac:dyDescent="0.2">
      <c r="I15106" s="1125"/>
      <c r="J15106" s="1125"/>
    </row>
    <row r="15107" spans="9:10" x14ac:dyDescent="0.2">
      <c r="I15107" s="1125"/>
      <c r="J15107" s="1125"/>
    </row>
    <row r="15108" spans="9:10" x14ac:dyDescent="0.2">
      <c r="I15108" s="1125"/>
      <c r="J15108" s="1125"/>
    </row>
    <row r="15109" spans="9:10" x14ac:dyDescent="0.2">
      <c r="I15109" s="1125"/>
      <c r="J15109" s="1125"/>
    </row>
    <row r="15110" spans="9:10" x14ac:dyDescent="0.2">
      <c r="I15110" s="1125"/>
      <c r="J15110" s="1125"/>
    </row>
    <row r="15111" spans="9:10" x14ac:dyDescent="0.2">
      <c r="I15111" s="1125"/>
      <c r="J15111" s="1125"/>
    </row>
    <row r="15112" spans="9:10" x14ac:dyDescent="0.2">
      <c r="I15112" s="1125"/>
      <c r="J15112" s="1125"/>
    </row>
    <row r="15113" spans="9:10" x14ac:dyDescent="0.2">
      <c r="I15113" s="1125"/>
      <c r="J15113" s="1125"/>
    </row>
    <row r="15114" spans="9:10" x14ac:dyDescent="0.2">
      <c r="I15114" s="1125"/>
      <c r="J15114" s="1125"/>
    </row>
    <row r="15115" spans="9:10" x14ac:dyDescent="0.2">
      <c r="I15115" s="1125"/>
      <c r="J15115" s="1125"/>
    </row>
    <row r="15116" spans="9:10" x14ac:dyDescent="0.2">
      <c r="I15116" s="1125"/>
      <c r="J15116" s="1125"/>
    </row>
    <row r="15117" spans="9:10" x14ac:dyDescent="0.2">
      <c r="I15117" s="1125"/>
      <c r="J15117" s="1125"/>
    </row>
    <row r="15118" spans="9:10" x14ac:dyDescent="0.2">
      <c r="I15118" s="1125"/>
      <c r="J15118" s="1125"/>
    </row>
    <row r="15119" spans="9:10" x14ac:dyDescent="0.2">
      <c r="I15119" s="1125"/>
      <c r="J15119" s="1125"/>
    </row>
    <row r="15120" spans="9:10" x14ac:dyDescent="0.2">
      <c r="I15120" s="1125"/>
      <c r="J15120" s="1125"/>
    </row>
    <row r="15121" spans="9:10" x14ac:dyDescent="0.2">
      <c r="I15121" s="1125"/>
      <c r="J15121" s="1125"/>
    </row>
    <row r="15122" spans="9:10" x14ac:dyDescent="0.2">
      <c r="I15122" s="1125"/>
      <c r="J15122" s="1125"/>
    </row>
    <row r="15123" spans="9:10" x14ac:dyDescent="0.2">
      <c r="I15123" s="1125"/>
      <c r="J15123" s="1125"/>
    </row>
    <row r="15124" spans="9:10" x14ac:dyDescent="0.2">
      <c r="I15124" s="1125"/>
      <c r="J15124" s="1125"/>
    </row>
    <row r="15125" spans="9:10" x14ac:dyDescent="0.2">
      <c r="I15125" s="1125"/>
      <c r="J15125" s="1125"/>
    </row>
    <row r="15126" spans="9:10" x14ac:dyDescent="0.2">
      <c r="I15126" s="1125"/>
      <c r="J15126" s="1125"/>
    </row>
    <row r="15127" spans="9:10" x14ac:dyDescent="0.2">
      <c r="I15127" s="1125"/>
      <c r="J15127" s="1125"/>
    </row>
    <row r="15128" spans="9:10" x14ac:dyDescent="0.2">
      <c r="I15128" s="1125"/>
      <c r="J15128" s="1125"/>
    </row>
    <row r="15129" spans="9:10" x14ac:dyDescent="0.2">
      <c r="I15129" s="1125"/>
      <c r="J15129" s="1125"/>
    </row>
    <row r="15130" spans="9:10" x14ac:dyDescent="0.2">
      <c r="I15130" s="1125"/>
      <c r="J15130" s="1125"/>
    </row>
    <row r="15131" spans="9:10" x14ac:dyDescent="0.2">
      <c r="I15131" s="1125"/>
      <c r="J15131" s="1125"/>
    </row>
    <row r="15132" spans="9:10" x14ac:dyDescent="0.2">
      <c r="I15132" s="1125"/>
      <c r="J15132" s="1125"/>
    </row>
    <row r="15133" spans="9:10" x14ac:dyDescent="0.2">
      <c r="I15133" s="1125"/>
      <c r="J15133" s="1125"/>
    </row>
    <row r="15134" spans="9:10" x14ac:dyDescent="0.2">
      <c r="I15134" s="1125"/>
      <c r="J15134" s="1125"/>
    </row>
    <row r="15135" spans="9:10" x14ac:dyDescent="0.2">
      <c r="I15135" s="1125"/>
      <c r="J15135" s="1125"/>
    </row>
    <row r="15136" spans="9:10" x14ac:dyDescent="0.2">
      <c r="I15136" s="1125"/>
      <c r="J15136" s="1125"/>
    </row>
    <row r="15137" spans="9:10" x14ac:dyDescent="0.2">
      <c r="I15137" s="1125"/>
      <c r="J15137" s="1125"/>
    </row>
    <row r="15138" spans="9:10" x14ac:dyDescent="0.2">
      <c r="I15138" s="1125"/>
      <c r="J15138" s="1125"/>
    </row>
    <row r="15139" spans="9:10" x14ac:dyDescent="0.2">
      <c r="I15139" s="1125"/>
      <c r="J15139" s="1125"/>
    </row>
    <row r="15140" spans="9:10" x14ac:dyDescent="0.2">
      <c r="I15140" s="1125"/>
      <c r="J15140" s="1125"/>
    </row>
    <row r="15141" spans="9:10" x14ac:dyDescent="0.2">
      <c r="I15141" s="1125"/>
      <c r="J15141" s="1125"/>
    </row>
    <row r="15142" spans="9:10" x14ac:dyDescent="0.2">
      <c r="I15142" s="1125"/>
      <c r="J15142" s="1125"/>
    </row>
    <row r="15143" spans="9:10" x14ac:dyDescent="0.2">
      <c r="I15143" s="1125"/>
      <c r="J15143" s="1125"/>
    </row>
    <row r="15144" spans="9:10" x14ac:dyDescent="0.2">
      <c r="I15144" s="1125"/>
      <c r="J15144" s="1125"/>
    </row>
    <row r="15145" spans="9:10" x14ac:dyDescent="0.2">
      <c r="I15145" s="1125"/>
      <c r="J15145" s="1125"/>
    </row>
    <row r="15146" spans="9:10" x14ac:dyDescent="0.2">
      <c r="I15146" s="1125"/>
      <c r="J15146" s="1125"/>
    </row>
    <row r="15147" spans="9:10" x14ac:dyDescent="0.2">
      <c r="I15147" s="1125"/>
      <c r="J15147" s="1125"/>
    </row>
    <row r="15148" spans="9:10" x14ac:dyDescent="0.2">
      <c r="I15148" s="1125"/>
      <c r="J15148" s="1125"/>
    </row>
    <row r="15149" spans="9:10" x14ac:dyDescent="0.2">
      <c r="I15149" s="1125"/>
      <c r="J15149" s="1125"/>
    </row>
    <row r="15150" spans="9:10" x14ac:dyDescent="0.2">
      <c r="I15150" s="1125"/>
      <c r="J15150" s="1125"/>
    </row>
    <row r="15151" spans="9:10" x14ac:dyDescent="0.2">
      <c r="I15151" s="1125"/>
      <c r="J15151" s="1125"/>
    </row>
    <row r="15152" spans="9:10" x14ac:dyDescent="0.2">
      <c r="I15152" s="1125"/>
      <c r="J15152" s="1125"/>
    </row>
    <row r="15153" spans="9:10" x14ac:dyDescent="0.2">
      <c r="I15153" s="1125"/>
      <c r="J15153" s="1125"/>
    </row>
    <row r="15154" spans="9:10" x14ac:dyDescent="0.2">
      <c r="I15154" s="1125"/>
      <c r="J15154" s="1125"/>
    </row>
    <row r="15155" spans="9:10" x14ac:dyDescent="0.2">
      <c r="I15155" s="1125"/>
      <c r="J15155" s="1125"/>
    </row>
    <row r="15156" spans="9:10" x14ac:dyDescent="0.2">
      <c r="I15156" s="1125"/>
      <c r="J15156" s="1125"/>
    </row>
    <row r="15157" spans="9:10" x14ac:dyDescent="0.2">
      <c r="I15157" s="1125"/>
      <c r="J15157" s="1125"/>
    </row>
    <row r="15158" spans="9:10" x14ac:dyDescent="0.2">
      <c r="I15158" s="1125"/>
      <c r="J15158" s="1125"/>
    </row>
    <row r="15159" spans="9:10" x14ac:dyDescent="0.2">
      <c r="I15159" s="1125"/>
      <c r="J15159" s="1125"/>
    </row>
    <row r="15160" spans="9:10" x14ac:dyDescent="0.2">
      <c r="I15160" s="1125"/>
      <c r="J15160" s="1125"/>
    </row>
    <row r="15161" spans="9:10" x14ac:dyDescent="0.2">
      <c r="I15161" s="1125"/>
      <c r="J15161" s="1125"/>
    </row>
    <row r="15162" spans="9:10" x14ac:dyDescent="0.2">
      <c r="I15162" s="1125"/>
      <c r="J15162" s="1125"/>
    </row>
    <row r="15163" spans="9:10" x14ac:dyDescent="0.2">
      <c r="I15163" s="1125"/>
      <c r="J15163" s="1125"/>
    </row>
    <row r="15164" spans="9:10" x14ac:dyDescent="0.2">
      <c r="I15164" s="1125"/>
      <c r="J15164" s="1125"/>
    </row>
    <row r="15165" spans="9:10" x14ac:dyDescent="0.2">
      <c r="I15165" s="1125"/>
      <c r="J15165" s="1125"/>
    </row>
    <row r="15166" spans="9:10" x14ac:dyDescent="0.2">
      <c r="I15166" s="1125"/>
      <c r="J15166" s="1125"/>
    </row>
    <row r="15167" spans="9:10" x14ac:dyDescent="0.2">
      <c r="I15167" s="1125"/>
      <c r="J15167" s="1125"/>
    </row>
    <row r="15168" spans="9:10" x14ac:dyDescent="0.2">
      <c r="I15168" s="1125"/>
      <c r="J15168" s="1125"/>
    </row>
    <row r="15169" spans="9:10" x14ac:dyDescent="0.2">
      <c r="I15169" s="1125"/>
      <c r="J15169" s="1125"/>
    </row>
    <row r="15170" spans="9:10" x14ac:dyDescent="0.2">
      <c r="I15170" s="1125"/>
      <c r="J15170" s="1125"/>
    </row>
    <row r="15171" spans="9:10" x14ac:dyDescent="0.2">
      <c r="I15171" s="1125"/>
      <c r="J15171" s="1125"/>
    </row>
    <row r="15172" spans="9:10" x14ac:dyDescent="0.2">
      <c r="I15172" s="1125"/>
      <c r="J15172" s="1125"/>
    </row>
    <row r="15173" spans="9:10" x14ac:dyDescent="0.2">
      <c r="I15173" s="1125"/>
      <c r="J15173" s="1125"/>
    </row>
    <row r="15174" spans="9:10" x14ac:dyDescent="0.2">
      <c r="I15174" s="1125"/>
      <c r="J15174" s="1125"/>
    </row>
    <row r="15175" spans="9:10" x14ac:dyDescent="0.2">
      <c r="I15175" s="1125"/>
      <c r="J15175" s="1125"/>
    </row>
    <row r="15176" spans="9:10" x14ac:dyDescent="0.2">
      <c r="I15176" s="1125"/>
      <c r="J15176" s="1125"/>
    </row>
    <row r="15177" spans="9:10" x14ac:dyDescent="0.2">
      <c r="I15177" s="1125"/>
      <c r="J15177" s="1125"/>
    </row>
    <row r="15178" spans="9:10" x14ac:dyDescent="0.2">
      <c r="I15178" s="1125"/>
      <c r="J15178" s="1125"/>
    </row>
    <row r="15179" spans="9:10" x14ac:dyDescent="0.2">
      <c r="I15179" s="1125"/>
      <c r="J15179" s="1125"/>
    </row>
    <row r="15180" spans="9:10" x14ac:dyDescent="0.2">
      <c r="I15180" s="1125"/>
      <c r="J15180" s="1125"/>
    </row>
    <row r="15181" spans="9:10" x14ac:dyDescent="0.2">
      <c r="I15181" s="1125"/>
      <c r="J15181" s="1125"/>
    </row>
    <row r="15182" spans="9:10" x14ac:dyDescent="0.2">
      <c r="I15182" s="1125"/>
      <c r="J15182" s="1125"/>
    </row>
    <row r="15183" spans="9:10" x14ac:dyDescent="0.2">
      <c r="I15183" s="1125"/>
      <c r="J15183" s="1125"/>
    </row>
    <row r="15184" spans="9:10" x14ac:dyDescent="0.2">
      <c r="I15184" s="1125"/>
      <c r="J15184" s="1125"/>
    </row>
    <row r="15185" spans="9:10" x14ac:dyDescent="0.2">
      <c r="I15185" s="1125"/>
      <c r="J15185" s="1125"/>
    </row>
    <row r="15186" spans="9:10" x14ac:dyDescent="0.2">
      <c r="I15186" s="1125"/>
      <c r="J15186" s="1125"/>
    </row>
    <row r="15187" spans="9:10" x14ac:dyDescent="0.2">
      <c r="I15187" s="1125"/>
      <c r="J15187" s="1125"/>
    </row>
    <row r="15188" spans="9:10" x14ac:dyDescent="0.2">
      <c r="I15188" s="1125"/>
      <c r="J15188" s="1125"/>
    </row>
    <row r="15189" spans="9:10" x14ac:dyDescent="0.2">
      <c r="I15189" s="1125"/>
      <c r="J15189" s="1125"/>
    </row>
    <row r="15190" spans="9:10" x14ac:dyDescent="0.2">
      <c r="I15190" s="1125"/>
      <c r="J15190" s="1125"/>
    </row>
    <row r="15191" spans="9:10" x14ac:dyDescent="0.2">
      <c r="I15191" s="1125"/>
      <c r="J15191" s="1125"/>
    </row>
    <row r="15192" spans="9:10" x14ac:dyDescent="0.2">
      <c r="I15192" s="1125"/>
      <c r="J15192" s="1125"/>
    </row>
    <row r="15193" spans="9:10" x14ac:dyDescent="0.2">
      <c r="I15193" s="1125"/>
      <c r="J15193" s="1125"/>
    </row>
    <row r="15194" spans="9:10" x14ac:dyDescent="0.2">
      <c r="I15194" s="1125"/>
      <c r="J15194" s="1125"/>
    </row>
    <row r="15195" spans="9:10" x14ac:dyDescent="0.2">
      <c r="I15195" s="1125"/>
      <c r="J15195" s="1125"/>
    </row>
    <row r="15196" spans="9:10" x14ac:dyDescent="0.2">
      <c r="I15196" s="1125"/>
      <c r="J15196" s="1125"/>
    </row>
    <row r="15197" spans="9:10" x14ac:dyDescent="0.2">
      <c r="I15197" s="1125"/>
      <c r="J15197" s="1125"/>
    </row>
    <row r="15198" spans="9:10" x14ac:dyDescent="0.2">
      <c r="I15198" s="1125"/>
      <c r="J15198" s="1125"/>
    </row>
    <row r="15199" spans="9:10" x14ac:dyDescent="0.2">
      <c r="I15199" s="1125"/>
      <c r="J15199" s="1125"/>
    </row>
    <row r="15200" spans="9:10" x14ac:dyDescent="0.2">
      <c r="I15200" s="1125"/>
      <c r="J15200" s="1125"/>
    </row>
    <row r="15201" spans="9:10" x14ac:dyDescent="0.2">
      <c r="I15201" s="1125"/>
      <c r="J15201" s="1125"/>
    </row>
    <row r="15202" spans="9:10" x14ac:dyDescent="0.2">
      <c r="I15202" s="1125"/>
      <c r="J15202" s="1125"/>
    </row>
    <row r="15203" spans="9:10" x14ac:dyDescent="0.2">
      <c r="I15203" s="1125"/>
      <c r="J15203" s="1125"/>
    </row>
    <row r="15204" spans="9:10" x14ac:dyDescent="0.2">
      <c r="I15204" s="1125"/>
      <c r="J15204" s="1125"/>
    </row>
    <row r="15205" spans="9:10" x14ac:dyDescent="0.2">
      <c r="I15205" s="1125"/>
      <c r="J15205" s="1125"/>
    </row>
    <row r="15206" spans="9:10" x14ac:dyDescent="0.2">
      <c r="I15206" s="1125"/>
      <c r="J15206" s="1125"/>
    </row>
    <row r="15207" spans="9:10" x14ac:dyDescent="0.2">
      <c r="I15207" s="1125"/>
      <c r="J15207" s="1125"/>
    </row>
    <row r="15208" spans="9:10" x14ac:dyDescent="0.2">
      <c r="I15208" s="1125"/>
      <c r="J15208" s="1125"/>
    </row>
    <row r="15209" spans="9:10" x14ac:dyDescent="0.2">
      <c r="I15209" s="1125"/>
      <c r="J15209" s="1125"/>
    </row>
    <row r="15210" spans="9:10" x14ac:dyDescent="0.2">
      <c r="I15210" s="1125"/>
      <c r="J15210" s="1125"/>
    </row>
    <row r="15211" spans="9:10" x14ac:dyDescent="0.2">
      <c r="I15211" s="1125"/>
      <c r="J15211" s="1125"/>
    </row>
    <row r="15212" spans="9:10" x14ac:dyDescent="0.2">
      <c r="I15212" s="1125"/>
      <c r="J15212" s="1125"/>
    </row>
    <row r="15213" spans="9:10" x14ac:dyDescent="0.2">
      <c r="I15213" s="1125"/>
      <c r="J15213" s="1125"/>
    </row>
    <row r="15214" spans="9:10" x14ac:dyDescent="0.2">
      <c r="I15214" s="1125"/>
      <c r="J15214" s="1125"/>
    </row>
    <row r="15215" spans="9:10" x14ac:dyDescent="0.2">
      <c r="I15215" s="1125"/>
      <c r="J15215" s="1125"/>
    </row>
    <row r="15216" spans="9:10" x14ac:dyDescent="0.2">
      <c r="I15216" s="1125"/>
      <c r="J15216" s="1125"/>
    </row>
    <row r="15217" spans="9:10" x14ac:dyDescent="0.2">
      <c r="I15217" s="1125"/>
      <c r="J15217" s="1125"/>
    </row>
    <row r="15218" spans="9:10" x14ac:dyDescent="0.2">
      <c r="I15218" s="1125"/>
      <c r="J15218" s="1125"/>
    </row>
    <row r="15219" spans="9:10" x14ac:dyDescent="0.2">
      <c r="I15219" s="1125"/>
      <c r="J15219" s="1125"/>
    </row>
    <row r="15220" spans="9:10" x14ac:dyDescent="0.2">
      <c r="I15220" s="1125"/>
      <c r="J15220" s="1125"/>
    </row>
    <row r="15221" spans="9:10" x14ac:dyDescent="0.2">
      <c r="I15221" s="1125"/>
      <c r="J15221" s="1125"/>
    </row>
    <row r="15222" spans="9:10" x14ac:dyDescent="0.2">
      <c r="I15222" s="1125"/>
      <c r="J15222" s="1125"/>
    </row>
    <row r="15223" spans="9:10" x14ac:dyDescent="0.2">
      <c r="I15223" s="1125"/>
      <c r="J15223" s="1125"/>
    </row>
    <row r="15224" spans="9:10" x14ac:dyDescent="0.2">
      <c r="I15224" s="1125"/>
      <c r="J15224" s="1125"/>
    </row>
    <row r="15225" spans="9:10" x14ac:dyDescent="0.2">
      <c r="I15225" s="1125"/>
      <c r="J15225" s="1125"/>
    </row>
    <row r="15226" spans="9:10" x14ac:dyDescent="0.2">
      <c r="I15226" s="1125"/>
      <c r="J15226" s="1125"/>
    </row>
    <row r="15227" spans="9:10" x14ac:dyDescent="0.2">
      <c r="I15227" s="1125"/>
      <c r="J15227" s="1125"/>
    </row>
    <row r="15228" spans="9:10" x14ac:dyDescent="0.2">
      <c r="I15228" s="1125"/>
      <c r="J15228" s="1125"/>
    </row>
    <row r="15229" spans="9:10" x14ac:dyDescent="0.2">
      <c r="I15229" s="1125"/>
      <c r="J15229" s="1125"/>
    </row>
    <row r="15230" spans="9:10" x14ac:dyDescent="0.2">
      <c r="I15230" s="1125"/>
      <c r="J15230" s="1125"/>
    </row>
    <row r="15231" spans="9:10" x14ac:dyDescent="0.2">
      <c r="I15231" s="1125"/>
      <c r="J15231" s="1125"/>
    </row>
    <row r="15232" spans="9:10" x14ac:dyDescent="0.2">
      <c r="I15232" s="1125"/>
      <c r="J15232" s="1125"/>
    </row>
    <row r="15233" spans="9:10" x14ac:dyDescent="0.2">
      <c r="I15233" s="1125"/>
      <c r="J15233" s="1125"/>
    </row>
    <row r="15234" spans="9:10" x14ac:dyDescent="0.2">
      <c r="I15234" s="1125"/>
      <c r="J15234" s="1125"/>
    </row>
    <row r="15235" spans="9:10" x14ac:dyDescent="0.2">
      <c r="I15235" s="1125"/>
      <c r="J15235" s="1125"/>
    </row>
    <row r="15236" spans="9:10" x14ac:dyDescent="0.2">
      <c r="I15236" s="1125"/>
      <c r="J15236" s="1125"/>
    </row>
    <row r="15237" spans="9:10" x14ac:dyDescent="0.2">
      <c r="I15237" s="1125"/>
      <c r="J15237" s="1125"/>
    </row>
    <row r="15238" spans="9:10" x14ac:dyDescent="0.2">
      <c r="I15238" s="1125"/>
      <c r="J15238" s="1125"/>
    </row>
    <row r="15239" spans="9:10" x14ac:dyDescent="0.2">
      <c r="I15239" s="1125"/>
      <c r="J15239" s="1125"/>
    </row>
    <row r="15240" spans="9:10" x14ac:dyDescent="0.2">
      <c r="I15240" s="1125"/>
      <c r="J15240" s="1125"/>
    </row>
    <row r="15241" spans="9:10" x14ac:dyDescent="0.2">
      <c r="I15241" s="1125"/>
      <c r="J15241" s="1125"/>
    </row>
    <row r="15242" spans="9:10" x14ac:dyDescent="0.2">
      <c r="I15242" s="1125"/>
      <c r="J15242" s="1125"/>
    </row>
    <row r="15243" spans="9:10" x14ac:dyDescent="0.2">
      <c r="I15243" s="1125"/>
      <c r="J15243" s="1125"/>
    </row>
    <row r="15244" spans="9:10" x14ac:dyDescent="0.2">
      <c r="I15244" s="1125"/>
      <c r="J15244" s="1125"/>
    </row>
    <row r="15245" spans="9:10" x14ac:dyDescent="0.2">
      <c r="I15245" s="1125"/>
      <c r="J15245" s="1125"/>
    </row>
    <row r="15246" spans="9:10" x14ac:dyDescent="0.2">
      <c r="I15246" s="1125"/>
      <c r="J15246" s="1125"/>
    </row>
    <row r="15247" spans="9:10" x14ac:dyDescent="0.2">
      <c r="I15247" s="1125"/>
      <c r="J15247" s="1125"/>
    </row>
    <row r="15248" spans="9:10" x14ac:dyDescent="0.2">
      <c r="I15248" s="1125"/>
      <c r="J15248" s="1125"/>
    </row>
    <row r="15249" spans="9:10" x14ac:dyDescent="0.2">
      <c r="I15249" s="1125"/>
      <c r="J15249" s="1125"/>
    </row>
    <row r="15250" spans="9:10" x14ac:dyDescent="0.2">
      <c r="I15250" s="1125"/>
      <c r="J15250" s="1125"/>
    </row>
    <row r="15251" spans="9:10" x14ac:dyDescent="0.2">
      <c r="I15251" s="1125"/>
      <c r="J15251" s="1125"/>
    </row>
    <row r="15252" spans="9:10" x14ac:dyDescent="0.2">
      <c r="I15252" s="1125"/>
      <c r="J15252" s="1125"/>
    </row>
    <row r="15253" spans="9:10" x14ac:dyDescent="0.2">
      <c r="I15253" s="1125"/>
      <c r="J15253" s="1125"/>
    </row>
    <row r="15254" spans="9:10" x14ac:dyDescent="0.2">
      <c r="I15254" s="1125"/>
      <c r="J15254" s="1125"/>
    </row>
    <row r="15255" spans="9:10" x14ac:dyDescent="0.2">
      <c r="I15255" s="1125"/>
      <c r="J15255" s="1125"/>
    </row>
    <row r="15256" spans="9:10" x14ac:dyDescent="0.2">
      <c r="I15256" s="1125"/>
      <c r="J15256" s="1125"/>
    </row>
    <row r="15257" spans="9:10" x14ac:dyDescent="0.2">
      <c r="I15257" s="1125"/>
      <c r="J15257" s="1125"/>
    </row>
    <row r="15258" spans="9:10" x14ac:dyDescent="0.2">
      <c r="I15258" s="1125"/>
      <c r="J15258" s="1125"/>
    </row>
    <row r="15259" spans="9:10" x14ac:dyDescent="0.2">
      <c r="I15259" s="1125"/>
      <c r="J15259" s="1125"/>
    </row>
    <row r="15260" spans="9:10" x14ac:dyDescent="0.2">
      <c r="I15260" s="1125"/>
      <c r="J15260" s="1125"/>
    </row>
    <row r="15261" spans="9:10" x14ac:dyDescent="0.2">
      <c r="I15261" s="1125"/>
      <c r="J15261" s="1125"/>
    </row>
    <row r="15262" spans="9:10" x14ac:dyDescent="0.2">
      <c r="I15262" s="1125"/>
      <c r="J15262" s="1125"/>
    </row>
    <row r="15263" spans="9:10" x14ac:dyDescent="0.2">
      <c r="I15263" s="1125"/>
      <c r="J15263" s="1125"/>
    </row>
    <row r="15264" spans="9:10" x14ac:dyDescent="0.2">
      <c r="I15264" s="1125"/>
      <c r="J15264" s="1125"/>
    </row>
    <row r="15265" spans="9:10" x14ac:dyDescent="0.2">
      <c r="I15265" s="1125"/>
      <c r="J15265" s="1125"/>
    </row>
    <row r="15266" spans="9:10" x14ac:dyDescent="0.2">
      <c r="I15266" s="1125"/>
      <c r="J15266" s="1125"/>
    </row>
    <row r="15267" spans="9:10" x14ac:dyDescent="0.2">
      <c r="I15267" s="1125"/>
      <c r="J15267" s="1125"/>
    </row>
    <row r="15268" spans="9:10" x14ac:dyDescent="0.2">
      <c r="I15268" s="1125"/>
      <c r="J15268" s="1125"/>
    </row>
    <row r="15269" spans="9:10" x14ac:dyDescent="0.2">
      <c r="I15269" s="1125"/>
      <c r="J15269" s="1125"/>
    </row>
    <row r="15270" spans="9:10" x14ac:dyDescent="0.2">
      <c r="I15270" s="1125"/>
      <c r="J15270" s="1125"/>
    </row>
    <row r="15271" spans="9:10" x14ac:dyDescent="0.2">
      <c r="I15271" s="1125"/>
      <c r="J15271" s="1125"/>
    </row>
    <row r="15272" spans="9:10" x14ac:dyDescent="0.2">
      <c r="I15272" s="1125"/>
      <c r="J15272" s="1125"/>
    </row>
    <row r="15273" spans="9:10" x14ac:dyDescent="0.2">
      <c r="I15273" s="1125"/>
      <c r="J15273" s="1125"/>
    </row>
    <row r="15274" spans="9:10" x14ac:dyDescent="0.2">
      <c r="I15274" s="1125"/>
      <c r="J15274" s="1125"/>
    </row>
    <row r="15275" spans="9:10" x14ac:dyDescent="0.2">
      <c r="I15275" s="1125"/>
      <c r="J15275" s="1125"/>
    </row>
    <row r="15276" spans="9:10" x14ac:dyDescent="0.2">
      <c r="I15276" s="1125"/>
      <c r="J15276" s="1125"/>
    </row>
    <row r="15277" spans="9:10" x14ac:dyDescent="0.2">
      <c r="I15277" s="1125"/>
      <c r="J15277" s="1125"/>
    </row>
    <row r="15278" spans="9:10" x14ac:dyDescent="0.2">
      <c r="I15278" s="1125"/>
      <c r="J15278" s="1125"/>
    </row>
    <row r="15279" spans="9:10" x14ac:dyDescent="0.2">
      <c r="I15279" s="1125"/>
      <c r="J15279" s="1125"/>
    </row>
    <row r="15280" spans="9:10" x14ac:dyDescent="0.2">
      <c r="I15280" s="1125"/>
      <c r="J15280" s="1125"/>
    </row>
    <row r="15281" spans="9:10" x14ac:dyDescent="0.2">
      <c r="I15281" s="1125"/>
      <c r="J15281" s="1125"/>
    </row>
    <row r="15282" spans="9:10" x14ac:dyDescent="0.2">
      <c r="I15282" s="1125"/>
      <c r="J15282" s="1125"/>
    </row>
    <row r="15283" spans="9:10" x14ac:dyDescent="0.2">
      <c r="I15283" s="1125"/>
      <c r="J15283" s="1125"/>
    </row>
    <row r="15284" spans="9:10" x14ac:dyDescent="0.2">
      <c r="I15284" s="1125"/>
      <c r="J15284" s="1125"/>
    </row>
    <row r="15285" spans="9:10" x14ac:dyDescent="0.2">
      <c r="I15285" s="1125"/>
      <c r="J15285" s="1125"/>
    </row>
    <row r="15286" spans="9:10" x14ac:dyDescent="0.2">
      <c r="I15286" s="1125"/>
      <c r="J15286" s="1125"/>
    </row>
    <row r="15287" spans="9:10" x14ac:dyDescent="0.2">
      <c r="I15287" s="1125"/>
      <c r="J15287" s="1125"/>
    </row>
    <row r="15288" spans="9:10" x14ac:dyDescent="0.2">
      <c r="I15288" s="1125"/>
      <c r="J15288" s="1125"/>
    </row>
    <row r="15289" spans="9:10" x14ac:dyDescent="0.2">
      <c r="I15289" s="1125"/>
      <c r="J15289" s="1125"/>
    </row>
    <row r="15290" spans="9:10" x14ac:dyDescent="0.2">
      <c r="I15290" s="1125"/>
      <c r="J15290" s="1125"/>
    </row>
    <row r="15291" spans="9:10" x14ac:dyDescent="0.2">
      <c r="I15291" s="1125"/>
      <c r="J15291" s="1125"/>
    </row>
    <row r="15292" spans="9:10" x14ac:dyDescent="0.2">
      <c r="I15292" s="1125"/>
      <c r="J15292" s="1125"/>
    </row>
    <row r="15293" spans="9:10" x14ac:dyDescent="0.2">
      <c r="I15293" s="1125"/>
      <c r="J15293" s="1125"/>
    </row>
    <row r="15294" spans="9:10" x14ac:dyDescent="0.2">
      <c r="I15294" s="1125"/>
      <c r="J15294" s="1125"/>
    </row>
    <row r="15295" spans="9:10" x14ac:dyDescent="0.2">
      <c r="I15295" s="1125"/>
      <c r="J15295" s="1125"/>
    </row>
    <row r="15296" spans="9:10" x14ac:dyDescent="0.2">
      <c r="I15296" s="1125"/>
      <c r="J15296" s="1125"/>
    </row>
    <row r="15297" spans="9:10" x14ac:dyDescent="0.2">
      <c r="I15297" s="1125"/>
      <c r="J15297" s="1125"/>
    </row>
    <row r="15298" spans="9:10" x14ac:dyDescent="0.2">
      <c r="I15298" s="1125"/>
      <c r="J15298" s="1125"/>
    </row>
    <row r="15299" spans="9:10" x14ac:dyDescent="0.2">
      <c r="I15299" s="1125"/>
      <c r="J15299" s="1125"/>
    </row>
    <row r="15300" spans="9:10" x14ac:dyDescent="0.2">
      <c r="I15300" s="1125"/>
      <c r="J15300" s="1125"/>
    </row>
    <row r="15301" spans="9:10" x14ac:dyDescent="0.2">
      <c r="I15301" s="1125"/>
      <c r="J15301" s="1125"/>
    </row>
    <row r="15302" spans="9:10" x14ac:dyDescent="0.2">
      <c r="I15302" s="1125"/>
      <c r="J15302" s="1125"/>
    </row>
    <row r="15303" spans="9:10" x14ac:dyDescent="0.2">
      <c r="I15303" s="1125"/>
      <c r="J15303" s="1125"/>
    </row>
    <row r="15304" spans="9:10" x14ac:dyDescent="0.2">
      <c r="I15304" s="1125"/>
      <c r="J15304" s="1125"/>
    </row>
    <row r="15305" spans="9:10" x14ac:dyDescent="0.2">
      <c r="I15305" s="1125"/>
      <c r="J15305" s="1125"/>
    </row>
    <row r="15306" spans="9:10" x14ac:dyDescent="0.2">
      <c r="I15306" s="1125"/>
      <c r="J15306" s="1125"/>
    </row>
    <row r="15307" spans="9:10" x14ac:dyDescent="0.2">
      <c r="I15307" s="1125"/>
      <c r="J15307" s="1125"/>
    </row>
    <row r="15308" spans="9:10" x14ac:dyDescent="0.2">
      <c r="I15308" s="1125"/>
      <c r="J15308" s="1125"/>
    </row>
    <row r="15309" spans="9:10" x14ac:dyDescent="0.2">
      <c r="I15309" s="1125"/>
      <c r="J15309" s="1125"/>
    </row>
    <row r="15310" spans="9:10" x14ac:dyDescent="0.2">
      <c r="I15310" s="1125"/>
      <c r="J15310" s="1125"/>
    </row>
    <row r="15311" spans="9:10" x14ac:dyDescent="0.2">
      <c r="I15311" s="1125"/>
      <c r="J15311" s="1125"/>
    </row>
    <row r="15312" spans="9:10" x14ac:dyDescent="0.2">
      <c r="I15312" s="1125"/>
      <c r="J15312" s="1125"/>
    </row>
    <row r="15313" spans="9:10" x14ac:dyDescent="0.2">
      <c r="I15313" s="1125"/>
      <c r="J15313" s="1125"/>
    </row>
    <row r="15314" spans="9:10" x14ac:dyDescent="0.2">
      <c r="I15314" s="1125"/>
      <c r="J15314" s="1125"/>
    </row>
    <row r="15315" spans="9:10" x14ac:dyDescent="0.2">
      <c r="I15315" s="1125"/>
      <c r="J15315" s="1125"/>
    </row>
    <row r="15316" spans="9:10" x14ac:dyDescent="0.2">
      <c r="I15316" s="1125"/>
      <c r="J15316" s="1125"/>
    </row>
    <row r="15317" spans="9:10" x14ac:dyDescent="0.2">
      <c r="I15317" s="1125"/>
      <c r="J15317" s="1125"/>
    </row>
    <row r="15318" spans="9:10" x14ac:dyDescent="0.2">
      <c r="I15318" s="1125"/>
      <c r="J15318" s="1125"/>
    </row>
    <row r="15319" spans="9:10" x14ac:dyDescent="0.2">
      <c r="I15319" s="1125"/>
      <c r="J15319" s="1125"/>
    </row>
    <row r="15320" spans="9:10" x14ac:dyDescent="0.2">
      <c r="I15320" s="1125"/>
      <c r="J15320" s="1125"/>
    </row>
    <row r="15321" spans="9:10" x14ac:dyDescent="0.2">
      <c r="I15321" s="1125"/>
      <c r="J15321" s="1125"/>
    </row>
    <row r="15322" spans="9:10" x14ac:dyDescent="0.2">
      <c r="I15322" s="1125"/>
      <c r="J15322" s="1125"/>
    </row>
    <row r="15323" spans="9:10" x14ac:dyDescent="0.2">
      <c r="I15323" s="1125"/>
      <c r="J15323" s="1125"/>
    </row>
    <row r="15324" spans="9:10" x14ac:dyDescent="0.2">
      <c r="I15324" s="1125"/>
      <c r="J15324" s="1125"/>
    </row>
    <row r="15325" spans="9:10" x14ac:dyDescent="0.2">
      <c r="I15325" s="1125"/>
      <c r="J15325" s="1125"/>
    </row>
    <row r="15326" spans="9:10" x14ac:dyDescent="0.2">
      <c r="I15326" s="1125"/>
      <c r="J15326" s="1125"/>
    </row>
    <row r="15327" spans="9:10" x14ac:dyDescent="0.2">
      <c r="I15327" s="1125"/>
      <c r="J15327" s="1125"/>
    </row>
    <row r="15328" spans="9:10" x14ac:dyDescent="0.2">
      <c r="I15328" s="1125"/>
      <c r="J15328" s="1125"/>
    </row>
    <row r="15329" spans="9:10" x14ac:dyDescent="0.2">
      <c r="I15329" s="1125"/>
      <c r="J15329" s="1125"/>
    </row>
    <row r="15330" spans="9:10" x14ac:dyDescent="0.2">
      <c r="I15330" s="1125"/>
      <c r="J15330" s="1125"/>
    </row>
    <row r="15331" spans="9:10" x14ac:dyDescent="0.2">
      <c r="I15331" s="1125"/>
      <c r="J15331" s="1125"/>
    </row>
    <row r="15332" spans="9:10" x14ac:dyDescent="0.2">
      <c r="I15332" s="1125"/>
      <c r="J15332" s="1125"/>
    </row>
    <row r="15333" spans="9:10" x14ac:dyDescent="0.2">
      <c r="I15333" s="1125"/>
      <c r="J15333" s="1125"/>
    </row>
    <row r="15334" spans="9:10" x14ac:dyDescent="0.2">
      <c r="I15334" s="1125"/>
      <c r="J15334" s="1125"/>
    </row>
    <row r="15335" spans="9:10" x14ac:dyDescent="0.2">
      <c r="I15335" s="1125"/>
      <c r="J15335" s="1125"/>
    </row>
    <row r="15336" spans="9:10" x14ac:dyDescent="0.2">
      <c r="I15336" s="1125"/>
      <c r="J15336" s="1125"/>
    </row>
    <row r="15337" spans="9:10" x14ac:dyDescent="0.2">
      <c r="I15337" s="1125"/>
      <c r="J15337" s="1125"/>
    </row>
    <row r="15338" spans="9:10" x14ac:dyDescent="0.2">
      <c r="I15338" s="1125"/>
      <c r="J15338" s="1125"/>
    </row>
    <row r="15339" spans="9:10" x14ac:dyDescent="0.2">
      <c r="I15339" s="1125"/>
      <c r="J15339" s="1125"/>
    </row>
    <row r="15340" spans="9:10" x14ac:dyDescent="0.2">
      <c r="I15340" s="1125"/>
      <c r="J15340" s="1125"/>
    </row>
    <row r="15341" spans="9:10" x14ac:dyDescent="0.2">
      <c r="I15341" s="1125"/>
      <c r="J15341" s="1125"/>
    </row>
    <row r="15342" spans="9:10" x14ac:dyDescent="0.2">
      <c r="I15342" s="1125"/>
      <c r="J15342" s="1125"/>
    </row>
    <row r="15343" spans="9:10" x14ac:dyDescent="0.2">
      <c r="I15343" s="1125"/>
      <c r="J15343" s="1125"/>
    </row>
    <row r="15344" spans="9:10" x14ac:dyDescent="0.2">
      <c r="I15344" s="1125"/>
      <c r="J15344" s="1125"/>
    </row>
    <row r="15345" spans="9:10" x14ac:dyDescent="0.2">
      <c r="I15345" s="1125"/>
      <c r="J15345" s="1125"/>
    </row>
    <row r="15346" spans="9:10" x14ac:dyDescent="0.2">
      <c r="I15346" s="1125"/>
      <c r="J15346" s="1125"/>
    </row>
    <row r="15347" spans="9:10" x14ac:dyDescent="0.2">
      <c r="I15347" s="1125"/>
      <c r="J15347" s="1125"/>
    </row>
    <row r="15348" spans="9:10" x14ac:dyDescent="0.2">
      <c r="I15348" s="1125"/>
      <c r="J15348" s="1125"/>
    </row>
    <row r="15349" spans="9:10" x14ac:dyDescent="0.2">
      <c r="I15349" s="1125"/>
      <c r="J15349" s="1125"/>
    </row>
    <row r="15350" spans="9:10" x14ac:dyDescent="0.2">
      <c r="I15350" s="1125"/>
      <c r="J15350" s="1125"/>
    </row>
    <row r="15351" spans="9:10" x14ac:dyDescent="0.2">
      <c r="I15351" s="1125"/>
      <c r="J15351" s="1125"/>
    </row>
    <row r="15352" spans="9:10" x14ac:dyDescent="0.2">
      <c r="I15352" s="1125"/>
      <c r="J15352" s="1125"/>
    </row>
    <row r="15353" spans="9:10" x14ac:dyDescent="0.2">
      <c r="I15353" s="1125"/>
      <c r="J15353" s="1125"/>
    </row>
    <row r="15354" spans="9:10" x14ac:dyDescent="0.2">
      <c r="I15354" s="1125"/>
      <c r="J15354" s="1125"/>
    </row>
    <row r="15355" spans="9:10" x14ac:dyDescent="0.2">
      <c r="I15355" s="1125"/>
      <c r="J15355" s="1125"/>
    </row>
    <row r="15356" spans="9:10" x14ac:dyDescent="0.2">
      <c r="I15356" s="1125"/>
      <c r="J15356" s="1125"/>
    </row>
    <row r="15357" spans="9:10" x14ac:dyDescent="0.2">
      <c r="I15357" s="1125"/>
      <c r="J15357" s="1125"/>
    </row>
    <row r="15358" spans="9:10" x14ac:dyDescent="0.2">
      <c r="I15358" s="1125"/>
      <c r="J15358" s="1125"/>
    </row>
    <row r="15359" spans="9:10" x14ac:dyDescent="0.2">
      <c r="I15359" s="1125"/>
      <c r="J15359" s="1125"/>
    </row>
    <row r="15360" spans="9:10" x14ac:dyDescent="0.2">
      <c r="I15360" s="1125"/>
      <c r="J15360" s="1125"/>
    </row>
    <row r="15361" spans="9:10" x14ac:dyDescent="0.2">
      <c r="I15361" s="1125"/>
      <c r="J15361" s="1125"/>
    </row>
    <row r="15362" spans="9:10" x14ac:dyDescent="0.2">
      <c r="I15362" s="1125"/>
      <c r="J15362" s="1125"/>
    </row>
    <row r="15363" spans="9:10" x14ac:dyDescent="0.2">
      <c r="I15363" s="1125"/>
      <c r="J15363" s="1125"/>
    </row>
    <row r="15364" spans="9:10" x14ac:dyDescent="0.2">
      <c r="I15364" s="1125"/>
      <c r="J15364" s="1125"/>
    </row>
    <row r="15365" spans="9:10" x14ac:dyDescent="0.2">
      <c r="I15365" s="1125"/>
      <c r="J15365" s="1125"/>
    </row>
    <row r="15366" spans="9:10" x14ac:dyDescent="0.2">
      <c r="I15366" s="1125"/>
      <c r="J15366" s="1125"/>
    </row>
    <row r="15367" spans="9:10" x14ac:dyDescent="0.2">
      <c r="I15367" s="1125"/>
      <c r="J15367" s="1125"/>
    </row>
    <row r="15368" spans="9:10" x14ac:dyDescent="0.2">
      <c r="I15368" s="1125"/>
      <c r="J15368" s="1125"/>
    </row>
    <row r="15369" spans="9:10" x14ac:dyDescent="0.2">
      <c r="I15369" s="1125"/>
      <c r="J15369" s="1125"/>
    </row>
    <row r="15370" spans="9:10" x14ac:dyDescent="0.2">
      <c r="I15370" s="1125"/>
      <c r="J15370" s="1125"/>
    </row>
    <row r="15371" spans="9:10" x14ac:dyDescent="0.2">
      <c r="I15371" s="1125"/>
      <c r="J15371" s="1125"/>
    </row>
    <row r="15372" spans="9:10" x14ac:dyDescent="0.2">
      <c r="I15372" s="1125"/>
      <c r="J15372" s="1125"/>
    </row>
    <row r="15373" spans="9:10" x14ac:dyDescent="0.2">
      <c r="I15373" s="1125"/>
      <c r="J15373" s="1125"/>
    </row>
    <row r="15374" spans="9:10" x14ac:dyDescent="0.2">
      <c r="I15374" s="1125"/>
      <c r="J15374" s="1125"/>
    </row>
    <row r="15375" spans="9:10" x14ac:dyDescent="0.2">
      <c r="I15375" s="1125"/>
      <c r="J15375" s="1125"/>
    </row>
    <row r="15376" spans="9:10" x14ac:dyDescent="0.2">
      <c r="I15376" s="1125"/>
      <c r="J15376" s="1125"/>
    </row>
    <row r="15377" spans="9:10" x14ac:dyDescent="0.2">
      <c r="I15377" s="1125"/>
      <c r="J15377" s="1125"/>
    </row>
    <row r="15378" spans="9:10" x14ac:dyDescent="0.2">
      <c r="I15378" s="1125"/>
      <c r="J15378" s="1125"/>
    </row>
    <row r="15379" spans="9:10" x14ac:dyDescent="0.2">
      <c r="I15379" s="1125"/>
      <c r="J15379" s="1125"/>
    </row>
    <row r="15380" spans="9:10" x14ac:dyDescent="0.2">
      <c r="I15380" s="1125"/>
      <c r="J15380" s="1125"/>
    </row>
    <row r="15381" spans="9:10" x14ac:dyDescent="0.2">
      <c r="I15381" s="1125"/>
      <c r="J15381" s="1125"/>
    </row>
    <row r="15382" spans="9:10" x14ac:dyDescent="0.2">
      <c r="I15382" s="1125"/>
      <c r="J15382" s="1125"/>
    </row>
    <row r="15383" spans="9:10" x14ac:dyDescent="0.2">
      <c r="I15383" s="1125"/>
      <c r="J15383" s="1125"/>
    </row>
    <row r="15384" spans="9:10" x14ac:dyDescent="0.2">
      <c r="I15384" s="1125"/>
      <c r="J15384" s="1125"/>
    </row>
    <row r="15385" spans="9:10" x14ac:dyDescent="0.2">
      <c r="I15385" s="1125"/>
      <c r="J15385" s="1125"/>
    </row>
    <row r="15386" spans="9:10" x14ac:dyDescent="0.2">
      <c r="I15386" s="1125"/>
      <c r="J15386" s="1125"/>
    </row>
    <row r="15387" spans="9:10" x14ac:dyDescent="0.2">
      <c r="I15387" s="1125"/>
      <c r="J15387" s="1125"/>
    </row>
    <row r="15388" spans="9:10" x14ac:dyDescent="0.2">
      <c r="I15388" s="1125"/>
      <c r="J15388" s="1125"/>
    </row>
    <row r="15389" spans="9:10" x14ac:dyDescent="0.2">
      <c r="I15389" s="1125"/>
      <c r="J15389" s="1125"/>
    </row>
    <row r="15390" spans="9:10" x14ac:dyDescent="0.2">
      <c r="I15390" s="1125"/>
      <c r="J15390" s="1125"/>
    </row>
    <row r="15391" spans="9:10" x14ac:dyDescent="0.2">
      <c r="I15391" s="1125"/>
      <c r="J15391" s="1125"/>
    </row>
    <row r="15392" spans="9:10" x14ac:dyDescent="0.2">
      <c r="I15392" s="1125"/>
      <c r="J15392" s="1125"/>
    </row>
    <row r="15393" spans="9:10" x14ac:dyDescent="0.2">
      <c r="I15393" s="1125"/>
      <c r="J15393" s="1125"/>
    </row>
    <row r="15394" spans="9:10" x14ac:dyDescent="0.2">
      <c r="I15394" s="1125"/>
      <c r="J15394" s="1125"/>
    </row>
    <row r="15395" spans="9:10" x14ac:dyDescent="0.2">
      <c r="I15395" s="1125"/>
      <c r="J15395" s="1125"/>
    </row>
    <row r="15396" spans="9:10" x14ac:dyDescent="0.2">
      <c r="I15396" s="1125"/>
      <c r="J15396" s="1125"/>
    </row>
    <row r="15397" spans="9:10" x14ac:dyDescent="0.2">
      <c r="I15397" s="1125"/>
      <c r="J15397" s="1125"/>
    </row>
    <row r="15398" spans="9:10" x14ac:dyDescent="0.2">
      <c r="I15398" s="1125"/>
      <c r="J15398" s="1125"/>
    </row>
    <row r="15399" spans="9:10" x14ac:dyDescent="0.2">
      <c r="I15399" s="1125"/>
      <c r="J15399" s="1125"/>
    </row>
    <row r="15400" spans="9:10" x14ac:dyDescent="0.2">
      <c r="I15400" s="1125"/>
      <c r="J15400" s="1125"/>
    </row>
    <row r="15401" spans="9:10" x14ac:dyDescent="0.2">
      <c r="I15401" s="1125"/>
      <c r="J15401" s="1125"/>
    </row>
    <row r="15402" spans="9:10" x14ac:dyDescent="0.2">
      <c r="I15402" s="1125"/>
      <c r="J15402" s="1125"/>
    </row>
    <row r="15403" spans="9:10" x14ac:dyDescent="0.2">
      <c r="I15403" s="1125"/>
      <c r="J15403" s="1125"/>
    </row>
    <row r="15404" spans="9:10" x14ac:dyDescent="0.2">
      <c r="I15404" s="1125"/>
      <c r="J15404" s="1125"/>
    </row>
    <row r="15405" spans="9:10" x14ac:dyDescent="0.2">
      <c r="I15405" s="1125"/>
      <c r="J15405" s="1125"/>
    </row>
    <row r="15406" spans="9:10" x14ac:dyDescent="0.2">
      <c r="I15406" s="1125"/>
      <c r="J15406" s="1125"/>
    </row>
    <row r="15407" spans="9:10" x14ac:dyDescent="0.2">
      <c r="I15407" s="1125"/>
      <c r="J15407" s="1125"/>
    </row>
    <row r="15408" spans="9:10" x14ac:dyDescent="0.2">
      <c r="I15408" s="1125"/>
      <c r="J15408" s="1125"/>
    </row>
    <row r="15409" spans="9:10" x14ac:dyDescent="0.2">
      <c r="I15409" s="1125"/>
      <c r="J15409" s="1125"/>
    </row>
    <row r="15410" spans="9:10" x14ac:dyDescent="0.2">
      <c r="I15410" s="1125"/>
      <c r="J15410" s="1125"/>
    </row>
    <row r="15411" spans="9:10" x14ac:dyDescent="0.2">
      <c r="I15411" s="1125"/>
      <c r="J15411" s="1125"/>
    </row>
    <row r="15412" spans="9:10" x14ac:dyDescent="0.2">
      <c r="I15412" s="1125"/>
      <c r="J15412" s="1125"/>
    </row>
    <row r="15413" spans="9:10" x14ac:dyDescent="0.2">
      <c r="I15413" s="1125"/>
      <c r="J15413" s="1125"/>
    </row>
    <row r="15414" spans="9:10" x14ac:dyDescent="0.2">
      <c r="I15414" s="1125"/>
      <c r="J15414" s="1125"/>
    </row>
    <row r="15415" spans="9:10" x14ac:dyDescent="0.2">
      <c r="I15415" s="1125"/>
      <c r="J15415" s="1125"/>
    </row>
    <row r="15416" spans="9:10" x14ac:dyDescent="0.2">
      <c r="I15416" s="1125"/>
      <c r="J15416" s="1125"/>
    </row>
    <row r="15417" spans="9:10" x14ac:dyDescent="0.2">
      <c r="I15417" s="1125"/>
      <c r="J15417" s="1125"/>
    </row>
    <row r="15418" spans="9:10" x14ac:dyDescent="0.2">
      <c r="I15418" s="1125"/>
      <c r="J15418" s="1125"/>
    </row>
    <row r="15419" spans="9:10" x14ac:dyDescent="0.2">
      <c r="I15419" s="1125"/>
      <c r="J15419" s="1125"/>
    </row>
    <row r="15420" spans="9:10" x14ac:dyDescent="0.2">
      <c r="I15420" s="1125"/>
      <c r="J15420" s="1125"/>
    </row>
    <row r="15421" spans="9:10" x14ac:dyDescent="0.2">
      <c r="I15421" s="1125"/>
      <c r="J15421" s="1125"/>
    </row>
    <row r="15422" spans="9:10" x14ac:dyDescent="0.2">
      <c r="I15422" s="1125"/>
      <c r="J15422" s="1125"/>
    </row>
    <row r="15423" spans="9:10" x14ac:dyDescent="0.2">
      <c r="I15423" s="1125"/>
      <c r="J15423" s="1125"/>
    </row>
    <row r="15424" spans="9:10" x14ac:dyDescent="0.2">
      <c r="I15424" s="1125"/>
      <c r="J15424" s="1125"/>
    </row>
    <row r="15425" spans="9:10" x14ac:dyDescent="0.2">
      <c r="I15425" s="1125"/>
      <c r="J15425" s="1125"/>
    </row>
    <row r="15426" spans="9:10" x14ac:dyDescent="0.2">
      <c r="I15426" s="1125"/>
      <c r="J15426" s="1125"/>
    </row>
    <row r="15427" spans="9:10" x14ac:dyDescent="0.2">
      <c r="I15427" s="1125"/>
      <c r="J15427" s="1125"/>
    </row>
    <row r="15428" spans="9:10" x14ac:dyDescent="0.2">
      <c r="I15428" s="1125"/>
      <c r="J15428" s="1125"/>
    </row>
    <row r="15429" spans="9:10" x14ac:dyDescent="0.2">
      <c r="I15429" s="1125"/>
      <c r="J15429" s="1125"/>
    </row>
    <row r="15430" spans="9:10" x14ac:dyDescent="0.2">
      <c r="I15430" s="1125"/>
      <c r="J15430" s="1125"/>
    </row>
    <row r="15431" spans="9:10" x14ac:dyDescent="0.2">
      <c r="I15431" s="1125"/>
      <c r="J15431" s="1125"/>
    </row>
    <row r="15432" spans="9:10" x14ac:dyDescent="0.2">
      <c r="I15432" s="1125"/>
      <c r="J15432" s="1125"/>
    </row>
    <row r="15433" spans="9:10" x14ac:dyDescent="0.2">
      <c r="I15433" s="1125"/>
      <c r="J15433" s="1125"/>
    </row>
    <row r="15434" spans="9:10" x14ac:dyDescent="0.2">
      <c r="I15434" s="1125"/>
      <c r="J15434" s="1125"/>
    </row>
    <row r="15435" spans="9:10" x14ac:dyDescent="0.2">
      <c r="I15435" s="1125"/>
      <c r="J15435" s="1125"/>
    </row>
    <row r="15436" spans="9:10" x14ac:dyDescent="0.2">
      <c r="I15436" s="1125"/>
      <c r="J15436" s="1125"/>
    </row>
    <row r="15437" spans="9:10" x14ac:dyDescent="0.2">
      <c r="I15437" s="1125"/>
      <c r="J15437" s="1125"/>
    </row>
    <row r="15438" spans="9:10" x14ac:dyDescent="0.2">
      <c r="I15438" s="1125"/>
      <c r="J15438" s="1125"/>
    </row>
    <row r="15439" spans="9:10" x14ac:dyDescent="0.2">
      <c r="I15439" s="1125"/>
      <c r="J15439" s="1125"/>
    </row>
    <row r="15440" spans="9:10" x14ac:dyDescent="0.2">
      <c r="I15440" s="1125"/>
      <c r="J15440" s="1125"/>
    </row>
    <row r="15441" spans="9:10" x14ac:dyDescent="0.2">
      <c r="I15441" s="1125"/>
      <c r="J15441" s="1125"/>
    </row>
    <row r="15442" spans="9:10" x14ac:dyDescent="0.2">
      <c r="I15442" s="1125"/>
      <c r="J15442" s="1125"/>
    </row>
    <row r="15443" spans="9:10" x14ac:dyDescent="0.2">
      <c r="I15443" s="1125"/>
      <c r="J15443" s="1125"/>
    </row>
    <row r="15444" spans="9:10" x14ac:dyDescent="0.2">
      <c r="I15444" s="1125"/>
      <c r="J15444" s="1125"/>
    </row>
    <row r="15445" spans="9:10" x14ac:dyDescent="0.2">
      <c r="I15445" s="1125"/>
      <c r="J15445" s="1125"/>
    </row>
    <row r="15446" spans="9:10" x14ac:dyDescent="0.2">
      <c r="I15446" s="1125"/>
      <c r="J15446" s="1125"/>
    </row>
    <row r="15447" spans="9:10" x14ac:dyDescent="0.2">
      <c r="I15447" s="1125"/>
      <c r="J15447" s="1125"/>
    </row>
    <row r="15448" spans="9:10" x14ac:dyDescent="0.2">
      <c r="I15448" s="1125"/>
      <c r="J15448" s="1125"/>
    </row>
    <row r="15449" spans="9:10" x14ac:dyDescent="0.2">
      <c r="I15449" s="1125"/>
      <c r="J15449" s="1125"/>
    </row>
    <row r="15450" spans="9:10" x14ac:dyDescent="0.2">
      <c r="I15450" s="1125"/>
      <c r="J15450" s="1125"/>
    </row>
    <row r="15451" spans="9:10" x14ac:dyDescent="0.2">
      <c r="I15451" s="1125"/>
      <c r="J15451" s="1125"/>
    </row>
    <row r="15452" spans="9:10" x14ac:dyDescent="0.2">
      <c r="I15452" s="1125"/>
      <c r="J15452" s="1125"/>
    </row>
    <row r="15453" spans="9:10" x14ac:dyDescent="0.2">
      <c r="I15453" s="1125"/>
      <c r="J15453" s="1125"/>
    </row>
    <row r="15454" spans="9:10" x14ac:dyDescent="0.2">
      <c r="I15454" s="1125"/>
      <c r="J15454" s="1125"/>
    </row>
    <row r="15455" spans="9:10" x14ac:dyDescent="0.2">
      <c r="I15455" s="1125"/>
      <c r="J15455" s="1125"/>
    </row>
    <row r="15456" spans="9:10" x14ac:dyDescent="0.2">
      <c r="I15456" s="1125"/>
      <c r="J15456" s="1125"/>
    </row>
    <row r="15457" spans="9:10" x14ac:dyDescent="0.2">
      <c r="I15457" s="1125"/>
      <c r="J15457" s="1125"/>
    </row>
    <row r="15458" spans="9:10" x14ac:dyDescent="0.2">
      <c r="I15458" s="1125"/>
      <c r="J15458" s="1125"/>
    </row>
    <row r="15459" spans="9:10" x14ac:dyDescent="0.2">
      <c r="I15459" s="1125"/>
      <c r="J15459" s="1125"/>
    </row>
    <row r="15460" spans="9:10" x14ac:dyDescent="0.2">
      <c r="I15460" s="1125"/>
      <c r="J15460" s="1125"/>
    </row>
    <row r="15461" spans="9:10" x14ac:dyDescent="0.2">
      <c r="I15461" s="1125"/>
      <c r="J15461" s="1125"/>
    </row>
    <row r="15462" spans="9:10" x14ac:dyDescent="0.2">
      <c r="I15462" s="1125"/>
      <c r="J15462" s="1125"/>
    </row>
    <row r="15463" spans="9:10" x14ac:dyDescent="0.2">
      <c r="I15463" s="1125"/>
      <c r="J15463" s="1125"/>
    </row>
    <row r="15464" spans="9:10" x14ac:dyDescent="0.2">
      <c r="I15464" s="1125"/>
      <c r="J15464" s="1125"/>
    </row>
    <row r="15465" spans="9:10" x14ac:dyDescent="0.2">
      <c r="I15465" s="1125"/>
      <c r="J15465" s="1125"/>
    </row>
    <row r="15466" spans="9:10" x14ac:dyDescent="0.2">
      <c r="I15466" s="1125"/>
      <c r="J15466" s="1125"/>
    </row>
    <row r="15467" spans="9:10" x14ac:dyDescent="0.2">
      <c r="I15467" s="1125"/>
      <c r="J15467" s="1125"/>
    </row>
    <row r="15468" spans="9:10" x14ac:dyDescent="0.2">
      <c r="I15468" s="1125"/>
      <c r="J15468" s="1125"/>
    </row>
    <row r="15469" spans="9:10" x14ac:dyDescent="0.2">
      <c r="I15469" s="1125"/>
      <c r="J15469" s="1125"/>
    </row>
    <row r="15470" spans="9:10" x14ac:dyDescent="0.2">
      <c r="I15470" s="1125"/>
      <c r="J15470" s="1125"/>
    </row>
    <row r="15471" spans="9:10" x14ac:dyDescent="0.2">
      <c r="I15471" s="1125"/>
      <c r="J15471" s="1125"/>
    </row>
    <row r="15472" spans="9:10" x14ac:dyDescent="0.2">
      <c r="I15472" s="1125"/>
      <c r="J15472" s="1125"/>
    </row>
    <row r="15473" spans="9:10" x14ac:dyDescent="0.2">
      <c r="I15473" s="1125"/>
      <c r="J15473" s="1125"/>
    </row>
    <row r="15474" spans="9:10" x14ac:dyDescent="0.2">
      <c r="I15474" s="1125"/>
      <c r="J15474" s="1125"/>
    </row>
    <row r="15475" spans="9:10" x14ac:dyDescent="0.2">
      <c r="I15475" s="1125"/>
      <c r="J15475" s="1125"/>
    </row>
    <row r="15476" spans="9:10" x14ac:dyDescent="0.2">
      <c r="I15476" s="1125"/>
      <c r="J15476" s="1125"/>
    </row>
    <row r="15477" spans="9:10" x14ac:dyDescent="0.2">
      <c r="I15477" s="1125"/>
      <c r="J15477" s="1125"/>
    </row>
    <row r="15478" spans="9:10" x14ac:dyDescent="0.2">
      <c r="I15478" s="1125"/>
      <c r="J15478" s="1125"/>
    </row>
    <row r="15479" spans="9:10" x14ac:dyDescent="0.2">
      <c r="I15479" s="1125"/>
      <c r="J15479" s="1125"/>
    </row>
    <row r="15480" spans="9:10" x14ac:dyDescent="0.2">
      <c r="I15480" s="1125"/>
      <c r="J15480" s="1125"/>
    </row>
    <row r="15481" spans="9:10" x14ac:dyDescent="0.2">
      <c r="I15481" s="1125"/>
      <c r="J15481" s="1125"/>
    </row>
    <row r="15482" spans="9:10" x14ac:dyDescent="0.2">
      <c r="I15482" s="1125"/>
      <c r="J15482" s="1125"/>
    </row>
    <row r="15483" spans="9:10" x14ac:dyDescent="0.2">
      <c r="I15483" s="1125"/>
      <c r="J15483" s="1125"/>
    </row>
    <row r="15484" spans="9:10" x14ac:dyDescent="0.2">
      <c r="I15484" s="1125"/>
      <c r="J15484" s="1125"/>
    </row>
    <row r="15485" spans="9:10" x14ac:dyDescent="0.2">
      <c r="I15485" s="1125"/>
      <c r="J15485" s="1125"/>
    </row>
    <row r="15486" spans="9:10" x14ac:dyDescent="0.2">
      <c r="I15486" s="1125"/>
      <c r="J15486" s="1125"/>
    </row>
    <row r="15487" spans="9:10" x14ac:dyDescent="0.2">
      <c r="I15487" s="1125"/>
      <c r="J15487" s="1125"/>
    </row>
    <row r="15488" spans="9:10" x14ac:dyDescent="0.2">
      <c r="I15488" s="1125"/>
      <c r="J15488" s="1125"/>
    </row>
    <row r="15489" spans="9:10" x14ac:dyDescent="0.2">
      <c r="I15489" s="1125"/>
      <c r="J15489" s="1125"/>
    </row>
    <row r="15490" spans="9:10" x14ac:dyDescent="0.2">
      <c r="I15490" s="1125"/>
      <c r="J15490" s="1125"/>
    </row>
    <row r="15491" spans="9:10" x14ac:dyDescent="0.2">
      <c r="I15491" s="1125"/>
      <c r="J15491" s="1125"/>
    </row>
    <row r="15492" spans="9:10" x14ac:dyDescent="0.2">
      <c r="I15492" s="1125"/>
      <c r="J15492" s="1125"/>
    </row>
    <row r="15493" spans="9:10" x14ac:dyDescent="0.2">
      <c r="I15493" s="1125"/>
      <c r="J15493" s="1125"/>
    </row>
    <row r="15494" spans="9:10" x14ac:dyDescent="0.2">
      <c r="I15494" s="1125"/>
      <c r="J15494" s="1125"/>
    </row>
    <row r="15495" spans="9:10" x14ac:dyDescent="0.2">
      <c r="I15495" s="1125"/>
      <c r="J15495" s="1125"/>
    </row>
    <row r="15496" spans="9:10" x14ac:dyDescent="0.2">
      <c r="I15496" s="1125"/>
      <c r="J15496" s="1125"/>
    </row>
    <row r="15497" spans="9:10" x14ac:dyDescent="0.2">
      <c r="I15497" s="1125"/>
      <c r="J15497" s="1125"/>
    </row>
    <row r="15498" spans="9:10" x14ac:dyDescent="0.2">
      <c r="I15498" s="1125"/>
      <c r="J15498" s="1125"/>
    </row>
    <row r="15499" spans="9:10" x14ac:dyDescent="0.2">
      <c r="I15499" s="1125"/>
      <c r="J15499" s="1125"/>
    </row>
    <row r="15500" spans="9:10" x14ac:dyDescent="0.2">
      <c r="I15500" s="1125"/>
      <c r="J15500" s="1125"/>
    </row>
    <row r="15501" spans="9:10" x14ac:dyDescent="0.2">
      <c r="I15501" s="1125"/>
      <c r="J15501" s="1125"/>
    </row>
    <row r="15502" spans="9:10" x14ac:dyDescent="0.2">
      <c r="I15502" s="1125"/>
      <c r="J15502" s="1125"/>
    </row>
    <row r="15503" spans="9:10" x14ac:dyDescent="0.2">
      <c r="I15503" s="1125"/>
      <c r="J15503" s="1125"/>
    </row>
    <row r="15504" spans="9:10" x14ac:dyDescent="0.2">
      <c r="I15504" s="1125"/>
      <c r="J15504" s="1125"/>
    </row>
    <row r="15505" spans="9:10" x14ac:dyDescent="0.2">
      <c r="I15505" s="1125"/>
      <c r="J15505" s="1125"/>
    </row>
    <row r="15506" spans="9:10" x14ac:dyDescent="0.2">
      <c r="I15506" s="1125"/>
      <c r="J15506" s="1125"/>
    </row>
    <row r="15507" spans="9:10" x14ac:dyDescent="0.2">
      <c r="I15507" s="1125"/>
      <c r="J15507" s="1125"/>
    </row>
    <row r="15508" spans="9:10" x14ac:dyDescent="0.2">
      <c r="I15508" s="1125"/>
      <c r="J15508" s="1125"/>
    </row>
    <row r="15509" spans="9:10" x14ac:dyDescent="0.2">
      <c r="I15509" s="1125"/>
      <c r="J15509" s="1125"/>
    </row>
    <row r="15510" spans="9:10" x14ac:dyDescent="0.2">
      <c r="I15510" s="1125"/>
      <c r="J15510" s="1125"/>
    </row>
    <row r="15511" spans="9:10" x14ac:dyDescent="0.2">
      <c r="I15511" s="1125"/>
      <c r="J15511" s="1125"/>
    </row>
    <row r="15512" spans="9:10" x14ac:dyDescent="0.2">
      <c r="I15512" s="1125"/>
      <c r="J15512" s="1125"/>
    </row>
    <row r="15513" spans="9:10" x14ac:dyDescent="0.2">
      <c r="I15513" s="1125"/>
      <c r="J15513" s="1125"/>
    </row>
    <row r="15514" spans="9:10" x14ac:dyDescent="0.2">
      <c r="I15514" s="1125"/>
      <c r="J15514" s="1125"/>
    </row>
    <row r="15515" spans="9:10" x14ac:dyDescent="0.2">
      <c r="I15515" s="1125"/>
      <c r="J15515" s="1125"/>
    </row>
    <row r="15516" spans="9:10" x14ac:dyDescent="0.2">
      <c r="I15516" s="1125"/>
      <c r="J15516" s="1125"/>
    </row>
    <row r="15517" spans="9:10" x14ac:dyDescent="0.2">
      <c r="I15517" s="1125"/>
      <c r="J15517" s="1125"/>
    </row>
    <row r="15518" spans="9:10" x14ac:dyDescent="0.2">
      <c r="I15518" s="1125"/>
      <c r="J15518" s="1125"/>
    </row>
    <row r="15519" spans="9:10" x14ac:dyDescent="0.2">
      <c r="I15519" s="1125"/>
      <c r="J15519" s="1125"/>
    </row>
    <row r="15520" spans="9:10" x14ac:dyDescent="0.2">
      <c r="I15520" s="1125"/>
      <c r="J15520" s="1125"/>
    </row>
    <row r="15521" spans="9:10" x14ac:dyDescent="0.2">
      <c r="I15521" s="1125"/>
      <c r="J15521" s="1125"/>
    </row>
    <row r="15522" spans="9:10" x14ac:dyDescent="0.2">
      <c r="I15522" s="1125"/>
      <c r="J15522" s="1125"/>
    </row>
    <row r="15523" spans="9:10" x14ac:dyDescent="0.2">
      <c r="I15523" s="1125"/>
      <c r="J15523" s="1125"/>
    </row>
    <row r="15524" spans="9:10" x14ac:dyDescent="0.2">
      <c r="I15524" s="1125"/>
      <c r="J15524" s="1125"/>
    </row>
    <row r="15525" spans="9:10" x14ac:dyDescent="0.2">
      <c r="I15525" s="1125"/>
      <c r="J15525" s="1125"/>
    </row>
    <row r="15526" spans="9:10" x14ac:dyDescent="0.2">
      <c r="I15526" s="1125"/>
      <c r="J15526" s="1125"/>
    </row>
    <row r="15527" spans="9:10" x14ac:dyDescent="0.2">
      <c r="I15527" s="1125"/>
      <c r="J15527" s="1125"/>
    </row>
    <row r="15528" spans="9:10" x14ac:dyDescent="0.2">
      <c r="I15528" s="1125"/>
      <c r="J15528" s="1125"/>
    </row>
    <row r="15529" spans="9:10" x14ac:dyDescent="0.2">
      <c r="I15529" s="1125"/>
      <c r="J15529" s="1125"/>
    </row>
    <row r="15530" spans="9:10" x14ac:dyDescent="0.2">
      <c r="I15530" s="1125"/>
      <c r="J15530" s="1125"/>
    </row>
    <row r="15531" spans="9:10" x14ac:dyDescent="0.2">
      <c r="I15531" s="1125"/>
      <c r="J15531" s="1125"/>
    </row>
    <row r="15532" spans="9:10" x14ac:dyDescent="0.2">
      <c r="I15532" s="1125"/>
      <c r="J15532" s="1125"/>
    </row>
    <row r="15533" spans="9:10" x14ac:dyDescent="0.2">
      <c r="I15533" s="1125"/>
      <c r="J15533" s="1125"/>
    </row>
    <row r="15534" spans="9:10" x14ac:dyDescent="0.2">
      <c r="I15534" s="1125"/>
      <c r="J15534" s="1125"/>
    </row>
    <row r="15535" spans="9:10" x14ac:dyDescent="0.2">
      <c r="I15535" s="1125"/>
      <c r="J15535" s="1125"/>
    </row>
    <row r="15536" spans="9:10" x14ac:dyDescent="0.2">
      <c r="I15536" s="1125"/>
      <c r="J15536" s="1125"/>
    </row>
    <row r="15537" spans="9:10" x14ac:dyDescent="0.2">
      <c r="I15537" s="1125"/>
      <c r="J15537" s="1125"/>
    </row>
    <row r="15538" spans="9:10" x14ac:dyDescent="0.2">
      <c r="I15538" s="1125"/>
      <c r="J15538" s="1125"/>
    </row>
    <row r="15539" spans="9:10" x14ac:dyDescent="0.2">
      <c r="I15539" s="1125"/>
      <c r="J15539" s="1125"/>
    </row>
    <row r="15540" spans="9:10" x14ac:dyDescent="0.2">
      <c r="I15540" s="1125"/>
      <c r="J15540" s="1125"/>
    </row>
    <row r="15541" spans="9:10" x14ac:dyDescent="0.2">
      <c r="I15541" s="1125"/>
      <c r="J15541" s="1125"/>
    </row>
    <row r="15542" spans="9:10" x14ac:dyDescent="0.2">
      <c r="I15542" s="1125"/>
      <c r="J15542" s="1125"/>
    </row>
    <row r="15543" spans="9:10" x14ac:dyDescent="0.2">
      <c r="I15543" s="1125"/>
      <c r="J15543" s="1125"/>
    </row>
    <row r="15544" spans="9:10" x14ac:dyDescent="0.2">
      <c r="I15544" s="1125"/>
      <c r="J15544" s="1125"/>
    </row>
    <row r="15545" spans="9:10" x14ac:dyDescent="0.2">
      <c r="I15545" s="1125"/>
      <c r="J15545" s="1125"/>
    </row>
    <row r="15546" spans="9:10" x14ac:dyDescent="0.2">
      <c r="I15546" s="1125"/>
      <c r="J15546" s="1125"/>
    </row>
    <row r="15547" spans="9:10" x14ac:dyDescent="0.2">
      <c r="I15547" s="1125"/>
      <c r="J15547" s="1125"/>
    </row>
    <row r="15548" spans="9:10" x14ac:dyDescent="0.2">
      <c r="I15548" s="1125"/>
      <c r="J15548" s="1125"/>
    </row>
    <row r="15549" spans="9:10" x14ac:dyDescent="0.2">
      <c r="I15549" s="1125"/>
      <c r="J15549" s="1125"/>
    </row>
    <row r="15550" spans="9:10" x14ac:dyDescent="0.2">
      <c r="I15550" s="1125"/>
      <c r="J15550" s="1125"/>
    </row>
    <row r="15551" spans="9:10" x14ac:dyDescent="0.2">
      <c r="I15551" s="1125"/>
      <c r="J15551" s="1125"/>
    </row>
    <row r="15552" spans="9:10" x14ac:dyDescent="0.2">
      <c r="I15552" s="1125"/>
      <c r="J15552" s="1125"/>
    </row>
    <row r="15553" spans="9:10" x14ac:dyDescent="0.2">
      <c r="I15553" s="1125"/>
      <c r="J15553" s="1125"/>
    </row>
    <row r="15554" spans="9:10" x14ac:dyDescent="0.2">
      <c r="I15554" s="1125"/>
      <c r="J15554" s="1125"/>
    </row>
    <row r="15555" spans="9:10" x14ac:dyDescent="0.2">
      <c r="I15555" s="1125"/>
      <c r="J15555" s="1125"/>
    </row>
    <row r="15556" spans="9:10" x14ac:dyDescent="0.2">
      <c r="I15556" s="1125"/>
      <c r="J15556" s="1125"/>
    </row>
    <row r="15557" spans="9:10" x14ac:dyDescent="0.2">
      <c r="I15557" s="1125"/>
      <c r="J15557" s="1125"/>
    </row>
    <row r="15558" spans="9:10" x14ac:dyDescent="0.2">
      <c r="I15558" s="1125"/>
      <c r="J15558" s="1125"/>
    </row>
    <row r="15559" spans="9:10" x14ac:dyDescent="0.2">
      <c r="I15559" s="1125"/>
      <c r="J15559" s="1125"/>
    </row>
    <row r="15560" spans="9:10" x14ac:dyDescent="0.2">
      <c r="I15560" s="1125"/>
      <c r="J15560" s="1125"/>
    </row>
    <row r="15561" spans="9:10" x14ac:dyDescent="0.2">
      <c r="I15561" s="1125"/>
      <c r="J15561" s="1125"/>
    </row>
    <row r="15562" spans="9:10" x14ac:dyDescent="0.2">
      <c r="I15562" s="1125"/>
      <c r="J15562" s="1125"/>
    </row>
    <row r="15563" spans="9:10" x14ac:dyDescent="0.2">
      <c r="I15563" s="1125"/>
      <c r="J15563" s="1125"/>
    </row>
    <row r="15564" spans="9:10" x14ac:dyDescent="0.2">
      <c r="I15564" s="1125"/>
      <c r="J15564" s="1125"/>
    </row>
    <row r="15565" spans="9:10" x14ac:dyDescent="0.2">
      <c r="I15565" s="1125"/>
      <c r="J15565" s="1125"/>
    </row>
    <row r="15566" spans="9:10" x14ac:dyDescent="0.2">
      <c r="I15566" s="1125"/>
      <c r="J15566" s="1125"/>
    </row>
    <row r="15567" spans="9:10" x14ac:dyDescent="0.2">
      <c r="I15567" s="1125"/>
      <c r="J15567" s="1125"/>
    </row>
    <row r="15568" spans="9:10" x14ac:dyDescent="0.2">
      <c r="I15568" s="1125"/>
      <c r="J15568" s="1125"/>
    </row>
    <row r="15569" spans="9:10" x14ac:dyDescent="0.2">
      <c r="I15569" s="1125"/>
      <c r="J15569" s="1125"/>
    </row>
    <row r="15570" spans="9:10" x14ac:dyDescent="0.2">
      <c r="I15570" s="1125"/>
      <c r="J15570" s="1125"/>
    </row>
    <row r="15571" spans="9:10" x14ac:dyDescent="0.2">
      <c r="I15571" s="1125"/>
      <c r="J15571" s="1125"/>
    </row>
    <row r="15572" spans="9:10" x14ac:dyDescent="0.2">
      <c r="I15572" s="1125"/>
      <c r="J15572" s="1125"/>
    </row>
    <row r="15573" spans="9:10" x14ac:dyDescent="0.2">
      <c r="I15573" s="1125"/>
      <c r="J15573" s="1125"/>
    </row>
    <row r="15574" spans="9:10" x14ac:dyDescent="0.2">
      <c r="I15574" s="1125"/>
      <c r="J15574" s="1125"/>
    </row>
    <row r="15575" spans="9:10" x14ac:dyDescent="0.2">
      <c r="I15575" s="1125"/>
      <c r="J15575" s="1125"/>
    </row>
    <row r="15576" spans="9:10" x14ac:dyDescent="0.2">
      <c r="I15576" s="1125"/>
      <c r="J15576" s="1125"/>
    </row>
    <row r="15577" spans="9:10" x14ac:dyDescent="0.2">
      <c r="I15577" s="1125"/>
      <c r="J15577" s="1125"/>
    </row>
    <row r="15578" spans="9:10" x14ac:dyDescent="0.2">
      <c r="I15578" s="1125"/>
      <c r="J15578" s="1125"/>
    </row>
    <row r="15579" spans="9:10" x14ac:dyDescent="0.2">
      <c r="I15579" s="1125"/>
      <c r="J15579" s="1125"/>
    </row>
    <row r="15580" spans="9:10" x14ac:dyDescent="0.2">
      <c r="I15580" s="1125"/>
      <c r="J15580" s="1125"/>
    </row>
    <row r="15581" spans="9:10" x14ac:dyDescent="0.2">
      <c r="I15581" s="1125"/>
      <c r="J15581" s="1125"/>
    </row>
    <row r="15582" spans="9:10" x14ac:dyDescent="0.2">
      <c r="I15582" s="1125"/>
      <c r="J15582" s="1125"/>
    </row>
    <row r="15583" spans="9:10" x14ac:dyDescent="0.2">
      <c r="I15583" s="1125"/>
      <c r="J15583" s="1125"/>
    </row>
    <row r="15584" spans="9:10" x14ac:dyDescent="0.2">
      <c r="I15584" s="1125"/>
      <c r="J15584" s="1125"/>
    </row>
    <row r="15585" spans="9:10" x14ac:dyDescent="0.2">
      <c r="I15585" s="1125"/>
      <c r="J15585" s="1125"/>
    </row>
    <row r="15586" spans="9:10" x14ac:dyDescent="0.2">
      <c r="I15586" s="1125"/>
      <c r="J15586" s="1125"/>
    </row>
    <row r="15587" spans="9:10" x14ac:dyDescent="0.2">
      <c r="I15587" s="1125"/>
      <c r="J15587" s="1125"/>
    </row>
    <row r="15588" spans="9:10" x14ac:dyDescent="0.2">
      <c r="I15588" s="1125"/>
      <c r="J15588" s="1125"/>
    </row>
    <row r="15589" spans="9:10" x14ac:dyDescent="0.2">
      <c r="I15589" s="1125"/>
      <c r="J15589" s="1125"/>
    </row>
    <row r="15590" spans="9:10" x14ac:dyDescent="0.2">
      <c r="I15590" s="1125"/>
      <c r="J15590" s="1125"/>
    </row>
    <row r="15591" spans="9:10" x14ac:dyDescent="0.2">
      <c r="I15591" s="1125"/>
      <c r="J15591" s="1125"/>
    </row>
    <row r="15592" spans="9:10" x14ac:dyDescent="0.2">
      <c r="I15592" s="1125"/>
      <c r="J15592" s="1125"/>
    </row>
    <row r="15593" spans="9:10" x14ac:dyDescent="0.2">
      <c r="I15593" s="1125"/>
      <c r="J15593" s="1125"/>
    </row>
    <row r="15594" spans="9:10" x14ac:dyDescent="0.2">
      <c r="I15594" s="1125"/>
      <c r="J15594" s="1125"/>
    </row>
    <row r="15595" spans="9:10" x14ac:dyDescent="0.2">
      <c r="I15595" s="1125"/>
      <c r="J15595" s="1125"/>
    </row>
    <row r="15596" spans="9:10" x14ac:dyDescent="0.2">
      <c r="I15596" s="1125"/>
      <c r="J15596" s="1125"/>
    </row>
    <row r="15597" spans="9:10" x14ac:dyDescent="0.2">
      <c r="I15597" s="1125"/>
      <c r="J15597" s="1125"/>
    </row>
    <row r="15598" spans="9:10" x14ac:dyDescent="0.2">
      <c r="I15598" s="1125"/>
      <c r="J15598" s="1125"/>
    </row>
    <row r="15599" spans="9:10" x14ac:dyDescent="0.2">
      <c r="I15599" s="1125"/>
      <c r="J15599" s="1125"/>
    </row>
    <row r="15600" spans="9:10" x14ac:dyDescent="0.2">
      <c r="I15600" s="1125"/>
      <c r="J15600" s="1125"/>
    </row>
    <row r="15601" spans="9:10" x14ac:dyDescent="0.2">
      <c r="I15601" s="1125"/>
      <c r="J15601" s="1125"/>
    </row>
    <row r="15602" spans="9:10" x14ac:dyDescent="0.2">
      <c r="I15602" s="1125"/>
      <c r="J15602" s="1125"/>
    </row>
    <row r="15603" spans="9:10" x14ac:dyDescent="0.2">
      <c r="I15603" s="1125"/>
      <c r="J15603" s="1125"/>
    </row>
    <row r="15604" spans="9:10" x14ac:dyDescent="0.2">
      <c r="I15604" s="1125"/>
      <c r="J15604" s="1125"/>
    </row>
    <row r="15605" spans="9:10" x14ac:dyDescent="0.2">
      <c r="I15605" s="1125"/>
      <c r="J15605" s="1125"/>
    </row>
    <row r="15606" spans="9:10" x14ac:dyDescent="0.2">
      <c r="I15606" s="1125"/>
      <c r="J15606" s="1125"/>
    </row>
    <row r="15607" spans="9:10" x14ac:dyDescent="0.2">
      <c r="I15607" s="1125"/>
      <c r="J15607" s="1125"/>
    </row>
    <row r="15608" spans="9:10" x14ac:dyDescent="0.2">
      <c r="I15608" s="1125"/>
      <c r="J15608" s="1125"/>
    </row>
    <row r="15609" spans="9:10" x14ac:dyDescent="0.2">
      <c r="I15609" s="1125"/>
      <c r="J15609" s="1125"/>
    </row>
    <row r="15610" spans="9:10" x14ac:dyDescent="0.2">
      <c r="I15610" s="1125"/>
      <c r="J15610" s="1125"/>
    </row>
    <row r="15611" spans="9:10" x14ac:dyDescent="0.2">
      <c r="I15611" s="1125"/>
      <c r="J15611" s="1125"/>
    </row>
    <row r="15612" spans="9:10" x14ac:dyDescent="0.2">
      <c r="I15612" s="1125"/>
      <c r="J15612" s="1125"/>
    </row>
    <row r="15613" spans="9:10" x14ac:dyDescent="0.2">
      <c r="I15613" s="1125"/>
      <c r="J15613" s="1125"/>
    </row>
    <row r="15614" spans="9:10" x14ac:dyDescent="0.2">
      <c r="I15614" s="1125"/>
      <c r="J15614" s="1125"/>
    </row>
    <row r="15615" spans="9:10" x14ac:dyDescent="0.2">
      <c r="I15615" s="1125"/>
      <c r="J15615" s="1125"/>
    </row>
    <row r="15616" spans="9:10" x14ac:dyDescent="0.2">
      <c r="I15616" s="1125"/>
      <c r="J15616" s="1125"/>
    </row>
    <row r="15617" spans="9:10" x14ac:dyDescent="0.2">
      <c r="I15617" s="1125"/>
      <c r="J15617" s="1125"/>
    </row>
    <row r="15618" spans="9:10" x14ac:dyDescent="0.2">
      <c r="I15618" s="1125"/>
      <c r="J15618" s="1125"/>
    </row>
    <row r="15619" spans="9:10" x14ac:dyDescent="0.2">
      <c r="I15619" s="1125"/>
      <c r="J15619" s="1125"/>
    </row>
    <row r="15620" spans="9:10" x14ac:dyDescent="0.2">
      <c r="I15620" s="1125"/>
      <c r="J15620" s="1125"/>
    </row>
    <row r="15621" spans="9:10" x14ac:dyDescent="0.2">
      <c r="I15621" s="1125"/>
      <c r="J15621" s="1125"/>
    </row>
    <row r="15622" spans="9:10" x14ac:dyDescent="0.2">
      <c r="I15622" s="1125"/>
      <c r="J15622" s="1125"/>
    </row>
    <row r="15623" spans="9:10" x14ac:dyDescent="0.2">
      <c r="I15623" s="1125"/>
      <c r="J15623" s="1125"/>
    </row>
    <row r="15624" spans="9:10" x14ac:dyDescent="0.2">
      <c r="I15624" s="1125"/>
      <c r="J15624" s="1125"/>
    </row>
    <row r="15625" spans="9:10" x14ac:dyDescent="0.2">
      <c r="I15625" s="1125"/>
      <c r="J15625" s="1125"/>
    </row>
    <row r="15626" spans="9:10" x14ac:dyDescent="0.2">
      <c r="I15626" s="1125"/>
      <c r="J15626" s="1125"/>
    </row>
    <row r="15627" spans="9:10" x14ac:dyDescent="0.2">
      <c r="I15627" s="1125"/>
      <c r="J15627" s="1125"/>
    </row>
    <row r="15628" spans="9:10" x14ac:dyDescent="0.2">
      <c r="I15628" s="1125"/>
      <c r="J15628" s="1125"/>
    </row>
    <row r="15629" spans="9:10" x14ac:dyDescent="0.2">
      <c r="I15629" s="1125"/>
      <c r="J15629" s="1125"/>
    </row>
    <row r="15630" spans="9:10" x14ac:dyDescent="0.2">
      <c r="I15630" s="1125"/>
      <c r="J15630" s="1125"/>
    </row>
    <row r="15631" spans="9:10" x14ac:dyDescent="0.2">
      <c r="I15631" s="1125"/>
      <c r="J15631" s="1125"/>
    </row>
    <row r="15632" spans="9:10" x14ac:dyDescent="0.2">
      <c r="I15632" s="1125"/>
      <c r="J15632" s="1125"/>
    </row>
    <row r="15633" spans="9:10" x14ac:dyDescent="0.2">
      <c r="I15633" s="1125"/>
      <c r="J15633" s="1125"/>
    </row>
    <row r="15634" spans="9:10" x14ac:dyDescent="0.2">
      <c r="I15634" s="1125"/>
      <c r="J15634" s="1125"/>
    </row>
    <row r="15635" spans="9:10" x14ac:dyDescent="0.2">
      <c r="I15635" s="1125"/>
      <c r="J15635" s="1125"/>
    </row>
    <row r="15636" spans="9:10" x14ac:dyDescent="0.2">
      <c r="I15636" s="1125"/>
      <c r="J15636" s="1125"/>
    </row>
    <row r="15637" spans="9:10" x14ac:dyDescent="0.2">
      <c r="I15637" s="1125"/>
      <c r="J15637" s="1125"/>
    </row>
    <row r="15638" spans="9:10" x14ac:dyDescent="0.2">
      <c r="I15638" s="1125"/>
      <c r="J15638" s="1125"/>
    </row>
    <row r="15639" spans="9:10" x14ac:dyDescent="0.2">
      <c r="I15639" s="1125"/>
      <c r="J15639" s="1125"/>
    </row>
    <row r="15640" spans="9:10" x14ac:dyDescent="0.2">
      <c r="I15640" s="1125"/>
      <c r="J15640" s="1125"/>
    </row>
    <row r="15641" spans="9:10" x14ac:dyDescent="0.2">
      <c r="I15641" s="1125"/>
      <c r="J15641" s="1125"/>
    </row>
    <row r="15642" spans="9:10" x14ac:dyDescent="0.2">
      <c r="I15642" s="1125"/>
      <c r="J15642" s="1125"/>
    </row>
    <row r="15643" spans="9:10" x14ac:dyDescent="0.2">
      <c r="I15643" s="1125"/>
      <c r="J15643" s="1125"/>
    </row>
    <row r="15644" spans="9:10" x14ac:dyDescent="0.2">
      <c r="I15644" s="1125"/>
      <c r="J15644" s="1125"/>
    </row>
    <row r="15645" spans="9:10" x14ac:dyDescent="0.2">
      <c r="I15645" s="1125"/>
      <c r="J15645" s="1125"/>
    </row>
    <row r="15646" spans="9:10" x14ac:dyDescent="0.2">
      <c r="I15646" s="1125"/>
      <c r="J15646" s="1125"/>
    </row>
    <row r="15647" spans="9:10" x14ac:dyDescent="0.2">
      <c r="I15647" s="1125"/>
      <c r="J15647" s="1125"/>
    </row>
    <row r="15648" spans="9:10" x14ac:dyDescent="0.2">
      <c r="I15648" s="1125"/>
      <c r="J15648" s="1125"/>
    </row>
    <row r="15649" spans="9:10" x14ac:dyDescent="0.2">
      <c r="I15649" s="1125"/>
      <c r="J15649" s="1125"/>
    </row>
    <row r="15650" spans="9:10" x14ac:dyDescent="0.2">
      <c r="I15650" s="1125"/>
      <c r="J15650" s="1125"/>
    </row>
    <row r="15651" spans="9:10" x14ac:dyDescent="0.2">
      <c r="I15651" s="1125"/>
      <c r="J15651" s="1125"/>
    </row>
    <row r="15652" spans="9:10" x14ac:dyDescent="0.2">
      <c r="I15652" s="1125"/>
      <c r="J15652" s="1125"/>
    </row>
    <row r="15653" spans="9:10" x14ac:dyDescent="0.2">
      <c r="I15653" s="1125"/>
      <c r="J15653" s="1125"/>
    </row>
    <row r="15654" spans="9:10" x14ac:dyDescent="0.2">
      <c r="I15654" s="1125"/>
      <c r="J15654" s="1125"/>
    </row>
    <row r="15655" spans="9:10" x14ac:dyDescent="0.2">
      <c r="I15655" s="1125"/>
      <c r="J15655" s="1125"/>
    </row>
    <row r="15656" spans="9:10" x14ac:dyDescent="0.2">
      <c r="I15656" s="1125"/>
      <c r="J15656" s="1125"/>
    </row>
    <row r="15657" spans="9:10" x14ac:dyDescent="0.2">
      <c r="I15657" s="1125"/>
      <c r="J15657" s="1125"/>
    </row>
    <row r="15658" spans="9:10" x14ac:dyDescent="0.2">
      <c r="I15658" s="1125"/>
      <c r="J15658" s="1125"/>
    </row>
    <row r="15659" spans="9:10" x14ac:dyDescent="0.2">
      <c r="I15659" s="1125"/>
      <c r="J15659" s="1125"/>
    </row>
    <row r="15660" spans="9:10" x14ac:dyDescent="0.2">
      <c r="I15660" s="1125"/>
      <c r="J15660" s="1125"/>
    </row>
    <row r="15661" spans="9:10" x14ac:dyDescent="0.2">
      <c r="I15661" s="1125"/>
      <c r="J15661" s="1125"/>
    </row>
    <row r="15662" spans="9:10" x14ac:dyDescent="0.2">
      <c r="I15662" s="1125"/>
      <c r="J15662" s="1125"/>
    </row>
    <row r="15663" spans="9:10" x14ac:dyDescent="0.2">
      <c r="I15663" s="1125"/>
      <c r="J15663" s="1125"/>
    </row>
    <row r="15664" spans="9:10" x14ac:dyDescent="0.2">
      <c r="I15664" s="1125"/>
      <c r="J15664" s="1125"/>
    </row>
    <row r="15665" spans="9:10" x14ac:dyDescent="0.2">
      <c r="I15665" s="1125"/>
      <c r="J15665" s="1125"/>
    </row>
    <row r="15666" spans="9:10" x14ac:dyDescent="0.2">
      <c r="I15666" s="1125"/>
      <c r="J15666" s="1125"/>
    </row>
    <row r="15667" spans="9:10" x14ac:dyDescent="0.2">
      <c r="I15667" s="1125"/>
      <c r="J15667" s="1125"/>
    </row>
    <row r="15668" spans="9:10" x14ac:dyDescent="0.2">
      <c r="I15668" s="1125"/>
      <c r="J15668" s="1125"/>
    </row>
    <row r="15669" spans="9:10" x14ac:dyDescent="0.2">
      <c r="I15669" s="1125"/>
      <c r="J15669" s="1125"/>
    </row>
    <row r="15670" spans="9:10" x14ac:dyDescent="0.2">
      <c r="I15670" s="1125"/>
      <c r="J15670" s="1125"/>
    </row>
    <row r="15671" spans="9:10" x14ac:dyDescent="0.2">
      <c r="I15671" s="1125"/>
      <c r="J15671" s="1125"/>
    </row>
    <row r="15672" spans="9:10" x14ac:dyDescent="0.2">
      <c r="I15672" s="1125"/>
      <c r="J15672" s="1125"/>
    </row>
    <row r="15673" spans="9:10" x14ac:dyDescent="0.2">
      <c r="I15673" s="1125"/>
      <c r="J15673" s="1125"/>
    </row>
    <row r="15674" spans="9:10" x14ac:dyDescent="0.2">
      <c r="I15674" s="1125"/>
      <c r="J15674" s="1125"/>
    </row>
    <row r="15675" spans="9:10" x14ac:dyDescent="0.2">
      <c r="I15675" s="1125"/>
      <c r="J15675" s="1125"/>
    </row>
    <row r="15676" spans="9:10" x14ac:dyDescent="0.2">
      <c r="I15676" s="1125"/>
      <c r="J15676" s="1125"/>
    </row>
    <row r="15677" spans="9:10" x14ac:dyDescent="0.2">
      <c r="I15677" s="1125"/>
      <c r="J15677" s="1125"/>
    </row>
    <row r="15678" spans="9:10" x14ac:dyDescent="0.2">
      <c r="I15678" s="1125"/>
      <c r="J15678" s="1125"/>
    </row>
    <row r="15679" spans="9:10" x14ac:dyDescent="0.2">
      <c r="I15679" s="1125"/>
      <c r="J15679" s="1125"/>
    </row>
    <row r="15680" spans="9:10" x14ac:dyDescent="0.2">
      <c r="I15680" s="1125"/>
      <c r="J15680" s="1125"/>
    </row>
    <row r="15681" spans="9:10" x14ac:dyDescent="0.2">
      <c r="I15681" s="1125"/>
      <c r="J15681" s="1125"/>
    </row>
    <row r="15682" spans="9:10" x14ac:dyDescent="0.2">
      <c r="I15682" s="1125"/>
      <c r="J15682" s="1125"/>
    </row>
    <row r="15683" spans="9:10" x14ac:dyDescent="0.2">
      <c r="I15683" s="1125"/>
      <c r="J15683" s="1125"/>
    </row>
    <row r="15684" spans="9:10" x14ac:dyDescent="0.2">
      <c r="I15684" s="1125"/>
      <c r="J15684" s="1125"/>
    </row>
    <row r="15685" spans="9:10" x14ac:dyDescent="0.2">
      <c r="I15685" s="1125"/>
      <c r="J15685" s="1125"/>
    </row>
    <row r="15686" spans="9:10" x14ac:dyDescent="0.2">
      <c r="I15686" s="1125"/>
      <c r="J15686" s="1125"/>
    </row>
    <row r="15687" spans="9:10" x14ac:dyDescent="0.2">
      <c r="I15687" s="1125"/>
      <c r="J15687" s="1125"/>
    </row>
    <row r="15688" spans="9:10" x14ac:dyDescent="0.2">
      <c r="I15688" s="1125"/>
      <c r="J15688" s="1125"/>
    </row>
    <row r="15689" spans="9:10" x14ac:dyDescent="0.2">
      <c r="I15689" s="1125"/>
      <c r="J15689" s="1125"/>
    </row>
    <row r="15690" spans="9:10" x14ac:dyDescent="0.2">
      <c r="I15690" s="1125"/>
      <c r="J15690" s="1125"/>
    </row>
    <row r="15691" spans="9:10" x14ac:dyDescent="0.2">
      <c r="I15691" s="1125"/>
      <c r="J15691" s="1125"/>
    </row>
    <row r="15692" spans="9:10" x14ac:dyDescent="0.2">
      <c r="I15692" s="1125"/>
      <c r="J15692" s="1125"/>
    </row>
    <row r="15693" spans="9:10" x14ac:dyDescent="0.2">
      <c r="I15693" s="1125"/>
      <c r="J15693" s="1125"/>
    </row>
    <row r="15694" spans="9:10" x14ac:dyDescent="0.2">
      <c r="I15694" s="1125"/>
      <c r="J15694" s="1125"/>
    </row>
    <row r="15695" spans="9:10" x14ac:dyDescent="0.2">
      <c r="I15695" s="1125"/>
      <c r="J15695" s="1125"/>
    </row>
    <row r="15696" spans="9:10" x14ac:dyDescent="0.2">
      <c r="I15696" s="1125"/>
      <c r="J15696" s="1125"/>
    </row>
    <row r="15697" spans="9:10" x14ac:dyDescent="0.2">
      <c r="I15697" s="1125"/>
      <c r="J15697" s="1125"/>
    </row>
    <row r="15698" spans="9:10" x14ac:dyDescent="0.2">
      <c r="I15698" s="1125"/>
      <c r="J15698" s="1125"/>
    </row>
    <row r="15699" spans="9:10" x14ac:dyDescent="0.2">
      <c r="I15699" s="1125"/>
      <c r="J15699" s="1125"/>
    </row>
    <row r="15700" spans="9:10" x14ac:dyDescent="0.2">
      <c r="I15700" s="1125"/>
      <c r="J15700" s="1125"/>
    </row>
    <row r="15701" spans="9:10" x14ac:dyDescent="0.2">
      <c r="I15701" s="1125"/>
      <c r="J15701" s="1125"/>
    </row>
    <row r="15702" spans="9:10" x14ac:dyDescent="0.2">
      <c r="I15702" s="1125"/>
      <c r="J15702" s="1125"/>
    </row>
    <row r="15703" spans="9:10" x14ac:dyDescent="0.2">
      <c r="I15703" s="1125"/>
      <c r="J15703" s="1125"/>
    </row>
    <row r="15704" spans="9:10" x14ac:dyDescent="0.2">
      <c r="I15704" s="1125"/>
      <c r="J15704" s="1125"/>
    </row>
    <row r="15705" spans="9:10" x14ac:dyDescent="0.2">
      <c r="I15705" s="1125"/>
      <c r="J15705" s="1125"/>
    </row>
    <row r="15706" spans="9:10" x14ac:dyDescent="0.2">
      <c r="I15706" s="1125"/>
      <c r="J15706" s="1125"/>
    </row>
    <row r="15707" spans="9:10" x14ac:dyDescent="0.2">
      <c r="I15707" s="1125"/>
      <c r="J15707" s="1125"/>
    </row>
    <row r="15708" spans="9:10" x14ac:dyDescent="0.2">
      <c r="I15708" s="1125"/>
      <c r="J15708" s="1125"/>
    </row>
    <row r="15709" spans="9:10" x14ac:dyDescent="0.2">
      <c r="I15709" s="1125"/>
      <c r="J15709" s="1125"/>
    </row>
    <row r="15710" spans="9:10" x14ac:dyDescent="0.2">
      <c r="I15710" s="1125"/>
      <c r="J15710" s="1125"/>
    </row>
    <row r="15711" spans="9:10" x14ac:dyDescent="0.2">
      <c r="I15711" s="1125"/>
      <c r="J15711" s="1125"/>
    </row>
    <row r="15712" spans="9:10" x14ac:dyDescent="0.2">
      <c r="I15712" s="1125"/>
      <c r="J15712" s="1125"/>
    </row>
    <row r="15713" spans="9:10" x14ac:dyDescent="0.2">
      <c r="I15713" s="1125"/>
      <c r="J15713" s="1125"/>
    </row>
    <row r="15714" spans="9:10" x14ac:dyDescent="0.2">
      <c r="I15714" s="1125"/>
      <c r="J15714" s="1125"/>
    </row>
    <row r="15715" spans="9:10" x14ac:dyDescent="0.2">
      <c r="I15715" s="1125"/>
      <c r="J15715" s="1125"/>
    </row>
    <row r="15716" spans="9:10" x14ac:dyDescent="0.2">
      <c r="I15716" s="1125"/>
      <c r="J15716" s="1125"/>
    </row>
    <row r="15717" spans="9:10" x14ac:dyDescent="0.2">
      <c r="I15717" s="1125"/>
      <c r="J15717" s="1125"/>
    </row>
    <row r="15718" spans="9:10" x14ac:dyDescent="0.2">
      <c r="I15718" s="1125"/>
      <c r="J15718" s="1125"/>
    </row>
    <row r="15719" spans="9:10" x14ac:dyDescent="0.2">
      <c r="I15719" s="1125"/>
      <c r="J15719" s="1125"/>
    </row>
    <row r="15720" spans="9:10" x14ac:dyDescent="0.2">
      <c r="I15720" s="1125"/>
      <c r="J15720" s="1125"/>
    </row>
    <row r="15721" spans="9:10" x14ac:dyDescent="0.2">
      <c r="I15721" s="1125"/>
      <c r="J15721" s="1125"/>
    </row>
    <row r="15722" spans="9:10" x14ac:dyDescent="0.2">
      <c r="I15722" s="1125"/>
      <c r="J15722" s="1125"/>
    </row>
    <row r="15723" spans="9:10" x14ac:dyDescent="0.2">
      <c r="I15723" s="1125"/>
      <c r="J15723" s="1125"/>
    </row>
    <row r="15724" spans="9:10" x14ac:dyDescent="0.2">
      <c r="I15724" s="1125"/>
      <c r="J15724" s="1125"/>
    </row>
    <row r="15725" spans="9:10" x14ac:dyDescent="0.2">
      <c r="I15725" s="1125"/>
      <c r="J15725" s="1125"/>
    </row>
    <row r="15726" spans="9:10" x14ac:dyDescent="0.2">
      <c r="I15726" s="1125"/>
      <c r="J15726" s="1125"/>
    </row>
    <row r="15727" spans="9:10" x14ac:dyDescent="0.2">
      <c r="I15727" s="1125"/>
      <c r="J15727" s="1125"/>
    </row>
    <row r="15728" spans="9:10" x14ac:dyDescent="0.2">
      <c r="I15728" s="1125"/>
      <c r="J15728" s="1125"/>
    </row>
    <row r="15729" spans="9:10" x14ac:dyDescent="0.2">
      <c r="I15729" s="1125"/>
      <c r="J15729" s="1125"/>
    </row>
    <row r="15730" spans="9:10" x14ac:dyDescent="0.2">
      <c r="I15730" s="1125"/>
      <c r="J15730" s="1125"/>
    </row>
    <row r="15731" spans="9:10" x14ac:dyDescent="0.2">
      <c r="I15731" s="1125"/>
      <c r="J15731" s="1125"/>
    </row>
    <row r="15732" spans="9:10" x14ac:dyDescent="0.2">
      <c r="I15732" s="1125"/>
      <c r="J15732" s="1125"/>
    </row>
    <row r="15733" spans="9:10" x14ac:dyDescent="0.2">
      <c r="I15733" s="1125"/>
      <c r="J15733" s="1125"/>
    </row>
    <row r="15734" spans="9:10" x14ac:dyDescent="0.2">
      <c r="I15734" s="1125"/>
      <c r="J15734" s="1125"/>
    </row>
    <row r="15735" spans="9:10" x14ac:dyDescent="0.2">
      <c r="I15735" s="1125"/>
      <c r="J15735" s="1125"/>
    </row>
    <row r="15736" spans="9:10" x14ac:dyDescent="0.2">
      <c r="I15736" s="1125"/>
      <c r="J15736" s="1125"/>
    </row>
    <row r="15737" spans="9:10" x14ac:dyDescent="0.2">
      <c r="I15737" s="1125"/>
      <c r="J15737" s="1125"/>
    </row>
    <row r="15738" spans="9:10" x14ac:dyDescent="0.2">
      <c r="I15738" s="1125"/>
      <c r="J15738" s="1125"/>
    </row>
    <row r="15739" spans="9:10" x14ac:dyDescent="0.2">
      <c r="I15739" s="1125"/>
      <c r="J15739" s="1125"/>
    </row>
    <row r="15740" spans="9:10" x14ac:dyDescent="0.2">
      <c r="I15740" s="1125"/>
      <c r="J15740" s="1125"/>
    </row>
    <row r="15741" spans="9:10" x14ac:dyDescent="0.2">
      <c r="I15741" s="1125"/>
      <c r="J15741" s="1125"/>
    </row>
    <row r="15742" spans="9:10" x14ac:dyDescent="0.2">
      <c r="I15742" s="1125"/>
      <c r="J15742" s="1125"/>
    </row>
    <row r="15743" spans="9:10" x14ac:dyDescent="0.2">
      <c r="I15743" s="1125"/>
      <c r="J15743" s="1125"/>
    </row>
    <row r="15744" spans="9:10" x14ac:dyDescent="0.2">
      <c r="I15744" s="1125"/>
      <c r="J15744" s="1125"/>
    </row>
    <row r="15745" spans="9:10" x14ac:dyDescent="0.2">
      <c r="I15745" s="1125"/>
      <c r="J15745" s="1125"/>
    </row>
    <row r="15746" spans="9:10" x14ac:dyDescent="0.2">
      <c r="I15746" s="1125"/>
      <c r="J15746" s="1125"/>
    </row>
    <row r="15747" spans="9:10" x14ac:dyDescent="0.2">
      <c r="I15747" s="1125"/>
      <c r="J15747" s="1125"/>
    </row>
    <row r="15748" spans="9:10" x14ac:dyDescent="0.2">
      <c r="I15748" s="1125"/>
      <c r="J15748" s="1125"/>
    </row>
    <row r="15749" spans="9:10" x14ac:dyDescent="0.2">
      <c r="I15749" s="1125"/>
      <c r="J15749" s="1125"/>
    </row>
    <row r="15750" spans="9:10" x14ac:dyDescent="0.2">
      <c r="I15750" s="1125"/>
      <c r="J15750" s="1125"/>
    </row>
    <row r="15751" spans="9:10" x14ac:dyDescent="0.2">
      <c r="I15751" s="1125"/>
      <c r="J15751" s="1125"/>
    </row>
    <row r="15752" spans="9:10" x14ac:dyDescent="0.2">
      <c r="I15752" s="1125"/>
      <c r="J15752" s="1125"/>
    </row>
    <row r="15753" spans="9:10" x14ac:dyDescent="0.2">
      <c r="I15753" s="1125"/>
      <c r="J15753" s="1125"/>
    </row>
    <row r="15754" spans="9:10" x14ac:dyDescent="0.2">
      <c r="I15754" s="1125"/>
      <c r="J15754" s="1125"/>
    </row>
    <row r="15755" spans="9:10" x14ac:dyDescent="0.2">
      <c r="I15755" s="1125"/>
      <c r="J15755" s="1125"/>
    </row>
    <row r="15756" spans="9:10" x14ac:dyDescent="0.2">
      <c r="I15756" s="1125"/>
      <c r="J15756" s="1125"/>
    </row>
    <row r="15757" spans="9:10" x14ac:dyDescent="0.2">
      <c r="I15757" s="1125"/>
      <c r="J15757" s="1125"/>
    </row>
    <row r="15758" spans="9:10" x14ac:dyDescent="0.2">
      <c r="I15758" s="1125"/>
      <c r="J15758" s="1125"/>
    </row>
    <row r="15759" spans="9:10" x14ac:dyDescent="0.2">
      <c r="I15759" s="1125"/>
      <c r="J15759" s="1125"/>
    </row>
    <row r="15760" spans="9:10" x14ac:dyDescent="0.2">
      <c r="I15760" s="1125"/>
      <c r="J15760" s="1125"/>
    </row>
    <row r="15761" spans="9:10" x14ac:dyDescent="0.2">
      <c r="I15761" s="1125"/>
      <c r="J15761" s="1125"/>
    </row>
    <row r="15762" spans="9:10" x14ac:dyDescent="0.2">
      <c r="I15762" s="1125"/>
      <c r="J15762" s="1125"/>
    </row>
    <row r="15763" spans="9:10" x14ac:dyDescent="0.2">
      <c r="I15763" s="1125"/>
      <c r="J15763" s="1125"/>
    </row>
    <row r="15764" spans="9:10" x14ac:dyDescent="0.2">
      <c r="I15764" s="1125"/>
      <c r="J15764" s="1125"/>
    </row>
    <row r="15765" spans="9:10" x14ac:dyDescent="0.2">
      <c r="I15765" s="1125"/>
      <c r="J15765" s="1125"/>
    </row>
    <row r="15766" spans="9:10" x14ac:dyDescent="0.2">
      <c r="I15766" s="1125"/>
      <c r="J15766" s="1125"/>
    </row>
    <row r="15767" spans="9:10" x14ac:dyDescent="0.2">
      <c r="I15767" s="1125"/>
      <c r="J15767" s="1125"/>
    </row>
    <row r="15768" spans="9:10" x14ac:dyDescent="0.2">
      <c r="I15768" s="1125"/>
      <c r="J15768" s="1125"/>
    </row>
    <row r="15769" spans="9:10" x14ac:dyDescent="0.2">
      <c r="I15769" s="1125"/>
      <c r="J15769" s="1125"/>
    </row>
    <row r="15770" spans="9:10" x14ac:dyDescent="0.2">
      <c r="I15770" s="1125"/>
      <c r="J15770" s="1125"/>
    </row>
    <row r="15771" spans="9:10" x14ac:dyDescent="0.2">
      <c r="I15771" s="1125"/>
      <c r="J15771" s="1125"/>
    </row>
    <row r="15772" spans="9:10" x14ac:dyDescent="0.2">
      <c r="I15772" s="1125"/>
      <c r="J15772" s="1125"/>
    </row>
    <row r="15773" spans="9:10" x14ac:dyDescent="0.2">
      <c r="I15773" s="1125"/>
      <c r="J15773" s="1125"/>
    </row>
    <row r="15774" spans="9:10" x14ac:dyDescent="0.2">
      <c r="I15774" s="1125"/>
      <c r="J15774" s="1125"/>
    </row>
    <row r="15775" spans="9:10" x14ac:dyDescent="0.2">
      <c r="I15775" s="1125"/>
      <c r="J15775" s="1125"/>
    </row>
    <row r="15776" spans="9:10" x14ac:dyDescent="0.2">
      <c r="I15776" s="1125"/>
      <c r="J15776" s="1125"/>
    </row>
    <row r="15777" spans="9:10" x14ac:dyDescent="0.2">
      <c r="I15777" s="1125"/>
      <c r="J15777" s="1125"/>
    </row>
    <row r="15778" spans="9:10" x14ac:dyDescent="0.2">
      <c r="I15778" s="1125"/>
      <c r="J15778" s="1125"/>
    </row>
    <row r="15779" spans="9:10" x14ac:dyDescent="0.2">
      <c r="I15779" s="1125"/>
      <c r="J15779" s="1125"/>
    </row>
    <row r="15780" spans="9:10" x14ac:dyDescent="0.2">
      <c r="I15780" s="1125"/>
      <c r="J15780" s="1125"/>
    </row>
    <row r="15781" spans="9:10" x14ac:dyDescent="0.2">
      <c r="I15781" s="1125"/>
      <c r="J15781" s="1125"/>
    </row>
    <row r="15782" spans="9:10" x14ac:dyDescent="0.2">
      <c r="I15782" s="1125"/>
      <c r="J15782" s="1125"/>
    </row>
    <row r="15783" spans="9:10" x14ac:dyDescent="0.2">
      <c r="I15783" s="1125"/>
      <c r="J15783" s="1125"/>
    </row>
    <row r="15784" spans="9:10" x14ac:dyDescent="0.2">
      <c r="I15784" s="1125"/>
      <c r="J15784" s="1125"/>
    </row>
    <row r="15785" spans="9:10" x14ac:dyDescent="0.2">
      <c r="I15785" s="1125"/>
      <c r="J15785" s="1125"/>
    </row>
    <row r="15786" spans="9:10" x14ac:dyDescent="0.2">
      <c r="I15786" s="1125"/>
      <c r="J15786" s="1125"/>
    </row>
    <row r="15787" spans="9:10" x14ac:dyDescent="0.2">
      <c r="I15787" s="1125"/>
      <c r="J15787" s="1125"/>
    </row>
    <row r="15788" spans="9:10" x14ac:dyDescent="0.2">
      <c r="I15788" s="1125"/>
      <c r="J15788" s="1125"/>
    </row>
    <row r="15789" spans="9:10" x14ac:dyDescent="0.2">
      <c r="I15789" s="1125"/>
      <c r="J15789" s="1125"/>
    </row>
    <row r="15790" spans="9:10" x14ac:dyDescent="0.2">
      <c r="I15790" s="1125"/>
      <c r="J15790" s="1125"/>
    </row>
    <row r="15791" spans="9:10" x14ac:dyDescent="0.2">
      <c r="I15791" s="1125"/>
      <c r="J15791" s="1125"/>
    </row>
    <row r="15792" spans="9:10" x14ac:dyDescent="0.2">
      <c r="I15792" s="1125"/>
      <c r="J15792" s="1125"/>
    </row>
    <row r="15793" spans="9:10" x14ac:dyDescent="0.2">
      <c r="I15793" s="1125"/>
      <c r="J15793" s="1125"/>
    </row>
    <row r="15794" spans="9:10" x14ac:dyDescent="0.2">
      <c r="I15794" s="1125"/>
      <c r="J15794" s="1125"/>
    </row>
    <row r="15795" spans="9:10" x14ac:dyDescent="0.2">
      <c r="I15795" s="1125"/>
      <c r="J15795" s="1125"/>
    </row>
    <row r="15796" spans="9:10" x14ac:dyDescent="0.2">
      <c r="I15796" s="1125"/>
      <c r="J15796" s="1125"/>
    </row>
    <row r="15797" spans="9:10" x14ac:dyDescent="0.2">
      <c r="I15797" s="1125"/>
      <c r="J15797" s="1125"/>
    </row>
    <row r="15798" spans="9:10" x14ac:dyDescent="0.2">
      <c r="I15798" s="1125"/>
      <c r="J15798" s="1125"/>
    </row>
    <row r="15799" spans="9:10" x14ac:dyDescent="0.2">
      <c r="I15799" s="1125"/>
      <c r="J15799" s="1125"/>
    </row>
    <row r="15800" spans="9:10" x14ac:dyDescent="0.2">
      <c r="I15800" s="1125"/>
      <c r="J15800" s="1125"/>
    </row>
    <row r="15801" spans="9:10" x14ac:dyDescent="0.2">
      <c r="I15801" s="1125"/>
      <c r="J15801" s="1125"/>
    </row>
    <row r="15802" spans="9:10" x14ac:dyDescent="0.2">
      <c r="I15802" s="1125"/>
      <c r="J15802" s="1125"/>
    </row>
    <row r="15803" spans="9:10" x14ac:dyDescent="0.2">
      <c r="I15803" s="1125"/>
      <c r="J15803" s="1125"/>
    </row>
    <row r="15804" spans="9:10" x14ac:dyDescent="0.2">
      <c r="I15804" s="1125"/>
      <c r="J15804" s="1125"/>
    </row>
    <row r="15805" spans="9:10" x14ac:dyDescent="0.2">
      <c r="I15805" s="1125"/>
      <c r="J15805" s="1125"/>
    </row>
    <row r="15806" spans="9:10" x14ac:dyDescent="0.2">
      <c r="I15806" s="1125"/>
      <c r="J15806" s="1125"/>
    </row>
    <row r="15807" spans="9:10" x14ac:dyDescent="0.2">
      <c r="I15807" s="1125"/>
      <c r="J15807" s="1125"/>
    </row>
    <row r="15808" spans="9:10" x14ac:dyDescent="0.2">
      <c r="I15808" s="1125"/>
      <c r="J15808" s="1125"/>
    </row>
    <row r="15809" spans="9:10" x14ac:dyDescent="0.2">
      <c r="I15809" s="1125"/>
      <c r="J15809" s="1125"/>
    </row>
    <row r="15810" spans="9:10" x14ac:dyDescent="0.2">
      <c r="I15810" s="1125"/>
      <c r="J15810" s="1125"/>
    </row>
    <row r="15811" spans="9:10" x14ac:dyDescent="0.2">
      <c r="I15811" s="1125"/>
      <c r="J15811" s="1125"/>
    </row>
    <row r="15812" spans="9:10" x14ac:dyDescent="0.2">
      <c r="I15812" s="1125"/>
      <c r="J15812" s="1125"/>
    </row>
    <row r="15813" spans="9:10" x14ac:dyDescent="0.2">
      <c r="I15813" s="1125"/>
      <c r="J15813" s="1125"/>
    </row>
    <row r="15814" spans="9:10" x14ac:dyDescent="0.2">
      <c r="I15814" s="1125"/>
      <c r="J15814" s="1125"/>
    </row>
    <row r="15815" spans="9:10" x14ac:dyDescent="0.2">
      <c r="I15815" s="1125"/>
      <c r="J15815" s="1125"/>
    </row>
    <row r="15816" spans="9:10" x14ac:dyDescent="0.2">
      <c r="I15816" s="1125"/>
      <c r="J15816" s="1125"/>
    </row>
    <row r="15817" spans="9:10" x14ac:dyDescent="0.2">
      <c r="I15817" s="1125"/>
      <c r="J15817" s="1125"/>
    </row>
    <row r="15818" spans="9:10" x14ac:dyDescent="0.2">
      <c r="I15818" s="1125"/>
      <c r="J15818" s="1125"/>
    </row>
    <row r="15819" spans="9:10" x14ac:dyDescent="0.2">
      <c r="I15819" s="1125"/>
      <c r="J15819" s="1125"/>
    </row>
    <row r="15820" spans="9:10" x14ac:dyDescent="0.2">
      <c r="I15820" s="1125"/>
      <c r="J15820" s="1125"/>
    </row>
    <row r="15821" spans="9:10" x14ac:dyDescent="0.2">
      <c r="I15821" s="1125"/>
      <c r="J15821" s="1125"/>
    </row>
    <row r="15822" spans="9:10" x14ac:dyDescent="0.2">
      <c r="I15822" s="1125"/>
      <c r="J15822" s="1125"/>
    </row>
    <row r="15823" spans="9:10" x14ac:dyDescent="0.2">
      <c r="I15823" s="1125"/>
      <c r="J15823" s="1125"/>
    </row>
    <row r="15824" spans="9:10" x14ac:dyDescent="0.2">
      <c r="I15824" s="1125"/>
      <c r="J15824" s="1125"/>
    </row>
    <row r="15825" spans="9:10" x14ac:dyDescent="0.2">
      <c r="I15825" s="1125"/>
      <c r="J15825" s="1125"/>
    </row>
    <row r="15826" spans="9:10" x14ac:dyDescent="0.2">
      <c r="I15826" s="1125"/>
      <c r="J15826" s="1125"/>
    </row>
    <row r="15827" spans="9:10" x14ac:dyDescent="0.2">
      <c r="I15827" s="1125"/>
      <c r="J15827" s="1125"/>
    </row>
    <row r="15828" spans="9:10" x14ac:dyDescent="0.2">
      <c r="I15828" s="1125"/>
      <c r="J15828" s="1125"/>
    </row>
    <row r="15829" spans="9:10" x14ac:dyDescent="0.2">
      <c r="I15829" s="1125"/>
      <c r="J15829" s="1125"/>
    </row>
    <row r="15830" spans="9:10" x14ac:dyDescent="0.2">
      <c r="I15830" s="1125"/>
      <c r="J15830" s="1125"/>
    </row>
    <row r="15831" spans="9:10" x14ac:dyDescent="0.2">
      <c r="I15831" s="1125"/>
      <c r="J15831" s="1125"/>
    </row>
    <row r="15832" spans="9:10" x14ac:dyDescent="0.2">
      <c r="I15832" s="1125"/>
      <c r="J15832" s="1125"/>
    </row>
    <row r="15833" spans="9:10" x14ac:dyDescent="0.2">
      <c r="I15833" s="1125"/>
      <c r="J15833" s="1125"/>
    </row>
    <row r="15834" spans="9:10" x14ac:dyDescent="0.2">
      <c r="I15834" s="1125"/>
      <c r="J15834" s="1125"/>
    </row>
    <row r="15835" spans="9:10" x14ac:dyDescent="0.2">
      <c r="I15835" s="1125"/>
      <c r="J15835" s="1125"/>
    </row>
    <row r="15836" spans="9:10" x14ac:dyDescent="0.2">
      <c r="I15836" s="1125"/>
      <c r="J15836" s="1125"/>
    </row>
    <row r="15837" spans="9:10" x14ac:dyDescent="0.2">
      <c r="I15837" s="1125"/>
      <c r="J15837" s="1125"/>
    </row>
    <row r="15838" spans="9:10" x14ac:dyDescent="0.2">
      <c r="I15838" s="1125"/>
      <c r="J15838" s="1125"/>
    </row>
    <row r="15839" spans="9:10" x14ac:dyDescent="0.2">
      <c r="I15839" s="1125"/>
      <c r="J15839" s="1125"/>
    </row>
    <row r="15840" spans="9:10" x14ac:dyDescent="0.2">
      <c r="I15840" s="1125"/>
      <c r="J15840" s="1125"/>
    </row>
    <row r="15841" spans="9:10" x14ac:dyDescent="0.2">
      <c r="I15841" s="1125"/>
      <c r="J15841" s="1125"/>
    </row>
    <row r="15842" spans="9:10" x14ac:dyDescent="0.2">
      <c r="I15842" s="1125"/>
      <c r="J15842" s="1125"/>
    </row>
    <row r="15843" spans="9:10" x14ac:dyDescent="0.2">
      <c r="I15843" s="1125"/>
      <c r="J15843" s="1125"/>
    </row>
    <row r="15844" spans="9:10" x14ac:dyDescent="0.2">
      <c r="I15844" s="1125"/>
      <c r="J15844" s="1125"/>
    </row>
    <row r="15845" spans="9:10" x14ac:dyDescent="0.2">
      <c r="I15845" s="1125"/>
      <c r="J15845" s="1125"/>
    </row>
    <row r="15846" spans="9:10" x14ac:dyDescent="0.2">
      <c r="I15846" s="1125"/>
      <c r="J15846" s="1125"/>
    </row>
    <row r="15847" spans="9:10" x14ac:dyDescent="0.2">
      <c r="I15847" s="1125"/>
      <c r="J15847" s="1125"/>
    </row>
    <row r="15848" spans="9:10" x14ac:dyDescent="0.2">
      <c r="I15848" s="1125"/>
      <c r="J15848" s="1125"/>
    </row>
    <row r="15849" spans="9:10" x14ac:dyDescent="0.2">
      <c r="I15849" s="1125"/>
      <c r="J15849" s="1125"/>
    </row>
    <row r="15850" spans="9:10" x14ac:dyDescent="0.2">
      <c r="I15850" s="1125"/>
      <c r="J15850" s="1125"/>
    </row>
    <row r="15851" spans="9:10" x14ac:dyDescent="0.2">
      <c r="I15851" s="1125"/>
      <c r="J15851" s="1125"/>
    </row>
    <row r="15852" spans="9:10" x14ac:dyDescent="0.2">
      <c r="I15852" s="1125"/>
      <c r="J15852" s="1125"/>
    </row>
    <row r="15853" spans="9:10" x14ac:dyDescent="0.2">
      <c r="I15853" s="1125"/>
      <c r="J15853" s="1125"/>
    </row>
    <row r="15854" spans="9:10" x14ac:dyDescent="0.2">
      <c r="I15854" s="1125"/>
      <c r="J15854" s="1125"/>
    </row>
    <row r="15855" spans="9:10" x14ac:dyDescent="0.2">
      <c r="I15855" s="1125"/>
      <c r="J15855" s="1125"/>
    </row>
    <row r="15856" spans="9:10" x14ac:dyDescent="0.2">
      <c r="I15856" s="1125"/>
      <c r="J15856" s="1125"/>
    </row>
    <row r="15857" spans="9:10" x14ac:dyDescent="0.2">
      <c r="I15857" s="1125"/>
      <c r="J15857" s="1125"/>
    </row>
    <row r="15858" spans="9:10" x14ac:dyDescent="0.2">
      <c r="I15858" s="1125"/>
      <c r="J15858" s="1125"/>
    </row>
    <row r="15859" spans="9:10" x14ac:dyDescent="0.2">
      <c r="I15859" s="1125"/>
      <c r="J15859" s="1125"/>
    </row>
    <row r="15860" spans="9:10" x14ac:dyDescent="0.2">
      <c r="I15860" s="1125"/>
      <c r="J15860" s="1125"/>
    </row>
    <row r="15861" spans="9:10" x14ac:dyDescent="0.2">
      <c r="I15861" s="1125"/>
      <c r="J15861" s="1125"/>
    </row>
    <row r="15862" spans="9:10" x14ac:dyDescent="0.2">
      <c r="I15862" s="1125"/>
      <c r="J15862" s="1125"/>
    </row>
    <row r="15863" spans="9:10" x14ac:dyDescent="0.2">
      <c r="I15863" s="1125"/>
      <c r="J15863" s="1125"/>
    </row>
    <row r="15864" spans="9:10" x14ac:dyDescent="0.2">
      <c r="I15864" s="1125"/>
      <c r="J15864" s="1125"/>
    </row>
    <row r="15865" spans="9:10" x14ac:dyDescent="0.2">
      <c r="I15865" s="1125"/>
      <c r="J15865" s="1125"/>
    </row>
    <row r="15866" spans="9:10" x14ac:dyDescent="0.2">
      <c r="I15866" s="1125"/>
      <c r="J15866" s="1125"/>
    </row>
    <row r="15867" spans="9:10" x14ac:dyDescent="0.2">
      <c r="I15867" s="1125"/>
      <c r="J15867" s="1125"/>
    </row>
    <row r="15868" spans="9:10" x14ac:dyDescent="0.2">
      <c r="I15868" s="1125"/>
      <c r="J15868" s="1125"/>
    </row>
    <row r="15869" spans="9:10" x14ac:dyDescent="0.2">
      <c r="I15869" s="1125"/>
      <c r="J15869" s="1125"/>
    </row>
    <row r="15870" spans="9:10" x14ac:dyDescent="0.2">
      <c r="I15870" s="1125"/>
      <c r="J15870" s="1125"/>
    </row>
    <row r="15871" spans="9:10" x14ac:dyDescent="0.2">
      <c r="I15871" s="1125"/>
      <c r="J15871" s="1125"/>
    </row>
    <row r="15872" spans="9:10" x14ac:dyDescent="0.2">
      <c r="I15872" s="1125"/>
      <c r="J15872" s="1125"/>
    </row>
    <row r="15873" spans="9:10" x14ac:dyDescent="0.2">
      <c r="I15873" s="1125"/>
      <c r="J15873" s="1125"/>
    </row>
    <row r="15874" spans="9:10" x14ac:dyDescent="0.2">
      <c r="I15874" s="1125"/>
      <c r="J15874" s="1125"/>
    </row>
    <row r="15875" spans="9:10" x14ac:dyDescent="0.2">
      <c r="I15875" s="1125"/>
      <c r="J15875" s="1125"/>
    </row>
    <row r="15876" spans="9:10" x14ac:dyDescent="0.2">
      <c r="I15876" s="1125"/>
      <c r="J15876" s="1125"/>
    </row>
    <row r="15877" spans="9:10" x14ac:dyDescent="0.2">
      <c r="I15877" s="1125"/>
      <c r="J15877" s="1125"/>
    </row>
    <row r="15878" spans="9:10" x14ac:dyDescent="0.2">
      <c r="I15878" s="1125"/>
      <c r="J15878" s="1125"/>
    </row>
    <row r="15879" spans="9:10" x14ac:dyDescent="0.2">
      <c r="I15879" s="1125"/>
      <c r="J15879" s="1125"/>
    </row>
    <row r="15880" spans="9:10" x14ac:dyDescent="0.2">
      <c r="I15880" s="1125"/>
      <c r="J15880" s="1125"/>
    </row>
    <row r="15881" spans="9:10" x14ac:dyDescent="0.2">
      <c r="I15881" s="1125"/>
      <c r="J15881" s="1125"/>
    </row>
    <row r="15882" spans="9:10" x14ac:dyDescent="0.2">
      <c r="I15882" s="1125"/>
      <c r="J15882" s="1125"/>
    </row>
    <row r="15883" spans="9:10" x14ac:dyDescent="0.2">
      <c r="I15883" s="1125"/>
      <c r="J15883" s="1125"/>
    </row>
    <row r="15884" spans="9:10" x14ac:dyDescent="0.2">
      <c r="I15884" s="1125"/>
      <c r="J15884" s="1125"/>
    </row>
    <row r="15885" spans="9:10" x14ac:dyDescent="0.2">
      <c r="I15885" s="1125"/>
      <c r="J15885" s="1125"/>
    </row>
    <row r="15886" spans="9:10" x14ac:dyDescent="0.2">
      <c r="I15886" s="1125"/>
      <c r="J15886" s="1125"/>
    </row>
    <row r="15887" spans="9:10" x14ac:dyDescent="0.2">
      <c r="I15887" s="1125"/>
      <c r="J15887" s="1125"/>
    </row>
    <row r="15888" spans="9:10" x14ac:dyDescent="0.2">
      <c r="I15888" s="1125"/>
      <c r="J15888" s="1125"/>
    </row>
    <row r="15889" spans="9:10" x14ac:dyDescent="0.2">
      <c r="I15889" s="1125"/>
      <c r="J15889" s="1125"/>
    </row>
    <row r="15890" spans="9:10" x14ac:dyDescent="0.2">
      <c r="I15890" s="1125"/>
      <c r="J15890" s="1125"/>
    </row>
    <row r="15891" spans="9:10" x14ac:dyDescent="0.2">
      <c r="I15891" s="1125"/>
      <c r="J15891" s="1125"/>
    </row>
    <row r="15892" spans="9:10" x14ac:dyDescent="0.2">
      <c r="I15892" s="1125"/>
      <c r="J15892" s="1125"/>
    </row>
    <row r="15893" spans="9:10" x14ac:dyDescent="0.2">
      <c r="I15893" s="1125"/>
      <c r="J15893" s="1125"/>
    </row>
    <row r="15894" spans="9:10" x14ac:dyDescent="0.2">
      <c r="I15894" s="1125"/>
      <c r="J15894" s="1125"/>
    </row>
    <row r="15895" spans="9:10" x14ac:dyDescent="0.2">
      <c r="I15895" s="1125"/>
      <c r="J15895" s="1125"/>
    </row>
    <row r="15896" spans="9:10" x14ac:dyDescent="0.2">
      <c r="I15896" s="1125"/>
      <c r="J15896" s="1125"/>
    </row>
    <row r="15897" spans="9:10" x14ac:dyDescent="0.2">
      <c r="I15897" s="1125"/>
      <c r="J15897" s="1125"/>
    </row>
    <row r="15898" spans="9:10" x14ac:dyDescent="0.2">
      <c r="I15898" s="1125"/>
      <c r="J15898" s="1125"/>
    </row>
    <row r="15899" spans="9:10" x14ac:dyDescent="0.2">
      <c r="I15899" s="1125"/>
      <c r="J15899" s="1125"/>
    </row>
    <row r="15900" spans="9:10" x14ac:dyDescent="0.2">
      <c r="I15900" s="1125"/>
      <c r="J15900" s="1125"/>
    </row>
    <row r="15901" spans="9:10" x14ac:dyDescent="0.2">
      <c r="I15901" s="1125"/>
      <c r="J15901" s="1125"/>
    </row>
    <row r="15902" spans="9:10" x14ac:dyDescent="0.2">
      <c r="I15902" s="1125"/>
      <c r="J15902" s="1125"/>
    </row>
    <row r="15903" spans="9:10" x14ac:dyDescent="0.2">
      <c r="I15903" s="1125"/>
      <c r="J15903" s="1125"/>
    </row>
    <row r="15904" spans="9:10" x14ac:dyDescent="0.2">
      <c r="I15904" s="1125"/>
      <c r="J15904" s="1125"/>
    </row>
    <row r="15905" spans="9:10" x14ac:dyDescent="0.2">
      <c r="I15905" s="1125"/>
      <c r="J15905" s="1125"/>
    </row>
    <row r="15906" spans="9:10" x14ac:dyDescent="0.2">
      <c r="I15906" s="1125"/>
      <c r="J15906" s="1125"/>
    </row>
    <row r="15907" spans="9:10" x14ac:dyDescent="0.2">
      <c r="I15907" s="1125"/>
      <c r="J15907" s="1125"/>
    </row>
    <row r="15908" spans="9:10" x14ac:dyDescent="0.2">
      <c r="I15908" s="1125"/>
      <c r="J15908" s="1125"/>
    </row>
    <row r="15909" spans="9:10" x14ac:dyDescent="0.2">
      <c r="I15909" s="1125"/>
      <c r="J15909" s="1125"/>
    </row>
    <row r="15910" spans="9:10" x14ac:dyDescent="0.2">
      <c r="I15910" s="1125"/>
      <c r="J15910" s="1125"/>
    </row>
    <row r="15911" spans="9:10" x14ac:dyDescent="0.2">
      <c r="I15911" s="1125"/>
      <c r="J15911" s="1125"/>
    </row>
    <row r="15912" spans="9:10" x14ac:dyDescent="0.2">
      <c r="I15912" s="1125"/>
      <c r="J15912" s="1125"/>
    </row>
    <row r="15913" spans="9:10" x14ac:dyDescent="0.2">
      <c r="I15913" s="1125"/>
      <c r="J15913" s="1125"/>
    </row>
    <row r="15914" spans="9:10" x14ac:dyDescent="0.2">
      <c r="I15914" s="1125"/>
      <c r="J15914" s="1125"/>
    </row>
    <row r="15915" spans="9:10" x14ac:dyDescent="0.2">
      <c r="I15915" s="1125"/>
      <c r="J15915" s="1125"/>
    </row>
    <row r="15916" spans="9:10" x14ac:dyDescent="0.2">
      <c r="I15916" s="1125"/>
      <c r="J15916" s="1125"/>
    </row>
    <row r="15917" spans="9:10" x14ac:dyDescent="0.2">
      <c r="I15917" s="1125"/>
      <c r="J15917" s="1125"/>
    </row>
    <row r="15918" spans="9:10" x14ac:dyDescent="0.2">
      <c r="I15918" s="1125"/>
      <c r="J15918" s="1125"/>
    </row>
    <row r="15919" spans="9:10" x14ac:dyDescent="0.2">
      <c r="I15919" s="1125"/>
      <c r="J15919" s="1125"/>
    </row>
    <row r="15920" spans="9:10" x14ac:dyDescent="0.2">
      <c r="I15920" s="1125"/>
      <c r="J15920" s="1125"/>
    </row>
    <row r="15921" spans="9:10" x14ac:dyDescent="0.2">
      <c r="I15921" s="1125"/>
      <c r="J15921" s="1125"/>
    </row>
    <row r="15922" spans="9:10" x14ac:dyDescent="0.2">
      <c r="I15922" s="1125"/>
      <c r="J15922" s="1125"/>
    </row>
    <row r="15923" spans="9:10" x14ac:dyDescent="0.2">
      <c r="I15923" s="1125"/>
      <c r="J15923" s="1125"/>
    </row>
    <row r="15924" spans="9:10" x14ac:dyDescent="0.2">
      <c r="I15924" s="1125"/>
      <c r="J15924" s="1125"/>
    </row>
    <row r="15925" spans="9:10" x14ac:dyDescent="0.2">
      <c r="I15925" s="1125"/>
      <c r="J15925" s="1125"/>
    </row>
    <row r="15926" spans="9:10" x14ac:dyDescent="0.2">
      <c r="I15926" s="1125"/>
      <c r="J15926" s="1125"/>
    </row>
    <row r="15927" spans="9:10" x14ac:dyDescent="0.2">
      <c r="I15927" s="1125"/>
      <c r="J15927" s="1125"/>
    </row>
    <row r="15928" spans="9:10" x14ac:dyDescent="0.2">
      <c r="I15928" s="1125"/>
      <c r="J15928" s="1125"/>
    </row>
    <row r="15929" spans="9:10" x14ac:dyDescent="0.2">
      <c r="I15929" s="1125"/>
      <c r="J15929" s="1125"/>
    </row>
    <row r="15930" spans="9:10" x14ac:dyDescent="0.2">
      <c r="I15930" s="1125"/>
      <c r="J15930" s="1125"/>
    </row>
    <row r="15931" spans="9:10" x14ac:dyDescent="0.2">
      <c r="I15931" s="1125"/>
      <c r="J15931" s="1125"/>
    </row>
    <row r="15932" spans="9:10" x14ac:dyDescent="0.2">
      <c r="I15932" s="1125"/>
      <c r="J15932" s="1125"/>
    </row>
    <row r="15933" spans="9:10" x14ac:dyDescent="0.2">
      <c r="I15933" s="1125"/>
      <c r="J15933" s="1125"/>
    </row>
    <row r="15934" spans="9:10" x14ac:dyDescent="0.2">
      <c r="I15934" s="1125"/>
      <c r="J15934" s="1125"/>
    </row>
    <row r="15935" spans="9:10" x14ac:dyDescent="0.2">
      <c r="I15935" s="1125"/>
      <c r="J15935" s="1125"/>
    </row>
    <row r="15936" spans="9:10" x14ac:dyDescent="0.2">
      <c r="I15936" s="1125"/>
      <c r="J15936" s="1125"/>
    </row>
    <row r="15937" spans="9:10" x14ac:dyDescent="0.2">
      <c r="I15937" s="1125"/>
      <c r="J15937" s="1125"/>
    </row>
    <row r="15938" spans="9:10" x14ac:dyDescent="0.2">
      <c r="I15938" s="1125"/>
      <c r="J15938" s="1125"/>
    </row>
    <row r="15939" spans="9:10" x14ac:dyDescent="0.2">
      <c r="I15939" s="1125"/>
      <c r="J15939" s="1125"/>
    </row>
    <row r="15940" spans="9:10" x14ac:dyDescent="0.2">
      <c r="I15940" s="1125"/>
      <c r="J15940" s="1125"/>
    </row>
    <row r="15941" spans="9:10" x14ac:dyDescent="0.2">
      <c r="I15941" s="1125"/>
      <c r="J15941" s="1125"/>
    </row>
    <row r="15942" spans="9:10" x14ac:dyDescent="0.2">
      <c r="I15942" s="1125"/>
      <c r="J15942" s="1125"/>
    </row>
    <row r="15943" spans="9:10" x14ac:dyDescent="0.2">
      <c r="I15943" s="1125"/>
      <c r="J15943" s="1125"/>
    </row>
    <row r="15944" spans="9:10" x14ac:dyDescent="0.2">
      <c r="I15944" s="1125"/>
      <c r="J15944" s="1125"/>
    </row>
    <row r="15945" spans="9:10" x14ac:dyDescent="0.2">
      <c r="I15945" s="1125"/>
      <c r="J15945" s="1125"/>
    </row>
    <row r="15946" spans="9:10" x14ac:dyDescent="0.2">
      <c r="I15946" s="1125"/>
      <c r="J15946" s="1125"/>
    </row>
    <row r="15947" spans="9:10" x14ac:dyDescent="0.2">
      <c r="I15947" s="1125"/>
      <c r="J15947" s="1125"/>
    </row>
    <row r="15948" spans="9:10" x14ac:dyDescent="0.2">
      <c r="I15948" s="1125"/>
      <c r="J15948" s="1125"/>
    </row>
    <row r="15949" spans="9:10" x14ac:dyDescent="0.2">
      <c r="I15949" s="1125"/>
      <c r="J15949" s="1125"/>
    </row>
    <row r="15950" spans="9:10" x14ac:dyDescent="0.2">
      <c r="I15950" s="1125"/>
      <c r="J15950" s="1125"/>
    </row>
    <row r="15951" spans="9:10" x14ac:dyDescent="0.2">
      <c r="I15951" s="1125"/>
      <c r="J15951" s="1125"/>
    </row>
    <row r="15952" spans="9:10" x14ac:dyDescent="0.2">
      <c r="I15952" s="1125"/>
      <c r="J15952" s="1125"/>
    </row>
    <row r="15953" spans="9:10" x14ac:dyDescent="0.2">
      <c r="I15953" s="1125"/>
      <c r="J15953" s="1125"/>
    </row>
    <row r="15954" spans="9:10" x14ac:dyDescent="0.2">
      <c r="I15954" s="1125"/>
      <c r="J15954" s="1125"/>
    </row>
    <row r="15955" spans="9:10" x14ac:dyDescent="0.2">
      <c r="I15955" s="1125"/>
      <c r="J15955" s="1125"/>
    </row>
    <row r="15956" spans="9:10" x14ac:dyDescent="0.2">
      <c r="I15956" s="1125"/>
      <c r="J15956" s="1125"/>
    </row>
    <row r="15957" spans="9:10" x14ac:dyDescent="0.2">
      <c r="I15957" s="1125"/>
      <c r="J15957" s="1125"/>
    </row>
    <row r="15958" spans="9:10" x14ac:dyDescent="0.2">
      <c r="I15958" s="1125"/>
      <c r="J15958" s="1125"/>
    </row>
    <row r="15959" spans="9:10" x14ac:dyDescent="0.2">
      <c r="I15959" s="1125"/>
      <c r="J15959" s="1125"/>
    </row>
    <row r="15960" spans="9:10" x14ac:dyDescent="0.2">
      <c r="I15960" s="1125"/>
      <c r="J15960" s="1125"/>
    </row>
    <row r="15961" spans="9:10" x14ac:dyDescent="0.2">
      <c r="I15961" s="1125"/>
      <c r="J15961" s="1125"/>
    </row>
    <row r="15962" spans="9:10" x14ac:dyDescent="0.2">
      <c r="I15962" s="1125"/>
      <c r="J15962" s="1125"/>
    </row>
    <row r="15963" spans="9:10" x14ac:dyDescent="0.2">
      <c r="I15963" s="1125"/>
      <c r="J15963" s="1125"/>
    </row>
    <row r="15964" spans="9:10" x14ac:dyDescent="0.2">
      <c r="I15964" s="1125"/>
      <c r="J15964" s="1125"/>
    </row>
    <row r="15965" spans="9:10" x14ac:dyDescent="0.2">
      <c r="I15965" s="1125"/>
      <c r="J15965" s="1125"/>
    </row>
    <row r="15966" spans="9:10" x14ac:dyDescent="0.2">
      <c r="I15966" s="1125"/>
      <c r="J15966" s="1125"/>
    </row>
    <row r="15967" spans="9:10" x14ac:dyDescent="0.2">
      <c r="I15967" s="1125"/>
      <c r="J15967" s="1125"/>
    </row>
    <row r="15968" spans="9:10" x14ac:dyDescent="0.2">
      <c r="I15968" s="1125"/>
      <c r="J15968" s="1125"/>
    </row>
    <row r="15969" spans="9:10" x14ac:dyDescent="0.2">
      <c r="I15969" s="1125"/>
      <c r="J15969" s="1125"/>
    </row>
    <row r="15970" spans="9:10" x14ac:dyDescent="0.2">
      <c r="I15970" s="1125"/>
      <c r="J15970" s="1125"/>
    </row>
    <row r="15971" spans="9:10" x14ac:dyDescent="0.2">
      <c r="I15971" s="1125"/>
      <c r="J15971" s="1125"/>
    </row>
    <row r="15972" spans="9:10" x14ac:dyDescent="0.2">
      <c r="I15972" s="1125"/>
      <c r="J15972" s="1125"/>
    </row>
    <row r="15973" spans="9:10" x14ac:dyDescent="0.2">
      <c r="I15973" s="1125"/>
      <c r="J15973" s="1125"/>
    </row>
    <row r="15974" spans="9:10" x14ac:dyDescent="0.2">
      <c r="I15974" s="1125"/>
      <c r="J15974" s="1125"/>
    </row>
    <row r="15975" spans="9:10" x14ac:dyDescent="0.2">
      <c r="I15975" s="1125"/>
      <c r="J15975" s="1125"/>
    </row>
    <row r="15976" spans="9:10" x14ac:dyDescent="0.2">
      <c r="I15976" s="1125"/>
      <c r="J15976" s="1125"/>
    </row>
    <row r="15977" spans="9:10" x14ac:dyDescent="0.2">
      <c r="I15977" s="1125"/>
      <c r="J15977" s="1125"/>
    </row>
    <row r="15978" spans="9:10" x14ac:dyDescent="0.2">
      <c r="I15978" s="1125"/>
      <c r="J15978" s="1125"/>
    </row>
    <row r="15979" spans="9:10" x14ac:dyDescent="0.2">
      <c r="I15979" s="1125"/>
      <c r="J15979" s="1125"/>
    </row>
    <row r="15980" spans="9:10" x14ac:dyDescent="0.2">
      <c r="I15980" s="1125"/>
      <c r="J15980" s="1125"/>
    </row>
    <row r="15981" spans="9:10" x14ac:dyDescent="0.2">
      <c r="I15981" s="1125"/>
      <c r="J15981" s="1125"/>
    </row>
    <row r="15982" spans="9:10" x14ac:dyDescent="0.2">
      <c r="I15982" s="1125"/>
      <c r="J15982" s="1125"/>
    </row>
    <row r="15983" spans="9:10" x14ac:dyDescent="0.2">
      <c r="I15983" s="1125"/>
      <c r="J15983" s="1125"/>
    </row>
    <row r="15984" spans="9:10" x14ac:dyDescent="0.2">
      <c r="I15984" s="1125"/>
      <c r="J15984" s="1125"/>
    </row>
    <row r="15985" spans="9:10" x14ac:dyDescent="0.2">
      <c r="I15985" s="1125"/>
      <c r="J15985" s="1125"/>
    </row>
    <row r="15986" spans="9:10" x14ac:dyDescent="0.2">
      <c r="I15986" s="1125"/>
      <c r="J15986" s="1125"/>
    </row>
    <row r="15987" spans="9:10" x14ac:dyDescent="0.2">
      <c r="I15987" s="1125"/>
      <c r="J15987" s="1125"/>
    </row>
    <row r="15988" spans="9:10" x14ac:dyDescent="0.2">
      <c r="I15988" s="1125"/>
      <c r="J15988" s="1125"/>
    </row>
    <row r="15989" spans="9:10" x14ac:dyDescent="0.2">
      <c r="I15989" s="1125"/>
      <c r="J15989" s="1125"/>
    </row>
    <row r="15990" spans="9:10" x14ac:dyDescent="0.2">
      <c r="I15990" s="1125"/>
      <c r="J15990" s="1125"/>
    </row>
    <row r="15991" spans="9:10" x14ac:dyDescent="0.2">
      <c r="I15991" s="1125"/>
      <c r="J15991" s="1125"/>
    </row>
    <row r="15992" spans="9:10" x14ac:dyDescent="0.2">
      <c r="I15992" s="1125"/>
      <c r="J15992" s="1125"/>
    </row>
    <row r="15993" spans="9:10" x14ac:dyDescent="0.2">
      <c r="I15993" s="1125"/>
      <c r="J15993" s="1125"/>
    </row>
    <row r="15994" spans="9:10" x14ac:dyDescent="0.2">
      <c r="I15994" s="1125"/>
      <c r="J15994" s="1125"/>
    </row>
    <row r="15995" spans="9:10" x14ac:dyDescent="0.2">
      <c r="I15995" s="1125"/>
      <c r="J15995" s="1125"/>
    </row>
    <row r="15996" spans="9:10" x14ac:dyDescent="0.2">
      <c r="I15996" s="1125"/>
      <c r="J15996" s="1125"/>
    </row>
    <row r="15997" spans="9:10" x14ac:dyDescent="0.2">
      <c r="I15997" s="1125"/>
      <c r="J15997" s="1125"/>
    </row>
    <row r="15998" spans="9:10" x14ac:dyDescent="0.2">
      <c r="I15998" s="1125"/>
      <c r="J15998" s="1125"/>
    </row>
    <row r="15999" spans="9:10" x14ac:dyDescent="0.2">
      <c r="I15999" s="1125"/>
      <c r="J15999" s="1125"/>
    </row>
    <row r="16000" spans="9:10" x14ac:dyDescent="0.2">
      <c r="I16000" s="1125"/>
      <c r="J16000" s="1125"/>
    </row>
    <row r="16001" spans="9:10" x14ac:dyDescent="0.2">
      <c r="I16001" s="1125"/>
      <c r="J16001" s="1125"/>
    </row>
    <row r="16002" spans="9:10" x14ac:dyDescent="0.2">
      <c r="I16002" s="1125"/>
      <c r="J16002" s="1125"/>
    </row>
    <row r="16003" spans="9:10" x14ac:dyDescent="0.2">
      <c r="I16003" s="1125"/>
      <c r="J16003" s="1125"/>
    </row>
    <row r="16004" spans="9:10" x14ac:dyDescent="0.2">
      <c r="I16004" s="1125"/>
      <c r="J16004" s="1125"/>
    </row>
    <row r="16005" spans="9:10" x14ac:dyDescent="0.2">
      <c r="I16005" s="1125"/>
      <c r="J16005" s="1125"/>
    </row>
    <row r="16006" spans="9:10" x14ac:dyDescent="0.2">
      <c r="I16006" s="1125"/>
      <c r="J16006" s="1125"/>
    </row>
    <row r="16007" spans="9:10" x14ac:dyDescent="0.2">
      <c r="I16007" s="1125"/>
      <c r="J16007" s="1125"/>
    </row>
    <row r="16008" spans="9:10" x14ac:dyDescent="0.2">
      <c r="I16008" s="1125"/>
      <c r="J16008" s="1125"/>
    </row>
    <row r="16009" spans="9:10" x14ac:dyDescent="0.2">
      <c r="I16009" s="1125"/>
      <c r="J16009" s="1125"/>
    </row>
    <row r="16010" spans="9:10" x14ac:dyDescent="0.2">
      <c r="I16010" s="1125"/>
      <c r="J16010" s="1125"/>
    </row>
    <row r="16011" spans="9:10" x14ac:dyDescent="0.2">
      <c r="I16011" s="1125"/>
      <c r="J16011" s="1125"/>
    </row>
    <row r="16012" spans="9:10" x14ac:dyDescent="0.2">
      <c r="I16012" s="1125"/>
      <c r="J16012" s="1125"/>
    </row>
    <row r="16013" spans="9:10" x14ac:dyDescent="0.2">
      <c r="I16013" s="1125"/>
      <c r="J16013" s="1125"/>
    </row>
    <row r="16014" spans="9:10" x14ac:dyDescent="0.2">
      <c r="I16014" s="1125"/>
      <c r="J16014" s="1125"/>
    </row>
    <row r="16015" spans="9:10" x14ac:dyDescent="0.2">
      <c r="I16015" s="1125"/>
      <c r="J16015" s="1125"/>
    </row>
    <row r="16016" spans="9:10" x14ac:dyDescent="0.2">
      <c r="I16016" s="1125"/>
      <c r="J16016" s="1125"/>
    </row>
    <row r="16017" spans="9:10" x14ac:dyDescent="0.2">
      <c r="I16017" s="1125"/>
      <c r="J16017" s="1125"/>
    </row>
    <row r="16018" spans="9:10" x14ac:dyDescent="0.2">
      <c r="I16018" s="1125"/>
      <c r="J16018" s="1125"/>
    </row>
    <row r="16019" spans="9:10" x14ac:dyDescent="0.2">
      <c r="I16019" s="1125"/>
      <c r="J16019" s="1125"/>
    </row>
    <row r="16020" spans="9:10" x14ac:dyDescent="0.2">
      <c r="I16020" s="1125"/>
      <c r="J16020" s="1125"/>
    </row>
    <row r="16021" spans="9:10" x14ac:dyDescent="0.2">
      <c r="I16021" s="1125"/>
      <c r="J16021" s="1125"/>
    </row>
    <row r="16022" spans="9:10" x14ac:dyDescent="0.2">
      <c r="I16022" s="1125"/>
      <c r="J16022" s="1125"/>
    </row>
    <row r="16023" spans="9:10" x14ac:dyDescent="0.2">
      <c r="I16023" s="1125"/>
      <c r="J16023" s="1125"/>
    </row>
    <row r="16024" spans="9:10" x14ac:dyDescent="0.2">
      <c r="I16024" s="1125"/>
      <c r="J16024" s="1125"/>
    </row>
    <row r="16025" spans="9:10" x14ac:dyDescent="0.2">
      <c r="I16025" s="1125"/>
      <c r="J16025" s="1125"/>
    </row>
    <row r="16026" spans="9:10" x14ac:dyDescent="0.2">
      <c r="I16026" s="1125"/>
      <c r="J16026" s="1125"/>
    </row>
    <row r="16027" spans="9:10" x14ac:dyDescent="0.2">
      <c r="I16027" s="1125"/>
      <c r="J16027" s="1125"/>
    </row>
    <row r="16028" spans="9:10" x14ac:dyDescent="0.2">
      <c r="I16028" s="1125"/>
      <c r="J16028" s="1125"/>
    </row>
    <row r="16029" spans="9:10" x14ac:dyDescent="0.2">
      <c r="I16029" s="1125"/>
      <c r="J16029" s="1125"/>
    </row>
    <row r="16030" spans="9:10" x14ac:dyDescent="0.2">
      <c r="I16030" s="1125"/>
      <c r="J16030" s="1125"/>
    </row>
    <row r="16031" spans="9:10" x14ac:dyDescent="0.2">
      <c r="I16031" s="1125"/>
      <c r="J16031" s="1125"/>
    </row>
    <row r="16032" spans="9:10" x14ac:dyDescent="0.2">
      <c r="I16032" s="1125"/>
      <c r="J16032" s="1125"/>
    </row>
    <row r="16033" spans="9:10" x14ac:dyDescent="0.2">
      <c r="I16033" s="1125"/>
      <c r="J16033" s="1125"/>
    </row>
    <row r="16034" spans="9:10" x14ac:dyDescent="0.2">
      <c r="I16034" s="1125"/>
      <c r="J16034" s="1125"/>
    </row>
    <row r="16035" spans="9:10" x14ac:dyDescent="0.2">
      <c r="I16035" s="1125"/>
      <c r="J16035" s="1125"/>
    </row>
    <row r="16036" spans="9:10" x14ac:dyDescent="0.2">
      <c r="I16036" s="1125"/>
      <c r="J16036" s="1125"/>
    </row>
    <row r="16037" spans="9:10" x14ac:dyDescent="0.2">
      <c r="I16037" s="1125"/>
      <c r="J16037" s="1125"/>
    </row>
    <row r="16038" spans="9:10" x14ac:dyDescent="0.2">
      <c r="I16038" s="1125"/>
      <c r="J16038" s="1125"/>
    </row>
    <row r="16039" spans="9:10" x14ac:dyDescent="0.2">
      <c r="I16039" s="1125"/>
      <c r="J16039" s="1125"/>
    </row>
    <row r="16040" spans="9:10" x14ac:dyDescent="0.2">
      <c r="I16040" s="1125"/>
      <c r="J16040" s="1125"/>
    </row>
    <row r="16041" spans="9:10" x14ac:dyDescent="0.2">
      <c r="I16041" s="1125"/>
      <c r="J16041" s="1125"/>
    </row>
    <row r="16042" spans="9:10" x14ac:dyDescent="0.2">
      <c r="I16042" s="1125"/>
      <c r="J16042" s="1125"/>
    </row>
    <row r="16043" spans="9:10" x14ac:dyDescent="0.2">
      <c r="I16043" s="1125"/>
      <c r="J16043" s="1125"/>
    </row>
    <row r="16044" spans="9:10" x14ac:dyDescent="0.2">
      <c r="I16044" s="1125"/>
      <c r="J16044" s="1125"/>
    </row>
    <row r="16045" spans="9:10" x14ac:dyDescent="0.2">
      <c r="I16045" s="1125"/>
      <c r="J16045" s="1125"/>
    </row>
    <row r="16046" spans="9:10" x14ac:dyDescent="0.2">
      <c r="I16046" s="1125"/>
      <c r="J16046" s="1125"/>
    </row>
    <row r="16047" spans="9:10" x14ac:dyDescent="0.2">
      <c r="I16047" s="1125"/>
      <c r="J16047" s="1125"/>
    </row>
    <row r="16048" spans="9:10" x14ac:dyDescent="0.2">
      <c r="I16048" s="1125"/>
      <c r="J16048" s="1125"/>
    </row>
    <row r="16049" spans="9:10" x14ac:dyDescent="0.2">
      <c r="I16049" s="1125"/>
      <c r="J16049" s="1125"/>
    </row>
    <row r="16050" spans="9:10" x14ac:dyDescent="0.2">
      <c r="I16050" s="1125"/>
      <c r="J16050" s="1125"/>
    </row>
    <row r="16051" spans="9:10" x14ac:dyDescent="0.2">
      <c r="I16051" s="1125"/>
      <c r="J16051" s="1125"/>
    </row>
    <row r="16052" spans="9:10" x14ac:dyDescent="0.2">
      <c r="I16052" s="1125"/>
      <c r="J16052" s="1125"/>
    </row>
    <row r="16053" spans="9:10" x14ac:dyDescent="0.2">
      <c r="I16053" s="1125"/>
      <c r="J16053" s="1125"/>
    </row>
    <row r="16054" spans="9:10" x14ac:dyDescent="0.2">
      <c r="I16054" s="1125"/>
      <c r="J16054" s="1125"/>
    </row>
    <row r="16055" spans="9:10" x14ac:dyDescent="0.2">
      <c r="I16055" s="1125"/>
      <c r="J16055" s="1125"/>
    </row>
    <row r="16056" spans="9:10" x14ac:dyDescent="0.2">
      <c r="I16056" s="1125"/>
      <c r="J16056" s="1125"/>
    </row>
    <row r="16057" spans="9:10" x14ac:dyDescent="0.2">
      <c r="I16057" s="1125"/>
      <c r="J16057" s="1125"/>
    </row>
    <row r="16058" spans="9:10" x14ac:dyDescent="0.2">
      <c r="I16058" s="1125"/>
      <c r="J16058" s="1125"/>
    </row>
    <row r="16059" spans="9:10" x14ac:dyDescent="0.2">
      <c r="I16059" s="1125"/>
      <c r="J16059" s="1125"/>
    </row>
    <row r="16060" spans="9:10" x14ac:dyDescent="0.2">
      <c r="I16060" s="1125"/>
      <c r="J16060" s="1125"/>
    </row>
    <row r="16061" spans="9:10" x14ac:dyDescent="0.2">
      <c r="I16061" s="1125"/>
      <c r="J16061" s="1125"/>
    </row>
    <row r="16062" spans="9:10" x14ac:dyDescent="0.2">
      <c r="I16062" s="1125"/>
      <c r="J16062" s="1125"/>
    </row>
    <row r="16063" spans="9:10" x14ac:dyDescent="0.2">
      <c r="I16063" s="1125"/>
      <c r="J16063" s="1125"/>
    </row>
    <row r="16064" spans="9:10" x14ac:dyDescent="0.2">
      <c r="I16064" s="1125"/>
      <c r="J16064" s="1125"/>
    </row>
    <row r="16065" spans="9:10" x14ac:dyDescent="0.2">
      <c r="I16065" s="1125"/>
      <c r="J16065" s="1125"/>
    </row>
    <row r="16066" spans="9:10" x14ac:dyDescent="0.2">
      <c r="I16066" s="1125"/>
      <c r="J16066" s="1125"/>
    </row>
    <row r="16067" spans="9:10" x14ac:dyDescent="0.2">
      <c r="I16067" s="1125"/>
      <c r="J16067" s="1125"/>
    </row>
    <row r="16068" spans="9:10" x14ac:dyDescent="0.2">
      <c r="I16068" s="1125"/>
      <c r="J16068" s="1125"/>
    </row>
    <row r="16069" spans="9:10" x14ac:dyDescent="0.2">
      <c r="I16069" s="1125"/>
      <c r="J16069" s="1125"/>
    </row>
    <row r="16070" spans="9:10" x14ac:dyDescent="0.2">
      <c r="I16070" s="1125"/>
      <c r="J16070" s="1125"/>
    </row>
    <row r="16071" spans="9:10" x14ac:dyDescent="0.2">
      <c r="I16071" s="1125"/>
      <c r="J16071" s="1125"/>
    </row>
    <row r="16072" spans="9:10" x14ac:dyDescent="0.2">
      <c r="I16072" s="1125"/>
      <c r="J16072" s="1125"/>
    </row>
    <row r="16073" spans="9:10" x14ac:dyDescent="0.2">
      <c r="I16073" s="1125"/>
      <c r="J16073" s="1125"/>
    </row>
    <row r="16074" spans="9:10" x14ac:dyDescent="0.2">
      <c r="I16074" s="1125"/>
      <c r="J16074" s="1125"/>
    </row>
    <row r="16075" spans="9:10" x14ac:dyDescent="0.2">
      <c r="I16075" s="1125"/>
      <c r="J16075" s="1125"/>
    </row>
    <row r="16076" spans="9:10" x14ac:dyDescent="0.2">
      <c r="I16076" s="1125"/>
      <c r="J16076" s="1125"/>
    </row>
    <row r="16077" spans="9:10" x14ac:dyDescent="0.2">
      <c r="I16077" s="1125"/>
      <c r="J16077" s="1125"/>
    </row>
    <row r="16078" spans="9:10" x14ac:dyDescent="0.2">
      <c r="I16078" s="1125"/>
      <c r="J16078" s="1125"/>
    </row>
    <row r="16079" spans="9:10" x14ac:dyDescent="0.2">
      <c r="I16079" s="1125"/>
      <c r="J16079" s="1125"/>
    </row>
    <row r="16080" spans="9:10" x14ac:dyDescent="0.2">
      <c r="I16080" s="1125"/>
      <c r="J16080" s="1125"/>
    </row>
    <row r="16081" spans="9:10" x14ac:dyDescent="0.2">
      <c r="I16081" s="1125"/>
      <c r="J16081" s="1125"/>
    </row>
    <row r="16082" spans="9:10" x14ac:dyDescent="0.2">
      <c r="I16082" s="1125"/>
      <c r="J16082" s="1125"/>
    </row>
    <row r="16083" spans="9:10" x14ac:dyDescent="0.2">
      <c r="I16083" s="1125"/>
      <c r="J16083" s="1125"/>
    </row>
    <row r="16084" spans="9:10" x14ac:dyDescent="0.2">
      <c r="I16084" s="1125"/>
      <c r="J16084" s="1125"/>
    </row>
    <row r="16085" spans="9:10" x14ac:dyDescent="0.2">
      <c r="I16085" s="1125"/>
      <c r="J16085" s="1125"/>
    </row>
    <row r="16086" spans="9:10" x14ac:dyDescent="0.2">
      <c r="I16086" s="1125"/>
      <c r="J16086" s="1125"/>
    </row>
    <row r="16087" spans="9:10" x14ac:dyDescent="0.2">
      <c r="I16087" s="1125"/>
      <c r="J16087" s="1125"/>
    </row>
    <row r="16088" spans="9:10" x14ac:dyDescent="0.2">
      <c r="I16088" s="1125"/>
      <c r="J16088" s="1125"/>
    </row>
    <row r="16089" spans="9:10" x14ac:dyDescent="0.2">
      <c r="I16089" s="1125"/>
      <c r="J16089" s="1125"/>
    </row>
    <row r="16090" spans="9:10" x14ac:dyDescent="0.2">
      <c r="I16090" s="1125"/>
      <c r="J16090" s="1125"/>
    </row>
    <row r="16091" spans="9:10" x14ac:dyDescent="0.2">
      <c r="I16091" s="1125"/>
      <c r="J16091" s="1125"/>
    </row>
    <row r="16092" spans="9:10" x14ac:dyDescent="0.2">
      <c r="I16092" s="1125"/>
      <c r="J16092" s="1125"/>
    </row>
    <row r="16093" spans="9:10" x14ac:dyDescent="0.2">
      <c r="I16093" s="1125"/>
      <c r="J16093" s="1125"/>
    </row>
    <row r="16094" spans="9:10" x14ac:dyDescent="0.2">
      <c r="I16094" s="1125"/>
      <c r="J16094" s="1125"/>
    </row>
    <row r="16095" spans="9:10" x14ac:dyDescent="0.2">
      <c r="I16095" s="1125"/>
      <c r="J16095" s="1125"/>
    </row>
    <row r="16096" spans="9:10" x14ac:dyDescent="0.2">
      <c r="I16096" s="1125"/>
      <c r="J16096" s="1125"/>
    </row>
    <row r="16097" spans="9:10" x14ac:dyDescent="0.2">
      <c r="I16097" s="1125"/>
      <c r="J16097" s="1125"/>
    </row>
    <row r="16098" spans="9:10" x14ac:dyDescent="0.2">
      <c r="I16098" s="1125"/>
      <c r="J16098" s="1125"/>
    </row>
    <row r="16099" spans="9:10" x14ac:dyDescent="0.2">
      <c r="I16099" s="1125"/>
      <c r="J16099" s="1125"/>
    </row>
    <row r="16100" spans="9:10" x14ac:dyDescent="0.2">
      <c r="I16100" s="1125"/>
      <c r="J16100" s="1125"/>
    </row>
    <row r="16101" spans="9:10" x14ac:dyDescent="0.2">
      <c r="I16101" s="1125"/>
      <c r="J16101" s="1125"/>
    </row>
    <row r="16102" spans="9:10" x14ac:dyDescent="0.2">
      <c r="I16102" s="1125"/>
      <c r="J16102" s="1125"/>
    </row>
    <row r="16103" spans="9:10" x14ac:dyDescent="0.2">
      <c r="I16103" s="1125"/>
      <c r="J16103" s="1125"/>
    </row>
    <row r="16104" spans="9:10" x14ac:dyDescent="0.2">
      <c r="I16104" s="1125"/>
      <c r="J16104" s="1125"/>
    </row>
    <row r="16105" spans="9:10" x14ac:dyDescent="0.2">
      <c r="I16105" s="1125"/>
      <c r="J16105" s="1125"/>
    </row>
    <row r="16106" spans="9:10" x14ac:dyDescent="0.2">
      <c r="I16106" s="1125"/>
      <c r="J16106" s="1125"/>
    </row>
    <row r="16107" spans="9:10" x14ac:dyDescent="0.2">
      <c r="I16107" s="1125"/>
      <c r="J16107" s="1125"/>
    </row>
    <row r="16108" spans="9:10" x14ac:dyDescent="0.2">
      <c r="I16108" s="1125"/>
      <c r="J16108" s="1125"/>
    </row>
    <row r="16109" spans="9:10" x14ac:dyDescent="0.2">
      <c r="I16109" s="1125"/>
      <c r="J16109" s="1125"/>
    </row>
    <row r="16110" spans="9:10" x14ac:dyDescent="0.2">
      <c r="I16110" s="1125"/>
      <c r="J16110" s="1125"/>
    </row>
    <row r="16111" spans="9:10" x14ac:dyDescent="0.2">
      <c r="I16111" s="1125"/>
      <c r="J16111" s="1125"/>
    </row>
    <row r="16112" spans="9:10" x14ac:dyDescent="0.2">
      <c r="I16112" s="1125"/>
      <c r="J16112" s="1125"/>
    </row>
    <row r="16113" spans="9:10" x14ac:dyDescent="0.2">
      <c r="I16113" s="1125"/>
      <c r="J16113" s="1125"/>
    </row>
    <row r="16114" spans="9:10" x14ac:dyDescent="0.2">
      <c r="I16114" s="1125"/>
      <c r="J16114" s="1125"/>
    </row>
    <row r="16115" spans="9:10" x14ac:dyDescent="0.2">
      <c r="I16115" s="1125"/>
      <c r="J16115" s="1125"/>
    </row>
    <row r="16116" spans="9:10" x14ac:dyDescent="0.2">
      <c r="I16116" s="1125"/>
      <c r="J16116" s="1125"/>
    </row>
    <row r="16117" spans="9:10" x14ac:dyDescent="0.2">
      <c r="I16117" s="1125"/>
      <c r="J16117" s="1125"/>
    </row>
    <row r="16118" spans="9:10" x14ac:dyDescent="0.2">
      <c r="I16118" s="1125"/>
      <c r="J16118" s="1125"/>
    </row>
    <row r="16119" spans="9:10" x14ac:dyDescent="0.2">
      <c r="I16119" s="1125"/>
      <c r="J16119" s="1125"/>
    </row>
    <row r="16120" spans="9:10" x14ac:dyDescent="0.2">
      <c r="I16120" s="1125"/>
      <c r="J16120" s="1125"/>
    </row>
    <row r="16121" spans="9:10" x14ac:dyDescent="0.2">
      <c r="I16121" s="1125"/>
      <c r="J16121" s="1125"/>
    </row>
    <row r="16122" spans="9:10" x14ac:dyDescent="0.2">
      <c r="I16122" s="1125"/>
      <c r="J16122" s="1125"/>
    </row>
    <row r="16123" spans="9:10" x14ac:dyDescent="0.2">
      <c r="I16123" s="1125"/>
      <c r="J16123" s="1125"/>
    </row>
    <row r="16124" spans="9:10" x14ac:dyDescent="0.2">
      <c r="I16124" s="1125"/>
      <c r="J16124" s="1125"/>
    </row>
    <row r="16125" spans="9:10" x14ac:dyDescent="0.2">
      <c r="I16125" s="1125"/>
      <c r="J16125" s="1125"/>
    </row>
    <row r="16126" spans="9:10" x14ac:dyDescent="0.2">
      <c r="I16126" s="1125"/>
      <c r="J16126" s="1125"/>
    </row>
    <row r="16127" spans="9:10" x14ac:dyDescent="0.2">
      <c r="I16127" s="1125"/>
      <c r="J16127" s="1125"/>
    </row>
    <row r="16128" spans="9:10" x14ac:dyDescent="0.2">
      <c r="I16128" s="1125"/>
      <c r="J16128" s="1125"/>
    </row>
    <row r="16129" spans="9:10" x14ac:dyDescent="0.2">
      <c r="I16129" s="1125"/>
      <c r="J16129" s="1125"/>
    </row>
    <row r="16130" spans="9:10" x14ac:dyDescent="0.2">
      <c r="I16130" s="1125"/>
      <c r="J16130" s="1125"/>
    </row>
    <row r="16131" spans="9:10" x14ac:dyDescent="0.2">
      <c r="I16131" s="1125"/>
      <c r="J16131" s="1125"/>
    </row>
    <row r="16132" spans="9:10" x14ac:dyDescent="0.2">
      <c r="I16132" s="1125"/>
      <c r="J16132" s="1125"/>
    </row>
    <row r="16133" spans="9:10" x14ac:dyDescent="0.2">
      <c r="I16133" s="1125"/>
      <c r="J16133" s="1125"/>
    </row>
    <row r="16134" spans="9:10" x14ac:dyDescent="0.2">
      <c r="I16134" s="1125"/>
      <c r="J16134" s="1125"/>
    </row>
    <row r="16135" spans="9:10" x14ac:dyDescent="0.2">
      <c r="I16135" s="1125"/>
      <c r="J16135" s="1125"/>
    </row>
    <row r="16136" spans="9:10" x14ac:dyDescent="0.2">
      <c r="I16136" s="1125"/>
      <c r="J16136" s="1125"/>
    </row>
    <row r="16137" spans="9:10" x14ac:dyDescent="0.2">
      <c r="I16137" s="1125"/>
      <c r="J16137" s="1125"/>
    </row>
    <row r="16138" spans="9:10" x14ac:dyDescent="0.2">
      <c r="I16138" s="1125"/>
      <c r="J16138" s="1125"/>
    </row>
    <row r="16139" spans="9:10" x14ac:dyDescent="0.2">
      <c r="I16139" s="1125"/>
      <c r="J16139" s="1125"/>
    </row>
    <row r="16140" spans="9:10" x14ac:dyDescent="0.2">
      <c r="I16140" s="1125"/>
      <c r="J16140" s="1125"/>
    </row>
    <row r="16141" spans="9:10" x14ac:dyDescent="0.2">
      <c r="I16141" s="1125"/>
      <c r="J16141" s="1125"/>
    </row>
    <row r="16142" spans="9:10" x14ac:dyDescent="0.2">
      <c r="I16142" s="1125"/>
      <c r="J16142" s="1125"/>
    </row>
    <row r="16143" spans="9:10" x14ac:dyDescent="0.2">
      <c r="I16143" s="1125"/>
      <c r="J16143" s="1125"/>
    </row>
    <row r="16144" spans="9:10" x14ac:dyDescent="0.2">
      <c r="I16144" s="1125"/>
      <c r="J16144" s="1125"/>
    </row>
    <row r="16145" spans="9:10" x14ac:dyDescent="0.2">
      <c r="I16145" s="1125"/>
      <c r="J16145" s="1125"/>
    </row>
    <row r="16146" spans="9:10" x14ac:dyDescent="0.2">
      <c r="I16146" s="1125"/>
      <c r="J16146" s="1125"/>
    </row>
    <row r="16147" spans="9:10" x14ac:dyDescent="0.2">
      <c r="I16147" s="1125"/>
      <c r="J16147" s="1125"/>
    </row>
    <row r="16148" spans="9:10" x14ac:dyDescent="0.2">
      <c r="I16148" s="1125"/>
      <c r="J16148" s="1125"/>
    </row>
    <row r="16149" spans="9:10" x14ac:dyDescent="0.2">
      <c r="I16149" s="1125"/>
      <c r="J16149" s="1125"/>
    </row>
    <row r="16150" spans="9:10" x14ac:dyDescent="0.2">
      <c r="I16150" s="1125"/>
      <c r="J16150" s="1125"/>
    </row>
    <row r="16151" spans="9:10" x14ac:dyDescent="0.2">
      <c r="I16151" s="1125"/>
      <c r="J16151" s="1125"/>
    </row>
    <row r="16152" spans="9:10" x14ac:dyDescent="0.2">
      <c r="I16152" s="1125"/>
      <c r="J16152" s="1125"/>
    </row>
    <row r="16153" spans="9:10" x14ac:dyDescent="0.2">
      <c r="I16153" s="1125"/>
      <c r="J16153" s="1125"/>
    </row>
    <row r="16154" spans="9:10" x14ac:dyDescent="0.2">
      <c r="I16154" s="1125"/>
      <c r="J16154" s="1125"/>
    </row>
    <row r="16155" spans="9:10" x14ac:dyDescent="0.2">
      <c r="I16155" s="1125"/>
      <c r="J16155" s="1125"/>
    </row>
    <row r="16156" spans="9:10" x14ac:dyDescent="0.2">
      <c r="I16156" s="1125"/>
      <c r="J16156" s="1125"/>
    </row>
    <row r="16157" spans="9:10" x14ac:dyDescent="0.2">
      <c r="I16157" s="1125"/>
      <c r="J16157" s="1125"/>
    </row>
    <row r="16158" spans="9:10" x14ac:dyDescent="0.2">
      <c r="I16158" s="1125"/>
      <c r="J16158" s="1125"/>
    </row>
    <row r="16159" spans="9:10" x14ac:dyDescent="0.2">
      <c r="I16159" s="1125"/>
      <c r="J16159" s="1125"/>
    </row>
    <row r="16160" spans="9:10" x14ac:dyDescent="0.2">
      <c r="I16160" s="1125"/>
      <c r="J16160" s="1125"/>
    </row>
    <row r="16161" spans="9:10" x14ac:dyDescent="0.2">
      <c r="I16161" s="1125"/>
      <c r="J16161" s="1125"/>
    </row>
    <row r="16162" spans="9:10" x14ac:dyDescent="0.2">
      <c r="I16162" s="1125"/>
      <c r="J16162" s="1125"/>
    </row>
    <row r="16163" spans="9:10" x14ac:dyDescent="0.2">
      <c r="I16163" s="1125"/>
      <c r="J16163" s="1125"/>
    </row>
    <row r="16164" spans="9:10" x14ac:dyDescent="0.2">
      <c r="I16164" s="1125"/>
      <c r="J16164" s="1125"/>
    </row>
    <row r="16165" spans="9:10" x14ac:dyDescent="0.2">
      <c r="I16165" s="1125"/>
      <c r="J16165" s="1125"/>
    </row>
    <row r="16166" spans="9:10" x14ac:dyDescent="0.2">
      <c r="I16166" s="1125"/>
      <c r="J16166" s="1125"/>
    </row>
    <row r="16167" spans="9:10" x14ac:dyDescent="0.2">
      <c r="I16167" s="1125"/>
      <c r="J16167" s="1125"/>
    </row>
    <row r="16168" spans="9:10" x14ac:dyDescent="0.2">
      <c r="I16168" s="1125"/>
      <c r="J16168" s="1125"/>
    </row>
    <row r="16169" spans="9:10" x14ac:dyDescent="0.2">
      <c r="I16169" s="1125"/>
      <c r="J16169" s="1125"/>
    </row>
    <row r="16170" spans="9:10" x14ac:dyDescent="0.2">
      <c r="I16170" s="1125"/>
      <c r="J16170" s="1125"/>
    </row>
    <row r="16171" spans="9:10" x14ac:dyDescent="0.2">
      <c r="I16171" s="1125"/>
      <c r="J16171" s="1125"/>
    </row>
    <row r="16172" spans="9:10" x14ac:dyDescent="0.2">
      <c r="I16172" s="1125"/>
      <c r="J16172" s="1125"/>
    </row>
    <row r="16173" spans="9:10" x14ac:dyDescent="0.2">
      <c r="I16173" s="1125"/>
      <c r="J16173" s="1125"/>
    </row>
    <row r="16174" spans="9:10" x14ac:dyDescent="0.2">
      <c r="I16174" s="1125"/>
      <c r="J16174" s="1125"/>
    </row>
    <row r="16175" spans="9:10" x14ac:dyDescent="0.2">
      <c r="I16175" s="1125"/>
      <c r="J16175" s="1125"/>
    </row>
    <row r="16176" spans="9:10" x14ac:dyDescent="0.2">
      <c r="I16176" s="1125"/>
      <c r="J16176" s="1125"/>
    </row>
    <row r="16177" spans="9:10" x14ac:dyDescent="0.2">
      <c r="I16177" s="1125"/>
      <c r="J16177" s="1125"/>
    </row>
    <row r="16178" spans="9:10" x14ac:dyDescent="0.2">
      <c r="I16178" s="1125"/>
      <c r="J16178" s="1125"/>
    </row>
    <row r="16179" spans="9:10" x14ac:dyDescent="0.2">
      <c r="I16179" s="1125"/>
      <c r="J16179" s="1125"/>
    </row>
    <row r="16180" spans="9:10" x14ac:dyDescent="0.2">
      <c r="I16180" s="1125"/>
      <c r="J16180" s="1125"/>
    </row>
    <row r="16181" spans="9:10" x14ac:dyDescent="0.2">
      <c r="I16181" s="1125"/>
      <c r="J16181" s="1125"/>
    </row>
    <row r="16182" spans="9:10" x14ac:dyDescent="0.2">
      <c r="I16182" s="1125"/>
      <c r="J16182" s="1125"/>
    </row>
    <row r="16183" spans="9:10" x14ac:dyDescent="0.2">
      <c r="I16183" s="1125"/>
      <c r="J16183" s="1125"/>
    </row>
    <row r="16184" spans="9:10" x14ac:dyDescent="0.2">
      <c r="I16184" s="1125"/>
      <c r="J16184" s="1125"/>
    </row>
    <row r="16185" spans="9:10" x14ac:dyDescent="0.2">
      <c r="I16185" s="1125"/>
      <c r="J16185" s="1125"/>
    </row>
    <row r="16186" spans="9:10" x14ac:dyDescent="0.2">
      <c r="I16186" s="1125"/>
      <c r="J16186" s="1125"/>
    </row>
    <row r="16187" spans="9:10" x14ac:dyDescent="0.2">
      <c r="I16187" s="1125"/>
      <c r="J16187" s="1125"/>
    </row>
    <row r="16188" spans="9:10" x14ac:dyDescent="0.2">
      <c r="I16188" s="1125"/>
      <c r="J16188" s="1125"/>
    </row>
    <row r="16189" spans="9:10" x14ac:dyDescent="0.2">
      <c r="I16189" s="1125"/>
      <c r="J16189" s="1125"/>
    </row>
    <row r="16190" spans="9:10" x14ac:dyDescent="0.2">
      <c r="I16190" s="1125"/>
      <c r="J16190" s="1125"/>
    </row>
    <row r="16191" spans="9:10" x14ac:dyDescent="0.2">
      <c r="I16191" s="1125"/>
      <c r="J16191" s="1125"/>
    </row>
    <row r="16192" spans="9:10" x14ac:dyDescent="0.2">
      <c r="I16192" s="1125"/>
      <c r="J16192" s="1125"/>
    </row>
    <row r="16193" spans="9:10" x14ac:dyDescent="0.2">
      <c r="I16193" s="1125"/>
      <c r="J16193" s="1125"/>
    </row>
    <row r="16194" spans="9:10" x14ac:dyDescent="0.2">
      <c r="I16194" s="1125"/>
      <c r="J16194" s="1125"/>
    </row>
    <row r="16195" spans="9:10" x14ac:dyDescent="0.2">
      <c r="I16195" s="1125"/>
      <c r="J16195" s="1125"/>
    </row>
    <row r="16196" spans="9:10" x14ac:dyDescent="0.2">
      <c r="I16196" s="1125"/>
      <c r="J16196" s="1125"/>
    </row>
    <row r="16197" spans="9:10" x14ac:dyDescent="0.2">
      <c r="I16197" s="1125"/>
      <c r="J16197" s="1125"/>
    </row>
    <row r="16198" spans="9:10" x14ac:dyDescent="0.2">
      <c r="I16198" s="1125"/>
      <c r="J16198" s="1125"/>
    </row>
    <row r="16199" spans="9:10" x14ac:dyDescent="0.2">
      <c r="I16199" s="1125"/>
      <c r="J16199" s="1125"/>
    </row>
    <row r="16200" spans="9:10" x14ac:dyDescent="0.2">
      <c r="I16200" s="1125"/>
      <c r="J16200" s="1125"/>
    </row>
    <row r="16201" spans="9:10" x14ac:dyDescent="0.2">
      <c r="I16201" s="1125"/>
      <c r="J16201" s="1125"/>
    </row>
    <row r="16202" spans="9:10" x14ac:dyDescent="0.2">
      <c r="I16202" s="1125"/>
      <c r="J16202" s="1125"/>
    </row>
    <row r="16203" spans="9:10" x14ac:dyDescent="0.2">
      <c r="I16203" s="1125"/>
      <c r="J16203" s="1125"/>
    </row>
    <row r="16204" spans="9:10" x14ac:dyDescent="0.2">
      <c r="I16204" s="1125"/>
      <c r="J16204" s="1125"/>
    </row>
    <row r="16205" spans="9:10" x14ac:dyDescent="0.2">
      <c r="I16205" s="1125"/>
      <c r="J16205" s="1125"/>
    </row>
    <row r="16206" spans="9:10" x14ac:dyDescent="0.2">
      <c r="I16206" s="1125"/>
      <c r="J16206" s="1125"/>
    </row>
    <row r="16207" spans="9:10" x14ac:dyDescent="0.2">
      <c r="I16207" s="1125"/>
      <c r="J16207" s="1125"/>
    </row>
    <row r="16208" spans="9:10" x14ac:dyDescent="0.2">
      <c r="I16208" s="1125"/>
      <c r="J16208" s="1125"/>
    </row>
    <row r="16209" spans="9:10" x14ac:dyDescent="0.2">
      <c r="I16209" s="1125"/>
      <c r="J16209" s="1125"/>
    </row>
    <row r="16210" spans="9:10" x14ac:dyDescent="0.2">
      <c r="I16210" s="1125"/>
      <c r="J16210" s="1125"/>
    </row>
    <row r="16211" spans="9:10" x14ac:dyDescent="0.2">
      <c r="I16211" s="1125"/>
      <c r="J16211" s="1125"/>
    </row>
    <row r="16212" spans="9:10" x14ac:dyDescent="0.2">
      <c r="I16212" s="1125"/>
      <c r="J16212" s="1125"/>
    </row>
    <row r="16213" spans="9:10" x14ac:dyDescent="0.2">
      <c r="I16213" s="1125"/>
      <c r="J16213" s="1125"/>
    </row>
    <row r="16214" spans="9:10" x14ac:dyDescent="0.2">
      <c r="I16214" s="1125"/>
      <c r="J16214" s="1125"/>
    </row>
    <row r="16215" spans="9:10" x14ac:dyDescent="0.2">
      <c r="I16215" s="1125"/>
      <c r="J16215" s="1125"/>
    </row>
    <row r="16216" spans="9:10" x14ac:dyDescent="0.2">
      <c r="I16216" s="1125"/>
      <c r="J16216" s="1125"/>
    </row>
    <row r="16217" spans="9:10" x14ac:dyDescent="0.2">
      <c r="I16217" s="1125"/>
      <c r="J16217" s="1125"/>
    </row>
    <row r="16218" spans="9:10" x14ac:dyDescent="0.2">
      <c r="I16218" s="1125"/>
      <c r="J16218" s="1125"/>
    </row>
    <row r="16219" spans="9:10" x14ac:dyDescent="0.2">
      <c r="I16219" s="1125"/>
      <c r="J16219" s="1125"/>
    </row>
    <row r="16220" spans="9:10" x14ac:dyDescent="0.2">
      <c r="I16220" s="1125"/>
      <c r="J16220" s="1125"/>
    </row>
    <row r="16221" spans="9:10" x14ac:dyDescent="0.2">
      <c r="I16221" s="1125"/>
      <c r="J16221" s="1125"/>
    </row>
    <row r="16222" spans="9:10" x14ac:dyDescent="0.2">
      <c r="I16222" s="1125"/>
      <c r="J16222" s="1125"/>
    </row>
    <row r="16223" spans="9:10" x14ac:dyDescent="0.2">
      <c r="I16223" s="1125"/>
      <c r="J16223" s="1125"/>
    </row>
    <row r="16224" spans="9:10" x14ac:dyDescent="0.2">
      <c r="I16224" s="1125"/>
      <c r="J16224" s="1125"/>
    </row>
    <row r="16225" spans="9:10" x14ac:dyDescent="0.2">
      <c r="I16225" s="1125"/>
      <c r="J16225" s="1125"/>
    </row>
    <row r="16226" spans="9:10" x14ac:dyDescent="0.2">
      <c r="I16226" s="1125"/>
      <c r="J16226" s="1125"/>
    </row>
    <row r="16227" spans="9:10" x14ac:dyDescent="0.2">
      <c r="I16227" s="1125"/>
      <c r="J16227" s="1125"/>
    </row>
    <row r="16228" spans="9:10" x14ac:dyDescent="0.2">
      <c r="I16228" s="1125"/>
      <c r="J16228" s="1125"/>
    </row>
    <row r="16229" spans="9:10" x14ac:dyDescent="0.2">
      <c r="I16229" s="1125"/>
      <c r="J16229" s="1125"/>
    </row>
    <row r="16230" spans="9:10" x14ac:dyDescent="0.2">
      <c r="I16230" s="1125"/>
      <c r="J16230" s="1125"/>
    </row>
    <row r="16231" spans="9:10" x14ac:dyDescent="0.2">
      <c r="I16231" s="1125"/>
      <c r="J16231" s="1125"/>
    </row>
    <row r="16232" spans="9:10" x14ac:dyDescent="0.2">
      <c r="I16232" s="1125"/>
      <c r="J16232" s="1125"/>
    </row>
    <row r="16233" spans="9:10" x14ac:dyDescent="0.2">
      <c r="I16233" s="1125"/>
      <c r="J16233" s="1125"/>
    </row>
    <row r="16234" spans="9:10" x14ac:dyDescent="0.2">
      <c r="I16234" s="1125"/>
      <c r="J16234" s="1125"/>
    </row>
    <row r="16235" spans="9:10" x14ac:dyDescent="0.2">
      <c r="I16235" s="1125"/>
      <c r="J16235" s="1125"/>
    </row>
    <row r="16236" spans="9:10" x14ac:dyDescent="0.2">
      <c r="I16236" s="1125"/>
      <c r="J16236" s="1125"/>
    </row>
    <row r="16237" spans="9:10" x14ac:dyDescent="0.2">
      <c r="I16237" s="1125"/>
      <c r="J16237" s="1125"/>
    </row>
    <row r="16238" spans="9:10" x14ac:dyDescent="0.2">
      <c r="I16238" s="1125"/>
      <c r="J16238" s="1125"/>
    </row>
    <row r="16239" spans="9:10" x14ac:dyDescent="0.2">
      <c r="I16239" s="1125"/>
      <c r="J16239" s="1125"/>
    </row>
    <row r="16240" spans="9:10" x14ac:dyDescent="0.2">
      <c r="I16240" s="1125"/>
      <c r="J16240" s="1125"/>
    </row>
    <row r="16241" spans="9:10" x14ac:dyDescent="0.2">
      <c r="I16241" s="1125"/>
      <c r="J16241" s="1125"/>
    </row>
    <row r="16242" spans="9:10" x14ac:dyDescent="0.2">
      <c r="I16242" s="1125"/>
      <c r="J16242" s="1125"/>
    </row>
    <row r="16243" spans="9:10" x14ac:dyDescent="0.2">
      <c r="I16243" s="1125"/>
      <c r="J16243" s="1125"/>
    </row>
    <row r="16244" spans="9:10" x14ac:dyDescent="0.2">
      <c r="I16244" s="1125"/>
      <c r="J16244" s="1125"/>
    </row>
    <row r="16245" spans="9:10" x14ac:dyDescent="0.2">
      <c r="I16245" s="1125"/>
      <c r="J16245" s="1125"/>
    </row>
    <row r="16246" spans="9:10" x14ac:dyDescent="0.2">
      <c r="I16246" s="1125"/>
      <c r="J16246" s="1125"/>
    </row>
    <row r="16247" spans="9:10" x14ac:dyDescent="0.2">
      <c r="I16247" s="1125"/>
      <c r="J16247" s="1125"/>
    </row>
    <row r="16248" spans="9:10" x14ac:dyDescent="0.2">
      <c r="I16248" s="1125"/>
      <c r="J16248" s="1125"/>
    </row>
    <row r="16249" spans="9:10" x14ac:dyDescent="0.2">
      <c r="I16249" s="1125"/>
      <c r="J16249" s="1125"/>
    </row>
    <row r="16250" spans="9:10" x14ac:dyDescent="0.2">
      <c r="I16250" s="1125"/>
      <c r="J16250" s="1125"/>
    </row>
    <row r="16251" spans="9:10" x14ac:dyDescent="0.2">
      <c r="I16251" s="1125"/>
      <c r="J16251" s="1125"/>
    </row>
    <row r="16252" spans="9:10" x14ac:dyDescent="0.2">
      <c r="I16252" s="1125"/>
      <c r="J16252" s="1125"/>
    </row>
    <row r="16253" spans="9:10" x14ac:dyDescent="0.2">
      <c r="I16253" s="1125"/>
      <c r="J16253" s="1125"/>
    </row>
    <row r="16254" spans="9:10" x14ac:dyDescent="0.2">
      <c r="I16254" s="1125"/>
      <c r="J16254" s="1125"/>
    </row>
    <row r="16255" spans="9:10" x14ac:dyDescent="0.2">
      <c r="I16255" s="1125"/>
      <c r="J16255" s="1125"/>
    </row>
    <row r="16256" spans="9:10" x14ac:dyDescent="0.2">
      <c r="I16256" s="1125"/>
      <c r="J16256" s="1125"/>
    </row>
    <row r="16257" spans="9:10" x14ac:dyDescent="0.2">
      <c r="I16257" s="1125"/>
      <c r="J16257" s="1125"/>
    </row>
    <row r="16258" spans="9:10" x14ac:dyDescent="0.2">
      <c r="I16258" s="1125"/>
      <c r="J16258" s="1125"/>
    </row>
    <row r="16259" spans="9:10" x14ac:dyDescent="0.2">
      <c r="I16259" s="1125"/>
      <c r="J16259" s="1125"/>
    </row>
    <row r="16260" spans="9:10" x14ac:dyDescent="0.2">
      <c r="I16260" s="1125"/>
      <c r="J16260" s="1125"/>
    </row>
    <row r="16261" spans="9:10" x14ac:dyDescent="0.2">
      <c r="I16261" s="1125"/>
      <c r="J16261" s="1125"/>
    </row>
    <row r="16262" spans="9:10" x14ac:dyDescent="0.2">
      <c r="I16262" s="1125"/>
      <c r="J16262" s="1125"/>
    </row>
    <row r="16263" spans="9:10" x14ac:dyDescent="0.2">
      <c r="I16263" s="1125"/>
      <c r="J16263" s="1125"/>
    </row>
    <row r="16264" spans="9:10" x14ac:dyDescent="0.2">
      <c r="I16264" s="1125"/>
      <c r="J16264" s="1125"/>
    </row>
    <row r="16265" spans="9:10" x14ac:dyDescent="0.2">
      <c r="I16265" s="1125"/>
      <c r="J16265" s="1125"/>
    </row>
    <row r="16266" spans="9:10" x14ac:dyDescent="0.2">
      <c r="I16266" s="1125"/>
      <c r="J16266" s="1125"/>
    </row>
    <row r="16267" spans="9:10" x14ac:dyDescent="0.2">
      <c r="I16267" s="1125"/>
      <c r="J16267" s="1125"/>
    </row>
    <row r="16268" spans="9:10" x14ac:dyDescent="0.2">
      <c r="I16268" s="1125"/>
      <c r="J16268" s="1125"/>
    </row>
    <row r="16269" spans="9:10" x14ac:dyDescent="0.2">
      <c r="I16269" s="1125"/>
      <c r="J16269" s="1125"/>
    </row>
    <row r="16270" spans="9:10" x14ac:dyDescent="0.2">
      <c r="I16270" s="1125"/>
      <c r="J16270" s="1125"/>
    </row>
    <row r="16271" spans="9:10" x14ac:dyDescent="0.2">
      <c r="I16271" s="1125"/>
      <c r="J16271" s="1125"/>
    </row>
    <row r="16272" spans="9:10" x14ac:dyDescent="0.2">
      <c r="I16272" s="1125"/>
      <c r="J16272" s="1125"/>
    </row>
    <row r="16273" spans="9:10" x14ac:dyDescent="0.2">
      <c r="I16273" s="1125"/>
      <c r="J16273" s="1125"/>
    </row>
    <row r="16274" spans="9:10" x14ac:dyDescent="0.2">
      <c r="I16274" s="1125"/>
      <c r="J16274" s="1125"/>
    </row>
    <row r="16275" spans="9:10" x14ac:dyDescent="0.2">
      <c r="I16275" s="1125"/>
      <c r="J16275" s="1125"/>
    </row>
    <row r="16276" spans="9:10" x14ac:dyDescent="0.2">
      <c r="I16276" s="1125"/>
      <c r="J16276" s="1125"/>
    </row>
    <row r="16277" spans="9:10" x14ac:dyDescent="0.2">
      <c r="I16277" s="1125"/>
      <c r="J16277" s="1125"/>
    </row>
    <row r="16278" spans="9:10" x14ac:dyDescent="0.2">
      <c r="I16278" s="1125"/>
      <c r="J16278" s="1125"/>
    </row>
    <row r="16279" spans="9:10" x14ac:dyDescent="0.2">
      <c r="I16279" s="1125"/>
      <c r="J16279" s="1125"/>
    </row>
    <row r="16280" spans="9:10" x14ac:dyDescent="0.2">
      <c r="I16280" s="1125"/>
      <c r="J16280" s="1125"/>
    </row>
    <row r="16281" spans="9:10" x14ac:dyDescent="0.2">
      <c r="I16281" s="1125"/>
      <c r="J16281" s="1125"/>
    </row>
    <row r="16282" spans="9:10" x14ac:dyDescent="0.2">
      <c r="I16282" s="1125"/>
      <c r="J16282" s="1125"/>
    </row>
    <row r="16283" spans="9:10" x14ac:dyDescent="0.2">
      <c r="I16283" s="1125"/>
      <c r="J16283" s="1125"/>
    </row>
    <row r="16284" spans="9:10" x14ac:dyDescent="0.2">
      <c r="I16284" s="1125"/>
      <c r="J16284" s="1125"/>
    </row>
    <row r="16285" spans="9:10" x14ac:dyDescent="0.2">
      <c r="I16285" s="1125"/>
      <c r="J16285" s="1125"/>
    </row>
    <row r="16286" spans="9:10" x14ac:dyDescent="0.2">
      <c r="I16286" s="1125"/>
      <c r="J16286" s="1125"/>
    </row>
    <row r="16287" spans="9:10" x14ac:dyDescent="0.2">
      <c r="I16287" s="1125"/>
      <c r="J16287" s="1125"/>
    </row>
    <row r="16288" spans="9:10" x14ac:dyDescent="0.2">
      <c r="I16288" s="1125"/>
      <c r="J16288" s="1125"/>
    </row>
    <row r="16289" spans="9:10" x14ac:dyDescent="0.2">
      <c r="I16289" s="1125"/>
      <c r="J16289" s="1125"/>
    </row>
    <row r="16290" spans="9:10" x14ac:dyDescent="0.2">
      <c r="I16290" s="1125"/>
      <c r="J16290" s="1125"/>
    </row>
    <row r="16291" spans="9:10" x14ac:dyDescent="0.2">
      <c r="I16291" s="1125"/>
      <c r="J16291" s="1125"/>
    </row>
    <row r="16292" spans="9:10" x14ac:dyDescent="0.2">
      <c r="I16292" s="1125"/>
      <c r="J16292" s="1125"/>
    </row>
    <row r="16293" spans="9:10" x14ac:dyDescent="0.2">
      <c r="I16293" s="1125"/>
      <c r="J16293" s="1125"/>
    </row>
    <row r="16294" spans="9:10" x14ac:dyDescent="0.2">
      <c r="I16294" s="1125"/>
      <c r="J16294" s="1125"/>
    </row>
    <row r="16295" spans="9:10" x14ac:dyDescent="0.2">
      <c r="I16295" s="1125"/>
      <c r="J16295" s="1125"/>
    </row>
    <row r="16296" spans="9:10" x14ac:dyDescent="0.2">
      <c r="I16296" s="1125"/>
      <c r="J16296" s="1125"/>
    </row>
    <row r="16297" spans="9:10" x14ac:dyDescent="0.2">
      <c r="I16297" s="1125"/>
      <c r="J16297" s="1125"/>
    </row>
    <row r="16298" spans="9:10" x14ac:dyDescent="0.2">
      <c r="I16298" s="1125"/>
      <c r="J16298" s="1125"/>
    </row>
    <row r="16299" spans="9:10" x14ac:dyDescent="0.2">
      <c r="I16299" s="1125"/>
      <c r="J16299" s="1125"/>
    </row>
    <row r="16300" spans="9:10" x14ac:dyDescent="0.2">
      <c r="I16300" s="1125"/>
      <c r="J16300" s="1125"/>
    </row>
    <row r="16301" spans="9:10" x14ac:dyDescent="0.2">
      <c r="I16301" s="1125"/>
      <c r="J16301" s="1125"/>
    </row>
    <row r="16302" spans="9:10" x14ac:dyDescent="0.2">
      <c r="I16302" s="1125"/>
      <c r="J16302" s="1125"/>
    </row>
    <row r="16303" spans="9:10" x14ac:dyDescent="0.2">
      <c r="I16303" s="1125"/>
      <c r="J16303" s="1125"/>
    </row>
    <row r="16304" spans="9:10" x14ac:dyDescent="0.2">
      <c r="I16304" s="1125"/>
      <c r="J16304" s="1125"/>
    </row>
    <row r="16305" spans="9:10" x14ac:dyDescent="0.2">
      <c r="I16305" s="1125"/>
      <c r="J16305" s="1125"/>
    </row>
    <row r="16306" spans="9:10" x14ac:dyDescent="0.2">
      <c r="I16306" s="1125"/>
      <c r="J16306" s="1125"/>
    </row>
    <row r="16307" spans="9:10" x14ac:dyDescent="0.2">
      <c r="I16307" s="1125"/>
      <c r="J16307" s="1125"/>
    </row>
    <row r="16308" spans="9:10" x14ac:dyDescent="0.2">
      <c r="I16308" s="1125"/>
      <c r="J16308" s="1125"/>
    </row>
    <row r="16309" spans="9:10" x14ac:dyDescent="0.2">
      <c r="I16309" s="1125"/>
      <c r="J16309" s="1125"/>
    </row>
    <row r="16310" spans="9:10" x14ac:dyDescent="0.2">
      <c r="I16310" s="1125"/>
      <c r="J16310" s="1125"/>
    </row>
    <row r="16311" spans="9:10" x14ac:dyDescent="0.2">
      <c r="I16311" s="1125"/>
      <c r="J16311" s="1125"/>
    </row>
    <row r="16312" spans="9:10" x14ac:dyDescent="0.2">
      <c r="I16312" s="1125"/>
      <c r="J16312" s="1125"/>
    </row>
    <row r="16313" spans="9:10" x14ac:dyDescent="0.2">
      <c r="I16313" s="1125"/>
      <c r="J16313" s="1125"/>
    </row>
    <row r="16314" spans="9:10" x14ac:dyDescent="0.2">
      <c r="I16314" s="1125"/>
      <c r="J16314" s="1125"/>
    </row>
    <row r="16315" spans="9:10" x14ac:dyDescent="0.2">
      <c r="I16315" s="1125"/>
      <c r="J16315" s="1125"/>
    </row>
    <row r="16316" spans="9:10" x14ac:dyDescent="0.2">
      <c r="I16316" s="1125"/>
      <c r="J16316" s="1125"/>
    </row>
    <row r="16317" spans="9:10" x14ac:dyDescent="0.2">
      <c r="I16317" s="1125"/>
      <c r="J16317" s="1125"/>
    </row>
    <row r="16318" spans="9:10" x14ac:dyDescent="0.2">
      <c r="I16318" s="1125"/>
      <c r="J16318" s="1125"/>
    </row>
    <row r="16319" spans="9:10" x14ac:dyDescent="0.2">
      <c r="I16319" s="1125"/>
      <c r="J16319" s="1125"/>
    </row>
    <row r="16320" spans="9:10" x14ac:dyDescent="0.2">
      <c r="I16320" s="1125"/>
      <c r="J16320" s="1125"/>
    </row>
    <row r="16321" spans="9:10" x14ac:dyDescent="0.2">
      <c r="I16321" s="1125"/>
      <c r="J16321" s="1125"/>
    </row>
    <row r="16322" spans="9:10" x14ac:dyDescent="0.2">
      <c r="I16322" s="1125"/>
      <c r="J16322" s="1125"/>
    </row>
    <row r="16323" spans="9:10" x14ac:dyDescent="0.2">
      <c r="I16323" s="1125"/>
      <c r="J16323" s="1125"/>
    </row>
    <row r="16324" spans="9:10" x14ac:dyDescent="0.2">
      <c r="I16324" s="1125"/>
      <c r="J16324" s="1125"/>
    </row>
    <row r="16325" spans="9:10" x14ac:dyDescent="0.2">
      <c r="I16325" s="1125"/>
      <c r="J16325" s="1125"/>
    </row>
    <row r="16326" spans="9:10" x14ac:dyDescent="0.2">
      <c r="I16326" s="1125"/>
      <c r="J16326" s="1125"/>
    </row>
    <row r="16327" spans="9:10" x14ac:dyDescent="0.2">
      <c r="I16327" s="1125"/>
      <c r="J16327" s="1125"/>
    </row>
    <row r="16328" spans="9:10" x14ac:dyDescent="0.2">
      <c r="I16328" s="1125"/>
      <c r="J16328" s="1125"/>
    </row>
    <row r="16329" spans="9:10" x14ac:dyDescent="0.2">
      <c r="I16329" s="1125"/>
      <c r="J16329" s="1125"/>
    </row>
    <row r="16330" spans="9:10" x14ac:dyDescent="0.2">
      <c r="I16330" s="1125"/>
      <c r="J16330" s="1125"/>
    </row>
    <row r="16331" spans="9:10" x14ac:dyDescent="0.2">
      <c r="I16331" s="1125"/>
      <c r="J16331" s="1125"/>
    </row>
    <row r="16332" spans="9:10" x14ac:dyDescent="0.2">
      <c r="I16332" s="1125"/>
      <c r="J16332" s="1125"/>
    </row>
    <row r="16333" spans="9:10" x14ac:dyDescent="0.2">
      <c r="I16333" s="1125"/>
      <c r="J16333" s="1125"/>
    </row>
    <row r="16334" spans="9:10" x14ac:dyDescent="0.2">
      <c r="I16334" s="1125"/>
      <c r="J16334" s="1125"/>
    </row>
    <row r="16335" spans="9:10" x14ac:dyDescent="0.2">
      <c r="I16335" s="1125"/>
      <c r="J16335" s="1125"/>
    </row>
    <row r="16336" spans="9:10" x14ac:dyDescent="0.2">
      <c r="I16336" s="1125"/>
      <c r="J16336" s="1125"/>
    </row>
    <row r="16337" spans="9:10" x14ac:dyDescent="0.2">
      <c r="I16337" s="1125"/>
      <c r="J16337" s="1125"/>
    </row>
    <row r="16338" spans="9:10" x14ac:dyDescent="0.2">
      <c r="I16338" s="1125"/>
      <c r="J16338" s="1125"/>
    </row>
    <row r="16339" spans="9:10" x14ac:dyDescent="0.2">
      <c r="I16339" s="1125"/>
      <c r="J16339" s="1125"/>
    </row>
    <row r="16340" spans="9:10" x14ac:dyDescent="0.2">
      <c r="I16340" s="1125"/>
      <c r="J16340" s="1125"/>
    </row>
    <row r="16341" spans="9:10" x14ac:dyDescent="0.2">
      <c r="I16341" s="1125"/>
      <c r="J16341" s="1125"/>
    </row>
    <row r="16342" spans="9:10" x14ac:dyDescent="0.2">
      <c r="I16342" s="1125"/>
      <c r="J16342" s="1125"/>
    </row>
    <row r="16343" spans="9:10" x14ac:dyDescent="0.2">
      <c r="I16343" s="1125"/>
      <c r="J16343" s="1125"/>
    </row>
    <row r="16344" spans="9:10" x14ac:dyDescent="0.2">
      <c r="I16344" s="1125"/>
      <c r="J16344" s="1125"/>
    </row>
    <row r="16345" spans="9:10" x14ac:dyDescent="0.2">
      <c r="I16345" s="1125"/>
      <c r="J16345" s="1125"/>
    </row>
    <row r="16346" spans="9:10" x14ac:dyDescent="0.2">
      <c r="I16346" s="1125"/>
      <c r="J16346" s="1125"/>
    </row>
    <row r="16347" spans="9:10" x14ac:dyDescent="0.2">
      <c r="I16347" s="1125"/>
      <c r="J16347" s="1125"/>
    </row>
    <row r="16348" spans="9:10" x14ac:dyDescent="0.2">
      <c r="I16348" s="1125"/>
      <c r="J16348" s="1125"/>
    </row>
    <row r="16349" spans="9:10" x14ac:dyDescent="0.2">
      <c r="I16349" s="1125"/>
      <c r="J16349" s="1125"/>
    </row>
    <row r="16350" spans="9:10" x14ac:dyDescent="0.2">
      <c r="I16350" s="1125"/>
      <c r="J16350" s="1125"/>
    </row>
    <row r="16351" spans="9:10" x14ac:dyDescent="0.2">
      <c r="I16351" s="1125"/>
      <c r="J16351" s="1125"/>
    </row>
    <row r="16352" spans="9:10" x14ac:dyDescent="0.2">
      <c r="I16352" s="1125"/>
      <c r="J16352" s="1125"/>
    </row>
    <row r="16353" spans="9:10" x14ac:dyDescent="0.2">
      <c r="I16353" s="1125"/>
      <c r="J16353" s="1125"/>
    </row>
    <row r="16354" spans="9:10" x14ac:dyDescent="0.2">
      <c r="I16354" s="1125"/>
      <c r="J16354" s="1125"/>
    </row>
    <row r="16355" spans="9:10" x14ac:dyDescent="0.2">
      <c r="I16355" s="1125"/>
      <c r="J16355" s="1125"/>
    </row>
    <row r="16356" spans="9:10" x14ac:dyDescent="0.2">
      <c r="I16356" s="1125"/>
      <c r="J16356" s="1125"/>
    </row>
    <row r="16357" spans="9:10" x14ac:dyDescent="0.2">
      <c r="I16357" s="1125"/>
      <c r="J16357" s="1125"/>
    </row>
    <row r="16358" spans="9:10" x14ac:dyDescent="0.2">
      <c r="I16358" s="1125"/>
      <c r="J16358" s="1125"/>
    </row>
    <row r="16359" spans="9:10" x14ac:dyDescent="0.2">
      <c r="I16359" s="1125"/>
      <c r="J16359" s="1125"/>
    </row>
    <row r="16360" spans="9:10" x14ac:dyDescent="0.2">
      <c r="I16360" s="1125"/>
      <c r="J16360" s="1125"/>
    </row>
    <row r="16361" spans="9:10" x14ac:dyDescent="0.2">
      <c r="I16361" s="1125"/>
      <c r="J16361" s="1125"/>
    </row>
    <row r="16362" spans="9:10" x14ac:dyDescent="0.2">
      <c r="I16362" s="1125"/>
      <c r="J16362" s="1125"/>
    </row>
    <row r="16363" spans="9:10" x14ac:dyDescent="0.2">
      <c r="I16363" s="1125"/>
      <c r="J16363" s="1125"/>
    </row>
    <row r="16364" spans="9:10" x14ac:dyDescent="0.2">
      <c r="I16364" s="1125"/>
      <c r="J16364" s="1125"/>
    </row>
    <row r="16365" spans="9:10" x14ac:dyDescent="0.2">
      <c r="I16365" s="1125"/>
      <c r="J16365" s="1125"/>
    </row>
    <row r="16366" spans="9:10" x14ac:dyDescent="0.2">
      <c r="I16366" s="1125"/>
      <c r="J16366" s="1125"/>
    </row>
    <row r="16367" spans="9:10" x14ac:dyDescent="0.2">
      <c r="I16367" s="1125"/>
      <c r="J16367" s="1125"/>
    </row>
    <row r="16368" spans="9:10" x14ac:dyDescent="0.2">
      <c r="I16368" s="1125"/>
      <c r="J16368" s="1125"/>
    </row>
    <row r="16369" spans="9:10" x14ac:dyDescent="0.2">
      <c r="I16369" s="1125"/>
      <c r="J16369" s="1125"/>
    </row>
    <row r="16370" spans="9:10" x14ac:dyDescent="0.2">
      <c r="I16370" s="1125"/>
      <c r="J16370" s="1125"/>
    </row>
    <row r="16371" spans="9:10" x14ac:dyDescent="0.2">
      <c r="I16371" s="1125"/>
      <c r="J16371" s="1125"/>
    </row>
    <row r="16372" spans="9:10" x14ac:dyDescent="0.2">
      <c r="I16372" s="1125"/>
      <c r="J16372" s="1125"/>
    </row>
    <row r="16373" spans="9:10" x14ac:dyDescent="0.2">
      <c r="I16373" s="1125"/>
      <c r="J16373" s="1125"/>
    </row>
    <row r="16374" spans="9:10" x14ac:dyDescent="0.2">
      <c r="I16374" s="1125"/>
      <c r="J16374" s="1125"/>
    </row>
    <row r="16375" spans="9:10" x14ac:dyDescent="0.2">
      <c r="I16375" s="1125"/>
      <c r="J16375" s="1125"/>
    </row>
    <row r="16376" spans="9:10" x14ac:dyDescent="0.2">
      <c r="I16376" s="1125"/>
      <c r="J16376" s="1125"/>
    </row>
    <row r="16377" spans="9:10" x14ac:dyDescent="0.2">
      <c r="I16377" s="1125"/>
      <c r="J16377" s="1125"/>
    </row>
    <row r="16378" spans="9:10" x14ac:dyDescent="0.2">
      <c r="I16378" s="1125"/>
      <c r="J16378" s="1125"/>
    </row>
    <row r="16379" spans="9:10" x14ac:dyDescent="0.2">
      <c r="I16379" s="1125"/>
      <c r="J16379" s="1125"/>
    </row>
    <row r="16380" spans="9:10" x14ac:dyDescent="0.2">
      <c r="I16380" s="1125"/>
      <c r="J16380" s="1125"/>
    </row>
    <row r="16381" spans="9:10" x14ac:dyDescent="0.2">
      <c r="I16381" s="1125"/>
      <c r="J16381" s="1125"/>
    </row>
    <row r="16382" spans="9:10" x14ac:dyDescent="0.2">
      <c r="I16382" s="1125"/>
      <c r="J16382" s="1125"/>
    </row>
    <row r="16383" spans="9:10" x14ac:dyDescent="0.2">
      <c r="I16383" s="1125"/>
      <c r="J16383" s="1125"/>
    </row>
    <row r="16384" spans="9:10" x14ac:dyDescent="0.2">
      <c r="I16384" s="1125"/>
      <c r="J16384" s="1125"/>
    </row>
    <row r="16385" spans="9:10" x14ac:dyDescent="0.2">
      <c r="I16385" s="1125"/>
      <c r="J16385" s="1125"/>
    </row>
    <row r="16386" spans="9:10" x14ac:dyDescent="0.2">
      <c r="I16386" s="1125"/>
      <c r="J16386" s="1125"/>
    </row>
    <row r="16387" spans="9:10" x14ac:dyDescent="0.2">
      <c r="I16387" s="1125"/>
      <c r="J16387" s="1125"/>
    </row>
    <row r="16388" spans="9:10" x14ac:dyDescent="0.2">
      <c r="I16388" s="1125"/>
      <c r="J16388" s="1125"/>
    </row>
    <row r="16389" spans="9:10" x14ac:dyDescent="0.2">
      <c r="I16389" s="1125"/>
      <c r="J16389" s="1125"/>
    </row>
    <row r="16390" spans="9:10" x14ac:dyDescent="0.2">
      <c r="I16390" s="1125"/>
      <c r="J16390" s="1125"/>
    </row>
    <row r="16391" spans="9:10" x14ac:dyDescent="0.2">
      <c r="I16391" s="1125"/>
      <c r="J16391" s="1125"/>
    </row>
    <row r="16392" spans="9:10" x14ac:dyDescent="0.2">
      <c r="I16392" s="1125"/>
      <c r="J16392" s="1125"/>
    </row>
    <row r="16393" spans="9:10" x14ac:dyDescent="0.2">
      <c r="I16393" s="1125"/>
      <c r="J16393" s="1125"/>
    </row>
    <row r="16394" spans="9:10" x14ac:dyDescent="0.2">
      <c r="I16394" s="1125"/>
      <c r="J16394" s="1125"/>
    </row>
    <row r="16395" spans="9:10" x14ac:dyDescent="0.2">
      <c r="I16395" s="1125"/>
      <c r="J16395" s="1125"/>
    </row>
    <row r="16396" spans="9:10" x14ac:dyDescent="0.2">
      <c r="I16396" s="1125"/>
      <c r="J16396" s="1125"/>
    </row>
    <row r="16397" spans="9:10" x14ac:dyDescent="0.2">
      <c r="I16397" s="1125"/>
      <c r="J16397" s="1125"/>
    </row>
    <row r="16398" spans="9:10" x14ac:dyDescent="0.2">
      <c r="I16398" s="1125"/>
      <c r="J16398" s="1125"/>
    </row>
    <row r="16399" spans="9:10" x14ac:dyDescent="0.2">
      <c r="I16399" s="1125"/>
      <c r="J16399" s="1125"/>
    </row>
    <row r="16400" spans="9:10" x14ac:dyDescent="0.2">
      <c r="I16400" s="1125"/>
      <c r="J16400" s="1125"/>
    </row>
    <row r="16401" spans="9:10" x14ac:dyDescent="0.2">
      <c r="I16401" s="1125"/>
      <c r="J16401" s="1125"/>
    </row>
    <row r="16402" spans="9:10" x14ac:dyDescent="0.2">
      <c r="I16402" s="1125"/>
      <c r="J16402" s="1125"/>
    </row>
    <row r="16403" spans="9:10" x14ac:dyDescent="0.2">
      <c r="I16403" s="1125"/>
      <c r="J16403" s="1125"/>
    </row>
    <row r="16404" spans="9:10" x14ac:dyDescent="0.2">
      <c r="I16404" s="1125"/>
      <c r="J16404" s="1125"/>
    </row>
    <row r="16405" spans="9:10" x14ac:dyDescent="0.2">
      <c r="I16405" s="1125"/>
      <c r="J16405" s="1125"/>
    </row>
    <row r="16406" spans="9:10" x14ac:dyDescent="0.2">
      <c r="I16406" s="1125"/>
      <c r="J16406" s="1125"/>
    </row>
    <row r="16407" spans="9:10" x14ac:dyDescent="0.2">
      <c r="I16407" s="1125"/>
      <c r="J16407" s="1125"/>
    </row>
    <row r="16408" spans="9:10" x14ac:dyDescent="0.2">
      <c r="I16408" s="1125"/>
      <c r="J16408" s="1125"/>
    </row>
    <row r="16409" spans="9:10" x14ac:dyDescent="0.2">
      <c r="I16409" s="1125"/>
      <c r="J16409" s="1125"/>
    </row>
    <row r="16410" spans="9:10" x14ac:dyDescent="0.2">
      <c r="I16410" s="1125"/>
      <c r="J16410" s="1125"/>
    </row>
    <row r="16411" spans="9:10" x14ac:dyDescent="0.2">
      <c r="I16411" s="1125"/>
      <c r="J16411" s="1125"/>
    </row>
    <row r="16412" spans="9:10" x14ac:dyDescent="0.2">
      <c r="I16412" s="1125"/>
      <c r="J16412" s="1125"/>
    </row>
    <row r="16413" spans="9:10" x14ac:dyDescent="0.2">
      <c r="I16413" s="1125"/>
      <c r="J16413" s="1125"/>
    </row>
    <row r="16414" spans="9:10" x14ac:dyDescent="0.2">
      <c r="I16414" s="1125"/>
      <c r="J16414" s="1125"/>
    </row>
    <row r="16415" spans="9:10" x14ac:dyDescent="0.2">
      <c r="I16415" s="1125"/>
      <c r="J16415" s="1125"/>
    </row>
    <row r="16416" spans="9:10" x14ac:dyDescent="0.2">
      <c r="I16416" s="1125"/>
      <c r="J16416" s="1125"/>
    </row>
    <row r="16417" spans="9:10" x14ac:dyDescent="0.2">
      <c r="I16417" s="1125"/>
      <c r="J16417" s="1125"/>
    </row>
    <row r="16418" spans="9:10" x14ac:dyDescent="0.2">
      <c r="I16418" s="1125"/>
      <c r="J16418" s="1125"/>
    </row>
    <row r="16419" spans="9:10" x14ac:dyDescent="0.2">
      <c r="I16419" s="1125"/>
      <c r="J16419" s="1125"/>
    </row>
    <row r="16420" spans="9:10" x14ac:dyDescent="0.2">
      <c r="I16420" s="1125"/>
      <c r="J16420" s="1125"/>
    </row>
    <row r="16421" spans="9:10" x14ac:dyDescent="0.2">
      <c r="I16421" s="1125"/>
      <c r="J16421" s="1125"/>
    </row>
    <row r="16422" spans="9:10" x14ac:dyDescent="0.2">
      <c r="I16422" s="1125"/>
      <c r="J16422" s="1125"/>
    </row>
    <row r="16423" spans="9:10" x14ac:dyDescent="0.2">
      <c r="I16423" s="1125"/>
      <c r="J16423" s="1125"/>
    </row>
    <row r="16424" spans="9:10" x14ac:dyDescent="0.2">
      <c r="I16424" s="1125"/>
      <c r="J16424" s="1125"/>
    </row>
    <row r="16425" spans="9:10" x14ac:dyDescent="0.2">
      <c r="I16425" s="1125"/>
      <c r="J16425" s="1125"/>
    </row>
    <row r="16426" spans="9:10" x14ac:dyDescent="0.2">
      <c r="I16426" s="1125"/>
      <c r="J16426" s="1125"/>
    </row>
    <row r="16427" spans="9:10" x14ac:dyDescent="0.2">
      <c r="I16427" s="1125"/>
      <c r="J16427" s="1125"/>
    </row>
    <row r="16428" spans="9:10" x14ac:dyDescent="0.2">
      <c r="I16428" s="1125"/>
      <c r="J16428" s="1125"/>
    </row>
    <row r="16429" spans="9:10" x14ac:dyDescent="0.2">
      <c r="I16429" s="1125"/>
      <c r="J16429" s="1125"/>
    </row>
    <row r="16430" spans="9:10" x14ac:dyDescent="0.2">
      <c r="I16430" s="1125"/>
      <c r="J16430" s="1125"/>
    </row>
    <row r="16431" spans="9:10" x14ac:dyDescent="0.2">
      <c r="I16431" s="1125"/>
      <c r="J16431" s="1125"/>
    </row>
    <row r="16432" spans="9:10" x14ac:dyDescent="0.2">
      <c r="I16432" s="1125"/>
      <c r="J16432" s="1125"/>
    </row>
    <row r="16433" spans="9:10" x14ac:dyDescent="0.2">
      <c r="I16433" s="1125"/>
      <c r="J16433" s="1125"/>
    </row>
    <row r="16434" spans="9:10" x14ac:dyDescent="0.2">
      <c r="I16434" s="1125"/>
      <c r="J16434" s="1125"/>
    </row>
    <row r="16435" spans="9:10" x14ac:dyDescent="0.2">
      <c r="I16435" s="1125"/>
      <c r="J16435" s="1125"/>
    </row>
    <row r="16436" spans="9:10" x14ac:dyDescent="0.2">
      <c r="I16436" s="1125"/>
      <c r="J16436" s="1125"/>
    </row>
    <row r="16437" spans="9:10" x14ac:dyDescent="0.2">
      <c r="I16437" s="1125"/>
      <c r="J16437" s="1125"/>
    </row>
    <row r="16438" spans="9:10" x14ac:dyDescent="0.2">
      <c r="I16438" s="1125"/>
      <c r="J16438" s="1125"/>
    </row>
    <row r="16439" spans="9:10" x14ac:dyDescent="0.2">
      <c r="I16439" s="1125"/>
      <c r="J16439" s="1125"/>
    </row>
    <row r="16440" spans="9:10" x14ac:dyDescent="0.2">
      <c r="I16440" s="1125"/>
      <c r="J16440" s="1125"/>
    </row>
    <row r="16441" spans="9:10" x14ac:dyDescent="0.2">
      <c r="I16441" s="1125"/>
      <c r="J16441" s="1125"/>
    </row>
    <row r="16442" spans="9:10" x14ac:dyDescent="0.2">
      <c r="I16442" s="1125"/>
      <c r="J16442" s="1125"/>
    </row>
    <row r="16443" spans="9:10" x14ac:dyDescent="0.2">
      <c r="I16443" s="1125"/>
      <c r="J16443" s="1125"/>
    </row>
    <row r="16444" spans="9:10" x14ac:dyDescent="0.2">
      <c r="I16444" s="1125"/>
      <c r="J16444" s="1125"/>
    </row>
    <row r="16445" spans="9:10" x14ac:dyDescent="0.2">
      <c r="I16445" s="1125"/>
      <c r="J16445" s="1125"/>
    </row>
    <row r="16446" spans="9:10" x14ac:dyDescent="0.2">
      <c r="I16446" s="1125"/>
      <c r="J16446" s="1125"/>
    </row>
    <row r="16447" spans="9:10" x14ac:dyDescent="0.2">
      <c r="I16447" s="1125"/>
      <c r="J16447" s="1125"/>
    </row>
    <row r="16448" spans="9:10" x14ac:dyDescent="0.2">
      <c r="I16448" s="1125"/>
      <c r="J16448" s="1125"/>
    </row>
    <row r="16449" spans="9:10" x14ac:dyDescent="0.2">
      <c r="I16449" s="1125"/>
      <c r="J16449" s="1125"/>
    </row>
    <row r="16450" spans="9:10" x14ac:dyDescent="0.2">
      <c r="I16450" s="1125"/>
      <c r="J16450" s="1125"/>
    </row>
    <row r="16451" spans="9:10" x14ac:dyDescent="0.2">
      <c r="I16451" s="1125"/>
      <c r="J16451" s="1125"/>
    </row>
    <row r="16452" spans="9:10" x14ac:dyDescent="0.2">
      <c r="I16452" s="1125"/>
      <c r="J16452" s="1125"/>
    </row>
    <row r="16453" spans="9:10" x14ac:dyDescent="0.2">
      <c r="I16453" s="1125"/>
      <c r="J16453" s="1125"/>
    </row>
    <row r="16454" spans="9:10" x14ac:dyDescent="0.2">
      <c r="I16454" s="1125"/>
      <c r="J16454" s="1125"/>
    </row>
    <row r="16455" spans="9:10" x14ac:dyDescent="0.2">
      <c r="I16455" s="1125"/>
      <c r="J16455" s="1125"/>
    </row>
    <row r="16456" spans="9:10" x14ac:dyDescent="0.2">
      <c r="I16456" s="1125"/>
      <c r="J16456" s="1125"/>
    </row>
    <row r="16457" spans="9:10" x14ac:dyDescent="0.2">
      <c r="I16457" s="1125"/>
      <c r="J16457" s="1125"/>
    </row>
    <row r="16458" spans="9:10" x14ac:dyDescent="0.2">
      <c r="I16458" s="1125"/>
      <c r="J16458" s="1125"/>
    </row>
    <row r="16459" spans="9:10" x14ac:dyDescent="0.2">
      <c r="I16459" s="1125"/>
      <c r="J16459" s="1125"/>
    </row>
    <row r="16460" spans="9:10" x14ac:dyDescent="0.2">
      <c r="I16460" s="1125"/>
      <c r="J16460" s="1125"/>
    </row>
    <row r="16461" spans="9:10" x14ac:dyDescent="0.2">
      <c r="I16461" s="1125"/>
      <c r="J16461" s="1125"/>
    </row>
    <row r="16462" spans="9:10" x14ac:dyDescent="0.2">
      <c r="I16462" s="1125"/>
      <c r="J16462" s="1125"/>
    </row>
    <row r="16463" spans="9:10" x14ac:dyDescent="0.2">
      <c r="I16463" s="1125"/>
      <c r="J16463" s="1125"/>
    </row>
    <row r="16464" spans="9:10" x14ac:dyDescent="0.2">
      <c r="I16464" s="1125"/>
      <c r="J16464" s="1125"/>
    </row>
    <row r="16465" spans="9:10" x14ac:dyDescent="0.2">
      <c r="I16465" s="1125"/>
      <c r="J16465" s="1125"/>
    </row>
    <row r="16466" spans="9:10" x14ac:dyDescent="0.2">
      <c r="I16466" s="1125"/>
      <c r="J16466" s="1125"/>
    </row>
    <row r="16467" spans="9:10" x14ac:dyDescent="0.2">
      <c r="I16467" s="1125"/>
      <c r="J16467" s="1125"/>
    </row>
    <row r="16468" spans="9:10" x14ac:dyDescent="0.2">
      <c r="I16468" s="1125"/>
      <c r="J16468" s="1125"/>
    </row>
    <row r="16469" spans="9:10" x14ac:dyDescent="0.2">
      <c r="I16469" s="1125"/>
      <c r="J16469" s="1125"/>
    </row>
    <row r="16470" spans="9:10" x14ac:dyDescent="0.2">
      <c r="I16470" s="1125"/>
      <c r="J16470" s="1125"/>
    </row>
    <row r="16471" spans="9:10" x14ac:dyDescent="0.2">
      <c r="I16471" s="1125"/>
      <c r="J16471" s="1125"/>
    </row>
    <row r="16472" spans="9:10" x14ac:dyDescent="0.2">
      <c r="I16472" s="1125"/>
      <c r="J16472" s="1125"/>
    </row>
    <row r="16473" spans="9:10" x14ac:dyDescent="0.2">
      <c r="I16473" s="1125"/>
      <c r="J16473" s="1125"/>
    </row>
    <row r="16474" spans="9:10" x14ac:dyDescent="0.2">
      <c r="I16474" s="1125"/>
      <c r="J16474" s="1125"/>
    </row>
    <row r="16475" spans="9:10" x14ac:dyDescent="0.2">
      <c r="I16475" s="1125"/>
      <c r="J16475" s="1125"/>
    </row>
    <row r="16476" spans="9:10" x14ac:dyDescent="0.2">
      <c r="I16476" s="1125"/>
      <c r="J16476" s="1125"/>
    </row>
    <row r="16477" spans="9:10" x14ac:dyDescent="0.2">
      <c r="I16477" s="1125"/>
      <c r="J16477" s="1125"/>
    </row>
    <row r="16478" spans="9:10" x14ac:dyDescent="0.2">
      <c r="I16478" s="1125"/>
      <c r="J16478" s="1125"/>
    </row>
    <row r="16479" spans="9:10" x14ac:dyDescent="0.2">
      <c r="I16479" s="1125"/>
      <c r="J16479" s="1125"/>
    </row>
    <row r="16480" spans="9:10" x14ac:dyDescent="0.2">
      <c r="I16480" s="1125"/>
      <c r="J16480" s="1125"/>
    </row>
    <row r="16481" spans="9:10" x14ac:dyDescent="0.2">
      <c r="I16481" s="1125"/>
      <c r="J16481" s="1125"/>
    </row>
    <row r="16482" spans="9:10" x14ac:dyDescent="0.2">
      <c r="I16482" s="1125"/>
      <c r="J16482" s="1125"/>
    </row>
    <row r="16483" spans="9:10" x14ac:dyDescent="0.2">
      <c r="I16483" s="1125"/>
      <c r="J16483" s="1125"/>
    </row>
    <row r="16484" spans="9:10" x14ac:dyDescent="0.2">
      <c r="I16484" s="1125"/>
      <c r="J16484" s="1125"/>
    </row>
    <row r="16485" spans="9:10" x14ac:dyDescent="0.2">
      <c r="I16485" s="1125"/>
      <c r="J16485" s="1125"/>
    </row>
    <row r="16486" spans="9:10" x14ac:dyDescent="0.2">
      <c r="I16486" s="1125"/>
      <c r="J16486" s="1125"/>
    </row>
    <row r="16487" spans="9:10" x14ac:dyDescent="0.2">
      <c r="I16487" s="1125"/>
      <c r="J16487" s="1125"/>
    </row>
    <row r="16488" spans="9:10" x14ac:dyDescent="0.2">
      <c r="I16488" s="1125"/>
      <c r="J16488" s="1125"/>
    </row>
    <row r="16489" spans="9:10" x14ac:dyDescent="0.2">
      <c r="I16489" s="1125"/>
      <c r="J16489" s="1125"/>
    </row>
    <row r="16490" spans="9:10" x14ac:dyDescent="0.2">
      <c r="I16490" s="1125"/>
      <c r="J16490" s="1125"/>
    </row>
    <row r="16491" spans="9:10" x14ac:dyDescent="0.2">
      <c r="I16491" s="1125"/>
      <c r="J16491" s="1125"/>
    </row>
    <row r="16492" spans="9:10" x14ac:dyDescent="0.2">
      <c r="I16492" s="1125"/>
      <c r="J16492" s="1125"/>
    </row>
    <row r="16493" spans="9:10" x14ac:dyDescent="0.2">
      <c r="I16493" s="1125"/>
      <c r="J16493" s="1125"/>
    </row>
    <row r="16494" spans="9:10" x14ac:dyDescent="0.2">
      <c r="I16494" s="1125"/>
      <c r="J16494" s="1125"/>
    </row>
    <row r="16495" spans="9:10" x14ac:dyDescent="0.2">
      <c r="I16495" s="1125"/>
      <c r="J16495" s="1125"/>
    </row>
    <row r="16496" spans="9:10" x14ac:dyDescent="0.2">
      <c r="I16496" s="1125"/>
      <c r="J16496" s="1125"/>
    </row>
    <row r="16497" spans="9:10" x14ac:dyDescent="0.2">
      <c r="I16497" s="1125"/>
      <c r="J16497" s="1125"/>
    </row>
    <row r="16498" spans="9:10" x14ac:dyDescent="0.2">
      <c r="I16498" s="1125"/>
      <c r="J16498" s="1125"/>
    </row>
    <row r="16499" spans="9:10" x14ac:dyDescent="0.2">
      <c r="I16499" s="1125"/>
      <c r="J16499" s="1125"/>
    </row>
    <row r="16500" spans="9:10" x14ac:dyDescent="0.2">
      <c r="I16500" s="1125"/>
      <c r="J16500" s="1125"/>
    </row>
    <row r="16501" spans="9:10" x14ac:dyDescent="0.2">
      <c r="I16501" s="1125"/>
      <c r="J16501" s="1125"/>
    </row>
    <row r="16502" spans="9:10" x14ac:dyDescent="0.2">
      <c r="I16502" s="1125"/>
      <c r="J16502" s="1125"/>
    </row>
    <row r="16503" spans="9:10" x14ac:dyDescent="0.2">
      <c r="I16503" s="1125"/>
      <c r="J16503" s="1125"/>
    </row>
    <row r="16504" spans="9:10" x14ac:dyDescent="0.2">
      <c r="I16504" s="1125"/>
      <c r="J16504" s="1125"/>
    </row>
    <row r="16505" spans="9:10" x14ac:dyDescent="0.2">
      <c r="I16505" s="1125"/>
      <c r="J16505" s="1125"/>
    </row>
    <row r="16506" spans="9:10" x14ac:dyDescent="0.2">
      <c r="I16506" s="1125"/>
      <c r="J16506" s="1125"/>
    </row>
    <row r="16507" spans="9:10" x14ac:dyDescent="0.2">
      <c r="I16507" s="1125"/>
      <c r="J16507" s="1125"/>
    </row>
    <row r="16508" spans="9:10" x14ac:dyDescent="0.2">
      <c r="I16508" s="1125"/>
      <c r="J16508" s="1125"/>
    </row>
    <row r="16509" spans="9:10" x14ac:dyDescent="0.2">
      <c r="I16509" s="1125"/>
      <c r="J16509" s="1125"/>
    </row>
    <row r="16510" spans="9:10" x14ac:dyDescent="0.2">
      <c r="I16510" s="1125"/>
      <c r="J16510" s="1125"/>
    </row>
    <row r="16511" spans="9:10" x14ac:dyDescent="0.2">
      <c r="I16511" s="1125"/>
      <c r="J16511" s="1125"/>
    </row>
    <row r="16512" spans="9:10" x14ac:dyDescent="0.2">
      <c r="I16512" s="1125"/>
      <c r="J16512" s="1125"/>
    </row>
    <row r="16513" spans="9:10" x14ac:dyDescent="0.2">
      <c r="I16513" s="1125"/>
      <c r="J16513" s="1125"/>
    </row>
    <row r="16514" spans="9:10" x14ac:dyDescent="0.2">
      <c r="I16514" s="1125"/>
      <c r="J16514" s="1125"/>
    </row>
    <row r="16515" spans="9:10" x14ac:dyDescent="0.2">
      <c r="I16515" s="1125"/>
      <c r="J16515" s="1125"/>
    </row>
    <row r="16516" spans="9:10" x14ac:dyDescent="0.2">
      <c r="I16516" s="1125"/>
      <c r="J16516" s="1125"/>
    </row>
    <row r="16517" spans="9:10" x14ac:dyDescent="0.2">
      <c r="I16517" s="1125"/>
      <c r="J16517" s="1125"/>
    </row>
    <row r="16518" spans="9:10" x14ac:dyDescent="0.2">
      <c r="I16518" s="1125"/>
      <c r="J16518" s="1125"/>
    </row>
    <row r="16519" spans="9:10" x14ac:dyDescent="0.2">
      <c r="I16519" s="1125"/>
      <c r="J16519" s="1125"/>
    </row>
    <row r="16520" spans="9:10" x14ac:dyDescent="0.2">
      <c r="I16520" s="1125"/>
      <c r="J16520" s="1125"/>
    </row>
    <row r="16521" spans="9:10" x14ac:dyDescent="0.2">
      <c r="I16521" s="1125"/>
      <c r="J16521" s="1125"/>
    </row>
    <row r="16522" spans="9:10" x14ac:dyDescent="0.2">
      <c r="I16522" s="1125"/>
      <c r="J16522" s="1125"/>
    </row>
    <row r="16523" spans="9:10" x14ac:dyDescent="0.2">
      <c r="I16523" s="1125"/>
      <c r="J16523" s="1125"/>
    </row>
    <row r="16524" spans="9:10" x14ac:dyDescent="0.2">
      <c r="I16524" s="1125"/>
      <c r="J16524" s="1125"/>
    </row>
    <row r="16525" spans="9:10" x14ac:dyDescent="0.2">
      <c r="I16525" s="1125"/>
      <c r="J16525" s="1125"/>
    </row>
    <row r="16526" spans="9:10" x14ac:dyDescent="0.2">
      <c r="I16526" s="1125"/>
      <c r="J16526" s="1125"/>
    </row>
    <row r="16527" spans="9:10" x14ac:dyDescent="0.2">
      <c r="I16527" s="1125"/>
      <c r="J16527" s="1125"/>
    </row>
    <row r="16528" spans="9:10" x14ac:dyDescent="0.2">
      <c r="I16528" s="1125"/>
      <c r="J16528" s="1125"/>
    </row>
    <row r="16529" spans="9:10" x14ac:dyDescent="0.2">
      <c r="I16529" s="1125"/>
      <c r="J16529" s="1125"/>
    </row>
    <row r="16530" spans="9:10" x14ac:dyDescent="0.2">
      <c r="I16530" s="1125"/>
      <c r="J16530" s="1125"/>
    </row>
    <row r="16531" spans="9:10" x14ac:dyDescent="0.2">
      <c r="I16531" s="1125"/>
      <c r="J16531" s="1125"/>
    </row>
    <row r="16532" spans="9:10" x14ac:dyDescent="0.2">
      <c r="I16532" s="1125"/>
      <c r="J16532" s="1125"/>
    </row>
    <row r="16533" spans="9:10" x14ac:dyDescent="0.2">
      <c r="I16533" s="1125"/>
      <c r="J16533" s="1125"/>
    </row>
    <row r="16534" spans="9:10" x14ac:dyDescent="0.2">
      <c r="I16534" s="1125"/>
      <c r="J16534" s="1125"/>
    </row>
    <row r="16535" spans="9:10" x14ac:dyDescent="0.2">
      <c r="I16535" s="1125"/>
      <c r="J16535" s="1125"/>
    </row>
    <row r="16536" spans="9:10" x14ac:dyDescent="0.2">
      <c r="I16536" s="1125"/>
      <c r="J16536" s="1125"/>
    </row>
    <row r="16537" spans="9:10" x14ac:dyDescent="0.2">
      <c r="I16537" s="1125"/>
      <c r="J16537" s="1125"/>
    </row>
    <row r="16538" spans="9:10" x14ac:dyDescent="0.2">
      <c r="I16538" s="1125"/>
      <c r="J16538" s="1125"/>
    </row>
    <row r="16539" spans="9:10" x14ac:dyDescent="0.2">
      <c r="I16539" s="1125"/>
      <c r="J16539" s="1125"/>
    </row>
    <row r="16540" spans="9:10" x14ac:dyDescent="0.2">
      <c r="I16540" s="1125"/>
      <c r="J16540" s="1125"/>
    </row>
    <row r="16541" spans="9:10" x14ac:dyDescent="0.2">
      <c r="I16541" s="1125"/>
      <c r="J16541" s="1125"/>
    </row>
    <row r="16542" spans="9:10" x14ac:dyDescent="0.2">
      <c r="I16542" s="1125"/>
      <c r="J16542" s="1125"/>
    </row>
    <row r="16543" spans="9:10" x14ac:dyDescent="0.2">
      <c r="I16543" s="1125"/>
      <c r="J16543" s="1125"/>
    </row>
    <row r="16544" spans="9:10" x14ac:dyDescent="0.2">
      <c r="I16544" s="1125"/>
      <c r="J16544" s="1125"/>
    </row>
    <row r="16545" spans="9:10" x14ac:dyDescent="0.2">
      <c r="I16545" s="1125"/>
      <c r="J16545" s="1125"/>
    </row>
    <row r="16546" spans="9:10" x14ac:dyDescent="0.2">
      <c r="I16546" s="1125"/>
      <c r="J16546" s="1125"/>
    </row>
    <row r="16547" spans="9:10" x14ac:dyDescent="0.2">
      <c r="I16547" s="1125"/>
      <c r="J16547" s="1125"/>
    </row>
    <row r="16548" spans="9:10" x14ac:dyDescent="0.2">
      <c r="I16548" s="1125"/>
      <c r="J16548" s="1125"/>
    </row>
    <row r="16549" spans="9:10" x14ac:dyDescent="0.2">
      <c r="I16549" s="1125"/>
      <c r="J16549" s="1125"/>
    </row>
    <row r="16550" spans="9:10" x14ac:dyDescent="0.2">
      <c r="I16550" s="1125"/>
      <c r="J16550" s="1125"/>
    </row>
    <row r="16551" spans="9:10" x14ac:dyDescent="0.2">
      <c r="I16551" s="1125"/>
      <c r="J16551" s="1125"/>
    </row>
    <row r="16552" spans="9:10" x14ac:dyDescent="0.2">
      <c r="I16552" s="1125"/>
      <c r="J16552" s="1125"/>
    </row>
    <row r="16553" spans="9:10" x14ac:dyDescent="0.2">
      <c r="I16553" s="1125"/>
      <c r="J16553" s="1125"/>
    </row>
    <row r="16554" spans="9:10" x14ac:dyDescent="0.2">
      <c r="I16554" s="1125"/>
      <c r="J16554" s="1125"/>
    </row>
    <row r="16555" spans="9:10" x14ac:dyDescent="0.2">
      <c r="I16555" s="1125"/>
      <c r="J16555" s="1125"/>
    </row>
    <row r="16556" spans="9:10" x14ac:dyDescent="0.2">
      <c r="I16556" s="1125"/>
      <c r="J16556" s="1125"/>
    </row>
    <row r="16557" spans="9:10" x14ac:dyDescent="0.2">
      <c r="I16557" s="1125"/>
      <c r="J16557" s="1125"/>
    </row>
    <row r="16558" spans="9:10" x14ac:dyDescent="0.2">
      <c r="I16558" s="1125"/>
      <c r="J16558" s="1125"/>
    </row>
    <row r="16559" spans="9:10" x14ac:dyDescent="0.2">
      <c r="I16559" s="1125"/>
      <c r="J16559" s="1125"/>
    </row>
    <row r="16560" spans="9:10" x14ac:dyDescent="0.2">
      <c r="I16560" s="1125"/>
      <c r="J16560" s="1125"/>
    </row>
    <row r="16561" spans="9:10" x14ac:dyDescent="0.2">
      <c r="I16561" s="1125"/>
      <c r="J16561" s="1125"/>
    </row>
    <row r="16562" spans="9:10" x14ac:dyDescent="0.2">
      <c r="I16562" s="1125"/>
      <c r="J16562" s="1125"/>
    </row>
    <row r="16563" spans="9:10" x14ac:dyDescent="0.2">
      <c r="I16563" s="1125"/>
      <c r="J16563" s="1125"/>
    </row>
    <row r="16564" spans="9:10" x14ac:dyDescent="0.2">
      <c r="I16564" s="1125"/>
      <c r="J16564" s="1125"/>
    </row>
    <row r="16565" spans="9:10" x14ac:dyDescent="0.2">
      <c r="I16565" s="1125"/>
      <c r="J16565" s="1125"/>
    </row>
    <row r="16566" spans="9:10" x14ac:dyDescent="0.2">
      <c r="I16566" s="1125"/>
      <c r="J16566" s="1125"/>
    </row>
    <row r="16567" spans="9:10" x14ac:dyDescent="0.2">
      <c r="I16567" s="1125"/>
      <c r="J16567" s="1125"/>
    </row>
    <row r="16568" spans="9:10" x14ac:dyDescent="0.2">
      <c r="I16568" s="1125"/>
      <c r="J16568" s="1125"/>
    </row>
    <row r="16569" spans="9:10" x14ac:dyDescent="0.2">
      <c r="I16569" s="1125"/>
      <c r="J16569" s="1125"/>
    </row>
    <row r="16570" spans="9:10" x14ac:dyDescent="0.2">
      <c r="I16570" s="1125"/>
      <c r="J16570" s="1125"/>
    </row>
    <row r="16571" spans="9:10" x14ac:dyDescent="0.2">
      <c r="I16571" s="1125"/>
      <c r="J16571" s="1125"/>
    </row>
    <row r="16572" spans="9:10" x14ac:dyDescent="0.2">
      <c r="I16572" s="1125"/>
      <c r="J16572" s="1125"/>
    </row>
    <row r="16573" spans="9:10" x14ac:dyDescent="0.2">
      <c r="I16573" s="1125"/>
      <c r="J16573" s="1125"/>
    </row>
    <row r="16574" spans="9:10" x14ac:dyDescent="0.2">
      <c r="I16574" s="1125"/>
      <c r="J16574" s="1125"/>
    </row>
    <row r="16575" spans="9:10" x14ac:dyDescent="0.2">
      <c r="I16575" s="1125"/>
      <c r="J16575" s="1125"/>
    </row>
    <row r="16576" spans="9:10" x14ac:dyDescent="0.2">
      <c r="I16576" s="1125"/>
      <c r="J16576" s="1125"/>
    </row>
    <row r="16577" spans="9:10" x14ac:dyDescent="0.2">
      <c r="I16577" s="1125"/>
      <c r="J16577" s="1125"/>
    </row>
    <row r="16578" spans="9:10" x14ac:dyDescent="0.2">
      <c r="I16578" s="1125"/>
      <c r="J16578" s="1125"/>
    </row>
    <row r="16579" spans="9:10" x14ac:dyDescent="0.2">
      <c r="I16579" s="1125"/>
      <c r="J16579" s="1125"/>
    </row>
    <row r="16580" spans="9:10" x14ac:dyDescent="0.2">
      <c r="I16580" s="1125"/>
      <c r="J16580" s="1125"/>
    </row>
    <row r="16581" spans="9:10" x14ac:dyDescent="0.2">
      <c r="I16581" s="1125"/>
      <c r="J16581" s="1125"/>
    </row>
    <row r="16582" spans="9:10" x14ac:dyDescent="0.2">
      <c r="I16582" s="1125"/>
      <c r="J16582" s="1125"/>
    </row>
    <row r="16583" spans="9:10" x14ac:dyDescent="0.2">
      <c r="I16583" s="1125"/>
      <c r="J16583" s="1125"/>
    </row>
    <row r="16584" spans="9:10" x14ac:dyDescent="0.2">
      <c r="I16584" s="1125"/>
      <c r="J16584" s="1125"/>
    </row>
    <row r="16585" spans="9:10" x14ac:dyDescent="0.2">
      <c r="I16585" s="1125"/>
      <c r="J16585" s="1125"/>
    </row>
    <row r="16586" spans="9:10" x14ac:dyDescent="0.2">
      <c r="I16586" s="1125"/>
      <c r="J16586" s="1125"/>
    </row>
    <row r="16587" spans="9:10" x14ac:dyDescent="0.2">
      <c r="I16587" s="1125"/>
      <c r="J16587" s="1125"/>
    </row>
    <row r="16588" spans="9:10" x14ac:dyDescent="0.2">
      <c r="I16588" s="1125"/>
      <c r="J16588" s="1125"/>
    </row>
    <row r="16589" spans="9:10" x14ac:dyDescent="0.2">
      <c r="I16589" s="1125"/>
      <c r="J16589" s="1125"/>
    </row>
    <row r="16590" spans="9:10" x14ac:dyDescent="0.2">
      <c r="I16590" s="1125"/>
      <c r="J16590" s="1125"/>
    </row>
    <row r="16591" spans="9:10" x14ac:dyDescent="0.2">
      <c r="I16591" s="1125"/>
      <c r="J16591" s="1125"/>
    </row>
    <row r="16592" spans="9:10" x14ac:dyDescent="0.2">
      <c r="I16592" s="1125"/>
      <c r="J16592" s="1125"/>
    </row>
    <row r="16593" spans="9:10" x14ac:dyDescent="0.2">
      <c r="I16593" s="1125"/>
      <c r="J16593" s="1125"/>
    </row>
    <row r="16594" spans="9:10" x14ac:dyDescent="0.2">
      <c r="I16594" s="1125"/>
      <c r="J16594" s="1125"/>
    </row>
    <row r="16595" spans="9:10" x14ac:dyDescent="0.2">
      <c r="I16595" s="1125"/>
      <c r="J16595" s="1125"/>
    </row>
    <row r="16596" spans="9:10" x14ac:dyDescent="0.2">
      <c r="I16596" s="1125"/>
      <c r="J16596" s="1125"/>
    </row>
    <row r="16597" spans="9:10" x14ac:dyDescent="0.2">
      <c r="I16597" s="1125"/>
      <c r="J16597" s="1125"/>
    </row>
    <row r="16598" spans="9:10" x14ac:dyDescent="0.2">
      <c r="I16598" s="1125"/>
      <c r="J16598" s="1125"/>
    </row>
    <row r="16599" spans="9:10" x14ac:dyDescent="0.2">
      <c r="I16599" s="1125"/>
      <c r="J16599" s="1125"/>
    </row>
    <row r="16600" spans="9:10" x14ac:dyDescent="0.2">
      <c r="I16600" s="1125"/>
      <c r="J16600" s="1125"/>
    </row>
    <row r="16601" spans="9:10" x14ac:dyDescent="0.2">
      <c r="I16601" s="1125"/>
      <c r="J16601" s="1125"/>
    </row>
    <row r="16602" spans="9:10" x14ac:dyDescent="0.2">
      <c r="I16602" s="1125"/>
      <c r="J16602" s="1125"/>
    </row>
    <row r="16603" spans="9:10" x14ac:dyDescent="0.2">
      <c r="I16603" s="1125"/>
      <c r="J16603" s="1125"/>
    </row>
    <row r="16604" spans="9:10" x14ac:dyDescent="0.2">
      <c r="I16604" s="1125"/>
      <c r="J16604" s="1125"/>
    </row>
    <row r="16605" spans="9:10" x14ac:dyDescent="0.2">
      <c r="I16605" s="1125"/>
      <c r="J16605" s="1125"/>
    </row>
    <row r="16606" spans="9:10" x14ac:dyDescent="0.2">
      <c r="I16606" s="1125"/>
      <c r="J16606" s="1125"/>
    </row>
    <row r="16607" spans="9:10" x14ac:dyDescent="0.2">
      <c r="I16607" s="1125"/>
      <c r="J16607" s="1125"/>
    </row>
    <row r="16608" spans="9:10" x14ac:dyDescent="0.2">
      <c r="I16608" s="1125"/>
      <c r="J16608" s="1125"/>
    </row>
    <row r="16609" spans="9:10" x14ac:dyDescent="0.2">
      <c r="I16609" s="1125"/>
      <c r="J16609" s="1125"/>
    </row>
    <row r="16610" spans="9:10" x14ac:dyDescent="0.2">
      <c r="I16610" s="1125"/>
      <c r="J16610" s="1125"/>
    </row>
    <row r="16611" spans="9:10" x14ac:dyDescent="0.2">
      <c r="I16611" s="1125"/>
      <c r="J16611" s="1125"/>
    </row>
    <row r="16612" spans="9:10" x14ac:dyDescent="0.2">
      <c r="I16612" s="1125"/>
      <c r="J16612" s="1125"/>
    </row>
    <row r="16613" spans="9:10" x14ac:dyDescent="0.2">
      <c r="I16613" s="1125"/>
      <c r="J16613" s="1125"/>
    </row>
    <row r="16614" spans="9:10" x14ac:dyDescent="0.2">
      <c r="I16614" s="1125"/>
      <c r="J16614" s="1125"/>
    </row>
    <row r="16615" spans="9:10" x14ac:dyDescent="0.2">
      <c r="I16615" s="1125"/>
      <c r="J16615" s="1125"/>
    </row>
    <row r="16616" spans="9:10" x14ac:dyDescent="0.2">
      <c r="I16616" s="1125"/>
      <c r="J16616" s="1125"/>
    </row>
    <row r="16617" spans="9:10" x14ac:dyDescent="0.2">
      <c r="I16617" s="1125"/>
      <c r="J16617" s="1125"/>
    </row>
    <row r="16618" spans="9:10" x14ac:dyDescent="0.2">
      <c r="I16618" s="1125"/>
      <c r="J16618" s="1125"/>
    </row>
    <row r="16619" spans="9:10" x14ac:dyDescent="0.2">
      <c r="I16619" s="1125"/>
      <c r="J16619" s="1125"/>
    </row>
    <row r="16620" spans="9:10" x14ac:dyDescent="0.2">
      <c r="I16620" s="1125"/>
      <c r="J16620" s="1125"/>
    </row>
    <row r="16621" spans="9:10" x14ac:dyDescent="0.2">
      <c r="I16621" s="1125"/>
      <c r="J16621" s="1125"/>
    </row>
    <row r="16622" spans="9:10" x14ac:dyDescent="0.2">
      <c r="I16622" s="1125"/>
      <c r="J16622" s="1125"/>
    </row>
    <row r="16623" spans="9:10" x14ac:dyDescent="0.2">
      <c r="I16623" s="1125"/>
      <c r="J16623" s="1125"/>
    </row>
    <row r="16624" spans="9:10" x14ac:dyDescent="0.2">
      <c r="I16624" s="1125"/>
      <c r="J16624" s="1125"/>
    </row>
    <row r="16625" spans="9:10" x14ac:dyDescent="0.2">
      <c r="I16625" s="1125"/>
      <c r="J16625" s="1125"/>
    </row>
    <row r="16626" spans="9:10" x14ac:dyDescent="0.2">
      <c r="I16626" s="1125"/>
      <c r="J16626" s="1125"/>
    </row>
    <row r="16627" spans="9:10" x14ac:dyDescent="0.2">
      <c r="I16627" s="1125"/>
      <c r="J16627" s="1125"/>
    </row>
    <row r="16628" spans="9:10" x14ac:dyDescent="0.2">
      <c r="I16628" s="1125"/>
      <c r="J16628" s="1125"/>
    </row>
    <row r="16629" spans="9:10" x14ac:dyDescent="0.2">
      <c r="I16629" s="1125"/>
      <c r="J16629" s="1125"/>
    </row>
    <row r="16630" spans="9:10" x14ac:dyDescent="0.2">
      <c r="I16630" s="1125"/>
      <c r="J16630" s="1125"/>
    </row>
    <row r="16631" spans="9:10" x14ac:dyDescent="0.2">
      <c r="I16631" s="1125"/>
      <c r="J16631" s="1125"/>
    </row>
    <row r="16632" spans="9:10" x14ac:dyDescent="0.2">
      <c r="I16632" s="1125"/>
      <c r="J16632" s="1125"/>
    </row>
    <row r="16633" spans="9:10" x14ac:dyDescent="0.2">
      <c r="I16633" s="1125"/>
      <c r="J16633" s="1125"/>
    </row>
    <row r="16634" spans="9:10" x14ac:dyDescent="0.2">
      <c r="I16634" s="1125"/>
      <c r="J16634" s="1125"/>
    </row>
    <row r="16635" spans="9:10" x14ac:dyDescent="0.2">
      <c r="I16635" s="1125"/>
      <c r="J16635" s="1125"/>
    </row>
    <row r="16636" spans="9:10" x14ac:dyDescent="0.2">
      <c r="I16636" s="1125"/>
      <c r="J16636" s="1125"/>
    </row>
    <row r="16637" spans="9:10" x14ac:dyDescent="0.2">
      <c r="I16637" s="1125"/>
      <c r="J16637" s="1125"/>
    </row>
    <row r="16638" spans="9:10" x14ac:dyDescent="0.2">
      <c r="I16638" s="1125"/>
      <c r="J16638" s="1125"/>
    </row>
    <row r="16639" spans="9:10" x14ac:dyDescent="0.2">
      <c r="I16639" s="1125"/>
      <c r="J16639" s="1125"/>
    </row>
    <row r="16640" spans="9:10" x14ac:dyDescent="0.2">
      <c r="I16640" s="1125"/>
      <c r="J16640" s="1125"/>
    </row>
    <row r="16641" spans="9:10" x14ac:dyDescent="0.2">
      <c r="I16641" s="1125"/>
      <c r="J16641" s="1125"/>
    </row>
    <row r="16642" spans="9:10" x14ac:dyDescent="0.2">
      <c r="I16642" s="1125"/>
      <c r="J16642" s="1125"/>
    </row>
    <row r="16643" spans="9:10" x14ac:dyDescent="0.2">
      <c r="I16643" s="1125"/>
      <c r="J16643" s="1125"/>
    </row>
    <row r="16644" spans="9:10" x14ac:dyDescent="0.2">
      <c r="I16644" s="1125"/>
      <c r="J16644" s="1125"/>
    </row>
    <row r="16645" spans="9:10" x14ac:dyDescent="0.2">
      <c r="I16645" s="1125"/>
      <c r="J16645" s="1125"/>
    </row>
    <row r="16646" spans="9:10" x14ac:dyDescent="0.2">
      <c r="I16646" s="1125"/>
      <c r="J16646" s="1125"/>
    </row>
    <row r="16647" spans="9:10" x14ac:dyDescent="0.2">
      <c r="I16647" s="1125"/>
      <c r="J16647" s="1125"/>
    </row>
    <row r="16648" spans="9:10" x14ac:dyDescent="0.2">
      <c r="I16648" s="1125"/>
      <c r="J16648" s="1125"/>
    </row>
    <row r="16649" spans="9:10" x14ac:dyDescent="0.2">
      <c r="I16649" s="1125"/>
      <c r="J16649" s="1125"/>
    </row>
    <row r="16650" spans="9:10" x14ac:dyDescent="0.2">
      <c r="I16650" s="1125"/>
      <c r="J16650" s="1125"/>
    </row>
    <row r="16651" spans="9:10" x14ac:dyDescent="0.2">
      <c r="I16651" s="1125"/>
      <c r="J16651" s="1125"/>
    </row>
    <row r="16652" spans="9:10" x14ac:dyDescent="0.2">
      <c r="I16652" s="1125"/>
      <c r="J16652" s="1125"/>
    </row>
    <row r="16653" spans="9:10" x14ac:dyDescent="0.2">
      <c r="I16653" s="1125"/>
      <c r="J16653" s="1125"/>
    </row>
    <row r="16654" spans="9:10" x14ac:dyDescent="0.2">
      <c r="I16654" s="1125"/>
      <c r="J16654" s="1125"/>
    </row>
    <row r="16655" spans="9:10" x14ac:dyDescent="0.2">
      <c r="I16655" s="1125"/>
      <c r="J16655" s="1125"/>
    </row>
    <row r="16656" spans="9:10" x14ac:dyDescent="0.2">
      <c r="I16656" s="1125"/>
      <c r="J16656" s="1125"/>
    </row>
    <row r="16657" spans="9:10" x14ac:dyDescent="0.2">
      <c r="I16657" s="1125"/>
      <c r="J16657" s="1125"/>
    </row>
    <row r="16658" spans="9:10" x14ac:dyDescent="0.2">
      <c r="I16658" s="1125"/>
      <c r="J16658" s="1125"/>
    </row>
    <row r="16659" spans="9:10" x14ac:dyDescent="0.2">
      <c r="I16659" s="1125"/>
      <c r="J16659" s="1125"/>
    </row>
    <row r="16660" spans="9:10" x14ac:dyDescent="0.2">
      <c r="I16660" s="1125"/>
      <c r="J16660" s="1125"/>
    </row>
    <row r="16661" spans="9:10" x14ac:dyDescent="0.2">
      <c r="I16661" s="1125"/>
      <c r="J16661" s="1125"/>
    </row>
    <row r="16662" spans="9:10" x14ac:dyDescent="0.2">
      <c r="I16662" s="1125"/>
      <c r="J16662" s="1125"/>
    </row>
    <row r="16663" spans="9:10" x14ac:dyDescent="0.2">
      <c r="I16663" s="1125"/>
      <c r="J16663" s="1125"/>
    </row>
    <row r="16664" spans="9:10" x14ac:dyDescent="0.2">
      <c r="I16664" s="1125"/>
      <c r="J16664" s="1125"/>
    </row>
    <row r="16665" spans="9:10" x14ac:dyDescent="0.2">
      <c r="I16665" s="1125"/>
      <c r="J16665" s="1125"/>
    </row>
    <row r="16666" spans="9:10" x14ac:dyDescent="0.2">
      <c r="I16666" s="1125"/>
      <c r="J16666" s="1125"/>
    </row>
    <row r="16667" spans="9:10" x14ac:dyDescent="0.2">
      <c r="I16667" s="1125"/>
      <c r="J16667" s="1125"/>
    </row>
    <row r="16668" spans="9:10" x14ac:dyDescent="0.2">
      <c r="I16668" s="1125"/>
      <c r="J16668" s="1125"/>
    </row>
    <row r="16669" spans="9:10" x14ac:dyDescent="0.2">
      <c r="I16669" s="1125"/>
      <c r="J16669" s="1125"/>
    </row>
    <row r="16670" spans="9:10" x14ac:dyDescent="0.2">
      <c r="I16670" s="1125"/>
      <c r="J16670" s="1125"/>
    </row>
    <row r="16671" spans="9:10" x14ac:dyDescent="0.2">
      <c r="I16671" s="1125"/>
      <c r="J16671" s="1125"/>
    </row>
    <row r="16672" spans="9:10" x14ac:dyDescent="0.2">
      <c r="I16672" s="1125"/>
      <c r="J16672" s="1125"/>
    </row>
    <row r="16673" spans="9:10" x14ac:dyDescent="0.2">
      <c r="I16673" s="1125"/>
      <c r="J16673" s="1125"/>
    </row>
    <row r="16674" spans="9:10" x14ac:dyDescent="0.2">
      <c r="I16674" s="1125"/>
      <c r="J16674" s="1125"/>
    </row>
    <row r="16675" spans="9:10" x14ac:dyDescent="0.2">
      <c r="I16675" s="1125"/>
      <c r="J16675" s="1125"/>
    </row>
    <row r="16676" spans="9:10" x14ac:dyDescent="0.2">
      <c r="I16676" s="1125"/>
      <c r="J16676" s="1125"/>
    </row>
    <row r="16677" spans="9:10" x14ac:dyDescent="0.2">
      <c r="I16677" s="1125"/>
      <c r="J16677" s="1125"/>
    </row>
    <row r="16678" spans="9:10" x14ac:dyDescent="0.2">
      <c r="I16678" s="1125"/>
      <c r="J16678" s="1125"/>
    </row>
    <row r="16679" spans="9:10" x14ac:dyDescent="0.2">
      <c r="I16679" s="1125"/>
      <c r="J16679" s="1125"/>
    </row>
    <row r="16680" spans="9:10" x14ac:dyDescent="0.2">
      <c r="I16680" s="1125"/>
      <c r="J16680" s="1125"/>
    </row>
    <row r="16681" spans="9:10" x14ac:dyDescent="0.2">
      <c r="I16681" s="1125"/>
      <c r="J16681" s="1125"/>
    </row>
    <row r="16682" spans="9:10" x14ac:dyDescent="0.2">
      <c r="I16682" s="1125"/>
      <c r="J16682" s="1125"/>
    </row>
    <row r="16683" spans="9:10" x14ac:dyDescent="0.2">
      <c r="I16683" s="1125"/>
      <c r="J16683" s="1125"/>
    </row>
    <row r="16684" spans="9:10" x14ac:dyDescent="0.2">
      <c r="I16684" s="1125"/>
      <c r="J16684" s="1125"/>
    </row>
    <row r="16685" spans="9:10" x14ac:dyDescent="0.2">
      <c r="I16685" s="1125"/>
      <c r="J16685" s="1125"/>
    </row>
    <row r="16686" spans="9:10" x14ac:dyDescent="0.2">
      <c r="I16686" s="1125"/>
      <c r="J16686" s="1125"/>
    </row>
    <row r="16687" spans="9:10" x14ac:dyDescent="0.2">
      <c r="I16687" s="1125"/>
      <c r="J16687" s="1125"/>
    </row>
    <row r="16688" spans="9:10" x14ac:dyDescent="0.2">
      <c r="I16688" s="1125"/>
      <c r="J16688" s="1125"/>
    </row>
    <row r="16689" spans="9:10" x14ac:dyDescent="0.2">
      <c r="I16689" s="1125"/>
      <c r="J16689" s="1125"/>
    </row>
    <row r="16690" spans="9:10" x14ac:dyDescent="0.2">
      <c r="I16690" s="1125"/>
      <c r="J16690" s="1125"/>
    </row>
    <row r="16691" spans="9:10" x14ac:dyDescent="0.2">
      <c r="I16691" s="1125"/>
      <c r="J16691" s="1125"/>
    </row>
    <row r="16692" spans="9:10" x14ac:dyDescent="0.2">
      <c r="I16692" s="1125"/>
      <c r="J16692" s="1125"/>
    </row>
    <row r="16693" spans="9:10" x14ac:dyDescent="0.2">
      <c r="I16693" s="1125"/>
      <c r="J16693" s="1125"/>
    </row>
    <row r="16694" spans="9:10" x14ac:dyDescent="0.2">
      <c r="I16694" s="1125"/>
      <c r="J16694" s="1125"/>
    </row>
    <row r="16695" spans="9:10" x14ac:dyDescent="0.2">
      <c r="I16695" s="1125"/>
      <c r="J16695" s="1125"/>
    </row>
    <row r="16696" spans="9:10" x14ac:dyDescent="0.2">
      <c r="I16696" s="1125"/>
      <c r="J16696" s="1125"/>
    </row>
    <row r="16697" spans="9:10" x14ac:dyDescent="0.2">
      <c r="I16697" s="1125"/>
      <c r="J16697" s="1125"/>
    </row>
    <row r="16698" spans="9:10" x14ac:dyDescent="0.2">
      <c r="I16698" s="1125"/>
      <c r="J16698" s="1125"/>
    </row>
    <row r="16699" spans="9:10" x14ac:dyDescent="0.2">
      <c r="I16699" s="1125"/>
      <c r="J16699" s="1125"/>
    </row>
    <row r="16700" spans="9:10" x14ac:dyDescent="0.2">
      <c r="I16700" s="1125"/>
      <c r="J16700" s="1125"/>
    </row>
    <row r="16701" spans="9:10" x14ac:dyDescent="0.2">
      <c r="I16701" s="1125"/>
      <c r="J16701" s="1125"/>
    </row>
    <row r="16702" spans="9:10" x14ac:dyDescent="0.2">
      <c r="I16702" s="1125"/>
      <c r="J16702" s="1125"/>
    </row>
    <row r="16703" spans="9:10" x14ac:dyDescent="0.2">
      <c r="I16703" s="1125"/>
      <c r="J16703" s="1125"/>
    </row>
    <row r="16704" spans="9:10" x14ac:dyDescent="0.2">
      <c r="I16704" s="1125"/>
      <c r="J16704" s="1125"/>
    </row>
    <row r="16705" spans="9:10" x14ac:dyDescent="0.2">
      <c r="I16705" s="1125"/>
      <c r="J16705" s="1125"/>
    </row>
    <row r="16706" spans="9:10" x14ac:dyDescent="0.2">
      <c r="I16706" s="1125"/>
      <c r="J16706" s="1125"/>
    </row>
    <row r="16707" spans="9:10" x14ac:dyDescent="0.2">
      <c r="I16707" s="1125"/>
      <c r="J16707" s="1125"/>
    </row>
    <row r="16708" spans="9:10" x14ac:dyDescent="0.2">
      <c r="I16708" s="1125"/>
      <c r="J16708" s="1125"/>
    </row>
    <row r="16709" spans="9:10" x14ac:dyDescent="0.2">
      <c r="I16709" s="1125"/>
      <c r="J16709" s="1125"/>
    </row>
    <row r="16710" spans="9:10" x14ac:dyDescent="0.2">
      <c r="I16710" s="1125"/>
      <c r="J16710" s="1125"/>
    </row>
    <row r="16711" spans="9:10" x14ac:dyDescent="0.2">
      <c r="I16711" s="1125"/>
      <c r="J16711" s="1125"/>
    </row>
    <row r="16712" spans="9:10" x14ac:dyDescent="0.2">
      <c r="I16712" s="1125"/>
      <c r="J16712" s="1125"/>
    </row>
    <row r="16713" spans="9:10" x14ac:dyDescent="0.2">
      <c r="I16713" s="1125"/>
      <c r="J16713" s="1125"/>
    </row>
    <row r="16714" spans="9:10" x14ac:dyDescent="0.2">
      <c r="I16714" s="1125"/>
      <c r="J16714" s="1125"/>
    </row>
    <row r="16715" spans="9:10" x14ac:dyDescent="0.2">
      <c r="I16715" s="1125"/>
      <c r="J16715" s="1125"/>
    </row>
    <row r="16716" spans="9:10" x14ac:dyDescent="0.2">
      <c r="I16716" s="1125"/>
      <c r="J16716" s="1125"/>
    </row>
    <row r="16717" spans="9:10" x14ac:dyDescent="0.2">
      <c r="I16717" s="1125"/>
      <c r="J16717" s="1125"/>
    </row>
    <row r="16718" spans="9:10" x14ac:dyDescent="0.2">
      <c r="I16718" s="1125"/>
      <c r="J16718" s="1125"/>
    </row>
    <row r="16719" spans="9:10" x14ac:dyDescent="0.2">
      <c r="I16719" s="1125"/>
      <c r="J16719" s="1125"/>
    </row>
    <row r="16720" spans="9:10" x14ac:dyDescent="0.2">
      <c r="I16720" s="1125"/>
      <c r="J16720" s="1125"/>
    </row>
    <row r="16721" spans="9:10" x14ac:dyDescent="0.2">
      <c r="I16721" s="1125"/>
      <c r="J16721" s="1125"/>
    </row>
    <row r="16722" spans="9:10" x14ac:dyDescent="0.2">
      <c r="I16722" s="1125"/>
      <c r="J16722" s="1125"/>
    </row>
    <row r="16723" spans="9:10" x14ac:dyDescent="0.2">
      <c r="I16723" s="1125"/>
      <c r="J16723" s="1125"/>
    </row>
    <row r="16724" spans="9:10" x14ac:dyDescent="0.2">
      <c r="I16724" s="1125"/>
      <c r="J16724" s="1125"/>
    </row>
    <row r="16725" spans="9:10" x14ac:dyDescent="0.2">
      <c r="I16725" s="1125"/>
      <c r="J16725" s="1125"/>
    </row>
    <row r="16726" spans="9:10" x14ac:dyDescent="0.2">
      <c r="I16726" s="1125"/>
      <c r="J16726" s="1125"/>
    </row>
    <row r="16727" spans="9:10" x14ac:dyDescent="0.2">
      <c r="I16727" s="1125"/>
      <c r="J16727" s="1125"/>
    </row>
    <row r="16728" spans="9:10" x14ac:dyDescent="0.2">
      <c r="I16728" s="1125"/>
      <c r="J16728" s="1125"/>
    </row>
    <row r="16729" spans="9:10" x14ac:dyDescent="0.2">
      <c r="I16729" s="1125"/>
      <c r="J16729" s="1125"/>
    </row>
    <row r="16730" spans="9:10" x14ac:dyDescent="0.2">
      <c r="I16730" s="1125"/>
      <c r="J16730" s="1125"/>
    </row>
    <row r="16731" spans="9:10" x14ac:dyDescent="0.2">
      <c r="I16731" s="1125"/>
      <c r="J16731" s="1125"/>
    </row>
    <row r="16732" spans="9:10" x14ac:dyDescent="0.2">
      <c r="I16732" s="1125"/>
      <c r="J16732" s="1125"/>
    </row>
    <row r="16733" spans="9:10" x14ac:dyDescent="0.2">
      <c r="I16733" s="1125"/>
      <c r="J16733" s="1125"/>
    </row>
    <row r="16734" spans="9:10" x14ac:dyDescent="0.2">
      <c r="I16734" s="1125"/>
      <c r="J16734" s="1125"/>
    </row>
    <row r="16735" spans="9:10" x14ac:dyDescent="0.2">
      <c r="I16735" s="1125"/>
      <c r="J16735" s="1125"/>
    </row>
    <row r="16736" spans="9:10" x14ac:dyDescent="0.2">
      <c r="I16736" s="1125"/>
      <c r="J16736" s="1125"/>
    </row>
    <row r="16737" spans="9:10" x14ac:dyDescent="0.2">
      <c r="I16737" s="1125"/>
      <c r="J16737" s="1125"/>
    </row>
    <row r="16738" spans="9:10" x14ac:dyDescent="0.2">
      <c r="I16738" s="1125"/>
      <c r="J16738" s="1125"/>
    </row>
    <row r="16739" spans="9:10" x14ac:dyDescent="0.2">
      <c r="I16739" s="1125"/>
      <c r="J16739" s="1125"/>
    </row>
    <row r="16740" spans="9:10" x14ac:dyDescent="0.2">
      <c r="I16740" s="1125"/>
      <c r="J16740" s="1125"/>
    </row>
    <row r="16741" spans="9:10" x14ac:dyDescent="0.2">
      <c r="I16741" s="1125"/>
      <c r="J16741" s="1125"/>
    </row>
    <row r="16742" spans="9:10" x14ac:dyDescent="0.2">
      <c r="I16742" s="1125"/>
      <c r="J16742" s="1125"/>
    </row>
    <row r="16743" spans="9:10" x14ac:dyDescent="0.2">
      <c r="I16743" s="1125"/>
      <c r="J16743" s="1125"/>
    </row>
    <row r="16744" spans="9:10" x14ac:dyDescent="0.2">
      <c r="I16744" s="1125"/>
      <c r="J16744" s="1125"/>
    </row>
    <row r="16745" spans="9:10" x14ac:dyDescent="0.2">
      <c r="I16745" s="1125"/>
      <c r="J16745" s="1125"/>
    </row>
    <row r="16746" spans="9:10" x14ac:dyDescent="0.2">
      <c r="I16746" s="1125"/>
      <c r="J16746" s="1125"/>
    </row>
    <row r="16747" spans="9:10" x14ac:dyDescent="0.2">
      <c r="I16747" s="1125"/>
      <c r="J16747" s="1125"/>
    </row>
    <row r="16748" spans="9:10" x14ac:dyDescent="0.2">
      <c r="I16748" s="1125"/>
      <c r="J16748" s="1125"/>
    </row>
    <row r="16749" spans="9:10" x14ac:dyDescent="0.2">
      <c r="I16749" s="1125"/>
      <c r="J16749" s="1125"/>
    </row>
    <row r="16750" spans="9:10" x14ac:dyDescent="0.2">
      <c r="I16750" s="1125"/>
      <c r="J16750" s="1125"/>
    </row>
    <row r="16751" spans="9:10" x14ac:dyDescent="0.2">
      <c r="I16751" s="1125"/>
      <c r="J16751" s="1125"/>
    </row>
    <row r="16752" spans="9:10" x14ac:dyDescent="0.2">
      <c r="I16752" s="1125"/>
      <c r="J16752" s="1125"/>
    </row>
    <row r="16753" spans="9:10" x14ac:dyDescent="0.2">
      <c r="I16753" s="1125"/>
      <c r="J16753" s="1125"/>
    </row>
    <row r="16754" spans="9:10" x14ac:dyDescent="0.2">
      <c r="I16754" s="1125"/>
      <c r="J16754" s="1125"/>
    </row>
    <row r="16755" spans="9:10" x14ac:dyDescent="0.2">
      <c r="I16755" s="1125"/>
      <c r="J16755" s="1125"/>
    </row>
    <row r="16756" spans="9:10" x14ac:dyDescent="0.2">
      <c r="I16756" s="1125"/>
      <c r="J16756" s="1125"/>
    </row>
    <row r="16757" spans="9:10" x14ac:dyDescent="0.2">
      <c r="I16757" s="1125"/>
      <c r="J16757" s="1125"/>
    </row>
    <row r="16758" spans="9:10" x14ac:dyDescent="0.2">
      <c r="I16758" s="1125"/>
      <c r="J16758" s="1125"/>
    </row>
    <row r="16759" spans="9:10" x14ac:dyDescent="0.2">
      <c r="I16759" s="1125"/>
      <c r="J16759" s="1125"/>
    </row>
    <row r="16760" spans="9:10" x14ac:dyDescent="0.2">
      <c r="I16760" s="1125"/>
      <c r="J16760" s="1125"/>
    </row>
    <row r="16761" spans="9:10" x14ac:dyDescent="0.2">
      <c r="I16761" s="1125"/>
      <c r="J16761" s="1125"/>
    </row>
    <row r="16762" spans="9:10" x14ac:dyDescent="0.2">
      <c r="I16762" s="1125"/>
      <c r="J16762" s="1125"/>
    </row>
    <row r="16763" spans="9:10" x14ac:dyDescent="0.2">
      <c r="I16763" s="1125"/>
      <c r="J16763" s="1125"/>
    </row>
    <row r="16764" spans="9:10" x14ac:dyDescent="0.2">
      <c r="I16764" s="1125"/>
      <c r="J16764" s="1125"/>
    </row>
    <row r="16765" spans="9:10" x14ac:dyDescent="0.2">
      <c r="I16765" s="1125"/>
      <c r="J16765" s="1125"/>
    </row>
    <row r="16766" spans="9:10" x14ac:dyDescent="0.2">
      <c r="I16766" s="1125"/>
      <c r="J16766" s="1125"/>
    </row>
    <row r="16767" spans="9:10" x14ac:dyDescent="0.2">
      <c r="I16767" s="1125"/>
      <c r="J16767" s="1125"/>
    </row>
    <row r="16768" spans="9:10" x14ac:dyDescent="0.2">
      <c r="I16768" s="1125"/>
      <c r="J16768" s="1125"/>
    </row>
    <row r="16769" spans="9:10" x14ac:dyDescent="0.2">
      <c r="I16769" s="1125"/>
      <c r="J16769" s="1125"/>
    </row>
    <row r="16770" spans="9:10" x14ac:dyDescent="0.2">
      <c r="I16770" s="1125"/>
      <c r="J16770" s="1125"/>
    </row>
    <row r="16771" spans="9:10" x14ac:dyDescent="0.2">
      <c r="I16771" s="1125"/>
      <c r="J16771" s="1125"/>
    </row>
    <row r="16772" spans="9:10" x14ac:dyDescent="0.2">
      <c r="I16772" s="1125"/>
      <c r="J16772" s="1125"/>
    </row>
    <row r="16773" spans="9:10" x14ac:dyDescent="0.2">
      <c r="I16773" s="1125"/>
      <c r="J16773" s="1125"/>
    </row>
    <row r="16774" spans="9:10" x14ac:dyDescent="0.2">
      <c r="I16774" s="1125"/>
      <c r="J16774" s="1125"/>
    </row>
    <row r="16775" spans="9:10" x14ac:dyDescent="0.2">
      <c r="I16775" s="1125"/>
      <c r="J16775" s="1125"/>
    </row>
    <row r="16776" spans="9:10" x14ac:dyDescent="0.2">
      <c r="I16776" s="1125"/>
      <c r="J16776" s="1125"/>
    </row>
    <row r="16777" spans="9:10" x14ac:dyDescent="0.2">
      <c r="I16777" s="1125"/>
      <c r="J16777" s="1125"/>
    </row>
    <row r="16778" spans="9:10" x14ac:dyDescent="0.2">
      <c r="I16778" s="1125"/>
      <c r="J16778" s="1125"/>
    </row>
    <row r="16779" spans="9:10" x14ac:dyDescent="0.2">
      <c r="I16779" s="1125"/>
      <c r="J16779" s="1125"/>
    </row>
    <row r="16780" spans="9:10" x14ac:dyDescent="0.2">
      <c r="I16780" s="1125"/>
      <c r="J16780" s="1125"/>
    </row>
    <row r="16781" spans="9:10" x14ac:dyDescent="0.2">
      <c r="I16781" s="1125"/>
      <c r="J16781" s="1125"/>
    </row>
    <row r="16782" spans="9:10" x14ac:dyDescent="0.2">
      <c r="I16782" s="1125"/>
      <c r="J16782" s="1125"/>
    </row>
    <row r="16783" spans="9:10" x14ac:dyDescent="0.2">
      <c r="I16783" s="1125"/>
      <c r="J16783" s="1125"/>
    </row>
    <row r="16784" spans="9:10" x14ac:dyDescent="0.2">
      <c r="I16784" s="1125"/>
      <c r="J16784" s="1125"/>
    </row>
    <row r="16785" spans="9:10" x14ac:dyDescent="0.2">
      <c r="I16785" s="1125"/>
      <c r="J16785" s="1125"/>
    </row>
    <row r="16786" spans="9:10" x14ac:dyDescent="0.2">
      <c r="I16786" s="1125"/>
      <c r="J16786" s="1125"/>
    </row>
    <row r="16787" spans="9:10" x14ac:dyDescent="0.2">
      <c r="I16787" s="1125"/>
      <c r="J16787" s="1125"/>
    </row>
    <row r="16788" spans="9:10" x14ac:dyDescent="0.2">
      <c r="I16788" s="1125"/>
      <c r="J16788" s="1125"/>
    </row>
    <row r="16789" spans="9:10" x14ac:dyDescent="0.2">
      <c r="I16789" s="1125"/>
      <c r="J16789" s="1125"/>
    </row>
    <row r="16790" spans="9:10" x14ac:dyDescent="0.2">
      <c r="I16790" s="1125"/>
      <c r="J16790" s="1125"/>
    </row>
    <row r="16791" spans="9:10" x14ac:dyDescent="0.2">
      <c r="I16791" s="1125"/>
      <c r="J16791" s="1125"/>
    </row>
    <row r="16792" spans="9:10" x14ac:dyDescent="0.2">
      <c r="I16792" s="1125"/>
      <c r="J16792" s="1125"/>
    </row>
    <row r="16793" spans="9:10" x14ac:dyDescent="0.2">
      <c r="I16793" s="1125"/>
      <c r="J16793" s="1125"/>
    </row>
    <row r="16794" spans="9:10" x14ac:dyDescent="0.2">
      <c r="I16794" s="1125"/>
      <c r="J16794" s="1125"/>
    </row>
    <row r="16795" spans="9:10" x14ac:dyDescent="0.2">
      <c r="I16795" s="1125"/>
      <c r="J16795" s="1125"/>
    </row>
    <row r="16796" spans="9:10" x14ac:dyDescent="0.2">
      <c r="I16796" s="1125"/>
      <c r="J16796" s="1125"/>
    </row>
    <row r="16797" spans="9:10" x14ac:dyDescent="0.2">
      <c r="I16797" s="1125"/>
      <c r="J16797" s="1125"/>
    </row>
    <row r="16798" spans="9:10" x14ac:dyDescent="0.2">
      <c r="I16798" s="1125"/>
      <c r="J16798" s="1125"/>
    </row>
    <row r="16799" spans="9:10" x14ac:dyDescent="0.2">
      <c r="I16799" s="1125"/>
      <c r="J16799" s="1125"/>
    </row>
    <row r="16800" spans="9:10" x14ac:dyDescent="0.2">
      <c r="I16800" s="1125"/>
      <c r="J16800" s="1125"/>
    </row>
    <row r="16801" spans="9:10" x14ac:dyDescent="0.2">
      <c r="I16801" s="1125"/>
      <c r="J16801" s="1125"/>
    </row>
    <row r="16802" spans="9:10" x14ac:dyDescent="0.2">
      <c r="I16802" s="1125"/>
      <c r="J16802" s="1125"/>
    </row>
    <row r="16803" spans="9:10" x14ac:dyDescent="0.2">
      <c r="I16803" s="1125"/>
      <c r="J16803" s="1125"/>
    </row>
    <row r="16804" spans="9:10" x14ac:dyDescent="0.2">
      <c r="I16804" s="1125"/>
      <c r="J16804" s="1125"/>
    </row>
    <row r="16805" spans="9:10" x14ac:dyDescent="0.2">
      <c r="I16805" s="1125"/>
      <c r="J16805" s="1125"/>
    </row>
    <row r="16806" spans="9:10" x14ac:dyDescent="0.2">
      <c r="I16806" s="1125"/>
      <c r="J16806" s="1125"/>
    </row>
    <row r="16807" spans="9:10" x14ac:dyDescent="0.2">
      <c r="I16807" s="1125"/>
      <c r="J16807" s="1125"/>
    </row>
    <row r="16808" spans="9:10" x14ac:dyDescent="0.2">
      <c r="I16808" s="1125"/>
      <c r="J16808" s="1125"/>
    </row>
    <row r="16809" spans="9:10" x14ac:dyDescent="0.2">
      <c r="I16809" s="1125"/>
      <c r="J16809" s="1125"/>
    </row>
    <row r="16810" spans="9:10" x14ac:dyDescent="0.2">
      <c r="I16810" s="1125"/>
      <c r="J16810" s="1125"/>
    </row>
    <row r="16811" spans="9:10" x14ac:dyDescent="0.2">
      <c r="I16811" s="1125"/>
      <c r="J16811" s="1125"/>
    </row>
    <row r="16812" spans="9:10" x14ac:dyDescent="0.2">
      <c r="I16812" s="1125"/>
      <c r="J16812" s="1125"/>
    </row>
    <row r="16813" spans="9:10" x14ac:dyDescent="0.2">
      <c r="I16813" s="1125"/>
      <c r="J16813" s="1125"/>
    </row>
    <row r="16814" spans="9:10" x14ac:dyDescent="0.2">
      <c r="I16814" s="1125"/>
      <c r="J16814" s="1125"/>
    </row>
    <row r="16815" spans="9:10" x14ac:dyDescent="0.2">
      <c r="I16815" s="1125"/>
      <c r="J16815" s="1125"/>
    </row>
    <row r="16816" spans="9:10" x14ac:dyDescent="0.2">
      <c r="I16816" s="1125"/>
      <c r="J16816" s="1125"/>
    </row>
    <row r="16817" spans="9:10" x14ac:dyDescent="0.2">
      <c r="I16817" s="1125"/>
      <c r="J16817" s="1125"/>
    </row>
    <row r="16818" spans="9:10" x14ac:dyDescent="0.2">
      <c r="I16818" s="1125"/>
      <c r="J16818" s="1125"/>
    </row>
    <row r="16819" spans="9:10" x14ac:dyDescent="0.2">
      <c r="I16819" s="1125"/>
      <c r="J16819" s="1125"/>
    </row>
    <row r="16820" spans="9:10" x14ac:dyDescent="0.2">
      <c r="I16820" s="1125"/>
      <c r="J16820" s="1125"/>
    </row>
    <row r="16821" spans="9:10" x14ac:dyDescent="0.2">
      <c r="I16821" s="1125"/>
      <c r="J16821" s="1125"/>
    </row>
    <row r="16822" spans="9:10" x14ac:dyDescent="0.2">
      <c r="I16822" s="1125"/>
      <c r="J16822" s="1125"/>
    </row>
    <row r="16823" spans="9:10" x14ac:dyDescent="0.2">
      <c r="I16823" s="1125"/>
      <c r="J16823" s="1125"/>
    </row>
    <row r="16824" spans="9:10" x14ac:dyDescent="0.2">
      <c r="I16824" s="1125"/>
      <c r="J16824" s="1125"/>
    </row>
    <row r="16825" spans="9:10" x14ac:dyDescent="0.2">
      <c r="I16825" s="1125"/>
      <c r="J16825" s="1125"/>
    </row>
    <row r="16826" spans="9:10" x14ac:dyDescent="0.2">
      <c r="I16826" s="1125"/>
      <c r="J16826" s="1125"/>
    </row>
    <row r="16827" spans="9:10" x14ac:dyDescent="0.2">
      <c r="I16827" s="1125"/>
      <c r="J16827" s="1125"/>
    </row>
    <row r="16828" spans="9:10" x14ac:dyDescent="0.2">
      <c r="I16828" s="1125"/>
      <c r="J16828" s="1125"/>
    </row>
    <row r="16829" spans="9:10" x14ac:dyDescent="0.2">
      <c r="I16829" s="1125"/>
      <c r="J16829" s="1125"/>
    </row>
    <row r="16830" spans="9:10" x14ac:dyDescent="0.2">
      <c r="I16830" s="1125"/>
      <c r="J16830" s="1125"/>
    </row>
    <row r="16831" spans="9:10" x14ac:dyDescent="0.2">
      <c r="I16831" s="1125"/>
      <c r="J16831" s="1125"/>
    </row>
    <row r="16832" spans="9:10" x14ac:dyDescent="0.2">
      <c r="I16832" s="1125"/>
      <c r="J16832" s="1125"/>
    </row>
    <row r="16833" spans="9:10" x14ac:dyDescent="0.2">
      <c r="I16833" s="1125"/>
      <c r="J16833" s="1125"/>
    </row>
    <row r="16834" spans="9:10" x14ac:dyDescent="0.2">
      <c r="I16834" s="1125"/>
      <c r="J16834" s="1125"/>
    </row>
    <row r="16835" spans="9:10" x14ac:dyDescent="0.2">
      <c r="I16835" s="1125"/>
      <c r="J16835" s="1125"/>
    </row>
    <row r="16836" spans="9:10" x14ac:dyDescent="0.2">
      <c r="I16836" s="1125"/>
      <c r="J16836" s="1125"/>
    </row>
    <row r="16837" spans="9:10" x14ac:dyDescent="0.2">
      <c r="I16837" s="1125"/>
      <c r="J16837" s="1125"/>
    </row>
    <row r="16838" spans="9:10" x14ac:dyDescent="0.2">
      <c r="I16838" s="1125"/>
      <c r="J16838" s="1125"/>
    </row>
    <row r="16839" spans="9:10" x14ac:dyDescent="0.2">
      <c r="I16839" s="1125"/>
      <c r="J16839" s="1125"/>
    </row>
    <row r="16840" spans="9:10" x14ac:dyDescent="0.2">
      <c r="I16840" s="1125"/>
      <c r="J16840" s="1125"/>
    </row>
    <row r="16841" spans="9:10" x14ac:dyDescent="0.2">
      <c r="I16841" s="1125"/>
      <c r="J16841" s="1125"/>
    </row>
    <row r="16842" spans="9:10" x14ac:dyDescent="0.2">
      <c r="I16842" s="1125"/>
      <c r="J16842" s="1125"/>
    </row>
    <row r="16843" spans="9:10" x14ac:dyDescent="0.2">
      <c r="I16843" s="1125"/>
      <c r="J16843" s="1125"/>
    </row>
    <row r="16844" spans="9:10" x14ac:dyDescent="0.2">
      <c r="I16844" s="1125"/>
      <c r="J16844" s="1125"/>
    </row>
    <row r="16845" spans="9:10" x14ac:dyDescent="0.2">
      <c r="I16845" s="1125"/>
      <c r="J16845" s="1125"/>
    </row>
    <row r="16846" spans="9:10" x14ac:dyDescent="0.2">
      <c r="I16846" s="1125"/>
      <c r="J16846" s="1125"/>
    </row>
    <row r="16847" spans="9:10" x14ac:dyDescent="0.2">
      <c r="I16847" s="1125"/>
      <c r="J16847" s="1125"/>
    </row>
    <row r="16848" spans="9:10" x14ac:dyDescent="0.2">
      <c r="I16848" s="1125"/>
      <c r="J16848" s="1125"/>
    </row>
    <row r="16849" spans="9:10" x14ac:dyDescent="0.2">
      <c r="I16849" s="1125"/>
      <c r="J16849" s="1125"/>
    </row>
    <row r="16850" spans="9:10" x14ac:dyDescent="0.2">
      <c r="I16850" s="1125"/>
      <c r="J16850" s="1125"/>
    </row>
    <row r="16851" spans="9:10" x14ac:dyDescent="0.2">
      <c r="I16851" s="1125"/>
      <c r="J16851" s="1125"/>
    </row>
    <row r="16852" spans="9:10" x14ac:dyDescent="0.2">
      <c r="I16852" s="1125"/>
      <c r="J16852" s="1125"/>
    </row>
    <row r="16853" spans="9:10" x14ac:dyDescent="0.2">
      <c r="I16853" s="1125"/>
      <c r="J16853" s="1125"/>
    </row>
    <row r="16854" spans="9:10" x14ac:dyDescent="0.2">
      <c r="I16854" s="1125"/>
      <c r="J16854" s="1125"/>
    </row>
    <row r="16855" spans="9:10" x14ac:dyDescent="0.2">
      <c r="I16855" s="1125"/>
      <c r="J16855" s="1125"/>
    </row>
    <row r="16856" spans="9:10" x14ac:dyDescent="0.2">
      <c r="I16856" s="1125"/>
      <c r="J16856" s="1125"/>
    </row>
    <row r="16857" spans="9:10" x14ac:dyDescent="0.2">
      <c r="I16857" s="1125"/>
      <c r="J16857" s="1125"/>
    </row>
    <row r="16858" spans="9:10" x14ac:dyDescent="0.2">
      <c r="I16858" s="1125"/>
      <c r="J16858" s="1125"/>
    </row>
    <row r="16859" spans="9:10" x14ac:dyDescent="0.2">
      <c r="I16859" s="1125"/>
      <c r="J16859" s="1125"/>
    </row>
    <row r="16860" spans="9:10" x14ac:dyDescent="0.2">
      <c r="I16860" s="1125"/>
      <c r="J16860" s="1125"/>
    </row>
    <row r="16861" spans="9:10" x14ac:dyDescent="0.2">
      <c r="I16861" s="1125"/>
      <c r="J16861" s="1125"/>
    </row>
    <row r="16862" spans="9:10" x14ac:dyDescent="0.2">
      <c r="I16862" s="1125"/>
      <c r="J16862" s="1125"/>
    </row>
    <row r="16863" spans="9:10" x14ac:dyDescent="0.2">
      <c r="I16863" s="1125"/>
      <c r="J16863" s="1125"/>
    </row>
    <row r="16864" spans="9:10" x14ac:dyDescent="0.2">
      <c r="I16864" s="1125"/>
      <c r="J16864" s="1125"/>
    </row>
    <row r="16865" spans="9:10" x14ac:dyDescent="0.2">
      <c r="I16865" s="1125"/>
      <c r="J16865" s="1125"/>
    </row>
    <row r="16866" spans="9:10" x14ac:dyDescent="0.2">
      <c r="I16866" s="1125"/>
      <c r="J16866" s="1125"/>
    </row>
    <row r="16867" spans="9:10" x14ac:dyDescent="0.2">
      <c r="I16867" s="1125"/>
      <c r="J16867" s="1125"/>
    </row>
    <row r="16868" spans="9:10" x14ac:dyDescent="0.2">
      <c r="I16868" s="1125"/>
      <c r="J16868" s="1125"/>
    </row>
    <row r="16869" spans="9:10" x14ac:dyDescent="0.2">
      <c r="I16869" s="1125"/>
      <c r="J16869" s="1125"/>
    </row>
    <row r="16870" spans="9:10" x14ac:dyDescent="0.2">
      <c r="I16870" s="1125"/>
      <c r="J16870" s="1125"/>
    </row>
    <row r="16871" spans="9:10" x14ac:dyDescent="0.2">
      <c r="I16871" s="1125"/>
      <c r="J16871" s="1125"/>
    </row>
    <row r="16872" spans="9:10" x14ac:dyDescent="0.2">
      <c r="I16872" s="1125"/>
      <c r="J16872" s="1125"/>
    </row>
    <row r="16873" spans="9:10" x14ac:dyDescent="0.2">
      <c r="I16873" s="1125"/>
      <c r="J16873" s="1125"/>
    </row>
    <row r="16874" spans="9:10" x14ac:dyDescent="0.2">
      <c r="I16874" s="1125"/>
      <c r="J16874" s="1125"/>
    </row>
    <row r="16875" spans="9:10" x14ac:dyDescent="0.2">
      <c r="I16875" s="1125"/>
      <c r="J16875" s="1125"/>
    </row>
    <row r="16876" spans="9:10" x14ac:dyDescent="0.2">
      <c r="I16876" s="1125"/>
      <c r="J16876" s="1125"/>
    </row>
    <row r="16877" spans="9:10" x14ac:dyDescent="0.2">
      <c r="I16877" s="1125"/>
      <c r="J16877" s="1125"/>
    </row>
    <row r="16878" spans="9:10" x14ac:dyDescent="0.2">
      <c r="I16878" s="1125"/>
      <c r="J16878" s="1125"/>
    </row>
    <row r="16879" spans="9:10" x14ac:dyDescent="0.2">
      <c r="I16879" s="1125"/>
      <c r="J16879" s="1125"/>
    </row>
    <row r="16880" spans="9:10" x14ac:dyDescent="0.2">
      <c r="I16880" s="1125"/>
      <c r="J16880" s="1125"/>
    </row>
    <row r="16881" spans="9:10" x14ac:dyDescent="0.2">
      <c r="I16881" s="1125"/>
      <c r="J16881" s="1125"/>
    </row>
    <row r="16882" spans="9:10" x14ac:dyDescent="0.2">
      <c r="I16882" s="1125"/>
      <c r="J16882" s="1125"/>
    </row>
    <row r="16883" spans="9:10" x14ac:dyDescent="0.2">
      <c r="I16883" s="1125"/>
      <c r="J16883" s="1125"/>
    </row>
    <row r="16884" spans="9:10" x14ac:dyDescent="0.2">
      <c r="I16884" s="1125"/>
      <c r="J16884" s="1125"/>
    </row>
    <row r="16885" spans="9:10" x14ac:dyDescent="0.2">
      <c r="I16885" s="1125"/>
      <c r="J16885" s="1125"/>
    </row>
    <row r="16886" spans="9:10" x14ac:dyDescent="0.2">
      <c r="I16886" s="1125"/>
      <c r="J16886" s="1125"/>
    </row>
    <row r="16887" spans="9:10" x14ac:dyDescent="0.2">
      <c r="I16887" s="1125"/>
      <c r="J16887" s="1125"/>
    </row>
    <row r="16888" spans="9:10" x14ac:dyDescent="0.2">
      <c r="I16888" s="1125"/>
      <c r="J16888" s="1125"/>
    </row>
    <row r="16889" spans="9:10" x14ac:dyDescent="0.2">
      <c r="I16889" s="1125"/>
      <c r="J16889" s="1125"/>
    </row>
    <row r="16890" spans="9:10" x14ac:dyDescent="0.2">
      <c r="I16890" s="1125"/>
      <c r="J16890" s="1125"/>
    </row>
    <row r="16891" spans="9:10" x14ac:dyDescent="0.2">
      <c r="I16891" s="1125"/>
      <c r="J16891" s="1125"/>
    </row>
    <row r="16892" spans="9:10" x14ac:dyDescent="0.2">
      <c r="I16892" s="1125"/>
      <c r="J16892" s="1125"/>
    </row>
    <row r="16893" spans="9:10" x14ac:dyDescent="0.2">
      <c r="I16893" s="1125"/>
      <c r="J16893" s="1125"/>
    </row>
    <row r="16894" spans="9:10" x14ac:dyDescent="0.2">
      <c r="I16894" s="1125"/>
      <c r="J16894" s="1125"/>
    </row>
    <row r="16895" spans="9:10" x14ac:dyDescent="0.2">
      <c r="I16895" s="1125"/>
      <c r="J16895" s="1125"/>
    </row>
    <row r="16896" spans="9:10" x14ac:dyDescent="0.2">
      <c r="I16896" s="1125"/>
      <c r="J16896" s="1125"/>
    </row>
    <row r="16897" spans="9:10" x14ac:dyDescent="0.2">
      <c r="I16897" s="1125"/>
      <c r="J16897" s="1125"/>
    </row>
    <row r="16898" spans="9:10" x14ac:dyDescent="0.2">
      <c r="I16898" s="1125"/>
      <c r="J16898" s="1125"/>
    </row>
    <row r="16899" spans="9:10" x14ac:dyDescent="0.2">
      <c r="I16899" s="1125"/>
      <c r="J16899" s="1125"/>
    </row>
    <row r="16900" spans="9:10" x14ac:dyDescent="0.2">
      <c r="I16900" s="1125"/>
      <c r="J16900" s="1125"/>
    </row>
    <row r="16901" spans="9:10" x14ac:dyDescent="0.2">
      <c r="I16901" s="1125"/>
      <c r="J16901" s="1125"/>
    </row>
    <row r="16902" spans="9:10" x14ac:dyDescent="0.2">
      <c r="I16902" s="1125"/>
      <c r="J16902" s="1125"/>
    </row>
    <row r="16903" spans="9:10" x14ac:dyDescent="0.2">
      <c r="I16903" s="1125"/>
      <c r="J16903" s="1125"/>
    </row>
    <row r="16904" spans="9:10" x14ac:dyDescent="0.2">
      <c r="I16904" s="1125"/>
      <c r="J16904" s="1125"/>
    </row>
    <row r="16905" spans="9:10" x14ac:dyDescent="0.2">
      <c r="I16905" s="1125"/>
      <c r="J16905" s="1125"/>
    </row>
    <row r="16906" spans="9:10" x14ac:dyDescent="0.2">
      <c r="I16906" s="1125"/>
      <c r="J16906" s="1125"/>
    </row>
    <row r="16907" spans="9:10" x14ac:dyDescent="0.2">
      <c r="I16907" s="1125"/>
      <c r="J16907" s="1125"/>
    </row>
    <row r="16908" spans="9:10" x14ac:dyDescent="0.2">
      <c r="I16908" s="1125"/>
      <c r="J16908" s="1125"/>
    </row>
    <row r="16909" spans="9:10" x14ac:dyDescent="0.2">
      <c r="I16909" s="1125"/>
      <c r="J16909" s="1125"/>
    </row>
    <row r="16910" spans="9:10" x14ac:dyDescent="0.2">
      <c r="I16910" s="1125"/>
      <c r="J16910" s="1125"/>
    </row>
    <row r="16911" spans="9:10" x14ac:dyDescent="0.2">
      <c r="I16911" s="1125"/>
      <c r="J16911" s="1125"/>
    </row>
    <row r="16912" spans="9:10" x14ac:dyDescent="0.2">
      <c r="I16912" s="1125"/>
      <c r="J16912" s="1125"/>
    </row>
    <row r="16913" spans="9:10" x14ac:dyDescent="0.2">
      <c r="I16913" s="1125"/>
      <c r="J16913" s="1125"/>
    </row>
    <row r="16914" spans="9:10" x14ac:dyDescent="0.2">
      <c r="I16914" s="1125"/>
      <c r="J16914" s="1125"/>
    </row>
    <row r="16915" spans="9:10" x14ac:dyDescent="0.2">
      <c r="I16915" s="1125"/>
      <c r="J16915" s="1125"/>
    </row>
    <row r="16916" spans="9:10" x14ac:dyDescent="0.2">
      <c r="I16916" s="1125"/>
      <c r="J16916" s="1125"/>
    </row>
    <row r="16917" spans="9:10" x14ac:dyDescent="0.2">
      <c r="I16917" s="1125"/>
      <c r="J16917" s="1125"/>
    </row>
    <row r="16918" spans="9:10" x14ac:dyDescent="0.2">
      <c r="I16918" s="1125"/>
      <c r="J16918" s="1125"/>
    </row>
    <row r="16919" spans="9:10" x14ac:dyDescent="0.2">
      <c r="I16919" s="1125"/>
      <c r="J16919" s="1125"/>
    </row>
    <row r="16920" spans="9:10" x14ac:dyDescent="0.2">
      <c r="I16920" s="1125"/>
      <c r="J16920" s="1125"/>
    </row>
    <row r="16921" spans="9:10" x14ac:dyDescent="0.2">
      <c r="I16921" s="1125"/>
      <c r="J16921" s="1125"/>
    </row>
    <row r="16922" spans="9:10" x14ac:dyDescent="0.2">
      <c r="I16922" s="1125"/>
      <c r="J16922" s="1125"/>
    </row>
    <row r="16923" spans="9:10" x14ac:dyDescent="0.2">
      <c r="I16923" s="1125"/>
      <c r="J16923" s="1125"/>
    </row>
    <row r="16924" spans="9:10" x14ac:dyDescent="0.2">
      <c r="I16924" s="1125"/>
      <c r="J16924" s="1125"/>
    </row>
    <row r="16925" spans="9:10" x14ac:dyDescent="0.2">
      <c r="I16925" s="1125"/>
      <c r="J16925" s="1125"/>
    </row>
    <row r="16926" spans="9:10" x14ac:dyDescent="0.2">
      <c r="I16926" s="1125"/>
      <c r="J16926" s="1125"/>
    </row>
    <row r="16927" spans="9:10" x14ac:dyDescent="0.2">
      <c r="I16927" s="1125"/>
      <c r="J16927" s="1125"/>
    </row>
    <row r="16928" spans="9:10" x14ac:dyDescent="0.2">
      <c r="I16928" s="1125"/>
      <c r="J16928" s="1125"/>
    </row>
    <row r="16929" spans="9:10" x14ac:dyDescent="0.2">
      <c r="I16929" s="1125"/>
      <c r="J16929" s="1125"/>
    </row>
    <row r="16930" spans="9:10" x14ac:dyDescent="0.2">
      <c r="I16930" s="1125"/>
      <c r="J16930" s="1125"/>
    </row>
    <row r="16931" spans="9:10" x14ac:dyDescent="0.2">
      <c r="I16931" s="1125"/>
      <c r="J16931" s="1125"/>
    </row>
    <row r="16932" spans="9:10" x14ac:dyDescent="0.2">
      <c r="I16932" s="1125"/>
      <c r="J16932" s="1125"/>
    </row>
    <row r="16933" spans="9:10" x14ac:dyDescent="0.2">
      <c r="I16933" s="1125"/>
      <c r="J16933" s="1125"/>
    </row>
    <row r="16934" spans="9:10" x14ac:dyDescent="0.2">
      <c r="I16934" s="1125"/>
      <c r="J16934" s="1125"/>
    </row>
    <row r="16935" spans="9:10" x14ac:dyDescent="0.2">
      <c r="I16935" s="1125"/>
      <c r="J16935" s="1125"/>
    </row>
    <row r="16936" spans="9:10" x14ac:dyDescent="0.2">
      <c r="I16936" s="1125"/>
      <c r="J16936" s="1125"/>
    </row>
    <row r="16937" spans="9:10" x14ac:dyDescent="0.2">
      <c r="I16937" s="1125"/>
      <c r="J16937" s="1125"/>
    </row>
    <row r="16938" spans="9:10" x14ac:dyDescent="0.2">
      <c r="I16938" s="1125"/>
      <c r="J16938" s="1125"/>
    </row>
    <row r="16939" spans="9:10" x14ac:dyDescent="0.2">
      <c r="I16939" s="1125"/>
      <c r="J16939" s="1125"/>
    </row>
    <row r="16940" spans="9:10" x14ac:dyDescent="0.2">
      <c r="I16940" s="1125"/>
      <c r="J16940" s="1125"/>
    </row>
    <row r="16941" spans="9:10" x14ac:dyDescent="0.2">
      <c r="I16941" s="1125"/>
      <c r="J16941" s="1125"/>
    </row>
    <row r="16942" spans="9:10" x14ac:dyDescent="0.2">
      <c r="I16942" s="1125"/>
      <c r="J16942" s="1125"/>
    </row>
    <row r="16943" spans="9:10" x14ac:dyDescent="0.2">
      <c r="I16943" s="1125"/>
      <c r="J16943" s="1125"/>
    </row>
    <row r="16944" spans="9:10" x14ac:dyDescent="0.2">
      <c r="I16944" s="1125"/>
      <c r="J16944" s="1125"/>
    </row>
    <row r="16945" spans="9:10" x14ac:dyDescent="0.2">
      <c r="I16945" s="1125"/>
      <c r="J16945" s="1125"/>
    </row>
    <row r="16946" spans="9:10" x14ac:dyDescent="0.2">
      <c r="I16946" s="1125"/>
      <c r="J16946" s="1125"/>
    </row>
    <row r="16947" spans="9:10" x14ac:dyDescent="0.2">
      <c r="I16947" s="1125"/>
      <c r="J16947" s="1125"/>
    </row>
    <row r="16948" spans="9:10" x14ac:dyDescent="0.2">
      <c r="I16948" s="1125"/>
      <c r="J16948" s="1125"/>
    </row>
    <row r="16949" spans="9:10" x14ac:dyDescent="0.2">
      <c r="I16949" s="1125"/>
      <c r="J16949" s="1125"/>
    </row>
    <row r="16950" spans="9:10" x14ac:dyDescent="0.2">
      <c r="I16950" s="1125"/>
      <c r="J16950" s="1125"/>
    </row>
    <row r="16951" spans="9:10" x14ac:dyDescent="0.2">
      <c r="I16951" s="1125"/>
      <c r="J16951" s="1125"/>
    </row>
    <row r="16952" spans="9:10" x14ac:dyDescent="0.2">
      <c r="I16952" s="1125"/>
      <c r="J16952" s="1125"/>
    </row>
    <row r="16953" spans="9:10" x14ac:dyDescent="0.2">
      <c r="I16953" s="1125"/>
      <c r="J16953" s="1125"/>
    </row>
    <row r="16954" spans="9:10" x14ac:dyDescent="0.2">
      <c r="I16954" s="1125"/>
      <c r="J16954" s="1125"/>
    </row>
    <row r="16955" spans="9:10" x14ac:dyDescent="0.2">
      <c r="I16955" s="1125"/>
      <c r="J16955" s="1125"/>
    </row>
    <row r="16956" spans="9:10" x14ac:dyDescent="0.2">
      <c r="I16956" s="1125"/>
      <c r="J16956" s="1125"/>
    </row>
    <row r="16957" spans="9:10" x14ac:dyDescent="0.2">
      <c r="I16957" s="1125"/>
      <c r="J16957" s="1125"/>
    </row>
    <row r="16958" spans="9:10" x14ac:dyDescent="0.2">
      <c r="I16958" s="1125"/>
      <c r="J16958" s="1125"/>
    </row>
    <row r="16959" spans="9:10" x14ac:dyDescent="0.2">
      <c r="I16959" s="1125"/>
      <c r="J16959" s="1125"/>
    </row>
    <row r="16960" spans="9:10" x14ac:dyDescent="0.2">
      <c r="I16960" s="1125"/>
      <c r="J16960" s="1125"/>
    </row>
    <row r="16961" spans="9:10" x14ac:dyDescent="0.2">
      <c r="I16961" s="1125"/>
      <c r="J16961" s="1125"/>
    </row>
    <row r="16962" spans="9:10" x14ac:dyDescent="0.2">
      <c r="I16962" s="1125"/>
      <c r="J16962" s="1125"/>
    </row>
    <row r="16963" spans="9:10" x14ac:dyDescent="0.2">
      <c r="I16963" s="1125"/>
      <c r="J16963" s="1125"/>
    </row>
    <row r="16964" spans="9:10" x14ac:dyDescent="0.2">
      <c r="I16964" s="1125"/>
      <c r="J16964" s="1125"/>
    </row>
    <row r="16965" spans="9:10" x14ac:dyDescent="0.2">
      <c r="I16965" s="1125"/>
      <c r="J16965" s="1125"/>
    </row>
    <row r="16966" spans="9:10" x14ac:dyDescent="0.2">
      <c r="I16966" s="1125"/>
      <c r="J16966" s="1125"/>
    </row>
    <row r="16967" spans="9:10" x14ac:dyDescent="0.2">
      <c r="I16967" s="1125"/>
      <c r="J16967" s="1125"/>
    </row>
    <row r="16968" spans="9:10" x14ac:dyDescent="0.2">
      <c r="I16968" s="1125"/>
      <c r="J16968" s="1125"/>
    </row>
    <row r="16969" spans="9:10" x14ac:dyDescent="0.2">
      <c r="I16969" s="1125"/>
      <c r="J16969" s="1125"/>
    </row>
    <row r="16970" spans="9:10" x14ac:dyDescent="0.2">
      <c r="I16970" s="1125"/>
      <c r="J16970" s="1125"/>
    </row>
    <row r="16971" spans="9:10" x14ac:dyDescent="0.2">
      <c r="I16971" s="1125"/>
      <c r="J16971" s="1125"/>
    </row>
    <row r="16972" spans="9:10" x14ac:dyDescent="0.2">
      <c r="I16972" s="1125"/>
      <c r="J16972" s="1125"/>
    </row>
    <row r="16973" spans="9:10" x14ac:dyDescent="0.2">
      <c r="I16973" s="1125"/>
      <c r="J16973" s="1125"/>
    </row>
    <row r="16974" spans="9:10" x14ac:dyDescent="0.2">
      <c r="I16974" s="1125"/>
      <c r="J16974" s="1125"/>
    </row>
    <row r="16975" spans="9:10" x14ac:dyDescent="0.2">
      <c r="I16975" s="1125"/>
      <c r="J16975" s="1125"/>
    </row>
    <row r="16976" spans="9:10" x14ac:dyDescent="0.2">
      <c r="I16976" s="1125"/>
      <c r="J16976" s="1125"/>
    </row>
    <row r="16977" spans="9:10" x14ac:dyDescent="0.2">
      <c r="I16977" s="1125"/>
      <c r="J16977" s="1125"/>
    </row>
    <row r="16978" spans="9:10" x14ac:dyDescent="0.2">
      <c r="I16978" s="1125"/>
      <c r="J16978" s="1125"/>
    </row>
    <row r="16979" spans="9:10" x14ac:dyDescent="0.2">
      <c r="I16979" s="1125"/>
      <c r="J16979" s="1125"/>
    </row>
    <row r="16980" spans="9:10" x14ac:dyDescent="0.2">
      <c r="I16980" s="1125"/>
      <c r="J16980" s="1125"/>
    </row>
    <row r="16981" spans="9:10" x14ac:dyDescent="0.2">
      <c r="I16981" s="1125"/>
      <c r="J16981" s="1125"/>
    </row>
    <row r="16982" spans="9:10" x14ac:dyDescent="0.2">
      <c r="I16982" s="1125"/>
      <c r="J16982" s="1125"/>
    </row>
    <row r="16983" spans="9:10" x14ac:dyDescent="0.2">
      <c r="I16983" s="1125"/>
      <c r="J16983" s="1125"/>
    </row>
    <row r="16984" spans="9:10" x14ac:dyDescent="0.2">
      <c r="I16984" s="1125"/>
      <c r="J16984" s="1125"/>
    </row>
    <row r="16985" spans="9:10" x14ac:dyDescent="0.2">
      <c r="I16985" s="1125"/>
      <c r="J16985" s="1125"/>
    </row>
    <row r="16986" spans="9:10" x14ac:dyDescent="0.2">
      <c r="I16986" s="1125"/>
      <c r="J16986" s="1125"/>
    </row>
    <row r="16987" spans="9:10" x14ac:dyDescent="0.2">
      <c r="I16987" s="1125"/>
      <c r="J16987" s="1125"/>
    </row>
    <row r="16988" spans="9:10" x14ac:dyDescent="0.2">
      <c r="I16988" s="1125"/>
      <c r="J16988" s="1125"/>
    </row>
    <row r="16989" spans="9:10" x14ac:dyDescent="0.2">
      <c r="I16989" s="1125"/>
      <c r="J16989" s="1125"/>
    </row>
    <row r="16990" spans="9:10" x14ac:dyDescent="0.2">
      <c r="I16990" s="1125"/>
      <c r="J16990" s="1125"/>
    </row>
    <row r="16991" spans="9:10" x14ac:dyDescent="0.2">
      <c r="I16991" s="1125"/>
      <c r="J16991" s="1125"/>
    </row>
    <row r="16992" spans="9:10" x14ac:dyDescent="0.2">
      <c r="I16992" s="1125"/>
      <c r="J16992" s="1125"/>
    </row>
    <row r="16993" spans="9:10" x14ac:dyDescent="0.2">
      <c r="I16993" s="1125"/>
      <c r="J16993" s="1125"/>
    </row>
    <row r="16994" spans="9:10" x14ac:dyDescent="0.2">
      <c r="I16994" s="1125"/>
      <c r="J16994" s="1125"/>
    </row>
    <row r="16995" spans="9:10" x14ac:dyDescent="0.2">
      <c r="I16995" s="1125"/>
      <c r="J16995" s="1125"/>
    </row>
    <row r="16996" spans="9:10" x14ac:dyDescent="0.2">
      <c r="I16996" s="1125"/>
      <c r="J16996" s="1125"/>
    </row>
    <row r="16997" spans="9:10" x14ac:dyDescent="0.2">
      <c r="I16997" s="1125"/>
      <c r="J16997" s="1125"/>
    </row>
    <row r="16998" spans="9:10" x14ac:dyDescent="0.2">
      <c r="I16998" s="1125"/>
      <c r="J16998" s="1125"/>
    </row>
    <row r="16999" spans="9:10" x14ac:dyDescent="0.2">
      <c r="I16999" s="1125"/>
      <c r="J16999" s="1125"/>
    </row>
    <row r="17000" spans="9:10" x14ac:dyDescent="0.2">
      <c r="I17000" s="1125"/>
      <c r="J17000" s="1125"/>
    </row>
    <row r="17001" spans="9:10" x14ac:dyDescent="0.2">
      <c r="I17001" s="1125"/>
      <c r="J17001" s="1125"/>
    </row>
    <row r="17002" spans="9:10" x14ac:dyDescent="0.2">
      <c r="I17002" s="1125"/>
      <c r="J17002" s="1125"/>
    </row>
    <row r="17003" spans="9:10" x14ac:dyDescent="0.2">
      <c r="I17003" s="1125"/>
      <c r="J17003" s="1125"/>
    </row>
    <row r="17004" spans="9:10" x14ac:dyDescent="0.2">
      <c r="I17004" s="1125"/>
      <c r="J17004" s="1125"/>
    </row>
    <row r="17005" spans="9:10" x14ac:dyDescent="0.2">
      <c r="I17005" s="1125"/>
      <c r="J17005" s="1125"/>
    </row>
    <row r="17006" spans="9:10" x14ac:dyDescent="0.2">
      <c r="I17006" s="1125"/>
      <c r="J17006" s="1125"/>
    </row>
    <row r="17007" spans="9:10" x14ac:dyDescent="0.2">
      <c r="I17007" s="1125"/>
      <c r="J17007" s="1125"/>
    </row>
    <row r="17008" spans="9:10" x14ac:dyDescent="0.2">
      <c r="I17008" s="1125"/>
      <c r="J17008" s="1125"/>
    </row>
    <row r="17009" spans="9:10" x14ac:dyDescent="0.2">
      <c r="I17009" s="1125"/>
      <c r="J17009" s="1125"/>
    </row>
    <row r="17010" spans="9:10" x14ac:dyDescent="0.2">
      <c r="I17010" s="1125"/>
      <c r="J17010" s="1125"/>
    </row>
    <row r="17011" spans="9:10" x14ac:dyDescent="0.2">
      <c r="I17011" s="1125"/>
      <c r="J17011" s="1125"/>
    </row>
    <row r="17012" spans="9:10" x14ac:dyDescent="0.2">
      <c r="I17012" s="1125"/>
      <c r="J17012" s="1125"/>
    </row>
    <row r="17013" spans="9:10" x14ac:dyDescent="0.2">
      <c r="I17013" s="1125"/>
      <c r="J17013" s="1125"/>
    </row>
    <row r="17014" spans="9:10" x14ac:dyDescent="0.2">
      <c r="I17014" s="1125"/>
      <c r="J17014" s="1125"/>
    </row>
    <row r="17015" spans="9:10" x14ac:dyDescent="0.2">
      <c r="I17015" s="1125"/>
      <c r="J17015" s="1125"/>
    </row>
    <row r="17016" spans="9:10" x14ac:dyDescent="0.2">
      <c r="I17016" s="1125"/>
      <c r="J17016" s="1125"/>
    </row>
    <row r="17017" spans="9:10" x14ac:dyDescent="0.2">
      <c r="I17017" s="1125"/>
      <c r="J17017" s="1125"/>
    </row>
    <row r="17018" spans="9:10" x14ac:dyDescent="0.2">
      <c r="I17018" s="1125"/>
      <c r="J17018" s="1125"/>
    </row>
    <row r="17019" spans="9:10" x14ac:dyDescent="0.2">
      <c r="I17019" s="1125"/>
      <c r="J17019" s="1125"/>
    </row>
    <row r="17020" spans="9:10" x14ac:dyDescent="0.2">
      <c r="I17020" s="1125"/>
      <c r="J17020" s="1125"/>
    </row>
    <row r="17021" spans="9:10" x14ac:dyDescent="0.2">
      <c r="I17021" s="1125"/>
      <c r="J17021" s="1125"/>
    </row>
    <row r="17022" spans="9:10" x14ac:dyDescent="0.2">
      <c r="I17022" s="1125"/>
      <c r="J17022" s="1125"/>
    </row>
    <row r="17023" spans="9:10" x14ac:dyDescent="0.2">
      <c r="I17023" s="1125"/>
      <c r="J17023" s="1125"/>
    </row>
    <row r="17024" spans="9:10" x14ac:dyDescent="0.2">
      <c r="I17024" s="1125"/>
      <c r="J17024" s="1125"/>
    </row>
    <row r="17025" spans="9:10" x14ac:dyDescent="0.2">
      <c r="I17025" s="1125"/>
      <c r="J17025" s="1125"/>
    </row>
    <row r="17026" spans="9:10" x14ac:dyDescent="0.2">
      <c r="I17026" s="1125"/>
      <c r="J17026" s="1125"/>
    </row>
    <row r="17027" spans="9:10" x14ac:dyDescent="0.2">
      <c r="I17027" s="1125"/>
      <c r="J17027" s="1125"/>
    </row>
    <row r="17028" spans="9:10" x14ac:dyDescent="0.2">
      <c r="I17028" s="1125"/>
      <c r="J17028" s="1125"/>
    </row>
    <row r="17029" spans="9:10" x14ac:dyDescent="0.2">
      <c r="I17029" s="1125"/>
      <c r="J17029" s="1125"/>
    </row>
    <row r="17030" spans="9:10" x14ac:dyDescent="0.2">
      <c r="I17030" s="1125"/>
      <c r="J17030" s="1125"/>
    </row>
    <row r="17031" spans="9:10" x14ac:dyDescent="0.2">
      <c r="I17031" s="1125"/>
      <c r="J17031" s="1125"/>
    </row>
    <row r="17032" spans="9:10" x14ac:dyDescent="0.2">
      <c r="I17032" s="1125"/>
      <c r="J17032" s="1125"/>
    </row>
    <row r="17033" spans="9:10" x14ac:dyDescent="0.2">
      <c r="I17033" s="1125"/>
      <c r="J17033" s="1125"/>
    </row>
    <row r="17034" spans="9:10" x14ac:dyDescent="0.2">
      <c r="I17034" s="1125"/>
      <c r="J17034" s="1125"/>
    </row>
    <row r="17035" spans="9:10" x14ac:dyDescent="0.2">
      <c r="I17035" s="1125"/>
      <c r="J17035" s="1125"/>
    </row>
    <row r="17036" spans="9:10" x14ac:dyDescent="0.2">
      <c r="I17036" s="1125"/>
      <c r="J17036" s="1125"/>
    </row>
    <row r="17037" spans="9:10" x14ac:dyDescent="0.2">
      <c r="I17037" s="1125"/>
      <c r="J17037" s="1125"/>
    </row>
    <row r="17038" spans="9:10" x14ac:dyDescent="0.2">
      <c r="I17038" s="1125"/>
      <c r="J17038" s="1125"/>
    </row>
    <row r="17039" spans="9:10" x14ac:dyDescent="0.2">
      <c r="I17039" s="1125"/>
      <c r="J17039" s="1125"/>
    </row>
    <row r="17040" spans="9:10" x14ac:dyDescent="0.2">
      <c r="I17040" s="1125"/>
      <c r="J17040" s="1125"/>
    </row>
    <row r="17041" spans="9:10" x14ac:dyDescent="0.2">
      <c r="I17041" s="1125"/>
      <c r="J17041" s="1125"/>
    </row>
    <row r="17042" spans="9:10" x14ac:dyDescent="0.2">
      <c r="I17042" s="1125"/>
      <c r="J17042" s="1125"/>
    </row>
    <row r="17043" spans="9:10" x14ac:dyDescent="0.2">
      <c r="I17043" s="1125"/>
      <c r="J17043" s="1125"/>
    </row>
    <row r="17044" spans="9:10" x14ac:dyDescent="0.2">
      <c r="I17044" s="1125"/>
      <c r="J17044" s="1125"/>
    </row>
    <row r="17045" spans="9:10" x14ac:dyDescent="0.2">
      <c r="I17045" s="1125"/>
      <c r="J17045" s="1125"/>
    </row>
    <row r="17046" spans="9:10" x14ac:dyDescent="0.2">
      <c r="I17046" s="1125"/>
      <c r="J17046" s="1125"/>
    </row>
    <row r="17047" spans="9:10" x14ac:dyDescent="0.2">
      <c r="I17047" s="1125"/>
      <c r="J17047" s="1125"/>
    </row>
    <row r="17048" spans="9:10" x14ac:dyDescent="0.2">
      <c r="I17048" s="1125"/>
      <c r="J17048" s="1125"/>
    </row>
    <row r="17049" spans="9:10" x14ac:dyDescent="0.2">
      <c r="I17049" s="1125"/>
      <c r="J17049" s="1125"/>
    </row>
    <row r="17050" spans="9:10" x14ac:dyDescent="0.2">
      <c r="I17050" s="1125"/>
      <c r="J17050" s="1125"/>
    </row>
    <row r="17051" spans="9:10" x14ac:dyDescent="0.2">
      <c r="I17051" s="1125"/>
      <c r="J17051" s="1125"/>
    </row>
    <row r="17052" spans="9:10" x14ac:dyDescent="0.2">
      <c r="I17052" s="1125"/>
      <c r="J17052" s="1125"/>
    </row>
    <row r="17053" spans="9:10" x14ac:dyDescent="0.2">
      <c r="I17053" s="1125"/>
      <c r="J17053" s="1125"/>
    </row>
    <row r="17054" spans="9:10" x14ac:dyDescent="0.2">
      <c r="I17054" s="1125"/>
      <c r="J17054" s="1125"/>
    </row>
    <row r="17055" spans="9:10" x14ac:dyDescent="0.2">
      <c r="I17055" s="1125"/>
      <c r="J17055" s="1125"/>
    </row>
    <row r="17056" spans="9:10" x14ac:dyDescent="0.2">
      <c r="I17056" s="1125"/>
      <c r="J17056" s="1125"/>
    </row>
    <row r="17057" spans="9:10" x14ac:dyDescent="0.2">
      <c r="I17057" s="1125"/>
      <c r="J17057" s="1125"/>
    </row>
    <row r="17058" spans="9:10" x14ac:dyDescent="0.2">
      <c r="I17058" s="1125"/>
      <c r="J17058" s="1125"/>
    </row>
    <row r="17059" spans="9:10" x14ac:dyDescent="0.2">
      <c r="I17059" s="1125"/>
      <c r="J17059" s="1125"/>
    </row>
    <row r="17060" spans="9:10" x14ac:dyDescent="0.2">
      <c r="I17060" s="1125"/>
      <c r="J17060" s="1125"/>
    </row>
    <row r="17061" spans="9:10" x14ac:dyDescent="0.2">
      <c r="I17061" s="1125"/>
      <c r="J17061" s="1125"/>
    </row>
    <row r="17062" spans="9:10" x14ac:dyDescent="0.2">
      <c r="I17062" s="1125"/>
      <c r="J17062" s="1125"/>
    </row>
    <row r="17063" spans="9:10" x14ac:dyDescent="0.2">
      <c r="I17063" s="1125"/>
      <c r="J17063" s="1125"/>
    </row>
    <row r="17064" spans="9:10" x14ac:dyDescent="0.2">
      <c r="I17064" s="1125"/>
      <c r="J17064" s="1125"/>
    </row>
    <row r="17065" spans="9:10" x14ac:dyDescent="0.2">
      <c r="I17065" s="1125"/>
      <c r="J17065" s="1125"/>
    </row>
    <row r="17066" spans="9:10" x14ac:dyDescent="0.2">
      <c r="I17066" s="1125"/>
      <c r="J17066" s="1125"/>
    </row>
    <row r="17067" spans="9:10" x14ac:dyDescent="0.2">
      <c r="I17067" s="1125"/>
      <c r="J17067" s="1125"/>
    </row>
    <row r="17068" spans="9:10" x14ac:dyDescent="0.2">
      <c r="I17068" s="1125"/>
      <c r="J17068" s="1125"/>
    </row>
    <row r="17069" spans="9:10" x14ac:dyDescent="0.2">
      <c r="I17069" s="1125"/>
      <c r="J17069" s="1125"/>
    </row>
    <row r="17070" spans="9:10" x14ac:dyDescent="0.2">
      <c r="I17070" s="1125"/>
      <c r="J17070" s="1125"/>
    </row>
    <row r="17071" spans="9:10" x14ac:dyDescent="0.2">
      <c r="I17071" s="1125"/>
      <c r="J17071" s="1125"/>
    </row>
    <row r="17072" spans="9:10" x14ac:dyDescent="0.2">
      <c r="I17072" s="1125"/>
      <c r="J17072" s="1125"/>
    </row>
    <row r="17073" spans="9:10" x14ac:dyDescent="0.2">
      <c r="I17073" s="1125"/>
      <c r="J17073" s="1125"/>
    </row>
    <row r="17074" spans="9:10" x14ac:dyDescent="0.2">
      <c r="I17074" s="1125"/>
      <c r="J17074" s="1125"/>
    </row>
    <row r="17075" spans="9:10" x14ac:dyDescent="0.2">
      <c r="I17075" s="1125"/>
      <c r="J17075" s="1125"/>
    </row>
    <row r="17076" spans="9:10" x14ac:dyDescent="0.2">
      <c r="I17076" s="1125"/>
      <c r="J17076" s="1125"/>
    </row>
    <row r="17077" spans="9:10" x14ac:dyDescent="0.2">
      <c r="I17077" s="1125"/>
      <c r="J17077" s="1125"/>
    </row>
    <row r="17078" spans="9:10" x14ac:dyDescent="0.2">
      <c r="I17078" s="1125"/>
      <c r="J17078" s="1125"/>
    </row>
    <row r="17079" spans="9:10" x14ac:dyDescent="0.2">
      <c r="I17079" s="1125"/>
      <c r="J17079" s="1125"/>
    </row>
    <row r="17080" spans="9:10" x14ac:dyDescent="0.2">
      <c r="I17080" s="1125"/>
      <c r="J17080" s="1125"/>
    </row>
    <row r="17081" spans="9:10" x14ac:dyDescent="0.2">
      <c r="I17081" s="1125"/>
      <c r="J17081" s="1125"/>
    </row>
    <row r="17082" spans="9:10" x14ac:dyDescent="0.2">
      <c r="I17082" s="1125"/>
      <c r="J17082" s="1125"/>
    </row>
    <row r="17083" spans="9:10" x14ac:dyDescent="0.2">
      <c r="I17083" s="1125"/>
      <c r="J17083" s="1125"/>
    </row>
    <row r="17084" spans="9:10" x14ac:dyDescent="0.2">
      <c r="I17084" s="1125"/>
      <c r="J17084" s="1125"/>
    </row>
    <row r="17085" spans="9:10" x14ac:dyDescent="0.2">
      <c r="I17085" s="1125"/>
      <c r="J17085" s="1125"/>
    </row>
    <row r="17086" spans="9:10" x14ac:dyDescent="0.2">
      <c r="I17086" s="1125"/>
      <c r="J17086" s="1125"/>
    </row>
    <row r="17087" spans="9:10" x14ac:dyDescent="0.2">
      <c r="I17087" s="1125"/>
      <c r="J17087" s="1125"/>
    </row>
    <row r="17088" spans="9:10" x14ac:dyDescent="0.2">
      <c r="I17088" s="1125"/>
      <c r="J17088" s="1125"/>
    </row>
    <row r="17089" spans="9:10" x14ac:dyDescent="0.2">
      <c r="I17089" s="1125"/>
      <c r="J17089" s="1125"/>
    </row>
    <row r="17090" spans="9:10" x14ac:dyDescent="0.2">
      <c r="I17090" s="1125"/>
      <c r="J17090" s="1125"/>
    </row>
    <row r="17091" spans="9:10" x14ac:dyDescent="0.2">
      <c r="I17091" s="1125"/>
      <c r="J17091" s="1125"/>
    </row>
    <row r="17092" spans="9:10" x14ac:dyDescent="0.2">
      <c r="I17092" s="1125"/>
      <c r="J17092" s="1125"/>
    </row>
    <row r="17093" spans="9:10" x14ac:dyDescent="0.2">
      <c r="I17093" s="1125"/>
      <c r="J17093" s="1125"/>
    </row>
    <row r="17094" spans="9:10" x14ac:dyDescent="0.2">
      <c r="I17094" s="1125"/>
      <c r="J17094" s="1125"/>
    </row>
    <row r="17095" spans="9:10" x14ac:dyDescent="0.2">
      <c r="I17095" s="1125"/>
      <c r="J17095" s="1125"/>
    </row>
    <row r="17096" spans="9:10" x14ac:dyDescent="0.2">
      <c r="I17096" s="1125"/>
      <c r="J17096" s="1125"/>
    </row>
    <row r="17097" spans="9:10" x14ac:dyDescent="0.2">
      <c r="I17097" s="1125"/>
      <c r="J17097" s="1125"/>
    </row>
    <row r="17098" spans="9:10" x14ac:dyDescent="0.2">
      <c r="I17098" s="1125"/>
      <c r="J17098" s="1125"/>
    </row>
    <row r="17099" spans="9:10" x14ac:dyDescent="0.2">
      <c r="I17099" s="1125"/>
      <c r="J17099" s="1125"/>
    </row>
    <row r="17100" spans="9:10" x14ac:dyDescent="0.2">
      <c r="I17100" s="1125"/>
      <c r="J17100" s="1125"/>
    </row>
    <row r="17101" spans="9:10" x14ac:dyDescent="0.2">
      <c r="I17101" s="1125"/>
      <c r="J17101" s="1125"/>
    </row>
    <row r="17102" spans="9:10" x14ac:dyDescent="0.2">
      <c r="I17102" s="1125"/>
      <c r="J17102" s="1125"/>
    </row>
    <row r="17103" spans="9:10" x14ac:dyDescent="0.2">
      <c r="I17103" s="1125"/>
      <c r="J17103" s="1125"/>
    </row>
    <row r="17104" spans="9:10" x14ac:dyDescent="0.2">
      <c r="I17104" s="1125"/>
      <c r="J17104" s="1125"/>
    </row>
    <row r="17105" spans="9:10" x14ac:dyDescent="0.2">
      <c r="I17105" s="1125"/>
      <c r="J17105" s="1125"/>
    </row>
    <row r="17106" spans="9:10" x14ac:dyDescent="0.2">
      <c r="I17106" s="1125"/>
      <c r="J17106" s="1125"/>
    </row>
    <row r="17107" spans="9:10" x14ac:dyDescent="0.2">
      <c r="I17107" s="1125"/>
      <c r="J17107" s="1125"/>
    </row>
    <row r="17108" spans="9:10" x14ac:dyDescent="0.2">
      <c r="I17108" s="1125"/>
      <c r="J17108" s="1125"/>
    </row>
    <row r="17109" spans="9:10" x14ac:dyDescent="0.2">
      <c r="I17109" s="1125"/>
      <c r="J17109" s="1125"/>
    </row>
    <row r="17110" spans="9:10" x14ac:dyDescent="0.2">
      <c r="I17110" s="1125"/>
      <c r="J17110" s="1125"/>
    </row>
    <row r="17111" spans="9:10" x14ac:dyDescent="0.2">
      <c r="I17111" s="1125"/>
      <c r="J17111" s="1125"/>
    </row>
    <row r="17112" spans="9:10" x14ac:dyDescent="0.2">
      <c r="I17112" s="1125"/>
      <c r="J17112" s="1125"/>
    </row>
    <row r="17113" spans="9:10" x14ac:dyDescent="0.2">
      <c r="I17113" s="1125"/>
      <c r="J17113" s="1125"/>
    </row>
    <row r="17114" spans="9:10" x14ac:dyDescent="0.2">
      <c r="I17114" s="1125"/>
      <c r="J17114" s="1125"/>
    </row>
    <row r="17115" spans="9:10" x14ac:dyDescent="0.2">
      <c r="I17115" s="1125"/>
      <c r="J17115" s="1125"/>
    </row>
    <row r="17116" spans="9:10" x14ac:dyDescent="0.2">
      <c r="I17116" s="1125"/>
      <c r="J17116" s="1125"/>
    </row>
    <row r="17117" spans="9:10" x14ac:dyDescent="0.2">
      <c r="I17117" s="1125"/>
      <c r="J17117" s="1125"/>
    </row>
    <row r="17118" spans="9:10" x14ac:dyDescent="0.2">
      <c r="I17118" s="1125"/>
      <c r="J17118" s="1125"/>
    </row>
    <row r="17119" spans="9:10" x14ac:dyDescent="0.2">
      <c r="I17119" s="1125"/>
      <c r="J17119" s="1125"/>
    </row>
    <row r="17120" spans="9:10" x14ac:dyDescent="0.2">
      <c r="I17120" s="1125"/>
      <c r="J17120" s="1125"/>
    </row>
    <row r="17121" spans="9:10" x14ac:dyDescent="0.2">
      <c r="I17121" s="1125"/>
      <c r="J17121" s="1125"/>
    </row>
    <row r="17122" spans="9:10" x14ac:dyDescent="0.2">
      <c r="I17122" s="1125"/>
      <c r="J17122" s="1125"/>
    </row>
    <row r="17123" spans="9:10" x14ac:dyDescent="0.2">
      <c r="I17123" s="1125"/>
      <c r="J17123" s="1125"/>
    </row>
    <row r="17124" spans="9:10" x14ac:dyDescent="0.2">
      <c r="I17124" s="1125"/>
      <c r="J17124" s="1125"/>
    </row>
    <row r="17125" spans="9:10" x14ac:dyDescent="0.2">
      <c r="I17125" s="1125"/>
      <c r="J17125" s="1125"/>
    </row>
    <row r="17126" spans="9:10" x14ac:dyDescent="0.2">
      <c r="I17126" s="1125"/>
      <c r="J17126" s="1125"/>
    </row>
    <row r="17127" spans="9:10" x14ac:dyDescent="0.2">
      <c r="I17127" s="1125"/>
      <c r="J17127" s="1125"/>
    </row>
    <row r="17128" spans="9:10" x14ac:dyDescent="0.2">
      <c r="I17128" s="1125"/>
      <c r="J17128" s="1125"/>
    </row>
    <row r="17129" spans="9:10" x14ac:dyDescent="0.2">
      <c r="I17129" s="1125"/>
      <c r="J17129" s="1125"/>
    </row>
    <row r="17130" spans="9:10" x14ac:dyDescent="0.2">
      <c r="I17130" s="1125"/>
      <c r="J17130" s="1125"/>
    </row>
    <row r="17131" spans="9:10" x14ac:dyDescent="0.2">
      <c r="I17131" s="1125"/>
      <c r="J17131" s="1125"/>
    </row>
    <row r="17132" spans="9:10" x14ac:dyDescent="0.2">
      <c r="I17132" s="1125"/>
      <c r="J17132" s="1125"/>
    </row>
    <row r="17133" spans="9:10" x14ac:dyDescent="0.2">
      <c r="I17133" s="1125"/>
      <c r="J17133" s="1125"/>
    </row>
    <row r="17134" spans="9:10" x14ac:dyDescent="0.2">
      <c r="I17134" s="1125"/>
      <c r="J17134" s="1125"/>
    </row>
    <row r="17135" spans="9:10" x14ac:dyDescent="0.2">
      <c r="I17135" s="1125"/>
      <c r="J17135" s="1125"/>
    </row>
    <row r="17136" spans="9:10" x14ac:dyDescent="0.2">
      <c r="I17136" s="1125"/>
      <c r="J17136" s="1125"/>
    </row>
    <row r="17137" spans="9:10" x14ac:dyDescent="0.2">
      <c r="I17137" s="1125"/>
      <c r="J17137" s="1125"/>
    </row>
    <row r="17138" spans="9:10" x14ac:dyDescent="0.2">
      <c r="I17138" s="1125"/>
      <c r="J17138" s="1125"/>
    </row>
    <row r="17139" spans="9:10" x14ac:dyDescent="0.2">
      <c r="I17139" s="1125"/>
      <c r="J17139" s="1125"/>
    </row>
    <row r="17140" spans="9:10" x14ac:dyDescent="0.2">
      <c r="I17140" s="1125"/>
      <c r="J17140" s="1125"/>
    </row>
    <row r="17141" spans="9:10" x14ac:dyDescent="0.2">
      <c r="I17141" s="1125"/>
      <c r="J17141" s="1125"/>
    </row>
    <row r="17142" spans="9:10" x14ac:dyDescent="0.2">
      <c r="I17142" s="1125"/>
      <c r="J17142" s="1125"/>
    </row>
    <row r="17143" spans="9:10" x14ac:dyDescent="0.2">
      <c r="I17143" s="1125"/>
      <c r="J17143" s="1125"/>
    </row>
    <row r="17144" spans="9:10" x14ac:dyDescent="0.2">
      <c r="I17144" s="1125"/>
      <c r="J17144" s="1125"/>
    </row>
    <row r="17145" spans="9:10" x14ac:dyDescent="0.2">
      <c r="I17145" s="1125"/>
      <c r="J17145" s="1125"/>
    </row>
    <row r="17146" spans="9:10" x14ac:dyDescent="0.2">
      <c r="I17146" s="1125"/>
      <c r="J17146" s="1125"/>
    </row>
    <row r="17147" spans="9:10" x14ac:dyDescent="0.2">
      <c r="I17147" s="1125"/>
      <c r="J17147" s="1125"/>
    </row>
    <row r="17148" spans="9:10" x14ac:dyDescent="0.2">
      <c r="I17148" s="1125"/>
      <c r="J17148" s="1125"/>
    </row>
    <row r="17149" spans="9:10" x14ac:dyDescent="0.2">
      <c r="I17149" s="1125"/>
      <c r="J17149" s="1125"/>
    </row>
    <row r="17150" spans="9:10" x14ac:dyDescent="0.2">
      <c r="I17150" s="1125"/>
      <c r="J17150" s="1125"/>
    </row>
    <row r="17151" spans="9:10" x14ac:dyDescent="0.2">
      <c r="I17151" s="1125"/>
      <c r="J17151" s="1125"/>
    </row>
    <row r="17152" spans="9:10" x14ac:dyDescent="0.2">
      <c r="I17152" s="1125"/>
      <c r="J17152" s="1125"/>
    </row>
    <row r="17153" spans="9:10" x14ac:dyDescent="0.2">
      <c r="I17153" s="1125"/>
      <c r="J17153" s="1125"/>
    </row>
    <row r="17154" spans="9:10" x14ac:dyDescent="0.2">
      <c r="I17154" s="1125"/>
      <c r="J17154" s="1125"/>
    </row>
    <row r="17155" spans="9:10" x14ac:dyDescent="0.2">
      <c r="I17155" s="1125"/>
      <c r="J17155" s="1125"/>
    </row>
    <row r="17156" spans="9:10" x14ac:dyDescent="0.2">
      <c r="I17156" s="1125"/>
      <c r="J17156" s="1125"/>
    </row>
    <row r="17157" spans="9:10" x14ac:dyDescent="0.2">
      <c r="I17157" s="1125"/>
      <c r="J17157" s="1125"/>
    </row>
    <row r="17158" spans="9:10" x14ac:dyDescent="0.2">
      <c r="I17158" s="1125"/>
      <c r="J17158" s="1125"/>
    </row>
    <row r="17159" spans="9:10" x14ac:dyDescent="0.2">
      <c r="I17159" s="1125"/>
      <c r="J17159" s="1125"/>
    </row>
    <row r="17160" spans="9:10" x14ac:dyDescent="0.2">
      <c r="I17160" s="1125"/>
      <c r="J17160" s="1125"/>
    </row>
    <row r="17161" spans="9:10" x14ac:dyDescent="0.2">
      <c r="I17161" s="1125"/>
      <c r="J17161" s="1125"/>
    </row>
    <row r="17162" spans="9:10" x14ac:dyDescent="0.2">
      <c r="I17162" s="1125"/>
      <c r="J17162" s="1125"/>
    </row>
    <row r="17163" spans="9:10" x14ac:dyDescent="0.2">
      <c r="I17163" s="1125"/>
      <c r="J17163" s="1125"/>
    </row>
    <row r="17164" spans="9:10" x14ac:dyDescent="0.2">
      <c r="I17164" s="1125"/>
      <c r="J17164" s="1125"/>
    </row>
    <row r="17165" spans="9:10" x14ac:dyDescent="0.2">
      <c r="I17165" s="1125"/>
      <c r="J17165" s="1125"/>
    </row>
    <row r="17166" spans="9:10" x14ac:dyDescent="0.2">
      <c r="I17166" s="1125"/>
      <c r="J17166" s="1125"/>
    </row>
    <row r="17167" spans="9:10" x14ac:dyDescent="0.2">
      <c r="I17167" s="1125"/>
      <c r="J17167" s="1125"/>
    </row>
    <row r="17168" spans="9:10" x14ac:dyDescent="0.2">
      <c r="I17168" s="1125"/>
      <c r="J17168" s="1125"/>
    </row>
    <row r="17169" spans="9:10" x14ac:dyDescent="0.2">
      <c r="I17169" s="1125"/>
      <c r="J17169" s="1125"/>
    </row>
    <row r="17170" spans="9:10" x14ac:dyDescent="0.2">
      <c r="I17170" s="1125"/>
      <c r="J17170" s="1125"/>
    </row>
    <row r="17171" spans="9:10" x14ac:dyDescent="0.2">
      <c r="I17171" s="1125"/>
      <c r="J17171" s="1125"/>
    </row>
    <row r="17172" spans="9:10" x14ac:dyDescent="0.2">
      <c r="I17172" s="1125"/>
      <c r="J17172" s="1125"/>
    </row>
    <row r="17173" spans="9:10" x14ac:dyDescent="0.2">
      <c r="I17173" s="1125"/>
      <c r="J17173" s="1125"/>
    </row>
    <row r="17174" spans="9:10" x14ac:dyDescent="0.2">
      <c r="I17174" s="1125"/>
      <c r="J17174" s="1125"/>
    </row>
    <row r="17175" spans="9:10" x14ac:dyDescent="0.2">
      <c r="I17175" s="1125"/>
      <c r="J17175" s="1125"/>
    </row>
    <row r="17176" spans="9:10" x14ac:dyDescent="0.2">
      <c r="I17176" s="1125"/>
      <c r="J17176" s="1125"/>
    </row>
    <row r="17177" spans="9:10" x14ac:dyDescent="0.2">
      <c r="I17177" s="1125"/>
      <c r="J17177" s="1125"/>
    </row>
    <row r="17178" spans="9:10" x14ac:dyDescent="0.2">
      <c r="I17178" s="1125"/>
      <c r="J17178" s="1125"/>
    </row>
    <row r="17179" spans="9:10" x14ac:dyDescent="0.2">
      <c r="I17179" s="1125"/>
      <c r="J17179" s="1125"/>
    </row>
    <row r="17180" spans="9:10" x14ac:dyDescent="0.2">
      <c r="I17180" s="1125"/>
      <c r="J17180" s="1125"/>
    </row>
    <row r="17181" spans="9:10" x14ac:dyDescent="0.2">
      <c r="I17181" s="1125"/>
      <c r="J17181" s="1125"/>
    </row>
    <row r="17182" spans="9:10" x14ac:dyDescent="0.2">
      <c r="I17182" s="1125"/>
      <c r="J17182" s="1125"/>
    </row>
    <row r="17183" spans="9:10" x14ac:dyDescent="0.2">
      <c r="I17183" s="1125"/>
      <c r="J17183" s="1125"/>
    </row>
    <row r="17184" spans="9:10" x14ac:dyDescent="0.2">
      <c r="I17184" s="1125"/>
      <c r="J17184" s="1125"/>
    </row>
    <row r="17185" spans="9:10" x14ac:dyDescent="0.2">
      <c r="I17185" s="1125"/>
      <c r="J17185" s="1125"/>
    </row>
    <row r="17186" spans="9:10" x14ac:dyDescent="0.2">
      <c r="I17186" s="1125"/>
      <c r="J17186" s="1125"/>
    </row>
    <row r="17187" spans="9:10" x14ac:dyDescent="0.2">
      <c r="I17187" s="1125"/>
      <c r="J17187" s="1125"/>
    </row>
    <row r="17188" spans="9:10" x14ac:dyDescent="0.2">
      <c r="I17188" s="1125"/>
      <c r="J17188" s="1125"/>
    </row>
    <row r="17189" spans="9:10" x14ac:dyDescent="0.2">
      <c r="I17189" s="1125"/>
      <c r="J17189" s="1125"/>
    </row>
    <row r="17190" spans="9:10" x14ac:dyDescent="0.2">
      <c r="I17190" s="1125"/>
      <c r="J17190" s="1125"/>
    </row>
    <row r="17191" spans="9:10" x14ac:dyDescent="0.2">
      <c r="I17191" s="1125"/>
      <c r="J17191" s="1125"/>
    </row>
    <row r="17192" spans="9:10" x14ac:dyDescent="0.2">
      <c r="I17192" s="1125"/>
      <c r="J17192" s="1125"/>
    </row>
    <row r="17193" spans="9:10" x14ac:dyDescent="0.2">
      <c r="I17193" s="1125"/>
      <c r="J17193" s="1125"/>
    </row>
    <row r="17194" spans="9:10" x14ac:dyDescent="0.2">
      <c r="I17194" s="1125"/>
      <c r="J17194" s="1125"/>
    </row>
    <row r="17195" spans="9:10" x14ac:dyDescent="0.2">
      <c r="I17195" s="1125"/>
      <c r="J17195" s="1125"/>
    </row>
    <row r="17196" spans="9:10" x14ac:dyDescent="0.2">
      <c r="I17196" s="1125"/>
      <c r="J17196" s="1125"/>
    </row>
    <row r="17197" spans="9:10" x14ac:dyDescent="0.2">
      <c r="I17197" s="1125"/>
      <c r="J17197" s="1125"/>
    </row>
    <row r="17198" spans="9:10" x14ac:dyDescent="0.2">
      <c r="I17198" s="1125"/>
      <c r="J17198" s="1125"/>
    </row>
    <row r="17199" spans="9:10" x14ac:dyDescent="0.2">
      <c r="I17199" s="1125"/>
      <c r="J17199" s="1125"/>
    </row>
    <row r="17200" spans="9:10" x14ac:dyDescent="0.2">
      <c r="I17200" s="1125"/>
      <c r="J17200" s="1125"/>
    </row>
    <row r="17201" spans="9:10" x14ac:dyDescent="0.2">
      <c r="I17201" s="1125"/>
      <c r="J17201" s="1125"/>
    </row>
    <row r="17202" spans="9:10" x14ac:dyDescent="0.2">
      <c r="I17202" s="1125"/>
      <c r="J17202" s="1125"/>
    </row>
    <row r="17203" spans="9:10" x14ac:dyDescent="0.2">
      <c r="I17203" s="1125"/>
      <c r="J17203" s="1125"/>
    </row>
    <row r="17204" spans="9:10" x14ac:dyDescent="0.2">
      <c r="I17204" s="1125"/>
      <c r="J17204" s="1125"/>
    </row>
    <row r="17205" spans="9:10" x14ac:dyDescent="0.2">
      <c r="I17205" s="1125"/>
      <c r="J17205" s="1125"/>
    </row>
    <row r="17206" spans="9:10" x14ac:dyDescent="0.2">
      <c r="I17206" s="1125"/>
      <c r="J17206" s="1125"/>
    </row>
    <row r="17207" spans="9:10" x14ac:dyDescent="0.2">
      <c r="I17207" s="1125"/>
      <c r="J17207" s="1125"/>
    </row>
    <row r="17208" spans="9:10" x14ac:dyDescent="0.2">
      <c r="I17208" s="1125"/>
      <c r="J17208" s="1125"/>
    </row>
    <row r="17209" spans="9:10" x14ac:dyDescent="0.2">
      <c r="I17209" s="1125"/>
      <c r="J17209" s="1125"/>
    </row>
    <row r="17210" spans="9:10" x14ac:dyDescent="0.2">
      <c r="I17210" s="1125"/>
      <c r="J17210" s="1125"/>
    </row>
    <row r="17211" spans="9:10" x14ac:dyDescent="0.2">
      <c r="I17211" s="1125"/>
      <c r="J17211" s="1125"/>
    </row>
    <row r="17212" spans="9:10" x14ac:dyDescent="0.2">
      <c r="I17212" s="1125"/>
      <c r="J17212" s="1125"/>
    </row>
    <row r="17213" spans="9:10" x14ac:dyDescent="0.2">
      <c r="I17213" s="1125"/>
      <c r="J17213" s="1125"/>
    </row>
    <row r="17214" spans="9:10" x14ac:dyDescent="0.2">
      <c r="I17214" s="1125"/>
      <c r="J17214" s="1125"/>
    </row>
    <row r="17215" spans="9:10" x14ac:dyDescent="0.2">
      <c r="I17215" s="1125"/>
      <c r="J17215" s="1125"/>
    </row>
    <row r="17216" spans="9:10" x14ac:dyDescent="0.2">
      <c r="I17216" s="1125"/>
      <c r="J17216" s="1125"/>
    </row>
    <row r="17217" spans="9:10" x14ac:dyDescent="0.2">
      <c r="I17217" s="1125"/>
      <c r="J17217" s="1125"/>
    </row>
    <row r="17218" spans="9:10" x14ac:dyDescent="0.2">
      <c r="I17218" s="1125"/>
      <c r="J17218" s="1125"/>
    </row>
    <row r="17219" spans="9:10" x14ac:dyDescent="0.2">
      <c r="I17219" s="1125"/>
      <c r="J17219" s="1125"/>
    </row>
    <row r="17220" spans="9:10" x14ac:dyDescent="0.2">
      <c r="I17220" s="1125"/>
      <c r="J17220" s="1125"/>
    </row>
    <row r="17221" spans="9:10" x14ac:dyDescent="0.2">
      <c r="I17221" s="1125"/>
      <c r="J17221" s="1125"/>
    </row>
    <row r="17222" spans="9:10" x14ac:dyDescent="0.2">
      <c r="I17222" s="1125"/>
      <c r="J17222" s="1125"/>
    </row>
    <row r="17223" spans="9:10" x14ac:dyDescent="0.2">
      <c r="I17223" s="1125"/>
      <c r="J17223" s="1125"/>
    </row>
    <row r="17224" spans="9:10" x14ac:dyDescent="0.2">
      <c r="I17224" s="1125"/>
      <c r="J17224" s="1125"/>
    </row>
    <row r="17225" spans="9:10" x14ac:dyDescent="0.2">
      <c r="I17225" s="1125"/>
      <c r="J17225" s="1125"/>
    </row>
    <row r="17226" spans="9:10" x14ac:dyDescent="0.2">
      <c r="I17226" s="1125"/>
      <c r="J17226" s="1125"/>
    </row>
    <row r="17227" spans="9:10" x14ac:dyDescent="0.2">
      <c r="I17227" s="1125"/>
      <c r="J17227" s="1125"/>
    </row>
    <row r="17228" spans="9:10" x14ac:dyDescent="0.2">
      <c r="I17228" s="1125"/>
      <c r="J17228" s="1125"/>
    </row>
    <row r="17229" spans="9:10" x14ac:dyDescent="0.2">
      <c r="I17229" s="1125"/>
      <c r="J17229" s="1125"/>
    </row>
    <row r="17230" spans="9:10" x14ac:dyDescent="0.2">
      <c r="I17230" s="1125"/>
      <c r="J17230" s="1125"/>
    </row>
    <row r="17231" spans="9:10" x14ac:dyDescent="0.2">
      <c r="I17231" s="1125"/>
      <c r="J17231" s="1125"/>
    </row>
    <row r="17232" spans="9:10" x14ac:dyDescent="0.2">
      <c r="I17232" s="1125"/>
      <c r="J17232" s="1125"/>
    </row>
    <row r="17233" spans="9:10" x14ac:dyDescent="0.2">
      <c r="I17233" s="1125"/>
      <c r="J17233" s="1125"/>
    </row>
    <row r="17234" spans="9:10" x14ac:dyDescent="0.2">
      <c r="I17234" s="1125"/>
      <c r="J17234" s="1125"/>
    </row>
    <row r="17235" spans="9:10" x14ac:dyDescent="0.2">
      <c r="I17235" s="1125"/>
      <c r="J17235" s="1125"/>
    </row>
    <row r="17236" spans="9:10" x14ac:dyDescent="0.2">
      <c r="I17236" s="1125"/>
      <c r="J17236" s="1125"/>
    </row>
    <row r="17237" spans="9:10" x14ac:dyDescent="0.2">
      <c r="I17237" s="1125"/>
      <c r="J17237" s="1125"/>
    </row>
    <row r="17238" spans="9:10" x14ac:dyDescent="0.2">
      <c r="I17238" s="1125"/>
      <c r="J17238" s="1125"/>
    </row>
    <row r="17239" spans="9:10" x14ac:dyDescent="0.2">
      <c r="I17239" s="1125"/>
      <c r="J17239" s="1125"/>
    </row>
    <row r="17240" spans="9:10" x14ac:dyDescent="0.2">
      <c r="I17240" s="1125"/>
      <c r="J17240" s="1125"/>
    </row>
    <row r="17241" spans="9:10" x14ac:dyDescent="0.2">
      <c r="I17241" s="1125"/>
      <c r="J17241" s="1125"/>
    </row>
    <row r="17242" spans="9:10" x14ac:dyDescent="0.2">
      <c r="I17242" s="1125"/>
      <c r="J17242" s="1125"/>
    </row>
    <row r="17243" spans="9:10" x14ac:dyDescent="0.2">
      <c r="I17243" s="1125"/>
      <c r="J17243" s="1125"/>
    </row>
    <row r="17244" spans="9:10" x14ac:dyDescent="0.2">
      <c r="I17244" s="1125"/>
      <c r="J17244" s="1125"/>
    </row>
    <row r="17245" spans="9:10" x14ac:dyDescent="0.2">
      <c r="I17245" s="1125"/>
      <c r="J17245" s="1125"/>
    </row>
    <row r="17246" spans="9:10" x14ac:dyDescent="0.2">
      <c r="I17246" s="1125"/>
      <c r="J17246" s="1125"/>
    </row>
    <row r="17247" spans="9:10" x14ac:dyDescent="0.2">
      <c r="I17247" s="1125"/>
      <c r="J17247" s="1125"/>
    </row>
    <row r="17248" spans="9:10" x14ac:dyDescent="0.2">
      <c r="I17248" s="1125"/>
      <c r="J17248" s="1125"/>
    </row>
    <row r="17249" spans="9:10" x14ac:dyDescent="0.2">
      <c r="I17249" s="1125"/>
      <c r="J17249" s="1125"/>
    </row>
    <row r="17250" spans="9:10" x14ac:dyDescent="0.2">
      <c r="I17250" s="1125"/>
      <c r="J17250" s="1125"/>
    </row>
    <row r="17251" spans="9:10" x14ac:dyDescent="0.2">
      <c r="I17251" s="1125"/>
      <c r="J17251" s="1125"/>
    </row>
    <row r="17252" spans="9:10" x14ac:dyDescent="0.2">
      <c r="I17252" s="1125"/>
      <c r="J17252" s="1125"/>
    </row>
    <row r="17253" spans="9:10" x14ac:dyDescent="0.2">
      <c r="I17253" s="1125"/>
      <c r="J17253" s="1125"/>
    </row>
    <row r="17254" spans="9:10" x14ac:dyDescent="0.2">
      <c r="I17254" s="1125"/>
      <c r="J17254" s="1125"/>
    </row>
    <row r="17255" spans="9:10" x14ac:dyDescent="0.2">
      <c r="I17255" s="1125"/>
      <c r="J17255" s="1125"/>
    </row>
    <row r="17256" spans="9:10" x14ac:dyDescent="0.2">
      <c r="I17256" s="1125"/>
      <c r="J17256" s="1125"/>
    </row>
    <row r="17257" spans="9:10" x14ac:dyDescent="0.2">
      <c r="I17257" s="1125"/>
      <c r="J17257" s="1125"/>
    </row>
    <row r="17258" spans="9:10" x14ac:dyDescent="0.2">
      <c r="I17258" s="1125"/>
      <c r="J17258" s="1125"/>
    </row>
    <row r="17259" spans="9:10" x14ac:dyDescent="0.2">
      <c r="I17259" s="1125"/>
      <c r="J17259" s="1125"/>
    </row>
    <row r="17260" spans="9:10" x14ac:dyDescent="0.2">
      <c r="I17260" s="1125"/>
      <c r="J17260" s="1125"/>
    </row>
    <row r="17261" spans="9:10" x14ac:dyDescent="0.2">
      <c r="I17261" s="1125"/>
      <c r="J17261" s="1125"/>
    </row>
    <row r="17262" spans="9:10" x14ac:dyDescent="0.2">
      <c r="I17262" s="1125"/>
      <c r="J17262" s="1125"/>
    </row>
    <row r="17263" spans="9:10" x14ac:dyDescent="0.2">
      <c r="I17263" s="1125"/>
      <c r="J17263" s="1125"/>
    </row>
    <row r="17264" spans="9:10" x14ac:dyDescent="0.2">
      <c r="I17264" s="1125"/>
      <c r="J17264" s="1125"/>
    </row>
    <row r="17265" spans="9:10" x14ac:dyDescent="0.2">
      <c r="I17265" s="1125"/>
      <c r="J17265" s="1125"/>
    </row>
    <row r="17266" spans="9:10" x14ac:dyDescent="0.2">
      <c r="I17266" s="1125"/>
      <c r="J17266" s="1125"/>
    </row>
    <row r="17267" spans="9:10" x14ac:dyDescent="0.2">
      <c r="I17267" s="1125"/>
      <c r="J17267" s="1125"/>
    </row>
    <row r="17268" spans="9:10" x14ac:dyDescent="0.2">
      <c r="I17268" s="1125"/>
      <c r="J17268" s="1125"/>
    </row>
    <row r="17269" spans="9:10" x14ac:dyDescent="0.2">
      <c r="I17269" s="1125"/>
      <c r="J17269" s="1125"/>
    </row>
    <row r="17270" spans="9:10" x14ac:dyDescent="0.2">
      <c r="I17270" s="1125"/>
      <c r="J17270" s="1125"/>
    </row>
    <row r="17271" spans="9:10" x14ac:dyDescent="0.2">
      <c r="I17271" s="1125"/>
      <c r="J17271" s="1125"/>
    </row>
    <row r="17272" spans="9:10" x14ac:dyDescent="0.2">
      <c r="I17272" s="1125"/>
      <c r="J17272" s="1125"/>
    </row>
    <row r="17273" spans="9:10" x14ac:dyDescent="0.2">
      <c r="I17273" s="1125"/>
      <c r="J17273" s="1125"/>
    </row>
    <row r="17274" spans="9:10" x14ac:dyDescent="0.2">
      <c r="I17274" s="1125"/>
      <c r="J17274" s="1125"/>
    </row>
    <row r="17275" spans="9:10" x14ac:dyDescent="0.2">
      <c r="I17275" s="1125"/>
      <c r="J17275" s="1125"/>
    </row>
    <row r="17276" spans="9:10" x14ac:dyDescent="0.2">
      <c r="I17276" s="1125"/>
      <c r="J17276" s="1125"/>
    </row>
    <row r="17277" spans="9:10" x14ac:dyDescent="0.2">
      <c r="I17277" s="1125"/>
      <c r="J17277" s="1125"/>
    </row>
    <row r="17278" spans="9:10" x14ac:dyDescent="0.2">
      <c r="I17278" s="1125"/>
      <c r="J17278" s="1125"/>
    </row>
    <row r="17279" spans="9:10" x14ac:dyDescent="0.2">
      <c r="I17279" s="1125"/>
      <c r="J17279" s="1125"/>
    </row>
    <row r="17280" spans="9:10" x14ac:dyDescent="0.2">
      <c r="I17280" s="1125"/>
      <c r="J17280" s="1125"/>
    </row>
    <row r="17281" spans="9:10" x14ac:dyDescent="0.2">
      <c r="I17281" s="1125"/>
      <c r="J17281" s="1125"/>
    </row>
    <row r="17282" spans="9:10" x14ac:dyDescent="0.2">
      <c r="I17282" s="1125"/>
      <c r="J17282" s="1125"/>
    </row>
    <row r="17283" spans="9:10" x14ac:dyDescent="0.2">
      <c r="I17283" s="1125"/>
      <c r="J17283" s="1125"/>
    </row>
    <row r="17284" spans="9:10" x14ac:dyDescent="0.2">
      <c r="I17284" s="1125"/>
      <c r="J17284" s="1125"/>
    </row>
    <row r="17285" spans="9:10" x14ac:dyDescent="0.2">
      <c r="I17285" s="1125"/>
      <c r="J17285" s="1125"/>
    </row>
    <row r="17286" spans="9:10" x14ac:dyDescent="0.2">
      <c r="I17286" s="1125"/>
      <c r="J17286" s="1125"/>
    </row>
    <row r="17287" spans="9:10" x14ac:dyDescent="0.2">
      <c r="I17287" s="1125"/>
      <c r="J17287" s="1125"/>
    </row>
    <row r="17288" spans="9:10" x14ac:dyDescent="0.2">
      <c r="I17288" s="1125"/>
      <c r="J17288" s="1125"/>
    </row>
    <row r="17289" spans="9:10" x14ac:dyDescent="0.2">
      <c r="I17289" s="1125"/>
      <c r="J17289" s="1125"/>
    </row>
    <row r="17290" spans="9:10" x14ac:dyDescent="0.2">
      <c r="I17290" s="1125"/>
      <c r="J17290" s="1125"/>
    </row>
    <row r="17291" spans="9:10" x14ac:dyDescent="0.2">
      <c r="I17291" s="1125"/>
      <c r="J17291" s="1125"/>
    </row>
    <row r="17292" spans="9:10" x14ac:dyDescent="0.2">
      <c r="I17292" s="1125"/>
      <c r="J17292" s="1125"/>
    </row>
    <row r="17293" spans="9:10" x14ac:dyDescent="0.2">
      <c r="I17293" s="1125"/>
      <c r="J17293" s="1125"/>
    </row>
    <row r="17294" spans="9:10" x14ac:dyDescent="0.2">
      <c r="I17294" s="1125"/>
      <c r="J17294" s="1125"/>
    </row>
    <row r="17295" spans="9:10" x14ac:dyDescent="0.2">
      <c r="I17295" s="1125"/>
      <c r="J17295" s="1125"/>
    </row>
    <row r="17296" spans="9:10" x14ac:dyDescent="0.2">
      <c r="I17296" s="1125"/>
      <c r="J17296" s="1125"/>
    </row>
    <row r="17297" spans="9:10" x14ac:dyDescent="0.2">
      <c r="I17297" s="1125"/>
      <c r="J17297" s="1125"/>
    </row>
    <row r="17298" spans="9:10" x14ac:dyDescent="0.2">
      <c r="I17298" s="1125"/>
      <c r="J17298" s="1125"/>
    </row>
    <row r="17299" spans="9:10" x14ac:dyDescent="0.2">
      <c r="I17299" s="1125"/>
      <c r="J17299" s="1125"/>
    </row>
    <row r="17300" spans="9:10" x14ac:dyDescent="0.2">
      <c r="I17300" s="1125"/>
      <c r="J17300" s="1125"/>
    </row>
    <row r="17301" spans="9:10" x14ac:dyDescent="0.2">
      <c r="I17301" s="1125"/>
      <c r="J17301" s="1125"/>
    </row>
    <row r="17302" spans="9:10" x14ac:dyDescent="0.2">
      <c r="I17302" s="1125"/>
      <c r="J17302" s="1125"/>
    </row>
    <row r="17303" spans="9:10" x14ac:dyDescent="0.2">
      <c r="I17303" s="1125"/>
      <c r="J17303" s="1125"/>
    </row>
    <row r="17304" spans="9:10" x14ac:dyDescent="0.2">
      <c r="I17304" s="1125"/>
      <c r="J17304" s="1125"/>
    </row>
    <row r="17305" spans="9:10" x14ac:dyDescent="0.2">
      <c r="I17305" s="1125"/>
      <c r="J17305" s="1125"/>
    </row>
    <row r="17306" spans="9:10" x14ac:dyDescent="0.2">
      <c r="I17306" s="1125"/>
      <c r="J17306" s="1125"/>
    </row>
    <row r="17307" spans="9:10" x14ac:dyDescent="0.2">
      <c r="I17307" s="1125"/>
      <c r="J17307" s="1125"/>
    </row>
    <row r="17308" spans="9:10" x14ac:dyDescent="0.2">
      <c r="I17308" s="1125"/>
      <c r="J17308" s="1125"/>
    </row>
    <row r="17309" spans="9:10" x14ac:dyDescent="0.2">
      <c r="I17309" s="1125"/>
      <c r="J17309" s="1125"/>
    </row>
    <row r="17310" spans="9:10" x14ac:dyDescent="0.2">
      <c r="I17310" s="1125"/>
      <c r="J17310" s="1125"/>
    </row>
    <row r="17311" spans="9:10" x14ac:dyDescent="0.2">
      <c r="I17311" s="1125"/>
      <c r="J17311" s="1125"/>
    </row>
    <row r="17312" spans="9:10" x14ac:dyDescent="0.2">
      <c r="I17312" s="1125"/>
      <c r="J17312" s="1125"/>
    </row>
    <row r="17313" spans="9:10" x14ac:dyDescent="0.2">
      <c r="I17313" s="1125"/>
      <c r="J17313" s="1125"/>
    </row>
    <row r="17314" spans="9:10" x14ac:dyDescent="0.2">
      <c r="I17314" s="1125"/>
      <c r="J17314" s="1125"/>
    </row>
    <row r="17315" spans="9:10" x14ac:dyDescent="0.2">
      <c r="I17315" s="1125"/>
      <c r="J17315" s="1125"/>
    </row>
    <row r="17316" spans="9:10" x14ac:dyDescent="0.2">
      <c r="I17316" s="1125"/>
      <c r="J17316" s="1125"/>
    </row>
    <row r="17317" spans="9:10" x14ac:dyDescent="0.2">
      <c r="I17317" s="1125"/>
      <c r="J17317" s="1125"/>
    </row>
    <row r="17318" spans="9:10" x14ac:dyDescent="0.2">
      <c r="I17318" s="1125"/>
      <c r="J17318" s="1125"/>
    </row>
    <row r="17319" spans="9:10" x14ac:dyDescent="0.2">
      <c r="I17319" s="1125"/>
      <c r="J17319" s="1125"/>
    </row>
    <row r="17320" spans="9:10" x14ac:dyDescent="0.2">
      <c r="I17320" s="1125"/>
      <c r="J17320" s="1125"/>
    </row>
    <row r="17321" spans="9:10" x14ac:dyDescent="0.2">
      <c r="I17321" s="1125"/>
      <c r="J17321" s="1125"/>
    </row>
    <row r="17322" spans="9:10" x14ac:dyDescent="0.2">
      <c r="I17322" s="1125"/>
      <c r="J17322" s="1125"/>
    </row>
    <row r="17323" spans="9:10" x14ac:dyDescent="0.2">
      <c r="I17323" s="1125"/>
      <c r="J17323" s="1125"/>
    </row>
    <row r="17324" spans="9:10" x14ac:dyDescent="0.2">
      <c r="I17324" s="1125"/>
      <c r="J17324" s="1125"/>
    </row>
    <row r="17325" spans="9:10" x14ac:dyDescent="0.2">
      <c r="I17325" s="1125"/>
      <c r="J17325" s="1125"/>
    </row>
    <row r="17326" spans="9:10" x14ac:dyDescent="0.2">
      <c r="I17326" s="1125"/>
      <c r="J17326" s="1125"/>
    </row>
    <row r="17327" spans="9:10" x14ac:dyDescent="0.2">
      <c r="I17327" s="1125"/>
      <c r="J17327" s="1125"/>
    </row>
    <row r="17328" spans="9:10" x14ac:dyDescent="0.2">
      <c r="I17328" s="1125"/>
      <c r="J17328" s="1125"/>
    </row>
    <row r="17329" spans="9:10" x14ac:dyDescent="0.2">
      <c r="I17329" s="1125"/>
      <c r="J17329" s="1125"/>
    </row>
    <row r="17330" spans="9:10" x14ac:dyDescent="0.2">
      <c r="I17330" s="1125"/>
      <c r="J17330" s="1125"/>
    </row>
    <row r="17331" spans="9:10" x14ac:dyDescent="0.2">
      <c r="I17331" s="1125"/>
      <c r="J17331" s="1125"/>
    </row>
    <row r="17332" spans="9:10" x14ac:dyDescent="0.2">
      <c r="I17332" s="1125"/>
      <c r="J17332" s="1125"/>
    </row>
    <row r="17333" spans="9:10" x14ac:dyDescent="0.2">
      <c r="I17333" s="1125"/>
      <c r="J17333" s="1125"/>
    </row>
    <row r="17334" spans="9:10" x14ac:dyDescent="0.2">
      <c r="I17334" s="1125"/>
      <c r="J17334" s="1125"/>
    </row>
    <row r="17335" spans="9:10" x14ac:dyDescent="0.2">
      <c r="I17335" s="1125"/>
      <c r="J17335" s="1125"/>
    </row>
    <row r="17336" spans="9:10" x14ac:dyDescent="0.2">
      <c r="I17336" s="1125"/>
      <c r="J17336" s="1125"/>
    </row>
    <row r="17337" spans="9:10" x14ac:dyDescent="0.2">
      <c r="I17337" s="1125"/>
      <c r="J17337" s="1125"/>
    </row>
    <row r="17338" spans="9:10" x14ac:dyDescent="0.2">
      <c r="I17338" s="1125"/>
      <c r="J17338" s="1125"/>
    </row>
    <row r="17339" spans="9:10" x14ac:dyDescent="0.2">
      <c r="I17339" s="1125"/>
      <c r="J17339" s="1125"/>
    </row>
    <row r="17340" spans="9:10" x14ac:dyDescent="0.2">
      <c r="I17340" s="1125"/>
      <c r="J17340" s="1125"/>
    </row>
    <row r="17341" spans="9:10" x14ac:dyDescent="0.2">
      <c r="I17341" s="1125"/>
      <c r="J17341" s="1125"/>
    </row>
    <row r="17342" spans="9:10" x14ac:dyDescent="0.2">
      <c r="I17342" s="1125"/>
      <c r="J17342" s="1125"/>
    </row>
    <row r="17343" spans="9:10" x14ac:dyDescent="0.2">
      <c r="I17343" s="1125"/>
      <c r="J17343" s="1125"/>
    </row>
    <row r="17344" spans="9:10" x14ac:dyDescent="0.2">
      <c r="I17344" s="1125"/>
      <c r="J17344" s="1125"/>
    </row>
    <row r="17345" spans="9:10" x14ac:dyDescent="0.2">
      <c r="I17345" s="1125"/>
      <c r="J17345" s="1125"/>
    </row>
    <row r="17346" spans="9:10" x14ac:dyDescent="0.2">
      <c r="I17346" s="1125"/>
      <c r="J17346" s="1125"/>
    </row>
    <row r="17347" spans="9:10" x14ac:dyDescent="0.2">
      <c r="I17347" s="1125"/>
      <c r="J17347" s="1125"/>
    </row>
    <row r="17348" spans="9:10" x14ac:dyDescent="0.2">
      <c r="I17348" s="1125"/>
      <c r="J17348" s="1125"/>
    </row>
    <row r="17349" spans="9:10" x14ac:dyDescent="0.2">
      <c r="I17349" s="1125"/>
      <c r="J17349" s="1125"/>
    </row>
    <row r="17350" spans="9:10" x14ac:dyDescent="0.2">
      <c r="I17350" s="1125"/>
      <c r="J17350" s="1125"/>
    </row>
    <row r="17351" spans="9:10" x14ac:dyDescent="0.2">
      <c r="I17351" s="1125"/>
      <c r="J17351" s="1125"/>
    </row>
    <row r="17352" spans="9:10" x14ac:dyDescent="0.2">
      <c r="I17352" s="1125"/>
      <c r="J17352" s="1125"/>
    </row>
    <row r="17353" spans="9:10" x14ac:dyDescent="0.2">
      <c r="I17353" s="1125"/>
      <c r="J17353" s="1125"/>
    </row>
    <row r="17354" spans="9:10" x14ac:dyDescent="0.2">
      <c r="I17354" s="1125"/>
      <c r="J17354" s="1125"/>
    </row>
    <row r="17355" spans="9:10" x14ac:dyDescent="0.2">
      <c r="I17355" s="1125"/>
      <c r="J17355" s="1125"/>
    </row>
    <row r="17356" spans="9:10" x14ac:dyDescent="0.2">
      <c r="I17356" s="1125"/>
      <c r="J17356" s="1125"/>
    </row>
    <row r="17357" spans="9:10" x14ac:dyDescent="0.2">
      <c r="I17357" s="1125"/>
      <c r="J17357" s="1125"/>
    </row>
    <row r="17358" spans="9:10" x14ac:dyDescent="0.2">
      <c r="I17358" s="1125"/>
      <c r="J17358" s="1125"/>
    </row>
    <row r="17359" spans="9:10" x14ac:dyDescent="0.2">
      <c r="I17359" s="1125"/>
      <c r="J17359" s="1125"/>
    </row>
    <row r="17360" spans="9:10" x14ac:dyDescent="0.2">
      <c r="I17360" s="1125"/>
      <c r="J17360" s="1125"/>
    </row>
    <row r="17361" spans="9:10" x14ac:dyDescent="0.2">
      <c r="I17361" s="1125"/>
      <c r="J17361" s="1125"/>
    </row>
    <row r="17362" spans="9:10" x14ac:dyDescent="0.2">
      <c r="I17362" s="1125"/>
      <c r="J17362" s="1125"/>
    </row>
    <row r="17363" spans="9:10" x14ac:dyDescent="0.2">
      <c r="I17363" s="1125"/>
      <c r="J17363" s="1125"/>
    </row>
    <row r="17364" spans="9:10" x14ac:dyDescent="0.2">
      <c r="I17364" s="1125"/>
      <c r="J17364" s="1125"/>
    </row>
    <row r="17365" spans="9:10" x14ac:dyDescent="0.2">
      <c r="I17365" s="1125"/>
      <c r="J17365" s="1125"/>
    </row>
    <row r="17366" spans="9:10" x14ac:dyDescent="0.2">
      <c r="I17366" s="1125"/>
      <c r="J17366" s="1125"/>
    </row>
    <row r="17367" spans="9:10" x14ac:dyDescent="0.2">
      <c r="I17367" s="1125"/>
      <c r="J17367" s="1125"/>
    </row>
    <row r="17368" spans="9:10" x14ac:dyDescent="0.2">
      <c r="I17368" s="1125"/>
      <c r="J17368" s="1125"/>
    </row>
    <row r="17369" spans="9:10" x14ac:dyDescent="0.2">
      <c r="I17369" s="1125"/>
      <c r="J17369" s="1125"/>
    </row>
    <row r="17370" spans="9:10" x14ac:dyDescent="0.2">
      <c r="I17370" s="1125"/>
      <c r="J17370" s="1125"/>
    </row>
    <row r="17371" spans="9:10" x14ac:dyDescent="0.2">
      <c r="I17371" s="1125"/>
      <c r="J17371" s="1125"/>
    </row>
    <row r="17372" spans="9:10" x14ac:dyDescent="0.2">
      <c r="I17372" s="1125"/>
      <c r="J17372" s="1125"/>
    </row>
    <row r="17373" spans="9:10" x14ac:dyDescent="0.2">
      <c r="I17373" s="1125"/>
      <c r="J17373" s="1125"/>
    </row>
    <row r="17374" spans="9:10" x14ac:dyDescent="0.2">
      <c r="I17374" s="1125"/>
      <c r="J17374" s="1125"/>
    </row>
    <row r="17375" spans="9:10" x14ac:dyDescent="0.2">
      <c r="I17375" s="1125"/>
      <c r="J17375" s="1125"/>
    </row>
    <row r="17376" spans="9:10" x14ac:dyDescent="0.2">
      <c r="I17376" s="1125"/>
      <c r="J17376" s="1125"/>
    </row>
    <row r="17377" spans="9:10" x14ac:dyDescent="0.2">
      <c r="I17377" s="1125"/>
      <c r="J17377" s="1125"/>
    </row>
    <row r="17378" spans="9:10" x14ac:dyDescent="0.2">
      <c r="I17378" s="1125"/>
      <c r="J17378" s="1125"/>
    </row>
    <row r="17379" spans="9:10" x14ac:dyDescent="0.2">
      <c r="I17379" s="1125"/>
      <c r="J17379" s="1125"/>
    </row>
    <row r="17380" spans="9:10" x14ac:dyDescent="0.2">
      <c r="I17380" s="1125"/>
      <c r="J17380" s="1125"/>
    </row>
    <row r="17381" spans="9:10" x14ac:dyDescent="0.2">
      <c r="I17381" s="1125"/>
      <c r="J17381" s="1125"/>
    </row>
    <row r="17382" spans="9:10" x14ac:dyDescent="0.2">
      <c r="I17382" s="1125"/>
      <c r="J17382" s="1125"/>
    </row>
    <row r="17383" spans="9:10" x14ac:dyDescent="0.2">
      <c r="I17383" s="1125"/>
      <c r="J17383" s="1125"/>
    </row>
    <row r="17384" spans="9:10" x14ac:dyDescent="0.2">
      <c r="I17384" s="1125"/>
      <c r="J17384" s="1125"/>
    </row>
    <row r="17385" spans="9:10" x14ac:dyDescent="0.2">
      <c r="I17385" s="1125"/>
      <c r="J17385" s="1125"/>
    </row>
    <row r="17386" spans="9:10" x14ac:dyDescent="0.2">
      <c r="I17386" s="1125"/>
      <c r="J17386" s="1125"/>
    </row>
    <row r="17387" spans="9:10" x14ac:dyDescent="0.2">
      <c r="I17387" s="1125"/>
      <c r="J17387" s="1125"/>
    </row>
    <row r="17388" spans="9:10" x14ac:dyDescent="0.2">
      <c r="I17388" s="1125"/>
      <c r="J17388" s="1125"/>
    </row>
    <row r="17389" spans="9:10" x14ac:dyDescent="0.2">
      <c r="I17389" s="1125"/>
      <c r="J17389" s="1125"/>
    </row>
    <row r="17390" spans="9:10" x14ac:dyDescent="0.2">
      <c r="I17390" s="1125"/>
      <c r="J17390" s="1125"/>
    </row>
    <row r="17391" spans="9:10" x14ac:dyDescent="0.2">
      <c r="I17391" s="1125"/>
      <c r="J17391" s="1125"/>
    </row>
    <row r="17392" spans="9:10" x14ac:dyDescent="0.2">
      <c r="I17392" s="1125"/>
      <c r="J17392" s="1125"/>
    </row>
    <row r="17393" spans="9:10" x14ac:dyDescent="0.2">
      <c r="I17393" s="1125"/>
      <c r="J17393" s="1125"/>
    </row>
    <row r="17394" spans="9:10" x14ac:dyDescent="0.2">
      <c r="I17394" s="1125"/>
      <c r="J17394" s="1125"/>
    </row>
    <row r="17395" spans="9:10" x14ac:dyDescent="0.2">
      <c r="I17395" s="1125"/>
      <c r="J17395" s="1125"/>
    </row>
    <row r="17396" spans="9:10" x14ac:dyDescent="0.2">
      <c r="I17396" s="1125"/>
      <c r="J17396" s="1125"/>
    </row>
    <row r="17397" spans="9:10" x14ac:dyDescent="0.2">
      <c r="I17397" s="1125"/>
      <c r="J17397" s="1125"/>
    </row>
    <row r="17398" spans="9:10" x14ac:dyDescent="0.2">
      <c r="I17398" s="1125"/>
      <c r="J17398" s="1125"/>
    </row>
    <row r="17399" spans="9:10" x14ac:dyDescent="0.2">
      <c r="I17399" s="1125"/>
      <c r="J17399" s="1125"/>
    </row>
    <row r="17400" spans="9:10" x14ac:dyDescent="0.2">
      <c r="I17400" s="1125"/>
      <c r="J17400" s="1125"/>
    </row>
    <row r="17401" spans="9:10" x14ac:dyDescent="0.2">
      <c r="I17401" s="1125"/>
      <c r="J17401" s="1125"/>
    </row>
    <row r="17402" spans="9:10" x14ac:dyDescent="0.2">
      <c r="I17402" s="1125"/>
      <c r="J17402" s="1125"/>
    </row>
    <row r="17403" spans="9:10" x14ac:dyDescent="0.2">
      <c r="I17403" s="1125"/>
      <c r="J17403" s="1125"/>
    </row>
    <row r="17404" spans="9:10" x14ac:dyDescent="0.2">
      <c r="I17404" s="1125"/>
      <c r="J17404" s="1125"/>
    </row>
    <row r="17405" spans="9:10" x14ac:dyDescent="0.2">
      <c r="I17405" s="1125"/>
      <c r="J17405" s="1125"/>
    </row>
    <row r="17406" spans="9:10" x14ac:dyDescent="0.2">
      <c r="I17406" s="1125"/>
      <c r="J17406" s="1125"/>
    </row>
    <row r="17407" spans="9:10" x14ac:dyDescent="0.2">
      <c r="I17407" s="1125"/>
      <c r="J17407" s="1125"/>
    </row>
    <row r="17408" spans="9:10" x14ac:dyDescent="0.2">
      <c r="I17408" s="1125"/>
      <c r="J17408" s="1125"/>
    </row>
    <row r="17409" spans="9:10" x14ac:dyDescent="0.2">
      <c r="I17409" s="1125"/>
      <c r="J17409" s="1125"/>
    </row>
    <row r="17410" spans="9:10" x14ac:dyDescent="0.2">
      <c r="I17410" s="1125"/>
      <c r="J17410" s="1125"/>
    </row>
    <row r="17411" spans="9:10" x14ac:dyDescent="0.2">
      <c r="I17411" s="1125"/>
      <c r="J17411" s="1125"/>
    </row>
    <row r="17412" spans="9:10" x14ac:dyDescent="0.2">
      <c r="I17412" s="1125"/>
      <c r="J17412" s="1125"/>
    </row>
    <row r="17413" spans="9:10" x14ac:dyDescent="0.2">
      <c r="I17413" s="1125"/>
      <c r="J17413" s="1125"/>
    </row>
    <row r="17414" spans="9:10" x14ac:dyDescent="0.2">
      <c r="I17414" s="1125"/>
      <c r="J17414" s="1125"/>
    </row>
    <row r="17415" spans="9:10" x14ac:dyDescent="0.2">
      <c r="I17415" s="1125"/>
      <c r="J17415" s="1125"/>
    </row>
    <row r="17416" spans="9:10" x14ac:dyDescent="0.2">
      <c r="I17416" s="1125"/>
      <c r="J17416" s="1125"/>
    </row>
    <row r="17417" spans="9:10" x14ac:dyDescent="0.2">
      <c r="I17417" s="1125"/>
      <c r="J17417" s="1125"/>
    </row>
    <row r="17418" spans="9:10" x14ac:dyDescent="0.2">
      <c r="I17418" s="1125"/>
      <c r="J17418" s="1125"/>
    </row>
    <row r="17419" spans="9:10" x14ac:dyDescent="0.2">
      <c r="I17419" s="1125"/>
      <c r="J17419" s="1125"/>
    </row>
    <row r="17420" spans="9:10" x14ac:dyDescent="0.2">
      <c r="I17420" s="1125"/>
      <c r="J17420" s="1125"/>
    </row>
    <row r="17421" spans="9:10" x14ac:dyDescent="0.2">
      <c r="I17421" s="1125"/>
      <c r="J17421" s="1125"/>
    </row>
    <row r="17422" spans="9:10" x14ac:dyDescent="0.2">
      <c r="I17422" s="1125"/>
      <c r="J17422" s="1125"/>
    </row>
    <row r="17423" spans="9:10" x14ac:dyDescent="0.2">
      <c r="I17423" s="1125"/>
      <c r="J17423" s="1125"/>
    </row>
    <row r="17424" spans="9:10" x14ac:dyDescent="0.2">
      <c r="I17424" s="1125"/>
      <c r="J17424" s="1125"/>
    </row>
    <row r="17425" spans="9:10" x14ac:dyDescent="0.2">
      <c r="I17425" s="1125"/>
      <c r="J17425" s="1125"/>
    </row>
    <row r="17426" spans="9:10" x14ac:dyDescent="0.2">
      <c r="I17426" s="1125"/>
      <c r="J17426" s="1125"/>
    </row>
    <row r="17427" spans="9:10" x14ac:dyDescent="0.2">
      <c r="I17427" s="1125"/>
      <c r="J17427" s="1125"/>
    </row>
    <row r="17428" spans="9:10" x14ac:dyDescent="0.2">
      <c r="I17428" s="1125"/>
      <c r="J17428" s="1125"/>
    </row>
    <row r="17429" spans="9:10" x14ac:dyDescent="0.2">
      <c r="I17429" s="1125"/>
      <c r="J17429" s="1125"/>
    </row>
    <row r="17430" spans="9:10" x14ac:dyDescent="0.2">
      <c r="I17430" s="1125"/>
      <c r="J17430" s="1125"/>
    </row>
    <row r="17431" spans="9:10" x14ac:dyDescent="0.2">
      <c r="I17431" s="1125"/>
      <c r="J17431" s="1125"/>
    </row>
    <row r="17432" spans="9:10" x14ac:dyDescent="0.2">
      <c r="I17432" s="1125"/>
      <c r="J17432" s="1125"/>
    </row>
    <row r="17433" spans="9:10" x14ac:dyDescent="0.2">
      <c r="I17433" s="1125"/>
      <c r="J17433" s="1125"/>
    </row>
    <row r="17434" spans="9:10" x14ac:dyDescent="0.2">
      <c r="I17434" s="1125"/>
      <c r="J17434" s="1125"/>
    </row>
    <row r="17435" spans="9:10" x14ac:dyDescent="0.2">
      <c r="I17435" s="1125"/>
      <c r="J17435" s="1125"/>
    </row>
    <row r="17436" spans="9:10" x14ac:dyDescent="0.2">
      <c r="I17436" s="1125"/>
      <c r="J17436" s="1125"/>
    </row>
    <row r="17437" spans="9:10" x14ac:dyDescent="0.2">
      <c r="I17437" s="1125"/>
      <c r="J17437" s="1125"/>
    </row>
    <row r="17438" spans="9:10" x14ac:dyDescent="0.2">
      <c r="I17438" s="1125"/>
      <c r="J17438" s="1125"/>
    </row>
    <row r="17439" spans="9:10" x14ac:dyDescent="0.2">
      <c r="I17439" s="1125"/>
      <c r="J17439" s="1125"/>
    </row>
    <row r="17440" spans="9:10" x14ac:dyDescent="0.2">
      <c r="I17440" s="1125"/>
      <c r="J17440" s="1125"/>
    </row>
    <row r="17441" spans="9:10" x14ac:dyDescent="0.2">
      <c r="I17441" s="1125"/>
      <c r="J17441" s="1125"/>
    </row>
    <row r="17442" spans="9:10" x14ac:dyDescent="0.2">
      <c r="I17442" s="1125"/>
      <c r="J17442" s="1125"/>
    </row>
    <row r="17443" spans="9:10" x14ac:dyDescent="0.2">
      <c r="I17443" s="1125"/>
      <c r="J17443" s="1125"/>
    </row>
    <row r="17444" spans="9:10" x14ac:dyDescent="0.2">
      <c r="I17444" s="1125"/>
      <c r="J17444" s="1125"/>
    </row>
    <row r="17445" spans="9:10" x14ac:dyDescent="0.2">
      <c r="I17445" s="1125"/>
      <c r="J17445" s="1125"/>
    </row>
    <row r="17446" spans="9:10" x14ac:dyDescent="0.2">
      <c r="I17446" s="1125"/>
      <c r="J17446" s="1125"/>
    </row>
    <row r="17447" spans="9:10" x14ac:dyDescent="0.2">
      <c r="I17447" s="1125"/>
      <c r="J17447" s="1125"/>
    </row>
    <row r="17448" spans="9:10" x14ac:dyDescent="0.2">
      <c r="I17448" s="1125"/>
      <c r="J17448" s="1125"/>
    </row>
    <row r="17449" spans="9:10" x14ac:dyDescent="0.2">
      <c r="I17449" s="1125"/>
      <c r="J17449" s="1125"/>
    </row>
    <row r="17450" spans="9:10" x14ac:dyDescent="0.2">
      <c r="I17450" s="1125"/>
      <c r="J17450" s="1125"/>
    </row>
    <row r="17451" spans="9:10" x14ac:dyDescent="0.2">
      <c r="I17451" s="1125"/>
      <c r="J17451" s="1125"/>
    </row>
    <row r="17452" spans="9:10" x14ac:dyDescent="0.2">
      <c r="I17452" s="1125"/>
      <c r="J17452" s="1125"/>
    </row>
    <row r="17453" spans="9:10" x14ac:dyDescent="0.2">
      <c r="I17453" s="1125"/>
      <c r="J17453" s="1125"/>
    </row>
    <row r="17454" spans="9:10" x14ac:dyDescent="0.2">
      <c r="I17454" s="1125"/>
      <c r="J17454" s="1125"/>
    </row>
    <row r="17455" spans="9:10" x14ac:dyDescent="0.2">
      <c r="I17455" s="1125"/>
      <c r="J17455" s="1125"/>
    </row>
    <row r="17456" spans="9:10" x14ac:dyDescent="0.2">
      <c r="I17456" s="1125"/>
      <c r="J17456" s="1125"/>
    </row>
    <row r="17457" spans="9:10" x14ac:dyDescent="0.2">
      <c r="I17457" s="1125"/>
      <c r="J17457" s="1125"/>
    </row>
    <row r="17458" spans="9:10" x14ac:dyDescent="0.2">
      <c r="I17458" s="1125"/>
      <c r="J17458" s="1125"/>
    </row>
    <row r="17459" spans="9:10" x14ac:dyDescent="0.2">
      <c r="I17459" s="1125"/>
      <c r="J17459" s="1125"/>
    </row>
    <row r="17460" spans="9:10" x14ac:dyDescent="0.2">
      <c r="I17460" s="1125"/>
      <c r="J17460" s="1125"/>
    </row>
    <row r="17461" spans="9:10" x14ac:dyDescent="0.2">
      <c r="I17461" s="1125"/>
      <c r="J17461" s="1125"/>
    </row>
    <row r="17462" spans="9:10" x14ac:dyDescent="0.2">
      <c r="I17462" s="1125"/>
      <c r="J17462" s="1125"/>
    </row>
    <row r="17463" spans="9:10" x14ac:dyDescent="0.2">
      <c r="I17463" s="1125"/>
      <c r="J17463" s="1125"/>
    </row>
    <row r="17464" spans="9:10" x14ac:dyDescent="0.2">
      <c r="I17464" s="1125"/>
      <c r="J17464" s="1125"/>
    </row>
    <row r="17465" spans="9:10" x14ac:dyDescent="0.2">
      <c r="I17465" s="1125"/>
      <c r="J17465" s="1125"/>
    </row>
    <row r="17466" spans="9:10" x14ac:dyDescent="0.2">
      <c r="I17466" s="1125"/>
      <c r="J17466" s="1125"/>
    </row>
    <row r="17467" spans="9:10" x14ac:dyDescent="0.2">
      <c r="I17467" s="1125"/>
      <c r="J17467" s="1125"/>
    </row>
    <row r="17468" spans="9:10" x14ac:dyDescent="0.2">
      <c r="I17468" s="1125"/>
      <c r="J17468" s="1125"/>
    </row>
    <row r="17469" spans="9:10" x14ac:dyDescent="0.2">
      <c r="I17469" s="1125"/>
      <c r="J17469" s="1125"/>
    </row>
    <row r="17470" spans="9:10" x14ac:dyDescent="0.2">
      <c r="I17470" s="1125"/>
      <c r="J17470" s="1125"/>
    </row>
    <row r="17471" spans="9:10" x14ac:dyDescent="0.2">
      <c r="I17471" s="1125"/>
      <c r="J17471" s="1125"/>
    </row>
    <row r="17472" spans="9:10" x14ac:dyDescent="0.2">
      <c r="I17472" s="1125"/>
      <c r="J17472" s="1125"/>
    </row>
    <row r="17473" spans="9:10" x14ac:dyDescent="0.2">
      <c r="I17473" s="1125"/>
      <c r="J17473" s="1125"/>
    </row>
    <row r="17474" spans="9:10" x14ac:dyDescent="0.2">
      <c r="I17474" s="1125"/>
      <c r="J17474" s="1125"/>
    </row>
    <row r="17475" spans="9:10" x14ac:dyDescent="0.2">
      <c r="I17475" s="1125"/>
      <c r="J17475" s="1125"/>
    </row>
    <row r="17476" spans="9:10" x14ac:dyDescent="0.2">
      <c r="I17476" s="1125"/>
      <c r="J17476" s="1125"/>
    </row>
    <row r="17477" spans="9:10" x14ac:dyDescent="0.2">
      <c r="I17477" s="1125"/>
      <c r="J17477" s="1125"/>
    </row>
    <row r="17478" spans="9:10" x14ac:dyDescent="0.2">
      <c r="I17478" s="1125"/>
      <c r="J17478" s="1125"/>
    </row>
    <row r="17479" spans="9:10" x14ac:dyDescent="0.2">
      <c r="I17479" s="1125"/>
      <c r="J17479" s="1125"/>
    </row>
    <row r="17480" spans="9:10" x14ac:dyDescent="0.2">
      <c r="I17480" s="1125"/>
      <c r="J17480" s="1125"/>
    </row>
    <row r="17481" spans="9:10" x14ac:dyDescent="0.2">
      <c r="I17481" s="1125"/>
      <c r="J17481" s="1125"/>
    </row>
    <row r="17482" spans="9:10" x14ac:dyDescent="0.2">
      <c r="I17482" s="1125"/>
      <c r="J17482" s="1125"/>
    </row>
    <row r="17483" spans="9:10" x14ac:dyDescent="0.2">
      <c r="I17483" s="1125"/>
      <c r="J17483" s="1125"/>
    </row>
    <row r="17484" spans="9:10" x14ac:dyDescent="0.2">
      <c r="I17484" s="1125"/>
      <c r="J17484" s="1125"/>
    </row>
    <row r="17485" spans="9:10" x14ac:dyDescent="0.2">
      <c r="I17485" s="1125"/>
      <c r="J17485" s="1125"/>
    </row>
    <row r="17486" spans="9:10" x14ac:dyDescent="0.2">
      <c r="I17486" s="1125"/>
      <c r="J17486" s="1125"/>
    </row>
    <row r="17487" spans="9:10" x14ac:dyDescent="0.2">
      <c r="I17487" s="1125"/>
      <c r="J17487" s="1125"/>
    </row>
    <row r="17488" spans="9:10" x14ac:dyDescent="0.2">
      <c r="I17488" s="1125"/>
      <c r="J17488" s="1125"/>
    </row>
    <row r="17489" spans="9:10" x14ac:dyDescent="0.2">
      <c r="I17489" s="1125"/>
      <c r="J17489" s="1125"/>
    </row>
    <row r="17490" spans="9:10" x14ac:dyDescent="0.2">
      <c r="I17490" s="1125"/>
      <c r="J17490" s="1125"/>
    </row>
    <row r="17491" spans="9:10" x14ac:dyDescent="0.2">
      <c r="I17491" s="1125"/>
      <c r="J17491" s="1125"/>
    </row>
    <row r="17492" spans="9:10" x14ac:dyDescent="0.2">
      <c r="I17492" s="1125"/>
      <c r="J17492" s="1125"/>
    </row>
    <row r="17493" spans="9:10" x14ac:dyDescent="0.2">
      <c r="I17493" s="1125"/>
      <c r="J17493" s="1125"/>
    </row>
    <row r="17494" spans="9:10" x14ac:dyDescent="0.2">
      <c r="I17494" s="1125"/>
      <c r="J17494" s="1125"/>
    </row>
    <row r="17495" spans="9:10" x14ac:dyDescent="0.2">
      <c r="I17495" s="1125"/>
      <c r="J17495" s="1125"/>
    </row>
    <row r="17496" spans="9:10" x14ac:dyDescent="0.2">
      <c r="I17496" s="1125"/>
      <c r="J17496" s="1125"/>
    </row>
    <row r="17497" spans="9:10" x14ac:dyDescent="0.2">
      <c r="I17497" s="1125"/>
      <c r="J17497" s="1125"/>
    </row>
    <row r="17498" spans="9:10" x14ac:dyDescent="0.2">
      <c r="I17498" s="1125"/>
      <c r="J17498" s="1125"/>
    </row>
    <row r="17499" spans="9:10" x14ac:dyDescent="0.2">
      <c r="I17499" s="1125"/>
      <c r="J17499" s="1125"/>
    </row>
    <row r="17500" spans="9:10" x14ac:dyDescent="0.2">
      <c r="I17500" s="1125"/>
      <c r="J17500" s="1125"/>
    </row>
    <row r="17501" spans="9:10" x14ac:dyDescent="0.2">
      <c r="I17501" s="1125"/>
      <c r="J17501" s="1125"/>
    </row>
    <row r="17502" spans="9:10" x14ac:dyDescent="0.2">
      <c r="I17502" s="1125"/>
      <c r="J17502" s="1125"/>
    </row>
    <row r="17503" spans="9:10" x14ac:dyDescent="0.2">
      <c r="I17503" s="1125"/>
      <c r="J17503" s="1125"/>
    </row>
    <row r="17504" spans="9:10" x14ac:dyDescent="0.2">
      <c r="I17504" s="1125"/>
      <c r="J17504" s="1125"/>
    </row>
    <row r="17505" spans="9:10" x14ac:dyDescent="0.2">
      <c r="I17505" s="1125"/>
      <c r="J17505" s="1125"/>
    </row>
    <row r="17506" spans="9:10" x14ac:dyDescent="0.2">
      <c r="I17506" s="1125"/>
      <c r="J17506" s="1125"/>
    </row>
    <row r="17507" spans="9:10" x14ac:dyDescent="0.2">
      <c r="I17507" s="1125"/>
      <c r="J17507" s="1125"/>
    </row>
    <row r="17508" spans="9:10" x14ac:dyDescent="0.2">
      <c r="I17508" s="1125"/>
      <c r="J17508" s="1125"/>
    </row>
    <row r="17509" spans="9:10" x14ac:dyDescent="0.2">
      <c r="I17509" s="1125"/>
      <c r="J17509" s="1125"/>
    </row>
    <row r="17510" spans="9:10" x14ac:dyDescent="0.2">
      <c r="I17510" s="1125"/>
      <c r="J17510" s="1125"/>
    </row>
    <row r="17511" spans="9:10" x14ac:dyDescent="0.2">
      <c r="I17511" s="1125"/>
      <c r="J17511" s="1125"/>
    </row>
    <row r="17512" spans="9:10" x14ac:dyDescent="0.2">
      <c r="I17512" s="1125"/>
      <c r="J17512" s="1125"/>
    </row>
    <row r="17513" spans="9:10" x14ac:dyDescent="0.2">
      <c r="I17513" s="1125"/>
      <c r="J17513" s="1125"/>
    </row>
    <row r="17514" spans="9:10" x14ac:dyDescent="0.2">
      <c r="I17514" s="1125"/>
      <c r="J17514" s="1125"/>
    </row>
    <row r="17515" spans="9:10" x14ac:dyDescent="0.2">
      <c r="I17515" s="1125"/>
      <c r="J17515" s="1125"/>
    </row>
    <row r="17516" spans="9:10" x14ac:dyDescent="0.2">
      <c r="I17516" s="1125"/>
      <c r="J17516" s="1125"/>
    </row>
    <row r="17517" spans="9:10" x14ac:dyDescent="0.2">
      <c r="I17517" s="1125"/>
      <c r="J17517" s="1125"/>
    </row>
    <row r="17518" spans="9:10" x14ac:dyDescent="0.2">
      <c r="I17518" s="1125"/>
      <c r="J17518" s="1125"/>
    </row>
    <row r="17519" spans="9:10" x14ac:dyDescent="0.2">
      <c r="I17519" s="1125"/>
      <c r="J17519" s="1125"/>
    </row>
    <row r="17520" spans="9:10" x14ac:dyDescent="0.2">
      <c r="I17520" s="1125"/>
      <c r="J17520" s="1125"/>
    </row>
    <row r="17521" spans="9:10" x14ac:dyDescent="0.2">
      <c r="I17521" s="1125"/>
      <c r="J17521" s="1125"/>
    </row>
    <row r="17522" spans="9:10" x14ac:dyDescent="0.2">
      <c r="I17522" s="1125"/>
      <c r="J17522" s="1125"/>
    </row>
    <row r="17523" spans="9:10" x14ac:dyDescent="0.2">
      <c r="I17523" s="1125"/>
      <c r="J17523" s="1125"/>
    </row>
    <row r="17524" spans="9:10" x14ac:dyDescent="0.2">
      <c r="I17524" s="1125"/>
      <c r="J17524" s="1125"/>
    </row>
    <row r="17525" spans="9:10" x14ac:dyDescent="0.2">
      <c r="I17525" s="1125"/>
      <c r="J17525" s="1125"/>
    </row>
    <row r="17526" spans="9:10" x14ac:dyDescent="0.2">
      <c r="I17526" s="1125"/>
      <c r="J17526" s="1125"/>
    </row>
    <row r="17527" spans="9:10" x14ac:dyDescent="0.2">
      <c r="I17527" s="1125"/>
      <c r="J17527" s="1125"/>
    </row>
    <row r="17528" spans="9:10" x14ac:dyDescent="0.2">
      <c r="I17528" s="1125"/>
      <c r="J17528" s="1125"/>
    </row>
    <row r="17529" spans="9:10" x14ac:dyDescent="0.2">
      <c r="I17529" s="1125"/>
      <c r="J17529" s="1125"/>
    </row>
    <row r="17530" spans="9:10" x14ac:dyDescent="0.2">
      <c r="I17530" s="1125"/>
      <c r="J17530" s="1125"/>
    </row>
    <row r="17531" spans="9:10" x14ac:dyDescent="0.2">
      <c r="I17531" s="1125"/>
      <c r="J17531" s="1125"/>
    </row>
    <row r="17532" spans="9:10" x14ac:dyDescent="0.2">
      <c r="I17532" s="1125"/>
      <c r="J17532" s="1125"/>
    </row>
    <row r="17533" spans="9:10" x14ac:dyDescent="0.2">
      <c r="I17533" s="1125"/>
      <c r="J17533" s="1125"/>
    </row>
    <row r="17534" spans="9:10" x14ac:dyDescent="0.2">
      <c r="I17534" s="1125"/>
      <c r="J17534" s="1125"/>
    </row>
    <row r="17535" spans="9:10" x14ac:dyDescent="0.2">
      <c r="I17535" s="1125"/>
      <c r="J17535" s="1125"/>
    </row>
    <row r="17536" spans="9:10" x14ac:dyDescent="0.2">
      <c r="I17536" s="1125"/>
      <c r="J17536" s="1125"/>
    </row>
    <row r="17537" spans="9:10" x14ac:dyDescent="0.2">
      <c r="I17537" s="1125"/>
      <c r="J17537" s="1125"/>
    </row>
    <row r="17538" spans="9:10" x14ac:dyDescent="0.2">
      <c r="I17538" s="1125"/>
      <c r="J17538" s="1125"/>
    </row>
    <row r="17539" spans="9:10" x14ac:dyDescent="0.2">
      <c r="I17539" s="1125"/>
      <c r="J17539" s="1125"/>
    </row>
    <row r="17540" spans="9:10" x14ac:dyDescent="0.2">
      <c r="I17540" s="1125"/>
      <c r="J17540" s="1125"/>
    </row>
    <row r="17541" spans="9:10" x14ac:dyDescent="0.2">
      <c r="I17541" s="1125"/>
      <c r="J17541" s="1125"/>
    </row>
    <row r="17542" spans="9:10" x14ac:dyDescent="0.2">
      <c r="I17542" s="1125"/>
      <c r="J17542" s="1125"/>
    </row>
    <row r="17543" spans="9:10" x14ac:dyDescent="0.2">
      <c r="I17543" s="1125"/>
      <c r="J17543" s="1125"/>
    </row>
    <row r="17544" spans="9:10" x14ac:dyDescent="0.2">
      <c r="I17544" s="1125"/>
      <c r="J17544" s="1125"/>
    </row>
    <row r="17545" spans="9:10" x14ac:dyDescent="0.2">
      <c r="I17545" s="1125"/>
      <c r="J17545" s="1125"/>
    </row>
    <row r="17546" spans="9:10" x14ac:dyDescent="0.2">
      <c r="I17546" s="1125"/>
      <c r="J17546" s="1125"/>
    </row>
    <row r="17547" spans="9:10" x14ac:dyDescent="0.2">
      <c r="I17547" s="1125"/>
      <c r="J17547" s="1125"/>
    </row>
    <row r="17548" spans="9:10" x14ac:dyDescent="0.2">
      <c r="I17548" s="1125"/>
      <c r="J17548" s="1125"/>
    </row>
    <row r="17549" spans="9:10" x14ac:dyDescent="0.2">
      <c r="I17549" s="1125"/>
      <c r="J17549" s="1125"/>
    </row>
    <row r="17550" spans="9:10" x14ac:dyDescent="0.2">
      <c r="I17550" s="1125"/>
      <c r="J17550" s="1125"/>
    </row>
    <row r="17551" spans="9:10" x14ac:dyDescent="0.2">
      <c r="I17551" s="1125"/>
      <c r="J17551" s="1125"/>
    </row>
    <row r="17552" spans="9:10" x14ac:dyDescent="0.2">
      <c r="I17552" s="1125"/>
      <c r="J17552" s="1125"/>
    </row>
    <row r="17553" spans="9:10" x14ac:dyDescent="0.2">
      <c r="I17553" s="1125"/>
      <c r="J17553" s="1125"/>
    </row>
    <row r="17554" spans="9:10" x14ac:dyDescent="0.2">
      <c r="I17554" s="1125"/>
      <c r="J17554" s="1125"/>
    </row>
    <row r="17555" spans="9:10" x14ac:dyDescent="0.2">
      <c r="I17555" s="1125"/>
      <c r="J17555" s="1125"/>
    </row>
    <row r="17556" spans="9:10" x14ac:dyDescent="0.2">
      <c r="I17556" s="1125"/>
      <c r="J17556" s="1125"/>
    </row>
    <row r="17557" spans="9:10" x14ac:dyDescent="0.2">
      <c r="I17557" s="1125"/>
      <c r="J17557" s="1125"/>
    </row>
    <row r="17558" spans="9:10" x14ac:dyDescent="0.2">
      <c r="I17558" s="1125"/>
      <c r="J17558" s="1125"/>
    </row>
    <row r="17559" spans="9:10" x14ac:dyDescent="0.2">
      <c r="I17559" s="1125"/>
      <c r="J17559" s="1125"/>
    </row>
    <row r="17560" spans="9:10" x14ac:dyDescent="0.2">
      <c r="I17560" s="1125"/>
      <c r="J17560" s="1125"/>
    </row>
    <row r="17561" spans="9:10" x14ac:dyDescent="0.2">
      <c r="I17561" s="1125"/>
      <c r="J17561" s="1125"/>
    </row>
    <row r="17562" spans="9:10" x14ac:dyDescent="0.2">
      <c r="I17562" s="1125"/>
      <c r="J17562" s="1125"/>
    </row>
    <row r="17563" spans="9:10" x14ac:dyDescent="0.2">
      <c r="I17563" s="1125"/>
      <c r="J17563" s="1125"/>
    </row>
    <row r="17564" spans="9:10" x14ac:dyDescent="0.2">
      <c r="I17564" s="1125"/>
      <c r="J17564" s="1125"/>
    </row>
    <row r="17565" spans="9:10" x14ac:dyDescent="0.2">
      <c r="I17565" s="1125"/>
      <c r="J17565" s="1125"/>
    </row>
    <row r="17566" spans="9:10" x14ac:dyDescent="0.2">
      <c r="I17566" s="1125"/>
      <c r="J17566" s="1125"/>
    </row>
    <row r="17567" spans="9:10" x14ac:dyDescent="0.2">
      <c r="I17567" s="1125"/>
      <c r="J17567" s="1125"/>
    </row>
    <row r="17568" spans="9:10" x14ac:dyDescent="0.2">
      <c r="I17568" s="1125"/>
      <c r="J17568" s="1125"/>
    </row>
    <row r="17569" spans="9:10" x14ac:dyDescent="0.2">
      <c r="I17569" s="1125"/>
      <c r="J17569" s="1125"/>
    </row>
    <row r="17570" spans="9:10" x14ac:dyDescent="0.2">
      <c r="I17570" s="1125"/>
      <c r="J17570" s="1125"/>
    </row>
    <row r="17571" spans="9:10" x14ac:dyDescent="0.2">
      <c r="I17571" s="1125"/>
      <c r="J17571" s="1125"/>
    </row>
    <row r="17572" spans="9:10" x14ac:dyDescent="0.2">
      <c r="I17572" s="1125"/>
      <c r="J17572" s="1125"/>
    </row>
    <row r="17573" spans="9:10" x14ac:dyDescent="0.2">
      <c r="I17573" s="1125"/>
      <c r="J17573" s="1125"/>
    </row>
    <row r="17574" spans="9:10" x14ac:dyDescent="0.2">
      <c r="I17574" s="1125"/>
      <c r="J17574" s="1125"/>
    </row>
    <row r="17575" spans="9:10" x14ac:dyDescent="0.2">
      <c r="I17575" s="1125"/>
      <c r="J17575" s="1125"/>
    </row>
    <row r="17576" spans="9:10" x14ac:dyDescent="0.2">
      <c r="I17576" s="1125"/>
      <c r="J17576" s="1125"/>
    </row>
    <row r="17577" spans="9:10" x14ac:dyDescent="0.2">
      <c r="I17577" s="1125"/>
      <c r="J17577" s="1125"/>
    </row>
    <row r="17578" spans="9:10" x14ac:dyDescent="0.2">
      <c r="I17578" s="1125"/>
      <c r="J17578" s="1125"/>
    </row>
    <row r="17579" spans="9:10" x14ac:dyDescent="0.2">
      <c r="I17579" s="1125"/>
      <c r="J17579" s="1125"/>
    </row>
    <row r="17580" spans="9:10" x14ac:dyDescent="0.2">
      <c r="I17580" s="1125"/>
      <c r="J17580" s="1125"/>
    </row>
    <row r="17581" spans="9:10" x14ac:dyDescent="0.2">
      <c r="I17581" s="1125"/>
      <c r="J17581" s="1125"/>
    </row>
    <row r="17582" spans="9:10" x14ac:dyDescent="0.2">
      <c r="I17582" s="1125"/>
      <c r="J17582" s="1125"/>
    </row>
    <row r="17583" spans="9:10" x14ac:dyDescent="0.2">
      <c r="I17583" s="1125"/>
      <c r="J17583" s="1125"/>
    </row>
    <row r="17584" spans="9:10" x14ac:dyDescent="0.2">
      <c r="I17584" s="1125"/>
      <c r="J17584" s="1125"/>
    </row>
    <row r="17585" spans="9:10" x14ac:dyDescent="0.2">
      <c r="I17585" s="1125"/>
      <c r="J17585" s="1125"/>
    </row>
    <row r="17586" spans="9:10" x14ac:dyDescent="0.2">
      <c r="I17586" s="1125"/>
      <c r="J17586" s="1125"/>
    </row>
    <row r="17587" spans="9:10" x14ac:dyDescent="0.2">
      <c r="I17587" s="1125"/>
      <c r="J17587" s="1125"/>
    </row>
    <row r="17588" spans="9:10" x14ac:dyDescent="0.2">
      <c r="I17588" s="1125"/>
      <c r="J17588" s="1125"/>
    </row>
    <row r="17589" spans="9:10" x14ac:dyDescent="0.2">
      <c r="I17589" s="1125"/>
      <c r="J17589" s="1125"/>
    </row>
    <row r="17590" spans="9:10" x14ac:dyDescent="0.2">
      <c r="I17590" s="1125"/>
      <c r="J17590" s="1125"/>
    </row>
    <row r="17591" spans="9:10" x14ac:dyDescent="0.2">
      <c r="I17591" s="1125"/>
      <c r="J17591" s="1125"/>
    </row>
    <row r="17592" spans="9:10" x14ac:dyDescent="0.2">
      <c r="I17592" s="1125"/>
      <c r="J17592" s="1125"/>
    </row>
    <row r="17593" spans="9:10" x14ac:dyDescent="0.2">
      <c r="I17593" s="1125"/>
      <c r="J17593" s="1125"/>
    </row>
    <row r="17594" spans="9:10" x14ac:dyDescent="0.2">
      <c r="I17594" s="1125"/>
      <c r="J17594" s="1125"/>
    </row>
    <row r="17595" spans="9:10" x14ac:dyDescent="0.2">
      <c r="I17595" s="1125"/>
      <c r="J17595" s="1125"/>
    </row>
    <row r="17596" spans="9:10" x14ac:dyDescent="0.2">
      <c r="I17596" s="1125"/>
      <c r="J17596" s="1125"/>
    </row>
    <row r="17597" spans="9:10" x14ac:dyDescent="0.2">
      <c r="I17597" s="1125"/>
      <c r="J17597" s="1125"/>
    </row>
    <row r="17598" spans="9:10" x14ac:dyDescent="0.2">
      <c r="I17598" s="1125"/>
      <c r="J17598" s="1125"/>
    </row>
    <row r="17599" spans="9:10" x14ac:dyDescent="0.2">
      <c r="I17599" s="1125"/>
      <c r="J17599" s="1125"/>
    </row>
    <row r="17600" spans="9:10" x14ac:dyDescent="0.2">
      <c r="I17600" s="1125"/>
      <c r="J17600" s="1125"/>
    </row>
    <row r="17601" spans="9:10" x14ac:dyDescent="0.2">
      <c r="I17601" s="1125"/>
      <c r="J17601" s="1125"/>
    </row>
    <row r="17602" spans="9:10" x14ac:dyDescent="0.2">
      <c r="I17602" s="1125"/>
      <c r="J17602" s="1125"/>
    </row>
    <row r="17603" spans="9:10" x14ac:dyDescent="0.2">
      <c r="I17603" s="1125"/>
      <c r="J17603" s="1125"/>
    </row>
    <row r="17604" spans="9:10" x14ac:dyDescent="0.2">
      <c r="I17604" s="1125"/>
      <c r="J17604" s="1125"/>
    </row>
    <row r="17605" spans="9:10" x14ac:dyDescent="0.2">
      <c r="I17605" s="1125"/>
      <c r="J17605" s="1125"/>
    </row>
    <row r="17606" spans="9:10" x14ac:dyDescent="0.2">
      <c r="I17606" s="1125"/>
      <c r="J17606" s="1125"/>
    </row>
    <row r="17607" spans="9:10" x14ac:dyDescent="0.2">
      <c r="I17607" s="1125"/>
      <c r="J17607" s="1125"/>
    </row>
    <row r="17608" spans="9:10" x14ac:dyDescent="0.2">
      <c r="I17608" s="1125"/>
      <c r="J17608" s="1125"/>
    </row>
    <row r="17609" spans="9:10" x14ac:dyDescent="0.2">
      <c r="I17609" s="1125"/>
      <c r="J17609" s="1125"/>
    </row>
    <row r="17610" spans="9:10" x14ac:dyDescent="0.2">
      <c r="I17610" s="1125"/>
      <c r="J17610" s="1125"/>
    </row>
    <row r="17611" spans="9:10" x14ac:dyDescent="0.2">
      <c r="I17611" s="1125"/>
      <c r="J17611" s="1125"/>
    </row>
    <row r="17612" spans="9:10" x14ac:dyDescent="0.2">
      <c r="I17612" s="1125"/>
      <c r="J17612" s="1125"/>
    </row>
    <row r="17613" spans="9:10" x14ac:dyDescent="0.2">
      <c r="I17613" s="1125"/>
      <c r="J17613" s="1125"/>
    </row>
    <row r="17614" spans="9:10" x14ac:dyDescent="0.2">
      <c r="I17614" s="1125"/>
      <c r="J17614" s="1125"/>
    </row>
    <row r="17615" spans="9:10" x14ac:dyDescent="0.2">
      <c r="I17615" s="1125"/>
      <c r="J17615" s="1125"/>
    </row>
    <row r="17616" spans="9:10" x14ac:dyDescent="0.2">
      <c r="I17616" s="1125"/>
      <c r="J17616" s="1125"/>
    </row>
    <row r="17617" spans="9:10" x14ac:dyDescent="0.2">
      <c r="I17617" s="1125"/>
      <c r="J17617" s="1125"/>
    </row>
    <row r="17618" spans="9:10" x14ac:dyDescent="0.2">
      <c r="I17618" s="1125"/>
      <c r="J17618" s="1125"/>
    </row>
    <row r="17619" spans="9:10" x14ac:dyDescent="0.2">
      <c r="I17619" s="1125"/>
      <c r="J17619" s="1125"/>
    </row>
    <row r="17620" spans="9:10" x14ac:dyDescent="0.2">
      <c r="I17620" s="1125"/>
      <c r="J17620" s="1125"/>
    </row>
    <row r="17621" spans="9:10" x14ac:dyDescent="0.2">
      <c r="I17621" s="1125"/>
      <c r="J17621" s="1125"/>
    </row>
    <row r="17622" spans="9:10" x14ac:dyDescent="0.2">
      <c r="I17622" s="1125"/>
      <c r="J17622" s="1125"/>
    </row>
    <row r="17623" spans="9:10" x14ac:dyDescent="0.2">
      <c r="I17623" s="1125"/>
      <c r="J17623" s="1125"/>
    </row>
    <row r="17624" spans="9:10" x14ac:dyDescent="0.2">
      <c r="I17624" s="1125"/>
      <c r="J17624" s="1125"/>
    </row>
    <row r="17625" spans="9:10" x14ac:dyDescent="0.2">
      <c r="I17625" s="1125"/>
      <c r="J17625" s="1125"/>
    </row>
    <row r="17626" spans="9:10" x14ac:dyDescent="0.2">
      <c r="I17626" s="1125"/>
      <c r="J17626" s="1125"/>
    </row>
    <row r="17627" spans="9:10" x14ac:dyDescent="0.2">
      <c r="I17627" s="1125"/>
      <c r="J17627" s="1125"/>
    </row>
    <row r="17628" spans="9:10" x14ac:dyDescent="0.2">
      <c r="I17628" s="1125"/>
      <c r="J17628" s="1125"/>
    </row>
    <row r="17629" spans="9:10" x14ac:dyDescent="0.2">
      <c r="I17629" s="1125"/>
      <c r="J17629" s="1125"/>
    </row>
    <row r="17630" spans="9:10" x14ac:dyDescent="0.2">
      <c r="I17630" s="1125"/>
      <c r="J17630" s="1125"/>
    </row>
    <row r="17631" spans="9:10" x14ac:dyDescent="0.2">
      <c r="I17631" s="1125"/>
      <c r="J17631" s="1125"/>
    </row>
    <row r="17632" spans="9:10" x14ac:dyDescent="0.2">
      <c r="I17632" s="1125"/>
      <c r="J17632" s="1125"/>
    </row>
    <row r="17633" spans="9:10" x14ac:dyDescent="0.2">
      <c r="I17633" s="1125"/>
      <c r="J17633" s="1125"/>
    </row>
    <row r="17634" spans="9:10" x14ac:dyDescent="0.2">
      <c r="I17634" s="1125"/>
      <c r="J17634" s="1125"/>
    </row>
    <row r="17635" spans="9:10" x14ac:dyDescent="0.2">
      <c r="I17635" s="1125"/>
      <c r="J17635" s="1125"/>
    </row>
    <row r="17636" spans="9:10" x14ac:dyDescent="0.2">
      <c r="I17636" s="1125"/>
      <c r="J17636" s="1125"/>
    </row>
    <row r="17637" spans="9:10" x14ac:dyDescent="0.2">
      <c r="I17637" s="1125"/>
      <c r="J17637" s="1125"/>
    </row>
    <row r="17638" spans="9:10" x14ac:dyDescent="0.2">
      <c r="I17638" s="1125"/>
      <c r="J17638" s="1125"/>
    </row>
    <row r="17639" spans="9:10" x14ac:dyDescent="0.2">
      <c r="I17639" s="1125"/>
      <c r="J17639" s="1125"/>
    </row>
    <row r="17640" spans="9:10" x14ac:dyDescent="0.2">
      <c r="I17640" s="1125"/>
      <c r="J17640" s="1125"/>
    </row>
    <row r="17641" spans="9:10" x14ac:dyDescent="0.2">
      <c r="I17641" s="1125"/>
      <c r="J17641" s="1125"/>
    </row>
    <row r="17642" spans="9:10" x14ac:dyDescent="0.2">
      <c r="I17642" s="1125"/>
      <c r="J17642" s="1125"/>
    </row>
    <row r="17643" spans="9:10" x14ac:dyDescent="0.2">
      <c r="I17643" s="1125"/>
      <c r="J17643" s="1125"/>
    </row>
    <row r="17644" spans="9:10" x14ac:dyDescent="0.2">
      <c r="I17644" s="1125"/>
      <c r="J17644" s="1125"/>
    </row>
    <row r="17645" spans="9:10" x14ac:dyDescent="0.2">
      <c r="I17645" s="1125"/>
      <c r="J17645" s="1125"/>
    </row>
    <row r="17646" spans="9:10" x14ac:dyDescent="0.2">
      <c r="I17646" s="1125"/>
      <c r="J17646" s="1125"/>
    </row>
    <row r="17647" spans="9:10" x14ac:dyDescent="0.2">
      <c r="I17647" s="1125"/>
      <c r="J17647" s="1125"/>
    </row>
    <row r="17648" spans="9:10" x14ac:dyDescent="0.2">
      <c r="I17648" s="1125"/>
      <c r="J17648" s="1125"/>
    </row>
    <row r="17649" spans="9:10" x14ac:dyDescent="0.2">
      <c r="I17649" s="1125"/>
      <c r="J17649" s="1125"/>
    </row>
    <row r="17650" spans="9:10" x14ac:dyDescent="0.2">
      <c r="I17650" s="1125"/>
      <c r="J17650" s="1125"/>
    </row>
    <row r="17651" spans="9:10" x14ac:dyDescent="0.2">
      <c r="I17651" s="1125"/>
      <c r="J17651" s="1125"/>
    </row>
    <row r="17652" spans="9:10" x14ac:dyDescent="0.2">
      <c r="I17652" s="1125"/>
      <c r="J17652" s="1125"/>
    </row>
    <row r="17653" spans="9:10" x14ac:dyDescent="0.2">
      <c r="I17653" s="1125"/>
      <c r="J17653" s="1125"/>
    </row>
    <row r="17654" spans="9:10" x14ac:dyDescent="0.2">
      <c r="I17654" s="1125"/>
      <c r="J17654" s="1125"/>
    </row>
    <row r="17655" spans="9:10" x14ac:dyDescent="0.2">
      <c r="I17655" s="1125"/>
      <c r="J17655" s="1125"/>
    </row>
    <row r="17656" spans="9:10" x14ac:dyDescent="0.2">
      <c r="I17656" s="1125"/>
      <c r="J17656" s="1125"/>
    </row>
    <row r="17657" spans="9:10" x14ac:dyDescent="0.2">
      <c r="I17657" s="1125"/>
      <c r="J17657" s="1125"/>
    </row>
    <row r="17658" spans="9:10" x14ac:dyDescent="0.2">
      <c r="I17658" s="1125"/>
      <c r="J17658" s="1125"/>
    </row>
    <row r="17659" spans="9:10" x14ac:dyDescent="0.2">
      <c r="I17659" s="1125"/>
      <c r="J17659" s="1125"/>
    </row>
    <row r="17660" spans="9:10" x14ac:dyDescent="0.2">
      <c r="I17660" s="1125"/>
      <c r="J17660" s="1125"/>
    </row>
    <row r="17661" spans="9:10" x14ac:dyDescent="0.2">
      <c r="I17661" s="1125"/>
      <c r="J17661" s="1125"/>
    </row>
    <row r="17662" spans="9:10" x14ac:dyDescent="0.2">
      <c r="I17662" s="1125"/>
      <c r="J17662" s="1125"/>
    </row>
    <row r="17663" spans="9:10" x14ac:dyDescent="0.2">
      <c r="I17663" s="1125"/>
      <c r="J17663" s="1125"/>
    </row>
    <row r="17664" spans="9:10" x14ac:dyDescent="0.2">
      <c r="I17664" s="1125"/>
      <c r="J17664" s="1125"/>
    </row>
    <row r="17665" spans="9:10" x14ac:dyDescent="0.2">
      <c r="I17665" s="1125"/>
      <c r="J17665" s="1125"/>
    </row>
    <row r="17666" spans="9:10" x14ac:dyDescent="0.2">
      <c r="I17666" s="1125"/>
      <c r="J17666" s="1125"/>
    </row>
    <row r="17667" spans="9:10" x14ac:dyDescent="0.2">
      <c r="I17667" s="1125"/>
      <c r="J17667" s="1125"/>
    </row>
    <row r="17668" spans="9:10" x14ac:dyDescent="0.2">
      <c r="I17668" s="1125"/>
      <c r="J17668" s="1125"/>
    </row>
    <row r="17669" spans="9:10" x14ac:dyDescent="0.2">
      <c r="I17669" s="1125"/>
      <c r="J17669" s="1125"/>
    </row>
    <row r="17670" spans="9:10" x14ac:dyDescent="0.2">
      <c r="I17670" s="1125"/>
      <c r="J17670" s="1125"/>
    </row>
    <row r="17671" spans="9:10" x14ac:dyDescent="0.2">
      <c r="I17671" s="1125"/>
      <c r="J17671" s="1125"/>
    </row>
    <row r="17672" spans="9:10" x14ac:dyDescent="0.2">
      <c r="I17672" s="1125"/>
      <c r="J17672" s="1125"/>
    </row>
    <row r="17673" spans="9:10" x14ac:dyDescent="0.2">
      <c r="I17673" s="1125"/>
      <c r="J17673" s="1125"/>
    </row>
    <row r="17674" spans="9:10" x14ac:dyDescent="0.2">
      <c r="I17674" s="1125"/>
      <c r="J17674" s="1125"/>
    </row>
    <row r="17675" spans="9:10" x14ac:dyDescent="0.2">
      <c r="I17675" s="1125"/>
      <c r="J17675" s="1125"/>
    </row>
    <row r="17676" spans="9:10" x14ac:dyDescent="0.2">
      <c r="I17676" s="1125"/>
      <c r="J17676" s="1125"/>
    </row>
    <row r="17677" spans="9:10" x14ac:dyDescent="0.2">
      <c r="I17677" s="1125"/>
      <c r="J17677" s="1125"/>
    </row>
    <row r="17678" spans="9:10" x14ac:dyDescent="0.2">
      <c r="I17678" s="1125"/>
      <c r="J17678" s="1125"/>
    </row>
    <row r="17679" spans="9:10" x14ac:dyDescent="0.2">
      <c r="I17679" s="1125"/>
      <c r="J17679" s="1125"/>
    </row>
    <row r="17680" spans="9:10" x14ac:dyDescent="0.2">
      <c r="I17680" s="1125"/>
      <c r="J17680" s="1125"/>
    </row>
    <row r="17681" spans="9:10" x14ac:dyDescent="0.2">
      <c r="I17681" s="1125"/>
      <c r="J17681" s="1125"/>
    </row>
    <row r="17682" spans="9:10" x14ac:dyDescent="0.2">
      <c r="I17682" s="1125"/>
      <c r="J17682" s="1125"/>
    </row>
    <row r="17683" spans="9:10" x14ac:dyDescent="0.2">
      <c r="I17683" s="1125"/>
      <c r="J17683" s="1125"/>
    </row>
    <row r="17684" spans="9:10" x14ac:dyDescent="0.2">
      <c r="I17684" s="1125"/>
      <c r="J17684" s="1125"/>
    </row>
    <row r="17685" spans="9:10" x14ac:dyDescent="0.2">
      <c r="I17685" s="1125"/>
      <c r="J17685" s="1125"/>
    </row>
    <row r="17686" spans="9:10" x14ac:dyDescent="0.2">
      <c r="I17686" s="1125"/>
      <c r="J17686" s="1125"/>
    </row>
    <row r="17687" spans="9:10" x14ac:dyDescent="0.2">
      <c r="I17687" s="1125"/>
      <c r="J17687" s="1125"/>
    </row>
    <row r="17688" spans="9:10" x14ac:dyDescent="0.2">
      <c r="I17688" s="1125"/>
      <c r="J17688" s="1125"/>
    </row>
    <row r="17689" spans="9:10" x14ac:dyDescent="0.2">
      <c r="I17689" s="1125"/>
      <c r="J17689" s="1125"/>
    </row>
    <row r="17690" spans="9:10" x14ac:dyDescent="0.2">
      <c r="I17690" s="1125"/>
      <c r="J17690" s="1125"/>
    </row>
    <row r="17691" spans="9:10" x14ac:dyDescent="0.2">
      <c r="I17691" s="1125"/>
      <c r="J17691" s="1125"/>
    </row>
    <row r="17692" spans="9:10" x14ac:dyDescent="0.2">
      <c r="I17692" s="1125"/>
      <c r="J17692" s="1125"/>
    </row>
    <row r="17693" spans="9:10" x14ac:dyDescent="0.2">
      <c r="I17693" s="1125"/>
      <c r="J17693" s="1125"/>
    </row>
    <row r="17694" spans="9:10" x14ac:dyDescent="0.2">
      <c r="I17694" s="1125"/>
      <c r="J17694" s="1125"/>
    </row>
    <row r="17695" spans="9:10" x14ac:dyDescent="0.2">
      <c r="I17695" s="1125"/>
      <c r="J17695" s="1125"/>
    </row>
    <row r="17696" spans="9:10" x14ac:dyDescent="0.2">
      <c r="I17696" s="1125"/>
      <c r="J17696" s="1125"/>
    </row>
    <row r="17697" spans="9:10" x14ac:dyDescent="0.2">
      <c r="I17697" s="1125"/>
      <c r="J17697" s="1125"/>
    </row>
    <row r="17698" spans="9:10" x14ac:dyDescent="0.2">
      <c r="I17698" s="1125"/>
      <c r="J17698" s="1125"/>
    </row>
    <row r="17699" spans="9:10" x14ac:dyDescent="0.2">
      <c r="I17699" s="1125"/>
      <c r="J17699" s="1125"/>
    </row>
    <row r="17700" spans="9:10" x14ac:dyDescent="0.2">
      <c r="I17700" s="1125"/>
      <c r="J17700" s="1125"/>
    </row>
    <row r="17701" spans="9:10" x14ac:dyDescent="0.2">
      <c r="I17701" s="1125"/>
      <c r="J17701" s="1125"/>
    </row>
    <row r="17702" spans="9:10" x14ac:dyDescent="0.2">
      <c r="I17702" s="1125"/>
      <c r="J17702" s="1125"/>
    </row>
    <row r="17703" spans="9:10" x14ac:dyDescent="0.2">
      <c r="I17703" s="1125"/>
      <c r="J17703" s="1125"/>
    </row>
    <row r="17704" spans="9:10" x14ac:dyDescent="0.2">
      <c r="I17704" s="1125"/>
      <c r="J17704" s="1125"/>
    </row>
    <row r="17705" spans="9:10" x14ac:dyDescent="0.2">
      <c r="I17705" s="1125"/>
      <c r="J17705" s="1125"/>
    </row>
    <row r="17706" spans="9:10" x14ac:dyDescent="0.2">
      <c r="I17706" s="1125"/>
      <c r="J17706" s="1125"/>
    </row>
    <row r="17707" spans="9:10" x14ac:dyDescent="0.2">
      <c r="I17707" s="1125"/>
      <c r="J17707" s="1125"/>
    </row>
    <row r="17708" spans="9:10" x14ac:dyDescent="0.2">
      <c r="I17708" s="1125"/>
      <c r="J17708" s="1125"/>
    </row>
    <row r="17709" spans="9:10" x14ac:dyDescent="0.2">
      <c r="I17709" s="1125"/>
      <c r="J17709" s="1125"/>
    </row>
    <row r="17710" spans="9:10" x14ac:dyDescent="0.2">
      <c r="I17710" s="1125"/>
      <c r="J17710" s="1125"/>
    </row>
    <row r="17711" spans="9:10" x14ac:dyDescent="0.2">
      <c r="I17711" s="1125"/>
      <c r="J17711" s="1125"/>
    </row>
    <row r="17712" spans="9:10" x14ac:dyDescent="0.2">
      <c r="I17712" s="1125"/>
      <c r="J17712" s="1125"/>
    </row>
    <row r="17713" spans="9:10" x14ac:dyDescent="0.2">
      <c r="I17713" s="1125"/>
      <c r="J17713" s="1125"/>
    </row>
    <row r="17714" spans="9:10" x14ac:dyDescent="0.2">
      <c r="I17714" s="1125"/>
      <c r="J17714" s="1125"/>
    </row>
    <row r="17715" spans="9:10" x14ac:dyDescent="0.2">
      <c r="I17715" s="1125"/>
      <c r="J17715" s="1125"/>
    </row>
    <row r="17716" spans="9:10" x14ac:dyDescent="0.2">
      <c r="I17716" s="1125"/>
      <c r="J17716" s="1125"/>
    </row>
    <row r="17717" spans="9:10" x14ac:dyDescent="0.2">
      <c r="I17717" s="1125"/>
      <c r="J17717" s="1125"/>
    </row>
    <row r="17718" spans="9:10" x14ac:dyDescent="0.2">
      <c r="I17718" s="1125"/>
      <c r="J17718" s="1125"/>
    </row>
    <row r="17719" spans="9:10" x14ac:dyDescent="0.2">
      <c r="I17719" s="1125"/>
      <c r="J17719" s="1125"/>
    </row>
    <row r="17720" spans="9:10" x14ac:dyDescent="0.2">
      <c r="I17720" s="1125"/>
      <c r="J17720" s="1125"/>
    </row>
    <row r="17721" spans="9:10" x14ac:dyDescent="0.2">
      <c r="I17721" s="1125"/>
      <c r="J17721" s="1125"/>
    </row>
    <row r="17722" spans="9:10" x14ac:dyDescent="0.2">
      <c r="I17722" s="1125"/>
      <c r="J17722" s="1125"/>
    </row>
    <row r="17723" spans="9:10" x14ac:dyDescent="0.2">
      <c r="I17723" s="1125"/>
      <c r="J17723" s="1125"/>
    </row>
    <row r="17724" spans="9:10" x14ac:dyDescent="0.2">
      <c r="I17724" s="1125"/>
      <c r="J17724" s="1125"/>
    </row>
    <row r="17725" spans="9:10" x14ac:dyDescent="0.2">
      <c r="I17725" s="1125"/>
      <c r="J17725" s="1125"/>
    </row>
    <row r="17726" spans="9:10" x14ac:dyDescent="0.2">
      <c r="I17726" s="1125"/>
      <c r="J17726" s="1125"/>
    </row>
    <row r="17727" spans="9:10" x14ac:dyDescent="0.2">
      <c r="I17727" s="1125"/>
      <c r="J17727" s="1125"/>
    </row>
    <row r="17728" spans="9:10" x14ac:dyDescent="0.2">
      <c r="I17728" s="1125"/>
      <c r="J17728" s="1125"/>
    </row>
    <row r="17729" spans="9:10" x14ac:dyDescent="0.2">
      <c r="I17729" s="1125"/>
      <c r="J17729" s="1125"/>
    </row>
    <row r="17730" spans="9:10" x14ac:dyDescent="0.2">
      <c r="I17730" s="1125"/>
      <c r="J17730" s="1125"/>
    </row>
    <row r="17731" spans="9:10" x14ac:dyDescent="0.2">
      <c r="I17731" s="1125"/>
      <c r="J17731" s="1125"/>
    </row>
    <row r="17732" spans="9:10" x14ac:dyDescent="0.2">
      <c r="I17732" s="1125"/>
      <c r="J17732" s="1125"/>
    </row>
    <row r="17733" spans="9:10" x14ac:dyDescent="0.2">
      <c r="I17733" s="1125"/>
      <c r="J17733" s="1125"/>
    </row>
    <row r="17734" spans="9:10" x14ac:dyDescent="0.2">
      <c r="I17734" s="1125"/>
      <c r="J17734" s="1125"/>
    </row>
    <row r="17735" spans="9:10" x14ac:dyDescent="0.2">
      <c r="I17735" s="1125"/>
      <c r="J17735" s="1125"/>
    </row>
    <row r="17736" spans="9:10" x14ac:dyDescent="0.2">
      <c r="I17736" s="1125"/>
      <c r="J17736" s="1125"/>
    </row>
    <row r="17737" spans="9:10" x14ac:dyDescent="0.2">
      <c r="I17737" s="1125"/>
      <c r="J17737" s="1125"/>
    </row>
    <row r="17738" spans="9:10" x14ac:dyDescent="0.2">
      <c r="I17738" s="1125"/>
      <c r="J17738" s="1125"/>
    </row>
    <row r="17739" spans="9:10" x14ac:dyDescent="0.2">
      <c r="I17739" s="1125"/>
      <c r="J17739" s="1125"/>
    </row>
    <row r="17740" spans="9:10" x14ac:dyDescent="0.2">
      <c r="I17740" s="1125"/>
      <c r="J17740" s="1125"/>
    </row>
    <row r="17741" spans="9:10" x14ac:dyDescent="0.2">
      <c r="I17741" s="1125"/>
      <c r="J17741" s="1125"/>
    </row>
    <row r="17742" spans="9:10" x14ac:dyDescent="0.2">
      <c r="I17742" s="1125"/>
      <c r="J17742" s="1125"/>
    </row>
    <row r="17743" spans="9:10" x14ac:dyDescent="0.2">
      <c r="I17743" s="1125"/>
      <c r="J17743" s="1125"/>
    </row>
    <row r="17744" spans="9:10" x14ac:dyDescent="0.2">
      <c r="I17744" s="1125"/>
      <c r="J17744" s="1125"/>
    </row>
    <row r="17745" spans="9:10" x14ac:dyDescent="0.2">
      <c r="I17745" s="1125"/>
      <c r="J17745" s="1125"/>
    </row>
    <row r="17746" spans="9:10" x14ac:dyDescent="0.2">
      <c r="I17746" s="1125"/>
      <c r="J17746" s="1125"/>
    </row>
    <row r="17747" spans="9:10" x14ac:dyDescent="0.2">
      <c r="I17747" s="1125"/>
      <c r="J17747" s="1125"/>
    </row>
    <row r="17748" spans="9:10" x14ac:dyDescent="0.2">
      <c r="I17748" s="1125"/>
      <c r="J17748" s="1125"/>
    </row>
    <row r="17749" spans="9:10" x14ac:dyDescent="0.2">
      <c r="I17749" s="1125"/>
      <c r="J17749" s="1125"/>
    </row>
    <row r="17750" spans="9:10" x14ac:dyDescent="0.2">
      <c r="I17750" s="1125"/>
      <c r="J17750" s="1125"/>
    </row>
    <row r="17751" spans="9:10" x14ac:dyDescent="0.2">
      <c r="I17751" s="1125"/>
      <c r="J17751" s="1125"/>
    </row>
    <row r="17752" spans="9:10" x14ac:dyDescent="0.2">
      <c r="I17752" s="1125"/>
      <c r="J17752" s="1125"/>
    </row>
    <row r="17753" spans="9:10" x14ac:dyDescent="0.2">
      <c r="I17753" s="1125"/>
      <c r="J17753" s="1125"/>
    </row>
    <row r="17754" spans="9:10" x14ac:dyDescent="0.2">
      <c r="I17754" s="1125"/>
      <c r="J17754" s="1125"/>
    </row>
    <row r="17755" spans="9:10" x14ac:dyDescent="0.2">
      <c r="I17755" s="1125"/>
      <c r="J17755" s="1125"/>
    </row>
    <row r="17756" spans="9:10" x14ac:dyDescent="0.2">
      <c r="I17756" s="1125"/>
      <c r="J17756" s="1125"/>
    </row>
    <row r="17757" spans="9:10" x14ac:dyDescent="0.2">
      <c r="I17757" s="1125"/>
      <c r="J17757" s="1125"/>
    </row>
    <row r="17758" spans="9:10" x14ac:dyDescent="0.2">
      <c r="I17758" s="1125"/>
      <c r="J17758" s="1125"/>
    </row>
    <row r="17759" spans="9:10" x14ac:dyDescent="0.2">
      <c r="I17759" s="1125"/>
      <c r="J17759" s="1125"/>
    </row>
    <row r="17760" spans="9:10" x14ac:dyDescent="0.2">
      <c r="I17760" s="1125"/>
      <c r="J17760" s="1125"/>
    </row>
    <row r="17761" spans="9:10" x14ac:dyDescent="0.2">
      <c r="I17761" s="1125"/>
      <c r="J17761" s="1125"/>
    </row>
    <row r="17762" spans="9:10" x14ac:dyDescent="0.2">
      <c r="I17762" s="1125"/>
      <c r="J17762" s="1125"/>
    </row>
    <row r="17763" spans="9:10" x14ac:dyDescent="0.2">
      <c r="I17763" s="1125"/>
      <c r="J17763" s="1125"/>
    </row>
    <row r="17764" spans="9:10" x14ac:dyDescent="0.2">
      <c r="I17764" s="1125"/>
      <c r="J17764" s="1125"/>
    </row>
    <row r="17765" spans="9:10" x14ac:dyDescent="0.2">
      <c r="I17765" s="1125"/>
      <c r="J17765" s="1125"/>
    </row>
    <row r="17766" spans="9:10" x14ac:dyDescent="0.2">
      <c r="I17766" s="1125"/>
      <c r="J17766" s="1125"/>
    </row>
    <row r="17767" spans="9:10" x14ac:dyDescent="0.2">
      <c r="I17767" s="1125"/>
      <c r="J17767" s="1125"/>
    </row>
    <row r="17768" spans="9:10" x14ac:dyDescent="0.2">
      <c r="I17768" s="1125"/>
      <c r="J17768" s="1125"/>
    </row>
    <row r="17769" spans="9:10" x14ac:dyDescent="0.2">
      <c r="I17769" s="1125"/>
      <c r="J17769" s="1125"/>
    </row>
    <row r="17770" spans="9:10" x14ac:dyDescent="0.2">
      <c r="I17770" s="1125"/>
      <c r="J17770" s="1125"/>
    </row>
    <row r="17771" spans="9:10" x14ac:dyDescent="0.2">
      <c r="I17771" s="1125"/>
      <c r="J17771" s="1125"/>
    </row>
    <row r="17772" spans="9:10" x14ac:dyDescent="0.2">
      <c r="I17772" s="1125"/>
      <c r="J17772" s="1125"/>
    </row>
    <row r="17773" spans="9:10" x14ac:dyDescent="0.2">
      <c r="I17773" s="1125"/>
      <c r="J17773" s="1125"/>
    </row>
    <row r="17774" spans="9:10" x14ac:dyDescent="0.2">
      <c r="I17774" s="1125"/>
      <c r="J17774" s="1125"/>
    </row>
    <row r="17775" spans="9:10" x14ac:dyDescent="0.2">
      <c r="I17775" s="1125"/>
      <c r="J17775" s="1125"/>
    </row>
    <row r="17776" spans="9:10" x14ac:dyDescent="0.2">
      <c r="I17776" s="1125"/>
      <c r="J17776" s="1125"/>
    </row>
    <row r="17777" spans="9:10" x14ac:dyDescent="0.2">
      <c r="I17777" s="1125"/>
      <c r="J17777" s="1125"/>
    </row>
    <row r="17778" spans="9:10" x14ac:dyDescent="0.2">
      <c r="I17778" s="1125"/>
      <c r="J17778" s="1125"/>
    </row>
    <row r="17779" spans="9:10" x14ac:dyDescent="0.2">
      <c r="I17779" s="1125"/>
      <c r="J17779" s="1125"/>
    </row>
    <row r="17780" spans="9:10" x14ac:dyDescent="0.2">
      <c r="I17780" s="1125"/>
      <c r="J17780" s="1125"/>
    </row>
    <row r="17781" spans="9:10" x14ac:dyDescent="0.2">
      <c r="I17781" s="1125"/>
      <c r="J17781" s="1125"/>
    </row>
    <row r="17782" spans="9:10" x14ac:dyDescent="0.2">
      <c r="I17782" s="1125"/>
      <c r="J17782" s="1125"/>
    </row>
    <row r="17783" spans="9:10" x14ac:dyDescent="0.2">
      <c r="I17783" s="1125"/>
      <c r="J17783" s="1125"/>
    </row>
    <row r="17784" spans="9:10" x14ac:dyDescent="0.2">
      <c r="I17784" s="1125"/>
      <c r="J17784" s="1125"/>
    </row>
    <row r="17785" spans="9:10" x14ac:dyDescent="0.2">
      <c r="I17785" s="1125"/>
      <c r="J17785" s="1125"/>
    </row>
    <row r="17786" spans="9:10" x14ac:dyDescent="0.2">
      <c r="I17786" s="1125"/>
      <c r="J17786" s="1125"/>
    </row>
    <row r="17787" spans="9:10" x14ac:dyDescent="0.2">
      <c r="I17787" s="1125"/>
      <c r="J17787" s="1125"/>
    </row>
    <row r="17788" spans="9:10" x14ac:dyDescent="0.2">
      <c r="I17788" s="1125"/>
      <c r="J17788" s="1125"/>
    </row>
    <row r="17789" spans="9:10" x14ac:dyDescent="0.2">
      <c r="I17789" s="1125"/>
      <c r="J17789" s="1125"/>
    </row>
    <row r="17790" spans="9:10" x14ac:dyDescent="0.2">
      <c r="I17790" s="1125"/>
      <c r="J17790" s="1125"/>
    </row>
    <row r="17791" spans="9:10" x14ac:dyDescent="0.2">
      <c r="I17791" s="1125"/>
      <c r="J17791" s="1125"/>
    </row>
    <row r="17792" spans="9:10" x14ac:dyDescent="0.2">
      <c r="I17792" s="1125"/>
      <c r="J17792" s="1125"/>
    </row>
    <row r="17793" spans="9:10" x14ac:dyDescent="0.2">
      <c r="I17793" s="1125"/>
      <c r="J17793" s="1125"/>
    </row>
    <row r="17794" spans="9:10" x14ac:dyDescent="0.2">
      <c r="I17794" s="1125"/>
      <c r="J17794" s="1125"/>
    </row>
    <row r="17795" spans="9:10" x14ac:dyDescent="0.2">
      <c r="I17795" s="1125"/>
      <c r="J17795" s="1125"/>
    </row>
    <row r="17796" spans="9:10" x14ac:dyDescent="0.2">
      <c r="I17796" s="1125"/>
      <c r="J17796" s="1125"/>
    </row>
    <row r="17797" spans="9:10" x14ac:dyDescent="0.2">
      <c r="I17797" s="1125"/>
      <c r="J17797" s="1125"/>
    </row>
    <row r="17798" spans="9:10" x14ac:dyDescent="0.2">
      <c r="I17798" s="1125"/>
      <c r="J17798" s="1125"/>
    </row>
    <row r="17799" spans="9:10" x14ac:dyDescent="0.2">
      <c r="I17799" s="1125"/>
      <c r="J17799" s="1125"/>
    </row>
    <row r="17800" spans="9:10" x14ac:dyDescent="0.2">
      <c r="I17800" s="1125"/>
      <c r="J17800" s="1125"/>
    </row>
    <row r="17801" spans="9:10" x14ac:dyDescent="0.2">
      <c r="I17801" s="1125"/>
      <c r="J17801" s="1125"/>
    </row>
    <row r="17802" spans="9:10" x14ac:dyDescent="0.2">
      <c r="I17802" s="1125"/>
      <c r="J17802" s="1125"/>
    </row>
    <row r="17803" spans="9:10" x14ac:dyDescent="0.2">
      <c r="I17803" s="1125"/>
      <c r="J17803" s="1125"/>
    </row>
    <row r="17804" spans="9:10" x14ac:dyDescent="0.2">
      <c r="I17804" s="1125"/>
      <c r="J17804" s="1125"/>
    </row>
    <row r="17805" spans="9:10" x14ac:dyDescent="0.2">
      <c r="I17805" s="1125"/>
      <c r="J17805" s="1125"/>
    </row>
    <row r="17806" spans="9:10" x14ac:dyDescent="0.2">
      <c r="I17806" s="1125"/>
      <c r="J17806" s="1125"/>
    </row>
    <row r="17807" spans="9:10" x14ac:dyDescent="0.2">
      <c r="I17807" s="1125"/>
      <c r="J17807" s="1125"/>
    </row>
    <row r="17808" spans="9:10" x14ac:dyDescent="0.2">
      <c r="I17808" s="1125"/>
      <c r="J17808" s="1125"/>
    </row>
    <row r="17809" spans="9:10" x14ac:dyDescent="0.2">
      <c r="I17809" s="1125"/>
      <c r="J17809" s="1125"/>
    </row>
    <row r="17810" spans="9:10" x14ac:dyDescent="0.2">
      <c r="I17810" s="1125"/>
      <c r="J17810" s="1125"/>
    </row>
    <row r="17811" spans="9:10" x14ac:dyDescent="0.2">
      <c r="I17811" s="1125"/>
      <c r="J17811" s="1125"/>
    </row>
    <row r="17812" spans="9:10" x14ac:dyDescent="0.2">
      <c r="I17812" s="1125"/>
      <c r="J17812" s="1125"/>
    </row>
    <row r="17813" spans="9:10" x14ac:dyDescent="0.2">
      <c r="I17813" s="1125"/>
      <c r="J17813" s="1125"/>
    </row>
    <row r="17814" spans="9:10" x14ac:dyDescent="0.2">
      <c r="I17814" s="1125"/>
      <c r="J17814" s="1125"/>
    </row>
    <row r="17815" spans="9:10" x14ac:dyDescent="0.2">
      <c r="I17815" s="1125"/>
      <c r="J17815" s="1125"/>
    </row>
    <row r="17816" spans="9:10" x14ac:dyDescent="0.2">
      <c r="I17816" s="1125"/>
      <c r="J17816" s="1125"/>
    </row>
    <row r="17817" spans="9:10" x14ac:dyDescent="0.2">
      <c r="I17817" s="1125"/>
      <c r="J17817" s="1125"/>
    </row>
    <row r="17818" spans="9:10" x14ac:dyDescent="0.2">
      <c r="I17818" s="1125"/>
      <c r="J17818" s="1125"/>
    </row>
    <row r="17819" spans="9:10" x14ac:dyDescent="0.2">
      <c r="I17819" s="1125"/>
      <c r="J17819" s="1125"/>
    </row>
    <row r="17820" spans="9:10" x14ac:dyDescent="0.2">
      <c r="I17820" s="1125"/>
      <c r="J17820" s="1125"/>
    </row>
    <row r="17821" spans="9:10" x14ac:dyDescent="0.2">
      <c r="I17821" s="1125"/>
      <c r="J17821" s="1125"/>
    </row>
    <row r="17822" spans="9:10" x14ac:dyDescent="0.2">
      <c r="I17822" s="1125"/>
      <c r="J17822" s="1125"/>
    </row>
    <row r="17823" spans="9:10" x14ac:dyDescent="0.2">
      <c r="I17823" s="1125"/>
      <c r="J17823" s="1125"/>
    </row>
    <row r="17824" spans="9:10" x14ac:dyDescent="0.2">
      <c r="I17824" s="1125"/>
      <c r="J17824" s="1125"/>
    </row>
    <row r="17825" spans="9:10" x14ac:dyDescent="0.2">
      <c r="I17825" s="1125"/>
      <c r="J17825" s="1125"/>
    </row>
    <row r="17826" spans="9:10" x14ac:dyDescent="0.2">
      <c r="I17826" s="1125"/>
      <c r="J17826" s="1125"/>
    </row>
    <row r="17827" spans="9:10" x14ac:dyDescent="0.2">
      <c r="I17827" s="1125"/>
      <c r="J17827" s="1125"/>
    </row>
    <row r="17828" spans="9:10" x14ac:dyDescent="0.2">
      <c r="I17828" s="1125"/>
      <c r="J17828" s="1125"/>
    </row>
    <row r="17829" spans="9:10" x14ac:dyDescent="0.2">
      <c r="I17829" s="1125"/>
      <c r="J17829" s="1125"/>
    </row>
    <row r="17830" spans="9:10" x14ac:dyDescent="0.2">
      <c r="I17830" s="1125"/>
      <c r="J17830" s="1125"/>
    </row>
    <row r="17831" spans="9:10" x14ac:dyDescent="0.2">
      <c r="I17831" s="1125"/>
      <c r="J17831" s="1125"/>
    </row>
    <row r="17832" spans="9:10" x14ac:dyDescent="0.2">
      <c r="I17832" s="1125"/>
      <c r="J17832" s="1125"/>
    </row>
    <row r="17833" spans="9:10" x14ac:dyDescent="0.2">
      <c r="I17833" s="1125"/>
      <c r="J17833" s="1125"/>
    </row>
    <row r="17834" spans="9:10" x14ac:dyDescent="0.2">
      <c r="I17834" s="1125"/>
      <c r="J17834" s="1125"/>
    </row>
    <row r="17835" spans="9:10" x14ac:dyDescent="0.2">
      <c r="I17835" s="1125"/>
      <c r="J17835" s="1125"/>
    </row>
    <row r="17836" spans="9:10" x14ac:dyDescent="0.2">
      <c r="I17836" s="1125"/>
      <c r="J17836" s="1125"/>
    </row>
    <row r="17837" spans="9:10" x14ac:dyDescent="0.2">
      <c r="I17837" s="1125"/>
      <c r="J17837" s="1125"/>
    </row>
    <row r="17838" spans="9:10" x14ac:dyDescent="0.2">
      <c r="I17838" s="1125"/>
      <c r="J17838" s="1125"/>
    </row>
    <row r="17839" spans="9:10" x14ac:dyDescent="0.2">
      <c r="I17839" s="1125"/>
      <c r="J17839" s="1125"/>
    </row>
    <row r="17840" spans="9:10" x14ac:dyDescent="0.2">
      <c r="I17840" s="1125"/>
      <c r="J17840" s="1125"/>
    </row>
    <row r="17841" spans="9:10" x14ac:dyDescent="0.2">
      <c r="I17841" s="1125"/>
      <c r="J17841" s="1125"/>
    </row>
    <row r="17842" spans="9:10" x14ac:dyDescent="0.2">
      <c r="I17842" s="1125"/>
      <c r="J17842" s="1125"/>
    </row>
    <row r="17843" spans="9:10" x14ac:dyDescent="0.2">
      <c r="I17843" s="1125"/>
      <c r="J17843" s="1125"/>
    </row>
    <row r="17844" spans="9:10" x14ac:dyDescent="0.2">
      <c r="I17844" s="1125"/>
      <c r="J17844" s="1125"/>
    </row>
    <row r="17845" spans="9:10" x14ac:dyDescent="0.2">
      <c r="I17845" s="1125"/>
      <c r="J17845" s="1125"/>
    </row>
    <row r="17846" spans="9:10" x14ac:dyDescent="0.2">
      <c r="I17846" s="1125"/>
      <c r="J17846" s="1125"/>
    </row>
    <row r="17847" spans="9:10" x14ac:dyDescent="0.2">
      <c r="I17847" s="1125"/>
      <c r="J17847" s="1125"/>
    </row>
    <row r="17848" spans="9:10" x14ac:dyDescent="0.2">
      <c r="I17848" s="1125"/>
      <c r="J17848" s="1125"/>
    </row>
    <row r="17849" spans="9:10" x14ac:dyDescent="0.2">
      <c r="I17849" s="1125"/>
      <c r="J17849" s="1125"/>
    </row>
    <row r="17850" spans="9:10" x14ac:dyDescent="0.2">
      <c r="I17850" s="1125"/>
      <c r="J17850" s="1125"/>
    </row>
    <row r="17851" spans="9:10" x14ac:dyDescent="0.2">
      <c r="I17851" s="1125"/>
      <c r="J17851" s="1125"/>
    </row>
    <row r="17852" spans="9:10" x14ac:dyDescent="0.2">
      <c r="I17852" s="1125"/>
      <c r="J17852" s="1125"/>
    </row>
    <row r="17853" spans="9:10" x14ac:dyDescent="0.2">
      <c r="I17853" s="1125"/>
      <c r="J17853" s="1125"/>
    </row>
    <row r="17854" spans="9:10" x14ac:dyDescent="0.2">
      <c r="I17854" s="1125"/>
      <c r="J17854" s="1125"/>
    </row>
    <row r="17855" spans="9:10" x14ac:dyDescent="0.2">
      <c r="I17855" s="1125"/>
      <c r="J17855" s="1125"/>
    </row>
    <row r="17856" spans="9:10" x14ac:dyDescent="0.2">
      <c r="I17856" s="1125"/>
      <c r="J17856" s="1125"/>
    </row>
    <row r="17857" spans="9:10" x14ac:dyDescent="0.2">
      <c r="I17857" s="1125"/>
      <c r="J17857" s="1125"/>
    </row>
    <row r="17858" spans="9:10" x14ac:dyDescent="0.2">
      <c r="I17858" s="1125"/>
      <c r="J17858" s="1125"/>
    </row>
    <row r="17859" spans="9:10" x14ac:dyDescent="0.2">
      <c r="I17859" s="1125"/>
      <c r="J17859" s="1125"/>
    </row>
    <row r="17860" spans="9:10" x14ac:dyDescent="0.2">
      <c r="I17860" s="1125"/>
      <c r="J17860" s="1125"/>
    </row>
    <row r="17861" spans="9:10" x14ac:dyDescent="0.2">
      <c r="I17861" s="1125"/>
      <c r="J17861" s="1125"/>
    </row>
    <row r="17862" spans="9:10" x14ac:dyDescent="0.2">
      <c r="I17862" s="1125"/>
      <c r="J17862" s="1125"/>
    </row>
    <row r="17863" spans="9:10" x14ac:dyDescent="0.2">
      <c r="I17863" s="1125"/>
      <c r="J17863" s="1125"/>
    </row>
    <row r="17864" spans="9:10" x14ac:dyDescent="0.2">
      <c r="I17864" s="1125"/>
      <c r="J17864" s="1125"/>
    </row>
    <row r="17865" spans="9:10" x14ac:dyDescent="0.2">
      <c r="I17865" s="1125"/>
      <c r="J17865" s="1125"/>
    </row>
    <row r="17866" spans="9:10" x14ac:dyDescent="0.2">
      <c r="I17866" s="1125"/>
      <c r="J17866" s="1125"/>
    </row>
    <row r="17867" spans="9:10" x14ac:dyDescent="0.2">
      <c r="I17867" s="1125"/>
      <c r="J17867" s="1125"/>
    </row>
    <row r="17868" spans="9:10" x14ac:dyDescent="0.2">
      <c r="I17868" s="1125"/>
      <c r="J17868" s="1125"/>
    </row>
    <row r="17869" spans="9:10" x14ac:dyDescent="0.2">
      <c r="I17869" s="1125"/>
      <c r="J17869" s="1125"/>
    </row>
    <row r="17870" spans="9:10" x14ac:dyDescent="0.2">
      <c r="I17870" s="1125"/>
      <c r="J17870" s="1125"/>
    </row>
    <row r="17871" spans="9:10" x14ac:dyDescent="0.2">
      <c r="I17871" s="1125"/>
      <c r="J17871" s="1125"/>
    </row>
    <row r="17872" spans="9:10" x14ac:dyDescent="0.2">
      <c r="I17872" s="1125"/>
      <c r="J17872" s="1125"/>
    </row>
    <row r="17873" spans="9:10" x14ac:dyDescent="0.2">
      <c r="I17873" s="1125"/>
      <c r="J17873" s="1125"/>
    </row>
    <row r="17874" spans="9:10" x14ac:dyDescent="0.2">
      <c r="I17874" s="1125"/>
      <c r="J17874" s="1125"/>
    </row>
    <row r="17875" spans="9:10" x14ac:dyDescent="0.2">
      <c r="I17875" s="1125"/>
      <c r="J17875" s="1125"/>
    </row>
    <row r="17876" spans="9:10" x14ac:dyDescent="0.2">
      <c r="I17876" s="1125"/>
      <c r="J17876" s="1125"/>
    </row>
    <row r="17877" spans="9:10" x14ac:dyDescent="0.2">
      <c r="I17877" s="1125"/>
      <c r="J17877" s="1125"/>
    </row>
    <row r="17878" spans="9:10" x14ac:dyDescent="0.2">
      <c r="I17878" s="1125"/>
      <c r="J17878" s="1125"/>
    </row>
    <row r="17879" spans="9:10" x14ac:dyDescent="0.2">
      <c r="I17879" s="1125"/>
      <c r="J17879" s="1125"/>
    </row>
    <row r="17880" spans="9:10" x14ac:dyDescent="0.2">
      <c r="I17880" s="1125"/>
      <c r="J17880" s="1125"/>
    </row>
    <row r="17881" spans="9:10" x14ac:dyDescent="0.2">
      <c r="I17881" s="1125"/>
      <c r="J17881" s="1125"/>
    </row>
    <row r="17882" spans="9:10" x14ac:dyDescent="0.2">
      <c r="I17882" s="1125"/>
      <c r="J17882" s="1125"/>
    </row>
    <row r="17883" spans="9:10" x14ac:dyDescent="0.2">
      <c r="I17883" s="1125"/>
      <c r="J17883" s="1125"/>
    </row>
    <row r="17884" spans="9:10" x14ac:dyDescent="0.2">
      <c r="I17884" s="1125"/>
      <c r="J17884" s="1125"/>
    </row>
    <row r="17885" spans="9:10" x14ac:dyDescent="0.2">
      <c r="I17885" s="1125"/>
      <c r="J17885" s="1125"/>
    </row>
    <row r="17886" spans="9:10" x14ac:dyDescent="0.2">
      <c r="I17886" s="1125"/>
      <c r="J17886" s="1125"/>
    </row>
    <row r="17887" spans="9:10" x14ac:dyDescent="0.2">
      <c r="I17887" s="1125"/>
      <c r="J17887" s="1125"/>
    </row>
    <row r="17888" spans="9:10" x14ac:dyDescent="0.2">
      <c r="I17888" s="1125"/>
      <c r="J17888" s="1125"/>
    </row>
    <row r="17889" spans="9:10" x14ac:dyDescent="0.2">
      <c r="I17889" s="1125"/>
      <c r="J17889" s="1125"/>
    </row>
    <row r="17890" spans="9:10" x14ac:dyDescent="0.2">
      <c r="I17890" s="1125"/>
      <c r="J17890" s="1125"/>
    </row>
    <row r="17891" spans="9:10" x14ac:dyDescent="0.2">
      <c r="I17891" s="1125"/>
      <c r="J17891" s="1125"/>
    </row>
    <row r="17892" spans="9:10" x14ac:dyDescent="0.2">
      <c r="I17892" s="1125"/>
      <c r="J17892" s="1125"/>
    </row>
    <row r="17893" spans="9:10" x14ac:dyDescent="0.2">
      <c r="I17893" s="1125"/>
      <c r="J17893" s="1125"/>
    </row>
    <row r="17894" spans="9:10" x14ac:dyDescent="0.2">
      <c r="I17894" s="1125"/>
      <c r="J17894" s="1125"/>
    </row>
    <row r="17895" spans="9:10" x14ac:dyDescent="0.2">
      <c r="I17895" s="1125"/>
      <c r="J17895" s="1125"/>
    </row>
    <row r="17896" spans="9:10" x14ac:dyDescent="0.2">
      <c r="I17896" s="1125"/>
      <c r="J17896" s="1125"/>
    </row>
    <row r="17897" spans="9:10" x14ac:dyDescent="0.2">
      <c r="I17897" s="1125"/>
      <c r="J17897" s="1125"/>
    </row>
    <row r="17898" spans="9:10" x14ac:dyDescent="0.2">
      <c r="I17898" s="1125"/>
      <c r="J17898" s="1125"/>
    </row>
    <row r="17899" spans="9:10" x14ac:dyDescent="0.2">
      <c r="I17899" s="1125"/>
      <c r="J17899" s="1125"/>
    </row>
    <row r="17900" spans="9:10" x14ac:dyDescent="0.2">
      <c r="I17900" s="1125"/>
      <c r="J17900" s="1125"/>
    </row>
    <row r="17901" spans="9:10" x14ac:dyDescent="0.2">
      <c r="I17901" s="1125"/>
      <c r="J17901" s="1125"/>
    </row>
    <row r="17902" spans="9:10" x14ac:dyDescent="0.2">
      <c r="I17902" s="1125"/>
      <c r="J17902" s="1125"/>
    </row>
    <row r="17903" spans="9:10" x14ac:dyDescent="0.2">
      <c r="I17903" s="1125"/>
      <c r="J17903" s="1125"/>
    </row>
    <row r="17904" spans="9:10" x14ac:dyDescent="0.2">
      <c r="I17904" s="1125"/>
      <c r="J17904" s="1125"/>
    </row>
    <row r="17905" spans="9:10" x14ac:dyDescent="0.2">
      <c r="I17905" s="1125"/>
      <c r="J17905" s="1125"/>
    </row>
    <row r="17906" spans="9:10" x14ac:dyDescent="0.2">
      <c r="I17906" s="1125"/>
      <c r="J17906" s="1125"/>
    </row>
    <row r="17907" spans="9:10" x14ac:dyDescent="0.2">
      <c r="I17907" s="1125"/>
      <c r="J17907" s="1125"/>
    </row>
    <row r="17908" spans="9:10" x14ac:dyDescent="0.2">
      <c r="I17908" s="1125"/>
      <c r="J17908" s="1125"/>
    </row>
    <row r="17909" spans="9:10" x14ac:dyDescent="0.2">
      <c r="I17909" s="1125"/>
      <c r="J17909" s="1125"/>
    </row>
    <row r="17910" spans="9:10" x14ac:dyDescent="0.2">
      <c r="I17910" s="1125"/>
      <c r="J17910" s="1125"/>
    </row>
    <row r="17911" spans="9:10" x14ac:dyDescent="0.2">
      <c r="I17911" s="1125"/>
      <c r="J17911" s="1125"/>
    </row>
    <row r="17912" spans="9:10" x14ac:dyDescent="0.2">
      <c r="I17912" s="1125"/>
      <c r="J17912" s="1125"/>
    </row>
    <row r="17913" spans="9:10" x14ac:dyDescent="0.2">
      <c r="I17913" s="1125"/>
      <c r="J17913" s="1125"/>
    </row>
    <row r="17914" spans="9:10" x14ac:dyDescent="0.2">
      <c r="I17914" s="1125"/>
      <c r="J17914" s="1125"/>
    </row>
    <row r="17915" spans="9:10" x14ac:dyDescent="0.2">
      <c r="I17915" s="1125"/>
      <c r="J17915" s="1125"/>
    </row>
    <row r="17916" spans="9:10" x14ac:dyDescent="0.2">
      <c r="I17916" s="1125"/>
      <c r="J17916" s="1125"/>
    </row>
    <row r="17917" spans="9:10" x14ac:dyDescent="0.2">
      <c r="I17917" s="1125"/>
      <c r="J17917" s="1125"/>
    </row>
    <row r="17918" spans="9:10" x14ac:dyDescent="0.2">
      <c r="I17918" s="1125"/>
      <c r="J17918" s="1125"/>
    </row>
    <row r="17919" spans="9:10" x14ac:dyDescent="0.2">
      <c r="I17919" s="1125"/>
      <c r="J17919" s="1125"/>
    </row>
    <row r="17920" spans="9:10" x14ac:dyDescent="0.2">
      <c r="I17920" s="1125"/>
      <c r="J17920" s="1125"/>
    </row>
    <row r="17921" spans="9:10" x14ac:dyDescent="0.2">
      <c r="I17921" s="1125"/>
      <c r="J17921" s="1125"/>
    </row>
    <row r="17922" spans="9:10" x14ac:dyDescent="0.2">
      <c r="I17922" s="1125"/>
      <c r="J17922" s="1125"/>
    </row>
    <row r="17923" spans="9:10" x14ac:dyDescent="0.2">
      <c r="I17923" s="1125"/>
      <c r="J17923" s="1125"/>
    </row>
    <row r="17924" spans="9:10" x14ac:dyDescent="0.2">
      <c r="I17924" s="1125"/>
      <c r="J17924" s="1125"/>
    </row>
    <row r="17925" spans="9:10" x14ac:dyDescent="0.2">
      <c r="I17925" s="1125"/>
      <c r="J17925" s="1125"/>
    </row>
    <row r="17926" spans="9:10" x14ac:dyDescent="0.2">
      <c r="I17926" s="1125"/>
      <c r="J17926" s="1125"/>
    </row>
    <row r="17927" spans="9:10" x14ac:dyDescent="0.2">
      <c r="I17927" s="1125"/>
      <c r="J17927" s="1125"/>
    </row>
    <row r="17928" spans="9:10" x14ac:dyDescent="0.2">
      <c r="I17928" s="1125"/>
      <c r="J17928" s="1125"/>
    </row>
    <row r="17929" spans="9:10" x14ac:dyDescent="0.2">
      <c r="I17929" s="1125"/>
      <c r="J17929" s="1125"/>
    </row>
    <row r="17930" spans="9:10" x14ac:dyDescent="0.2">
      <c r="I17930" s="1125"/>
      <c r="J17930" s="1125"/>
    </row>
    <row r="17931" spans="9:10" x14ac:dyDescent="0.2">
      <c r="I17931" s="1125"/>
      <c r="J17931" s="1125"/>
    </row>
    <row r="17932" spans="9:10" x14ac:dyDescent="0.2">
      <c r="I17932" s="1125"/>
      <c r="J17932" s="1125"/>
    </row>
    <row r="17933" spans="9:10" x14ac:dyDescent="0.2">
      <c r="I17933" s="1125"/>
      <c r="J17933" s="1125"/>
    </row>
    <row r="17934" spans="9:10" x14ac:dyDescent="0.2">
      <c r="I17934" s="1125"/>
      <c r="J17934" s="1125"/>
    </row>
    <row r="17935" spans="9:10" x14ac:dyDescent="0.2">
      <c r="I17935" s="1125"/>
      <c r="J17935" s="1125"/>
    </row>
    <row r="17936" spans="9:10" x14ac:dyDescent="0.2">
      <c r="I17936" s="1125"/>
      <c r="J17936" s="1125"/>
    </row>
    <row r="17937" spans="9:10" x14ac:dyDescent="0.2">
      <c r="I17937" s="1125"/>
      <c r="J17937" s="1125"/>
    </row>
    <row r="17938" spans="9:10" x14ac:dyDescent="0.2">
      <c r="I17938" s="1125"/>
      <c r="J17938" s="1125"/>
    </row>
    <row r="17939" spans="9:10" x14ac:dyDescent="0.2">
      <c r="I17939" s="1125"/>
      <c r="J17939" s="1125"/>
    </row>
    <row r="17940" spans="9:10" x14ac:dyDescent="0.2">
      <c r="I17940" s="1125"/>
      <c r="J17940" s="1125"/>
    </row>
    <row r="17941" spans="9:10" x14ac:dyDescent="0.2">
      <c r="I17941" s="1125"/>
      <c r="J17941" s="1125"/>
    </row>
    <row r="17942" spans="9:10" x14ac:dyDescent="0.2">
      <c r="I17942" s="1125"/>
      <c r="J17942" s="1125"/>
    </row>
    <row r="17943" spans="9:10" x14ac:dyDescent="0.2">
      <c r="I17943" s="1125"/>
      <c r="J17943" s="1125"/>
    </row>
    <row r="17944" spans="9:10" x14ac:dyDescent="0.2">
      <c r="I17944" s="1125"/>
      <c r="J17944" s="1125"/>
    </row>
    <row r="17945" spans="9:10" x14ac:dyDescent="0.2">
      <c r="I17945" s="1125"/>
      <c r="J17945" s="1125"/>
    </row>
    <row r="17946" spans="9:10" x14ac:dyDescent="0.2">
      <c r="I17946" s="1125"/>
      <c r="J17946" s="1125"/>
    </row>
    <row r="17947" spans="9:10" x14ac:dyDescent="0.2">
      <c r="I17947" s="1125"/>
      <c r="J17947" s="1125"/>
    </row>
    <row r="17948" spans="9:10" x14ac:dyDescent="0.2">
      <c r="I17948" s="1125"/>
      <c r="J17948" s="1125"/>
    </row>
    <row r="17949" spans="9:10" x14ac:dyDescent="0.2">
      <c r="I17949" s="1125"/>
      <c r="J17949" s="1125"/>
    </row>
    <row r="17950" spans="9:10" x14ac:dyDescent="0.2">
      <c r="I17950" s="1125"/>
      <c r="J17950" s="1125"/>
    </row>
    <row r="17951" spans="9:10" x14ac:dyDescent="0.2">
      <c r="I17951" s="1125"/>
      <c r="J17951" s="1125"/>
    </row>
    <row r="17952" spans="9:10" x14ac:dyDescent="0.2">
      <c r="I17952" s="1125"/>
      <c r="J17952" s="1125"/>
    </row>
    <row r="17953" spans="9:10" x14ac:dyDescent="0.2">
      <c r="I17953" s="1125"/>
      <c r="J17953" s="1125"/>
    </row>
    <row r="17954" spans="9:10" x14ac:dyDescent="0.2">
      <c r="I17954" s="1125"/>
      <c r="J17954" s="1125"/>
    </row>
    <row r="17955" spans="9:10" x14ac:dyDescent="0.2">
      <c r="I17955" s="1125"/>
      <c r="J17955" s="1125"/>
    </row>
    <row r="17956" spans="9:10" x14ac:dyDescent="0.2">
      <c r="I17956" s="1125"/>
      <c r="J17956" s="1125"/>
    </row>
    <row r="17957" spans="9:10" x14ac:dyDescent="0.2">
      <c r="I17957" s="1125"/>
      <c r="J17957" s="1125"/>
    </row>
    <row r="17958" spans="9:10" x14ac:dyDescent="0.2">
      <c r="I17958" s="1125"/>
      <c r="J17958" s="1125"/>
    </row>
    <row r="17959" spans="9:10" x14ac:dyDescent="0.2">
      <c r="I17959" s="1125"/>
      <c r="J17959" s="1125"/>
    </row>
    <row r="17960" spans="9:10" x14ac:dyDescent="0.2">
      <c r="I17960" s="1125"/>
      <c r="J17960" s="1125"/>
    </row>
    <row r="17961" spans="9:10" x14ac:dyDescent="0.2">
      <c r="I17961" s="1125"/>
      <c r="J17961" s="1125"/>
    </row>
    <row r="17962" spans="9:10" x14ac:dyDescent="0.2">
      <c r="I17962" s="1125"/>
      <c r="J17962" s="1125"/>
    </row>
    <row r="17963" spans="9:10" x14ac:dyDescent="0.2">
      <c r="I17963" s="1125"/>
      <c r="J17963" s="1125"/>
    </row>
    <row r="17964" spans="9:10" x14ac:dyDescent="0.2">
      <c r="I17964" s="1125"/>
      <c r="J17964" s="1125"/>
    </row>
    <row r="17965" spans="9:10" x14ac:dyDescent="0.2">
      <c r="I17965" s="1125"/>
      <c r="J17965" s="1125"/>
    </row>
    <row r="17966" spans="9:10" x14ac:dyDescent="0.2">
      <c r="I17966" s="1125"/>
      <c r="J17966" s="1125"/>
    </row>
    <row r="17967" spans="9:10" x14ac:dyDescent="0.2">
      <c r="I17967" s="1125"/>
      <c r="J17967" s="1125"/>
    </row>
    <row r="17968" spans="9:10" x14ac:dyDescent="0.2">
      <c r="I17968" s="1125"/>
      <c r="J17968" s="1125"/>
    </row>
    <row r="17969" spans="9:10" x14ac:dyDescent="0.2">
      <c r="I17969" s="1125"/>
      <c r="J17969" s="1125"/>
    </row>
    <row r="17970" spans="9:10" x14ac:dyDescent="0.2">
      <c r="I17970" s="1125"/>
      <c r="J17970" s="1125"/>
    </row>
    <row r="17971" spans="9:10" x14ac:dyDescent="0.2">
      <c r="I17971" s="1125"/>
      <c r="J17971" s="1125"/>
    </row>
    <row r="17972" spans="9:10" x14ac:dyDescent="0.2">
      <c r="I17972" s="1125"/>
      <c r="J17972" s="1125"/>
    </row>
    <row r="17973" spans="9:10" x14ac:dyDescent="0.2">
      <c r="I17973" s="1125"/>
      <c r="J17973" s="1125"/>
    </row>
    <row r="17974" spans="9:10" x14ac:dyDescent="0.2">
      <c r="I17974" s="1125"/>
      <c r="J17974" s="1125"/>
    </row>
    <row r="17975" spans="9:10" x14ac:dyDescent="0.2">
      <c r="I17975" s="1125"/>
      <c r="J17975" s="1125"/>
    </row>
    <row r="17976" spans="9:10" x14ac:dyDescent="0.2">
      <c r="I17976" s="1125"/>
      <c r="J17976" s="1125"/>
    </row>
    <row r="17977" spans="9:10" x14ac:dyDescent="0.2">
      <c r="I17977" s="1125"/>
      <c r="J17977" s="1125"/>
    </row>
    <row r="17978" spans="9:10" x14ac:dyDescent="0.2">
      <c r="I17978" s="1125"/>
      <c r="J17978" s="1125"/>
    </row>
    <row r="17979" spans="9:10" x14ac:dyDescent="0.2">
      <c r="I17979" s="1125"/>
      <c r="J17979" s="1125"/>
    </row>
    <row r="17980" spans="9:10" x14ac:dyDescent="0.2">
      <c r="I17980" s="1125"/>
      <c r="J17980" s="1125"/>
    </row>
    <row r="17981" spans="9:10" x14ac:dyDescent="0.2">
      <c r="I17981" s="1125"/>
      <c r="J17981" s="1125"/>
    </row>
    <row r="17982" spans="9:10" x14ac:dyDescent="0.2">
      <c r="I17982" s="1125"/>
      <c r="J17982" s="1125"/>
    </row>
    <row r="17983" spans="9:10" x14ac:dyDescent="0.2">
      <c r="I17983" s="1125"/>
      <c r="J17983" s="1125"/>
    </row>
    <row r="17984" spans="9:10" x14ac:dyDescent="0.2">
      <c r="I17984" s="1125"/>
      <c r="J17984" s="1125"/>
    </row>
    <row r="17985" spans="9:10" x14ac:dyDescent="0.2">
      <c r="I17985" s="1125"/>
      <c r="J17985" s="1125"/>
    </row>
    <row r="17986" spans="9:10" x14ac:dyDescent="0.2">
      <c r="I17986" s="1125"/>
      <c r="J17986" s="1125"/>
    </row>
    <row r="17987" spans="9:10" x14ac:dyDescent="0.2">
      <c r="I17987" s="1125"/>
      <c r="J17987" s="1125"/>
    </row>
    <row r="17988" spans="9:10" x14ac:dyDescent="0.2">
      <c r="I17988" s="1125"/>
      <c r="J17988" s="1125"/>
    </row>
    <row r="17989" spans="9:10" x14ac:dyDescent="0.2">
      <c r="I17989" s="1125"/>
      <c r="J17989" s="1125"/>
    </row>
    <row r="17990" spans="9:10" x14ac:dyDescent="0.2">
      <c r="I17990" s="1125"/>
      <c r="J17990" s="1125"/>
    </row>
    <row r="17991" spans="9:10" x14ac:dyDescent="0.2">
      <c r="I17991" s="1125"/>
      <c r="J17991" s="1125"/>
    </row>
    <row r="17992" spans="9:10" x14ac:dyDescent="0.2">
      <c r="I17992" s="1125"/>
      <c r="J17992" s="1125"/>
    </row>
    <row r="17993" spans="9:10" x14ac:dyDescent="0.2">
      <c r="I17993" s="1125"/>
      <c r="J17993" s="1125"/>
    </row>
    <row r="17994" spans="9:10" x14ac:dyDescent="0.2">
      <c r="I17994" s="1125"/>
      <c r="J17994" s="1125"/>
    </row>
    <row r="17995" spans="9:10" x14ac:dyDescent="0.2">
      <c r="I17995" s="1125"/>
      <c r="J17995" s="1125"/>
    </row>
    <row r="17996" spans="9:10" x14ac:dyDescent="0.2">
      <c r="I17996" s="1125"/>
      <c r="J17996" s="1125"/>
    </row>
    <row r="17997" spans="9:10" x14ac:dyDescent="0.2">
      <c r="I17997" s="1125"/>
      <c r="J17997" s="1125"/>
    </row>
    <row r="17998" spans="9:10" x14ac:dyDescent="0.2">
      <c r="I17998" s="1125"/>
      <c r="J17998" s="1125"/>
    </row>
    <row r="17999" spans="9:10" x14ac:dyDescent="0.2">
      <c r="I17999" s="1125"/>
      <c r="J17999" s="1125"/>
    </row>
    <row r="18000" spans="9:10" x14ac:dyDescent="0.2">
      <c r="I18000" s="1125"/>
      <c r="J18000" s="1125"/>
    </row>
    <row r="18001" spans="9:10" x14ac:dyDescent="0.2">
      <c r="I18001" s="1125"/>
      <c r="J18001" s="1125"/>
    </row>
    <row r="18002" spans="9:10" x14ac:dyDescent="0.2">
      <c r="I18002" s="1125"/>
      <c r="J18002" s="1125"/>
    </row>
    <row r="18003" spans="9:10" x14ac:dyDescent="0.2">
      <c r="I18003" s="1125"/>
      <c r="J18003" s="1125"/>
    </row>
    <row r="18004" spans="9:10" x14ac:dyDescent="0.2">
      <c r="I18004" s="1125"/>
      <c r="J18004" s="1125"/>
    </row>
    <row r="18005" spans="9:10" x14ac:dyDescent="0.2">
      <c r="I18005" s="1125"/>
      <c r="J18005" s="1125"/>
    </row>
    <row r="18006" spans="9:10" x14ac:dyDescent="0.2">
      <c r="I18006" s="1125"/>
      <c r="J18006" s="1125"/>
    </row>
    <row r="18007" spans="9:10" x14ac:dyDescent="0.2">
      <c r="I18007" s="1125"/>
      <c r="J18007" s="1125"/>
    </row>
    <row r="18008" spans="9:10" x14ac:dyDescent="0.2">
      <c r="I18008" s="1125"/>
      <c r="J18008" s="1125"/>
    </row>
    <row r="18009" spans="9:10" x14ac:dyDescent="0.2">
      <c r="I18009" s="1125"/>
      <c r="J18009" s="1125"/>
    </row>
    <row r="18010" spans="9:10" x14ac:dyDescent="0.2">
      <c r="I18010" s="1125"/>
      <c r="J18010" s="1125"/>
    </row>
    <row r="18011" spans="9:10" x14ac:dyDescent="0.2">
      <c r="I18011" s="1125"/>
      <c r="J18011" s="1125"/>
    </row>
    <row r="18012" spans="9:10" x14ac:dyDescent="0.2">
      <c r="I18012" s="1125"/>
      <c r="J18012" s="1125"/>
    </row>
    <row r="18013" spans="9:10" x14ac:dyDescent="0.2">
      <c r="I18013" s="1125"/>
      <c r="J18013" s="1125"/>
    </row>
    <row r="18014" spans="9:10" x14ac:dyDescent="0.2">
      <c r="I18014" s="1125"/>
      <c r="J18014" s="1125"/>
    </row>
    <row r="18015" spans="9:10" x14ac:dyDescent="0.2">
      <c r="I18015" s="1125"/>
      <c r="J18015" s="1125"/>
    </row>
    <row r="18016" spans="9:10" x14ac:dyDescent="0.2">
      <c r="I18016" s="1125"/>
      <c r="J18016" s="1125"/>
    </row>
    <row r="18017" spans="9:10" x14ac:dyDescent="0.2">
      <c r="I18017" s="1125"/>
      <c r="J18017" s="1125"/>
    </row>
    <row r="18018" spans="9:10" x14ac:dyDescent="0.2">
      <c r="I18018" s="1125"/>
      <c r="J18018" s="1125"/>
    </row>
    <row r="18019" spans="9:10" x14ac:dyDescent="0.2">
      <c r="I18019" s="1125"/>
      <c r="J18019" s="1125"/>
    </row>
    <row r="18020" spans="9:10" x14ac:dyDescent="0.2">
      <c r="I18020" s="1125"/>
      <c r="J18020" s="1125"/>
    </row>
    <row r="18021" spans="9:10" x14ac:dyDescent="0.2">
      <c r="I18021" s="1125"/>
      <c r="J18021" s="1125"/>
    </row>
    <row r="18022" spans="9:10" x14ac:dyDescent="0.2">
      <c r="I18022" s="1125"/>
      <c r="J18022" s="1125"/>
    </row>
    <row r="18023" spans="9:10" x14ac:dyDescent="0.2">
      <c r="I18023" s="1125"/>
      <c r="J18023" s="1125"/>
    </row>
    <row r="18024" spans="9:10" x14ac:dyDescent="0.2">
      <c r="I18024" s="1125"/>
      <c r="J18024" s="1125"/>
    </row>
    <row r="18025" spans="9:10" x14ac:dyDescent="0.2">
      <c r="I18025" s="1125"/>
      <c r="J18025" s="1125"/>
    </row>
    <row r="18026" spans="9:10" x14ac:dyDescent="0.2">
      <c r="I18026" s="1125"/>
      <c r="J18026" s="1125"/>
    </row>
    <row r="18027" spans="9:10" x14ac:dyDescent="0.2">
      <c r="I18027" s="1125"/>
      <c r="J18027" s="1125"/>
    </row>
    <row r="18028" spans="9:10" x14ac:dyDescent="0.2">
      <c r="I18028" s="1125"/>
      <c r="J18028" s="1125"/>
    </row>
    <row r="18029" spans="9:10" x14ac:dyDescent="0.2">
      <c r="I18029" s="1125"/>
      <c r="J18029" s="1125"/>
    </row>
    <row r="18030" spans="9:10" x14ac:dyDescent="0.2">
      <c r="I18030" s="1125"/>
      <c r="J18030" s="1125"/>
    </row>
    <row r="18031" spans="9:10" x14ac:dyDescent="0.2">
      <c r="I18031" s="1125"/>
      <c r="J18031" s="1125"/>
    </row>
    <row r="18032" spans="9:10" x14ac:dyDescent="0.2">
      <c r="I18032" s="1125"/>
      <c r="J18032" s="1125"/>
    </row>
    <row r="18033" spans="9:10" x14ac:dyDescent="0.2">
      <c r="I18033" s="1125"/>
      <c r="J18033" s="1125"/>
    </row>
    <row r="18034" spans="9:10" x14ac:dyDescent="0.2">
      <c r="I18034" s="1125"/>
      <c r="J18034" s="1125"/>
    </row>
    <row r="18035" spans="9:10" x14ac:dyDescent="0.2">
      <c r="I18035" s="1125"/>
      <c r="J18035" s="1125"/>
    </row>
    <row r="18036" spans="9:10" x14ac:dyDescent="0.2">
      <c r="I18036" s="1125"/>
      <c r="J18036" s="1125"/>
    </row>
    <row r="18037" spans="9:10" x14ac:dyDescent="0.2">
      <c r="I18037" s="1125"/>
      <c r="J18037" s="1125"/>
    </row>
    <row r="18038" spans="9:10" x14ac:dyDescent="0.2">
      <c r="I18038" s="1125"/>
      <c r="J18038" s="1125"/>
    </row>
    <row r="18039" spans="9:10" x14ac:dyDescent="0.2">
      <c r="I18039" s="1125"/>
      <c r="J18039" s="1125"/>
    </row>
    <row r="18040" spans="9:10" x14ac:dyDescent="0.2">
      <c r="I18040" s="1125"/>
      <c r="J18040" s="1125"/>
    </row>
    <row r="18041" spans="9:10" x14ac:dyDescent="0.2">
      <c r="I18041" s="1125"/>
      <c r="J18041" s="1125"/>
    </row>
    <row r="18042" spans="9:10" x14ac:dyDescent="0.2">
      <c r="I18042" s="1125"/>
      <c r="J18042" s="1125"/>
    </row>
    <row r="18043" spans="9:10" x14ac:dyDescent="0.2">
      <c r="I18043" s="1125"/>
      <c r="J18043" s="1125"/>
    </row>
    <row r="18044" spans="9:10" x14ac:dyDescent="0.2">
      <c r="I18044" s="1125"/>
      <c r="J18044" s="1125"/>
    </row>
    <row r="18045" spans="9:10" x14ac:dyDescent="0.2">
      <c r="I18045" s="1125"/>
      <c r="J18045" s="1125"/>
    </row>
    <row r="18046" spans="9:10" x14ac:dyDescent="0.2">
      <c r="I18046" s="1125"/>
      <c r="J18046" s="1125"/>
    </row>
    <row r="18047" spans="9:10" x14ac:dyDescent="0.2">
      <c r="I18047" s="1125"/>
      <c r="J18047" s="1125"/>
    </row>
    <row r="18048" spans="9:10" x14ac:dyDescent="0.2">
      <c r="I18048" s="1125"/>
      <c r="J18048" s="1125"/>
    </row>
    <row r="18049" spans="9:10" x14ac:dyDescent="0.2">
      <c r="I18049" s="1125"/>
      <c r="J18049" s="1125"/>
    </row>
    <row r="18050" spans="9:10" x14ac:dyDescent="0.2">
      <c r="I18050" s="1125"/>
      <c r="J18050" s="1125"/>
    </row>
    <row r="18051" spans="9:10" x14ac:dyDescent="0.2">
      <c r="I18051" s="1125"/>
      <c r="J18051" s="1125"/>
    </row>
    <row r="18052" spans="9:10" x14ac:dyDescent="0.2">
      <c r="I18052" s="1125"/>
      <c r="J18052" s="1125"/>
    </row>
    <row r="18053" spans="9:10" x14ac:dyDescent="0.2">
      <c r="I18053" s="1125"/>
      <c r="J18053" s="1125"/>
    </row>
    <row r="18054" spans="9:10" x14ac:dyDescent="0.2">
      <c r="I18054" s="1125"/>
      <c r="J18054" s="1125"/>
    </row>
    <row r="18055" spans="9:10" x14ac:dyDescent="0.2">
      <c r="I18055" s="1125"/>
      <c r="J18055" s="1125"/>
    </row>
    <row r="18056" spans="9:10" x14ac:dyDescent="0.2">
      <c r="I18056" s="1125"/>
      <c r="J18056" s="1125"/>
    </row>
    <row r="18057" spans="9:10" x14ac:dyDescent="0.2">
      <c r="I18057" s="1125"/>
      <c r="J18057" s="1125"/>
    </row>
    <row r="18058" spans="9:10" x14ac:dyDescent="0.2">
      <c r="I18058" s="1125"/>
      <c r="J18058" s="1125"/>
    </row>
    <row r="18059" spans="9:10" x14ac:dyDescent="0.2">
      <c r="I18059" s="1125"/>
      <c r="J18059" s="1125"/>
    </row>
    <row r="18060" spans="9:10" x14ac:dyDescent="0.2">
      <c r="I18060" s="1125"/>
      <c r="J18060" s="1125"/>
    </row>
    <row r="18061" spans="9:10" x14ac:dyDescent="0.2">
      <c r="I18061" s="1125"/>
      <c r="J18061" s="1125"/>
    </row>
    <row r="18062" spans="9:10" x14ac:dyDescent="0.2">
      <c r="I18062" s="1125"/>
      <c r="J18062" s="1125"/>
    </row>
    <row r="18063" spans="9:10" x14ac:dyDescent="0.2">
      <c r="I18063" s="1125"/>
      <c r="J18063" s="1125"/>
    </row>
    <row r="18064" spans="9:10" x14ac:dyDescent="0.2">
      <c r="I18064" s="1125"/>
      <c r="J18064" s="1125"/>
    </row>
    <row r="18065" spans="9:10" x14ac:dyDescent="0.2">
      <c r="I18065" s="1125"/>
      <c r="J18065" s="1125"/>
    </row>
    <row r="18066" spans="9:10" x14ac:dyDescent="0.2">
      <c r="I18066" s="1125"/>
      <c r="J18066" s="1125"/>
    </row>
    <row r="18067" spans="9:10" x14ac:dyDescent="0.2">
      <c r="I18067" s="1125"/>
      <c r="J18067" s="1125"/>
    </row>
    <row r="18068" spans="9:10" x14ac:dyDescent="0.2">
      <c r="I18068" s="1125"/>
      <c r="J18068" s="1125"/>
    </row>
    <row r="18069" spans="9:10" x14ac:dyDescent="0.2">
      <c r="I18069" s="1125"/>
      <c r="J18069" s="1125"/>
    </row>
    <row r="18070" spans="9:10" x14ac:dyDescent="0.2">
      <c r="I18070" s="1125"/>
      <c r="J18070" s="1125"/>
    </row>
    <row r="18071" spans="9:10" x14ac:dyDescent="0.2">
      <c r="I18071" s="1125"/>
      <c r="J18071" s="1125"/>
    </row>
    <row r="18072" spans="9:10" x14ac:dyDescent="0.2">
      <c r="I18072" s="1125"/>
      <c r="J18072" s="1125"/>
    </row>
    <row r="18073" spans="9:10" x14ac:dyDescent="0.2">
      <c r="I18073" s="1125"/>
      <c r="J18073" s="1125"/>
    </row>
    <row r="18074" spans="9:10" x14ac:dyDescent="0.2">
      <c r="I18074" s="1125"/>
      <c r="J18074" s="1125"/>
    </row>
    <row r="18075" spans="9:10" x14ac:dyDescent="0.2">
      <c r="I18075" s="1125"/>
      <c r="J18075" s="1125"/>
    </row>
    <row r="18076" spans="9:10" x14ac:dyDescent="0.2">
      <c r="I18076" s="1125"/>
      <c r="J18076" s="1125"/>
    </row>
    <row r="18077" spans="9:10" x14ac:dyDescent="0.2">
      <c r="I18077" s="1125"/>
      <c r="J18077" s="1125"/>
    </row>
    <row r="18078" spans="9:10" x14ac:dyDescent="0.2">
      <c r="I18078" s="1125"/>
      <c r="J18078" s="1125"/>
    </row>
    <row r="18079" spans="9:10" x14ac:dyDescent="0.2">
      <c r="I18079" s="1125"/>
      <c r="J18079" s="1125"/>
    </row>
    <row r="18080" spans="9:10" x14ac:dyDescent="0.2">
      <c r="I18080" s="1125"/>
      <c r="J18080" s="1125"/>
    </row>
    <row r="18081" spans="9:10" x14ac:dyDescent="0.2">
      <c r="I18081" s="1125"/>
      <c r="J18081" s="1125"/>
    </row>
    <row r="18082" spans="9:10" x14ac:dyDescent="0.2">
      <c r="I18082" s="1125"/>
      <c r="J18082" s="1125"/>
    </row>
    <row r="18083" spans="9:10" x14ac:dyDescent="0.2">
      <c r="I18083" s="1125"/>
      <c r="J18083" s="1125"/>
    </row>
    <row r="18084" spans="9:10" x14ac:dyDescent="0.2">
      <c r="I18084" s="1125"/>
      <c r="J18084" s="1125"/>
    </row>
    <row r="18085" spans="9:10" x14ac:dyDescent="0.2">
      <c r="I18085" s="1125"/>
      <c r="J18085" s="1125"/>
    </row>
    <row r="18086" spans="9:10" x14ac:dyDescent="0.2">
      <c r="I18086" s="1125"/>
      <c r="J18086" s="1125"/>
    </row>
    <row r="18087" spans="9:10" x14ac:dyDescent="0.2">
      <c r="I18087" s="1125"/>
      <c r="J18087" s="1125"/>
    </row>
    <row r="18088" spans="9:10" x14ac:dyDescent="0.2">
      <c r="I18088" s="1125"/>
      <c r="J18088" s="1125"/>
    </row>
    <row r="18089" spans="9:10" x14ac:dyDescent="0.2">
      <c r="I18089" s="1125"/>
      <c r="J18089" s="1125"/>
    </row>
    <row r="18090" spans="9:10" x14ac:dyDescent="0.2">
      <c r="I18090" s="1125"/>
      <c r="J18090" s="1125"/>
    </row>
    <row r="18091" spans="9:10" x14ac:dyDescent="0.2">
      <c r="I18091" s="1125"/>
      <c r="J18091" s="1125"/>
    </row>
    <row r="18092" spans="9:10" x14ac:dyDescent="0.2">
      <c r="I18092" s="1125"/>
      <c r="J18092" s="1125"/>
    </row>
    <row r="18093" spans="9:10" x14ac:dyDescent="0.2">
      <c r="I18093" s="1125"/>
      <c r="J18093" s="1125"/>
    </row>
    <row r="18094" spans="9:10" x14ac:dyDescent="0.2">
      <c r="I18094" s="1125"/>
      <c r="J18094" s="1125"/>
    </row>
    <row r="18095" spans="9:10" x14ac:dyDescent="0.2">
      <c r="I18095" s="1125"/>
      <c r="J18095" s="1125"/>
    </row>
    <row r="18096" spans="9:10" x14ac:dyDescent="0.2">
      <c r="I18096" s="1125"/>
      <c r="J18096" s="1125"/>
    </row>
    <row r="18097" spans="9:10" x14ac:dyDescent="0.2">
      <c r="I18097" s="1125"/>
      <c r="J18097" s="1125"/>
    </row>
    <row r="18098" spans="9:10" x14ac:dyDescent="0.2">
      <c r="I18098" s="1125"/>
      <c r="J18098" s="1125"/>
    </row>
    <row r="18099" spans="9:10" x14ac:dyDescent="0.2">
      <c r="I18099" s="1125"/>
      <c r="J18099" s="1125"/>
    </row>
    <row r="18100" spans="9:10" x14ac:dyDescent="0.2">
      <c r="I18100" s="1125"/>
      <c r="J18100" s="1125"/>
    </row>
    <row r="18101" spans="9:10" x14ac:dyDescent="0.2">
      <c r="I18101" s="1125"/>
      <c r="J18101" s="1125"/>
    </row>
    <row r="18102" spans="9:10" x14ac:dyDescent="0.2">
      <c r="I18102" s="1125"/>
      <c r="J18102" s="1125"/>
    </row>
    <row r="18103" spans="9:10" x14ac:dyDescent="0.2">
      <c r="I18103" s="1125"/>
      <c r="J18103" s="1125"/>
    </row>
    <row r="18104" spans="9:10" x14ac:dyDescent="0.2">
      <c r="I18104" s="1125"/>
      <c r="J18104" s="1125"/>
    </row>
    <row r="18105" spans="9:10" x14ac:dyDescent="0.2">
      <c r="I18105" s="1125"/>
      <c r="J18105" s="1125"/>
    </row>
    <row r="18106" spans="9:10" x14ac:dyDescent="0.2">
      <c r="I18106" s="1125"/>
      <c r="J18106" s="1125"/>
    </row>
    <row r="18107" spans="9:10" x14ac:dyDescent="0.2">
      <c r="I18107" s="1125"/>
      <c r="J18107" s="1125"/>
    </row>
    <row r="18108" spans="9:10" x14ac:dyDescent="0.2">
      <c r="I18108" s="1125"/>
      <c r="J18108" s="1125"/>
    </row>
    <row r="18109" spans="9:10" x14ac:dyDescent="0.2">
      <c r="I18109" s="1125"/>
      <c r="J18109" s="1125"/>
    </row>
    <row r="18110" spans="9:10" x14ac:dyDescent="0.2">
      <c r="I18110" s="1125"/>
      <c r="J18110" s="1125"/>
    </row>
    <row r="18111" spans="9:10" x14ac:dyDescent="0.2">
      <c r="I18111" s="1125"/>
      <c r="J18111" s="1125"/>
    </row>
    <row r="18112" spans="9:10" x14ac:dyDescent="0.2">
      <c r="I18112" s="1125"/>
      <c r="J18112" s="1125"/>
    </row>
    <row r="18113" spans="9:10" x14ac:dyDescent="0.2">
      <c r="I18113" s="1125"/>
      <c r="J18113" s="1125"/>
    </row>
    <row r="18114" spans="9:10" x14ac:dyDescent="0.2">
      <c r="I18114" s="1125"/>
      <c r="J18114" s="1125"/>
    </row>
    <row r="18115" spans="9:10" x14ac:dyDescent="0.2">
      <c r="I18115" s="1125"/>
      <c r="J18115" s="1125"/>
    </row>
    <row r="18116" spans="9:10" x14ac:dyDescent="0.2">
      <c r="I18116" s="1125"/>
      <c r="J18116" s="1125"/>
    </row>
    <row r="18117" spans="9:10" x14ac:dyDescent="0.2">
      <c r="I18117" s="1125"/>
      <c r="J18117" s="1125"/>
    </row>
    <row r="18118" spans="9:10" x14ac:dyDescent="0.2">
      <c r="I18118" s="1125"/>
      <c r="J18118" s="1125"/>
    </row>
    <row r="18119" spans="9:10" x14ac:dyDescent="0.2">
      <c r="I18119" s="1125"/>
      <c r="J18119" s="1125"/>
    </row>
    <row r="18120" spans="9:10" x14ac:dyDescent="0.2">
      <c r="I18120" s="1125"/>
      <c r="J18120" s="1125"/>
    </row>
    <row r="18121" spans="9:10" x14ac:dyDescent="0.2">
      <c r="I18121" s="1125"/>
      <c r="J18121" s="1125"/>
    </row>
    <row r="18122" spans="9:10" x14ac:dyDescent="0.2">
      <c r="I18122" s="1125"/>
      <c r="J18122" s="1125"/>
    </row>
    <row r="18123" spans="9:10" x14ac:dyDescent="0.2">
      <c r="I18123" s="1125"/>
      <c r="J18123" s="1125"/>
    </row>
    <row r="18124" spans="9:10" x14ac:dyDescent="0.2">
      <c r="I18124" s="1125"/>
      <c r="J18124" s="1125"/>
    </row>
    <row r="18125" spans="9:10" x14ac:dyDescent="0.2">
      <c r="I18125" s="1125"/>
      <c r="J18125" s="1125"/>
    </row>
    <row r="18126" spans="9:10" x14ac:dyDescent="0.2">
      <c r="I18126" s="1125"/>
      <c r="J18126" s="1125"/>
    </row>
    <row r="18127" spans="9:10" x14ac:dyDescent="0.2">
      <c r="I18127" s="1125"/>
      <c r="J18127" s="1125"/>
    </row>
    <row r="18128" spans="9:10" x14ac:dyDescent="0.2">
      <c r="I18128" s="1125"/>
      <c r="J18128" s="1125"/>
    </row>
    <row r="18129" spans="9:10" x14ac:dyDescent="0.2">
      <c r="I18129" s="1125"/>
      <c r="J18129" s="1125"/>
    </row>
    <row r="18130" spans="9:10" x14ac:dyDescent="0.2">
      <c r="I18130" s="1125"/>
      <c r="J18130" s="1125"/>
    </row>
    <row r="18131" spans="9:10" x14ac:dyDescent="0.2">
      <c r="I18131" s="1125"/>
      <c r="J18131" s="1125"/>
    </row>
    <row r="18132" spans="9:10" x14ac:dyDescent="0.2">
      <c r="I18132" s="1125"/>
      <c r="J18132" s="1125"/>
    </row>
    <row r="18133" spans="9:10" x14ac:dyDescent="0.2">
      <c r="I18133" s="1125"/>
      <c r="J18133" s="1125"/>
    </row>
    <row r="18134" spans="9:10" x14ac:dyDescent="0.2">
      <c r="I18134" s="1125"/>
      <c r="J18134" s="1125"/>
    </row>
    <row r="18135" spans="9:10" x14ac:dyDescent="0.2">
      <c r="I18135" s="1125"/>
      <c r="J18135" s="1125"/>
    </row>
    <row r="18136" spans="9:10" x14ac:dyDescent="0.2">
      <c r="I18136" s="1125"/>
      <c r="J18136" s="1125"/>
    </row>
    <row r="18137" spans="9:10" x14ac:dyDescent="0.2">
      <c r="I18137" s="1125"/>
      <c r="J18137" s="1125"/>
    </row>
    <row r="18138" spans="9:10" x14ac:dyDescent="0.2">
      <c r="I18138" s="1125"/>
      <c r="J18138" s="1125"/>
    </row>
    <row r="18139" spans="9:10" x14ac:dyDescent="0.2">
      <c r="I18139" s="1125"/>
      <c r="J18139" s="1125"/>
    </row>
    <row r="18140" spans="9:10" x14ac:dyDescent="0.2">
      <c r="I18140" s="1125"/>
      <c r="J18140" s="1125"/>
    </row>
    <row r="18141" spans="9:10" x14ac:dyDescent="0.2">
      <c r="I18141" s="1125"/>
      <c r="J18141" s="1125"/>
    </row>
    <row r="18142" spans="9:10" x14ac:dyDescent="0.2">
      <c r="I18142" s="1125"/>
      <c r="J18142" s="1125"/>
    </row>
    <row r="18143" spans="9:10" x14ac:dyDescent="0.2">
      <c r="I18143" s="1125"/>
      <c r="J18143" s="1125"/>
    </row>
    <row r="18144" spans="9:10" x14ac:dyDescent="0.2">
      <c r="I18144" s="1125"/>
      <c r="J18144" s="1125"/>
    </row>
    <row r="18145" spans="9:10" x14ac:dyDescent="0.2">
      <c r="I18145" s="1125"/>
      <c r="J18145" s="1125"/>
    </row>
    <row r="18146" spans="9:10" x14ac:dyDescent="0.2">
      <c r="I18146" s="1125"/>
      <c r="J18146" s="1125"/>
    </row>
    <row r="18147" spans="9:10" x14ac:dyDescent="0.2">
      <c r="I18147" s="1125"/>
      <c r="J18147" s="1125"/>
    </row>
    <row r="18148" spans="9:10" x14ac:dyDescent="0.2">
      <c r="I18148" s="1125"/>
      <c r="J18148" s="1125"/>
    </row>
    <row r="18149" spans="9:10" x14ac:dyDescent="0.2">
      <c r="I18149" s="1125"/>
      <c r="J18149" s="1125"/>
    </row>
    <row r="18150" spans="9:10" x14ac:dyDescent="0.2">
      <c r="I18150" s="1125"/>
      <c r="J18150" s="1125"/>
    </row>
    <row r="18151" spans="9:10" x14ac:dyDescent="0.2">
      <c r="I18151" s="1125"/>
      <c r="J18151" s="1125"/>
    </row>
    <row r="18152" spans="9:10" x14ac:dyDescent="0.2">
      <c r="I18152" s="1125"/>
      <c r="J18152" s="1125"/>
    </row>
    <row r="18153" spans="9:10" x14ac:dyDescent="0.2">
      <c r="I18153" s="1125"/>
      <c r="J18153" s="1125"/>
    </row>
    <row r="18154" spans="9:10" x14ac:dyDescent="0.2">
      <c r="I18154" s="1125"/>
      <c r="J18154" s="1125"/>
    </row>
    <row r="18155" spans="9:10" x14ac:dyDescent="0.2">
      <c r="I18155" s="1125"/>
      <c r="J18155" s="1125"/>
    </row>
    <row r="18156" spans="9:10" x14ac:dyDescent="0.2">
      <c r="I18156" s="1125"/>
      <c r="J18156" s="1125"/>
    </row>
    <row r="18157" spans="9:10" x14ac:dyDescent="0.2">
      <c r="I18157" s="1125"/>
      <c r="J18157" s="1125"/>
    </row>
    <row r="18158" spans="9:10" x14ac:dyDescent="0.2">
      <c r="I18158" s="1125"/>
      <c r="J18158" s="1125"/>
    </row>
    <row r="18159" spans="9:10" x14ac:dyDescent="0.2">
      <c r="I18159" s="1125"/>
      <c r="J18159" s="1125"/>
    </row>
    <row r="18160" spans="9:10" x14ac:dyDescent="0.2">
      <c r="I18160" s="1125"/>
      <c r="J18160" s="1125"/>
    </row>
    <row r="18161" spans="9:10" x14ac:dyDescent="0.2">
      <c r="I18161" s="1125"/>
      <c r="J18161" s="1125"/>
    </row>
    <row r="18162" spans="9:10" x14ac:dyDescent="0.2">
      <c r="I18162" s="1125"/>
      <c r="J18162" s="1125"/>
    </row>
    <row r="18163" spans="9:10" x14ac:dyDescent="0.2">
      <c r="I18163" s="1125"/>
      <c r="J18163" s="1125"/>
    </row>
    <row r="18164" spans="9:10" x14ac:dyDescent="0.2">
      <c r="I18164" s="1125"/>
      <c r="J18164" s="1125"/>
    </row>
    <row r="18165" spans="9:10" x14ac:dyDescent="0.2">
      <c r="I18165" s="1125"/>
      <c r="J18165" s="1125"/>
    </row>
    <row r="18166" spans="9:10" x14ac:dyDescent="0.2">
      <c r="I18166" s="1125"/>
      <c r="J18166" s="1125"/>
    </row>
    <row r="18167" spans="9:10" x14ac:dyDescent="0.2">
      <c r="I18167" s="1125"/>
      <c r="J18167" s="1125"/>
    </row>
    <row r="18168" spans="9:10" x14ac:dyDescent="0.2">
      <c r="I18168" s="1125"/>
      <c r="J18168" s="1125"/>
    </row>
    <row r="18169" spans="9:10" x14ac:dyDescent="0.2">
      <c r="I18169" s="1125"/>
      <c r="J18169" s="1125"/>
    </row>
    <row r="18170" spans="9:10" x14ac:dyDescent="0.2">
      <c r="I18170" s="1125"/>
      <c r="J18170" s="1125"/>
    </row>
    <row r="18171" spans="9:10" x14ac:dyDescent="0.2">
      <c r="I18171" s="1125"/>
      <c r="J18171" s="1125"/>
    </row>
    <row r="18172" spans="9:10" x14ac:dyDescent="0.2">
      <c r="I18172" s="1125"/>
      <c r="J18172" s="1125"/>
    </row>
    <row r="18173" spans="9:10" x14ac:dyDescent="0.2">
      <c r="I18173" s="1125"/>
      <c r="J18173" s="1125"/>
    </row>
    <row r="18174" spans="9:10" x14ac:dyDescent="0.2">
      <c r="I18174" s="1125"/>
      <c r="J18174" s="1125"/>
    </row>
    <row r="18175" spans="9:10" x14ac:dyDescent="0.2">
      <c r="I18175" s="1125"/>
      <c r="J18175" s="1125"/>
    </row>
    <row r="18176" spans="9:10" x14ac:dyDescent="0.2">
      <c r="I18176" s="1125"/>
      <c r="J18176" s="1125"/>
    </row>
    <row r="18177" spans="9:10" x14ac:dyDescent="0.2">
      <c r="I18177" s="1125"/>
      <c r="J18177" s="1125"/>
    </row>
    <row r="18178" spans="9:10" x14ac:dyDescent="0.2">
      <c r="I18178" s="1125"/>
      <c r="J18178" s="1125"/>
    </row>
    <row r="18179" spans="9:10" x14ac:dyDescent="0.2">
      <c r="I18179" s="1125"/>
      <c r="J18179" s="1125"/>
    </row>
    <row r="18180" spans="9:10" x14ac:dyDescent="0.2">
      <c r="I18180" s="1125"/>
      <c r="J18180" s="1125"/>
    </row>
    <row r="18181" spans="9:10" x14ac:dyDescent="0.2">
      <c r="I18181" s="1125"/>
      <c r="J18181" s="1125"/>
    </row>
    <row r="18182" spans="9:10" x14ac:dyDescent="0.2">
      <c r="I18182" s="1125"/>
      <c r="J18182" s="1125"/>
    </row>
    <row r="18183" spans="9:10" x14ac:dyDescent="0.2">
      <c r="I18183" s="1125"/>
      <c r="J18183" s="1125"/>
    </row>
    <row r="18184" spans="9:10" x14ac:dyDescent="0.2">
      <c r="I18184" s="1125"/>
      <c r="J18184" s="1125"/>
    </row>
    <row r="18185" spans="9:10" x14ac:dyDescent="0.2">
      <c r="I18185" s="1125"/>
      <c r="J18185" s="1125"/>
    </row>
    <row r="18186" spans="9:10" x14ac:dyDescent="0.2">
      <c r="I18186" s="1125"/>
      <c r="J18186" s="1125"/>
    </row>
    <row r="18187" spans="9:10" x14ac:dyDescent="0.2">
      <c r="I18187" s="1125"/>
      <c r="J18187" s="1125"/>
    </row>
    <row r="18188" spans="9:10" x14ac:dyDescent="0.2">
      <c r="I18188" s="1125"/>
      <c r="J18188" s="1125"/>
    </row>
    <row r="18189" spans="9:10" x14ac:dyDescent="0.2">
      <c r="I18189" s="1125"/>
      <c r="J18189" s="1125"/>
    </row>
    <row r="18190" spans="9:10" x14ac:dyDescent="0.2">
      <c r="I18190" s="1125"/>
      <c r="J18190" s="1125"/>
    </row>
    <row r="18191" spans="9:10" x14ac:dyDescent="0.2">
      <c r="I18191" s="1125"/>
      <c r="J18191" s="1125"/>
    </row>
    <row r="18192" spans="9:10" x14ac:dyDescent="0.2">
      <c r="I18192" s="1125"/>
      <c r="J18192" s="1125"/>
    </row>
    <row r="18193" spans="9:10" x14ac:dyDescent="0.2">
      <c r="I18193" s="1125"/>
      <c r="J18193" s="1125"/>
    </row>
    <row r="18194" spans="9:10" x14ac:dyDescent="0.2">
      <c r="I18194" s="1125"/>
      <c r="J18194" s="1125"/>
    </row>
    <row r="18195" spans="9:10" x14ac:dyDescent="0.2">
      <c r="I18195" s="1125"/>
      <c r="J18195" s="1125"/>
    </row>
    <row r="18196" spans="9:10" x14ac:dyDescent="0.2">
      <c r="I18196" s="1125"/>
      <c r="J18196" s="1125"/>
    </row>
    <row r="18197" spans="9:10" x14ac:dyDescent="0.2">
      <c r="I18197" s="1125"/>
      <c r="J18197" s="1125"/>
    </row>
    <row r="18198" spans="9:10" x14ac:dyDescent="0.2">
      <c r="I18198" s="1125"/>
      <c r="J18198" s="1125"/>
    </row>
    <row r="18199" spans="9:10" x14ac:dyDescent="0.2">
      <c r="I18199" s="1125"/>
      <c r="J18199" s="1125"/>
    </row>
    <row r="18200" spans="9:10" x14ac:dyDescent="0.2">
      <c r="I18200" s="1125"/>
      <c r="J18200" s="1125"/>
    </row>
    <row r="18201" spans="9:10" x14ac:dyDescent="0.2">
      <c r="I18201" s="1125"/>
      <c r="J18201" s="1125"/>
    </row>
    <row r="18202" spans="9:10" x14ac:dyDescent="0.2">
      <c r="I18202" s="1125"/>
      <c r="J18202" s="1125"/>
    </row>
    <row r="18203" spans="9:10" x14ac:dyDescent="0.2">
      <c r="I18203" s="1125"/>
      <c r="J18203" s="1125"/>
    </row>
    <row r="18204" spans="9:10" x14ac:dyDescent="0.2">
      <c r="I18204" s="1125"/>
      <c r="J18204" s="1125"/>
    </row>
    <row r="18205" spans="9:10" x14ac:dyDescent="0.2">
      <c r="I18205" s="1125"/>
      <c r="J18205" s="1125"/>
    </row>
    <row r="18206" spans="9:10" x14ac:dyDescent="0.2">
      <c r="I18206" s="1125"/>
      <c r="J18206" s="1125"/>
    </row>
    <row r="18207" spans="9:10" x14ac:dyDescent="0.2">
      <c r="I18207" s="1125"/>
      <c r="J18207" s="1125"/>
    </row>
    <row r="18208" spans="9:10" x14ac:dyDescent="0.2">
      <c r="I18208" s="1125"/>
      <c r="J18208" s="1125"/>
    </row>
    <row r="18209" spans="9:10" x14ac:dyDescent="0.2">
      <c r="I18209" s="1125"/>
      <c r="J18209" s="1125"/>
    </row>
    <row r="18210" spans="9:10" x14ac:dyDescent="0.2">
      <c r="I18210" s="1125"/>
      <c r="J18210" s="1125"/>
    </row>
    <row r="18211" spans="9:10" x14ac:dyDescent="0.2">
      <c r="I18211" s="1125"/>
      <c r="J18211" s="1125"/>
    </row>
    <row r="18212" spans="9:10" x14ac:dyDescent="0.2">
      <c r="I18212" s="1125"/>
      <c r="J18212" s="1125"/>
    </row>
    <row r="18213" spans="9:10" x14ac:dyDescent="0.2">
      <c r="I18213" s="1125"/>
      <c r="J18213" s="1125"/>
    </row>
    <row r="18214" spans="9:10" x14ac:dyDescent="0.2">
      <c r="I18214" s="1125"/>
      <c r="J18214" s="1125"/>
    </row>
    <row r="18215" spans="9:10" x14ac:dyDescent="0.2">
      <c r="I18215" s="1125"/>
      <c r="J18215" s="1125"/>
    </row>
    <row r="18216" spans="9:10" x14ac:dyDescent="0.2">
      <c r="I18216" s="1125"/>
      <c r="J18216" s="1125"/>
    </row>
    <row r="18217" spans="9:10" x14ac:dyDescent="0.2">
      <c r="I18217" s="1125"/>
      <c r="J18217" s="1125"/>
    </row>
    <row r="18218" spans="9:10" x14ac:dyDescent="0.2">
      <c r="I18218" s="1125"/>
      <c r="J18218" s="1125"/>
    </row>
    <row r="18219" spans="9:10" x14ac:dyDescent="0.2">
      <c r="I18219" s="1125"/>
      <c r="J18219" s="1125"/>
    </row>
    <row r="18220" spans="9:10" x14ac:dyDescent="0.2">
      <c r="I18220" s="1125"/>
      <c r="J18220" s="1125"/>
    </row>
    <row r="18221" spans="9:10" x14ac:dyDescent="0.2">
      <c r="I18221" s="1125"/>
      <c r="J18221" s="1125"/>
    </row>
    <row r="18222" spans="9:10" x14ac:dyDescent="0.2">
      <c r="I18222" s="1125"/>
      <c r="J18222" s="1125"/>
    </row>
    <row r="18223" spans="9:10" x14ac:dyDescent="0.2">
      <c r="I18223" s="1125"/>
      <c r="J18223" s="1125"/>
    </row>
    <row r="18224" spans="9:10" x14ac:dyDescent="0.2">
      <c r="I18224" s="1125"/>
      <c r="J18224" s="1125"/>
    </row>
    <row r="18225" spans="9:10" x14ac:dyDescent="0.2">
      <c r="I18225" s="1125"/>
      <c r="J18225" s="1125"/>
    </row>
    <row r="18226" spans="9:10" x14ac:dyDescent="0.2">
      <c r="I18226" s="1125"/>
      <c r="J18226" s="1125"/>
    </row>
    <row r="18227" spans="9:10" x14ac:dyDescent="0.2">
      <c r="I18227" s="1125"/>
      <c r="J18227" s="1125"/>
    </row>
    <row r="18228" spans="9:10" x14ac:dyDescent="0.2">
      <c r="I18228" s="1125"/>
      <c r="J18228" s="1125"/>
    </row>
    <row r="18229" spans="9:10" x14ac:dyDescent="0.2">
      <c r="I18229" s="1125"/>
      <c r="J18229" s="1125"/>
    </row>
    <row r="18230" spans="9:10" x14ac:dyDescent="0.2">
      <c r="I18230" s="1125"/>
      <c r="J18230" s="1125"/>
    </row>
    <row r="18231" spans="9:10" x14ac:dyDescent="0.2">
      <c r="I18231" s="1125"/>
      <c r="J18231" s="1125"/>
    </row>
    <row r="18232" spans="9:10" x14ac:dyDescent="0.2">
      <c r="I18232" s="1125"/>
      <c r="J18232" s="1125"/>
    </row>
    <row r="18233" spans="9:10" x14ac:dyDescent="0.2">
      <c r="I18233" s="1125"/>
      <c r="J18233" s="1125"/>
    </row>
    <row r="18234" spans="9:10" x14ac:dyDescent="0.2">
      <c r="I18234" s="1125"/>
      <c r="J18234" s="1125"/>
    </row>
    <row r="18235" spans="9:10" x14ac:dyDescent="0.2">
      <c r="I18235" s="1125"/>
      <c r="J18235" s="1125"/>
    </row>
    <row r="18236" spans="9:10" x14ac:dyDescent="0.2">
      <c r="I18236" s="1125"/>
      <c r="J18236" s="1125"/>
    </row>
    <row r="18237" spans="9:10" x14ac:dyDescent="0.2">
      <c r="I18237" s="1125"/>
      <c r="J18237" s="1125"/>
    </row>
    <row r="18238" spans="9:10" x14ac:dyDescent="0.2">
      <c r="I18238" s="1125"/>
      <c r="J18238" s="1125"/>
    </row>
    <row r="18239" spans="9:10" x14ac:dyDescent="0.2">
      <c r="I18239" s="1125"/>
      <c r="J18239" s="1125"/>
    </row>
    <row r="18240" spans="9:10" x14ac:dyDescent="0.2">
      <c r="I18240" s="1125"/>
      <c r="J18240" s="1125"/>
    </row>
    <row r="18241" spans="9:10" x14ac:dyDescent="0.2">
      <c r="I18241" s="1125"/>
      <c r="J18241" s="1125"/>
    </row>
    <row r="18242" spans="9:10" x14ac:dyDescent="0.2">
      <c r="I18242" s="1125"/>
      <c r="J18242" s="1125"/>
    </row>
    <row r="18243" spans="9:10" x14ac:dyDescent="0.2">
      <c r="I18243" s="1125"/>
      <c r="J18243" s="1125"/>
    </row>
    <row r="18244" spans="9:10" x14ac:dyDescent="0.2">
      <c r="I18244" s="1125"/>
      <c r="J18244" s="1125"/>
    </row>
    <row r="18245" spans="9:10" x14ac:dyDescent="0.2">
      <c r="I18245" s="1125"/>
      <c r="J18245" s="1125"/>
    </row>
    <row r="18246" spans="9:10" x14ac:dyDescent="0.2">
      <c r="I18246" s="1125"/>
      <c r="J18246" s="1125"/>
    </row>
    <row r="18247" spans="9:10" x14ac:dyDescent="0.2">
      <c r="I18247" s="1125"/>
      <c r="J18247" s="1125"/>
    </row>
    <row r="18248" spans="9:10" x14ac:dyDescent="0.2">
      <c r="I18248" s="1125"/>
      <c r="J18248" s="1125"/>
    </row>
    <row r="18249" spans="9:10" x14ac:dyDescent="0.2">
      <c r="I18249" s="1125"/>
      <c r="J18249" s="1125"/>
    </row>
    <row r="18250" spans="9:10" x14ac:dyDescent="0.2">
      <c r="I18250" s="1125"/>
      <c r="J18250" s="1125"/>
    </row>
    <row r="18251" spans="9:10" x14ac:dyDescent="0.2">
      <c r="I18251" s="1125"/>
      <c r="J18251" s="1125"/>
    </row>
    <row r="18252" spans="9:10" x14ac:dyDescent="0.2">
      <c r="I18252" s="1125"/>
      <c r="J18252" s="1125"/>
    </row>
    <row r="18253" spans="9:10" x14ac:dyDescent="0.2">
      <c r="I18253" s="1125"/>
      <c r="J18253" s="1125"/>
    </row>
    <row r="18254" spans="9:10" x14ac:dyDescent="0.2">
      <c r="I18254" s="1125"/>
      <c r="J18254" s="1125"/>
    </row>
    <row r="18255" spans="9:10" x14ac:dyDescent="0.2">
      <c r="I18255" s="1125"/>
      <c r="J18255" s="1125"/>
    </row>
    <row r="18256" spans="9:10" x14ac:dyDescent="0.2">
      <c r="I18256" s="1125"/>
      <c r="J18256" s="1125"/>
    </row>
    <row r="18257" spans="9:10" x14ac:dyDescent="0.2">
      <c r="I18257" s="1125"/>
      <c r="J18257" s="1125"/>
    </row>
    <row r="18258" spans="9:10" x14ac:dyDescent="0.2">
      <c r="I18258" s="1125"/>
      <c r="J18258" s="1125"/>
    </row>
    <row r="18259" spans="9:10" x14ac:dyDescent="0.2">
      <c r="I18259" s="1125"/>
      <c r="J18259" s="1125"/>
    </row>
    <row r="18260" spans="9:10" x14ac:dyDescent="0.2">
      <c r="I18260" s="1125"/>
      <c r="J18260" s="1125"/>
    </row>
    <row r="18261" spans="9:10" x14ac:dyDescent="0.2">
      <c r="I18261" s="1125"/>
      <c r="J18261" s="1125"/>
    </row>
    <row r="18262" spans="9:10" x14ac:dyDescent="0.2">
      <c r="I18262" s="1125"/>
      <c r="J18262" s="1125"/>
    </row>
    <row r="18263" spans="9:10" x14ac:dyDescent="0.2">
      <c r="I18263" s="1125"/>
      <c r="J18263" s="1125"/>
    </row>
    <row r="18264" spans="9:10" x14ac:dyDescent="0.2">
      <c r="I18264" s="1125"/>
      <c r="J18264" s="1125"/>
    </row>
    <row r="18265" spans="9:10" x14ac:dyDescent="0.2">
      <c r="I18265" s="1125"/>
      <c r="J18265" s="1125"/>
    </row>
    <row r="18266" spans="9:10" x14ac:dyDescent="0.2">
      <c r="I18266" s="1125"/>
      <c r="J18266" s="1125"/>
    </row>
    <row r="18267" spans="9:10" x14ac:dyDescent="0.2">
      <c r="I18267" s="1125"/>
      <c r="J18267" s="1125"/>
    </row>
    <row r="18268" spans="9:10" x14ac:dyDescent="0.2">
      <c r="I18268" s="1125"/>
      <c r="J18268" s="1125"/>
    </row>
    <row r="18269" spans="9:10" x14ac:dyDescent="0.2">
      <c r="I18269" s="1125"/>
      <c r="J18269" s="1125"/>
    </row>
    <row r="18270" spans="9:10" x14ac:dyDescent="0.2">
      <c r="I18270" s="1125"/>
      <c r="J18270" s="1125"/>
    </row>
    <row r="18271" spans="9:10" x14ac:dyDescent="0.2">
      <c r="I18271" s="1125"/>
      <c r="J18271" s="1125"/>
    </row>
    <row r="18272" spans="9:10" x14ac:dyDescent="0.2">
      <c r="I18272" s="1125"/>
      <c r="J18272" s="1125"/>
    </row>
    <row r="18273" spans="9:10" x14ac:dyDescent="0.2">
      <c r="I18273" s="1125"/>
      <c r="J18273" s="1125"/>
    </row>
    <row r="18274" spans="9:10" x14ac:dyDescent="0.2">
      <c r="I18274" s="1125"/>
      <c r="J18274" s="1125"/>
    </row>
    <row r="18275" spans="9:10" x14ac:dyDescent="0.2">
      <c r="I18275" s="1125"/>
      <c r="J18275" s="1125"/>
    </row>
    <row r="18276" spans="9:10" x14ac:dyDescent="0.2">
      <c r="I18276" s="1125"/>
      <c r="J18276" s="1125"/>
    </row>
    <row r="18277" spans="9:10" x14ac:dyDescent="0.2">
      <c r="I18277" s="1125"/>
      <c r="J18277" s="1125"/>
    </row>
    <row r="18278" spans="9:10" x14ac:dyDescent="0.2">
      <c r="I18278" s="1125"/>
      <c r="J18278" s="1125"/>
    </row>
    <row r="18279" spans="9:10" x14ac:dyDescent="0.2">
      <c r="I18279" s="1125"/>
      <c r="J18279" s="1125"/>
    </row>
    <row r="18280" spans="9:10" x14ac:dyDescent="0.2">
      <c r="I18280" s="1125"/>
      <c r="J18280" s="1125"/>
    </row>
    <row r="18281" spans="9:10" x14ac:dyDescent="0.2">
      <c r="I18281" s="1125"/>
      <c r="J18281" s="1125"/>
    </row>
    <row r="18282" spans="9:10" x14ac:dyDescent="0.2">
      <c r="I18282" s="1125"/>
      <c r="J18282" s="1125"/>
    </row>
    <row r="18283" spans="9:10" x14ac:dyDescent="0.2">
      <c r="I18283" s="1125"/>
      <c r="J18283" s="1125"/>
    </row>
    <row r="18284" spans="9:10" x14ac:dyDescent="0.2">
      <c r="I18284" s="1125"/>
      <c r="J18284" s="1125"/>
    </row>
    <row r="18285" spans="9:10" x14ac:dyDescent="0.2">
      <c r="I18285" s="1125"/>
      <c r="J18285" s="1125"/>
    </row>
    <row r="18286" spans="9:10" x14ac:dyDescent="0.2">
      <c r="I18286" s="1125"/>
      <c r="J18286" s="1125"/>
    </row>
    <row r="18287" spans="9:10" x14ac:dyDescent="0.2">
      <c r="I18287" s="1125"/>
      <c r="J18287" s="1125"/>
    </row>
    <row r="18288" spans="9:10" x14ac:dyDescent="0.2">
      <c r="I18288" s="1125"/>
      <c r="J18288" s="1125"/>
    </row>
    <row r="18289" spans="9:10" x14ac:dyDescent="0.2">
      <c r="I18289" s="1125"/>
      <c r="J18289" s="1125"/>
    </row>
    <row r="18290" spans="9:10" x14ac:dyDescent="0.2">
      <c r="I18290" s="1125"/>
      <c r="J18290" s="1125"/>
    </row>
    <row r="18291" spans="9:10" x14ac:dyDescent="0.2">
      <c r="I18291" s="1125"/>
      <c r="J18291" s="1125"/>
    </row>
    <row r="18292" spans="9:10" x14ac:dyDescent="0.2">
      <c r="I18292" s="1125"/>
      <c r="J18292" s="1125"/>
    </row>
    <row r="18293" spans="9:10" x14ac:dyDescent="0.2">
      <c r="I18293" s="1125"/>
      <c r="J18293" s="1125"/>
    </row>
    <row r="18294" spans="9:10" x14ac:dyDescent="0.2">
      <c r="I18294" s="1125"/>
      <c r="J18294" s="1125"/>
    </row>
    <row r="18295" spans="9:10" x14ac:dyDescent="0.2">
      <c r="I18295" s="1125"/>
      <c r="J18295" s="1125"/>
    </row>
    <row r="18296" spans="9:10" x14ac:dyDescent="0.2">
      <c r="I18296" s="1125"/>
      <c r="J18296" s="1125"/>
    </row>
    <row r="18297" spans="9:10" x14ac:dyDescent="0.2">
      <c r="I18297" s="1125"/>
      <c r="J18297" s="1125"/>
    </row>
    <row r="18298" spans="9:10" x14ac:dyDescent="0.2">
      <c r="I18298" s="1125"/>
      <c r="J18298" s="1125"/>
    </row>
    <row r="18299" spans="9:10" x14ac:dyDescent="0.2">
      <c r="I18299" s="1125"/>
      <c r="J18299" s="1125"/>
    </row>
    <row r="18300" spans="9:10" x14ac:dyDescent="0.2">
      <c r="I18300" s="1125"/>
      <c r="J18300" s="1125"/>
    </row>
    <row r="18301" spans="9:10" x14ac:dyDescent="0.2">
      <c r="I18301" s="1125"/>
      <c r="J18301" s="1125"/>
    </row>
    <row r="18302" spans="9:10" x14ac:dyDescent="0.2">
      <c r="I18302" s="1125"/>
      <c r="J18302" s="1125"/>
    </row>
    <row r="18303" spans="9:10" x14ac:dyDescent="0.2">
      <c r="I18303" s="1125"/>
      <c r="J18303" s="1125"/>
    </row>
    <row r="18304" spans="9:10" x14ac:dyDescent="0.2">
      <c r="I18304" s="1125"/>
      <c r="J18304" s="1125"/>
    </row>
    <row r="18305" spans="9:10" x14ac:dyDescent="0.2">
      <c r="I18305" s="1125"/>
      <c r="J18305" s="1125"/>
    </row>
    <row r="18306" spans="9:10" x14ac:dyDescent="0.2">
      <c r="I18306" s="1125"/>
      <c r="J18306" s="1125"/>
    </row>
    <row r="18307" spans="9:10" x14ac:dyDescent="0.2">
      <c r="I18307" s="1125"/>
      <c r="J18307" s="1125"/>
    </row>
    <row r="18308" spans="9:10" x14ac:dyDescent="0.2">
      <c r="I18308" s="1125"/>
      <c r="J18308" s="1125"/>
    </row>
    <row r="18309" spans="9:10" x14ac:dyDescent="0.2">
      <c r="I18309" s="1125"/>
      <c r="J18309" s="1125"/>
    </row>
    <row r="18310" spans="9:10" x14ac:dyDescent="0.2">
      <c r="I18310" s="1125"/>
      <c r="J18310" s="1125"/>
    </row>
    <row r="18311" spans="9:10" x14ac:dyDescent="0.2">
      <c r="I18311" s="1125"/>
      <c r="J18311" s="1125"/>
    </row>
    <row r="18312" spans="9:10" x14ac:dyDescent="0.2">
      <c r="I18312" s="1125"/>
      <c r="J18312" s="1125"/>
    </row>
    <row r="18313" spans="9:10" x14ac:dyDescent="0.2">
      <c r="I18313" s="1125"/>
      <c r="J18313" s="1125"/>
    </row>
    <row r="18314" spans="9:10" x14ac:dyDescent="0.2">
      <c r="I18314" s="1125"/>
      <c r="J18314" s="1125"/>
    </row>
    <row r="18315" spans="9:10" x14ac:dyDescent="0.2">
      <c r="I18315" s="1125"/>
      <c r="J18315" s="1125"/>
    </row>
    <row r="18316" spans="9:10" x14ac:dyDescent="0.2">
      <c r="I18316" s="1125"/>
      <c r="J18316" s="1125"/>
    </row>
    <row r="18317" spans="9:10" x14ac:dyDescent="0.2">
      <c r="I18317" s="1125"/>
      <c r="J18317" s="1125"/>
    </row>
    <row r="18318" spans="9:10" x14ac:dyDescent="0.2">
      <c r="I18318" s="1125"/>
      <c r="J18318" s="1125"/>
    </row>
    <row r="18319" spans="9:10" x14ac:dyDescent="0.2">
      <c r="I18319" s="1125"/>
      <c r="J18319" s="1125"/>
    </row>
    <row r="18320" spans="9:10" x14ac:dyDescent="0.2">
      <c r="I18320" s="1125"/>
      <c r="J18320" s="1125"/>
    </row>
    <row r="18321" spans="9:10" x14ac:dyDescent="0.2">
      <c r="I18321" s="1125"/>
      <c r="J18321" s="1125"/>
    </row>
    <row r="18322" spans="9:10" x14ac:dyDescent="0.2">
      <c r="I18322" s="1125"/>
      <c r="J18322" s="1125"/>
    </row>
    <row r="18323" spans="9:10" x14ac:dyDescent="0.2">
      <c r="I18323" s="1125"/>
      <c r="J18323" s="1125"/>
    </row>
    <row r="18324" spans="9:10" x14ac:dyDescent="0.2">
      <c r="I18324" s="1125"/>
      <c r="J18324" s="1125"/>
    </row>
    <row r="18325" spans="9:10" x14ac:dyDescent="0.2">
      <c r="I18325" s="1125"/>
      <c r="J18325" s="1125"/>
    </row>
    <row r="18326" spans="9:10" x14ac:dyDescent="0.2">
      <c r="I18326" s="1125"/>
      <c r="J18326" s="1125"/>
    </row>
    <row r="18327" spans="9:10" x14ac:dyDescent="0.2">
      <c r="I18327" s="1125"/>
      <c r="J18327" s="1125"/>
    </row>
    <row r="18328" spans="9:10" x14ac:dyDescent="0.2">
      <c r="I18328" s="1125"/>
      <c r="J18328" s="1125"/>
    </row>
    <row r="18329" spans="9:10" x14ac:dyDescent="0.2">
      <c r="I18329" s="1125"/>
      <c r="J18329" s="1125"/>
    </row>
    <row r="18330" spans="9:10" x14ac:dyDescent="0.2">
      <c r="I18330" s="1125"/>
      <c r="J18330" s="1125"/>
    </row>
    <row r="18331" spans="9:10" x14ac:dyDescent="0.2">
      <c r="I18331" s="1125"/>
      <c r="J18331" s="1125"/>
    </row>
    <row r="18332" spans="9:10" x14ac:dyDescent="0.2">
      <c r="I18332" s="1125"/>
      <c r="J18332" s="1125"/>
    </row>
    <row r="18333" spans="9:10" x14ac:dyDescent="0.2">
      <c r="I18333" s="1125"/>
      <c r="J18333" s="1125"/>
    </row>
    <row r="18334" spans="9:10" x14ac:dyDescent="0.2">
      <c r="I18334" s="1125"/>
      <c r="J18334" s="1125"/>
    </row>
    <row r="18335" spans="9:10" x14ac:dyDescent="0.2">
      <c r="I18335" s="1125"/>
      <c r="J18335" s="1125"/>
    </row>
    <row r="18336" spans="9:10" x14ac:dyDescent="0.2">
      <c r="I18336" s="1125"/>
      <c r="J18336" s="1125"/>
    </row>
    <row r="18337" spans="9:10" x14ac:dyDescent="0.2">
      <c r="I18337" s="1125"/>
      <c r="J18337" s="1125"/>
    </row>
    <row r="18338" spans="9:10" x14ac:dyDescent="0.2">
      <c r="I18338" s="1125"/>
      <c r="J18338" s="1125"/>
    </row>
    <row r="18339" spans="9:10" x14ac:dyDescent="0.2">
      <c r="I18339" s="1125"/>
      <c r="J18339" s="1125"/>
    </row>
    <row r="18340" spans="9:10" x14ac:dyDescent="0.2">
      <c r="I18340" s="1125"/>
      <c r="J18340" s="1125"/>
    </row>
    <row r="18341" spans="9:10" x14ac:dyDescent="0.2">
      <c r="I18341" s="1125"/>
      <c r="J18341" s="1125"/>
    </row>
    <row r="18342" spans="9:10" x14ac:dyDescent="0.2">
      <c r="I18342" s="1125"/>
      <c r="J18342" s="1125"/>
    </row>
    <row r="18343" spans="9:10" x14ac:dyDescent="0.2">
      <c r="I18343" s="1125"/>
      <c r="J18343" s="1125"/>
    </row>
    <row r="18344" spans="9:10" x14ac:dyDescent="0.2">
      <c r="I18344" s="1125"/>
      <c r="J18344" s="1125"/>
    </row>
    <row r="18345" spans="9:10" x14ac:dyDescent="0.2">
      <c r="I18345" s="1125"/>
      <c r="J18345" s="1125"/>
    </row>
    <row r="18346" spans="9:10" x14ac:dyDescent="0.2">
      <c r="I18346" s="1125"/>
      <c r="J18346" s="1125"/>
    </row>
    <row r="18347" spans="9:10" x14ac:dyDescent="0.2">
      <c r="I18347" s="1125"/>
      <c r="J18347" s="1125"/>
    </row>
    <row r="18348" spans="9:10" x14ac:dyDescent="0.2">
      <c r="I18348" s="1125"/>
      <c r="J18348" s="1125"/>
    </row>
    <row r="18349" spans="9:10" x14ac:dyDescent="0.2">
      <c r="I18349" s="1125"/>
      <c r="J18349" s="1125"/>
    </row>
    <row r="18350" spans="9:10" x14ac:dyDescent="0.2">
      <c r="I18350" s="1125"/>
      <c r="J18350" s="1125"/>
    </row>
    <row r="18351" spans="9:10" x14ac:dyDescent="0.2">
      <c r="I18351" s="1125"/>
      <c r="J18351" s="1125"/>
    </row>
    <row r="18352" spans="9:10" x14ac:dyDescent="0.2">
      <c r="I18352" s="1125"/>
      <c r="J18352" s="1125"/>
    </row>
    <row r="18353" spans="9:10" x14ac:dyDescent="0.2">
      <c r="I18353" s="1125"/>
      <c r="J18353" s="1125"/>
    </row>
    <row r="18354" spans="9:10" x14ac:dyDescent="0.2">
      <c r="I18354" s="1125"/>
      <c r="J18354" s="1125"/>
    </row>
    <row r="18355" spans="9:10" x14ac:dyDescent="0.2">
      <c r="I18355" s="1125"/>
      <c r="J18355" s="1125"/>
    </row>
    <row r="18356" spans="9:10" x14ac:dyDescent="0.2">
      <c r="I18356" s="1125"/>
      <c r="J18356" s="1125"/>
    </row>
    <row r="18357" spans="9:10" x14ac:dyDescent="0.2">
      <c r="I18357" s="1125"/>
      <c r="J18357" s="1125"/>
    </row>
    <row r="18358" spans="9:10" x14ac:dyDescent="0.2">
      <c r="I18358" s="1125"/>
      <c r="J18358" s="1125"/>
    </row>
    <row r="18359" spans="9:10" x14ac:dyDescent="0.2">
      <c r="I18359" s="1125"/>
      <c r="J18359" s="1125"/>
    </row>
    <row r="18360" spans="9:10" x14ac:dyDescent="0.2">
      <c r="I18360" s="1125"/>
      <c r="J18360" s="1125"/>
    </row>
    <row r="18361" spans="9:10" x14ac:dyDescent="0.2">
      <c r="I18361" s="1125"/>
      <c r="J18361" s="1125"/>
    </row>
    <row r="18362" spans="9:10" x14ac:dyDescent="0.2">
      <c r="I18362" s="1125"/>
      <c r="J18362" s="1125"/>
    </row>
    <row r="18363" spans="9:10" x14ac:dyDescent="0.2">
      <c r="I18363" s="1125"/>
      <c r="J18363" s="1125"/>
    </row>
    <row r="18364" spans="9:10" x14ac:dyDescent="0.2">
      <c r="I18364" s="1125"/>
      <c r="J18364" s="1125"/>
    </row>
    <row r="18365" spans="9:10" x14ac:dyDescent="0.2">
      <c r="I18365" s="1125"/>
      <c r="J18365" s="1125"/>
    </row>
    <row r="18366" spans="9:10" x14ac:dyDescent="0.2">
      <c r="I18366" s="1125"/>
      <c r="J18366" s="1125"/>
    </row>
    <row r="18367" spans="9:10" x14ac:dyDescent="0.2">
      <c r="I18367" s="1125"/>
      <c r="J18367" s="1125"/>
    </row>
    <row r="18368" spans="9:10" x14ac:dyDescent="0.2">
      <c r="I18368" s="1125"/>
      <c r="J18368" s="1125"/>
    </row>
    <row r="18369" spans="9:10" x14ac:dyDescent="0.2">
      <c r="I18369" s="1125"/>
      <c r="J18369" s="1125"/>
    </row>
    <row r="18370" spans="9:10" x14ac:dyDescent="0.2">
      <c r="I18370" s="1125"/>
      <c r="J18370" s="1125"/>
    </row>
    <row r="18371" spans="9:10" x14ac:dyDescent="0.2">
      <c r="I18371" s="1125"/>
      <c r="J18371" s="1125"/>
    </row>
    <row r="18372" spans="9:10" x14ac:dyDescent="0.2">
      <c r="I18372" s="1125"/>
      <c r="J18372" s="1125"/>
    </row>
    <row r="18373" spans="9:10" x14ac:dyDescent="0.2">
      <c r="I18373" s="1125"/>
      <c r="J18373" s="1125"/>
    </row>
    <row r="18374" spans="9:10" x14ac:dyDescent="0.2">
      <c r="I18374" s="1125"/>
      <c r="J18374" s="1125"/>
    </row>
    <row r="18375" spans="9:10" x14ac:dyDescent="0.2">
      <c r="I18375" s="1125"/>
      <c r="J18375" s="1125"/>
    </row>
    <row r="18376" spans="9:10" x14ac:dyDescent="0.2">
      <c r="I18376" s="1125"/>
      <c r="J18376" s="1125"/>
    </row>
    <row r="18377" spans="9:10" x14ac:dyDescent="0.2">
      <c r="I18377" s="1125"/>
      <c r="J18377" s="1125"/>
    </row>
    <row r="18378" spans="9:10" x14ac:dyDescent="0.2">
      <c r="I18378" s="1125"/>
      <c r="J18378" s="1125"/>
    </row>
    <row r="18379" spans="9:10" x14ac:dyDescent="0.2">
      <c r="I18379" s="1125"/>
      <c r="J18379" s="1125"/>
    </row>
    <row r="18380" spans="9:10" x14ac:dyDescent="0.2">
      <c r="I18380" s="1125"/>
      <c r="J18380" s="1125"/>
    </row>
    <row r="18381" spans="9:10" x14ac:dyDescent="0.2">
      <c r="I18381" s="1125"/>
      <c r="J18381" s="1125"/>
    </row>
    <row r="18382" spans="9:10" x14ac:dyDescent="0.2">
      <c r="I18382" s="1125"/>
      <c r="J18382" s="1125"/>
    </row>
    <row r="18383" spans="9:10" x14ac:dyDescent="0.2">
      <c r="I18383" s="1125"/>
      <c r="J18383" s="1125"/>
    </row>
    <row r="18384" spans="9:10" x14ac:dyDescent="0.2">
      <c r="I18384" s="1125"/>
      <c r="J18384" s="1125"/>
    </row>
    <row r="18385" spans="9:10" x14ac:dyDescent="0.2">
      <c r="I18385" s="1125"/>
      <c r="J18385" s="1125"/>
    </row>
    <row r="18386" spans="9:10" x14ac:dyDescent="0.2">
      <c r="I18386" s="1125"/>
      <c r="J18386" s="1125"/>
    </row>
    <row r="18387" spans="9:10" x14ac:dyDescent="0.2">
      <c r="I18387" s="1125"/>
      <c r="J18387" s="1125"/>
    </row>
    <row r="18388" spans="9:10" x14ac:dyDescent="0.2">
      <c r="I18388" s="1125"/>
      <c r="J18388" s="1125"/>
    </row>
    <row r="18389" spans="9:10" x14ac:dyDescent="0.2">
      <c r="I18389" s="1125"/>
      <c r="J18389" s="1125"/>
    </row>
    <row r="18390" spans="9:10" x14ac:dyDescent="0.2">
      <c r="I18390" s="1125"/>
      <c r="J18390" s="1125"/>
    </row>
    <row r="18391" spans="9:10" x14ac:dyDescent="0.2">
      <c r="I18391" s="1125"/>
      <c r="J18391" s="1125"/>
    </row>
    <row r="18392" spans="9:10" x14ac:dyDescent="0.2">
      <c r="I18392" s="1125"/>
      <c r="J18392" s="1125"/>
    </row>
    <row r="18393" spans="9:10" x14ac:dyDescent="0.2">
      <c r="I18393" s="1125"/>
      <c r="J18393" s="1125"/>
    </row>
    <row r="18394" spans="9:10" x14ac:dyDescent="0.2">
      <c r="I18394" s="1125"/>
      <c r="J18394" s="1125"/>
    </row>
    <row r="18395" spans="9:10" x14ac:dyDescent="0.2">
      <c r="I18395" s="1125"/>
      <c r="J18395" s="1125"/>
    </row>
    <row r="18396" spans="9:10" x14ac:dyDescent="0.2">
      <c r="I18396" s="1125"/>
      <c r="J18396" s="1125"/>
    </row>
    <row r="18397" spans="9:10" x14ac:dyDescent="0.2">
      <c r="I18397" s="1125"/>
      <c r="J18397" s="1125"/>
    </row>
    <row r="18398" spans="9:10" x14ac:dyDescent="0.2">
      <c r="I18398" s="1125"/>
      <c r="J18398" s="1125"/>
    </row>
    <row r="18399" spans="9:10" x14ac:dyDescent="0.2">
      <c r="I18399" s="1125"/>
      <c r="J18399" s="1125"/>
    </row>
    <row r="18400" spans="9:10" x14ac:dyDescent="0.2">
      <c r="I18400" s="1125"/>
      <c r="J18400" s="1125"/>
    </row>
    <row r="18401" spans="9:10" x14ac:dyDescent="0.2">
      <c r="I18401" s="1125"/>
      <c r="J18401" s="1125"/>
    </row>
    <row r="18402" spans="9:10" x14ac:dyDescent="0.2">
      <c r="I18402" s="1125"/>
      <c r="J18402" s="1125"/>
    </row>
    <row r="18403" spans="9:10" x14ac:dyDescent="0.2">
      <c r="I18403" s="1125"/>
      <c r="J18403" s="1125"/>
    </row>
    <row r="18404" spans="9:10" x14ac:dyDescent="0.2">
      <c r="I18404" s="1125"/>
      <c r="J18404" s="1125"/>
    </row>
    <row r="18405" spans="9:10" x14ac:dyDescent="0.2">
      <c r="I18405" s="1125"/>
      <c r="J18405" s="1125"/>
    </row>
    <row r="18406" spans="9:10" x14ac:dyDescent="0.2">
      <c r="I18406" s="1125"/>
      <c r="J18406" s="1125"/>
    </row>
    <row r="18407" spans="9:10" x14ac:dyDescent="0.2">
      <c r="I18407" s="1125"/>
      <c r="J18407" s="1125"/>
    </row>
    <row r="18408" spans="9:10" x14ac:dyDescent="0.2">
      <c r="I18408" s="1125"/>
      <c r="J18408" s="1125"/>
    </row>
    <row r="18409" spans="9:10" x14ac:dyDescent="0.2">
      <c r="I18409" s="1125"/>
      <c r="J18409" s="1125"/>
    </row>
    <row r="18410" spans="9:10" x14ac:dyDescent="0.2">
      <c r="I18410" s="1125"/>
      <c r="J18410" s="1125"/>
    </row>
    <row r="18411" spans="9:10" x14ac:dyDescent="0.2">
      <c r="I18411" s="1125"/>
      <c r="J18411" s="1125"/>
    </row>
    <row r="18412" spans="9:10" x14ac:dyDescent="0.2">
      <c r="I18412" s="1125"/>
      <c r="J18412" s="1125"/>
    </row>
    <row r="18413" spans="9:10" x14ac:dyDescent="0.2">
      <c r="I18413" s="1125"/>
      <c r="J18413" s="1125"/>
    </row>
    <row r="18414" spans="9:10" x14ac:dyDescent="0.2">
      <c r="I18414" s="1125"/>
      <c r="J18414" s="1125"/>
    </row>
    <row r="18415" spans="9:10" x14ac:dyDescent="0.2">
      <c r="I18415" s="1125"/>
      <c r="J18415" s="1125"/>
    </row>
    <row r="18416" spans="9:10" x14ac:dyDescent="0.2">
      <c r="I18416" s="1125"/>
      <c r="J18416" s="1125"/>
    </row>
    <row r="18417" spans="9:10" x14ac:dyDescent="0.2">
      <c r="I18417" s="1125"/>
      <c r="J18417" s="1125"/>
    </row>
    <row r="18418" spans="9:10" x14ac:dyDescent="0.2">
      <c r="I18418" s="1125"/>
      <c r="J18418" s="1125"/>
    </row>
    <row r="18419" spans="9:10" x14ac:dyDescent="0.2">
      <c r="I18419" s="1125"/>
      <c r="J18419" s="1125"/>
    </row>
    <row r="18420" spans="9:10" x14ac:dyDescent="0.2">
      <c r="I18420" s="1125"/>
      <c r="J18420" s="1125"/>
    </row>
    <row r="18421" spans="9:10" x14ac:dyDescent="0.2">
      <c r="I18421" s="1125"/>
      <c r="J18421" s="1125"/>
    </row>
    <row r="18422" spans="9:10" x14ac:dyDescent="0.2">
      <c r="I18422" s="1125"/>
      <c r="J18422" s="1125"/>
    </row>
    <row r="18423" spans="9:10" x14ac:dyDescent="0.2">
      <c r="I18423" s="1125"/>
      <c r="J18423" s="1125"/>
    </row>
    <row r="18424" spans="9:10" x14ac:dyDescent="0.2">
      <c r="I18424" s="1125"/>
      <c r="J18424" s="1125"/>
    </row>
    <row r="18425" spans="9:10" x14ac:dyDescent="0.2">
      <c r="I18425" s="1125"/>
      <c r="J18425" s="1125"/>
    </row>
    <row r="18426" spans="9:10" x14ac:dyDescent="0.2">
      <c r="I18426" s="1125"/>
      <c r="J18426" s="1125"/>
    </row>
    <row r="18427" spans="9:10" x14ac:dyDescent="0.2">
      <c r="I18427" s="1125"/>
      <c r="J18427" s="1125"/>
    </row>
    <row r="18428" spans="9:10" x14ac:dyDescent="0.2">
      <c r="I18428" s="1125"/>
      <c r="J18428" s="1125"/>
    </row>
    <row r="18429" spans="9:10" x14ac:dyDescent="0.2">
      <c r="I18429" s="1125"/>
      <c r="J18429" s="1125"/>
    </row>
    <row r="18430" spans="9:10" x14ac:dyDescent="0.2">
      <c r="I18430" s="1125"/>
      <c r="J18430" s="1125"/>
    </row>
    <row r="18431" spans="9:10" x14ac:dyDescent="0.2">
      <c r="I18431" s="1125"/>
      <c r="J18431" s="1125"/>
    </row>
    <row r="18432" spans="9:10" x14ac:dyDescent="0.2">
      <c r="I18432" s="1125"/>
      <c r="J18432" s="1125"/>
    </row>
    <row r="18433" spans="9:10" x14ac:dyDescent="0.2">
      <c r="I18433" s="1125"/>
      <c r="J18433" s="1125"/>
    </row>
    <row r="18434" spans="9:10" x14ac:dyDescent="0.2">
      <c r="I18434" s="1125"/>
      <c r="J18434" s="1125"/>
    </row>
    <row r="18435" spans="9:10" x14ac:dyDescent="0.2">
      <c r="I18435" s="1125"/>
      <c r="J18435" s="1125"/>
    </row>
    <row r="18436" spans="9:10" x14ac:dyDescent="0.2">
      <c r="I18436" s="1125"/>
      <c r="J18436" s="1125"/>
    </row>
    <row r="18437" spans="9:10" x14ac:dyDescent="0.2">
      <c r="I18437" s="1125"/>
      <c r="J18437" s="1125"/>
    </row>
    <row r="18438" spans="9:10" x14ac:dyDescent="0.2">
      <c r="I18438" s="1125"/>
      <c r="J18438" s="1125"/>
    </row>
    <row r="18439" spans="9:10" x14ac:dyDescent="0.2">
      <c r="I18439" s="1125"/>
      <c r="J18439" s="1125"/>
    </row>
    <row r="18440" spans="9:10" x14ac:dyDescent="0.2">
      <c r="I18440" s="1125"/>
      <c r="J18440" s="1125"/>
    </row>
    <row r="18441" spans="9:10" x14ac:dyDescent="0.2">
      <c r="I18441" s="1125"/>
      <c r="J18441" s="1125"/>
    </row>
    <row r="18442" spans="9:10" x14ac:dyDescent="0.2">
      <c r="I18442" s="1125"/>
      <c r="J18442" s="1125"/>
    </row>
    <row r="18443" spans="9:10" x14ac:dyDescent="0.2">
      <c r="I18443" s="1125"/>
      <c r="J18443" s="1125"/>
    </row>
    <row r="18444" spans="9:10" x14ac:dyDescent="0.2">
      <c r="I18444" s="1125"/>
      <c r="J18444" s="1125"/>
    </row>
    <row r="18445" spans="9:10" x14ac:dyDescent="0.2">
      <c r="I18445" s="1125"/>
      <c r="J18445" s="1125"/>
    </row>
    <row r="18446" spans="9:10" x14ac:dyDescent="0.2">
      <c r="I18446" s="1125"/>
      <c r="J18446" s="1125"/>
    </row>
    <row r="18447" spans="9:10" x14ac:dyDescent="0.2">
      <c r="I18447" s="1125"/>
      <c r="J18447" s="1125"/>
    </row>
    <row r="18448" spans="9:10" x14ac:dyDescent="0.2">
      <c r="I18448" s="1125"/>
      <c r="J18448" s="1125"/>
    </row>
    <row r="18449" spans="9:10" x14ac:dyDescent="0.2">
      <c r="I18449" s="1125"/>
      <c r="J18449" s="1125"/>
    </row>
    <row r="18450" spans="9:10" x14ac:dyDescent="0.2">
      <c r="I18450" s="1125"/>
      <c r="J18450" s="1125"/>
    </row>
    <row r="18451" spans="9:10" x14ac:dyDescent="0.2">
      <c r="I18451" s="1125"/>
      <c r="J18451" s="1125"/>
    </row>
    <row r="18452" spans="9:10" x14ac:dyDescent="0.2">
      <c r="I18452" s="1125"/>
      <c r="J18452" s="1125"/>
    </row>
    <row r="18453" spans="9:10" x14ac:dyDescent="0.2">
      <c r="I18453" s="1125"/>
      <c r="J18453" s="1125"/>
    </row>
    <row r="18454" spans="9:10" x14ac:dyDescent="0.2">
      <c r="I18454" s="1125"/>
      <c r="J18454" s="1125"/>
    </row>
    <row r="18455" spans="9:10" x14ac:dyDescent="0.2">
      <c r="I18455" s="1125"/>
      <c r="J18455" s="1125"/>
    </row>
    <row r="18456" spans="9:10" x14ac:dyDescent="0.2">
      <c r="I18456" s="1125"/>
      <c r="J18456" s="1125"/>
    </row>
    <row r="18457" spans="9:10" x14ac:dyDescent="0.2">
      <c r="I18457" s="1125"/>
      <c r="J18457" s="1125"/>
    </row>
    <row r="18458" spans="9:10" x14ac:dyDescent="0.2">
      <c r="I18458" s="1125"/>
      <c r="J18458" s="1125"/>
    </row>
    <row r="18459" spans="9:10" x14ac:dyDescent="0.2">
      <c r="I18459" s="1125"/>
      <c r="J18459" s="1125"/>
    </row>
    <row r="18460" spans="9:10" x14ac:dyDescent="0.2">
      <c r="I18460" s="1125"/>
      <c r="J18460" s="1125"/>
    </row>
    <row r="18461" spans="9:10" x14ac:dyDescent="0.2">
      <c r="I18461" s="1125"/>
      <c r="J18461" s="1125"/>
    </row>
    <row r="18462" spans="9:10" x14ac:dyDescent="0.2">
      <c r="I18462" s="1125"/>
      <c r="J18462" s="1125"/>
    </row>
    <row r="18463" spans="9:10" x14ac:dyDescent="0.2">
      <c r="I18463" s="1125"/>
      <c r="J18463" s="1125"/>
    </row>
    <row r="18464" spans="9:10" x14ac:dyDescent="0.2">
      <c r="I18464" s="1125"/>
      <c r="J18464" s="1125"/>
    </row>
    <row r="18465" spans="9:10" x14ac:dyDescent="0.2">
      <c r="I18465" s="1125"/>
      <c r="J18465" s="1125"/>
    </row>
    <row r="18466" spans="9:10" x14ac:dyDescent="0.2">
      <c r="I18466" s="1125"/>
      <c r="J18466" s="1125"/>
    </row>
    <row r="18467" spans="9:10" x14ac:dyDescent="0.2">
      <c r="I18467" s="1125"/>
      <c r="J18467" s="1125"/>
    </row>
    <row r="18468" spans="9:10" x14ac:dyDescent="0.2">
      <c r="I18468" s="1125"/>
      <c r="J18468" s="1125"/>
    </row>
    <row r="18469" spans="9:10" x14ac:dyDescent="0.2">
      <c r="I18469" s="1125"/>
      <c r="J18469" s="1125"/>
    </row>
    <row r="18470" spans="9:10" x14ac:dyDescent="0.2">
      <c r="I18470" s="1125"/>
      <c r="J18470" s="1125"/>
    </row>
    <row r="18471" spans="9:10" x14ac:dyDescent="0.2">
      <c r="I18471" s="1125"/>
      <c r="J18471" s="1125"/>
    </row>
    <row r="18472" spans="9:10" x14ac:dyDescent="0.2">
      <c r="I18472" s="1125"/>
      <c r="J18472" s="1125"/>
    </row>
    <row r="18473" spans="9:10" x14ac:dyDescent="0.2">
      <c r="I18473" s="1125"/>
      <c r="J18473" s="1125"/>
    </row>
    <row r="18474" spans="9:10" x14ac:dyDescent="0.2">
      <c r="I18474" s="1125"/>
      <c r="J18474" s="1125"/>
    </row>
    <row r="18475" spans="9:10" x14ac:dyDescent="0.2">
      <c r="I18475" s="1125"/>
      <c r="J18475" s="1125"/>
    </row>
    <row r="18476" spans="9:10" x14ac:dyDescent="0.2">
      <c r="I18476" s="1125"/>
      <c r="J18476" s="1125"/>
    </row>
    <row r="18477" spans="9:10" x14ac:dyDescent="0.2">
      <c r="I18477" s="1125"/>
      <c r="J18477" s="1125"/>
    </row>
    <row r="18478" spans="9:10" x14ac:dyDescent="0.2">
      <c r="I18478" s="1125"/>
      <c r="J18478" s="1125"/>
    </row>
    <row r="18479" spans="9:10" x14ac:dyDescent="0.2">
      <c r="I18479" s="1125"/>
      <c r="J18479" s="1125"/>
    </row>
    <row r="18480" spans="9:10" x14ac:dyDescent="0.2">
      <c r="I18480" s="1125"/>
      <c r="J18480" s="1125"/>
    </row>
    <row r="18481" spans="9:10" x14ac:dyDescent="0.2">
      <c r="I18481" s="1125"/>
      <c r="J18481" s="1125"/>
    </row>
    <row r="18482" spans="9:10" x14ac:dyDescent="0.2">
      <c r="I18482" s="1125"/>
      <c r="J18482" s="1125"/>
    </row>
    <row r="18483" spans="9:10" x14ac:dyDescent="0.2">
      <c r="I18483" s="1125"/>
      <c r="J18483" s="1125"/>
    </row>
    <row r="18484" spans="9:10" x14ac:dyDescent="0.2">
      <c r="I18484" s="1125"/>
      <c r="J18484" s="1125"/>
    </row>
    <row r="18485" spans="9:10" x14ac:dyDescent="0.2">
      <c r="I18485" s="1125"/>
      <c r="J18485" s="1125"/>
    </row>
    <row r="18486" spans="9:10" x14ac:dyDescent="0.2">
      <c r="I18486" s="1125"/>
      <c r="J18486" s="1125"/>
    </row>
    <row r="18487" spans="9:10" x14ac:dyDescent="0.2">
      <c r="I18487" s="1125"/>
      <c r="J18487" s="1125"/>
    </row>
    <row r="18488" spans="9:10" x14ac:dyDescent="0.2">
      <c r="I18488" s="1125"/>
      <c r="J18488" s="1125"/>
    </row>
    <row r="18489" spans="9:10" x14ac:dyDescent="0.2">
      <c r="I18489" s="1125"/>
      <c r="J18489" s="1125"/>
    </row>
    <row r="18490" spans="9:10" x14ac:dyDescent="0.2">
      <c r="I18490" s="1125"/>
      <c r="J18490" s="1125"/>
    </row>
    <row r="18491" spans="9:10" x14ac:dyDescent="0.2">
      <c r="I18491" s="1125"/>
      <c r="J18491" s="1125"/>
    </row>
    <row r="18492" spans="9:10" x14ac:dyDescent="0.2">
      <c r="I18492" s="1125"/>
      <c r="J18492" s="1125"/>
    </row>
    <row r="18493" spans="9:10" x14ac:dyDescent="0.2">
      <c r="I18493" s="1125"/>
      <c r="J18493" s="1125"/>
    </row>
    <row r="18494" spans="9:10" x14ac:dyDescent="0.2">
      <c r="I18494" s="1125"/>
      <c r="J18494" s="1125"/>
    </row>
    <row r="18495" spans="9:10" x14ac:dyDescent="0.2">
      <c r="I18495" s="1125"/>
      <c r="J18495" s="1125"/>
    </row>
    <row r="18496" spans="9:10" x14ac:dyDescent="0.2">
      <c r="I18496" s="1125"/>
      <c r="J18496" s="1125"/>
    </row>
    <row r="18497" spans="9:10" x14ac:dyDescent="0.2">
      <c r="I18497" s="1125"/>
      <c r="J18497" s="1125"/>
    </row>
    <row r="18498" spans="9:10" x14ac:dyDescent="0.2">
      <c r="I18498" s="1125"/>
      <c r="J18498" s="1125"/>
    </row>
    <row r="18499" spans="9:10" x14ac:dyDescent="0.2">
      <c r="I18499" s="1125"/>
      <c r="J18499" s="1125"/>
    </row>
    <row r="18500" spans="9:10" x14ac:dyDescent="0.2">
      <c r="I18500" s="1125"/>
      <c r="J18500" s="1125"/>
    </row>
    <row r="18501" spans="9:10" x14ac:dyDescent="0.2">
      <c r="I18501" s="1125"/>
      <c r="J18501" s="1125"/>
    </row>
    <row r="18502" spans="9:10" x14ac:dyDescent="0.2">
      <c r="I18502" s="1125"/>
      <c r="J18502" s="1125"/>
    </row>
    <row r="18503" spans="9:10" x14ac:dyDescent="0.2">
      <c r="I18503" s="1125"/>
      <c r="J18503" s="1125"/>
    </row>
    <row r="18504" spans="9:10" x14ac:dyDescent="0.2">
      <c r="I18504" s="1125"/>
      <c r="J18504" s="1125"/>
    </row>
    <row r="18505" spans="9:10" x14ac:dyDescent="0.2">
      <c r="I18505" s="1125"/>
      <c r="J18505" s="1125"/>
    </row>
    <row r="18506" spans="9:10" x14ac:dyDescent="0.2">
      <c r="I18506" s="1125"/>
      <c r="J18506" s="1125"/>
    </row>
    <row r="18507" spans="9:10" x14ac:dyDescent="0.2">
      <c r="I18507" s="1125"/>
      <c r="J18507" s="1125"/>
    </row>
    <row r="18508" spans="9:10" x14ac:dyDescent="0.2">
      <c r="I18508" s="1125"/>
      <c r="J18508" s="1125"/>
    </row>
    <row r="18509" spans="9:10" x14ac:dyDescent="0.2">
      <c r="I18509" s="1125"/>
      <c r="J18509" s="1125"/>
    </row>
    <row r="18510" spans="9:10" x14ac:dyDescent="0.2">
      <c r="I18510" s="1125"/>
      <c r="J18510" s="1125"/>
    </row>
    <row r="18511" spans="9:10" x14ac:dyDescent="0.2">
      <c r="I18511" s="1125"/>
      <c r="J18511" s="1125"/>
    </row>
    <row r="18512" spans="9:10" x14ac:dyDescent="0.2">
      <c r="I18512" s="1125"/>
      <c r="J18512" s="1125"/>
    </row>
    <row r="18513" spans="9:10" x14ac:dyDescent="0.2">
      <c r="I18513" s="1125"/>
      <c r="J18513" s="1125"/>
    </row>
    <row r="18514" spans="9:10" x14ac:dyDescent="0.2">
      <c r="I18514" s="1125"/>
      <c r="J18514" s="1125"/>
    </row>
    <row r="18515" spans="9:10" x14ac:dyDescent="0.2">
      <c r="I18515" s="1125"/>
      <c r="J18515" s="1125"/>
    </row>
    <row r="18516" spans="9:10" x14ac:dyDescent="0.2">
      <c r="I18516" s="1125"/>
      <c r="J18516" s="1125"/>
    </row>
    <row r="18517" spans="9:10" x14ac:dyDescent="0.2">
      <c r="I18517" s="1125"/>
      <c r="J18517" s="1125"/>
    </row>
    <row r="18518" spans="9:10" x14ac:dyDescent="0.2">
      <c r="I18518" s="1125"/>
      <c r="J18518" s="1125"/>
    </row>
    <row r="18519" spans="9:10" x14ac:dyDescent="0.2">
      <c r="I18519" s="1125"/>
      <c r="J18519" s="1125"/>
    </row>
    <row r="18520" spans="9:10" x14ac:dyDescent="0.2">
      <c r="I18520" s="1125"/>
      <c r="J18520" s="1125"/>
    </row>
    <row r="18521" spans="9:10" x14ac:dyDescent="0.2">
      <c r="I18521" s="1125"/>
      <c r="J18521" s="1125"/>
    </row>
    <row r="18522" spans="9:10" x14ac:dyDescent="0.2">
      <c r="I18522" s="1125"/>
      <c r="J18522" s="1125"/>
    </row>
    <row r="18523" spans="9:10" x14ac:dyDescent="0.2">
      <c r="I18523" s="1125"/>
      <c r="J18523" s="1125"/>
    </row>
    <row r="18524" spans="9:10" x14ac:dyDescent="0.2">
      <c r="I18524" s="1125"/>
      <c r="J18524" s="1125"/>
    </row>
    <row r="18525" spans="9:10" x14ac:dyDescent="0.2">
      <c r="I18525" s="1125"/>
      <c r="J18525" s="1125"/>
    </row>
    <row r="18526" spans="9:10" x14ac:dyDescent="0.2">
      <c r="I18526" s="1125"/>
      <c r="J18526" s="1125"/>
    </row>
    <row r="18527" spans="9:10" x14ac:dyDescent="0.2">
      <c r="I18527" s="1125"/>
      <c r="J18527" s="1125"/>
    </row>
    <row r="18528" spans="9:10" x14ac:dyDescent="0.2">
      <c r="I18528" s="1125"/>
      <c r="J18528" s="1125"/>
    </row>
    <row r="18529" spans="9:10" x14ac:dyDescent="0.2">
      <c r="I18529" s="1125"/>
      <c r="J18529" s="1125"/>
    </row>
    <row r="18530" spans="9:10" x14ac:dyDescent="0.2">
      <c r="I18530" s="1125"/>
      <c r="J18530" s="1125"/>
    </row>
    <row r="18531" spans="9:10" x14ac:dyDescent="0.2">
      <c r="I18531" s="1125"/>
      <c r="J18531" s="1125"/>
    </row>
    <row r="18532" spans="9:10" x14ac:dyDescent="0.2">
      <c r="I18532" s="1125"/>
      <c r="J18532" s="1125"/>
    </row>
    <row r="18533" spans="9:10" x14ac:dyDescent="0.2">
      <c r="I18533" s="1125"/>
      <c r="J18533" s="1125"/>
    </row>
    <row r="18534" spans="9:10" x14ac:dyDescent="0.2">
      <c r="I18534" s="1125"/>
      <c r="J18534" s="1125"/>
    </row>
    <row r="18535" spans="9:10" x14ac:dyDescent="0.2">
      <c r="I18535" s="1125"/>
      <c r="J18535" s="1125"/>
    </row>
    <row r="18536" spans="9:10" x14ac:dyDescent="0.2">
      <c r="I18536" s="1125"/>
      <c r="J18536" s="1125"/>
    </row>
    <row r="18537" spans="9:10" x14ac:dyDescent="0.2">
      <c r="I18537" s="1125"/>
      <c r="J18537" s="1125"/>
    </row>
    <row r="18538" spans="9:10" x14ac:dyDescent="0.2">
      <c r="I18538" s="1125"/>
      <c r="J18538" s="1125"/>
    </row>
    <row r="18539" spans="9:10" x14ac:dyDescent="0.2">
      <c r="I18539" s="1125"/>
      <c r="J18539" s="1125"/>
    </row>
    <row r="18540" spans="9:10" x14ac:dyDescent="0.2">
      <c r="I18540" s="1125"/>
      <c r="J18540" s="1125"/>
    </row>
    <row r="18541" spans="9:10" x14ac:dyDescent="0.2">
      <c r="I18541" s="1125"/>
      <c r="J18541" s="1125"/>
    </row>
    <row r="18542" spans="9:10" x14ac:dyDescent="0.2">
      <c r="I18542" s="1125"/>
      <c r="J18542" s="1125"/>
    </row>
    <row r="18543" spans="9:10" x14ac:dyDescent="0.2">
      <c r="I18543" s="1125"/>
      <c r="J18543" s="1125"/>
    </row>
    <row r="18544" spans="9:10" x14ac:dyDescent="0.2">
      <c r="I18544" s="1125"/>
      <c r="J18544" s="1125"/>
    </row>
    <row r="18545" spans="9:10" x14ac:dyDescent="0.2">
      <c r="I18545" s="1125"/>
      <c r="J18545" s="1125"/>
    </row>
    <row r="18546" spans="9:10" x14ac:dyDescent="0.2">
      <c r="I18546" s="1125"/>
      <c r="J18546" s="1125"/>
    </row>
    <row r="18547" spans="9:10" x14ac:dyDescent="0.2">
      <c r="I18547" s="1125"/>
      <c r="J18547" s="1125"/>
    </row>
    <row r="18548" spans="9:10" x14ac:dyDescent="0.2">
      <c r="I18548" s="1125"/>
      <c r="J18548" s="1125"/>
    </row>
    <row r="18549" spans="9:10" x14ac:dyDescent="0.2">
      <c r="I18549" s="1125"/>
      <c r="J18549" s="1125"/>
    </row>
    <row r="18550" spans="9:10" x14ac:dyDescent="0.2">
      <c r="I18550" s="1125"/>
      <c r="J18550" s="1125"/>
    </row>
    <row r="18551" spans="9:10" x14ac:dyDescent="0.2">
      <c r="I18551" s="1125"/>
      <c r="J18551" s="1125"/>
    </row>
    <row r="18552" spans="9:10" x14ac:dyDescent="0.2">
      <c r="I18552" s="1125"/>
      <c r="J18552" s="1125"/>
    </row>
    <row r="18553" spans="9:10" x14ac:dyDescent="0.2">
      <c r="I18553" s="1125"/>
      <c r="J18553" s="1125"/>
    </row>
    <row r="18554" spans="9:10" x14ac:dyDescent="0.2">
      <c r="I18554" s="1125"/>
      <c r="J18554" s="1125"/>
    </row>
    <row r="18555" spans="9:10" x14ac:dyDescent="0.2">
      <c r="I18555" s="1125"/>
      <c r="J18555" s="1125"/>
    </row>
    <row r="18556" spans="9:10" x14ac:dyDescent="0.2">
      <c r="I18556" s="1125"/>
      <c r="J18556" s="1125"/>
    </row>
    <row r="18557" spans="9:10" x14ac:dyDescent="0.2">
      <c r="I18557" s="1125"/>
      <c r="J18557" s="1125"/>
    </row>
    <row r="18558" spans="9:10" x14ac:dyDescent="0.2">
      <c r="I18558" s="1125"/>
      <c r="J18558" s="1125"/>
    </row>
    <row r="18559" spans="9:10" x14ac:dyDescent="0.2">
      <c r="I18559" s="1125"/>
      <c r="J18559" s="1125"/>
    </row>
    <row r="18560" spans="9:10" x14ac:dyDescent="0.2">
      <c r="I18560" s="1125"/>
      <c r="J18560" s="1125"/>
    </row>
    <row r="18561" spans="9:10" x14ac:dyDescent="0.2">
      <c r="I18561" s="1125"/>
      <c r="J18561" s="1125"/>
    </row>
    <row r="18562" spans="9:10" x14ac:dyDescent="0.2">
      <c r="I18562" s="1125"/>
      <c r="J18562" s="1125"/>
    </row>
    <row r="18563" spans="9:10" x14ac:dyDescent="0.2">
      <c r="I18563" s="1125"/>
      <c r="J18563" s="1125"/>
    </row>
    <row r="18564" spans="9:10" x14ac:dyDescent="0.2">
      <c r="I18564" s="1125"/>
      <c r="J18564" s="1125"/>
    </row>
    <row r="18565" spans="9:10" x14ac:dyDescent="0.2">
      <c r="I18565" s="1125"/>
      <c r="J18565" s="1125"/>
    </row>
    <row r="18566" spans="9:10" x14ac:dyDescent="0.2">
      <c r="I18566" s="1125"/>
      <c r="J18566" s="1125"/>
    </row>
    <row r="18567" spans="9:10" x14ac:dyDescent="0.2">
      <c r="I18567" s="1125"/>
      <c r="J18567" s="1125"/>
    </row>
    <row r="18568" spans="9:10" x14ac:dyDescent="0.2">
      <c r="I18568" s="1125"/>
      <c r="J18568" s="1125"/>
    </row>
    <row r="18569" spans="9:10" x14ac:dyDescent="0.2">
      <c r="I18569" s="1125"/>
      <c r="J18569" s="1125"/>
    </row>
    <row r="18570" spans="9:10" x14ac:dyDescent="0.2">
      <c r="I18570" s="1125"/>
      <c r="J18570" s="1125"/>
    </row>
    <row r="18571" spans="9:10" x14ac:dyDescent="0.2">
      <c r="I18571" s="1125"/>
      <c r="J18571" s="1125"/>
    </row>
    <row r="18572" spans="9:10" x14ac:dyDescent="0.2">
      <c r="I18572" s="1125"/>
      <c r="J18572" s="1125"/>
    </row>
    <row r="18573" spans="9:10" x14ac:dyDescent="0.2">
      <c r="I18573" s="1125"/>
      <c r="J18573" s="1125"/>
    </row>
    <row r="18574" spans="9:10" x14ac:dyDescent="0.2">
      <c r="I18574" s="1125"/>
      <c r="J18574" s="1125"/>
    </row>
    <row r="18575" spans="9:10" x14ac:dyDescent="0.2">
      <c r="I18575" s="1125"/>
      <c r="J18575" s="1125"/>
    </row>
    <row r="18576" spans="9:10" x14ac:dyDescent="0.2">
      <c r="I18576" s="1125"/>
      <c r="J18576" s="1125"/>
    </row>
    <row r="18577" spans="9:10" x14ac:dyDescent="0.2">
      <c r="I18577" s="1125"/>
      <c r="J18577" s="1125"/>
    </row>
    <row r="18578" spans="9:10" x14ac:dyDescent="0.2">
      <c r="I18578" s="1125"/>
      <c r="J18578" s="1125"/>
    </row>
    <row r="18579" spans="9:10" x14ac:dyDescent="0.2">
      <c r="I18579" s="1125"/>
      <c r="J18579" s="1125"/>
    </row>
    <row r="18580" spans="9:10" x14ac:dyDescent="0.2">
      <c r="I18580" s="1125"/>
      <c r="J18580" s="1125"/>
    </row>
    <row r="18581" spans="9:10" x14ac:dyDescent="0.2">
      <c r="I18581" s="1125"/>
      <c r="J18581" s="1125"/>
    </row>
    <row r="18582" spans="9:10" x14ac:dyDescent="0.2">
      <c r="I18582" s="1125"/>
      <c r="J18582" s="1125"/>
    </row>
    <row r="18583" spans="9:10" x14ac:dyDescent="0.2">
      <c r="I18583" s="1125"/>
      <c r="J18583" s="1125"/>
    </row>
    <row r="18584" spans="9:10" x14ac:dyDescent="0.2">
      <c r="I18584" s="1125"/>
      <c r="J18584" s="1125"/>
    </row>
    <row r="18585" spans="9:10" x14ac:dyDescent="0.2">
      <c r="I18585" s="1125"/>
      <c r="J18585" s="1125"/>
    </row>
    <row r="18586" spans="9:10" x14ac:dyDescent="0.2">
      <c r="I18586" s="1125"/>
      <c r="J18586" s="1125"/>
    </row>
    <row r="18587" spans="9:10" x14ac:dyDescent="0.2">
      <c r="I18587" s="1125"/>
      <c r="J18587" s="1125"/>
    </row>
    <row r="18588" spans="9:10" x14ac:dyDescent="0.2">
      <c r="I18588" s="1125"/>
      <c r="J18588" s="1125"/>
    </row>
    <row r="18589" spans="9:10" x14ac:dyDescent="0.2">
      <c r="I18589" s="1125"/>
      <c r="J18589" s="1125"/>
    </row>
    <row r="18590" spans="9:10" x14ac:dyDescent="0.2">
      <c r="I18590" s="1125"/>
      <c r="J18590" s="1125"/>
    </row>
    <row r="18591" spans="9:10" x14ac:dyDescent="0.2">
      <c r="I18591" s="1125"/>
      <c r="J18591" s="1125"/>
    </row>
    <row r="18592" spans="9:10" x14ac:dyDescent="0.2">
      <c r="I18592" s="1125"/>
      <c r="J18592" s="1125"/>
    </row>
    <row r="18593" spans="9:10" x14ac:dyDescent="0.2">
      <c r="I18593" s="1125"/>
      <c r="J18593" s="1125"/>
    </row>
    <row r="18594" spans="9:10" x14ac:dyDescent="0.2">
      <c r="I18594" s="1125"/>
      <c r="J18594" s="1125"/>
    </row>
    <row r="18595" spans="9:10" x14ac:dyDescent="0.2">
      <c r="I18595" s="1125"/>
      <c r="J18595" s="1125"/>
    </row>
    <row r="18596" spans="9:10" x14ac:dyDescent="0.2">
      <c r="I18596" s="1125"/>
      <c r="J18596" s="1125"/>
    </row>
    <row r="18597" spans="9:10" x14ac:dyDescent="0.2">
      <c r="I18597" s="1125"/>
      <c r="J18597" s="1125"/>
    </row>
    <row r="18598" spans="9:10" x14ac:dyDescent="0.2">
      <c r="I18598" s="1125"/>
      <c r="J18598" s="1125"/>
    </row>
    <row r="18599" spans="9:10" x14ac:dyDescent="0.2">
      <c r="I18599" s="1125"/>
      <c r="J18599" s="1125"/>
    </row>
    <row r="18600" spans="9:10" x14ac:dyDescent="0.2">
      <c r="I18600" s="1125"/>
      <c r="J18600" s="1125"/>
    </row>
    <row r="18601" spans="9:10" x14ac:dyDescent="0.2">
      <c r="I18601" s="1125"/>
      <c r="J18601" s="1125"/>
    </row>
    <row r="18602" spans="9:10" x14ac:dyDescent="0.2">
      <c r="I18602" s="1125"/>
      <c r="J18602" s="1125"/>
    </row>
    <row r="18603" spans="9:10" x14ac:dyDescent="0.2">
      <c r="I18603" s="1125"/>
      <c r="J18603" s="1125"/>
    </row>
    <row r="18604" spans="9:10" x14ac:dyDescent="0.2">
      <c r="I18604" s="1125"/>
      <c r="J18604" s="1125"/>
    </row>
    <row r="18605" spans="9:10" x14ac:dyDescent="0.2">
      <c r="I18605" s="1125"/>
      <c r="J18605" s="1125"/>
    </row>
    <row r="18606" spans="9:10" x14ac:dyDescent="0.2">
      <c r="I18606" s="1125"/>
      <c r="J18606" s="1125"/>
    </row>
    <row r="18607" spans="9:10" x14ac:dyDescent="0.2">
      <c r="I18607" s="1125"/>
      <c r="J18607" s="1125"/>
    </row>
    <row r="18608" spans="9:10" x14ac:dyDescent="0.2">
      <c r="I18608" s="1125"/>
      <c r="J18608" s="1125"/>
    </row>
    <row r="18609" spans="9:10" x14ac:dyDescent="0.2">
      <c r="I18609" s="1125"/>
      <c r="J18609" s="1125"/>
    </row>
    <row r="18610" spans="9:10" x14ac:dyDescent="0.2">
      <c r="I18610" s="1125"/>
      <c r="J18610" s="1125"/>
    </row>
    <row r="18611" spans="9:10" x14ac:dyDescent="0.2">
      <c r="I18611" s="1125"/>
      <c r="J18611" s="1125"/>
    </row>
    <row r="18612" spans="9:10" x14ac:dyDescent="0.2">
      <c r="I18612" s="1125"/>
      <c r="J18612" s="1125"/>
    </row>
    <row r="18613" spans="9:10" x14ac:dyDescent="0.2">
      <c r="I18613" s="1125"/>
      <c r="J18613" s="1125"/>
    </row>
    <row r="18614" spans="9:10" x14ac:dyDescent="0.2">
      <c r="I18614" s="1125"/>
      <c r="J18614" s="1125"/>
    </row>
    <row r="18615" spans="9:10" x14ac:dyDescent="0.2">
      <c r="I18615" s="1125"/>
      <c r="J18615" s="1125"/>
    </row>
    <row r="18616" spans="9:10" x14ac:dyDescent="0.2">
      <c r="I18616" s="1125"/>
      <c r="J18616" s="1125"/>
    </row>
    <row r="18617" spans="9:10" x14ac:dyDescent="0.2">
      <c r="I18617" s="1125"/>
      <c r="J18617" s="1125"/>
    </row>
    <row r="18618" spans="9:10" x14ac:dyDescent="0.2">
      <c r="I18618" s="1125"/>
      <c r="J18618" s="1125"/>
    </row>
    <row r="18619" spans="9:10" x14ac:dyDescent="0.2">
      <c r="I18619" s="1125"/>
      <c r="J18619" s="1125"/>
    </row>
    <row r="18620" spans="9:10" x14ac:dyDescent="0.2">
      <c r="I18620" s="1125"/>
      <c r="J18620" s="1125"/>
    </row>
    <row r="18621" spans="9:10" x14ac:dyDescent="0.2">
      <c r="I18621" s="1125"/>
      <c r="J18621" s="1125"/>
    </row>
    <row r="18622" spans="9:10" x14ac:dyDescent="0.2">
      <c r="I18622" s="1125"/>
      <c r="J18622" s="1125"/>
    </row>
    <row r="18623" spans="9:10" x14ac:dyDescent="0.2">
      <c r="I18623" s="1125"/>
      <c r="J18623" s="1125"/>
    </row>
    <row r="18624" spans="9:10" x14ac:dyDescent="0.2">
      <c r="I18624" s="1125"/>
      <c r="J18624" s="1125"/>
    </row>
    <row r="18625" spans="9:10" x14ac:dyDescent="0.2">
      <c r="I18625" s="1125"/>
      <c r="J18625" s="1125"/>
    </row>
    <row r="18626" spans="9:10" x14ac:dyDescent="0.2">
      <c r="I18626" s="1125"/>
      <c r="J18626" s="1125"/>
    </row>
    <row r="18627" spans="9:10" x14ac:dyDescent="0.2">
      <c r="I18627" s="1125"/>
      <c r="J18627" s="1125"/>
    </row>
    <row r="18628" spans="9:10" x14ac:dyDescent="0.2">
      <c r="I18628" s="1125"/>
      <c r="J18628" s="1125"/>
    </row>
    <row r="18629" spans="9:10" x14ac:dyDescent="0.2">
      <c r="I18629" s="1125"/>
      <c r="J18629" s="1125"/>
    </row>
    <row r="18630" spans="9:10" x14ac:dyDescent="0.2">
      <c r="I18630" s="1125"/>
      <c r="J18630" s="1125"/>
    </row>
    <row r="18631" spans="9:10" x14ac:dyDescent="0.2">
      <c r="I18631" s="1125"/>
      <c r="J18631" s="1125"/>
    </row>
    <row r="18632" spans="9:10" x14ac:dyDescent="0.2">
      <c r="I18632" s="1125"/>
      <c r="J18632" s="1125"/>
    </row>
    <row r="18633" spans="9:10" x14ac:dyDescent="0.2">
      <c r="I18633" s="1125"/>
      <c r="J18633" s="1125"/>
    </row>
    <row r="18634" spans="9:10" x14ac:dyDescent="0.2">
      <c r="I18634" s="1125"/>
      <c r="J18634" s="1125"/>
    </row>
    <row r="18635" spans="9:10" x14ac:dyDescent="0.2">
      <c r="I18635" s="1125"/>
      <c r="J18635" s="1125"/>
    </row>
    <row r="18636" spans="9:10" x14ac:dyDescent="0.2">
      <c r="I18636" s="1125"/>
      <c r="J18636" s="1125"/>
    </row>
    <row r="18637" spans="9:10" x14ac:dyDescent="0.2">
      <c r="I18637" s="1125"/>
      <c r="J18637" s="1125"/>
    </row>
    <row r="18638" spans="9:10" x14ac:dyDescent="0.2">
      <c r="I18638" s="1125"/>
      <c r="J18638" s="1125"/>
    </row>
    <row r="18639" spans="9:10" x14ac:dyDescent="0.2">
      <c r="I18639" s="1125"/>
      <c r="J18639" s="1125"/>
    </row>
    <row r="18640" spans="9:10" x14ac:dyDescent="0.2">
      <c r="I18640" s="1125"/>
      <c r="J18640" s="1125"/>
    </row>
    <row r="18641" spans="9:10" x14ac:dyDescent="0.2">
      <c r="I18641" s="1125"/>
      <c r="J18641" s="1125"/>
    </row>
    <row r="18642" spans="9:10" x14ac:dyDescent="0.2">
      <c r="I18642" s="1125"/>
      <c r="J18642" s="1125"/>
    </row>
    <row r="18643" spans="9:10" x14ac:dyDescent="0.2">
      <c r="I18643" s="1125"/>
      <c r="J18643" s="1125"/>
    </row>
    <row r="18644" spans="9:10" x14ac:dyDescent="0.2">
      <c r="I18644" s="1125"/>
      <c r="J18644" s="1125"/>
    </row>
    <row r="18645" spans="9:10" x14ac:dyDescent="0.2">
      <c r="I18645" s="1125"/>
      <c r="J18645" s="1125"/>
    </row>
    <row r="18646" spans="9:10" x14ac:dyDescent="0.2">
      <c r="I18646" s="1125"/>
      <c r="J18646" s="1125"/>
    </row>
    <row r="18647" spans="9:10" x14ac:dyDescent="0.2">
      <c r="I18647" s="1125"/>
      <c r="J18647" s="1125"/>
    </row>
    <row r="18648" spans="9:10" x14ac:dyDescent="0.2">
      <c r="I18648" s="1125"/>
      <c r="J18648" s="1125"/>
    </row>
    <row r="18649" spans="9:10" x14ac:dyDescent="0.2">
      <c r="I18649" s="1125"/>
      <c r="J18649" s="1125"/>
    </row>
    <row r="18650" spans="9:10" x14ac:dyDescent="0.2">
      <c r="I18650" s="1125"/>
      <c r="J18650" s="1125"/>
    </row>
    <row r="18651" spans="9:10" x14ac:dyDescent="0.2">
      <c r="I18651" s="1125"/>
      <c r="J18651" s="1125"/>
    </row>
    <row r="18652" spans="9:10" x14ac:dyDescent="0.2">
      <c r="I18652" s="1125"/>
      <c r="J18652" s="1125"/>
    </row>
    <row r="18653" spans="9:10" x14ac:dyDescent="0.2">
      <c r="I18653" s="1125"/>
      <c r="J18653" s="1125"/>
    </row>
    <row r="18654" spans="9:10" x14ac:dyDescent="0.2">
      <c r="I18654" s="1125"/>
      <c r="J18654" s="1125"/>
    </row>
    <row r="18655" spans="9:10" x14ac:dyDescent="0.2">
      <c r="I18655" s="1125"/>
      <c r="J18655" s="1125"/>
    </row>
    <row r="18656" spans="9:10" x14ac:dyDescent="0.2">
      <c r="I18656" s="1125"/>
      <c r="J18656" s="1125"/>
    </row>
    <row r="18657" spans="9:10" x14ac:dyDescent="0.2">
      <c r="I18657" s="1125"/>
      <c r="J18657" s="1125"/>
    </row>
    <row r="18658" spans="9:10" x14ac:dyDescent="0.2">
      <c r="I18658" s="1125"/>
      <c r="J18658" s="1125"/>
    </row>
    <row r="18659" spans="9:10" x14ac:dyDescent="0.2">
      <c r="I18659" s="1125"/>
      <c r="J18659" s="1125"/>
    </row>
    <row r="18660" spans="9:10" x14ac:dyDescent="0.2">
      <c r="I18660" s="1125"/>
      <c r="J18660" s="1125"/>
    </row>
    <row r="18661" spans="9:10" x14ac:dyDescent="0.2">
      <c r="I18661" s="1125"/>
      <c r="J18661" s="1125"/>
    </row>
    <row r="18662" spans="9:10" x14ac:dyDescent="0.2">
      <c r="I18662" s="1125"/>
      <c r="J18662" s="1125"/>
    </row>
    <row r="18663" spans="9:10" x14ac:dyDescent="0.2">
      <c r="I18663" s="1125"/>
      <c r="J18663" s="1125"/>
    </row>
    <row r="18664" spans="9:10" x14ac:dyDescent="0.2">
      <c r="I18664" s="1125"/>
      <c r="J18664" s="1125"/>
    </row>
    <row r="18665" spans="9:10" x14ac:dyDescent="0.2">
      <c r="I18665" s="1125"/>
      <c r="J18665" s="1125"/>
    </row>
    <row r="18666" spans="9:10" x14ac:dyDescent="0.2">
      <c r="I18666" s="1125"/>
      <c r="J18666" s="1125"/>
    </row>
    <row r="18667" spans="9:10" x14ac:dyDescent="0.2">
      <c r="I18667" s="1125"/>
      <c r="J18667" s="1125"/>
    </row>
    <row r="18668" spans="9:10" x14ac:dyDescent="0.2">
      <c r="I18668" s="1125"/>
      <c r="J18668" s="1125"/>
    </row>
    <row r="18669" spans="9:10" x14ac:dyDescent="0.2">
      <c r="I18669" s="1125"/>
      <c r="J18669" s="1125"/>
    </row>
    <row r="18670" spans="9:10" x14ac:dyDescent="0.2">
      <c r="I18670" s="1125"/>
      <c r="J18670" s="1125"/>
    </row>
    <row r="18671" spans="9:10" x14ac:dyDescent="0.2">
      <c r="I18671" s="1125"/>
      <c r="J18671" s="1125"/>
    </row>
    <row r="18672" spans="9:10" x14ac:dyDescent="0.2">
      <c r="I18672" s="1125"/>
      <c r="J18672" s="1125"/>
    </row>
    <row r="18673" spans="9:10" x14ac:dyDescent="0.2">
      <c r="I18673" s="1125"/>
      <c r="J18673" s="1125"/>
    </row>
    <row r="18674" spans="9:10" x14ac:dyDescent="0.2">
      <c r="I18674" s="1125"/>
      <c r="J18674" s="1125"/>
    </row>
    <row r="18675" spans="9:10" x14ac:dyDescent="0.2">
      <c r="I18675" s="1125"/>
      <c r="J18675" s="1125"/>
    </row>
    <row r="18676" spans="9:10" x14ac:dyDescent="0.2">
      <c r="I18676" s="1125"/>
      <c r="J18676" s="1125"/>
    </row>
    <row r="18677" spans="9:10" x14ac:dyDescent="0.2">
      <c r="I18677" s="1125"/>
      <c r="J18677" s="1125"/>
    </row>
    <row r="18678" spans="9:10" x14ac:dyDescent="0.2">
      <c r="I18678" s="1125"/>
      <c r="J18678" s="1125"/>
    </row>
    <row r="18679" spans="9:10" x14ac:dyDescent="0.2">
      <c r="I18679" s="1125"/>
      <c r="J18679" s="1125"/>
    </row>
    <row r="18680" spans="9:10" x14ac:dyDescent="0.2">
      <c r="I18680" s="1125"/>
      <c r="J18680" s="1125"/>
    </row>
    <row r="18681" spans="9:10" x14ac:dyDescent="0.2">
      <c r="I18681" s="1125"/>
      <c r="J18681" s="1125"/>
    </row>
    <row r="18682" spans="9:10" x14ac:dyDescent="0.2">
      <c r="I18682" s="1125"/>
      <c r="J18682" s="1125"/>
    </row>
    <row r="18683" spans="9:10" x14ac:dyDescent="0.2">
      <c r="I18683" s="1125"/>
      <c r="J18683" s="1125"/>
    </row>
    <row r="18684" spans="9:10" x14ac:dyDescent="0.2">
      <c r="I18684" s="1125"/>
      <c r="J18684" s="1125"/>
    </row>
    <row r="18685" spans="9:10" x14ac:dyDescent="0.2">
      <c r="I18685" s="1125"/>
      <c r="J18685" s="1125"/>
    </row>
    <row r="18686" spans="9:10" x14ac:dyDescent="0.2">
      <c r="I18686" s="1125"/>
      <c r="J18686" s="1125"/>
    </row>
    <row r="18687" spans="9:10" x14ac:dyDescent="0.2">
      <c r="I18687" s="1125"/>
      <c r="J18687" s="1125"/>
    </row>
    <row r="18688" spans="9:10" x14ac:dyDescent="0.2">
      <c r="I18688" s="1125"/>
      <c r="J18688" s="1125"/>
    </row>
    <row r="18689" spans="9:10" x14ac:dyDescent="0.2">
      <c r="I18689" s="1125"/>
      <c r="J18689" s="1125"/>
    </row>
    <row r="18690" spans="9:10" x14ac:dyDescent="0.2">
      <c r="I18690" s="1125"/>
      <c r="J18690" s="1125"/>
    </row>
    <row r="18691" spans="9:10" x14ac:dyDescent="0.2">
      <c r="I18691" s="1125"/>
      <c r="J18691" s="1125"/>
    </row>
    <row r="18692" spans="9:10" x14ac:dyDescent="0.2">
      <c r="I18692" s="1125"/>
      <c r="J18692" s="1125"/>
    </row>
    <row r="18693" spans="9:10" x14ac:dyDescent="0.2">
      <c r="I18693" s="1125"/>
      <c r="J18693" s="1125"/>
    </row>
    <row r="18694" spans="9:10" x14ac:dyDescent="0.2">
      <c r="I18694" s="1125"/>
      <c r="J18694" s="1125"/>
    </row>
    <row r="18695" spans="9:10" x14ac:dyDescent="0.2">
      <c r="I18695" s="1125"/>
      <c r="J18695" s="1125"/>
    </row>
    <row r="18696" spans="9:10" x14ac:dyDescent="0.2">
      <c r="I18696" s="1125"/>
      <c r="J18696" s="1125"/>
    </row>
    <row r="18697" spans="9:10" x14ac:dyDescent="0.2">
      <c r="I18697" s="1125"/>
      <c r="J18697" s="1125"/>
    </row>
    <row r="18698" spans="9:10" x14ac:dyDescent="0.2">
      <c r="I18698" s="1125"/>
      <c r="J18698" s="1125"/>
    </row>
    <row r="18699" spans="9:10" x14ac:dyDescent="0.2">
      <c r="I18699" s="1125"/>
      <c r="J18699" s="1125"/>
    </row>
    <row r="18700" spans="9:10" x14ac:dyDescent="0.2">
      <c r="I18700" s="1125"/>
      <c r="J18700" s="1125"/>
    </row>
    <row r="18701" spans="9:10" x14ac:dyDescent="0.2">
      <c r="I18701" s="1125"/>
      <c r="J18701" s="1125"/>
    </row>
    <row r="18702" spans="9:10" x14ac:dyDescent="0.2">
      <c r="I18702" s="1125"/>
      <c r="J18702" s="1125"/>
    </row>
    <row r="18703" spans="9:10" x14ac:dyDescent="0.2">
      <c r="I18703" s="1125"/>
      <c r="J18703" s="1125"/>
    </row>
    <row r="18704" spans="9:10" x14ac:dyDescent="0.2">
      <c r="I18704" s="1125"/>
      <c r="J18704" s="1125"/>
    </row>
    <row r="18705" spans="9:10" x14ac:dyDescent="0.2">
      <c r="I18705" s="1125"/>
      <c r="J18705" s="1125"/>
    </row>
    <row r="18706" spans="9:10" x14ac:dyDescent="0.2">
      <c r="I18706" s="1125"/>
      <c r="J18706" s="1125"/>
    </row>
    <row r="18707" spans="9:10" x14ac:dyDescent="0.2">
      <c r="I18707" s="1125"/>
      <c r="J18707" s="1125"/>
    </row>
    <row r="18708" spans="9:10" x14ac:dyDescent="0.2">
      <c r="I18708" s="1125"/>
      <c r="J18708" s="1125"/>
    </row>
    <row r="18709" spans="9:10" x14ac:dyDescent="0.2">
      <c r="I18709" s="1125"/>
      <c r="J18709" s="1125"/>
    </row>
    <row r="18710" spans="9:10" x14ac:dyDescent="0.2">
      <c r="I18710" s="1125"/>
      <c r="J18710" s="1125"/>
    </row>
    <row r="18711" spans="9:10" x14ac:dyDescent="0.2">
      <c r="I18711" s="1125"/>
      <c r="J18711" s="1125"/>
    </row>
    <row r="18712" spans="9:10" x14ac:dyDescent="0.2">
      <c r="I18712" s="1125"/>
      <c r="J18712" s="1125"/>
    </row>
    <row r="18713" spans="9:10" x14ac:dyDescent="0.2">
      <c r="I18713" s="1125"/>
      <c r="J18713" s="1125"/>
    </row>
    <row r="18714" spans="9:10" x14ac:dyDescent="0.2">
      <c r="I18714" s="1125"/>
      <c r="J18714" s="1125"/>
    </row>
    <row r="18715" spans="9:10" x14ac:dyDescent="0.2">
      <c r="I18715" s="1125"/>
      <c r="J18715" s="1125"/>
    </row>
    <row r="18716" spans="9:10" x14ac:dyDescent="0.2">
      <c r="I18716" s="1125"/>
      <c r="J18716" s="1125"/>
    </row>
    <row r="18717" spans="9:10" x14ac:dyDescent="0.2">
      <c r="I18717" s="1125"/>
      <c r="J18717" s="1125"/>
    </row>
    <row r="18718" spans="9:10" x14ac:dyDescent="0.2">
      <c r="I18718" s="1125"/>
      <c r="J18718" s="1125"/>
    </row>
    <row r="18719" spans="9:10" x14ac:dyDescent="0.2">
      <c r="I18719" s="1125"/>
      <c r="J18719" s="1125"/>
    </row>
    <row r="18720" spans="9:10" x14ac:dyDescent="0.2">
      <c r="I18720" s="1125"/>
      <c r="J18720" s="1125"/>
    </row>
    <row r="18721" spans="9:10" x14ac:dyDescent="0.2">
      <c r="I18721" s="1125"/>
      <c r="J18721" s="1125"/>
    </row>
    <row r="18722" spans="9:10" x14ac:dyDescent="0.2">
      <c r="I18722" s="1125"/>
      <c r="J18722" s="1125"/>
    </row>
    <row r="18723" spans="9:10" x14ac:dyDescent="0.2">
      <c r="I18723" s="1125"/>
      <c r="J18723" s="1125"/>
    </row>
    <row r="18724" spans="9:10" x14ac:dyDescent="0.2">
      <c r="I18724" s="1125"/>
      <c r="J18724" s="1125"/>
    </row>
    <row r="18725" spans="9:10" x14ac:dyDescent="0.2">
      <c r="I18725" s="1125"/>
      <c r="J18725" s="1125"/>
    </row>
    <row r="18726" spans="9:10" x14ac:dyDescent="0.2">
      <c r="I18726" s="1125"/>
      <c r="J18726" s="1125"/>
    </row>
    <row r="18727" spans="9:10" x14ac:dyDescent="0.2">
      <c r="I18727" s="1125"/>
      <c r="J18727" s="1125"/>
    </row>
    <row r="18728" spans="9:10" x14ac:dyDescent="0.2">
      <c r="I18728" s="1125"/>
      <c r="J18728" s="1125"/>
    </row>
    <row r="18729" spans="9:10" x14ac:dyDescent="0.2">
      <c r="I18729" s="1125"/>
      <c r="J18729" s="1125"/>
    </row>
    <row r="18730" spans="9:10" x14ac:dyDescent="0.2">
      <c r="I18730" s="1125"/>
      <c r="J18730" s="1125"/>
    </row>
    <row r="18731" spans="9:10" x14ac:dyDescent="0.2">
      <c r="I18731" s="1125"/>
      <c r="J18731" s="1125"/>
    </row>
    <row r="18732" spans="9:10" x14ac:dyDescent="0.2">
      <c r="I18732" s="1125"/>
      <c r="J18732" s="1125"/>
    </row>
    <row r="18733" spans="9:10" x14ac:dyDescent="0.2">
      <c r="I18733" s="1125"/>
      <c r="J18733" s="1125"/>
    </row>
    <row r="18734" spans="9:10" x14ac:dyDescent="0.2">
      <c r="I18734" s="1125"/>
      <c r="J18734" s="1125"/>
    </row>
    <row r="18735" spans="9:10" x14ac:dyDescent="0.2">
      <c r="I18735" s="1125"/>
      <c r="J18735" s="1125"/>
    </row>
    <row r="18736" spans="9:10" x14ac:dyDescent="0.2">
      <c r="I18736" s="1125"/>
      <c r="J18736" s="1125"/>
    </row>
    <row r="18737" spans="9:10" x14ac:dyDescent="0.2">
      <c r="I18737" s="1125"/>
      <c r="J18737" s="1125"/>
    </row>
    <row r="18738" spans="9:10" x14ac:dyDescent="0.2">
      <c r="I18738" s="1125"/>
      <c r="J18738" s="1125"/>
    </row>
    <row r="18739" spans="9:10" x14ac:dyDescent="0.2">
      <c r="I18739" s="1125"/>
      <c r="J18739" s="1125"/>
    </row>
    <row r="18740" spans="9:10" x14ac:dyDescent="0.2">
      <c r="I18740" s="1125"/>
      <c r="J18740" s="1125"/>
    </row>
    <row r="18741" spans="9:10" x14ac:dyDescent="0.2">
      <c r="I18741" s="1125"/>
      <c r="J18741" s="1125"/>
    </row>
    <row r="18742" spans="9:10" x14ac:dyDescent="0.2">
      <c r="I18742" s="1125"/>
      <c r="J18742" s="1125"/>
    </row>
    <row r="18743" spans="9:10" x14ac:dyDescent="0.2">
      <c r="I18743" s="1125"/>
      <c r="J18743" s="1125"/>
    </row>
    <row r="18744" spans="9:10" x14ac:dyDescent="0.2">
      <c r="I18744" s="1125"/>
      <c r="J18744" s="1125"/>
    </row>
    <row r="18745" spans="9:10" x14ac:dyDescent="0.2">
      <c r="I18745" s="1125"/>
      <c r="J18745" s="1125"/>
    </row>
    <row r="18746" spans="9:10" x14ac:dyDescent="0.2">
      <c r="I18746" s="1125"/>
      <c r="J18746" s="1125"/>
    </row>
    <row r="18747" spans="9:10" x14ac:dyDescent="0.2">
      <c r="I18747" s="1125"/>
      <c r="J18747" s="1125"/>
    </row>
    <row r="18748" spans="9:10" x14ac:dyDescent="0.2">
      <c r="I18748" s="1125"/>
      <c r="J18748" s="1125"/>
    </row>
    <row r="18749" spans="9:10" x14ac:dyDescent="0.2">
      <c r="I18749" s="1125"/>
      <c r="J18749" s="1125"/>
    </row>
    <row r="18750" spans="9:10" x14ac:dyDescent="0.2">
      <c r="I18750" s="1125"/>
      <c r="J18750" s="1125"/>
    </row>
    <row r="18751" spans="9:10" x14ac:dyDescent="0.2">
      <c r="I18751" s="1125"/>
      <c r="J18751" s="1125"/>
    </row>
    <row r="18752" spans="9:10" x14ac:dyDescent="0.2">
      <c r="I18752" s="1125"/>
      <c r="J18752" s="1125"/>
    </row>
    <row r="18753" spans="9:10" x14ac:dyDescent="0.2">
      <c r="I18753" s="1125"/>
      <c r="J18753" s="1125"/>
    </row>
    <row r="18754" spans="9:10" x14ac:dyDescent="0.2">
      <c r="I18754" s="1125"/>
      <c r="J18754" s="1125"/>
    </row>
    <row r="18755" spans="9:10" x14ac:dyDescent="0.2">
      <c r="I18755" s="1125"/>
      <c r="J18755" s="1125"/>
    </row>
    <row r="18756" spans="9:10" x14ac:dyDescent="0.2">
      <c r="I18756" s="1125"/>
      <c r="J18756" s="1125"/>
    </row>
    <row r="18757" spans="9:10" x14ac:dyDescent="0.2">
      <c r="I18757" s="1125"/>
      <c r="J18757" s="1125"/>
    </row>
    <row r="18758" spans="9:10" x14ac:dyDescent="0.2">
      <c r="I18758" s="1125"/>
      <c r="J18758" s="1125"/>
    </row>
    <row r="18759" spans="9:10" x14ac:dyDescent="0.2">
      <c r="I18759" s="1125"/>
      <c r="J18759" s="1125"/>
    </row>
    <row r="18760" spans="9:10" x14ac:dyDescent="0.2">
      <c r="I18760" s="1125"/>
      <c r="J18760" s="1125"/>
    </row>
    <row r="18761" spans="9:10" x14ac:dyDescent="0.2">
      <c r="I18761" s="1125"/>
      <c r="J18761" s="1125"/>
    </row>
    <row r="18762" spans="9:10" x14ac:dyDescent="0.2">
      <c r="I18762" s="1125"/>
      <c r="J18762" s="1125"/>
    </row>
    <row r="18763" spans="9:10" x14ac:dyDescent="0.2">
      <c r="I18763" s="1125"/>
      <c r="J18763" s="1125"/>
    </row>
    <row r="18764" spans="9:10" x14ac:dyDescent="0.2">
      <c r="I18764" s="1125"/>
      <c r="J18764" s="1125"/>
    </row>
    <row r="18765" spans="9:10" x14ac:dyDescent="0.2">
      <c r="I18765" s="1125"/>
      <c r="J18765" s="1125"/>
    </row>
    <row r="18766" spans="9:10" x14ac:dyDescent="0.2">
      <c r="I18766" s="1125"/>
      <c r="J18766" s="1125"/>
    </row>
    <row r="18767" spans="9:10" x14ac:dyDescent="0.2">
      <c r="I18767" s="1125"/>
      <c r="J18767" s="1125"/>
    </row>
    <row r="18768" spans="9:10" x14ac:dyDescent="0.2">
      <c r="I18768" s="1125"/>
      <c r="J18768" s="1125"/>
    </row>
    <row r="18769" spans="9:10" x14ac:dyDescent="0.2">
      <c r="I18769" s="1125"/>
      <c r="J18769" s="1125"/>
    </row>
    <row r="18770" spans="9:10" x14ac:dyDescent="0.2">
      <c r="I18770" s="1125"/>
      <c r="J18770" s="1125"/>
    </row>
    <row r="18771" spans="9:10" x14ac:dyDescent="0.2">
      <c r="I18771" s="1125"/>
      <c r="J18771" s="1125"/>
    </row>
    <row r="18772" spans="9:10" x14ac:dyDescent="0.2">
      <c r="I18772" s="1125"/>
      <c r="J18772" s="1125"/>
    </row>
    <row r="18773" spans="9:10" x14ac:dyDescent="0.2">
      <c r="I18773" s="1125"/>
      <c r="J18773" s="1125"/>
    </row>
    <row r="18774" spans="9:10" x14ac:dyDescent="0.2">
      <c r="I18774" s="1125"/>
      <c r="J18774" s="1125"/>
    </row>
    <row r="18775" spans="9:10" x14ac:dyDescent="0.2">
      <c r="I18775" s="1125"/>
      <c r="J18775" s="1125"/>
    </row>
    <row r="18776" spans="9:10" x14ac:dyDescent="0.2">
      <c r="I18776" s="1125"/>
      <c r="J18776" s="1125"/>
    </row>
    <row r="18777" spans="9:10" x14ac:dyDescent="0.2">
      <c r="I18777" s="1125"/>
      <c r="J18777" s="1125"/>
    </row>
    <row r="18778" spans="9:10" x14ac:dyDescent="0.2">
      <c r="I18778" s="1125"/>
      <c r="J18778" s="1125"/>
    </row>
    <row r="18779" spans="9:10" x14ac:dyDescent="0.2">
      <c r="I18779" s="1125"/>
      <c r="J18779" s="1125"/>
    </row>
    <row r="18780" spans="9:10" x14ac:dyDescent="0.2">
      <c r="I18780" s="1125"/>
      <c r="J18780" s="1125"/>
    </row>
    <row r="18781" spans="9:10" x14ac:dyDescent="0.2">
      <c r="I18781" s="1125"/>
      <c r="J18781" s="1125"/>
    </row>
    <row r="18782" spans="9:10" x14ac:dyDescent="0.2">
      <c r="I18782" s="1125"/>
      <c r="J18782" s="1125"/>
    </row>
    <row r="18783" spans="9:10" x14ac:dyDescent="0.2">
      <c r="I18783" s="1125"/>
      <c r="J18783" s="1125"/>
    </row>
    <row r="18784" spans="9:10" x14ac:dyDescent="0.2">
      <c r="I18784" s="1125"/>
      <c r="J18784" s="1125"/>
    </row>
    <row r="18785" spans="9:10" x14ac:dyDescent="0.2">
      <c r="I18785" s="1125"/>
      <c r="J18785" s="1125"/>
    </row>
    <row r="18786" spans="9:10" x14ac:dyDescent="0.2">
      <c r="I18786" s="1125"/>
      <c r="J18786" s="1125"/>
    </row>
    <row r="18787" spans="9:10" x14ac:dyDescent="0.2">
      <c r="I18787" s="1125"/>
      <c r="J18787" s="1125"/>
    </row>
    <row r="18788" spans="9:10" x14ac:dyDescent="0.2">
      <c r="I18788" s="1125"/>
      <c r="J18788" s="1125"/>
    </row>
    <row r="18789" spans="9:10" x14ac:dyDescent="0.2">
      <c r="I18789" s="1125"/>
      <c r="J18789" s="1125"/>
    </row>
    <row r="18790" spans="9:10" x14ac:dyDescent="0.2">
      <c r="I18790" s="1125"/>
      <c r="J18790" s="1125"/>
    </row>
    <row r="18791" spans="9:10" x14ac:dyDescent="0.2">
      <c r="I18791" s="1125"/>
      <c r="J18791" s="1125"/>
    </row>
    <row r="18792" spans="9:10" x14ac:dyDescent="0.2">
      <c r="I18792" s="1125"/>
      <c r="J18792" s="1125"/>
    </row>
    <row r="18793" spans="9:10" x14ac:dyDescent="0.2">
      <c r="I18793" s="1125"/>
      <c r="J18793" s="1125"/>
    </row>
    <row r="18794" spans="9:10" x14ac:dyDescent="0.2">
      <c r="I18794" s="1125"/>
      <c r="J18794" s="1125"/>
    </row>
    <row r="18795" spans="9:10" x14ac:dyDescent="0.2">
      <c r="I18795" s="1125"/>
      <c r="J18795" s="1125"/>
    </row>
    <row r="18796" spans="9:10" x14ac:dyDescent="0.2">
      <c r="I18796" s="1125"/>
      <c r="J18796" s="1125"/>
    </row>
    <row r="18797" spans="9:10" x14ac:dyDescent="0.2">
      <c r="I18797" s="1125"/>
      <c r="J18797" s="1125"/>
    </row>
    <row r="18798" spans="9:10" x14ac:dyDescent="0.2">
      <c r="I18798" s="1125"/>
      <c r="J18798" s="1125"/>
    </row>
    <row r="18799" spans="9:10" x14ac:dyDescent="0.2">
      <c r="I18799" s="1125"/>
      <c r="J18799" s="1125"/>
    </row>
    <row r="18800" spans="9:10" x14ac:dyDescent="0.2">
      <c r="I18800" s="1125"/>
      <c r="J18800" s="1125"/>
    </row>
    <row r="18801" spans="9:10" x14ac:dyDescent="0.2">
      <c r="I18801" s="1125"/>
      <c r="J18801" s="1125"/>
    </row>
    <row r="18802" spans="9:10" x14ac:dyDescent="0.2">
      <c r="I18802" s="1125"/>
      <c r="J18802" s="1125"/>
    </row>
    <row r="18803" spans="9:10" x14ac:dyDescent="0.2">
      <c r="I18803" s="1125"/>
      <c r="J18803" s="1125"/>
    </row>
    <row r="18804" spans="9:10" x14ac:dyDescent="0.2">
      <c r="I18804" s="1125"/>
      <c r="J18804" s="1125"/>
    </row>
    <row r="18805" spans="9:10" x14ac:dyDescent="0.2">
      <c r="I18805" s="1125"/>
      <c r="J18805" s="1125"/>
    </row>
    <row r="18806" spans="9:10" x14ac:dyDescent="0.2">
      <c r="I18806" s="1125"/>
      <c r="J18806" s="1125"/>
    </row>
    <row r="18807" spans="9:10" x14ac:dyDescent="0.2">
      <c r="I18807" s="1125"/>
      <c r="J18807" s="1125"/>
    </row>
    <row r="18808" spans="9:10" x14ac:dyDescent="0.2">
      <c r="I18808" s="1125"/>
      <c r="J18808" s="1125"/>
    </row>
    <row r="18809" spans="9:10" x14ac:dyDescent="0.2">
      <c r="I18809" s="1125"/>
      <c r="J18809" s="1125"/>
    </row>
    <row r="18810" spans="9:10" x14ac:dyDescent="0.2">
      <c r="I18810" s="1125"/>
      <c r="J18810" s="1125"/>
    </row>
    <row r="18811" spans="9:10" x14ac:dyDescent="0.2">
      <c r="I18811" s="1125"/>
      <c r="J18811" s="1125"/>
    </row>
    <row r="18812" spans="9:10" x14ac:dyDescent="0.2">
      <c r="I18812" s="1125"/>
      <c r="J18812" s="1125"/>
    </row>
    <row r="18813" spans="9:10" x14ac:dyDescent="0.2">
      <c r="I18813" s="1125"/>
      <c r="J18813" s="1125"/>
    </row>
    <row r="18814" spans="9:10" x14ac:dyDescent="0.2">
      <c r="I18814" s="1125"/>
      <c r="J18814" s="1125"/>
    </row>
    <row r="18815" spans="9:10" x14ac:dyDescent="0.2">
      <c r="I18815" s="1125"/>
      <c r="J18815" s="1125"/>
    </row>
    <row r="18816" spans="9:10" x14ac:dyDescent="0.2">
      <c r="I18816" s="1125"/>
      <c r="J18816" s="1125"/>
    </row>
    <row r="18817" spans="9:10" x14ac:dyDescent="0.2">
      <c r="I18817" s="1125"/>
      <c r="J18817" s="1125"/>
    </row>
    <row r="18818" spans="9:10" x14ac:dyDescent="0.2">
      <c r="I18818" s="1125"/>
      <c r="J18818" s="1125"/>
    </row>
    <row r="18819" spans="9:10" x14ac:dyDescent="0.2">
      <c r="I18819" s="1125"/>
      <c r="J18819" s="1125"/>
    </row>
    <row r="18820" spans="9:10" x14ac:dyDescent="0.2">
      <c r="I18820" s="1125"/>
      <c r="J18820" s="1125"/>
    </row>
    <row r="18821" spans="9:10" x14ac:dyDescent="0.2">
      <c r="I18821" s="1125"/>
      <c r="J18821" s="1125"/>
    </row>
    <row r="18822" spans="9:10" x14ac:dyDescent="0.2">
      <c r="I18822" s="1125"/>
      <c r="J18822" s="1125"/>
    </row>
    <row r="18823" spans="9:10" x14ac:dyDescent="0.2">
      <c r="I18823" s="1125"/>
      <c r="J18823" s="1125"/>
    </row>
    <row r="18824" spans="9:10" x14ac:dyDescent="0.2">
      <c r="I18824" s="1125"/>
      <c r="J18824" s="1125"/>
    </row>
    <row r="18825" spans="9:10" x14ac:dyDescent="0.2">
      <c r="I18825" s="1125"/>
      <c r="J18825" s="1125"/>
    </row>
    <row r="18826" spans="9:10" x14ac:dyDescent="0.2">
      <c r="I18826" s="1125"/>
      <c r="J18826" s="1125"/>
    </row>
    <row r="18827" spans="9:10" x14ac:dyDescent="0.2">
      <c r="I18827" s="1125"/>
      <c r="J18827" s="1125"/>
    </row>
    <row r="18828" spans="9:10" x14ac:dyDescent="0.2">
      <c r="I18828" s="1125"/>
      <c r="J18828" s="1125"/>
    </row>
    <row r="18829" spans="9:10" x14ac:dyDescent="0.2">
      <c r="I18829" s="1125"/>
      <c r="J18829" s="1125"/>
    </row>
    <row r="18830" spans="9:10" x14ac:dyDescent="0.2">
      <c r="I18830" s="1125"/>
      <c r="J18830" s="1125"/>
    </row>
    <row r="18831" spans="9:10" x14ac:dyDescent="0.2">
      <c r="I18831" s="1125"/>
      <c r="J18831" s="1125"/>
    </row>
    <row r="18832" spans="9:10" x14ac:dyDescent="0.2">
      <c r="I18832" s="1125"/>
      <c r="J18832" s="1125"/>
    </row>
    <row r="18833" spans="9:10" x14ac:dyDescent="0.2">
      <c r="I18833" s="1125"/>
      <c r="J18833" s="1125"/>
    </row>
    <row r="18834" spans="9:10" x14ac:dyDescent="0.2">
      <c r="I18834" s="1125"/>
      <c r="J18834" s="1125"/>
    </row>
    <row r="18835" spans="9:10" x14ac:dyDescent="0.2">
      <c r="I18835" s="1125"/>
      <c r="J18835" s="1125"/>
    </row>
    <row r="18836" spans="9:10" x14ac:dyDescent="0.2">
      <c r="I18836" s="1125"/>
      <c r="J18836" s="1125"/>
    </row>
    <row r="18837" spans="9:10" x14ac:dyDescent="0.2">
      <c r="I18837" s="1125"/>
      <c r="J18837" s="1125"/>
    </row>
    <row r="18838" spans="9:10" x14ac:dyDescent="0.2">
      <c r="I18838" s="1125"/>
      <c r="J18838" s="1125"/>
    </row>
    <row r="18839" spans="9:10" x14ac:dyDescent="0.2">
      <c r="I18839" s="1125"/>
      <c r="J18839" s="1125"/>
    </row>
    <row r="18840" spans="9:10" x14ac:dyDescent="0.2">
      <c r="I18840" s="1125"/>
      <c r="J18840" s="1125"/>
    </row>
    <row r="18841" spans="9:10" x14ac:dyDescent="0.2">
      <c r="I18841" s="1125"/>
      <c r="J18841" s="1125"/>
    </row>
    <row r="18842" spans="9:10" x14ac:dyDescent="0.2">
      <c r="I18842" s="1125"/>
      <c r="J18842" s="1125"/>
    </row>
    <row r="18843" spans="9:10" x14ac:dyDescent="0.2">
      <c r="I18843" s="1125"/>
      <c r="J18843" s="1125"/>
    </row>
    <row r="18844" spans="9:10" x14ac:dyDescent="0.2">
      <c r="I18844" s="1125"/>
      <c r="J18844" s="1125"/>
    </row>
    <row r="18845" spans="9:10" x14ac:dyDescent="0.2">
      <c r="I18845" s="1125"/>
      <c r="J18845" s="1125"/>
    </row>
    <row r="18846" spans="9:10" x14ac:dyDescent="0.2">
      <c r="I18846" s="1125"/>
      <c r="J18846" s="1125"/>
    </row>
    <row r="18847" spans="9:10" x14ac:dyDescent="0.2">
      <c r="I18847" s="1125"/>
      <c r="J18847" s="1125"/>
    </row>
    <row r="18848" spans="9:10" x14ac:dyDescent="0.2">
      <c r="I18848" s="1125"/>
      <c r="J18848" s="1125"/>
    </row>
    <row r="18849" spans="9:10" x14ac:dyDescent="0.2">
      <c r="I18849" s="1125"/>
      <c r="J18849" s="1125"/>
    </row>
    <row r="18850" spans="9:10" x14ac:dyDescent="0.2">
      <c r="I18850" s="1125"/>
      <c r="J18850" s="1125"/>
    </row>
    <row r="18851" spans="9:10" x14ac:dyDescent="0.2">
      <c r="I18851" s="1125"/>
      <c r="J18851" s="1125"/>
    </row>
    <row r="18852" spans="9:10" x14ac:dyDescent="0.2">
      <c r="I18852" s="1125"/>
      <c r="J18852" s="1125"/>
    </row>
    <row r="18853" spans="9:10" x14ac:dyDescent="0.2">
      <c r="I18853" s="1125"/>
      <c r="J18853" s="1125"/>
    </row>
    <row r="18854" spans="9:10" x14ac:dyDescent="0.2">
      <c r="I18854" s="1125"/>
      <c r="J18854" s="1125"/>
    </row>
    <row r="18855" spans="9:10" x14ac:dyDescent="0.2">
      <c r="I18855" s="1125"/>
      <c r="J18855" s="1125"/>
    </row>
    <row r="18856" spans="9:10" x14ac:dyDescent="0.2">
      <c r="I18856" s="1125"/>
      <c r="J18856" s="1125"/>
    </row>
    <row r="18857" spans="9:10" x14ac:dyDescent="0.2">
      <c r="I18857" s="1125"/>
      <c r="J18857" s="1125"/>
    </row>
    <row r="18858" spans="9:10" x14ac:dyDescent="0.2">
      <c r="I18858" s="1125"/>
      <c r="J18858" s="1125"/>
    </row>
    <row r="18859" spans="9:10" x14ac:dyDescent="0.2">
      <c r="I18859" s="1125"/>
      <c r="J18859" s="1125"/>
    </row>
    <row r="18860" spans="9:10" x14ac:dyDescent="0.2">
      <c r="I18860" s="1125"/>
      <c r="J18860" s="1125"/>
    </row>
    <row r="18861" spans="9:10" x14ac:dyDescent="0.2">
      <c r="I18861" s="1125"/>
      <c r="J18861" s="1125"/>
    </row>
    <row r="18862" spans="9:10" x14ac:dyDescent="0.2">
      <c r="I18862" s="1125"/>
      <c r="J18862" s="1125"/>
    </row>
    <row r="18863" spans="9:10" x14ac:dyDescent="0.2">
      <c r="I18863" s="1125"/>
      <c r="J18863" s="1125"/>
    </row>
    <row r="18864" spans="9:10" x14ac:dyDescent="0.2">
      <c r="I18864" s="1125"/>
      <c r="J18864" s="1125"/>
    </row>
    <row r="18865" spans="9:10" x14ac:dyDescent="0.2">
      <c r="I18865" s="1125"/>
      <c r="J18865" s="1125"/>
    </row>
    <row r="18866" spans="9:10" x14ac:dyDescent="0.2">
      <c r="I18866" s="1125"/>
      <c r="J18866" s="1125"/>
    </row>
    <row r="18867" spans="9:10" x14ac:dyDescent="0.2">
      <c r="I18867" s="1125"/>
      <c r="J18867" s="1125"/>
    </row>
    <row r="18868" spans="9:10" x14ac:dyDescent="0.2">
      <c r="I18868" s="1125"/>
      <c r="J18868" s="1125"/>
    </row>
    <row r="18869" spans="9:10" x14ac:dyDescent="0.2">
      <c r="I18869" s="1125"/>
      <c r="J18869" s="1125"/>
    </row>
    <row r="18870" spans="9:10" x14ac:dyDescent="0.2">
      <c r="I18870" s="1125"/>
      <c r="J18870" s="1125"/>
    </row>
    <row r="18871" spans="9:10" x14ac:dyDescent="0.2">
      <c r="I18871" s="1125"/>
      <c r="J18871" s="1125"/>
    </row>
    <row r="18872" spans="9:10" x14ac:dyDescent="0.2">
      <c r="I18872" s="1125"/>
      <c r="J18872" s="1125"/>
    </row>
    <row r="18873" spans="9:10" x14ac:dyDescent="0.2">
      <c r="I18873" s="1125"/>
      <c r="J18873" s="1125"/>
    </row>
    <row r="18874" spans="9:10" x14ac:dyDescent="0.2">
      <c r="I18874" s="1125"/>
      <c r="J18874" s="1125"/>
    </row>
    <row r="18875" spans="9:10" x14ac:dyDescent="0.2">
      <c r="I18875" s="1125"/>
      <c r="J18875" s="1125"/>
    </row>
    <row r="18876" spans="9:10" x14ac:dyDescent="0.2">
      <c r="I18876" s="1125"/>
      <c r="J18876" s="1125"/>
    </row>
    <row r="18877" spans="9:10" x14ac:dyDescent="0.2">
      <c r="I18877" s="1125"/>
      <c r="J18877" s="1125"/>
    </row>
    <row r="18878" spans="9:10" x14ac:dyDescent="0.2">
      <c r="I18878" s="1125"/>
      <c r="J18878" s="1125"/>
    </row>
    <row r="18879" spans="9:10" x14ac:dyDescent="0.2">
      <c r="I18879" s="1125"/>
      <c r="J18879" s="1125"/>
    </row>
    <row r="18880" spans="9:10" x14ac:dyDescent="0.2">
      <c r="I18880" s="1125"/>
      <c r="J18880" s="1125"/>
    </row>
    <row r="18881" spans="9:10" x14ac:dyDescent="0.2">
      <c r="I18881" s="1125"/>
      <c r="J18881" s="1125"/>
    </row>
    <row r="18882" spans="9:10" x14ac:dyDescent="0.2">
      <c r="I18882" s="1125"/>
      <c r="J18882" s="1125"/>
    </row>
    <row r="18883" spans="9:10" x14ac:dyDescent="0.2">
      <c r="I18883" s="1125"/>
      <c r="J18883" s="1125"/>
    </row>
    <row r="18884" spans="9:10" x14ac:dyDescent="0.2">
      <c r="I18884" s="1125"/>
      <c r="J18884" s="1125"/>
    </row>
    <row r="18885" spans="9:10" x14ac:dyDescent="0.2">
      <c r="I18885" s="1125"/>
      <c r="J18885" s="1125"/>
    </row>
    <row r="18886" spans="9:10" x14ac:dyDescent="0.2">
      <c r="I18886" s="1125"/>
      <c r="J18886" s="1125"/>
    </row>
    <row r="18887" spans="9:10" x14ac:dyDescent="0.2">
      <c r="I18887" s="1125"/>
      <c r="J18887" s="1125"/>
    </row>
    <row r="18888" spans="9:10" x14ac:dyDescent="0.2">
      <c r="I18888" s="1125"/>
      <c r="J18888" s="1125"/>
    </row>
    <row r="18889" spans="9:10" x14ac:dyDescent="0.2">
      <c r="I18889" s="1125"/>
      <c r="J18889" s="1125"/>
    </row>
    <row r="18890" spans="9:10" x14ac:dyDescent="0.2">
      <c r="I18890" s="1125"/>
      <c r="J18890" s="1125"/>
    </row>
    <row r="18891" spans="9:10" x14ac:dyDescent="0.2">
      <c r="I18891" s="1125"/>
      <c r="J18891" s="1125"/>
    </row>
    <row r="18892" spans="9:10" x14ac:dyDescent="0.2">
      <c r="I18892" s="1125"/>
      <c r="J18892" s="1125"/>
    </row>
    <row r="18893" spans="9:10" x14ac:dyDescent="0.2">
      <c r="I18893" s="1125"/>
      <c r="J18893" s="1125"/>
    </row>
    <row r="18894" spans="9:10" x14ac:dyDescent="0.2">
      <c r="I18894" s="1125"/>
      <c r="J18894" s="1125"/>
    </row>
    <row r="18895" spans="9:10" x14ac:dyDescent="0.2">
      <c r="I18895" s="1125"/>
      <c r="J18895" s="1125"/>
    </row>
    <row r="18896" spans="9:10" x14ac:dyDescent="0.2">
      <c r="I18896" s="1125"/>
      <c r="J18896" s="1125"/>
    </row>
    <row r="18897" spans="9:10" x14ac:dyDescent="0.2">
      <c r="I18897" s="1125"/>
      <c r="J18897" s="1125"/>
    </row>
    <row r="18898" spans="9:10" x14ac:dyDescent="0.2">
      <c r="I18898" s="1125"/>
      <c r="J18898" s="1125"/>
    </row>
    <row r="18899" spans="9:10" x14ac:dyDescent="0.2">
      <c r="I18899" s="1125"/>
      <c r="J18899" s="1125"/>
    </row>
    <row r="18900" spans="9:10" x14ac:dyDescent="0.2">
      <c r="I18900" s="1125"/>
      <c r="J18900" s="1125"/>
    </row>
    <row r="18901" spans="9:10" x14ac:dyDescent="0.2">
      <c r="I18901" s="1125"/>
      <c r="J18901" s="1125"/>
    </row>
    <row r="18902" spans="9:10" x14ac:dyDescent="0.2">
      <c r="I18902" s="1125"/>
      <c r="J18902" s="1125"/>
    </row>
    <row r="18903" spans="9:10" x14ac:dyDescent="0.2">
      <c r="I18903" s="1125"/>
      <c r="J18903" s="1125"/>
    </row>
    <row r="18904" spans="9:10" x14ac:dyDescent="0.2">
      <c r="I18904" s="1125"/>
      <c r="J18904" s="1125"/>
    </row>
    <row r="18905" spans="9:10" x14ac:dyDescent="0.2">
      <c r="I18905" s="1125"/>
      <c r="J18905" s="1125"/>
    </row>
    <row r="18906" spans="9:10" x14ac:dyDescent="0.2">
      <c r="I18906" s="1125"/>
      <c r="J18906" s="1125"/>
    </row>
    <row r="18907" spans="9:10" x14ac:dyDescent="0.2">
      <c r="I18907" s="1125"/>
      <c r="J18907" s="1125"/>
    </row>
    <row r="18908" spans="9:10" x14ac:dyDescent="0.2">
      <c r="I18908" s="1125"/>
      <c r="J18908" s="1125"/>
    </row>
    <row r="18909" spans="9:10" x14ac:dyDescent="0.2">
      <c r="I18909" s="1125"/>
      <c r="J18909" s="1125"/>
    </row>
    <row r="18910" spans="9:10" x14ac:dyDescent="0.2">
      <c r="I18910" s="1125"/>
      <c r="J18910" s="1125"/>
    </row>
    <row r="18911" spans="9:10" x14ac:dyDescent="0.2">
      <c r="I18911" s="1125"/>
      <c r="J18911" s="1125"/>
    </row>
    <row r="18912" spans="9:10" x14ac:dyDescent="0.2">
      <c r="I18912" s="1125"/>
      <c r="J18912" s="1125"/>
    </row>
    <row r="18913" spans="9:10" x14ac:dyDescent="0.2">
      <c r="I18913" s="1125"/>
      <c r="J18913" s="1125"/>
    </row>
    <row r="18914" spans="9:10" x14ac:dyDescent="0.2">
      <c r="I18914" s="1125"/>
      <c r="J18914" s="1125"/>
    </row>
    <row r="18915" spans="9:10" x14ac:dyDescent="0.2">
      <c r="I18915" s="1125"/>
      <c r="J18915" s="1125"/>
    </row>
    <row r="18916" spans="9:10" x14ac:dyDescent="0.2">
      <c r="I18916" s="1125"/>
      <c r="J18916" s="1125"/>
    </row>
    <row r="18917" spans="9:10" x14ac:dyDescent="0.2">
      <c r="I18917" s="1125"/>
      <c r="J18917" s="1125"/>
    </row>
    <row r="18918" spans="9:10" x14ac:dyDescent="0.2">
      <c r="I18918" s="1125"/>
      <c r="J18918" s="1125"/>
    </row>
    <row r="18919" spans="9:10" x14ac:dyDescent="0.2">
      <c r="I18919" s="1125"/>
      <c r="J18919" s="1125"/>
    </row>
    <row r="18920" spans="9:10" x14ac:dyDescent="0.2">
      <c r="I18920" s="1125"/>
      <c r="J18920" s="1125"/>
    </row>
    <row r="18921" spans="9:10" x14ac:dyDescent="0.2">
      <c r="I18921" s="1125"/>
      <c r="J18921" s="1125"/>
    </row>
    <row r="18922" spans="9:10" x14ac:dyDescent="0.2">
      <c r="I18922" s="1125"/>
      <c r="J18922" s="1125"/>
    </row>
    <row r="18923" spans="9:10" x14ac:dyDescent="0.2">
      <c r="I18923" s="1125"/>
      <c r="J18923" s="1125"/>
    </row>
    <row r="18924" spans="9:10" x14ac:dyDescent="0.2">
      <c r="I18924" s="1125"/>
      <c r="J18924" s="1125"/>
    </row>
    <row r="18925" spans="9:10" x14ac:dyDescent="0.2">
      <c r="I18925" s="1125"/>
      <c r="J18925" s="1125"/>
    </row>
    <row r="18926" spans="9:10" x14ac:dyDescent="0.2">
      <c r="I18926" s="1125"/>
      <c r="J18926" s="1125"/>
    </row>
    <row r="18927" spans="9:10" x14ac:dyDescent="0.2">
      <c r="I18927" s="1125"/>
      <c r="J18927" s="1125"/>
    </row>
    <row r="18928" spans="9:10" x14ac:dyDescent="0.2">
      <c r="I18928" s="1125"/>
      <c r="J18928" s="1125"/>
    </row>
    <row r="18929" spans="9:10" x14ac:dyDescent="0.2">
      <c r="I18929" s="1125"/>
      <c r="J18929" s="1125"/>
    </row>
    <row r="18930" spans="9:10" x14ac:dyDescent="0.2">
      <c r="I18930" s="1125"/>
      <c r="J18930" s="1125"/>
    </row>
    <row r="18931" spans="9:10" x14ac:dyDescent="0.2">
      <c r="I18931" s="1125"/>
      <c r="J18931" s="1125"/>
    </row>
    <row r="18932" spans="9:10" x14ac:dyDescent="0.2">
      <c r="I18932" s="1125"/>
      <c r="J18932" s="1125"/>
    </row>
    <row r="18933" spans="9:10" x14ac:dyDescent="0.2">
      <c r="I18933" s="1125"/>
      <c r="J18933" s="1125"/>
    </row>
    <row r="18934" spans="9:10" x14ac:dyDescent="0.2">
      <c r="I18934" s="1125"/>
      <c r="J18934" s="1125"/>
    </row>
    <row r="18935" spans="9:10" x14ac:dyDescent="0.2">
      <c r="I18935" s="1125"/>
      <c r="J18935" s="1125"/>
    </row>
    <row r="18936" spans="9:10" x14ac:dyDescent="0.2">
      <c r="I18936" s="1125"/>
      <c r="J18936" s="1125"/>
    </row>
    <row r="18937" spans="9:10" x14ac:dyDescent="0.2">
      <c r="I18937" s="1125"/>
      <c r="J18937" s="1125"/>
    </row>
    <row r="18938" spans="9:10" x14ac:dyDescent="0.2">
      <c r="I18938" s="1125"/>
      <c r="J18938" s="1125"/>
    </row>
    <row r="18939" spans="9:10" x14ac:dyDescent="0.2">
      <c r="I18939" s="1125"/>
      <c r="J18939" s="1125"/>
    </row>
    <row r="18940" spans="9:10" x14ac:dyDescent="0.2">
      <c r="I18940" s="1125"/>
      <c r="J18940" s="1125"/>
    </row>
    <row r="18941" spans="9:10" x14ac:dyDescent="0.2">
      <c r="I18941" s="1125"/>
      <c r="J18941" s="1125"/>
    </row>
    <row r="18942" spans="9:10" x14ac:dyDescent="0.2">
      <c r="I18942" s="1125"/>
      <c r="J18942" s="1125"/>
    </row>
    <row r="18943" spans="9:10" x14ac:dyDescent="0.2">
      <c r="I18943" s="1125"/>
      <c r="J18943" s="1125"/>
    </row>
    <row r="18944" spans="9:10" x14ac:dyDescent="0.2">
      <c r="I18944" s="1125"/>
      <c r="J18944" s="1125"/>
    </row>
    <row r="18945" spans="9:10" x14ac:dyDescent="0.2">
      <c r="I18945" s="1125"/>
      <c r="J18945" s="1125"/>
    </row>
    <row r="18946" spans="9:10" x14ac:dyDescent="0.2">
      <c r="I18946" s="1125"/>
      <c r="J18946" s="1125"/>
    </row>
    <row r="18947" spans="9:10" x14ac:dyDescent="0.2">
      <c r="I18947" s="1125"/>
      <c r="J18947" s="1125"/>
    </row>
    <row r="18948" spans="9:10" x14ac:dyDescent="0.2">
      <c r="I18948" s="1125"/>
      <c r="J18948" s="1125"/>
    </row>
    <row r="18949" spans="9:10" x14ac:dyDescent="0.2">
      <c r="I18949" s="1125"/>
      <c r="J18949" s="1125"/>
    </row>
    <row r="18950" spans="9:10" x14ac:dyDescent="0.2">
      <c r="I18950" s="1125"/>
      <c r="J18950" s="1125"/>
    </row>
    <row r="18951" spans="9:10" x14ac:dyDescent="0.2">
      <c r="I18951" s="1125"/>
      <c r="J18951" s="1125"/>
    </row>
    <row r="18952" spans="9:10" x14ac:dyDescent="0.2">
      <c r="I18952" s="1125"/>
      <c r="J18952" s="1125"/>
    </row>
    <row r="18953" spans="9:10" x14ac:dyDescent="0.2">
      <c r="I18953" s="1125"/>
      <c r="J18953" s="1125"/>
    </row>
    <row r="18954" spans="9:10" x14ac:dyDescent="0.2">
      <c r="I18954" s="1125"/>
      <c r="J18954" s="1125"/>
    </row>
    <row r="18955" spans="9:10" x14ac:dyDescent="0.2">
      <c r="I18955" s="1125"/>
      <c r="J18955" s="1125"/>
    </row>
    <row r="18956" spans="9:10" x14ac:dyDescent="0.2">
      <c r="I18956" s="1125"/>
      <c r="J18956" s="1125"/>
    </row>
    <row r="18957" spans="9:10" x14ac:dyDescent="0.2">
      <c r="I18957" s="1125"/>
      <c r="J18957" s="1125"/>
    </row>
    <row r="18958" spans="9:10" x14ac:dyDescent="0.2">
      <c r="I18958" s="1125"/>
      <c r="J18958" s="1125"/>
    </row>
    <row r="18959" spans="9:10" x14ac:dyDescent="0.2">
      <c r="I18959" s="1125"/>
      <c r="J18959" s="1125"/>
    </row>
    <row r="18960" spans="9:10" x14ac:dyDescent="0.2">
      <c r="I18960" s="1125"/>
      <c r="J18960" s="1125"/>
    </row>
    <row r="18961" spans="9:10" x14ac:dyDescent="0.2">
      <c r="I18961" s="1125"/>
      <c r="J18961" s="1125"/>
    </row>
    <row r="18962" spans="9:10" x14ac:dyDescent="0.2">
      <c r="I18962" s="1125"/>
      <c r="J18962" s="1125"/>
    </row>
    <row r="18963" spans="9:10" x14ac:dyDescent="0.2">
      <c r="I18963" s="1125"/>
      <c r="J18963" s="1125"/>
    </row>
    <row r="18964" spans="9:10" x14ac:dyDescent="0.2">
      <c r="I18964" s="1125"/>
      <c r="J18964" s="1125"/>
    </row>
    <row r="18965" spans="9:10" x14ac:dyDescent="0.2">
      <c r="I18965" s="1125"/>
      <c r="J18965" s="1125"/>
    </row>
    <row r="18966" spans="9:10" x14ac:dyDescent="0.2">
      <c r="I18966" s="1125"/>
      <c r="J18966" s="1125"/>
    </row>
    <row r="18967" spans="9:10" x14ac:dyDescent="0.2">
      <c r="I18967" s="1125"/>
      <c r="J18967" s="1125"/>
    </row>
    <row r="18968" spans="9:10" x14ac:dyDescent="0.2">
      <c r="I18968" s="1125"/>
      <c r="J18968" s="1125"/>
    </row>
    <row r="18969" spans="9:10" x14ac:dyDescent="0.2">
      <c r="I18969" s="1125"/>
      <c r="J18969" s="1125"/>
    </row>
    <row r="18970" spans="9:10" x14ac:dyDescent="0.2">
      <c r="I18970" s="1125"/>
      <c r="J18970" s="1125"/>
    </row>
    <row r="18971" spans="9:10" x14ac:dyDescent="0.2">
      <c r="I18971" s="1125"/>
      <c r="J18971" s="1125"/>
    </row>
    <row r="18972" spans="9:10" x14ac:dyDescent="0.2">
      <c r="I18972" s="1125"/>
      <c r="J18972" s="1125"/>
    </row>
    <row r="18973" spans="9:10" x14ac:dyDescent="0.2">
      <c r="I18973" s="1125"/>
      <c r="J18973" s="1125"/>
    </row>
    <row r="18974" spans="9:10" x14ac:dyDescent="0.2">
      <c r="I18974" s="1125"/>
      <c r="J18974" s="1125"/>
    </row>
    <row r="18975" spans="9:10" x14ac:dyDescent="0.2">
      <c r="I18975" s="1125"/>
      <c r="J18975" s="1125"/>
    </row>
    <row r="18976" spans="9:10" x14ac:dyDescent="0.2">
      <c r="I18976" s="1125"/>
      <c r="J18976" s="1125"/>
    </row>
    <row r="18977" spans="9:10" x14ac:dyDescent="0.2">
      <c r="I18977" s="1125"/>
      <c r="J18977" s="1125"/>
    </row>
    <row r="18978" spans="9:10" x14ac:dyDescent="0.2">
      <c r="I18978" s="1125"/>
      <c r="J18978" s="1125"/>
    </row>
    <row r="18979" spans="9:10" x14ac:dyDescent="0.2">
      <c r="I18979" s="1125"/>
      <c r="J18979" s="1125"/>
    </row>
    <row r="18980" spans="9:10" x14ac:dyDescent="0.2">
      <c r="I18980" s="1125"/>
      <c r="J18980" s="1125"/>
    </row>
    <row r="18981" spans="9:10" x14ac:dyDescent="0.2">
      <c r="I18981" s="1125"/>
      <c r="J18981" s="1125"/>
    </row>
    <row r="18982" spans="9:10" x14ac:dyDescent="0.2">
      <c r="I18982" s="1125"/>
      <c r="J18982" s="1125"/>
    </row>
    <row r="18983" spans="9:10" x14ac:dyDescent="0.2">
      <c r="I18983" s="1125"/>
      <c r="J18983" s="1125"/>
    </row>
    <row r="18984" spans="9:10" x14ac:dyDescent="0.2">
      <c r="I18984" s="1125"/>
      <c r="J18984" s="1125"/>
    </row>
    <row r="18985" spans="9:10" x14ac:dyDescent="0.2">
      <c r="I18985" s="1125"/>
      <c r="J18985" s="1125"/>
    </row>
    <row r="18986" spans="9:10" x14ac:dyDescent="0.2">
      <c r="I18986" s="1125"/>
      <c r="J18986" s="1125"/>
    </row>
    <row r="18987" spans="9:10" x14ac:dyDescent="0.2">
      <c r="I18987" s="1125"/>
      <c r="J18987" s="1125"/>
    </row>
    <row r="18988" spans="9:10" x14ac:dyDescent="0.2">
      <c r="I18988" s="1125"/>
      <c r="J18988" s="1125"/>
    </row>
    <row r="18989" spans="9:10" x14ac:dyDescent="0.2">
      <c r="I18989" s="1125"/>
      <c r="J18989" s="1125"/>
    </row>
    <row r="18990" spans="9:10" x14ac:dyDescent="0.2">
      <c r="I18990" s="1125"/>
      <c r="J18990" s="1125"/>
    </row>
    <row r="18991" spans="9:10" x14ac:dyDescent="0.2">
      <c r="I18991" s="1125"/>
      <c r="J18991" s="1125"/>
    </row>
    <row r="18992" spans="9:10" x14ac:dyDescent="0.2">
      <c r="I18992" s="1125"/>
      <c r="J18992" s="1125"/>
    </row>
    <row r="18993" spans="9:10" x14ac:dyDescent="0.2">
      <c r="I18993" s="1125"/>
      <c r="J18993" s="1125"/>
    </row>
    <row r="18994" spans="9:10" x14ac:dyDescent="0.2">
      <c r="I18994" s="1125"/>
      <c r="J18994" s="1125"/>
    </row>
    <row r="18995" spans="9:10" x14ac:dyDescent="0.2">
      <c r="I18995" s="1125"/>
      <c r="J18995" s="1125"/>
    </row>
    <row r="18996" spans="9:10" x14ac:dyDescent="0.2">
      <c r="I18996" s="1125"/>
      <c r="J18996" s="1125"/>
    </row>
    <row r="18997" spans="9:10" x14ac:dyDescent="0.2">
      <c r="I18997" s="1125"/>
      <c r="J18997" s="1125"/>
    </row>
    <row r="18998" spans="9:10" x14ac:dyDescent="0.2">
      <c r="I18998" s="1125"/>
      <c r="J18998" s="1125"/>
    </row>
    <row r="18999" spans="9:10" x14ac:dyDescent="0.2">
      <c r="I18999" s="1125"/>
      <c r="J18999" s="1125"/>
    </row>
    <row r="19000" spans="9:10" x14ac:dyDescent="0.2">
      <c r="I19000" s="1125"/>
      <c r="J19000" s="1125"/>
    </row>
    <row r="19001" spans="9:10" x14ac:dyDescent="0.2">
      <c r="I19001" s="1125"/>
      <c r="J19001" s="1125"/>
    </row>
    <row r="19002" spans="9:10" x14ac:dyDescent="0.2">
      <c r="I19002" s="1125"/>
      <c r="J19002" s="1125"/>
    </row>
    <row r="19003" spans="9:10" x14ac:dyDescent="0.2">
      <c r="I19003" s="1125"/>
      <c r="J19003" s="1125"/>
    </row>
    <row r="19004" spans="9:10" x14ac:dyDescent="0.2">
      <c r="I19004" s="1125"/>
      <c r="J19004" s="1125"/>
    </row>
    <row r="19005" spans="9:10" x14ac:dyDescent="0.2">
      <c r="I19005" s="1125"/>
      <c r="J19005" s="1125"/>
    </row>
    <row r="19006" spans="9:10" x14ac:dyDescent="0.2">
      <c r="I19006" s="1125"/>
      <c r="J19006" s="1125"/>
    </row>
    <row r="19007" spans="9:10" x14ac:dyDescent="0.2">
      <c r="I19007" s="1125"/>
      <c r="J19007" s="1125"/>
    </row>
    <row r="19008" spans="9:10" x14ac:dyDescent="0.2">
      <c r="I19008" s="1125"/>
      <c r="J19008" s="1125"/>
    </row>
    <row r="19009" spans="9:10" x14ac:dyDescent="0.2">
      <c r="I19009" s="1125"/>
      <c r="J19009" s="1125"/>
    </row>
    <row r="19010" spans="9:10" x14ac:dyDescent="0.2">
      <c r="I19010" s="1125"/>
      <c r="J19010" s="1125"/>
    </row>
    <row r="19011" spans="9:10" x14ac:dyDescent="0.2">
      <c r="I19011" s="1125"/>
      <c r="J19011" s="1125"/>
    </row>
    <row r="19012" spans="9:10" x14ac:dyDescent="0.2">
      <c r="I19012" s="1125"/>
      <c r="J19012" s="1125"/>
    </row>
    <row r="19013" spans="9:10" x14ac:dyDescent="0.2">
      <c r="I19013" s="1125"/>
      <c r="J19013" s="1125"/>
    </row>
    <row r="19014" spans="9:10" x14ac:dyDescent="0.2">
      <c r="I19014" s="1125"/>
      <c r="J19014" s="1125"/>
    </row>
    <row r="19015" spans="9:10" x14ac:dyDescent="0.2">
      <c r="I19015" s="1125"/>
      <c r="J19015" s="1125"/>
    </row>
    <row r="19016" spans="9:10" x14ac:dyDescent="0.2">
      <c r="I19016" s="1125"/>
      <c r="J19016" s="1125"/>
    </row>
    <row r="19017" spans="9:10" x14ac:dyDescent="0.2">
      <c r="I19017" s="1125"/>
      <c r="J19017" s="1125"/>
    </row>
    <row r="19018" spans="9:10" x14ac:dyDescent="0.2">
      <c r="I19018" s="1125"/>
      <c r="J19018" s="1125"/>
    </row>
    <row r="19019" spans="9:10" x14ac:dyDescent="0.2">
      <c r="I19019" s="1125"/>
      <c r="J19019" s="1125"/>
    </row>
    <row r="19020" spans="9:10" x14ac:dyDescent="0.2">
      <c r="I19020" s="1125"/>
      <c r="J19020" s="1125"/>
    </row>
    <row r="19021" spans="9:10" x14ac:dyDescent="0.2">
      <c r="I19021" s="1125"/>
      <c r="J19021" s="1125"/>
    </row>
    <row r="19022" spans="9:10" x14ac:dyDescent="0.2">
      <c r="I19022" s="1125"/>
      <c r="J19022" s="1125"/>
    </row>
    <row r="19023" spans="9:10" x14ac:dyDescent="0.2">
      <c r="I19023" s="1125"/>
      <c r="J19023" s="1125"/>
    </row>
    <row r="19024" spans="9:10" x14ac:dyDescent="0.2">
      <c r="I19024" s="1125"/>
      <c r="J19024" s="1125"/>
    </row>
    <row r="19025" spans="9:10" x14ac:dyDescent="0.2">
      <c r="I19025" s="1125"/>
      <c r="J19025" s="1125"/>
    </row>
    <row r="19026" spans="9:10" x14ac:dyDescent="0.2">
      <c r="I19026" s="1125"/>
      <c r="J19026" s="1125"/>
    </row>
    <row r="19027" spans="9:10" x14ac:dyDescent="0.2">
      <c r="I19027" s="1125"/>
      <c r="J19027" s="1125"/>
    </row>
    <row r="19028" spans="9:10" x14ac:dyDescent="0.2">
      <c r="I19028" s="1125"/>
      <c r="J19028" s="1125"/>
    </row>
    <row r="19029" spans="9:10" x14ac:dyDescent="0.2">
      <c r="I19029" s="1125"/>
      <c r="J19029" s="1125"/>
    </row>
    <row r="19030" spans="9:10" x14ac:dyDescent="0.2">
      <c r="I19030" s="1125"/>
      <c r="J19030" s="1125"/>
    </row>
    <row r="19031" spans="9:10" x14ac:dyDescent="0.2">
      <c r="I19031" s="1125"/>
      <c r="J19031" s="1125"/>
    </row>
    <row r="19032" spans="9:10" x14ac:dyDescent="0.2">
      <c r="I19032" s="1125"/>
      <c r="J19032" s="1125"/>
    </row>
    <row r="19033" spans="9:10" x14ac:dyDescent="0.2">
      <c r="I19033" s="1125"/>
      <c r="J19033" s="1125"/>
    </row>
    <row r="19034" spans="9:10" x14ac:dyDescent="0.2">
      <c r="I19034" s="1125"/>
      <c r="J19034" s="1125"/>
    </row>
    <row r="19035" spans="9:10" x14ac:dyDescent="0.2">
      <c r="I19035" s="1125"/>
      <c r="J19035" s="1125"/>
    </row>
    <row r="19036" spans="9:10" x14ac:dyDescent="0.2">
      <c r="I19036" s="1125"/>
      <c r="J19036" s="1125"/>
    </row>
    <row r="19037" spans="9:10" x14ac:dyDescent="0.2">
      <c r="I19037" s="1125"/>
      <c r="J19037" s="1125"/>
    </row>
    <row r="19038" spans="9:10" x14ac:dyDescent="0.2">
      <c r="I19038" s="1125"/>
      <c r="J19038" s="1125"/>
    </row>
    <row r="19039" spans="9:10" x14ac:dyDescent="0.2">
      <c r="I19039" s="1125"/>
      <c r="J19039" s="1125"/>
    </row>
    <row r="19040" spans="9:10" x14ac:dyDescent="0.2">
      <c r="I19040" s="1125"/>
      <c r="J19040" s="1125"/>
    </row>
    <row r="19041" spans="9:10" x14ac:dyDescent="0.2">
      <c r="I19041" s="1125"/>
      <c r="J19041" s="1125"/>
    </row>
    <row r="19042" spans="9:10" x14ac:dyDescent="0.2">
      <c r="I19042" s="1125"/>
      <c r="J19042" s="1125"/>
    </row>
    <row r="19043" spans="9:10" x14ac:dyDescent="0.2">
      <c r="I19043" s="1125"/>
      <c r="J19043" s="1125"/>
    </row>
    <row r="19044" spans="9:10" x14ac:dyDescent="0.2">
      <c r="I19044" s="1125"/>
      <c r="J19044" s="1125"/>
    </row>
    <row r="19045" spans="9:10" x14ac:dyDescent="0.2">
      <c r="I19045" s="1125"/>
      <c r="J19045" s="1125"/>
    </row>
    <row r="19046" spans="9:10" x14ac:dyDescent="0.2">
      <c r="I19046" s="1125"/>
      <c r="J19046" s="1125"/>
    </row>
    <row r="19047" spans="9:10" x14ac:dyDescent="0.2">
      <c r="I19047" s="1125"/>
      <c r="J19047" s="1125"/>
    </row>
    <row r="19048" spans="9:10" x14ac:dyDescent="0.2">
      <c r="I19048" s="1125"/>
      <c r="J19048" s="1125"/>
    </row>
    <row r="19049" spans="9:10" x14ac:dyDescent="0.2">
      <c r="I19049" s="1125"/>
      <c r="J19049" s="1125"/>
    </row>
    <row r="19050" spans="9:10" x14ac:dyDescent="0.2">
      <c r="I19050" s="1125"/>
      <c r="J19050" s="1125"/>
    </row>
    <row r="19051" spans="9:10" x14ac:dyDescent="0.2">
      <c r="I19051" s="1125"/>
      <c r="J19051" s="1125"/>
    </row>
    <row r="19052" spans="9:10" x14ac:dyDescent="0.2">
      <c r="I19052" s="1125"/>
      <c r="J19052" s="1125"/>
    </row>
    <row r="19053" spans="9:10" x14ac:dyDescent="0.2">
      <c r="I19053" s="1125"/>
      <c r="J19053" s="1125"/>
    </row>
    <row r="19054" spans="9:10" x14ac:dyDescent="0.2">
      <c r="I19054" s="1125"/>
      <c r="J19054" s="1125"/>
    </row>
    <row r="19055" spans="9:10" x14ac:dyDescent="0.2">
      <c r="I19055" s="1125"/>
      <c r="J19055" s="1125"/>
    </row>
    <row r="19056" spans="9:10" x14ac:dyDescent="0.2">
      <c r="I19056" s="1125"/>
      <c r="J19056" s="1125"/>
    </row>
    <row r="19057" spans="9:10" x14ac:dyDescent="0.2">
      <c r="I19057" s="1125"/>
      <c r="J19057" s="1125"/>
    </row>
    <row r="19058" spans="9:10" x14ac:dyDescent="0.2">
      <c r="I19058" s="1125"/>
      <c r="J19058" s="1125"/>
    </row>
    <row r="19059" spans="9:10" x14ac:dyDescent="0.2">
      <c r="I19059" s="1125"/>
      <c r="J19059" s="1125"/>
    </row>
    <row r="19060" spans="9:10" x14ac:dyDescent="0.2">
      <c r="I19060" s="1125"/>
      <c r="J19060" s="1125"/>
    </row>
    <row r="19061" spans="9:10" x14ac:dyDescent="0.2">
      <c r="I19061" s="1125"/>
      <c r="J19061" s="1125"/>
    </row>
    <row r="19062" spans="9:10" x14ac:dyDescent="0.2">
      <c r="I19062" s="1125"/>
      <c r="J19062" s="1125"/>
    </row>
    <row r="19063" spans="9:10" x14ac:dyDescent="0.2">
      <c r="I19063" s="1125"/>
      <c r="J19063" s="1125"/>
    </row>
    <row r="19064" spans="9:10" x14ac:dyDescent="0.2">
      <c r="I19064" s="1125"/>
      <c r="J19064" s="1125"/>
    </row>
    <row r="19065" spans="9:10" x14ac:dyDescent="0.2">
      <c r="I19065" s="1125"/>
      <c r="J19065" s="1125"/>
    </row>
    <row r="19066" spans="9:10" x14ac:dyDescent="0.2">
      <c r="I19066" s="1125"/>
      <c r="J19066" s="1125"/>
    </row>
    <row r="19067" spans="9:10" x14ac:dyDescent="0.2">
      <c r="I19067" s="1125"/>
      <c r="J19067" s="1125"/>
    </row>
    <row r="19068" spans="9:10" x14ac:dyDescent="0.2">
      <c r="I19068" s="1125"/>
      <c r="J19068" s="1125"/>
    </row>
    <row r="19069" spans="9:10" x14ac:dyDescent="0.2">
      <c r="I19069" s="1125"/>
      <c r="J19069" s="1125"/>
    </row>
    <row r="19070" spans="9:10" x14ac:dyDescent="0.2">
      <c r="I19070" s="1125"/>
      <c r="J19070" s="1125"/>
    </row>
    <row r="19071" spans="9:10" x14ac:dyDescent="0.2">
      <c r="I19071" s="1125"/>
      <c r="J19071" s="1125"/>
    </row>
    <row r="19072" spans="9:10" x14ac:dyDescent="0.2">
      <c r="I19072" s="1125"/>
      <c r="J19072" s="1125"/>
    </row>
    <row r="19073" spans="9:10" x14ac:dyDescent="0.2">
      <c r="I19073" s="1125"/>
      <c r="J19073" s="1125"/>
    </row>
    <row r="19074" spans="9:10" x14ac:dyDescent="0.2">
      <c r="I19074" s="1125"/>
      <c r="J19074" s="1125"/>
    </row>
    <row r="19075" spans="9:10" x14ac:dyDescent="0.2">
      <c r="I19075" s="1125"/>
      <c r="J19075" s="1125"/>
    </row>
    <row r="19076" spans="9:10" x14ac:dyDescent="0.2">
      <c r="I19076" s="1125"/>
      <c r="J19076" s="1125"/>
    </row>
    <row r="19077" spans="9:10" x14ac:dyDescent="0.2">
      <c r="I19077" s="1125"/>
      <c r="J19077" s="1125"/>
    </row>
    <row r="19078" spans="9:10" x14ac:dyDescent="0.2">
      <c r="I19078" s="1125"/>
      <c r="J19078" s="1125"/>
    </row>
    <row r="19079" spans="9:10" x14ac:dyDescent="0.2">
      <c r="I19079" s="1125"/>
      <c r="J19079" s="1125"/>
    </row>
    <row r="19080" spans="9:10" x14ac:dyDescent="0.2">
      <c r="I19080" s="1125"/>
      <c r="J19080" s="1125"/>
    </row>
    <row r="19081" spans="9:10" x14ac:dyDescent="0.2">
      <c r="I19081" s="1125"/>
      <c r="J19081" s="1125"/>
    </row>
    <row r="19082" spans="9:10" x14ac:dyDescent="0.2">
      <c r="I19082" s="1125"/>
      <c r="J19082" s="1125"/>
    </row>
    <row r="19083" spans="9:10" x14ac:dyDescent="0.2">
      <c r="I19083" s="1125"/>
      <c r="J19083" s="1125"/>
    </row>
    <row r="19084" spans="9:10" x14ac:dyDescent="0.2">
      <c r="I19084" s="1125"/>
      <c r="J19084" s="1125"/>
    </row>
    <row r="19085" spans="9:10" x14ac:dyDescent="0.2">
      <c r="I19085" s="1125"/>
      <c r="J19085" s="1125"/>
    </row>
    <row r="19086" spans="9:10" x14ac:dyDescent="0.2">
      <c r="I19086" s="1125"/>
      <c r="J19086" s="1125"/>
    </row>
    <row r="19087" spans="9:10" x14ac:dyDescent="0.2">
      <c r="I19087" s="1125"/>
      <c r="J19087" s="1125"/>
    </row>
    <row r="19088" spans="9:10" x14ac:dyDescent="0.2">
      <c r="I19088" s="1125"/>
      <c r="J19088" s="1125"/>
    </row>
    <row r="19089" spans="9:10" x14ac:dyDescent="0.2">
      <c r="I19089" s="1125"/>
      <c r="J19089" s="1125"/>
    </row>
    <row r="19090" spans="9:10" x14ac:dyDescent="0.2">
      <c r="I19090" s="1125"/>
      <c r="J19090" s="1125"/>
    </row>
    <row r="19091" spans="9:10" x14ac:dyDescent="0.2">
      <c r="I19091" s="1125"/>
      <c r="J19091" s="1125"/>
    </row>
    <row r="19092" spans="9:10" x14ac:dyDescent="0.2">
      <c r="I19092" s="1125"/>
      <c r="J19092" s="1125"/>
    </row>
    <row r="19093" spans="9:10" x14ac:dyDescent="0.2">
      <c r="I19093" s="1125"/>
      <c r="J19093" s="1125"/>
    </row>
    <row r="19094" spans="9:10" x14ac:dyDescent="0.2">
      <c r="I19094" s="1125"/>
      <c r="J19094" s="1125"/>
    </row>
    <row r="19095" spans="9:10" x14ac:dyDescent="0.2">
      <c r="I19095" s="1125"/>
      <c r="J19095" s="1125"/>
    </row>
    <row r="19096" spans="9:10" x14ac:dyDescent="0.2">
      <c r="I19096" s="1125"/>
      <c r="J19096" s="1125"/>
    </row>
    <row r="19097" spans="9:10" x14ac:dyDescent="0.2">
      <c r="I19097" s="1125"/>
      <c r="J19097" s="1125"/>
    </row>
    <row r="19098" spans="9:10" x14ac:dyDescent="0.2">
      <c r="I19098" s="1125"/>
      <c r="J19098" s="1125"/>
    </row>
    <row r="19099" spans="9:10" x14ac:dyDescent="0.2">
      <c r="I19099" s="1125"/>
      <c r="J19099" s="1125"/>
    </row>
    <row r="19100" spans="9:10" x14ac:dyDescent="0.2">
      <c r="I19100" s="1125"/>
      <c r="J19100" s="1125"/>
    </row>
    <row r="19101" spans="9:10" x14ac:dyDescent="0.2">
      <c r="I19101" s="1125"/>
      <c r="J19101" s="1125"/>
    </row>
    <row r="19102" spans="9:10" x14ac:dyDescent="0.2">
      <c r="I19102" s="1125"/>
      <c r="J19102" s="1125"/>
    </row>
    <row r="19103" spans="9:10" x14ac:dyDescent="0.2">
      <c r="I19103" s="1125"/>
      <c r="J19103" s="1125"/>
    </row>
    <row r="19104" spans="9:10" x14ac:dyDescent="0.2">
      <c r="I19104" s="1125"/>
      <c r="J19104" s="1125"/>
    </row>
    <row r="19105" spans="9:10" x14ac:dyDescent="0.2">
      <c r="I19105" s="1125"/>
      <c r="J19105" s="1125"/>
    </row>
    <row r="19106" spans="9:10" x14ac:dyDescent="0.2">
      <c r="I19106" s="1125"/>
      <c r="J19106" s="1125"/>
    </row>
    <row r="19107" spans="9:10" x14ac:dyDescent="0.2">
      <c r="I19107" s="1125"/>
      <c r="J19107" s="1125"/>
    </row>
    <row r="19108" spans="9:10" x14ac:dyDescent="0.2">
      <c r="I19108" s="1125"/>
      <c r="J19108" s="1125"/>
    </row>
    <row r="19109" spans="9:10" x14ac:dyDescent="0.2">
      <c r="I19109" s="1125"/>
      <c r="J19109" s="1125"/>
    </row>
    <row r="19110" spans="9:10" x14ac:dyDescent="0.2">
      <c r="I19110" s="1125"/>
      <c r="J19110" s="1125"/>
    </row>
    <row r="19111" spans="9:10" x14ac:dyDescent="0.2">
      <c r="I19111" s="1125"/>
      <c r="J19111" s="1125"/>
    </row>
    <row r="19112" spans="9:10" x14ac:dyDescent="0.2">
      <c r="I19112" s="1125"/>
      <c r="J19112" s="1125"/>
    </row>
    <row r="19113" spans="9:10" x14ac:dyDescent="0.2">
      <c r="I19113" s="1125"/>
      <c r="J19113" s="1125"/>
    </row>
    <row r="19114" spans="9:10" x14ac:dyDescent="0.2">
      <c r="I19114" s="1125"/>
      <c r="J19114" s="1125"/>
    </row>
    <row r="19115" spans="9:10" x14ac:dyDescent="0.2">
      <c r="I19115" s="1125"/>
      <c r="J19115" s="1125"/>
    </row>
    <row r="19116" spans="9:10" x14ac:dyDescent="0.2">
      <c r="I19116" s="1125"/>
      <c r="J19116" s="1125"/>
    </row>
    <row r="19117" spans="9:10" x14ac:dyDescent="0.2">
      <c r="I19117" s="1125"/>
      <c r="J19117" s="1125"/>
    </row>
    <row r="19118" spans="9:10" x14ac:dyDescent="0.2">
      <c r="I19118" s="1125"/>
      <c r="J19118" s="1125"/>
    </row>
    <row r="19119" spans="9:10" x14ac:dyDescent="0.2">
      <c r="I19119" s="1125"/>
      <c r="J19119" s="1125"/>
    </row>
    <row r="19120" spans="9:10" x14ac:dyDescent="0.2">
      <c r="I19120" s="1125"/>
      <c r="J19120" s="1125"/>
    </row>
    <row r="19121" spans="9:10" x14ac:dyDescent="0.2">
      <c r="I19121" s="1125"/>
      <c r="J19121" s="1125"/>
    </row>
    <row r="19122" spans="9:10" x14ac:dyDescent="0.2">
      <c r="I19122" s="1125"/>
      <c r="J19122" s="1125"/>
    </row>
    <row r="19123" spans="9:10" x14ac:dyDescent="0.2">
      <c r="I19123" s="1125"/>
      <c r="J19123" s="1125"/>
    </row>
    <row r="19124" spans="9:10" x14ac:dyDescent="0.2">
      <c r="I19124" s="1125"/>
      <c r="J19124" s="1125"/>
    </row>
    <row r="19125" spans="9:10" x14ac:dyDescent="0.2">
      <c r="I19125" s="1125"/>
      <c r="J19125" s="1125"/>
    </row>
    <row r="19126" spans="9:10" x14ac:dyDescent="0.2">
      <c r="I19126" s="1125"/>
      <c r="J19126" s="1125"/>
    </row>
    <row r="19127" spans="9:10" x14ac:dyDescent="0.2">
      <c r="I19127" s="1125"/>
      <c r="J19127" s="1125"/>
    </row>
    <row r="19128" spans="9:10" x14ac:dyDescent="0.2">
      <c r="I19128" s="1125"/>
      <c r="J19128" s="1125"/>
    </row>
    <row r="19129" spans="9:10" x14ac:dyDescent="0.2">
      <c r="I19129" s="1125"/>
      <c r="J19129" s="1125"/>
    </row>
    <row r="19130" spans="9:10" x14ac:dyDescent="0.2">
      <c r="I19130" s="1125"/>
      <c r="J19130" s="1125"/>
    </row>
    <row r="19131" spans="9:10" x14ac:dyDescent="0.2">
      <c r="I19131" s="1125"/>
      <c r="J19131" s="1125"/>
    </row>
    <row r="19132" spans="9:10" x14ac:dyDescent="0.2">
      <c r="I19132" s="1125"/>
      <c r="J19132" s="1125"/>
    </row>
    <row r="19133" spans="9:10" x14ac:dyDescent="0.2">
      <c r="I19133" s="1125"/>
      <c r="J19133" s="1125"/>
    </row>
    <row r="19134" spans="9:10" x14ac:dyDescent="0.2">
      <c r="I19134" s="1125"/>
      <c r="J19134" s="1125"/>
    </row>
    <row r="19135" spans="9:10" x14ac:dyDescent="0.2">
      <c r="I19135" s="1125"/>
      <c r="J19135" s="1125"/>
    </row>
    <row r="19136" spans="9:10" x14ac:dyDescent="0.2">
      <c r="I19136" s="1125"/>
      <c r="J19136" s="1125"/>
    </row>
    <row r="19137" spans="9:10" x14ac:dyDescent="0.2">
      <c r="I19137" s="1125"/>
      <c r="J19137" s="1125"/>
    </row>
    <row r="19138" spans="9:10" x14ac:dyDescent="0.2">
      <c r="I19138" s="1125"/>
      <c r="J19138" s="1125"/>
    </row>
    <row r="19139" spans="9:10" x14ac:dyDescent="0.2">
      <c r="I19139" s="1125"/>
      <c r="J19139" s="1125"/>
    </row>
    <row r="19140" spans="9:10" x14ac:dyDescent="0.2">
      <c r="I19140" s="1125"/>
      <c r="J19140" s="1125"/>
    </row>
    <row r="19141" spans="9:10" x14ac:dyDescent="0.2">
      <c r="I19141" s="1125"/>
      <c r="J19141" s="1125"/>
    </row>
    <row r="19142" spans="9:10" x14ac:dyDescent="0.2">
      <c r="I19142" s="1125"/>
      <c r="J19142" s="1125"/>
    </row>
    <row r="19143" spans="9:10" x14ac:dyDescent="0.2">
      <c r="I19143" s="1125"/>
      <c r="J19143" s="1125"/>
    </row>
    <row r="19144" spans="9:10" x14ac:dyDescent="0.2">
      <c r="I19144" s="1125"/>
      <c r="J19144" s="1125"/>
    </row>
    <row r="19145" spans="9:10" x14ac:dyDescent="0.2">
      <c r="I19145" s="1125"/>
      <c r="J19145" s="1125"/>
    </row>
    <row r="19146" spans="9:10" x14ac:dyDescent="0.2">
      <c r="I19146" s="1125"/>
      <c r="J19146" s="1125"/>
    </row>
    <row r="19147" spans="9:10" x14ac:dyDescent="0.2">
      <c r="I19147" s="1125"/>
      <c r="J19147" s="1125"/>
    </row>
    <row r="19148" spans="9:10" x14ac:dyDescent="0.2">
      <c r="I19148" s="1125"/>
      <c r="J19148" s="1125"/>
    </row>
    <row r="19149" spans="9:10" x14ac:dyDescent="0.2">
      <c r="I19149" s="1125"/>
      <c r="J19149" s="1125"/>
    </row>
    <row r="19150" spans="9:10" x14ac:dyDescent="0.2">
      <c r="I19150" s="1125"/>
      <c r="J19150" s="1125"/>
    </row>
    <row r="19151" spans="9:10" x14ac:dyDescent="0.2">
      <c r="I19151" s="1125"/>
      <c r="J19151" s="1125"/>
    </row>
    <row r="19152" spans="9:10" x14ac:dyDescent="0.2">
      <c r="I19152" s="1125"/>
      <c r="J19152" s="1125"/>
    </row>
    <row r="19153" spans="9:10" x14ac:dyDescent="0.2">
      <c r="I19153" s="1125"/>
      <c r="J19153" s="1125"/>
    </row>
    <row r="19154" spans="9:10" x14ac:dyDescent="0.2">
      <c r="I19154" s="1125"/>
      <c r="J19154" s="1125"/>
    </row>
    <row r="19155" spans="9:10" x14ac:dyDescent="0.2">
      <c r="I19155" s="1125"/>
      <c r="J19155" s="1125"/>
    </row>
    <row r="19156" spans="9:10" x14ac:dyDescent="0.2">
      <c r="I19156" s="1125"/>
      <c r="J19156" s="1125"/>
    </row>
    <row r="19157" spans="9:10" x14ac:dyDescent="0.2">
      <c r="I19157" s="1125"/>
      <c r="J19157" s="1125"/>
    </row>
    <row r="19158" spans="9:10" x14ac:dyDescent="0.2">
      <c r="I19158" s="1125"/>
      <c r="J19158" s="1125"/>
    </row>
    <row r="19159" spans="9:10" x14ac:dyDescent="0.2">
      <c r="I19159" s="1125"/>
      <c r="J19159" s="1125"/>
    </row>
    <row r="19160" spans="9:10" x14ac:dyDescent="0.2">
      <c r="I19160" s="1125"/>
      <c r="J19160" s="1125"/>
    </row>
    <row r="19161" spans="9:10" x14ac:dyDescent="0.2">
      <c r="I19161" s="1125"/>
      <c r="J19161" s="1125"/>
    </row>
    <row r="19162" spans="9:10" x14ac:dyDescent="0.2">
      <c r="I19162" s="1125"/>
      <c r="J19162" s="1125"/>
    </row>
    <row r="19163" spans="9:10" x14ac:dyDescent="0.2">
      <c r="I19163" s="1125"/>
      <c r="J19163" s="1125"/>
    </row>
    <row r="19164" spans="9:10" x14ac:dyDescent="0.2">
      <c r="I19164" s="1125"/>
      <c r="J19164" s="1125"/>
    </row>
    <row r="19165" spans="9:10" x14ac:dyDescent="0.2">
      <c r="I19165" s="1125"/>
      <c r="J19165" s="1125"/>
    </row>
    <row r="19166" spans="9:10" x14ac:dyDescent="0.2">
      <c r="I19166" s="1125"/>
      <c r="J19166" s="1125"/>
    </row>
    <row r="19167" spans="9:10" x14ac:dyDescent="0.2">
      <c r="I19167" s="1125"/>
      <c r="J19167" s="1125"/>
    </row>
    <row r="19168" spans="9:10" x14ac:dyDescent="0.2">
      <c r="I19168" s="1125"/>
      <c r="J19168" s="1125"/>
    </row>
    <row r="19169" spans="9:10" x14ac:dyDescent="0.2">
      <c r="I19169" s="1125"/>
      <c r="J19169" s="1125"/>
    </row>
    <row r="19170" spans="9:10" x14ac:dyDescent="0.2">
      <c r="I19170" s="1125"/>
      <c r="J19170" s="1125"/>
    </row>
    <row r="19171" spans="9:10" x14ac:dyDescent="0.2">
      <c r="I19171" s="1125"/>
      <c r="J19171" s="1125"/>
    </row>
    <row r="19172" spans="9:10" x14ac:dyDescent="0.2">
      <c r="I19172" s="1125"/>
      <c r="J19172" s="1125"/>
    </row>
    <row r="19173" spans="9:10" x14ac:dyDescent="0.2">
      <c r="I19173" s="1125"/>
      <c r="J19173" s="1125"/>
    </row>
    <row r="19174" spans="9:10" x14ac:dyDescent="0.2">
      <c r="I19174" s="1125"/>
      <c r="J19174" s="1125"/>
    </row>
    <row r="19175" spans="9:10" x14ac:dyDescent="0.2">
      <c r="I19175" s="1125"/>
      <c r="J19175" s="1125"/>
    </row>
    <row r="19176" spans="9:10" x14ac:dyDescent="0.2">
      <c r="I19176" s="1125"/>
      <c r="J19176" s="1125"/>
    </row>
    <row r="19177" spans="9:10" x14ac:dyDescent="0.2">
      <c r="I19177" s="1125"/>
      <c r="J19177" s="1125"/>
    </row>
    <row r="19178" spans="9:10" x14ac:dyDescent="0.2">
      <c r="I19178" s="1125"/>
      <c r="J19178" s="1125"/>
    </row>
    <row r="19179" spans="9:10" x14ac:dyDescent="0.2">
      <c r="I19179" s="1125"/>
      <c r="J19179" s="1125"/>
    </row>
    <row r="19180" spans="9:10" x14ac:dyDescent="0.2">
      <c r="I19180" s="1125"/>
      <c r="J19180" s="1125"/>
    </row>
    <row r="19181" spans="9:10" x14ac:dyDescent="0.2">
      <c r="I19181" s="1125"/>
      <c r="J19181" s="1125"/>
    </row>
    <row r="19182" spans="9:10" x14ac:dyDescent="0.2">
      <c r="I19182" s="1125"/>
      <c r="J19182" s="1125"/>
    </row>
    <row r="19183" spans="9:10" x14ac:dyDescent="0.2">
      <c r="I19183" s="1125"/>
      <c r="J19183" s="1125"/>
    </row>
    <row r="19184" spans="9:10" x14ac:dyDescent="0.2">
      <c r="I19184" s="1125"/>
      <c r="J19184" s="1125"/>
    </row>
    <row r="19185" spans="9:10" x14ac:dyDescent="0.2">
      <c r="I19185" s="1125"/>
      <c r="J19185" s="1125"/>
    </row>
    <row r="19186" spans="9:10" x14ac:dyDescent="0.2">
      <c r="I19186" s="1125"/>
      <c r="J19186" s="1125"/>
    </row>
    <row r="19187" spans="9:10" x14ac:dyDescent="0.2">
      <c r="I19187" s="1125"/>
      <c r="J19187" s="1125"/>
    </row>
    <row r="19188" spans="9:10" x14ac:dyDescent="0.2">
      <c r="I19188" s="1125"/>
      <c r="J19188" s="1125"/>
    </row>
    <row r="19189" spans="9:10" x14ac:dyDescent="0.2">
      <c r="I19189" s="1125"/>
      <c r="J19189" s="1125"/>
    </row>
    <row r="19190" spans="9:10" x14ac:dyDescent="0.2">
      <c r="I19190" s="1125"/>
      <c r="J19190" s="1125"/>
    </row>
    <row r="19191" spans="9:10" x14ac:dyDescent="0.2">
      <c r="I19191" s="1125"/>
      <c r="J19191" s="1125"/>
    </row>
    <row r="19192" spans="9:10" x14ac:dyDescent="0.2">
      <c r="I19192" s="1125"/>
      <c r="J19192" s="1125"/>
    </row>
    <row r="19193" spans="9:10" x14ac:dyDescent="0.2">
      <c r="I19193" s="1125"/>
      <c r="J19193" s="1125"/>
    </row>
    <row r="19194" spans="9:10" x14ac:dyDescent="0.2">
      <c r="I19194" s="1125"/>
      <c r="J19194" s="1125"/>
    </row>
    <row r="19195" spans="9:10" x14ac:dyDescent="0.2">
      <c r="I19195" s="1125"/>
      <c r="J19195" s="1125"/>
    </row>
    <row r="19196" spans="9:10" x14ac:dyDescent="0.2">
      <c r="I19196" s="1125"/>
      <c r="J19196" s="1125"/>
    </row>
    <row r="19197" spans="9:10" x14ac:dyDescent="0.2">
      <c r="I19197" s="1125"/>
      <c r="J19197" s="1125"/>
    </row>
    <row r="19198" spans="9:10" x14ac:dyDescent="0.2">
      <c r="I19198" s="1125"/>
      <c r="J19198" s="1125"/>
    </row>
    <row r="19199" spans="9:10" x14ac:dyDescent="0.2">
      <c r="I19199" s="1125"/>
      <c r="J19199" s="1125"/>
    </row>
    <row r="19200" spans="9:10" x14ac:dyDescent="0.2">
      <c r="I19200" s="1125"/>
      <c r="J19200" s="1125"/>
    </row>
    <row r="19201" spans="9:10" x14ac:dyDescent="0.2">
      <c r="I19201" s="1125"/>
      <c r="J19201" s="1125"/>
    </row>
    <row r="19202" spans="9:10" x14ac:dyDescent="0.2">
      <c r="I19202" s="1125"/>
      <c r="J19202" s="1125"/>
    </row>
    <row r="19203" spans="9:10" x14ac:dyDescent="0.2">
      <c r="I19203" s="1125"/>
      <c r="J19203" s="1125"/>
    </row>
    <row r="19204" spans="9:10" x14ac:dyDescent="0.2">
      <c r="I19204" s="1125"/>
      <c r="J19204" s="1125"/>
    </row>
    <row r="19205" spans="9:10" x14ac:dyDescent="0.2">
      <c r="I19205" s="1125"/>
      <c r="J19205" s="1125"/>
    </row>
    <row r="19206" spans="9:10" x14ac:dyDescent="0.2">
      <c r="I19206" s="1125"/>
      <c r="J19206" s="1125"/>
    </row>
    <row r="19207" spans="9:10" x14ac:dyDescent="0.2">
      <c r="I19207" s="1125"/>
      <c r="J19207" s="1125"/>
    </row>
    <row r="19208" spans="9:10" x14ac:dyDescent="0.2">
      <c r="I19208" s="1125"/>
      <c r="J19208" s="1125"/>
    </row>
    <row r="19209" spans="9:10" x14ac:dyDescent="0.2">
      <c r="I19209" s="1125"/>
      <c r="J19209" s="1125"/>
    </row>
    <row r="19210" spans="9:10" x14ac:dyDescent="0.2">
      <c r="I19210" s="1125"/>
      <c r="J19210" s="1125"/>
    </row>
    <row r="19211" spans="9:10" x14ac:dyDescent="0.2">
      <c r="I19211" s="1125"/>
      <c r="J19211" s="1125"/>
    </row>
    <row r="19212" spans="9:10" x14ac:dyDescent="0.2">
      <c r="I19212" s="1125"/>
      <c r="J19212" s="1125"/>
    </row>
    <row r="19213" spans="9:10" x14ac:dyDescent="0.2">
      <c r="I19213" s="1125"/>
      <c r="J19213" s="1125"/>
    </row>
    <row r="19214" spans="9:10" x14ac:dyDescent="0.2">
      <c r="I19214" s="1125"/>
      <c r="J19214" s="1125"/>
    </row>
    <row r="19215" spans="9:10" x14ac:dyDescent="0.2">
      <c r="I19215" s="1125"/>
      <c r="J19215" s="1125"/>
    </row>
    <row r="19216" spans="9:10" x14ac:dyDescent="0.2">
      <c r="I19216" s="1125"/>
      <c r="J19216" s="1125"/>
    </row>
    <row r="19217" spans="9:10" x14ac:dyDescent="0.2">
      <c r="I19217" s="1125"/>
      <c r="J19217" s="1125"/>
    </row>
    <row r="19218" spans="9:10" x14ac:dyDescent="0.2">
      <c r="I19218" s="1125"/>
      <c r="J19218" s="1125"/>
    </row>
    <row r="19219" spans="9:10" x14ac:dyDescent="0.2">
      <c r="I19219" s="1125"/>
      <c r="J19219" s="1125"/>
    </row>
    <row r="19220" spans="9:10" x14ac:dyDescent="0.2">
      <c r="I19220" s="1125"/>
      <c r="J19220" s="1125"/>
    </row>
    <row r="19221" spans="9:10" x14ac:dyDescent="0.2">
      <c r="I19221" s="1125"/>
      <c r="J19221" s="1125"/>
    </row>
    <row r="19222" spans="9:10" x14ac:dyDescent="0.2">
      <c r="I19222" s="1125"/>
      <c r="J19222" s="1125"/>
    </row>
    <row r="19223" spans="9:10" x14ac:dyDescent="0.2">
      <c r="I19223" s="1125"/>
      <c r="J19223" s="1125"/>
    </row>
    <row r="19224" spans="9:10" x14ac:dyDescent="0.2">
      <c r="I19224" s="1125"/>
      <c r="J19224" s="1125"/>
    </row>
    <row r="19225" spans="9:10" x14ac:dyDescent="0.2">
      <c r="I19225" s="1125"/>
      <c r="J19225" s="1125"/>
    </row>
    <row r="19226" spans="9:10" x14ac:dyDescent="0.2">
      <c r="I19226" s="1125"/>
      <c r="J19226" s="1125"/>
    </row>
    <row r="19227" spans="9:10" x14ac:dyDescent="0.2">
      <c r="I19227" s="1125"/>
      <c r="J19227" s="1125"/>
    </row>
    <row r="19228" spans="9:10" x14ac:dyDescent="0.2">
      <c r="I19228" s="1125"/>
      <c r="J19228" s="1125"/>
    </row>
    <row r="19229" spans="9:10" x14ac:dyDescent="0.2">
      <c r="I19229" s="1125"/>
      <c r="J19229" s="1125"/>
    </row>
    <row r="19230" spans="9:10" x14ac:dyDescent="0.2">
      <c r="I19230" s="1125"/>
      <c r="J19230" s="1125"/>
    </row>
    <row r="19231" spans="9:10" x14ac:dyDescent="0.2">
      <c r="I19231" s="1125"/>
      <c r="J19231" s="1125"/>
    </row>
    <row r="19232" spans="9:10" x14ac:dyDescent="0.2">
      <c r="I19232" s="1125"/>
      <c r="J19232" s="1125"/>
    </row>
    <row r="19233" spans="9:10" x14ac:dyDescent="0.2">
      <c r="I19233" s="1125"/>
      <c r="J19233" s="1125"/>
    </row>
    <row r="19234" spans="9:10" x14ac:dyDescent="0.2">
      <c r="I19234" s="1125"/>
      <c r="J19234" s="1125"/>
    </row>
    <row r="19235" spans="9:10" x14ac:dyDescent="0.2">
      <c r="I19235" s="1125"/>
      <c r="J19235" s="1125"/>
    </row>
    <row r="19236" spans="9:10" x14ac:dyDescent="0.2">
      <c r="I19236" s="1125"/>
      <c r="J19236" s="1125"/>
    </row>
    <row r="19237" spans="9:10" x14ac:dyDescent="0.2">
      <c r="I19237" s="1125"/>
      <c r="J19237" s="1125"/>
    </row>
    <row r="19238" spans="9:10" x14ac:dyDescent="0.2">
      <c r="I19238" s="1125"/>
      <c r="J19238" s="1125"/>
    </row>
    <row r="19239" spans="9:10" x14ac:dyDescent="0.2">
      <c r="I19239" s="1125"/>
      <c r="J19239" s="1125"/>
    </row>
    <row r="19240" spans="9:10" x14ac:dyDescent="0.2">
      <c r="I19240" s="1125"/>
      <c r="J19240" s="1125"/>
    </row>
    <row r="19241" spans="9:10" x14ac:dyDescent="0.2">
      <c r="I19241" s="1125"/>
      <c r="J19241" s="1125"/>
    </row>
    <row r="19242" spans="9:10" x14ac:dyDescent="0.2">
      <c r="I19242" s="1125"/>
      <c r="J19242" s="1125"/>
    </row>
    <row r="19243" spans="9:10" x14ac:dyDescent="0.2">
      <c r="I19243" s="1125"/>
      <c r="J19243" s="1125"/>
    </row>
    <row r="19244" spans="9:10" x14ac:dyDescent="0.2">
      <c r="I19244" s="1125"/>
      <c r="J19244" s="1125"/>
    </row>
    <row r="19245" spans="9:10" x14ac:dyDescent="0.2">
      <c r="I19245" s="1125"/>
      <c r="J19245" s="1125"/>
    </row>
    <row r="19246" spans="9:10" x14ac:dyDescent="0.2">
      <c r="I19246" s="1125"/>
      <c r="J19246" s="1125"/>
    </row>
    <row r="19247" spans="9:10" x14ac:dyDescent="0.2">
      <c r="I19247" s="1125"/>
      <c r="J19247" s="1125"/>
    </row>
    <row r="19248" spans="9:10" x14ac:dyDescent="0.2">
      <c r="I19248" s="1125"/>
      <c r="J19248" s="1125"/>
    </row>
    <row r="19249" spans="9:10" x14ac:dyDescent="0.2">
      <c r="I19249" s="1125"/>
      <c r="J19249" s="1125"/>
    </row>
    <row r="19250" spans="9:10" x14ac:dyDescent="0.2">
      <c r="I19250" s="1125"/>
      <c r="J19250" s="1125"/>
    </row>
    <row r="19251" spans="9:10" x14ac:dyDescent="0.2">
      <c r="I19251" s="1125"/>
      <c r="J19251" s="1125"/>
    </row>
    <row r="19252" spans="9:10" x14ac:dyDescent="0.2">
      <c r="I19252" s="1125"/>
      <c r="J19252" s="1125"/>
    </row>
    <row r="19253" spans="9:10" x14ac:dyDescent="0.2">
      <c r="I19253" s="1125"/>
      <c r="J19253" s="1125"/>
    </row>
    <row r="19254" spans="9:10" x14ac:dyDescent="0.2">
      <c r="I19254" s="1125"/>
      <c r="J19254" s="1125"/>
    </row>
    <row r="19255" spans="9:10" x14ac:dyDescent="0.2">
      <c r="I19255" s="1125"/>
      <c r="J19255" s="1125"/>
    </row>
    <row r="19256" spans="9:10" x14ac:dyDescent="0.2">
      <c r="I19256" s="1125"/>
      <c r="J19256" s="1125"/>
    </row>
    <row r="19257" spans="9:10" x14ac:dyDescent="0.2">
      <c r="I19257" s="1125"/>
      <c r="J19257" s="1125"/>
    </row>
    <row r="19258" spans="9:10" x14ac:dyDescent="0.2">
      <c r="I19258" s="1125"/>
      <c r="J19258" s="1125"/>
    </row>
    <row r="19259" spans="9:10" x14ac:dyDescent="0.2">
      <c r="I19259" s="1125"/>
      <c r="J19259" s="1125"/>
    </row>
    <row r="19260" spans="9:10" x14ac:dyDescent="0.2">
      <c r="I19260" s="1125"/>
      <c r="J19260" s="1125"/>
    </row>
    <row r="19261" spans="9:10" x14ac:dyDescent="0.2">
      <c r="I19261" s="1125"/>
      <c r="J19261" s="1125"/>
    </row>
    <row r="19262" spans="9:10" x14ac:dyDescent="0.2">
      <c r="I19262" s="1125"/>
      <c r="J19262" s="1125"/>
    </row>
    <row r="19263" spans="9:10" x14ac:dyDescent="0.2">
      <c r="I19263" s="1125"/>
      <c r="J19263" s="1125"/>
    </row>
    <row r="19264" spans="9:10" x14ac:dyDescent="0.2">
      <c r="I19264" s="1125"/>
      <c r="J19264" s="1125"/>
    </row>
    <row r="19265" spans="9:10" x14ac:dyDescent="0.2">
      <c r="I19265" s="1125"/>
      <c r="J19265" s="1125"/>
    </row>
    <row r="19266" spans="9:10" x14ac:dyDescent="0.2">
      <c r="I19266" s="1125"/>
      <c r="J19266" s="1125"/>
    </row>
    <row r="19267" spans="9:10" x14ac:dyDescent="0.2">
      <c r="I19267" s="1125"/>
      <c r="J19267" s="1125"/>
    </row>
    <row r="19268" spans="9:10" x14ac:dyDescent="0.2">
      <c r="I19268" s="1125"/>
      <c r="J19268" s="1125"/>
    </row>
    <row r="19269" spans="9:10" x14ac:dyDescent="0.2">
      <c r="I19269" s="1125"/>
      <c r="J19269" s="1125"/>
    </row>
    <row r="19270" spans="9:10" x14ac:dyDescent="0.2">
      <c r="I19270" s="1125"/>
      <c r="J19270" s="1125"/>
    </row>
    <row r="19271" spans="9:10" x14ac:dyDescent="0.2">
      <c r="I19271" s="1125"/>
      <c r="J19271" s="1125"/>
    </row>
    <row r="19272" spans="9:10" x14ac:dyDescent="0.2">
      <c r="I19272" s="1125"/>
      <c r="J19272" s="1125"/>
    </row>
    <row r="19273" spans="9:10" x14ac:dyDescent="0.2">
      <c r="I19273" s="1125"/>
      <c r="J19273" s="1125"/>
    </row>
    <row r="19274" spans="9:10" x14ac:dyDescent="0.2">
      <c r="I19274" s="1125"/>
      <c r="J19274" s="1125"/>
    </row>
    <row r="19275" spans="9:10" x14ac:dyDescent="0.2">
      <c r="I19275" s="1125"/>
      <c r="J19275" s="1125"/>
    </row>
    <row r="19276" spans="9:10" x14ac:dyDescent="0.2">
      <c r="I19276" s="1125"/>
      <c r="J19276" s="1125"/>
    </row>
    <row r="19277" spans="9:10" x14ac:dyDescent="0.2">
      <c r="I19277" s="1125"/>
      <c r="J19277" s="1125"/>
    </row>
    <row r="19278" spans="9:10" x14ac:dyDescent="0.2">
      <c r="I19278" s="1125"/>
      <c r="J19278" s="1125"/>
    </row>
    <row r="19279" spans="9:10" x14ac:dyDescent="0.2">
      <c r="I19279" s="1125"/>
      <c r="J19279" s="1125"/>
    </row>
    <row r="19280" spans="9:10" x14ac:dyDescent="0.2">
      <c r="I19280" s="1125"/>
      <c r="J19280" s="1125"/>
    </row>
    <row r="19281" spans="9:10" x14ac:dyDescent="0.2">
      <c r="I19281" s="1125"/>
      <c r="J19281" s="1125"/>
    </row>
    <row r="19282" spans="9:10" x14ac:dyDescent="0.2">
      <c r="I19282" s="1125"/>
      <c r="J19282" s="1125"/>
    </row>
    <row r="19283" spans="9:10" x14ac:dyDescent="0.2">
      <c r="I19283" s="1125"/>
      <c r="J19283" s="1125"/>
    </row>
    <row r="19284" spans="9:10" x14ac:dyDescent="0.2">
      <c r="I19284" s="1125"/>
      <c r="J19284" s="1125"/>
    </row>
    <row r="19285" spans="9:10" x14ac:dyDescent="0.2">
      <c r="I19285" s="1125"/>
      <c r="J19285" s="1125"/>
    </row>
    <row r="19286" spans="9:10" x14ac:dyDescent="0.2">
      <c r="I19286" s="1125"/>
      <c r="J19286" s="1125"/>
    </row>
    <row r="19287" spans="9:10" x14ac:dyDescent="0.2">
      <c r="I19287" s="1125"/>
      <c r="J19287" s="1125"/>
    </row>
    <row r="19288" spans="9:10" x14ac:dyDescent="0.2">
      <c r="I19288" s="1125"/>
      <c r="J19288" s="1125"/>
    </row>
    <row r="19289" spans="9:10" x14ac:dyDescent="0.2">
      <c r="I19289" s="1125"/>
      <c r="J19289" s="1125"/>
    </row>
    <row r="19290" spans="9:10" x14ac:dyDescent="0.2">
      <c r="I19290" s="1125"/>
      <c r="J19290" s="1125"/>
    </row>
    <row r="19291" spans="9:10" x14ac:dyDescent="0.2">
      <c r="I19291" s="1125"/>
      <c r="J19291" s="1125"/>
    </row>
    <row r="19292" spans="9:10" x14ac:dyDescent="0.2">
      <c r="I19292" s="1125"/>
      <c r="J19292" s="1125"/>
    </row>
    <row r="19293" spans="9:10" x14ac:dyDescent="0.2">
      <c r="I19293" s="1125"/>
      <c r="J19293" s="1125"/>
    </row>
    <row r="19294" spans="9:10" x14ac:dyDescent="0.2">
      <c r="I19294" s="1125"/>
      <c r="J19294" s="1125"/>
    </row>
    <row r="19295" spans="9:10" x14ac:dyDescent="0.2">
      <c r="I19295" s="1125"/>
      <c r="J19295" s="1125"/>
    </row>
    <row r="19296" spans="9:10" x14ac:dyDescent="0.2">
      <c r="I19296" s="1125"/>
      <c r="J19296" s="1125"/>
    </row>
    <row r="19297" spans="9:10" x14ac:dyDescent="0.2">
      <c r="I19297" s="1125"/>
      <c r="J19297" s="1125"/>
    </row>
    <row r="19298" spans="9:10" x14ac:dyDescent="0.2">
      <c r="I19298" s="1125"/>
      <c r="J19298" s="1125"/>
    </row>
    <row r="19299" spans="9:10" x14ac:dyDescent="0.2">
      <c r="I19299" s="1125"/>
      <c r="J19299" s="1125"/>
    </row>
    <row r="19300" spans="9:10" x14ac:dyDescent="0.2">
      <c r="I19300" s="1125"/>
      <c r="J19300" s="1125"/>
    </row>
    <row r="19301" spans="9:10" x14ac:dyDescent="0.2">
      <c r="I19301" s="1125"/>
      <c r="J19301" s="1125"/>
    </row>
    <row r="19302" spans="9:10" x14ac:dyDescent="0.2">
      <c r="I19302" s="1125"/>
      <c r="J19302" s="1125"/>
    </row>
    <row r="19303" spans="9:10" x14ac:dyDescent="0.2">
      <c r="I19303" s="1125"/>
      <c r="J19303" s="1125"/>
    </row>
    <row r="19304" spans="9:10" x14ac:dyDescent="0.2">
      <c r="I19304" s="1125"/>
      <c r="J19304" s="1125"/>
    </row>
    <row r="19305" spans="9:10" x14ac:dyDescent="0.2">
      <c r="I19305" s="1125"/>
      <c r="J19305" s="1125"/>
    </row>
    <row r="19306" spans="9:10" x14ac:dyDescent="0.2">
      <c r="I19306" s="1125"/>
      <c r="J19306" s="1125"/>
    </row>
    <row r="19307" spans="9:10" x14ac:dyDescent="0.2">
      <c r="I19307" s="1125"/>
      <c r="J19307" s="1125"/>
    </row>
    <row r="19308" spans="9:10" x14ac:dyDescent="0.2">
      <c r="I19308" s="1125"/>
      <c r="J19308" s="1125"/>
    </row>
    <row r="19309" spans="9:10" x14ac:dyDescent="0.2">
      <c r="I19309" s="1125"/>
      <c r="J19309" s="1125"/>
    </row>
    <row r="19310" spans="9:10" x14ac:dyDescent="0.2">
      <c r="I19310" s="1125"/>
      <c r="J19310" s="1125"/>
    </row>
    <row r="19311" spans="9:10" x14ac:dyDescent="0.2">
      <c r="I19311" s="1125"/>
      <c r="J19311" s="1125"/>
    </row>
    <row r="19312" spans="9:10" x14ac:dyDescent="0.2">
      <c r="I19312" s="1125"/>
      <c r="J19312" s="1125"/>
    </row>
    <row r="19313" spans="9:10" x14ac:dyDescent="0.2">
      <c r="I19313" s="1125"/>
      <c r="J19313" s="1125"/>
    </row>
    <row r="19314" spans="9:10" x14ac:dyDescent="0.2">
      <c r="I19314" s="1125"/>
      <c r="J19314" s="1125"/>
    </row>
    <row r="19315" spans="9:10" x14ac:dyDescent="0.2">
      <c r="I19315" s="1125"/>
      <c r="J19315" s="1125"/>
    </row>
    <row r="19316" spans="9:10" x14ac:dyDescent="0.2">
      <c r="I19316" s="1125"/>
      <c r="J19316" s="1125"/>
    </row>
    <row r="19317" spans="9:10" x14ac:dyDescent="0.2">
      <c r="I19317" s="1125"/>
      <c r="J19317" s="1125"/>
    </row>
    <row r="19318" spans="9:10" x14ac:dyDescent="0.2">
      <c r="I19318" s="1125"/>
      <c r="J19318" s="1125"/>
    </row>
    <row r="19319" spans="9:10" x14ac:dyDescent="0.2">
      <c r="I19319" s="1125"/>
      <c r="J19319" s="1125"/>
    </row>
    <row r="19320" spans="9:10" x14ac:dyDescent="0.2">
      <c r="I19320" s="1125"/>
      <c r="J19320" s="1125"/>
    </row>
    <row r="19321" spans="9:10" x14ac:dyDescent="0.2">
      <c r="I19321" s="1125"/>
      <c r="J19321" s="1125"/>
    </row>
    <row r="19322" spans="9:10" x14ac:dyDescent="0.2">
      <c r="I19322" s="1125"/>
      <c r="J19322" s="1125"/>
    </row>
    <row r="19323" spans="9:10" x14ac:dyDescent="0.2">
      <c r="I19323" s="1125"/>
      <c r="J19323" s="1125"/>
    </row>
    <row r="19324" spans="9:10" x14ac:dyDescent="0.2">
      <c r="I19324" s="1125"/>
      <c r="J19324" s="1125"/>
    </row>
    <row r="19325" spans="9:10" x14ac:dyDescent="0.2">
      <c r="I19325" s="1125"/>
      <c r="J19325" s="1125"/>
    </row>
    <row r="19326" spans="9:10" x14ac:dyDescent="0.2">
      <c r="I19326" s="1125"/>
      <c r="J19326" s="1125"/>
    </row>
    <row r="19327" spans="9:10" x14ac:dyDescent="0.2">
      <c r="I19327" s="1125"/>
      <c r="J19327" s="1125"/>
    </row>
    <row r="19328" spans="9:10" x14ac:dyDescent="0.2">
      <c r="I19328" s="1125"/>
      <c r="J19328" s="1125"/>
    </row>
    <row r="19329" spans="9:10" x14ac:dyDescent="0.2">
      <c r="I19329" s="1125"/>
      <c r="J19329" s="1125"/>
    </row>
    <row r="19330" spans="9:10" x14ac:dyDescent="0.2">
      <c r="I19330" s="1125"/>
      <c r="J19330" s="1125"/>
    </row>
    <row r="19331" spans="9:10" x14ac:dyDescent="0.2">
      <c r="I19331" s="1125"/>
      <c r="J19331" s="1125"/>
    </row>
    <row r="19332" spans="9:10" x14ac:dyDescent="0.2">
      <c r="I19332" s="1125"/>
      <c r="J19332" s="1125"/>
    </row>
    <row r="19333" spans="9:10" x14ac:dyDescent="0.2">
      <c r="I19333" s="1125"/>
      <c r="J19333" s="1125"/>
    </row>
    <row r="19334" spans="9:10" x14ac:dyDescent="0.2">
      <c r="I19334" s="1125"/>
      <c r="J19334" s="1125"/>
    </row>
    <row r="19335" spans="9:10" x14ac:dyDescent="0.2">
      <c r="I19335" s="1125"/>
      <c r="J19335" s="1125"/>
    </row>
    <row r="19336" spans="9:10" x14ac:dyDescent="0.2">
      <c r="I19336" s="1125"/>
      <c r="J19336" s="1125"/>
    </row>
    <row r="19337" spans="9:10" x14ac:dyDescent="0.2">
      <c r="I19337" s="1125"/>
      <c r="J19337" s="1125"/>
    </row>
    <row r="19338" spans="9:10" x14ac:dyDescent="0.2">
      <c r="I19338" s="1125"/>
      <c r="J19338" s="1125"/>
    </row>
    <row r="19339" spans="9:10" x14ac:dyDescent="0.2">
      <c r="I19339" s="1125"/>
      <c r="J19339" s="1125"/>
    </row>
    <row r="19340" spans="9:10" x14ac:dyDescent="0.2">
      <c r="I19340" s="1125"/>
      <c r="J19340" s="1125"/>
    </row>
    <row r="19341" spans="9:10" x14ac:dyDescent="0.2">
      <c r="I19341" s="1125"/>
      <c r="J19341" s="1125"/>
    </row>
    <row r="19342" spans="9:10" x14ac:dyDescent="0.2">
      <c r="I19342" s="1125"/>
      <c r="J19342" s="1125"/>
    </row>
    <row r="19343" spans="9:10" x14ac:dyDescent="0.2">
      <c r="I19343" s="1125"/>
      <c r="J19343" s="1125"/>
    </row>
    <row r="19344" spans="9:10" x14ac:dyDescent="0.2">
      <c r="I19344" s="1125"/>
      <c r="J19344" s="1125"/>
    </row>
    <row r="19345" spans="9:10" x14ac:dyDescent="0.2">
      <c r="I19345" s="1125"/>
      <c r="J19345" s="1125"/>
    </row>
    <row r="19346" spans="9:10" x14ac:dyDescent="0.2">
      <c r="I19346" s="1125"/>
      <c r="J19346" s="1125"/>
    </row>
    <row r="19347" spans="9:10" x14ac:dyDescent="0.2">
      <c r="I19347" s="1125"/>
      <c r="J19347" s="1125"/>
    </row>
    <row r="19348" spans="9:10" x14ac:dyDescent="0.2">
      <c r="I19348" s="1125"/>
      <c r="J19348" s="1125"/>
    </row>
    <row r="19349" spans="9:10" x14ac:dyDescent="0.2">
      <c r="I19349" s="1125"/>
      <c r="J19349" s="1125"/>
    </row>
    <row r="19350" spans="9:10" x14ac:dyDescent="0.2">
      <c r="I19350" s="1125"/>
      <c r="J19350" s="1125"/>
    </row>
    <row r="19351" spans="9:10" x14ac:dyDescent="0.2">
      <c r="I19351" s="1125"/>
      <c r="J19351" s="1125"/>
    </row>
    <row r="19352" spans="9:10" x14ac:dyDescent="0.2">
      <c r="I19352" s="1125"/>
      <c r="J19352" s="1125"/>
    </row>
    <row r="19353" spans="9:10" x14ac:dyDescent="0.2">
      <c r="I19353" s="1125"/>
      <c r="J19353" s="1125"/>
    </row>
    <row r="19354" spans="9:10" x14ac:dyDescent="0.2">
      <c r="I19354" s="1125"/>
      <c r="J19354" s="1125"/>
    </row>
    <row r="19355" spans="9:10" x14ac:dyDescent="0.2">
      <c r="I19355" s="1125"/>
      <c r="J19355" s="1125"/>
    </row>
    <row r="19356" spans="9:10" x14ac:dyDescent="0.2">
      <c r="I19356" s="1125"/>
      <c r="J19356" s="1125"/>
    </row>
    <row r="19357" spans="9:10" x14ac:dyDescent="0.2">
      <c r="I19357" s="1125"/>
      <c r="J19357" s="1125"/>
    </row>
    <row r="19358" spans="9:10" x14ac:dyDescent="0.2">
      <c r="I19358" s="1125"/>
      <c r="J19358" s="1125"/>
    </row>
    <row r="19359" spans="9:10" x14ac:dyDescent="0.2">
      <c r="I19359" s="1125"/>
      <c r="J19359" s="1125"/>
    </row>
    <row r="19360" spans="9:10" x14ac:dyDescent="0.2">
      <c r="I19360" s="1125"/>
      <c r="J19360" s="1125"/>
    </row>
    <row r="19361" spans="9:10" x14ac:dyDescent="0.2">
      <c r="I19361" s="1125"/>
      <c r="J19361" s="1125"/>
    </row>
    <row r="19362" spans="9:10" x14ac:dyDescent="0.2">
      <c r="I19362" s="1125"/>
      <c r="J19362" s="1125"/>
    </row>
    <row r="19363" spans="9:10" x14ac:dyDescent="0.2">
      <c r="I19363" s="1125"/>
      <c r="J19363" s="1125"/>
    </row>
    <row r="19364" spans="9:10" x14ac:dyDescent="0.2">
      <c r="I19364" s="1125"/>
      <c r="J19364" s="1125"/>
    </row>
    <row r="19365" spans="9:10" x14ac:dyDescent="0.2">
      <c r="I19365" s="1125"/>
      <c r="J19365" s="1125"/>
    </row>
    <row r="19366" spans="9:10" x14ac:dyDescent="0.2">
      <c r="I19366" s="1125"/>
      <c r="J19366" s="1125"/>
    </row>
    <row r="19367" spans="9:10" x14ac:dyDescent="0.2">
      <c r="I19367" s="1125"/>
      <c r="J19367" s="1125"/>
    </row>
    <row r="19368" spans="9:10" x14ac:dyDescent="0.2">
      <c r="I19368" s="1125"/>
      <c r="J19368" s="1125"/>
    </row>
    <row r="19369" spans="9:10" x14ac:dyDescent="0.2">
      <c r="I19369" s="1125"/>
      <c r="J19369" s="1125"/>
    </row>
    <row r="19370" spans="9:10" x14ac:dyDescent="0.2">
      <c r="I19370" s="1125"/>
      <c r="J19370" s="1125"/>
    </row>
    <row r="19371" spans="9:10" x14ac:dyDescent="0.2">
      <c r="I19371" s="1125"/>
      <c r="J19371" s="1125"/>
    </row>
    <row r="19372" spans="9:10" x14ac:dyDescent="0.2">
      <c r="I19372" s="1125"/>
      <c r="J19372" s="1125"/>
    </row>
    <row r="19373" spans="9:10" x14ac:dyDescent="0.2">
      <c r="I19373" s="1125"/>
      <c r="J19373" s="1125"/>
    </row>
    <row r="19374" spans="9:10" x14ac:dyDescent="0.2">
      <c r="I19374" s="1125"/>
      <c r="J19374" s="1125"/>
    </row>
    <row r="19375" spans="9:10" x14ac:dyDescent="0.2">
      <c r="I19375" s="1125"/>
      <c r="J19375" s="1125"/>
    </row>
    <row r="19376" spans="9:10" x14ac:dyDescent="0.2">
      <c r="I19376" s="1125"/>
      <c r="J19376" s="1125"/>
    </row>
    <row r="19377" spans="9:10" x14ac:dyDescent="0.2">
      <c r="I19377" s="1125"/>
      <c r="J19377" s="1125"/>
    </row>
    <row r="19378" spans="9:10" x14ac:dyDescent="0.2">
      <c r="I19378" s="1125"/>
      <c r="J19378" s="1125"/>
    </row>
    <row r="19379" spans="9:10" x14ac:dyDescent="0.2">
      <c r="I19379" s="1125"/>
      <c r="J19379" s="1125"/>
    </row>
    <row r="19380" spans="9:10" x14ac:dyDescent="0.2">
      <c r="I19380" s="1125"/>
      <c r="J19380" s="1125"/>
    </row>
    <row r="19381" spans="9:10" x14ac:dyDescent="0.2">
      <c r="I19381" s="1125"/>
      <c r="J19381" s="1125"/>
    </row>
    <row r="19382" spans="9:10" x14ac:dyDescent="0.2">
      <c r="I19382" s="1125"/>
      <c r="J19382" s="1125"/>
    </row>
    <row r="19383" spans="9:10" x14ac:dyDescent="0.2">
      <c r="I19383" s="1125"/>
      <c r="J19383" s="1125"/>
    </row>
    <row r="19384" spans="9:10" x14ac:dyDescent="0.2">
      <c r="I19384" s="1125"/>
      <c r="J19384" s="1125"/>
    </row>
    <row r="19385" spans="9:10" x14ac:dyDescent="0.2">
      <c r="I19385" s="1125"/>
      <c r="J19385" s="1125"/>
    </row>
    <row r="19386" spans="9:10" x14ac:dyDescent="0.2">
      <c r="I19386" s="1125"/>
      <c r="J19386" s="1125"/>
    </row>
    <row r="19387" spans="9:10" x14ac:dyDescent="0.2">
      <c r="I19387" s="1125"/>
      <c r="J19387" s="1125"/>
    </row>
    <row r="19388" spans="9:10" x14ac:dyDescent="0.2">
      <c r="I19388" s="1125"/>
      <c r="J19388" s="1125"/>
    </row>
    <row r="19389" spans="9:10" x14ac:dyDescent="0.2">
      <c r="I19389" s="1125"/>
      <c r="J19389" s="1125"/>
    </row>
    <row r="19390" spans="9:10" x14ac:dyDescent="0.2">
      <c r="I19390" s="1125"/>
      <c r="J19390" s="1125"/>
    </row>
    <row r="19391" spans="9:10" x14ac:dyDescent="0.2">
      <c r="I19391" s="1125"/>
      <c r="J19391" s="1125"/>
    </row>
    <row r="19392" spans="9:10" x14ac:dyDescent="0.2">
      <c r="I19392" s="1125"/>
      <c r="J19392" s="1125"/>
    </row>
    <row r="19393" spans="9:10" x14ac:dyDescent="0.2">
      <c r="I19393" s="1125"/>
      <c r="J19393" s="1125"/>
    </row>
    <row r="19394" spans="9:10" x14ac:dyDescent="0.2">
      <c r="I19394" s="1125"/>
      <c r="J19394" s="1125"/>
    </row>
    <row r="19395" spans="9:10" x14ac:dyDescent="0.2">
      <c r="I19395" s="1125"/>
      <c r="J19395" s="1125"/>
    </row>
    <row r="19396" spans="9:10" x14ac:dyDescent="0.2">
      <c r="I19396" s="1125"/>
      <c r="J19396" s="1125"/>
    </row>
    <row r="19397" spans="9:10" x14ac:dyDescent="0.2">
      <c r="I19397" s="1125"/>
      <c r="J19397" s="1125"/>
    </row>
    <row r="19398" spans="9:10" x14ac:dyDescent="0.2">
      <c r="I19398" s="1125"/>
      <c r="J19398" s="1125"/>
    </row>
    <row r="19399" spans="9:10" x14ac:dyDescent="0.2">
      <c r="I19399" s="1125"/>
      <c r="J19399" s="1125"/>
    </row>
    <row r="19400" spans="9:10" x14ac:dyDescent="0.2">
      <c r="I19400" s="1125"/>
      <c r="J19400" s="1125"/>
    </row>
    <row r="19401" spans="9:10" x14ac:dyDescent="0.2">
      <c r="I19401" s="1125"/>
      <c r="J19401" s="1125"/>
    </row>
    <row r="19402" spans="9:10" x14ac:dyDescent="0.2">
      <c r="I19402" s="1125"/>
      <c r="J19402" s="1125"/>
    </row>
    <row r="19403" spans="9:10" x14ac:dyDescent="0.2">
      <c r="I19403" s="1125"/>
      <c r="J19403" s="1125"/>
    </row>
    <row r="19404" spans="9:10" x14ac:dyDescent="0.2">
      <c r="I19404" s="1125"/>
      <c r="J19404" s="1125"/>
    </row>
    <row r="19405" spans="9:10" x14ac:dyDescent="0.2">
      <c r="I19405" s="1125"/>
      <c r="J19405" s="1125"/>
    </row>
    <row r="19406" spans="9:10" x14ac:dyDescent="0.2">
      <c r="I19406" s="1125"/>
      <c r="J19406" s="1125"/>
    </row>
    <row r="19407" spans="9:10" x14ac:dyDescent="0.2">
      <c r="I19407" s="1125"/>
      <c r="J19407" s="1125"/>
    </row>
    <row r="19408" spans="9:10" x14ac:dyDescent="0.2">
      <c r="I19408" s="1125"/>
      <c r="J19408" s="1125"/>
    </row>
    <row r="19409" spans="9:10" x14ac:dyDescent="0.2">
      <c r="I19409" s="1125"/>
      <c r="J19409" s="1125"/>
    </row>
    <row r="19410" spans="9:10" x14ac:dyDescent="0.2">
      <c r="I19410" s="1125"/>
      <c r="J19410" s="1125"/>
    </row>
    <row r="19411" spans="9:10" x14ac:dyDescent="0.2">
      <c r="I19411" s="1125"/>
      <c r="J19411" s="1125"/>
    </row>
    <row r="19412" spans="9:10" x14ac:dyDescent="0.2">
      <c r="I19412" s="1125"/>
      <c r="J19412" s="1125"/>
    </row>
    <row r="19413" spans="9:10" x14ac:dyDescent="0.2">
      <c r="I19413" s="1125"/>
      <c r="J19413" s="1125"/>
    </row>
    <row r="19414" spans="9:10" x14ac:dyDescent="0.2">
      <c r="I19414" s="1125"/>
      <c r="J19414" s="1125"/>
    </row>
    <row r="19415" spans="9:10" x14ac:dyDescent="0.2">
      <c r="I19415" s="1125"/>
      <c r="J19415" s="1125"/>
    </row>
    <row r="19416" spans="9:10" x14ac:dyDescent="0.2">
      <c r="I19416" s="1125"/>
      <c r="J19416" s="1125"/>
    </row>
    <row r="19417" spans="9:10" x14ac:dyDescent="0.2">
      <c r="I19417" s="1125"/>
      <c r="J19417" s="1125"/>
    </row>
    <row r="19418" spans="9:10" x14ac:dyDescent="0.2">
      <c r="I19418" s="1125"/>
      <c r="J19418" s="1125"/>
    </row>
    <row r="19419" spans="9:10" x14ac:dyDescent="0.2">
      <c r="I19419" s="1125"/>
      <c r="J19419" s="1125"/>
    </row>
    <row r="19420" spans="9:10" x14ac:dyDescent="0.2">
      <c r="I19420" s="1125"/>
      <c r="J19420" s="1125"/>
    </row>
    <row r="19421" spans="9:10" x14ac:dyDescent="0.2">
      <c r="I19421" s="1125"/>
      <c r="J19421" s="1125"/>
    </row>
    <row r="19422" spans="9:10" x14ac:dyDescent="0.2">
      <c r="I19422" s="1125"/>
      <c r="J19422" s="1125"/>
    </row>
    <row r="19423" spans="9:10" x14ac:dyDescent="0.2">
      <c r="I19423" s="1125"/>
      <c r="J19423" s="1125"/>
    </row>
    <row r="19424" spans="9:10" x14ac:dyDescent="0.2">
      <c r="I19424" s="1125"/>
      <c r="J19424" s="1125"/>
    </row>
    <row r="19425" spans="9:10" x14ac:dyDescent="0.2">
      <c r="I19425" s="1125"/>
      <c r="J19425" s="1125"/>
    </row>
    <row r="19426" spans="9:10" x14ac:dyDescent="0.2">
      <c r="I19426" s="1125"/>
      <c r="J19426" s="1125"/>
    </row>
    <row r="19427" spans="9:10" x14ac:dyDescent="0.2">
      <c r="I19427" s="1125"/>
      <c r="J19427" s="1125"/>
    </row>
    <row r="19428" spans="9:10" x14ac:dyDescent="0.2">
      <c r="I19428" s="1125"/>
      <c r="J19428" s="1125"/>
    </row>
    <row r="19429" spans="9:10" x14ac:dyDescent="0.2">
      <c r="I19429" s="1125"/>
      <c r="J19429" s="1125"/>
    </row>
    <row r="19430" spans="9:10" x14ac:dyDescent="0.2">
      <c r="I19430" s="1125"/>
      <c r="J19430" s="1125"/>
    </row>
    <row r="19431" spans="9:10" x14ac:dyDescent="0.2">
      <c r="I19431" s="1125"/>
      <c r="J19431" s="1125"/>
    </row>
    <row r="19432" spans="9:10" x14ac:dyDescent="0.2">
      <c r="I19432" s="1125"/>
      <c r="J19432" s="1125"/>
    </row>
    <row r="19433" spans="9:10" x14ac:dyDescent="0.2">
      <c r="I19433" s="1125"/>
      <c r="J19433" s="1125"/>
    </row>
    <row r="19434" spans="9:10" x14ac:dyDescent="0.2">
      <c r="I19434" s="1125"/>
      <c r="J19434" s="1125"/>
    </row>
    <row r="19435" spans="9:10" x14ac:dyDescent="0.2">
      <c r="I19435" s="1125"/>
      <c r="J19435" s="1125"/>
    </row>
    <row r="19436" spans="9:10" x14ac:dyDescent="0.2">
      <c r="I19436" s="1125"/>
      <c r="J19436" s="1125"/>
    </row>
    <row r="19437" spans="9:10" x14ac:dyDescent="0.2">
      <c r="I19437" s="1125"/>
      <c r="J19437" s="1125"/>
    </row>
    <row r="19438" spans="9:10" x14ac:dyDescent="0.2">
      <c r="I19438" s="1125"/>
      <c r="J19438" s="1125"/>
    </row>
    <row r="19439" spans="9:10" x14ac:dyDescent="0.2">
      <c r="I19439" s="1125"/>
      <c r="J19439" s="1125"/>
    </row>
    <row r="19440" spans="9:10" x14ac:dyDescent="0.2">
      <c r="I19440" s="1125"/>
      <c r="J19440" s="1125"/>
    </row>
    <row r="19441" spans="9:10" x14ac:dyDescent="0.2">
      <c r="I19441" s="1125"/>
      <c r="J19441" s="1125"/>
    </row>
    <row r="19442" spans="9:10" x14ac:dyDescent="0.2">
      <c r="I19442" s="1125"/>
      <c r="J19442" s="1125"/>
    </row>
    <row r="19443" spans="9:10" x14ac:dyDescent="0.2">
      <c r="I19443" s="1125"/>
      <c r="J19443" s="1125"/>
    </row>
    <row r="19444" spans="9:10" x14ac:dyDescent="0.2">
      <c r="I19444" s="1125"/>
      <c r="J19444" s="1125"/>
    </row>
    <row r="19445" spans="9:10" x14ac:dyDescent="0.2">
      <c r="I19445" s="1125"/>
      <c r="J19445" s="1125"/>
    </row>
    <row r="19446" spans="9:10" x14ac:dyDescent="0.2">
      <c r="I19446" s="1125"/>
      <c r="J19446" s="1125"/>
    </row>
    <row r="19447" spans="9:10" x14ac:dyDescent="0.2">
      <c r="I19447" s="1125"/>
      <c r="J19447" s="1125"/>
    </row>
    <row r="19448" spans="9:10" x14ac:dyDescent="0.2">
      <c r="I19448" s="1125"/>
      <c r="J19448" s="1125"/>
    </row>
    <row r="19449" spans="9:10" x14ac:dyDescent="0.2">
      <c r="I19449" s="1125"/>
      <c r="J19449" s="1125"/>
    </row>
    <row r="19450" spans="9:10" x14ac:dyDescent="0.2">
      <c r="I19450" s="1125"/>
      <c r="J19450" s="1125"/>
    </row>
    <row r="19451" spans="9:10" x14ac:dyDescent="0.2">
      <c r="I19451" s="1125"/>
      <c r="J19451" s="1125"/>
    </row>
    <row r="19452" spans="9:10" x14ac:dyDescent="0.2">
      <c r="I19452" s="1125"/>
      <c r="J19452" s="1125"/>
    </row>
    <row r="19453" spans="9:10" x14ac:dyDescent="0.2">
      <c r="I19453" s="1125"/>
      <c r="J19453" s="1125"/>
    </row>
    <row r="19454" spans="9:10" x14ac:dyDescent="0.2">
      <c r="I19454" s="1125"/>
      <c r="J19454" s="1125"/>
    </row>
    <row r="19455" spans="9:10" x14ac:dyDescent="0.2">
      <c r="I19455" s="1125"/>
      <c r="J19455" s="1125"/>
    </row>
    <row r="19456" spans="9:10" x14ac:dyDescent="0.2">
      <c r="I19456" s="1125"/>
      <c r="J19456" s="1125"/>
    </row>
    <row r="19457" spans="9:10" x14ac:dyDescent="0.2">
      <c r="I19457" s="1125"/>
      <c r="J19457" s="1125"/>
    </row>
    <row r="19458" spans="9:10" x14ac:dyDescent="0.2">
      <c r="I19458" s="1125"/>
      <c r="J19458" s="1125"/>
    </row>
    <row r="19459" spans="9:10" x14ac:dyDescent="0.2">
      <c r="I19459" s="1125"/>
      <c r="J19459" s="1125"/>
    </row>
    <row r="19460" spans="9:10" x14ac:dyDescent="0.2">
      <c r="I19460" s="1125"/>
      <c r="J19460" s="1125"/>
    </row>
    <row r="19461" spans="9:10" x14ac:dyDescent="0.2">
      <c r="I19461" s="1125"/>
      <c r="J19461" s="1125"/>
    </row>
    <row r="19462" spans="9:10" x14ac:dyDescent="0.2">
      <c r="I19462" s="1125"/>
      <c r="J19462" s="1125"/>
    </row>
    <row r="19463" spans="9:10" x14ac:dyDescent="0.2">
      <c r="I19463" s="1125"/>
      <c r="J19463" s="1125"/>
    </row>
    <row r="19464" spans="9:10" x14ac:dyDescent="0.2">
      <c r="I19464" s="1125"/>
      <c r="J19464" s="1125"/>
    </row>
    <row r="19465" spans="9:10" x14ac:dyDescent="0.2">
      <c r="I19465" s="1125"/>
      <c r="J19465" s="1125"/>
    </row>
    <row r="19466" spans="9:10" x14ac:dyDescent="0.2">
      <c r="I19466" s="1125"/>
      <c r="J19466" s="1125"/>
    </row>
    <row r="19467" spans="9:10" x14ac:dyDescent="0.2">
      <c r="I19467" s="1125"/>
      <c r="J19467" s="1125"/>
    </row>
    <row r="19468" spans="9:10" x14ac:dyDescent="0.2">
      <c r="I19468" s="1125"/>
      <c r="J19468" s="1125"/>
    </row>
    <row r="19469" spans="9:10" x14ac:dyDescent="0.2">
      <c r="I19469" s="1125"/>
      <c r="J19469" s="1125"/>
    </row>
    <row r="19470" spans="9:10" x14ac:dyDescent="0.2">
      <c r="I19470" s="1125"/>
      <c r="J19470" s="1125"/>
    </row>
    <row r="19471" spans="9:10" x14ac:dyDescent="0.2">
      <c r="I19471" s="1125"/>
      <c r="J19471" s="1125"/>
    </row>
    <row r="19472" spans="9:10" x14ac:dyDescent="0.2">
      <c r="I19472" s="1125"/>
      <c r="J19472" s="1125"/>
    </row>
    <row r="19473" spans="9:10" x14ac:dyDescent="0.2">
      <c r="I19473" s="1125"/>
      <c r="J19473" s="1125"/>
    </row>
    <row r="19474" spans="9:10" x14ac:dyDescent="0.2">
      <c r="I19474" s="1125"/>
      <c r="J19474" s="1125"/>
    </row>
    <row r="19475" spans="9:10" x14ac:dyDescent="0.2">
      <c r="I19475" s="1125"/>
      <c r="J19475" s="1125"/>
    </row>
    <row r="19476" spans="9:10" x14ac:dyDescent="0.2">
      <c r="I19476" s="1125"/>
      <c r="J19476" s="1125"/>
    </row>
    <row r="19477" spans="9:10" x14ac:dyDescent="0.2">
      <c r="I19477" s="1125"/>
      <c r="J19477" s="1125"/>
    </row>
    <row r="19478" spans="9:10" x14ac:dyDescent="0.2">
      <c r="I19478" s="1125"/>
      <c r="J19478" s="1125"/>
    </row>
    <row r="19479" spans="9:10" x14ac:dyDescent="0.2">
      <c r="I19479" s="1125"/>
      <c r="J19479" s="1125"/>
    </row>
    <row r="19480" spans="9:10" x14ac:dyDescent="0.2">
      <c r="I19480" s="1125"/>
      <c r="J19480" s="1125"/>
    </row>
    <row r="19481" spans="9:10" x14ac:dyDescent="0.2">
      <c r="I19481" s="1125"/>
      <c r="J19481" s="1125"/>
    </row>
    <row r="19482" spans="9:10" x14ac:dyDescent="0.2">
      <c r="I19482" s="1125"/>
      <c r="J19482" s="1125"/>
    </row>
    <row r="19483" spans="9:10" x14ac:dyDescent="0.2">
      <c r="I19483" s="1125"/>
      <c r="J19483" s="1125"/>
    </row>
    <row r="19484" spans="9:10" x14ac:dyDescent="0.2">
      <c r="I19484" s="1125"/>
      <c r="J19484" s="1125"/>
    </row>
    <row r="19485" spans="9:10" x14ac:dyDescent="0.2">
      <c r="I19485" s="1125"/>
      <c r="J19485" s="1125"/>
    </row>
    <row r="19486" spans="9:10" x14ac:dyDescent="0.2">
      <c r="I19486" s="1125"/>
      <c r="J19486" s="1125"/>
    </row>
    <row r="19487" spans="9:10" x14ac:dyDescent="0.2">
      <c r="I19487" s="1125"/>
      <c r="J19487" s="1125"/>
    </row>
    <row r="19488" spans="9:10" x14ac:dyDescent="0.2">
      <c r="I19488" s="1125"/>
      <c r="J19488" s="1125"/>
    </row>
    <row r="19489" spans="9:10" x14ac:dyDescent="0.2">
      <c r="I19489" s="1125"/>
      <c r="J19489" s="1125"/>
    </row>
    <row r="19490" spans="9:10" x14ac:dyDescent="0.2">
      <c r="I19490" s="1125"/>
      <c r="J19490" s="1125"/>
    </row>
    <row r="19491" spans="9:10" x14ac:dyDescent="0.2">
      <c r="I19491" s="1125"/>
      <c r="J19491" s="1125"/>
    </row>
    <row r="19492" spans="9:10" x14ac:dyDescent="0.2">
      <c r="I19492" s="1125"/>
      <c r="J19492" s="1125"/>
    </row>
    <row r="19493" spans="9:10" x14ac:dyDescent="0.2">
      <c r="I19493" s="1125"/>
      <c r="J19493" s="1125"/>
    </row>
    <row r="19494" spans="9:10" x14ac:dyDescent="0.2">
      <c r="I19494" s="1125"/>
      <c r="J19494" s="1125"/>
    </row>
    <row r="19495" spans="9:10" x14ac:dyDescent="0.2">
      <c r="I19495" s="1125"/>
      <c r="J19495" s="1125"/>
    </row>
    <row r="19496" spans="9:10" x14ac:dyDescent="0.2">
      <c r="I19496" s="1125"/>
      <c r="J19496" s="1125"/>
    </row>
    <row r="19497" spans="9:10" x14ac:dyDescent="0.2">
      <c r="I19497" s="1125"/>
      <c r="J19497" s="1125"/>
    </row>
    <row r="19498" spans="9:10" x14ac:dyDescent="0.2">
      <c r="I19498" s="1125"/>
      <c r="J19498" s="1125"/>
    </row>
    <row r="19499" spans="9:10" x14ac:dyDescent="0.2">
      <c r="I19499" s="1125"/>
      <c r="J19499" s="1125"/>
    </row>
    <row r="19500" spans="9:10" x14ac:dyDescent="0.2">
      <c r="I19500" s="1125"/>
      <c r="J19500" s="1125"/>
    </row>
    <row r="19501" spans="9:10" x14ac:dyDescent="0.2">
      <c r="I19501" s="1125"/>
      <c r="J19501" s="1125"/>
    </row>
    <row r="19502" spans="9:10" x14ac:dyDescent="0.2">
      <c r="I19502" s="1125"/>
      <c r="J19502" s="1125"/>
    </row>
    <row r="19503" spans="9:10" x14ac:dyDescent="0.2">
      <c r="I19503" s="1125"/>
      <c r="J19503" s="1125"/>
    </row>
    <row r="19504" spans="9:10" x14ac:dyDescent="0.2">
      <c r="I19504" s="1125"/>
      <c r="J19504" s="1125"/>
    </row>
    <row r="19505" spans="9:10" x14ac:dyDescent="0.2">
      <c r="I19505" s="1125"/>
      <c r="J19505" s="1125"/>
    </row>
    <row r="19506" spans="9:10" x14ac:dyDescent="0.2">
      <c r="I19506" s="1125"/>
      <c r="J19506" s="1125"/>
    </row>
    <row r="19507" spans="9:10" x14ac:dyDescent="0.2">
      <c r="I19507" s="1125"/>
      <c r="J19507" s="1125"/>
    </row>
    <row r="19508" spans="9:10" x14ac:dyDescent="0.2">
      <c r="I19508" s="1125"/>
      <c r="J19508" s="1125"/>
    </row>
    <row r="19509" spans="9:10" x14ac:dyDescent="0.2">
      <c r="I19509" s="1125"/>
      <c r="J19509" s="1125"/>
    </row>
    <row r="19510" spans="9:10" x14ac:dyDescent="0.2">
      <c r="I19510" s="1125"/>
      <c r="J19510" s="1125"/>
    </row>
    <row r="19511" spans="9:10" x14ac:dyDescent="0.2">
      <c r="I19511" s="1125"/>
      <c r="J19511" s="1125"/>
    </row>
    <row r="19512" spans="9:10" x14ac:dyDescent="0.2">
      <c r="I19512" s="1125"/>
      <c r="J19512" s="1125"/>
    </row>
    <row r="19513" spans="9:10" x14ac:dyDescent="0.2">
      <c r="I19513" s="1125"/>
      <c r="J19513" s="1125"/>
    </row>
    <row r="19514" spans="9:10" x14ac:dyDescent="0.2">
      <c r="I19514" s="1125"/>
      <c r="J19514" s="1125"/>
    </row>
    <row r="19515" spans="9:10" x14ac:dyDescent="0.2">
      <c r="I19515" s="1125"/>
      <c r="J19515" s="1125"/>
    </row>
    <row r="19516" spans="9:10" x14ac:dyDescent="0.2">
      <c r="I19516" s="1125"/>
      <c r="J19516" s="1125"/>
    </row>
    <row r="19517" spans="9:10" x14ac:dyDescent="0.2">
      <c r="I19517" s="1125"/>
      <c r="J19517" s="1125"/>
    </row>
    <row r="19518" spans="9:10" x14ac:dyDescent="0.2">
      <c r="I19518" s="1125"/>
      <c r="J19518" s="1125"/>
    </row>
    <row r="19519" spans="9:10" x14ac:dyDescent="0.2">
      <c r="I19519" s="1125"/>
      <c r="J19519" s="1125"/>
    </row>
    <row r="19520" spans="9:10" x14ac:dyDescent="0.2">
      <c r="I19520" s="1125"/>
      <c r="J19520" s="1125"/>
    </row>
    <row r="19521" spans="9:10" x14ac:dyDescent="0.2">
      <c r="I19521" s="1125"/>
      <c r="J19521" s="1125"/>
    </row>
    <row r="19522" spans="9:10" x14ac:dyDescent="0.2">
      <c r="I19522" s="1125"/>
      <c r="J19522" s="1125"/>
    </row>
    <row r="19523" spans="9:10" x14ac:dyDescent="0.2">
      <c r="I19523" s="1125"/>
      <c r="J19523" s="1125"/>
    </row>
    <row r="19524" spans="9:10" x14ac:dyDescent="0.2">
      <c r="I19524" s="1125"/>
      <c r="J19524" s="1125"/>
    </row>
    <row r="19525" spans="9:10" x14ac:dyDescent="0.2">
      <c r="I19525" s="1125"/>
      <c r="J19525" s="1125"/>
    </row>
    <row r="19526" spans="9:10" x14ac:dyDescent="0.2">
      <c r="I19526" s="1125"/>
      <c r="J19526" s="1125"/>
    </row>
    <row r="19527" spans="9:10" x14ac:dyDescent="0.2">
      <c r="I19527" s="1125"/>
      <c r="J19527" s="1125"/>
    </row>
    <row r="19528" spans="9:10" x14ac:dyDescent="0.2">
      <c r="I19528" s="1125"/>
      <c r="J19528" s="1125"/>
    </row>
    <row r="19529" spans="9:10" x14ac:dyDescent="0.2">
      <c r="I19529" s="1125"/>
      <c r="J19529" s="1125"/>
    </row>
    <row r="19530" spans="9:10" x14ac:dyDescent="0.2">
      <c r="I19530" s="1125"/>
      <c r="J19530" s="1125"/>
    </row>
    <row r="19531" spans="9:10" x14ac:dyDescent="0.2">
      <c r="I19531" s="1125"/>
      <c r="J19531" s="1125"/>
    </row>
    <row r="19532" spans="9:10" x14ac:dyDescent="0.2">
      <c r="I19532" s="1125"/>
      <c r="J19532" s="1125"/>
    </row>
    <row r="19533" spans="9:10" x14ac:dyDescent="0.2">
      <c r="I19533" s="1125"/>
      <c r="J19533" s="1125"/>
    </row>
    <row r="19534" spans="9:10" x14ac:dyDescent="0.2">
      <c r="I19534" s="1125"/>
      <c r="J19534" s="1125"/>
    </row>
    <row r="19535" spans="9:10" x14ac:dyDescent="0.2">
      <c r="I19535" s="1125"/>
      <c r="J19535" s="1125"/>
    </row>
    <row r="19536" spans="9:10" x14ac:dyDescent="0.2">
      <c r="I19536" s="1125"/>
      <c r="J19536" s="1125"/>
    </row>
    <row r="19537" spans="9:10" x14ac:dyDescent="0.2">
      <c r="I19537" s="1125"/>
      <c r="J19537" s="1125"/>
    </row>
    <row r="19538" spans="9:10" x14ac:dyDescent="0.2">
      <c r="I19538" s="1125"/>
      <c r="J19538" s="1125"/>
    </row>
    <row r="19539" spans="9:10" x14ac:dyDescent="0.2">
      <c r="I19539" s="1125"/>
      <c r="J19539" s="1125"/>
    </row>
    <row r="19540" spans="9:10" x14ac:dyDescent="0.2">
      <c r="I19540" s="1125"/>
      <c r="J19540" s="1125"/>
    </row>
    <row r="19541" spans="9:10" x14ac:dyDescent="0.2">
      <c r="I19541" s="1125"/>
      <c r="J19541" s="1125"/>
    </row>
    <row r="19542" spans="9:10" x14ac:dyDescent="0.2">
      <c r="I19542" s="1125"/>
      <c r="J19542" s="1125"/>
    </row>
    <row r="19543" spans="9:10" x14ac:dyDescent="0.2">
      <c r="I19543" s="1125"/>
      <c r="J19543" s="1125"/>
    </row>
    <row r="19544" spans="9:10" x14ac:dyDescent="0.2">
      <c r="I19544" s="1125"/>
      <c r="J19544" s="1125"/>
    </row>
    <row r="19545" spans="9:10" x14ac:dyDescent="0.2">
      <c r="I19545" s="1125"/>
      <c r="J19545" s="1125"/>
    </row>
    <row r="19546" spans="9:10" x14ac:dyDescent="0.2">
      <c r="I19546" s="1125"/>
      <c r="J19546" s="1125"/>
    </row>
    <row r="19547" spans="9:10" x14ac:dyDescent="0.2">
      <c r="I19547" s="1125"/>
      <c r="J19547" s="1125"/>
    </row>
    <row r="19548" spans="9:10" x14ac:dyDescent="0.2">
      <c r="I19548" s="1125"/>
      <c r="J19548" s="1125"/>
    </row>
    <row r="19549" spans="9:10" x14ac:dyDescent="0.2">
      <c r="I19549" s="1125"/>
      <c r="J19549" s="1125"/>
    </row>
    <row r="19550" spans="9:10" x14ac:dyDescent="0.2">
      <c r="I19550" s="1125"/>
      <c r="J19550" s="1125"/>
    </row>
    <row r="19551" spans="9:10" x14ac:dyDescent="0.2">
      <c r="I19551" s="1125"/>
      <c r="J19551" s="1125"/>
    </row>
    <row r="19552" spans="9:10" x14ac:dyDescent="0.2">
      <c r="I19552" s="1125"/>
      <c r="J19552" s="1125"/>
    </row>
    <row r="19553" spans="9:10" x14ac:dyDescent="0.2">
      <c r="I19553" s="1125"/>
      <c r="J19553" s="1125"/>
    </row>
    <row r="19554" spans="9:10" x14ac:dyDescent="0.2">
      <c r="I19554" s="1125"/>
      <c r="J19554" s="1125"/>
    </row>
    <row r="19555" spans="9:10" x14ac:dyDescent="0.2">
      <c r="I19555" s="1125"/>
      <c r="J19555" s="1125"/>
    </row>
    <row r="19556" spans="9:10" x14ac:dyDescent="0.2">
      <c r="I19556" s="1125"/>
      <c r="J19556" s="1125"/>
    </row>
    <row r="19557" spans="9:10" x14ac:dyDescent="0.2">
      <c r="I19557" s="1125"/>
      <c r="J19557" s="1125"/>
    </row>
    <row r="19558" spans="9:10" x14ac:dyDescent="0.2">
      <c r="I19558" s="1125"/>
      <c r="J19558" s="1125"/>
    </row>
    <row r="19559" spans="9:10" x14ac:dyDescent="0.2">
      <c r="I19559" s="1125"/>
      <c r="J19559" s="1125"/>
    </row>
    <row r="19560" spans="9:10" x14ac:dyDescent="0.2">
      <c r="I19560" s="1125"/>
      <c r="J19560" s="1125"/>
    </row>
    <row r="19561" spans="9:10" x14ac:dyDescent="0.2">
      <c r="I19561" s="1125"/>
      <c r="J19561" s="1125"/>
    </row>
    <row r="19562" spans="9:10" x14ac:dyDescent="0.2">
      <c r="I19562" s="1125"/>
      <c r="J19562" s="1125"/>
    </row>
    <row r="19563" spans="9:10" x14ac:dyDescent="0.2">
      <c r="I19563" s="1125"/>
      <c r="J19563" s="1125"/>
    </row>
    <row r="19564" spans="9:10" x14ac:dyDescent="0.2">
      <c r="I19564" s="1125"/>
      <c r="J19564" s="1125"/>
    </row>
    <row r="19565" spans="9:10" x14ac:dyDescent="0.2">
      <c r="I19565" s="1125"/>
      <c r="J19565" s="1125"/>
    </row>
    <row r="19566" spans="9:10" x14ac:dyDescent="0.2">
      <c r="I19566" s="1125"/>
      <c r="J19566" s="1125"/>
    </row>
    <row r="19567" spans="9:10" x14ac:dyDescent="0.2">
      <c r="I19567" s="1125"/>
      <c r="J19567" s="1125"/>
    </row>
    <row r="19568" spans="9:10" x14ac:dyDescent="0.2">
      <c r="I19568" s="1125"/>
      <c r="J19568" s="1125"/>
    </row>
    <row r="19569" spans="9:10" x14ac:dyDescent="0.2">
      <c r="I19569" s="1125"/>
      <c r="J19569" s="1125"/>
    </row>
    <row r="19570" spans="9:10" x14ac:dyDescent="0.2">
      <c r="I19570" s="1125"/>
      <c r="J19570" s="1125"/>
    </row>
    <row r="19571" spans="9:10" x14ac:dyDescent="0.2">
      <c r="I19571" s="1125"/>
      <c r="J19571" s="1125"/>
    </row>
    <row r="19572" spans="9:10" x14ac:dyDescent="0.2">
      <c r="I19572" s="1125"/>
      <c r="J19572" s="1125"/>
    </row>
    <row r="19573" spans="9:10" x14ac:dyDescent="0.2">
      <c r="I19573" s="1125"/>
      <c r="J19573" s="1125"/>
    </row>
    <row r="19574" spans="9:10" x14ac:dyDescent="0.2">
      <c r="I19574" s="1125"/>
      <c r="J19574" s="1125"/>
    </row>
    <row r="19575" spans="9:10" x14ac:dyDescent="0.2">
      <c r="I19575" s="1125"/>
      <c r="J19575" s="1125"/>
    </row>
    <row r="19576" spans="9:10" x14ac:dyDescent="0.2">
      <c r="I19576" s="1125"/>
      <c r="J19576" s="1125"/>
    </row>
    <row r="19577" spans="9:10" x14ac:dyDescent="0.2">
      <c r="I19577" s="1125"/>
      <c r="J19577" s="1125"/>
    </row>
    <row r="19578" spans="9:10" x14ac:dyDescent="0.2">
      <c r="I19578" s="1125"/>
      <c r="J19578" s="1125"/>
    </row>
    <row r="19579" spans="9:10" x14ac:dyDescent="0.2">
      <c r="I19579" s="1125"/>
      <c r="J19579" s="1125"/>
    </row>
    <row r="19580" spans="9:10" x14ac:dyDescent="0.2">
      <c r="I19580" s="1125"/>
      <c r="J19580" s="1125"/>
    </row>
    <row r="19581" spans="9:10" x14ac:dyDescent="0.2">
      <c r="I19581" s="1125"/>
      <c r="J19581" s="1125"/>
    </row>
    <row r="19582" spans="9:10" x14ac:dyDescent="0.2">
      <c r="I19582" s="1125"/>
      <c r="J19582" s="1125"/>
    </row>
    <row r="19583" spans="9:10" x14ac:dyDescent="0.2">
      <c r="I19583" s="1125"/>
      <c r="J19583" s="1125"/>
    </row>
    <row r="19584" spans="9:10" x14ac:dyDescent="0.2">
      <c r="I19584" s="1125"/>
      <c r="J19584" s="1125"/>
    </row>
    <row r="19585" spans="9:10" x14ac:dyDescent="0.2">
      <c r="I19585" s="1125"/>
      <c r="J19585" s="1125"/>
    </row>
    <row r="19586" spans="9:10" x14ac:dyDescent="0.2">
      <c r="I19586" s="1125"/>
      <c r="J19586" s="1125"/>
    </row>
    <row r="19587" spans="9:10" x14ac:dyDescent="0.2">
      <c r="I19587" s="1125"/>
      <c r="J19587" s="1125"/>
    </row>
    <row r="19588" spans="9:10" x14ac:dyDescent="0.2">
      <c r="I19588" s="1125"/>
      <c r="J19588" s="1125"/>
    </row>
    <row r="19589" spans="9:10" x14ac:dyDescent="0.2">
      <c r="I19589" s="1125"/>
      <c r="J19589" s="1125"/>
    </row>
    <row r="19590" spans="9:10" x14ac:dyDescent="0.2">
      <c r="I19590" s="1125"/>
      <c r="J19590" s="1125"/>
    </row>
    <row r="19591" spans="9:10" x14ac:dyDescent="0.2">
      <c r="I19591" s="1125"/>
      <c r="J19591" s="1125"/>
    </row>
    <row r="19592" spans="9:10" x14ac:dyDescent="0.2">
      <c r="I19592" s="1125"/>
      <c r="J19592" s="1125"/>
    </row>
    <row r="19593" spans="9:10" x14ac:dyDescent="0.2">
      <c r="I19593" s="1125"/>
      <c r="J19593" s="1125"/>
    </row>
    <row r="19594" spans="9:10" x14ac:dyDescent="0.2">
      <c r="I19594" s="1125"/>
      <c r="J19594" s="1125"/>
    </row>
    <row r="19595" spans="9:10" x14ac:dyDescent="0.2">
      <c r="I19595" s="1125"/>
      <c r="J19595" s="1125"/>
    </row>
    <row r="19596" spans="9:10" x14ac:dyDescent="0.2">
      <c r="I19596" s="1125"/>
      <c r="J19596" s="1125"/>
    </row>
    <row r="19597" spans="9:10" x14ac:dyDescent="0.2">
      <c r="I19597" s="1125"/>
      <c r="J19597" s="1125"/>
    </row>
    <row r="19598" spans="9:10" x14ac:dyDescent="0.2">
      <c r="I19598" s="1125"/>
      <c r="J19598" s="1125"/>
    </row>
    <row r="19599" spans="9:10" x14ac:dyDescent="0.2">
      <c r="I19599" s="1125"/>
      <c r="J19599" s="1125"/>
    </row>
    <row r="19600" spans="9:10" x14ac:dyDescent="0.2">
      <c r="I19600" s="1125"/>
      <c r="J19600" s="1125"/>
    </row>
    <row r="19601" spans="9:10" x14ac:dyDescent="0.2">
      <c r="I19601" s="1125"/>
      <c r="J19601" s="1125"/>
    </row>
    <row r="19602" spans="9:10" x14ac:dyDescent="0.2">
      <c r="I19602" s="1125"/>
      <c r="J19602" s="1125"/>
    </row>
    <row r="19603" spans="9:10" x14ac:dyDescent="0.2">
      <c r="I19603" s="1125"/>
      <c r="J19603" s="1125"/>
    </row>
    <row r="19604" spans="9:10" x14ac:dyDescent="0.2">
      <c r="I19604" s="1125"/>
      <c r="J19604" s="1125"/>
    </row>
    <row r="19605" spans="9:10" x14ac:dyDescent="0.2">
      <c r="I19605" s="1125"/>
      <c r="J19605" s="1125"/>
    </row>
    <row r="19606" spans="9:10" x14ac:dyDescent="0.2">
      <c r="I19606" s="1125"/>
      <c r="J19606" s="1125"/>
    </row>
    <row r="19607" spans="9:10" x14ac:dyDescent="0.2">
      <c r="I19607" s="1125"/>
      <c r="J19607" s="1125"/>
    </row>
    <row r="19608" spans="9:10" x14ac:dyDescent="0.2">
      <c r="I19608" s="1125"/>
      <c r="J19608" s="1125"/>
    </row>
    <row r="19609" spans="9:10" x14ac:dyDescent="0.2">
      <c r="I19609" s="1125"/>
      <c r="J19609" s="1125"/>
    </row>
    <row r="19610" spans="9:10" x14ac:dyDescent="0.2">
      <c r="I19610" s="1125"/>
      <c r="J19610" s="1125"/>
    </row>
    <row r="19611" spans="9:10" x14ac:dyDescent="0.2">
      <c r="I19611" s="1125"/>
      <c r="J19611" s="1125"/>
    </row>
    <row r="19612" spans="9:10" x14ac:dyDescent="0.2">
      <c r="I19612" s="1125"/>
      <c r="J19612" s="1125"/>
    </row>
    <row r="19613" spans="9:10" x14ac:dyDescent="0.2">
      <c r="I19613" s="1125"/>
      <c r="J19613" s="1125"/>
    </row>
    <row r="19614" spans="9:10" x14ac:dyDescent="0.2">
      <c r="I19614" s="1125"/>
      <c r="J19614" s="1125"/>
    </row>
    <row r="19615" spans="9:10" x14ac:dyDescent="0.2">
      <c r="I19615" s="1125"/>
      <c r="J19615" s="1125"/>
    </row>
    <row r="19616" spans="9:10" x14ac:dyDescent="0.2">
      <c r="I19616" s="1125"/>
      <c r="J19616" s="1125"/>
    </row>
    <row r="19617" spans="9:10" x14ac:dyDescent="0.2">
      <c r="I19617" s="1125"/>
      <c r="J19617" s="1125"/>
    </row>
    <row r="19618" spans="9:10" x14ac:dyDescent="0.2">
      <c r="I19618" s="1125"/>
      <c r="J19618" s="1125"/>
    </row>
    <row r="19619" spans="9:10" x14ac:dyDescent="0.2">
      <c r="I19619" s="1125"/>
      <c r="J19619" s="1125"/>
    </row>
    <row r="19620" spans="9:10" x14ac:dyDescent="0.2">
      <c r="I19620" s="1125"/>
      <c r="J19620" s="1125"/>
    </row>
    <row r="19621" spans="9:10" x14ac:dyDescent="0.2">
      <c r="I19621" s="1125"/>
      <c r="J19621" s="1125"/>
    </row>
    <row r="19622" spans="9:10" x14ac:dyDescent="0.2">
      <c r="I19622" s="1125"/>
      <c r="J19622" s="1125"/>
    </row>
    <row r="19623" spans="9:10" x14ac:dyDescent="0.2">
      <c r="I19623" s="1125"/>
      <c r="J19623" s="1125"/>
    </row>
    <row r="19624" spans="9:10" x14ac:dyDescent="0.2">
      <c r="I19624" s="1125"/>
      <c r="J19624" s="1125"/>
    </row>
    <row r="19625" spans="9:10" x14ac:dyDescent="0.2">
      <c r="I19625" s="1125"/>
      <c r="J19625" s="1125"/>
    </row>
    <row r="19626" spans="9:10" x14ac:dyDescent="0.2">
      <c r="I19626" s="1125"/>
      <c r="J19626" s="1125"/>
    </row>
    <row r="19627" spans="9:10" x14ac:dyDescent="0.2">
      <c r="I19627" s="1125"/>
      <c r="J19627" s="1125"/>
    </row>
    <row r="19628" spans="9:10" x14ac:dyDescent="0.2">
      <c r="I19628" s="1125"/>
      <c r="J19628" s="1125"/>
    </row>
    <row r="19629" spans="9:10" x14ac:dyDescent="0.2">
      <c r="I19629" s="1125"/>
      <c r="J19629" s="1125"/>
    </row>
    <row r="19630" spans="9:10" x14ac:dyDescent="0.2">
      <c r="I19630" s="1125"/>
      <c r="J19630" s="1125"/>
    </row>
    <row r="19631" spans="9:10" x14ac:dyDescent="0.2">
      <c r="I19631" s="1125"/>
      <c r="J19631" s="1125"/>
    </row>
    <row r="19632" spans="9:10" x14ac:dyDescent="0.2">
      <c r="I19632" s="1125"/>
      <c r="J19632" s="1125"/>
    </row>
    <row r="19633" spans="9:10" x14ac:dyDescent="0.2">
      <c r="I19633" s="1125"/>
      <c r="J19633" s="1125"/>
    </row>
    <row r="19634" spans="9:10" x14ac:dyDescent="0.2">
      <c r="I19634" s="1125"/>
      <c r="J19634" s="1125"/>
    </row>
    <row r="19635" spans="9:10" x14ac:dyDescent="0.2">
      <c r="I19635" s="1125"/>
      <c r="J19635" s="1125"/>
    </row>
    <row r="19636" spans="9:10" x14ac:dyDescent="0.2">
      <c r="I19636" s="1125"/>
      <c r="J19636" s="1125"/>
    </row>
    <row r="19637" spans="9:10" x14ac:dyDescent="0.2">
      <c r="I19637" s="1125"/>
      <c r="J19637" s="1125"/>
    </row>
    <row r="19638" spans="9:10" x14ac:dyDescent="0.2">
      <c r="I19638" s="1125"/>
      <c r="J19638" s="1125"/>
    </row>
    <row r="19639" spans="9:10" x14ac:dyDescent="0.2">
      <c r="I19639" s="1125"/>
      <c r="J19639" s="1125"/>
    </row>
    <row r="19640" spans="9:10" x14ac:dyDescent="0.2">
      <c r="I19640" s="1125"/>
      <c r="J19640" s="1125"/>
    </row>
    <row r="19641" spans="9:10" x14ac:dyDescent="0.2">
      <c r="I19641" s="1125"/>
      <c r="J19641" s="1125"/>
    </row>
    <row r="19642" spans="9:10" x14ac:dyDescent="0.2">
      <c r="I19642" s="1125"/>
      <c r="J19642" s="1125"/>
    </row>
    <row r="19643" spans="9:10" x14ac:dyDescent="0.2">
      <c r="I19643" s="1125"/>
      <c r="J19643" s="1125"/>
    </row>
    <row r="19644" spans="9:10" x14ac:dyDescent="0.2">
      <c r="I19644" s="1125"/>
      <c r="J19644" s="1125"/>
    </row>
    <row r="19645" spans="9:10" x14ac:dyDescent="0.2">
      <c r="I19645" s="1125"/>
      <c r="J19645" s="1125"/>
    </row>
    <row r="19646" spans="9:10" x14ac:dyDescent="0.2">
      <c r="I19646" s="1125"/>
      <c r="J19646" s="1125"/>
    </row>
    <row r="19647" spans="9:10" x14ac:dyDescent="0.2">
      <c r="I19647" s="1125"/>
      <c r="J19647" s="1125"/>
    </row>
    <row r="19648" spans="9:10" x14ac:dyDescent="0.2">
      <c r="I19648" s="1125"/>
      <c r="J19648" s="1125"/>
    </row>
    <row r="19649" spans="9:10" x14ac:dyDescent="0.2">
      <c r="I19649" s="1125"/>
      <c r="J19649" s="1125"/>
    </row>
    <row r="19650" spans="9:10" x14ac:dyDescent="0.2">
      <c r="I19650" s="1125"/>
      <c r="J19650" s="1125"/>
    </row>
    <row r="19651" spans="9:10" x14ac:dyDescent="0.2">
      <c r="I19651" s="1125"/>
      <c r="J19651" s="1125"/>
    </row>
    <row r="19652" spans="9:10" x14ac:dyDescent="0.2">
      <c r="I19652" s="1125"/>
      <c r="J19652" s="1125"/>
    </row>
    <row r="19653" spans="9:10" x14ac:dyDescent="0.2">
      <c r="I19653" s="1125"/>
      <c r="J19653" s="1125"/>
    </row>
    <row r="19654" spans="9:10" x14ac:dyDescent="0.2">
      <c r="I19654" s="1125"/>
      <c r="J19654" s="1125"/>
    </row>
    <row r="19655" spans="9:10" x14ac:dyDescent="0.2">
      <c r="I19655" s="1125"/>
      <c r="J19655" s="1125"/>
    </row>
    <row r="19656" spans="9:10" x14ac:dyDescent="0.2">
      <c r="I19656" s="1125"/>
      <c r="J19656" s="1125"/>
    </row>
    <row r="19657" spans="9:10" x14ac:dyDescent="0.2">
      <c r="I19657" s="1125"/>
      <c r="J19657" s="1125"/>
    </row>
    <row r="19658" spans="9:10" x14ac:dyDescent="0.2">
      <c r="I19658" s="1125"/>
      <c r="J19658" s="1125"/>
    </row>
    <row r="19659" spans="9:10" x14ac:dyDescent="0.2">
      <c r="I19659" s="1125"/>
      <c r="J19659" s="1125"/>
    </row>
    <row r="19660" spans="9:10" x14ac:dyDescent="0.2">
      <c r="I19660" s="1125"/>
      <c r="J19660" s="1125"/>
    </row>
    <row r="19661" spans="9:10" x14ac:dyDescent="0.2">
      <c r="I19661" s="1125"/>
      <c r="J19661" s="1125"/>
    </row>
    <row r="19662" spans="9:10" x14ac:dyDescent="0.2">
      <c r="I19662" s="1125"/>
      <c r="J19662" s="1125"/>
    </row>
    <row r="19663" spans="9:10" x14ac:dyDescent="0.2">
      <c r="I19663" s="1125"/>
      <c r="J19663" s="1125"/>
    </row>
    <row r="19664" spans="9:10" x14ac:dyDescent="0.2">
      <c r="I19664" s="1125"/>
      <c r="J19664" s="1125"/>
    </row>
    <row r="19665" spans="9:10" x14ac:dyDescent="0.2">
      <c r="I19665" s="1125"/>
      <c r="J19665" s="1125"/>
    </row>
    <row r="19666" spans="9:10" x14ac:dyDescent="0.2">
      <c r="I19666" s="1125"/>
      <c r="J19666" s="1125"/>
    </row>
    <row r="19667" spans="9:10" x14ac:dyDescent="0.2">
      <c r="I19667" s="1125"/>
      <c r="J19667" s="1125"/>
    </row>
    <row r="19668" spans="9:10" x14ac:dyDescent="0.2">
      <c r="I19668" s="1125"/>
      <c r="J19668" s="1125"/>
    </row>
    <row r="19669" spans="9:10" x14ac:dyDescent="0.2">
      <c r="I19669" s="1125"/>
      <c r="J19669" s="1125"/>
    </row>
    <row r="19670" spans="9:10" x14ac:dyDescent="0.2">
      <c r="I19670" s="1125"/>
      <c r="J19670" s="1125"/>
    </row>
    <row r="19671" spans="9:10" x14ac:dyDescent="0.2">
      <c r="I19671" s="1125"/>
      <c r="J19671" s="1125"/>
    </row>
    <row r="19672" spans="9:10" x14ac:dyDescent="0.2">
      <c r="I19672" s="1125"/>
      <c r="J19672" s="1125"/>
    </row>
    <row r="19673" spans="9:10" x14ac:dyDescent="0.2">
      <c r="I19673" s="1125"/>
      <c r="J19673" s="1125"/>
    </row>
    <row r="19674" spans="9:10" x14ac:dyDescent="0.2">
      <c r="I19674" s="1125"/>
      <c r="J19674" s="1125"/>
    </row>
    <row r="19675" spans="9:10" x14ac:dyDescent="0.2">
      <c r="I19675" s="1125"/>
      <c r="J19675" s="1125"/>
    </row>
    <row r="19676" spans="9:10" x14ac:dyDescent="0.2">
      <c r="I19676" s="1125"/>
      <c r="J19676" s="1125"/>
    </row>
    <row r="19677" spans="9:10" x14ac:dyDescent="0.2">
      <c r="I19677" s="1125"/>
      <c r="J19677" s="1125"/>
    </row>
    <row r="19678" spans="9:10" x14ac:dyDescent="0.2">
      <c r="I19678" s="1125"/>
      <c r="J19678" s="1125"/>
    </row>
    <row r="19679" spans="9:10" x14ac:dyDescent="0.2">
      <c r="I19679" s="1125"/>
      <c r="J19679" s="1125"/>
    </row>
    <row r="19680" spans="9:10" x14ac:dyDescent="0.2">
      <c r="I19680" s="1125"/>
      <c r="J19680" s="1125"/>
    </row>
    <row r="19681" spans="9:10" x14ac:dyDescent="0.2">
      <c r="I19681" s="1125"/>
      <c r="J19681" s="1125"/>
    </row>
    <row r="19682" spans="9:10" x14ac:dyDescent="0.2">
      <c r="I19682" s="1125"/>
      <c r="J19682" s="1125"/>
    </row>
    <row r="19683" spans="9:10" x14ac:dyDescent="0.2">
      <c r="I19683" s="1125"/>
      <c r="J19683" s="1125"/>
    </row>
    <row r="19684" spans="9:10" x14ac:dyDescent="0.2">
      <c r="I19684" s="1125"/>
      <c r="J19684" s="1125"/>
    </row>
    <row r="19685" spans="9:10" x14ac:dyDescent="0.2">
      <c r="I19685" s="1125"/>
      <c r="J19685" s="1125"/>
    </row>
    <row r="19686" spans="9:10" x14ac:dyDescent="0.2">
      <c r="I19686" s="1125"/>
      <c r="J19686" s="1125"/>
    </row>
    <row r="19687" spans="9:10" x14ac:dyDescent="0.2">
      <c r="I19687" s="1125"/>
      <c r="J19687" s="1125"/>
    </row>
    <row r="19688" spans="9:10" x14ac:dyDescent="0.2">
      <c r="I19688" s="1125"/>
      <c r="J19688" s="1125"/>
    </row>
    <row r="19689" spans="9:10" x14ac:dyDescent="0.2">
      <c r="I19689" s="1125"/>
      <c r="J19689" s="1125"/>
    </row>
    <row r="19690" spans="9:10" x14ac:dyDescent="0.2">
      <c r="I19690" s="1125"/>
      <c r="J19690" s="1125"/>
    </row>
    <row r="19691" spans="9:10" x14ac:dyDescent="0.2">
      <c r="I19691" s="1125"/>
      <c r="J19691" s="1125"/>
    </row>
    <row r="19692" spans="9:10" x14ac:dyDescent="0.2">
      <c r="I19692" s="1125"/>
      <c r="J19692" s="1125"/>
    </row>
    <row r="19693" spans="9:10" x14ac:dyDescent="0.2">
      <c r="I19693" s="1125"/>
      <c r="J19693" s="1125"/>
    </row>
    <row r="19694" spans="9:10" x14ac:dyDescent="0.2">
      <c r="I19694" s="1125"/>
      <c r="J19694" s="1125"/>
    </row>
    <row r="19695" spans="9:10" x14ac:dyDescent="0.2">
      <c r="I19695" s="1125"/>
      <c r="J19695" s="1125"/>
    </row>
    <row r="19696" spans="9:10" x14ac:dyDescent="0.2">
      <c r="I19696" s="1125"/>
      <c r="J19696" s="1125"/>
    </row>
    <row r="19697" spans="9:10" x14ac:dyDescent="0.2">
      <c r="I19697" s="1125"/>
      <c r="J19697" s="1125"/>
    </row>
    <row r="19698" spans="9:10" x14ac:dyDescent="0.2">
      <c r="I19698" s="1125"/>
      <c r="J19698" s="1125"/>
    </row>
    <row r="19699" spans="9:10" x14ac:dyDescent="0.2">
      <c r="I19699" s="1125"/>
      <c r="J19699" s="1125"/>
    </row>
    <row r="19700" spans="9:10" x14ac:dyDescent="0.2">
      <c r="I19700" s="1125"/>
      <c r="J19700" s="1125"/>
    </row>
    <row r="19701" spans="9:10" x14ac:dyDescent="0.2">
      <c r="I19701" s="1125"/>
      <c r="J19701" s="1125"/>
    </row>
    <row r="19702" spans="9:10" x14ac:dyDescent="0.2">
      <c r="I19702" s="1125"/>
      <c r="J19702" s="1125"/>
    </row>
    <row r="19703" spans="9:10" x14ac:dyDescent="0.2">
      <c r="I19703" s="1125"/>
      <c r="J19703" s="1125"/>
    </row>
    <row r="19704" spans="9:10" x14ac:dyDescent="0.2">
      <c r="I19704" s="1125"/>
      <c r="J19704" s="1125"/>
    </row>
    <row r="19705" spans="9:10" x14ac:dyDescent="0.2">
      <c r="I19705" s="1125"/>
      <c r="J19705" s="1125"/>
    </row>
    <row r="19706" spans="9:10" x14ac:dyDescent="0.2">
      <c r="I19706" s="1125"/>
      <c r="J19706" s="1125"/>
    </row>
    <row r="19707" spans="9:10" x14ac:dyDescent="0.2">
      <c r="I19707" s="1125"/>
      <c r="J19707" s="1125"/>
    </row>
    <row r="19708" spans="9:10" x14ac:dyDescent="0.2">
      <c r="I19708" s="1125"/>
      <c r="J19708" s="1125"/>
    </row>
    <row r="19709" spans="9:10" x14ac:dyDescent="0.2">
      <c r="I19709" s="1125"/>
      <c r="J19709" s="1125"/>
    </row>
    <row r="19710" spans="9:10" x14ac:dyDescent="0.2">
      <c r="I19710" s="1125"/>
      <c r="J19710" s="1125"/>
    </row>
    <row r="19711" spans="9:10" x14ac:dyDescent="0.2">
      <c r="I19711" s="1125"/>
      <c r="J19711" s="1125"/>
    </row>
    <row r="19712" spans="9:10" x14ac:dyDescent="0.2">
      <c r="I19712" s="1125"/>
      <c r="J19712" s="1125"/>
    </row>
    <row r="19713" spans="9:10" x14ac:dyDescent="0.2">
      <c r="I19713" s="1125"/>
      <c r="J19713" s="1125"/>
    </row>
    <row r="19714" spans="9:10" x14ac:dyDescent="0.2">
      <c r="I19714" s="1125"/>
      <c r="J19714" s="1125"/>
    </row>
    <row r="19715" spans="9:10" x14ac:dyDescent="0.2">
      <c r="I19715" s="1125"/>
      <c r="J19715" s="1125"/>
    </row>
    <row r="19716" spans="9:10" x14ac:dyDescent="0.2">
      <c r="I19716" s="1125"/>
      <c r="J19716" s="1125"/>
    </row>
    <row r="19717" spans="9:10" x14ac:dyDescent="0.2">
      <c r="I19717" s="1125"/>
      <c r="J19717" s="1125"/>
    </row>
    <row r="19718" spans="9:10" x14ac:dyDescent="0.2">
      <c r="I19718" s="1125"/>
      <c r="J19718" s="1125"/>
    </row>
    <row r="19719" spans="9:10" x14ac:dyDescent="0.2">
      <c r="I19719" s="1125"/>
      <c r="J19719" s="1125"/>
    </row>
    <row r="19720" spans="9:10" x14ac:dyDescent="0.2">
      <c r="I19720" s="1125"/>
      <c r="J19720" s="1125"/>
    </row>
    <row r="19721" spans="9:10" x14ac:dyDescent="0.2">
      <c r="I19721" s="1125"/>
      <c r="J19721" s="1125"/>
    </row>
    <row r="19722" spans="9:10" x14ac:dyDescent="0.2">
      <c r="I19722" s="1125"/>
      <c r="J19722" s="1125"/>
    </row>
    <row r="19723" spans="9:10" x14ac:dyDescent="0.2">
      <c r="I19723" s="1125"/>
      <c r="J19723" s="1125"/>
    </row>
    <row r="19724" spans="9:10" x14ac:dyDescent="0.2">
      <c r="I19724" s="1125"/>
      <c r="J19724" s="1125"/>
    </row>
    <row r="19725" spans="9:10" x14ac:dyDescent="0.2">
      <c r="I19725" s="1125"/>
      <c r="J19725" s="1125"/>
    </row>
    <row r="19726" spans="9:10" x14ac:dyDescent="0.2">
      <c r="I19726" s="1125"/>
      <c r="J19726" s="1125"/>
    </row>
    <row r="19727" spans="9:10" x14ac:dyDescent="0.2">
      <c r="I19727" s="1125"/>
      <c r="J19727" s="1125"/>
    </row>
    <row r="19728" spans="9:10" x14ac:dyDescent="0.2">
      <c r="I19728" s="1125"/>
      <c r="J19728" s="1125"/>
    </row>
    <row r="19729" spans="9:10" x14ac:dyDescent="0.2">
      <c r="I19729" s="1125"/>
      <c r="J19729" s="1125"/>
    </row>
    <row r="19730" spans="9:10" x14ac:dyDescent="0.2">
      <c r="I19730" s="1125"/>
      <c r="J19730" s="1125"/>
    </row>
    <row r="19731" spans="9:10" x14ac:dyDescent="0.2">
      <c r="I19731" s="1125"/>
      <c r="J19731" s="1125"/>
    </row>
    <row r="19732" spans="9:10" x14ac:dyDescent="0.2">
      <c r="I19732" s="1125"/>
      <c r="J19732" s="1125"/>
    </row>
    <row r="19733" spans="9:10" x14ac:dyDescent="0.2">
      <c r="I19733" s="1125"/>
      <c r="J19733" s="1125"/>
    </row>
    <row r="19734" spans="9:10" x14ac:dyDescent="0.2">
      <c r="I19734" s="1125"/>
      <c r="J19734" s="1125"/>
    </row>
    <row r="19735" spans="9:10" x14ac:dyDescent="0.2">
      <c r="I19735" s="1125"/>
      <c r="J19735" s="1125"/>
    </row>
    <row r="19736" spans="9:10" x14ac:dyDescent="0.2">
      <c r="I19736" s="1125"/>
      <c r="J19736" s="1125"/>
    </row>
    <row r="19737" spans="9:10" x14ac:dyDescent="0.2">
      <c r="I19737" s="1125"/>
      <c r="J19737" s="1125"/>
    </row>
    <row r="19738" spans="9:10" x14ac:dyDescent="0.2">
      <c r="I19738" s="1125"/>
      <c r="J19738" s="1125"/>
    </row>
    <row r="19739" spans="9:10" x14ac:dyDescent="0.2">
      <c r="I19739" s="1125"/>
      <c r="J19739" s="1125"/>
    </row>
    <row r="19740" spans="9:10" x14ac:dyDescent="0.2">
      <c r="I19740" s="1125"/>
      <c r="J19740" s="1125"/>
    </row>
    <row r="19741" spans="9:10" x14ac:dyDescent="0.2">
      <c r="I19741" s="1125"/>
      <c r="J19741" s="1125"/>
    </row>
    <row r="19742" spans="9:10" x14ac:dyDescent="0.2">
      <c r="I19742" s="1125"/>
      <c r="J19742" s="1125"/>
    </row>
    <row r="19743" spans="9:10" x14ac:dyDescent="0.2">
      <c r="I19743" s="1125"/>
      <c r="J19743" s="1125"/>
    </row>
    <row r="19744" spans="9:10" x14ac:dyDescent="0.2">
      <c r="I19744" s="1125"/>
      <c r="J19744" s="1125"/>
    </row>
    <row r="19745" spans="9:10" x14ac:dyDescent="0.2">
      <c r="I19745" s="1125"/>
      <c r="J19745" s="1125"/>
    </row>
    <row r="19746" spans="9:10" x14ac:dyDescent="0.2">
      <c r="I19746" s="1125"/>
      <c r="J19746" s="1125"/>
    </row>
    <row r="19747" spans="9:10" x14ac:dyDescent="0.2">
      <c r="I19747" s="1125"/>
      <c r="J19747" s="1125"/>
    </row>
    <row r="19748" spans="9:10" x14ac:dyDescent="0.2">
      <c r="I19748" s="1125"/>
      <c r="J19748" s="1125"/>
    </row>
    <row r="19749" spans="9:10" x14ac:dyDescent="0.2">
      <c r="I19749" s="1125"/>
      <c r="J19749" s="1125"/>
    </row>
    <row r="19750" spans="9:10" x14ac:dyDescent="0.2">
      <c r="I19750" s="1125"/>
      <c r="J19750" s="1125"/>
    </row>
    <row r="19751" spans="9:10" x14ac:dyDescent="0.2">
      <c r="I19751" s="1125"/>
      <c r="J19751" s="1125"/>
    </row>
    <row r="19752" spans="9:10" x14ac:dyDescent="0.2">
      <c r="I19752" s="1125"/>
      <c r="J19752" s="1125"/>
    </row>
    <row r="19753" spans="9:10" x14ac:dyDescent="0.2">
      <c r="I19753" s="1125"/>
      <c r="J19753" s="1125"/>
    </row>
    <row r="19754" spans="9:10" x14ac:dyDescent="0.2">
      <c r="I19754" s="1125"/>
      <c r="J19754" s="1125"/>
    </row>
    <row r="19755" spans="9:10" x14ac:dyDescent="0.2">
      <c r="I19755" s="1125"/>
      <c r="J19755" s="1125"/>
    </row>
    <row r="19756" spans="9:10" x14ac:dyDescent="0.2">
      <c r="I19756" s="1125"/>
      <c r="J19756" s="1125"/>
    </row>
    <row r="19757" spans="9:10" x14ac:dyDescent="0.2">
      <c r="I19757" s="1125"/>
      <c r="J19757" s="1125"/>
    </row>
    <row r="19758" spans="9:10" x14ac:dyDescent="0.2">
      <c r="I19758" s="1125"/>
      <c r="J19758" s="1125"/>
    </row>
    <row r="19759" spans="9:10" x14ac:dyDescent="0.2">
      <c r="I19759" s="1125"/>
      <c r="J19759" s="1125"/>
    </row>
    <row r="19760" spans="9:10" x14ac:dyDescent="0.2">
      <c r="I19760" s="1125"/>
      <c r="J19760" s="1125"/>
    </row>
    <row r="19761" spans="9:10" x14ac:dyDescent="0.2">
      <c r="I19761" s="1125"/>
      <c r="J19761" s="1125"/>
    </row>
    <row r="19762" spans="9:10" x14ac:dyDescent="0.2">
      <c r="I19762" s="1125"/>
      <c r="J19762" s="1125"/>
    </row>
    <row r="19763" spans="9:10" x14ac:dyDescent="0.2">
      <c r="I19763" s="1125"/>
      <c r="J19763" s="1125"/>
    </row>
    <row r="19764" spans="9:10" x14ac:dyDescent="0.2">
      <c r="I19764" s="1125"/>
      <c r="J19764" s="1125"/>
    </row>
    <row r="19765" spans="9:10" x14ac:dyDescent="0.2">
      <c r="I19765" s="1125"/>
      <c r="J19765" s="1125"/>
    </row>
    <row r="19766" spans="9:10" x14ac:dyDescent="0.2">
      <c r="I19766" s="1125"/>
      <c r="J19766" s="1125"/>
    </row>
    <row r="19767" spans="9:10" x14ac:dyDescent="0.2">
      <c r="I19767" s="1125"/>
      <c r="J19767" s="1125"/>
    </row>
    <row r="19768" spans="9:10" x14ac:dyDescent="0.2">
      <c r="I19768" s="1125"/>
      <c r="J19768" s="1125"/>
    </row>
    <row r="19769" spans="9:10" x14ac:dyDescent="0.2">
      <c r="I19769" s="1125"/>
      <c r="J19769" s="1125"/>
    </row>
    <row r="19770" spans="9:10" x14ac:dyDescent="0.2">
      <c r="I19770" s="1125"/>
      <c r="J19770" s="1125"/>
    </row>
    <row r="19771" spans="9:10" x14ac:dyDescent="0.2">
      <c r="I19771" s="1125"/>
      <c r="J19771" s="1125"/>
    </row>
    <row r="19772" spans="9:10" x14ac:dyDescent="0.2">
      <c r="I19772" s="1125"/>
      <c r="J19772" s="1125"/>
    </row>
    <row r="19773" spans="9:10" x14ac:dyDescent="0.2">
      <c r="I19773" s="1125"/>
      <c r="J19773" s="1125"/>
    </row>
    <row r="19774" spans="9:10" x14ac:dyDescent="0.2">
      <c r="I19774" s="1125"/>
      <c r="J19774" s="1125"/>
    </row>
    <row r="19775" spans="9:10" x14ac:dyDescent="0.2">
      <c r="I19775" s="1125"/>
      <c r="J19775" s="1125"/>
    </row>
    <row r="19776" spans="9:10" x14ac:dyDescent="0.2">
      <c r="I19776" s="1125"/>
      <c r="J19776" s="1125"/>
    </row>
    <row r="19777" spans="9:10" x14ac:dyDescent="0.2">
      <c r="I19777" s="1125"/>
      <c r="J19777" s="1125"/>
    </row>
    <row r="19778" spans="9:10" x14ac:dyDescent="0.2">
      <c r="I19778" s="1125"/>
      <c r="J19778" s="1125"/>
    </row>
    <row r="19779" spans="9:10" x14ac:dyDescent="0.2">
      <c r="I19779" s="1125"/>
      <c r="J19779" s="1125"/>
    </row>
    <row r="19780" spans="9:10" x14ac:dyDescent="0.2">
      <c r="I19780" s="1125"/>
      <c r="J19780" s="1125"/>
    </row>
    <row r="19781" spans="9:10" x14ac:dyDescent="0.2">
      <c r="I19781" s="1125"/>
      <c r="J19781" s="1125"/>
    </row>
    <row r="19782" spans="9:10" x14ac:dyDescent="0.2">
      <c r="I19782" s="1125"/>
      <c r="J19782" s="1125"/>
    </row>
    <row r="19783" spans="9:10" x14ac:dyDescent="0.2">
      <c r="I19783" s="1125"/>
      <c r="J19783" s="1125"/>
    </row>
    <row r="19784" spans="9:10" x14ac:dyDescent="0.2">
      <c r="I19784" s="1125"/>
      <c r="J19784" s="1125"/>
    </row>
    <row r="19785" spans="9:10" x14ac:dyDescent="0.2">
      <c r="I19785" s="1125"/>
      <c r="J19785" s="1125"/>
    </row>
    <row r="19786" spans="9:10" x14ac:dyDescent="0.2">
      <c r="I19786" s="1125"/>
      <c r="J19786" s="1125"/>
    </row>
    <row r="19787" spans="9:10" x14ac:dyDescent="0.2">
      <c r="I19787" s="1125"/>
      <c r="J19787" s="1125"/>
    </row>
    <row r="19788" spans="9:10" x14ac:dyDescent="0.2">
      <c r="I19788" s="1125"/>
      <c r="J19788" s="1125"/>
    </row>
    <row r="19789" spans="9:10" x14ac:dyDescent="0.2">
      <c r="I19789" s="1125"/>
      <c r="J19789" s="1125"/>
    </row>
    <row r="19790" spans="9:10" x14ac:dyDescent="0.2">
      <c r="I19790" s="1125"/>
      <c r="J19790" s="1125"/>
    </row>
    <row r="19791" spans="9:10" x14ac:dyDescent="0.2">
      <c r="I19791" s="1125"/>
      <c r="J19791" s="1125"/>
    </row>
    <row r="19792" spans="9:10" x14ac:dyDescent="0.2">
      <c r="I19792" s="1125"/>
      <c r="J19792" s="1125"/>
    </row>
    <row r="19793" spans="9:10" x14ac:dyDescent="0.2">
      <c r="I19793" s="1125"/>
      <c r="J19793" s="1125"/>
    </row>
    <row r="19794" spans="9:10" x14ac:dyDescent="0.2">
      <c r="I19794" s="1125"/>
      <c r="J19794" s="1125"/>
    </row>
    <row r="19795" spans="9:10" x14ac:dyDescent="0.2">
      <c r="I19795" s="1125"/>
      <c r="J19795" s="1125"/>
    </row>
    <row r="19796" spans="9:10" x14ac:dyDescent="0.2">
      <c r="I19796" s="1125"/>
      <c r="J19796" s="1125"/>
    </row>
    <row r="19797" spans="9:10" x14ac:dyDescent="0.2">
      <c r="I19797" s="1125"/>
      <c r="J19797" s="1125"/>
    </row>
    <row r="19798" spans="9:10" x14ac:dyDescent="0.2">
      <c r="I19798" s="1125"/>
      <c r="J19798" s="1125"/>
    </row>
    <row r="19799" spans="9:10" x14ac:dyDescent="0.2">
      <c r="I19799" s="1125"/>
      <c r="J19799" s="1125"/>
    </row>
    <row r="19800" spans="9:10" x14ac:dyDescent="0.2">
      <c r="I19800" s="1125"/>
      <c r="J19800" s="1125"/>
    </row>
    <row r="19801" spans="9:10" x14ac:dyDescent="0.2">
      <c r="I19801" s="1125"/>
      <c r="J19801" s="1125"/>
    </row>
    <row r="19802" spans="9:10" x14ac:dyDescent="0.2">
      <c r="I19802" s="1125"/>
      <c r="J19802" s="1125"/>
    </row>
    <row r="19803" spans="9:10" x14ac:dyDescent="0.2">
      <c r="I19803" s="1125"/>
      <c r="J19803" s="1125"/>
    </row>
    <row r="19804" spans="9:10" x14ac:dyDescent="0.2">
      <c r="I19804" s="1125"/>
      <c r="J19804" s="1125"/>
    </row>
    <row r="19805" spans="9:10" x14ac:dyDescent="0.2">
      <c r="I19805" s="1125"/>
      <c r="J19805" s="1125"/>
    </row>
    <row r="19806" spans="9:10" x14ac:dyDescent="0.2">
      <c r="I19806" s="1125"/>
      <c r="J19806" s="1125"/>
    </row>
    <row r="19807" spans="9:10" x14ac:dyDescent="0.2">
      <c r="I19807" s="1125"/>
      <c r="J19807" s="1125"/>
    </row>
    <row r="19808" spans="9:10" x14ac:dyDescent="0.2">
      <c r="I19808" s="1125"/>
      <c r="J19808" s="1125"/>
    </row>
    <row r="19809" spans="9:10" x14ac:dyDescent="0.2">
      <c r="I19809" s="1125"/>
      <c r="J19809" s="1125"/>
    </row>
    <row r="19810" spans="9:10" x14ac:dyDescent="0.2">
      <c r="I19810" s="1125"/>
      <c r="J19810" s="1125"/>
    </row>
    <row r="19811" spans="9:10" x14ac:dyDescent="0.2">
      <c r="I19811" s="1125"/>
      <c r="J19811" s="1125"/>
    </row>
    <row r="19812" spans="9:10" x14ac:dyDescent="0.2">
      <c r="I19812" s="1125"/>
      <c r="J19812" s="1125"/>
    </row>
    <row r="19813" spans="9:10" x14ac:dyDescent="0.2">
      <c r="I19813" s="1125"/>
      <c r="J19813" s="1125"/>
    </row>
    <row r="19814" spans="9:10" x14ac:dyDescent="0.2">
      <c r="I19814" s="1125"/>
      <c r="J19814" s="1125"/>
    </row>
    <row r="19815" spans="9:10" x14ac:dyDescent="0.2">
      <c r="I19815" s="1125"/>
      <c r="J19815" s="1125"/>
    </row>
    <row r="19816" spans="9:10" x14ac:dyDescent="0.2">
      <c r="I19816" s="1125"/>
      <c r="J19816" s="1125"/>
    </row>
    <row r="19817" spans="9:10" x14ac:dyDescent="0.2">
      <c r="I19817" s="1125"/>
      <c r="J19817" s="1125"/>
    </row>
    <row r="19818" spans="9:10" x14ac:dyDescent="0.2">
      <c r="I19818" s="1125"/>
      <c r="J19818" s="1125"/>
    </row>
    <row r="19819" spans="9:10" x14ac:dyDescent="0.2">
      <c r="I19819" s="1125"/>
      <c r="J19819" s="1125"/>
    </row>
    <row r="19820" spans="9:10" x14ac:dyDescent="0.2">
      <c r="I19820" s="1125"/>
      <c r="J19820" s="1125"/>
    </row>
    <row r="19821" spans="9:10" x14ac:dyDescent="0.2">
      <c r="I19821" s="1125"/>
      <c r="J19821" s="1125"/>
    </row>
    <row r="19822" spans="9:10" x14ac:dyDescent="0.2">
      <c r="I19822" s="1125"/>
      <c r="J19822" s="1125"/>
    </row>
    <row r="19823" spans="9:10" x14ac:dyDescent="0.2">
      <c r="I19823" s="1125"/>
      <c r="J19823" s="1125"/>
    </row>
    <row r="19824" spans="9:10" x14ac:dyDescent="0.2">
      <c r="I19824" s="1125"/>
      <c r="J19824" s="1125"/>
    </row>
    <row r="19825" spans="9:10" x14ac:dyDescent="0.2">
      <c r="I19825" s="1125"/>
      <c r="J19825" s="1125"/>
    </row>
    <row r="19826" spans="9:10" x14ac:dyDescent="0.2">
      <c r="I19826" s="1125"/>
      <c r="J19826" s="1125"/>
    </row>
    <row r="19827" spans="9:10" x14ac:dyDescent="0.2">
      <c r="I19827" s="1125"/>
      <c r="J19827" s="1125"/>
    </row>
    <row r="19828" spans="9:10" x14ac:dyDescent="0.2">
      <c r="I19828" s="1125"/>
      <c r="J19828" s="1125"/>
    </row>
    <row r="19829" spans="9:10" x14ac:dyDescent="0.2">
      <c r="I19829" s="1125"/>
      <c r="J19829" s="1125"/>
    </row>
    <row r="19830" spans="9:10" x14ac:dyDescent="0.2">
      <c r="I19830" s="1125"/>
      <c r="J19830" s="1125"/>
    </row>
    <row r="19831" spans="9:10" x14ac:dyDescent="0.2">
      <c r="I19831" s="1125"/>
      <c r="J19831" s="1125"/>
    </row>
    <row r="19832" spans="9:10" x14ac:dyDescent="0.2">
      <c r="I19832" s="1125"/>
      <c r="J19832" s="1125"/>
    </row>
    <row r="19833" spans="9:10" x14ac:dyDescent="0.2">
      <c r="I19833" s="1125"/>
      <c r="J19833" s="1125"/>
    </row>
    <row r="19834" spans="9:10" x14ac:dyDescent="0.2">
      <c r="I19834" s="1125"/>
      <c r="J19834" s="1125"/>
    </row>
    <row r="19835" spans="9:10" x14ac:dyDescent="0.2">
      <c r="I19835" s="1125"/>
      <c r="J19835" s="1125"/>
    </row>
    <row r="19836" spans="9:10" x14ac:dyDescent="0.2">
      <c r="I19836" s="1125"/>
      <c r="J19836" s="1125"/>
    </row>
    <row r="19837" spans="9:10" x14ac:dyDescent="0.2">
      <c r="I19837" s="1125"/>
      <c r="J19837" s="1125"/>
    </row>
    <row r="19838" spans="9:10" x14ac:dyDescent="0.2">
      <c r="I19838" s="1125"/>
      <c r="J19838" s="1125"/>
    </row>
    <row r="19839" spans="9:10" x14ac:dyDescent="0.2">
      <c r="I19839" s="1125"/>
      <c r="J19839" s="1125"/>
    </row>
    <row r="19840" spans="9:10" x14ac:dyDescent="0.2">
      <c r="I19840" s="1125"/>
      <c r="J19840" s="1125"/>
    </row>
    <row r="19841" spans="9:10" x14ac:dyDescent="0.2">
      <c r="I19841" s="1125"/>
      <c r="J19841" s="1125"/>
    </row>
    <row r="19842" spans="9:10" x14ac:dyDescent="0.2">
      <c r="I19842" s="1125"/>
      <c r="J19842" s="1125"/>
    </row>
    <row r="19843" spans="9:10" x14ac:dyDescent="0.2">
      <c r="I19843" s="1125"/>
      <c r="J19843" s="1125"/>
    </row>
    <row r="19844" spans="9:10" x14ac:dyDescent="0.2">
      <c r="I19844" s="1125"/>
      <c r="J19844" s="1125"/>
    </row>
    <row r="19845" spans="9:10" x14ac:dyDescent="0.2">
      <c r="I19845" s="1125"/>
      <c r="J19845" s="1125"/>
    </row>
    <row r="19846" spans="9:10" x14ac:dyDescent="0.2">
      <c r="I19846" s="1125"/>
      <c r="J19846" s="1125"/>
    </row>
    <row r="19847" spans="9:10" x14ac:dyDescent="0.2">
      <c r="I19847" s="1125"/>
      <c r="J19847" s="1125"/>
    </row>
    <row r="19848" spans="9:10" x14ac:dyDescent="0.2">
      <c r="I19848" s="1125"/>
      <c r="J19848" s="1125"/>
    </row>
    <row r="19849" spans="9:10" x14ac:dyDescent="0.2">
      <c r="I19849" s="1125"/>
      <c r="J19849" s="1125"/>
    </row>
    <row r="19850" spans="9:10" x14ac:dyDescent="0.2">
      <c r="I19850" s="1125"/>
      <c r="J19850" s="1125"/>
    </row>
    <row r="19851" spans="9:10" x14ac:dyDescent="0.2">
      <c r="I19851" s="1125"/>
      <c r="J19851" s="1125"/>
    </row>
    <row r="19852" spans="9:10" x14ac:dyDescent="0.2">
      <c r="I19852" s="1125"/>
      <c r="J19852" s="1125"/>
    </row>
    <row r="19853" spans="9:10" x14ac:dyDescent="0.2">
      <c r="I19853" s="1125"/>
      <c r="J19853" s="1125"/>
    </row>
    <row r="19854" spans="9:10" x14ac:dyDescent="0.2">
      <c r="I19854" s="1125"/>
      <c r="J19854" s="1125"/>
    </row>
    <row r="19855" spans="9:10" x14ac:dyDescent="0.2">
      <c r="I19855" s="1125"/>
      <c r="J19855" s="1125"/>
    </row>
    <row r="19856" spans="9:10" x14ac:dyDescent="0.2">
      <c r="I19856" s="1125"/>
      <c r="J19856" s="1125"/>
    </row>
    <row r="19857" spans="9:10" x14ac:dyDescent="0.2">
      <c r="I19857" s="1125"/>
      <c r="J19857" s="1125"/>
    </row>
    <row r="19858" spans="9:10" x14ac:dyDescent="0.2">
      <c r="I19858" s="1125"/>
      <c r="J19858" s="1125"/>
    </row>
    <row r="19859" spans="9:10" x14ac:dyDescent="0.2">
      <c r="I19859" s="1125"/>
      <c r="J19859" s="1125"/>
    </row>
    <row r="19860" spans="9:10" x14ac:dyDescent="0.2">
      <c r="I19860" s="1125"/>
      <c r="J19860" s="1125"/>
    </row>
    <row r="19861" spans="9:10" x14ac:dyDescent="0.2">
      <c r="I19861" s="1125"/>
      <c r="J19861" s="1125"/>
    </row>
    <row r="19862" spans="9:10" x14ac:dyDescent="0.2">
      <c r="I19862" s="1125"/>
      <c r="J19862" s="1125"/>
    </row>
    <row r="19863" spans="9:10" x14ac:dyDescent="0.2">
      <c r="I19863" s="1125"/>
      <c r="J19863" s="1125"/>
    </row>
    <row r="19864" spans="9:10" x14ac:dyDescent="0.2">
      <c r="I19864" s="1125"/>
      <c r="J19864" s="1125"/>
    </row>
    <row r="19865" spans="9:10" x14ac:dyDescent="0.2">
      <c r="I19865" s="1125"/>
      <c r="J19865" s="1125"/>
    </row>
    <row r="19866" spans="9:10" x14ac:dyDescent="0.2">
      <c r="I19866" s="1125"/>
      <c r="J19866" s="1125"/>
    </row>
    <row r="19867" spans="9:10" x14ac:dyDescent="0.2">
      <c r="I19867" s="1125"/>
      <c r="J19867" s="1125"/>
    </row>
    <row r="19868" spans="9:10" x14ac:dyDescent="0.2">
      <c r="I19868" s="1125"/>
      <c r="J19868" s="1125"/>
    </row>
    <row r="19869" spans="9:10" x14ac:dyDescent="0.2">
      <c r="I19869" s="1125"/>
      <c r="J19869" s="1125"/>
    </row>
    <row r="19870" spans="9:10" x14ac:dyDescent="0.2">
      <c r="I19870" s="1125"/>
      <c r="J19870" s="1125"/>
    </row>
    <row r="19871" spans="9:10" x14ac:dyDescent="0.2">
      <c r="I19871" s="1125"/>
      <c r="J19871" s="1125"/>
    </row>
    <row r="19872" spans="9:10" x14ac:dyDescent="0.2">
      <c r="I19872" s="1125"/>
      <c r="J19872" s="1125"/>
    </row>
    <row r="19873" spans="9:10" x14ac:dyDescent="0.2">
      <c r="I19873" s="1125"/>
      <c r="J19873" s="1125"/>
    </row>
    <row r="19874" spans="9:10" x14ac:dyDescent="0.2">
      <c r="I19874" s="1125"/>
      <c r="J19874" s="1125"/>
    </row>
    <row r="19875" spans="9:10" x14ac:dyDescent="0.2">
      <c r="I19875" s="1125"/>
      <c r="J19875" s="1125"/>
    </row>
    <row r="19876" spans="9:10" x14ac:dyDescent="0.2">
      <c r="I19876" s="1125"/>
      <c r="J19876" s="1125"/>
    </row>
    <row r="19877" spans="9:10" x14ac:dyDescent="0.2">
      <c r="I19877" s="1125"/>
      <c r="J19877" s="1125"/>
    </row>
    <row r="19878" spans="9:10" x14ac:dyDescent="0.2">
      <c r="I19878" s="1125"/>
      <c r="J19878" s="1125"/>
    </row>
    <row r="19879" spans="9:10" x14ac:dyDescent="0.2">
      <c r="I19879" s="1125"/>
      <c r="J19879" s="1125"/>
    </row>
    <row r="19880" spans="9:10" x14ac:dyDescent="0.2">
      <c r="I19880" s="1125"/>
      <c r="J19880" s="1125"/>
    </row>
    <row r="19881" spans="9:10" x14ac:dyDescent="0.2">
      <c r="I19881" s="1125"/>
      <c r="J19881" s="1125"/>
    </row>
    <row r="19882" spans="9:10" x14ac:dyDescent="0.2">
      <c r="I19882" s="1125"/>
      <c r="J19882" s="1125"/>
    </row>
    <row r="19883" spans="9:10" x14ac:dyDescent="0.2">
      <c r="I19883" s="1125"/>
      <c r="J19883" s="1125"/>
    </row>
    <row r="19884" spans="9:10" x14ac:dyDescent="0.2">
      <c r="I19884" s="1125"/>
      <c r="J19884" s="1125"/>
    </row>
    <row r="19885" spans="9:10" x14ac:dyDescent="0.2">
      <c r="I19885" s="1125"/>
      <c r="J19885" s="1125"/>
    </row>
    <row r="19886" spans="9:10" x14ac:dyDescent="0.2">
      <c r="I19886" s="1125"/>
      <c r="J19886" s="1125"/>
    </row>
    <row r="19887" spans="9:10" x14ac:dyDescent="0.2">
      <c r="I19887" s="1125"/>
      <c r="J19887" s="1125"/>
    </row>
    <row r="19888" spans="9:10" x14ac:dyDescent="0.2">
      <c r="I19888" s="1125"/>
      <c r="J19888" s="1125"/>
    </row>
    <row r="19889" spans="9:10" x14ac:dyDescent="0.2">
      <c r="I19889" s="1125"/>
      <c r="J19889" s="1125"/>
    </row>
    <row r="19890" spans="9:10" x14ac:dyDescent="0.2">
      <c r="I19890" s="1125"/>
      <c r="J19890" s="1125"/>
    </row>
    <row r="19891" spans="9:10" x14ac:dyDescent="0.2">
      <c r="I19891" s="1125"/>
      <c r="J19891" s="1125"/>
    </row>
    <row r="19892" spans="9:10" x14ac:dyDescent="0.2">
      <c r="I19892" s="1125"/>
      <c r="J19892" s="1125"/>
    </row>
    <row r="19893" spans="9:10" x14ac:dyDescent="0.2">
      <c r="I19893" s="1125"/>
      <c r="J19893" s="1125"/>
    </row>
    <row r="19894" spans="9:10" x14ac:dyDescent="0.2">
      <c r="I19894" s="1125"/>
      <c r="J19894" s="1125"/>
    </row>
    <row r="19895" spans="9:10" x14ac:dyDescent="0.2">
      <c r="I19895" s="1125"/>
      <c r="J19895" s="1125"/>
    </row>
    <row r="19896" spans="9:10" x14ac:dyDescent="0.2">
      <c r="I19896" s="1125"/>
      <c r="J19896" s="1125"/>
    </row>
    <row r="19897" spans="9:10" x14ac:dyDescent="0.2">
      <c r="I19897" s="1125"/>
      <c r="J19897" s="1125"/>
    </row>
    <row r="19898" spans="9:10" x14ac:dyDescent="0.2">
      <c r="I19898" s="1125"/>
      <c r="J19898" s="1125"/>
    </row>
    <row r="19899" spans="9:10" x14ac:dyDescent="0.2">
      <c r="I19899" s="1125"/>
      <c r="J19899" s="1125"/>
    </row>
    <row r="19900" spans="9:10" x14ac:dyDescent="0.2">
      <c r="I19900" s="1125"/>
      <c r="J19900" s="1125"/>
    </row>
    <row r="19901" spans="9:10" x14ac:dyDescent="0.2">
      <c r="I19901" s="1125"/>
      <c r="J19901" s="1125"/>
    </row>
    <row r="19902" spans="9:10" x14ac:dyDescent="0.2">
      <c r="I19902" s="1125"/>
      <c r="J19902" s="1125"/>
    </row>
    <row r="19903" spans="9:10" x14ac:dyDescent="0.2">
      <c r="I19903" s="1125"/>
      <c r="J19903" s="1125"/>
    </row>
    <row r="19904" spans="9:10" x14ac:dyDescent="0.2">
      <c r="I19904" s="1125"/>
      <c r="J19904" s="1125"/>
    </row>
    <row r="19905" spans="9:10" x14ac:dyDescent="0.2">
      <c r="I19905" s="1125"/>
      <c r="J19905" s="1125"/>
    </row>
    <row r="19906" spans="9:10" x14ac:dyDescent="0.2">
      <c r="I19906" s="1125"/>
      <c r="J19906" s="1125"/>
    </row>
    <row r="19907" spans="9:10" x14ac:dyDescent="0.2">
      <c r="I19907" s="1125"/>
      <c r="J19907" s="1125"/>
    </row>
    <row r="19908" spans="9:10" x14ac:dyDescent="0.2">
      <c r="I19908" s="1125"/>
      <c r="J19908" s="1125"/>
    </row>
    <row r="19909" spans="9:10" x14ac:dyDescent="0.2">
      <c r="I19909" s="1125"/>
      <c r="J19909" s="1125"/>
    </row>
    <row r="19910" spans="9:10" x14ac:dyDescent="0.2">
      <c r="I19910" s="1125"/>
      <c r="J19910" s="1125"/>
    </row>
    <row r="19911" spans="9:10" x14ac:dyDescent="0.2">
      <c r="I19911" s="1125"/>
      <c r="J19911" s="1125"/>
    </row>
    <row r="19912" spans="9:10" x14ac:dyDescent="0.2">
      <c r="I19912" s="1125"/>
      <c r="J19912" s="1125"/>
    </row>
    <row r="19913" spans="9:10" x14ac:dyDescent="0.2">
      <c r="I19913" s="1125"/>
      <c r="J19913" s="1125"/>
    </row>
    <row r="19914" spans="9:10" x14ac:dyDescent="0.2">
      <c r="I19914" s="1125"/>
      <c r="J19914" s="1125"/>
    </row>
    <row r="19915" spans="9:10" x14ac:dyDescent="0.2">
      <c r="I19915" s="1125"/>
      <c r="J19915" s="1125"/>
    </row>
    <row r="19916" spans="9:10" x14ac:dyDescent="0.2">
      <c r="I19916" s="1125"/>
      <c r="J19916" s="1125"/>
    </row>
    <row r="19917" spans="9:10" x14ac:dyDescent="0.2">
      <c r="I19917" s="1125"/>
      <c r="J19917" s="1125"/>
    </row>
    <row r="19918" spans="9:10" x14ac:dyDescent="0.2">
      <c r="I19918" s="1125"/>
      <c r="J19918" s="1125"/>
    </row>
    <row r="19919" spans="9:10" x14ac:dyDescent="0.2">
      <c r="I19919" s="1125"/>
      <c r="J19919" s="1125"/>
    </row>
    <row r="19920" spans="9:10" x14ac:dyDescent="0.2">
      <c r="I19920" s="1125"/>
      <c r="J19920" s="1125"/>
    </row>
    <row r="19921" spans="9:10" x14ac:dyDescent="0.2">
      <c r="I19921" s="1125"/>
      <c r="J19921" s="1125"/>
    </row>
    <row r="19922" spans="9:10" x14ac:dyDescent="0.2">
      <c r="I19922" s="1125"/>
      <c r="J19922" s="1125"/>
    </row>
    <row r="19923" spans="9:10" x14ac:dyDescent="0.2">
      <c r="I19923" s="1125"/>
      <c r="J19923" s="1125"/>
    </row>
    <row r="19924" spans="9:10" x14ac:dyDescent="0.2">
      <c r="I19924" s="1125"/>
      <c r="J19924" s="1125"/>
    </row>
    <row r="19925" spans="9:10" x14ac:dyDescent="0.2">
      <c r="I19925" s="1125"/>
      <c r="J19925" s="1125"/>
    </row>
    <row r="19926" spans="9:10" x14ac:dyDescent="0.2">
      <c r="I19926" s="1125"/>
      <c r="J19926" s="1125"/>
    </row>
    <row r="19927" spans="9:10" x14ac:dyDescent="0.2">
      <c r="I19927" s="1125"/>
      <c r="J19927" s="1125"/>
    </row>
    <row r="19928" spans="9:10" x14ac:dyDescent="0.2">
      <c r="I19928" s="1125"/>
      <c r="J19928" s="1125"/>
    </row>
    <row r="19929" spans="9:10" x14ac:dyDescent="0.2">
      <c r="I19929" s="1125"/>
      <c r="J19929" s="1125"/>
    </row>
    <row r="19930" spans="9:10" x14ac:dyDescent="0.2">
      <c r="I19930" s="1125"/>
      <c r="J19930" s="1125"/>
    </row>
    <row r="19931" spans="9:10" x14ac:dyDescent="0.2">
      <c r="I19931" s="1125"/>
      <c r="J19931" s="1125"/>
    </row>
    <row r="19932" spans="9:10" x14ac:dyDescent="0.2">
      <c r="I19932" s="1125"/>
      <c r="J19932" s="1125"/>
    </row>
    <row r="19933" spans="9:10" x14ac:dyDescent="0.2">
      <c r="I19933" s="1125"/>
      <c r="J19933" s="1125"/>
    </row>
    <row r="19934" spans="9:10" x14ac:dyDescent="0.2">
      <c r="I19934" s="1125"/>
      <c r="J19934" s="1125"/>
    </row>
    <row r="19935" spans="9:10" x14ac:dyDescent="0.2">
      <c r="I19935" s="1125"/>
      <c r="J19935" s="1125"/>
    </row>
    <row r="19936" spans="9:10" x14ac:dyDescent="0.2">
      <c r="I19936" s="1125"/>
      <c r="J19936" s="1125"/>
    </row>
    <row r="19937" spans="9:10" x14ac:dyDescent="0.2">
      <c r="I19937" s="1125"/>
      <c r="J19937" s="1125"/>
    </row>
    <row r="19938" spans="9:10" x14ac:dyDescent="0.2">
      <c r="I19938" s="1125"/>
      <c r="J19938" s="1125"/>
    </row>
    <row r="19939" spans="9:10" x14ac:dyDescent="0.2">
      <c r="I19939" s="1125"/>
      <c r="J19939" s="1125"/>
    </row>
    <row r="19940" spans="9:10" x14ac:dyDescent="0.2">
      <c r="I19940" s="1125"/>
      <c r="J19940" s="1125"/>
    </row>
    <row r="19941" spans="9:10" x14ac:dyDescent="0.2">
      <c r="I19941" s="1125"/>
      <c r="J19941" s="1125"/>
    </row>
    <row r="19942" spans="9:10" x14ac:dyDescent="0.2">
      <c r="I19942" s="1125"/>
      <c r="J19942" s="1125"/>
    </row>
    <row r="19943" spans="9:10" x14ac:dyDescent="0.2">
      <c r="I19943" s="1125"/>
      <c r="J19943" s="1125"/>
    </row>
    <row r="19944" spans="9:10" x14ac:dyDescent="0.2">
      <c r="I19944" s="1125"/>
      <c r="J19944" s="1125"/>
    </row>
    <row r="19945" spans="9:10" x14ac:dyDescent="0.2">
      <c r="I19945" s="1125"/>
      <c r="J19945" s="1125"/>
    </row>
    <row r="19946" spans="9:10" x14ac:dyDescent="0.2">
      <c r="I19946" s="1125"/>
      <c r="J19946" s="1125"/>
    </row>
    <row r="19947" spans="9:10" x14ac:dyDescent="0.2">
      <c r="I19947" s="1125"/>
      <c r="J19947" s="1125"/>
    </row>
    <row r="19948" spans="9:10" x14ac:dyDescent="0.2">
      <c r="I19948" s="1125"/>
      <c r="J19948" s="1125"/>
    </row>
    <row r="19949" spans="9:10" x14ac:dyDescent="0.2">
      <c r="I19949" s="1125"/>
      <c r="J19949" s="1125"/>
    </row>
    <row r="19950" spans="9:10" x14ac:dyDescent="0.2">
      <c r="I19950" s="1125"/>
      <c r="J19950" s="1125"/>
    </row>
    <row r="19951" spans="9:10" x14ac:dyDescent="0.2">
      <c r="I19951" s="1125"/>
      <c r="J19951" s="1125"/>
    </row>
    <row r="19952" spans="9:10" x14ac:dyDescent="0.2">
      <c r="I19952" s="1125"/>
      <c r="J19952" s="1125"/>
    </row>
    <row r="19953" spans="9:10" x14ac:dyDescent="0.2">
      <c r="I19953" s="1125"/>
      <c r="J19953" s="1125"/>
    </row>
    <row r="19954" spans="9:10" x14ac:dyDescent="0.2">
      <c r="I19954" s="1125"/>
      <c r="J19954" s="1125"/>
    </row>
    <row r="19955" spans="9:10" x14ac:dyDescent="0.2">
      <c r="I19955" s="1125"/>
      <c r="J19955" s="1125"/>
    </row>
    <row r="19956" spans="9:10" x14ac:dyDescent="0.2">
      <c r="I19956" s="1125"/>
      <c r="J19956" s="1125"/>
    </row>
    <row r="19957" spans="9:10" x14ac:dyDescent="0.2">
      <c r="I19957" s="1125"/>
      <c r="J19957" s="1125"/>
    </row>
    <row r="19958" spans="9:10" x14ac:dyDescent="0.2">
      <c r="I19958" s="1125"/>
      <c r="J19958" s="1125"/>
    </row>
    <row r="19959" spans="9:10" x14ac:dyDescent="0.2">
      <c r="I19959" s="1125"/>
      <c r="J19959" s="1125"/>
    </row>
    <row r="19960" spans="9:10" x14ac:dyDescent="0.2">
      <c r="I19960" s="1125"/>
      <c r="J19960" s="1125"/>
    </row>
    <row r="19961" spans="9:10" x14ac:dyDescent="0.2">
      <c r="I19961" s="1125"/>
      <c r="J19961" s="1125"/>
    </row>
    <row r="19962" spans="9:10" x14ac:dyDescent="0.2">
      <c r="I19962" s="1125"/>
      <c r="J19962" s="1125"/>
    </row>
    <row r="19963" spans="9:10" x14ac:dyDescent="0.2">
      <c r="I19963" s="1125"/>
      <c r="J19963" s="1125"/>
    </row>
    <row r="19964" spans="9:10" x14ac:dyDescent="0.2">
      <c r="I19964" s="1125"/>
      <c r="J19964" s="1125"/>
    </row>
    <row r="19965" spans="9:10" x14ac:dyDescent="0.2">
      <c r="I19965" s="1125"/>
      <c r="J19965" s="1125"/>
    </row>
    <row r="19966" spans="9:10" x14ac:dyDescent="0.2">
      <c r="I19966" s="1125"/>
      <c r="J19966" s="1125"/>
    </row>
    <row r="19967" spans="9:10" x14ac:dyDescent="0.2">
      <c r="I19967" s="1125"/>
      <c r="J19967" s="1125"/>
    </row>
    <row r="19968" spans="9:10" x14ac:dyDescent="0.2">
      <c r="I19968" s="1125"/>
      <c r="J19968" s="1125"/>
    </row>
    <row r="19969" spans="9:10" x14ac:dyDescent="0.2">
      <c r="I19969" s="1125"/>
      <c r="J19969" s="1125"/>
    </row>
    <row r="19970" spans="9:10" x14ac:dyDescent="0.2">
      <c r="I19970" s="1125"/>
      <c r="J19970" s="1125"/>
    </row>
    <row r="19971" spans="9:10" x14ac:dyDescent="0.2">
      <c r="I19971" s="1125"/>
      <c r="J19971" s="1125"/>
    </row>
    <row r="19972" spans="9:10" x14ac:dyDescent="0.2">
      <c r="I19972" s="1125"/>
      <c r="J19972" s="1125"/>
    </row>
    <row r="19973" spans="9:10" x14ac:dyDescent="0.2">
      <c r="I19973" s="1125"/>
      <c r="J19973" s="1125"/>
    </row>
    <row r="19974" spans="9:10" x14ac:dyDescent="0.2">
      <c r="I19974" s="1125"/>
      <c r="J19974" s="1125"/>
    </row>
    <row r="19975" spans="9:10" x14ac:dyDescent="0.2">
      <c r="I19975" s="1125"/>
      <c r="J19975" s="1125"/>
    </row>
    <row r="19976" spans="9:10" x14ac:dyDescent="0.2">
      <c r="I19976" s="1125"/>
      <c r="J19976" s="1125"/>
    </row>
    <row r="19977" spans="9:10" x14ac:dyDescent="0.2">
      <c r="I19977" s="1125"/>
      <c r="J19977" s="1125"/>
    </row>
    <row r="19978" spans="9:10" x14ac:dyDescent="0.2">
      <c r="I19978" s="1125"/>
      <c r="J19978" s="1125"/>
    </row>
    <row r="19979" spans="9:10" x14ac:dyDescent="0.2">
      <c r="I19979" s="1125"/>
      <c r="J19979" s="1125"/>
    </row>
    <row r="19980" spans="9:10" x14ac:dyDescent="0.2">
      <c r="I19980" s="1125"/>
      <c r="J19980" s="1125"/>
    </row>
    <row r="19981" spans="9:10" x14ac:dyDescent="0.2">
      <c r="I19981" s="1125"/>
      <c r="J19981" s="1125"/>
    </row>
    <row r="19982" spans="9:10" x14ac:dyDescent="0.2">
      <c r="I19982" s="1125"/>
      <c r="J19982" s="1125"/>
    </row>
    <row r="19983" spans="9:10" x14ac:dyDescent="0.2">
      <c r="I19983" s="1125"/>
      <c r="J19983" s="1125"/>
    </row>
    <row r="19984" spans="9:10" x14ac:dyDescent="0.2">
      <c r="I19984" s="1125"/>
      <c r="J19984" s="1125"/>
    </row>
    <row r="19985" spans="9:10" x14ac:dyDescent="0.2">
      <c r="I19985" s="1125"/>
      <c r="J19985" s="1125"/>
    </row>
    <row r="19986" spans="9:10" x14ac:dyDescent="0.2">
      <c r="I19986" s="1125"/>
      <c r="J19986" s="1125"/>
    </row>
    <row r="19987" spans="9:10" x14ac:dyDescent="0.2">
      <c r="I19987" s="1125"/>
      <c r="J19987" s="1125"/>
    </row>
    <row r="19988" spans="9:10" x14ac:dyDescent="0.2">
      <c r="I19988" s="1125"/>
      <c r="J19988" s="1125"/>
    </row>
    <row r="19989" spans="9:10" x14ac:dyDescent="0.2">
      <c r="I19989" s="1125"/>
      <c r="J19989" s="1125"/>
    </row>
    <row r="19990" spans="9:10" x14ac:dyDescent="0.2">
      <c r="I19990" s="1125"/>
      <c r="J19990" s="1125"/>
    </row>
    <row r="19991" spans="9:10" x14ac:dyDescent="0.2">
      <c r="I19991" s="1125"/>
      <c r="J19991" s="1125"/>
    </row>
    <row r="19992" spans="9:10" x14ac:dyDescent="0.2">
      <c r="I19992" s="1125"/>
      <c r="J19992" s="1125"/>
    </row>
    <row r="19993" spans="9:10" x14ac:dyDescent="0.2">
      <c r="I19993" s="1125"/>
      <c r="J19993" s="1125"/>
    </row>
    <row r="19994" spans="9:10" x14ac:dyDescent="0.2">
      <c r="I19994" s="1125"/>
      <c r="J19994" s="1125"/>
    </row>
    <row r="19995" spans="9:10" x14ac:dyDescent="0.2">
      <c r="I19995" s="1125"/>
      <c r="J19995" s="1125"/>
    </row>
    <row r="19996" spans="9:10" x14ac:dyDescent="0.2">
      <c r="I19996" s="1125"/>
      <c r="J19996" s="1125"/>
    </row>
    <row r="19997" spans="9:10" x14ac:dyDescent="0.2">
      <c r="I19997" s="1125"/>
      <c r="J19997" s="1125"/>
    </row>
    <row r="19998" spans="9:10" x14ac:dyDescent="0.2">
      <c r="I19998" s="1125"/>
      <c r="J19998" s="1125"/>
    </row>
    <row r="19999" spans="9:10" x14ac:dyDescent="0.2">
      <c r="I19999" s="1125"/>
      <c r="J19999" s="1125"/>
    </row>
    <row r="20000" spans="9:10" x14ac:dyDescent="0.2">
      <c r="I20000" s="1125"/>
      <c r="J20000" s="1125"/>
    </row>
    <row r="20001" spans="9:10" x14ac:dyDescent="0.2">
      <c r="I20001" s="1125"/>
      <c r="J20001" s="1125"/>
    </row>
    <row r="20002" spans="9:10" x14ac:dyDescent="0.2">
      <c r="I20002" s="1125"/>
      <c r="J20002" s="1125"/>
    </row>
    <row r="20003" spans="9:10" x14ac:dyDescent="0.2">
      <c r="I20003" s="1125"/>
      <c r="J20003" s="1125"/>
    </row>
    <row r="20004" spans="9:10" x14ac:dyDescent="0.2">
      <c r="I20004" s="1125"/>
      <c r="J20004" s="1125"/>
    </row>
    <row r="20005" spans="9:10" x14ac:dyDescent="0.2">
      <c r="I20005" s="1125"/>
      <c r="J20005" s="1125"/>
    </row>
    <row r="20006" spans="9:10" x14ac:dyDescent="0.2">
      <c r="I20006" s="1125"/>
      <c r="J20006" s="1125"/>
    </row>
    <row r="20007" spans="9:10" x14ac:dyDescent="0.2">
      <c r="I20007" s="1125"/>
      <c r="J20007" s="1125"/>
    </row>
    <row r="20008" spans="9:10" x14ac:dyDescent="0.2">
      <c r="I20008" s="1125"/>
      <c r="J20008" s="1125"/>
    </row>
    <row r="20009" spans="9:10" x14ac:dyDescent="0.2">
      <c r="I20009" s="1125"/>
      <c r="J20009" s="1125"/>
    </row>
    <row r="20010" spans="9:10" x14ac:dyDescent="0.2">
      <c r="I20010" s="1125"/>
      <c r="J20010" s="1125"/>
    </row>
    <row r="20011" spans="9:10" x14ac:dyDescent="0.2">
      <c r="I20011" s="1125"/>
      <c r="J20011" s="1125"/>
    </row>
    <row r="20012" spans="9:10" x14ac:dyDescent="0.2">
      <c r="I20012" s="1125"/>
      <c r="J20012" s="1125"/>
    </row>
    <row r="20013" spans="9:10" x14ac:dyDescent="0.2">
      <c r="I20013" s="1125"/>
      <c r="J20013" s="1125"/>
    </row>
    <row r="20014" spans="9:10" x14ac:dyDescent="0.2">
      <c r="I20014" s="1125"/>
      <c r="J20014" s="1125"/>
    </row>
    <row r="20015" spans="9:10" x14ac:dyDescent="0.2">
      <c r="I20015" s="1125"/>
      <c r="J20015" s="1125"/>
    </row>
    <row r="20016" spans="9:10" x14ac:dyDescent="0.2">
      <c r="I20016" s="1125"/>
      <c r="J20016" s="1125"/>
    </row>
    <row r="20017" spans="9:10" x14ac:dyDescent="0.2">
      <c r="I20017" s="1125"/>
      <c r="J20017" s="1125"/>
    </row>
    <row r="20018" spans="9:10" x14ac:dyDescent="0.2">
      <c r="I20018" s="1125"/>
      <c r="J20018" s="1125"/>
    </row>
    <row r="20019" spans="9:10" x14ac:dyDescent="0.2">
      <c r="I20019" s="1125"/>
      <c r="J20019" s="1125"/>
    </row>
    <row r="20020" spans="9:10" x14ac:dyDescent="0.2">
      <c r="I20020" s="1125"/>
      <c r="J20020" s="1125"/>
    </row>
    <row r="20021" spans="9:10" x14ac:dyDescent="0.2">
      <c r="I20021" s="1125"/>
      <c r="J20021" s="1125"/>
    </row>
    <row r="20022" spans="9:10" x14ac:dyDescent="0.2">
      <c r="I20022" s="1125"/>
      <c r="J20022" s="1125"/>
    </row>
    <row r="20023" spans="9:10" x14ac:dyDescent="0.2">
      <c r="I20023" s="1125"/>
      <c r="J20023" s="1125"/>
    </row>
    <row r="20024" spans="9:10" x14ac:dyDescent="0.2">
      <c r="I20024" s="1125"/>
      <c r="J20024" s="1125"/>
    </row>
    <row r="20025" spans="9:10" x14ac:dyDescent="0.2">
      <c r="I20025" s="1125"/>
      <c r="J20025" s="1125"/>
    </row>
    <row r="20026" spans="9:10" x14ac:dyDescent="0.2">
      <c r="I20026" s="1125"/>
      <c r="J20026" s="1125"/>
    </row>
    <row r="20027" spans="9:10" x14ac:dyDescent="0.2">
      <c r="I20027" s="1125"/>
      <c r="J20027" s="1125"/>
    </row>
    <row r="20028" spans="9:10" x14ac:dyDescent="0.2">
      <c r="I20028" s="1125"/>
      <c r="J20028" s="1125"/>
    </row>
    <row r="20029" spans="9:10" x14ac:dyDescent="0.2">
      <c r="I20029" s="1125"/>
      <c r="J20029" s="1125"/>
    </row>
    <row r="20030" spans="9:10" x14ac:dyDescent="0.2">
      <c r="I20030" s="1125"/>
      <c r="J20030" s="1125"/>
    </row>
    <row r="20031" spans="9:10" x14ac:dyDescent="0.2">
      <c r="I20031" s="1125"/>
      <c r="J20031" s="1125"/>
    </row>
    <row r="20032" spans="9:10" x14ac:dyDescent="0.2">
      <c r="I20032" s="1125"/>
      <c r="J20032" s="1125"/>
    </row>
    <row r="20033" spans="9:10" x14ac:dyDescent="0.2">
      <c r="I20033" s="1125"/>
      <c r="J20033" s="1125"/>
    </row>
    <row r="20034" spans="9:10" x14ac:dyDescent="0.2">
      <c r="I20034" s="1125"/>
      <c r="J20034" s="1125"/>
    </row>
    <row r="20035" spans="9:10" x14ac:dyDescent="0.2">
      <c r="I20035" s="1125"/>
      <c r="J20035" s="1125"/>
    </row>
    <row r="20036" spans="9:10" x14ac:dyDescent="0.2">
      <c r="I20036" s="1125"/>
      <c r="J20036" s="1125"/>
    </row>
    <row r="20037" spans="9:10" x14ac:dyDescent="0.2">
      <c r="I20037" s="1125"/>
      <c r="J20037" s="1125"/>
    </row>
    <row r="20038" spans="9:10" x14ac:dyDescent="0.2">
      <c r="I20038" s="1125"/>
      <c r="J20038" s="1125"/>
    </row>
    <row r="20039" spans="9:10" x14ac:dyDescent="0.2">
      <c r="I20039" s="1125"/>
      <c r="J20039" s="1125"/>
    </row>
    <row r="20040" spans="9:10" x14ac:dyDescent="0.2">
      <c r="I20040" s="1125"/>
      <c r="J20040" s="1125"/>
    </row>
    <row r="20041" spans="9:10" x14ac:dyDescent="0.2">
      <c r="I20041" s="1125"/>
      <c r="J20041" s="1125"/>
    </row>
    <row r="20042" spans="9:10" x14ac:dyDescent="0.2">
      <c r="I20042" s="1125"/>
      <c r="J20042" s="1125"/>
    </row>
    <row r="20043" spans="9:10" x14ac:dyDescent="0.2">
      <c r="I20043" s="1125"/>
      <c r="J20043" s="1125"/>
    </row>
    <row r="20044" spans="9:10" x14ac:dyDescent="0.2">
      <c r="I20044" s="1125"/>
      <c r="J20044" s="1125"/>
    </row>
    <row r="20045" spans="9:10" x14ac:dyDescent="0.2">
      <c r="I20045" s="1125"/>
      <c r="J20045" s="1125"/>
    </row>
    <row r="20046" spans="9:10" x14ac:dyDescent="0.2">
      <c r="I20046" s="1125"/>
      <c r="J20046" s="1125"/>
    </row>
    <row r="20047" spans="9:10" x14ac:dyDescent="0.2">
      <c r="I20047" s="1125"/>
      <c r="J20047" s="1125"/>
    </row>
    <row r="20048" spans="9:10" x14ac:dyDescent="0.2">
      <c r="I20048" s="1125"/>
      <c r="J20048" s="1125"/>
    </row>
    <row r="20049" spans="9:10" x14ac:dyDescent="0.2">
      <c r="I20049" s="1125"/>
      <c r="J20049" s="1125"/>
    </row>
    <row r="20050" spans="9:10" x14ac:dyDescent="0.2">
      <c r="I20050" s="1125"/>
      <c r="J20050" s="1125"/>
    </row>
    <row r="20051" spans="9:10" x14ac:dyDescent="0.2">
      <c r="I20051" s="1125"/>
      <c r="J20051" s="1125"/>
    </row>
    <row r="20052" spans="9:10" x14ac:dyDescent="0.2">
      <c r="I20052" s="1125"/>
      <c r="J20052" s="1125"/>
    </row>
    <row r="20053" spans="9:10" x14ac:dyDescent="0.2">
      <c r="I20053" s="1125"/>
      <c r="J20053" s="1125"/>
    </row>
    <row r="20054" spans="9:10" x14ac:dyDescent="0.2">
      <c r="I20054" s="1125"/>
      <c r="J20054" s="1125"/>
    </row>
    <row r="20055" spans="9:10" x14ac:dyDescent="0.2">
      <c r="I20055" s="1125"/>
      <c r="J20055" s="1125"/>
    </row>
    <row r="20056" spans="9:10" x14ac:dyDescent="0.2">
      <c r="I20056" s="1125"/>
      <c r="J20056" s="1125"/>
    </row>
    <row r="20057" spans="9:10" x14ac:dyDescent="0.2">
      <c r="I20057" s="1125"/>
      <c r="J20057" s="1125"/>
    </row>
    <row r="20058" spans="9:10" x14ac:dyDescent="0.2">
      <c r="I20058" s="1125"/>
      <c r="J20058" s="1125"/>
    </row>
    <row r="20059" spans="9:10" x14ac:dyDescent="0.2">
      <c r="I20059" s="1125"/>
      <c r="J20059" s="1125"/>
    </row>
    <row r="20060" spans="9:10" x14ac:dyDescent="0.2">
      <c r="I20060" s="1125"/>
      <c r="J20060" s="1125"/>
    </row>
    <row r="20061" spans="9:10" x14ac:dyDescent="0.2">
      <c r="I20061" s="1125"/>
      <c r="J20061" s="1125"/>
    </row>
    <row r="20062" spans="9:10" x14ac:dyDescent="0.2">
      <c r="I20062" s="1125"/>
      <c r="J20062" s="1125"/>
    </row>
    <row r="20063" spans="9:10" x14ac:dyDescent="0.2">
      <c r="I20063" s="1125"/>
      <c r="J20063" s="1125"/>
    </row>
    <row r="20064" spans="9:10" x14ac:dyDescent="0.2">
      <c r="I20064" s="1125"/>
      <c r="J20064" s="1125"/>
    </row>
    <row r="20065" spans="9:10" x14ac:dyDescent="0.2">
      <c r="I20065" s="1125"/>
      <c r="J20065" s="1125"/>
    </row>
    <row r="20066" spans="9:10" x14ac:dyDescent="0.2">
      <c r="I20066" s="1125"/>
      <c r="J20066" s="1125"/>
    </row>
    <row r="20067" spans="9:10" x14ac:dyDescent="0.2">
      <c r="I20067" s="1125"/>
      <c r="J20067" s="1125"/>
    </row>
    <row r="20068" spans="9:10" x14ac:dyDescent="0.2">
      <c r="I20068" s="1125"/>
      <c r="J20068" s="1125"/>
    </row>
    <row r="20069" spans="9:10" x14ac:dyDescent="0.2">
      <c r="I20069" s="1125"/>
      <c r="J20069" s="1125"/>
    </row>
    <row r="20070" spans="9:10" x14ac:dyDescent="0.2">
      <c r="I20070" s="1125"/>
      <c r="J20070" s="1125"/>
    </row>
    <row r="20071" spans="9:10" x14ac:dyDescent="0.2">
      <c r="I20071" s="1125"/>
      <c r="J20071" s="1125"/>
    </row>
    <row r="20072" spans="9:10" x14ac:dyDescent="0.2">
      <c r="I20072" s="1125"/>
      <c r="J20072" s="1125"/>
    </row>
    <row r="20073" spans="9:10" x14ac:dyDescent="0.2">
      <c r="I20073" s="1125"/>
      <c r="J20073" s="1125"/>
    </row>
    <row r="20074" spans="9:10" x14ac:dyDescent="0.2">
      <c r="I20074" s="1125"/>
      <c r="J20074" s="1125"/>
    </row>
    <row r="20075" spans="9:10" x14ac:dyDescent="0.2">
      <c r="I20075" s="1125"/>
      <c r="J20075" s="1125"/>
    </row>
    <row r="20076" spans="9:10" x14ac:dyDescent="0.2">
      <c r="I20076" s="1125"/>
      <c r="J20076" s="1125"/>
    </row>
    <row r="20077" spans="9:10" x14ac:dyDescent="0.2">
      <c r="I20077" s="1125"/>
      <c r="J20077" s="1125"/>
    </row>
    <row r="20078" spans="9:10" x14ac:dyDescent="0.2">
      <c r="I20078" s="1125"/>
      <c r="J20078" s="1125"/>
    </row>
    <row r="20079" spans="9:10" x14ac:dyDescent="0.2">
      <c r="I20079" s="1125"/>
      <c r="J20079" s="1125"/>
    </row>
    <row r="20080" spans="9:10" x14ac:dyDescent="0.2">
      <c r="I20080" s="1125"/>
      <c r="J20080" s="1125"/>
    </row>
    <row r="20081" spans="9:10" x14ac:dyDescent="0.2">
      <c r="I20081" s="1125"/>
      <c r="J20081" s="1125"/>
    </row>
    <row r="20082" spans="9:10" x14ac:dyDescent="0.2">
      <c r="I20082" s="1125"/>
      <c r="J20082" s="1125"/>
    </row>
    <row r="20083" spans="9:10" x14ac:dyDescent="0.2">
      <c r="I20083" s="1125"/>
      <c r="J20083" s="1125"/>
    </row>
    <row r="20084" spans="9:10" x14ac:dyDescent="0.2">
      <c r="I20084" s="1125"/>
      <c r="J20084" s="1125"/>
    </row>
    <row r="20085" spans="9:10" x14ac:dyDescent="0.2">
      <c r="I20085" s="1125"/>
      <c r="J20085" s="1125"/>
    </row>
    <row r="20086" spans="9:10" x14ac:dyDescent="0.2">
      <c r="I20086" s="1125"/>
      <c r="J20086" s="1125"/>
    </row>
    <row r="20087" spans="9:10" x14ac:dyDescent="0.2">
      <c r="I20087" s="1125"/>
      <c r="J20087" s="1125"/>
    </row>
    <row r="20088" spans="9:10" x14ac:dyDescent="0.2">
      <c r="I20088" s="1125"/>
      <c r="J20088" s="1125"/>
    </row>
    <row r="20089" spans="9:10" x14ac:dyDescent="0.2">
      <c r="I20089" s="1125"/>
      <c r="J20089" s="1125"/>
    </row>
    <row r="20090" spans="9:10" x14ac:dyDescent="0.2">
      <c r="I20090" s="1125"/>
      <c r="J20090" s="1125"/>
    </row>
    <row r="20091" spans="9:10" x14ac:dyDescent="0.2">
      <c r="I20091" s="1125"/>
      <c r="J20091" s="1125"/>
    </row>
    <row r="20092" spans="9:10" x14ac:dyDescent="0.2">
      <c r="I20092" s="1125"/>
      <c r="J20092" s="1125"/>
    </row>
    <row r="20093" spans="9:10" x14ac:dyDescent="0.2">
      <c r="I20093" s="1125"/>
      <c r="J20093" s="1125"/>
    </row>
    <row r="20094" spans="9:10" x14ac:dyDescent="0.2">
      <c r="I20094" s="1125"/>
      <c r="J20094" s="1125"/>
    </row>
    <row r="20095" spans="9:10" x14ac:dyDescent="0.2">
      <c r="I20095" s="1125"/>
      <c r="J20095" s="1125"/>
    </row>
    <row r="20096" spans="9:10" x14ac:dyDescent="0.2">
      <c r="I20096" s="1125"/>
      <c r="J20096" s="1125"/>
    </row>
    <row r="20097" spans="9:10" x14ac:dyDescent="0.2">
      <c r="I20097" s="1125"/>
      <c r="J20097" s="1125"/>
    </row>
    <row r="20098" spans="9:10" x14ac:dyDescent="0.2">
      <c r="I20098" s="1125"/>
      <c r="J20098" s="1125"/>
    </row>
    <row r="20099" spans="9:10" x14ac:dyDescent="0.2">
      <c r="I20099" s="1125"/>
      <c r="J20099" s="1125"/>
    </row>
    <row r="20100" spans="9:10" x14ac:dyDescent="0.2">
      <c r="I20100" s="1125"/>
      <c r="J20100" s="1125"/>
    </row>
    <row r="20101" spans="9:10" x14ac:dyDescent="0.2">
      <c r="I20101" s="1125"/>
      <c r="J20101" s="1125"/>
    </row>
    <row r="20102" spans="9:10" x14ac:dyDescent="0.2">
      <c r="I20102" s="1125"/>
      <c r="J20102" s="1125"/>
    </row>
    <row r="20103" spans="9:10" x14ac:dyDescent="0.2">
      <c r="I20103" s="1125"/>
      <c r="J20103" s="1125"/>
    </row>
    <row r="20104" spans="9:10" x14ac:dyDescent="0.2">
      <c r="I20104" s="1125"/>
      <c r="J20104" s="1125"/>
    </row>
    <row r="20105" spans="9:10" x14ac:dyDescent="0.2">
      <c r="I20105" s="1125"/>
      <c r="J20105" s="1125"/>
    </row>
    <row r="20106" spans="9:10" x14ac:dyDescent="0.2">
      <c r="I20106" s="1125"/>
      <c r="J20106" s="1125"/>
    </row>
    <row r="20107" spans="9:10" x14ac:dyDescent="0.2">
      <c r="I20107" s="1125"/>
      <c r="J20107" s="1125"/>
    </row>
    <row r="20108" spans="9:10" x14ac:dyDescent="0.2">
      <c r="I20108" s="1125"/>
      <c r="J20108" s="1125"/>
    </row>
    <row r="20109" spans="9:10" x14ac:dyDescent="0.2">
      <c r="I20109" s="1125"/>
      <c r="J20109" s="1125"/>
    </row>
    <row r="20110" spans="9:10" x14ac:dyDescent="0.2">
      <c r="I20110" s="1125"/>
      <c r="J20110" s="1125"/>
    </row>
    <row r="20111" spans="9:10" x14ac:dyDescent="0.2">
      <c r="I20111" s="1125"/>
      <c r="J20111" s="1125"/>
    </row>
    <row r="20112" spans="9:10" x14ac:dyDescent="0.2">
      <c r="I20112" s="1125"/>
      <c r="J20112" s="1125"/>
    </row>
    <row r="20113" spans="9:10" x14ac:dyDescent="0.2">
      <c r="I20113" s="1125"/>
      <c r="J20113" s="1125"/>
    </row>
    <row r="20114" spans="9:10" x14ac:dyDescent="0.2">
      <c r="I20114" s="1125"/>
      <c r="J20114" s="1125"/>
    </row>
    <row r="20115" spans="9:10" x14ac:dyDescent="0.2">
      <c r="I20115" s="1125"/>
      <c r="J20115" s="1125"/>
    </row>
    <row r="20116" spans="9:10" x14ac:dyDescent="0.2">
      <c r="I20116" s="1125"/>
      <c r="J20116" s="1125"/>
    </row>
    <row r="20117" spans="9:10" x14ac:dyDescent="0.2">
      <c r="I20117" s="1125"/>
      <c r="J20117" s="1125"/>
    </row>
    <row r="20118" spans="9:10" x14ac:dyDescent="0.2">
      <c r="I20118" s="1125"/>
      <c r="J20118" s="1125"/>
    </row>
    <row r="20119" spans="9:10" x14ac:dyDescent="0.2">
      <c r="I20119" s="1125"/>
      <c r="J20119" s="1125"/>
    </row>
    <row r="20120" spans="9:10" x14ac:dyDescent="0.2">
      <c r="I20120" s="1125"/>
      <c r="J20120" s="1125"/>
    </row>
    <row r="20121" spans="9:10" x14ac:dyDescent="0.2">
      <c r="I20121" s="1125"/>
      <c r="J20121" s="1125"/>
    </row>
    <row r="20122" spans="9:10" x14ac:dyDescent="0.2">
      <c r="I20122" s="1125"/>
      <c r="J20122" s="1125"/>
    </row>
    <row r="20123" spans="9:10" x14ac:dyDescent="0.2">
      <c r="I20123" s="1125"/>
      <c r="J20123" s="1125"/>
    </row>
    <row r="20124" spans="9:10" x14ac:dyDescent="0.2">
      <c r="I20124" s="1125"/>
      <c r="J20124" s="1125"/>
    </row>
    <row r="20125" spans="9:10" x14ac:dyDescent="0.2">
      <c r="I20125" s="1125"/>
      <c r="J20125" s="1125"/>
    </row>
    <row r="20126" spans="9:10" x14ac:dyDescent="0.2">
      <c r="I20126" s="1125"/>
      <c r="J20126" s="1125"/>
    </row>
    <row r="20127" spans="9:10" x14ac:dyDescent="0.2">
      <c r="I20127" s="1125"/>
      <c r="J20127" s="1125"/>
    </row>
    <row r="20128" spans="9:10" x14ac:dyDescent="0.2">
      <c r="I20128" s="1125"/>
      <c r="J20128" s="1125"/>
    </row>
    <row r="20129" spans="9:10" x14ac:dyDescent="0.2">
      <c r="I20129" s="1125"/>
      <c r="J20129" s="1125"/>
    </row>
    <row r="20130" spans="9:10" x14ac:dyDescent="0.2">
      <c r="I20130" s="1125"/>
      <c r="J20130" s="1125"/>
    </row>
    <row r="20131" spans="9:10" x14ac:dyDescent="0.2">
      <c r="I20131" s="1125"/>
      <c r="J20131" s="1125"/>
    </row>
    <row r="20132" spans="9:10" x14ac:dyDescent="0.2">
      <c r="I20132" s="1125"/>
      <c r="J20132" s="1125"/>
    </row>
    <row r="20133" spans="9:10" x14ac:dyDescent="0.2">
      <c r="I20133" s="1125"/>
      <c r="J20133" s="1125"/>
    </row>
    <row r="20134" spans="9:10" x14ac:dyDescent="0.2">
      <c r="I20134" s="1125"/>
      <c r="J20134" s="1125"/>
    </row>
    <row r="20135" spans="9:10" x14ac:dyDescent="0.2">
      <c r="I20135" s="1125"/>
      <c r="J20135" s="1125"/>
    </row>
    <row r="20136" spans="9:10" x14ac:dyDescent="0.2">
      <c r="I20136" s="1125"/>
      <c r="J20136" s="1125"/>
    </row>
    <row r="20137" spans="9:10" x14ac:dyDescent="0.2">
      <c r="I20137" s="1125"/>
      <c r="J20137" s="1125"/>
    </row>
    <row r="20138" spans="9:10" x14ac:dyDescent="0.2">
      <c r="I20138" s="1125"/>
      <c r="J20138" s="1125"/>
    </row>
    <row r="20139" spans="9:10" x14ac:dyDescent="0.2">
      <c r="I20139" s="1125"/>
      <c r="J20139" s="1125"/>
    </row>
    <row r="20140" spans="9:10" x14ac:dyDescent="0.2">
      <c r="I20140" s="1125"/>
      <c r="J20140" s="1125"/>
    </row>
    <row r="20141" spans="9:10" x14ac:dyDescent="0.2">
      <c r="I20141" s="1125"/>
      <c r="J20141" s="1125"/>
    </row>
    <row r="20142" spans="9:10" x14ac:dyDescent="0.2">
      <c r="I20142" s="1125"/>
      <c r="J20142" s="1125"/>
    </row>
    <row r="20143" spans="9:10" x14ac:dyDescent="0.2">
      <c r="I20143" s="1125"/>
      <c r="J20143" s="1125"/>
    </row>
    <row r="20144" spans="9:10" x14ac:dyDescent="0.2">
      <c r="I20144" s="1125"/>
      <c r="J20144" s="1125"/>
    </row>
    <row r="20145" spans="9:10" x14ac:dyDescent="0.2">
      <c r="I20145" s="1125"/>
      <c r="J20145" s="1125"/>
    </row>
    <row r="20146" spans="9:10" x14ac:dyDescent="0.2">
      <c r="I20146" s="1125"/>
      <c r="J20146" s="1125"/>
    </row>
    <row r="20147" spans="9:10" x14ac:dyDescent="0.2">
      <c r="I20147" s="1125"/>
      <c r="J20147" s="1125"/>
    </row>
    <row r="20148" spans="9:10" x14ac:dyDescent="0.2">
      <c r="I20148" s="1125"/>
      <c r="J20148" s="1125"/>
    </row>
    <row r="20149" spans="9:10" x14ac:dyDescent="0.2">
      <c r="I20149" s="1125"/>
      <c r="J20149" s="1125"/>
    </row>
    <row r="20150" spans="9:10" x14ac:dyDescent="0.2">
      <c r="I20150" s="1125"/>
      <c r="J20150" s="1125"/>
    </row>
    <row r="20151" spans="9:10" x14ac:dyDescent="0.2">
      <c r="I20151" s="1125"/>
      <c r="J20151" s="1125"/>
    </row>
    <row r="20152" spans="9:10" x14ac:dyDescent="0.2">
      <c r="I20152" s="1125"/>
      <c r="J20152" s="1125"/>
    </row>
    <row r="20153" spans="9:10" x14ac:dyDescent="0.2">
      <c r="I20153" s="1125"/>
      <c r="J20153" s="1125"/>
    </row>
    <row r="20154" spans="9:10" x14ac:dyDescent="0.2">
      <c r="I20154" s="1125"/>
      <c r="J20154" s="1125"/>
    </row>
    <row r="20155" spans="9:10" x14ac:dyDescent="0.2">
      <c r="I20155" s="1125"/>
      <c r="J20155" s="1125"/>
    </row>
    <row r="20156" spans="9:10" x14ac:dyDescent="0.2">
      <c r="I20156" s="1125"/>
      <c r="J20156" s="1125"/>
    </row>
    <row r="20157" spans="9:10" x14ac:dyDescent="0.2">
      <c r="I20157" s="1125"/>
      <c r="J20157" s="1125"/>
    </row>
    <row r="20158" spans="9:10" x14ac:dyDescent="0.2">
      <c r="I20158" s="1125"/>
      <c r="J20158" s="1125"/>
    </row>
    <row r="20159" spans="9:10" x14ac:dyDescent="0.2">
      <c r="I20159" s="1125"/>
      <c r="J20159" s="1125"/>
    </row>
    <row r="20160" spans="9:10" x14ac:dyDescent="0.2">
      <c r="I20160" s="1125"/>
      <c r="J20160" s="1125"/>
    </row>
    <row r="20161" spans="9:10" x14ac:dyDescent="0.2">
      <c r="I20161" s="1125"/>
      <c r="J20161" s="1125"/>
    </row>
    <row r="20162" spans="9:10" x14ac:dyDescent="0.2">
      <c r="I20162" s="1125"/>
      <c r="J20162" s="1125"/>
    </row>
    <row r="20163" spans="9:10" x14ac:dyDescent="0.2">
      <c r="I20163" s="1125"/>
      <c r="J20163" s="1125"/>
    </row>
    <row r="20164" spans="9:10" x14ac:dyDescent="0.2">
      <c r="I20164" s="1125"/>
      <c r="J20164" s="1125"/>
    </row>
    <row r="20165" spans="9:10" x14ac:dyDescent="0.2">
      <c r="I20165" s="1125"/>
      <c r="J20165" s="1125"/>
    </row>
    <row r="20166" spans="9:10" x14ac:dyDescent="0.2">
      <c r="I20166" s="1125"/>
      <c r="J20166" s="1125"/>
    </row>
    <row r="20167" spans="9:10" x14ac:dyDescent="0.2">
      <c r="I20167" s="1125"/>
      <c r="J20167" s="1125"/>
    </row>
    <row r="20168" spans="9:10" x14ac:dyDescent="0.2">
      <c r="I20168" s="1125"/>
      <c r="J20168" s="1125"/>
    </row>
    <row r="20169" spans="9:10" x14ac:dyDescent="0.2">
      <c r="I20169" s="1125"/>
      <c r="J20169" s="1125"/>
    </row>
    <row r="20170" spans="9:10" x14ac:dyDescent="0.2">
      <c r="I20170" s="1125"/>
      <c r="J20170" s="1125"/>
    </row>
    <row r="20171" spans="9:10" x14ac:dyDescent="0.2">
      <c r="I20171" s="1125"/>
      <c r="J20171" s="1125"/>
    </row>
    <row r="20172" spans="9:10" x14ac:dyDescent="0.2">
      <c r="I20172" s="1125"/>
      <c r="J20172" s="1125"/>
    </row>
    <row r="20173" spans="9:10" x14ac:dyDescent="0.2">
      <c r="I20173" s="1125"/>
      <c r="J20173" s="1125"/>
    </row>
    <row r="20174" spans="9:10" x14ac:dyDescent="0.2">
      <c r="I20174" s="1125"/>
      <c r="J20174" s="1125"/>
    </row>
    <row r="20175" spans="9:10" x14ac:dyDescent="0.2">
      <c r="I20175" s="1125"/>
      <c r="J20175" s="1125"/>
    </row>
    <row r="20176" spans="9:10" x14ac:dyDescent="0.2">
      <c r="I20176" s="1125"/>
      <c r="J20176" s="1125"/>
    </row>
    <row r="20177" spans="9:10" x14ac:dyDescent="0.2">
      <c r="I20177" s="1125"/>
      <c r="J20177" s="1125"/>
    </row>
    <row r="20178" spans="9:10" x14ac:dyDescent="0.2">
      <c r="I20178" s="1125"/>
      <c r="J20178" s="1125"/>
    </row>
    <row r="20179" spans="9:10" x14ac:dyDescent="0.2">
      <c r="I20179" s="1125"/>
      <c r="J20179" s="1125"/>
    </row>
    <row r="20180" spans="9:10" x14ac:dyDescent="0.2">
      <c r="I20180" s="1125"/>
      <c r="J20180" s="1125"/>
    </row>
    <row r="20181" spans="9:10" x14ac:dyDescent="0.2">
      <c r="I20181" s="1125"/>
      <c r="J20181" s="1125"/>
    </row>
    <row r="20182" spans="9:10" x14ac:dyDescent="0.2">
      <c r="I20182" s="1125"/>
      <c r="J20182" s="1125"/>
    </row>
    <row r="20183" spans="9:10" x14ac:dyDescent="0.2">
      <c r="I20183" s="1125"/>
      <c r="J20183" s="1125"/>
    </row>
    <row r="20184" spans="9:10" x14ac:dyDescent="0.2">
      <c r="I20184" s="1125"/>
      <c r="J20184" s="1125"/>
    </row>
    <row r="20185" spans="9:10" x14ac:dyDescent="0.2">
      <c r="I20185" s="1125"/>
      <c r="J20185" s="1125"/>
    </row>
    <row r="20186" spans="9:10" x14ac:dyDescent="0.2">
      <c r="I20186" s="1125"/>
      <c r="J20186" s="1125"/>
    </row>
    <row r="20187" spans="9:10" x14ac:dyDescent="0.2">
      <c r="I20187" s="1125"/>
      <c r="J20187" s="1125"/>
    </row>
    <row r="20188" spans="9:10" x14ac:dyDescent="0.2">
      <c r="I20188" s="1125"/>
      <c r="J20188" s="1125"/>
    </row>
    <row r="20189" spans="9:10" x14ac:dyDescent="0.2">
      <c r="I20189" s="1125"/>
      <c r="J20189" s="1125"/>
    </row>
    <row r="20190" spans="9:10" x14ac:dyDescent="0.2">
      <c r="I20190" s="1125"/>
      <c r="J20190" s="1125"/>
    </row>
    <row r="20191" spans="9:10" x14ac:dyDescent="0.2">
      <c r="I20191" s="1125"/>
      <c r="J20191" s="1125"/>
    </row>
    <row r="20192" spans="9:10" x14ac:dyDescent="0.2">
      <c r="I20192" s="1125"/>
      <c r="J20192" s="1125"/>
    </row>
    <row r="20193" spans="9:10" x14ac:dyDescent="0.2">
      <c r="I20193" s="1125"/>
      <c r="J20193" s="1125"/>
    </row>
    <row r="20194" spans="9:10" x14ac:dyDescent="0.2">
      <c r="I20194" s="1125"/>
      <c r="J20194" s="1125"/>
    </row>
    <row r="20195" spans="9:10" x14ac:dyDescent="0.2">
      <c r="I20195" s="1125"/>
      <c r="J20195" s="1125"/>
    </row>
    <row r="20196" spans="9:10" x14ac:dyDescent="0.2">
      <c r="I20196" s="1125"/>
      <c r="J20196" s="1125"/>
    </row>
    <row r="20197" spans="9:10" x14ac:dyDescent="0.2">
      <c r="I20197" s="1125"/>
      <c r="J20197" s="1125"/>
    </row>
    <row r="20198" spans="9:10" x14ac:dyDescent="0.2">
      <c r="I20198" s="1125"/>
      <c r="J20198" s="1125"/>
    </row>
    <row r="20199" spans="9:10" x14ac:dyDescent="0.2">
      <c r="I20199" s="1125"/>
      <c r="J20199" s="1125"/>
    </row>
    <row r="20200" spans="9:10" x14ac:dyDescent="0.2">
      <c r="I20200" s="1125"/>
      <c r="J20200" s="1125"/>
    </row>
    <row r="20201" spans="9:10" x14ac:dyDescent="0.2">
      <c r="I20201" s="1125"/>
      <c r="J20201" s="1125"/>
    </row>
    <row r="20202" spans="9:10" x14ac:dyDescent="0.2">
      <c r="I20202" s="1125"/>
      <c r="J20202" s="1125"/>
    </row>
    <row r="20203" spans="9:10" x14ac:dyDescent="0.2">
      <c r="I20203" s="1125"/>
      <c r="J20203" s="1125"/>
    </row>
    <row r="20204" spans="9:10" x14ac:dyDescent="0.2">
      <c r="I20204" s="1125"/>
      <c r="J20204" s="1125"/>
    </row>
    <row r="20205" spans="9:10" x14ac:dyDescent="0.2">
      <c r="I20205" s="1125"/>
      <c r="J20205" s="1125"/>
    </row>
    <row r="20206" spans="9:10" x14ac:dyDescent="0.2">
      <c r="I20206" s="1125"/>
      <c r="J20206" s="1125"/>
    </row>
    <row r="20207" spans="9:10" x14ac:dyDescent="0.2">
      <c r="I20207" s="1125"/>
      <c r="J20207" s="1125"/>
    </row>
    <row r="20208" spans="9:10" x14ac:dyDescent="0.2">
      <c r="I20208" s="1125"/>
      <c r="J20208" s="1125"/>
    </row>
    <row r="20209" spans="9:10" x14ac:dyDescent="0.2">
      <c r="I20209" s="1125"/>
      <c r="J20209" s="1125"/>
    </row>
    <row r="20210" spans="9:10" x14ac:dyDescent="0.2">
      <c r="I20210" s="1125"/>
      <c r="J20210" s="1125"/>
    </row>
    <row r="20211" spans="9:10" x14ac:dyDescent="0.2">
      <c r="I20211" s="1125"/>
      <c r="J20211" s="1125"/>
    </row>
    <row r="20212" spans="9:10" x14ac:dyDescent="0.2">
      <c r="I20212" s="1125"/>
      <c r="J20212" s="1125"/>
    </row>
    <row r="20213" spans="9:10" x14ac:dyDescent="0.2">
      <c r="I20213" s="1125"/>
      <c r="J20213" s="1125"/>
    </row>
    <row r="20214" spans="9:10" x14ac:dyDescent="0.2">
      <c r="I20214" s="1125"/>
      <c r="J20214" s="1125"/>
    </row>
    <row r="20215" spans="9:10" x14ac:dyDescent="0.2">
      <c r="I20215" s="1125"/>
      <c r="J20215" s="1125"/>
    </row>
    <row r="20216" spans="9:10" x14ac:dyDescent="0.2">
      <c r="I20216" s="1125"/>
      <c r="J20216" s="1125"/>
    </row>
    <row r="20217" spans="9:10" x14ac:dyDescent="0.2">
      <c r="I20217" s="1125"/>
      <c r="J20217" s="1125"/>
    </row>
    <row r="20218" spans="9:10" x14ac:dyDescent="0.2">
      <c r="I20218" s="1125"/>
      <c r="J20218" s="1125"/>
    </row>
    <row r="20219" spans="9:10" x14ac:dyDescent="0.2">
      <c r="I20219" s="1125"/>
      <c r="J20219" s="1125"/>
    </row>
    <row r="20220" spans="9:10" x14ac:dyDescent="0.2">
      <c r="I20220" s="1125"/>
      <c r="J20220" s="1125"/>
    </row>
    <row r="20221" spans="9:10" x14ac:dyDescent="0.2">
      <c r="I20221" s="1125"/>
      <c r="J20221" s="1125"/>
    </row>
    <row r="20222" spans="9:10" x14ac:dyDescent="0.2">
      <c r="I20222" s="1125"/>
      <c r="J20222" s="1125"/>
    </row>
    <row r="20223" spans="9:10" x14ac:dyDescent="0.2">
      <c r="I20223" s="1125"/>
      <c r="J20223" s="1125"/>
    </row>
    <row r="20224" spans="9:10" x14ac:dyDescent="0.2">
      <c r="I20224" s="1125"/>
      <c r="J20224" s="1125"/>
    </row>
    <row r="20225" spans="9:10" x14ac:dyDescent="0.2">
      <c r="I20225" s="1125"/>
      <c r="J20225" s="1125"/>
    </row>
    <row r="20226" spans="9:10" x14ac:dyDescent="0.2">
      <c r="I20226" s="1125"/>
      <c r="J20226" s="1125"/>
    </row>
    <row r="20227" spans="9:10" x14ac:dyDescent="0.2">
      <c r="I20227" s="1125"/>
      <c r="J20227" s="1125"/>
    </row>
    <row r="20228" spans="9:10" x14ac:dyDescent="0.2">
      <c r="I20228" s="1125"/>
      <c r="J20228" s="1125"/>
    </row>
    <row r="20229" spans="9:10" x14ac:dyDescent="0.2">
      <c r="I20229" s="1125"/>
      <c r="J20229" s="1125"/>
    </row>
    <row r="20230" spans="9:10" x14ac:dyDescent="0.2">
      <c r="I20230" s="1125"/>
      <c r="J20230" s="1125"/>
    </row>
    <row r="20231" spans="9:10" x14ac:dyDescent="0.2">
      <c r="I20231" s="1125"/>
      <c r="J20231" s="1125"/>
    </row>
    <row r="20232" spans="9:10" x14ac:dyDescent="0.2">
      <c r="I20232" s="1125"/>
      <c r="J20232" s="1125"/>
    </row>
    <row r="20233" spans="9:10" x14ac:dyDescent="0.2">
      <c r="I20233" s="1125"/>
      <c r="J20233" s="1125"/>
    </row>
    <row r="20234" spans="9:10" x14ac:dyDescent="0.2">
      <c r="I20234" s="1125"/>
      <c r="J20234" s="1125"/>
    </row>
    <row r="20235" spans="9:10" x14ac:dyDescent="0.2">
      <c r="I20235" s="1125"/>
      <c r="J20235" s="1125"/>
    </row>
    <row r="20236" spans="9:10" x14ac:dyDescent="0.2">
      <c r="I20236" s="1125"/>
      <c r="J20236" s="1125"/>
    </row>
    <row r="20237" spans="9:10" x14ac:dyDescent="0.2">
      <c r="I20237" s="1125"/>
      <c r="J20237" s="1125"/>
    </row>
    <row r="20238" spans="9:10" x14ac:dyDescent="0.2">
      <c r="I20238" s="1125"/>
      <c r="J20238" s="1125"/>
    </row>
    <row r="20239" spans="9:10" x14ac:dyDescent="0.2">
      <c r="I20239" s="1125"/>
      <c r="J20239" s="1125"/>
    </row>
    <row r="20240" spans="9:10" x14ac:dyDescent="0.2">
      <c r="I20240" s="1125"/>
      <c r="J20240" s="1125"/>
    </row>
    <row r="20241" spans="9:10" x14ac:dyDescent="0.2">
      <c r="I20241" s="1125"/>
      <c r="J20241" s="1125"/>
    </row>
    <row r="20242" spans="9:10" x14ac:dyDescent="0.2">
      <c r="I20242" s="1125"/>
      <c r="J20242" s="1125"/>
    </row>
    <row r="20243" spans="9:10" x14ac:dyDescent="0.2">
      <c r="I20243" s="1125"/>
      <c r="J20243" s="1125"/>
    </row>
    <row r="20244" spans="9:10" x14ac:dyDescent="0.2">
      <c r="I20244" s="1125"/>
      <c r="J20244" s="1125"/>
    </row>
    <row r="20245" spans="9:10" x14ac:dyDescent="0.2">
      <c r="I20245" s="1125"/>
      <c r="J20245" s="1125"/>
    </row>
    <row r="20246" spans="9:10" x14ac:dyDescent="0.2">
      <c r="I20246" s="1125"/>
      <c r="J20246" s="1125"/>
    </row>
    <row r="20247" spans="9:10" x14ac:dyDescent="0.2">
      <c r="I20247" s="1125"/>
      <c r="J20247" s="1125"/>
    </row>
    <row r="20248" spans="9:10" x14ac:dyDescent="0.2">
      <c r="I20248" s="1125"/>
      <c r="J20248" s="1125"/>
    </row>
    <row r="20249" spans="9:10" x14ac:dyDescent="0.2">
      <c r="I20249" s="1125"/>
      <c r="J20249" s="1125"/>
    </row>
    <row r="20250" spans="9:10" x14ac:dyDescent="0.2">
      <c r="I20250" s="1125"/>
      <c r="J20250" s="1125"/>
    </row>
    <row r="20251" spans="9:10" x14ac:dyDescent="0.2">
      <c r="I20251" s="1125"/>
      <c r="J20251" s="1125"/>
    </row>
    <row r="20252" spans="9:10" x14ac:dyDescent="0.2">
      <c r="I20252" s="1125"/>
      <c r="J20252" s="1125"/>
    </row>
    <row r="20253" spans="9:10" x14ac:dyDescent="0.2">
      <c r="I20253" s="1125"/>
      <c r="J20253" s="1125"/>
    </row>
    <row r="20254" spans="9:10" x14ac:dyDescent="0.2">
      <c r="I20254" s="1125"/>
      <c r="J20254" s="1125"/>
    </row>
    <row r="20255" spans="9:10" x14ac:dyDescent="0.2">
      <c r="I20255" s="1125"/>
      <c r="J20255" s="1125"/>
    </row>
    <row r="20256" spans="9:10" x14ac:dyDescent="0.2">
      <c r="I20256" s="1125"/>
      <c r="J20256" s="1125"/>
    </row>
    <row r="20257" spans="9:10" x14ac:dyDescent="0.2">
      <c r="I20257" s="1125"/>
      <c r="J20257" s="1125"/>
    </row>
    <row r="20258" spans="9:10" x14ac:dyDescent="0.2">
      <c r="I20258" s="1125"/>
      <c r="J20258" s="1125"/>
    </row>
    <row r="20259" spans="9:10" x14ac:dyDescent="0.2">
      <c r="I20259" s="1125"/>
      <c r="J20259" s="1125"/>
    </row>
    <row r="20260" spans="9:10" x14ac:dyDescent="0.2">
      <c r="I20260" s="1125"/>
      <c r="J20260" s="1125"/>
    </row>
    <row r="20261" spans="9:10" x14ac:dyDescent="0.2">
      <c r="I20261" s="1125"/>
      <c r="J20261" s="1125"/>
    </row>
    <row r="20262" spans="9:10" x14ac:dyDescent="0.2">
      <c r="I20262" s="1125"/>
      <c r="J20262" s="1125"/>
    </row>
    <row r="20263" spans="9:10" x14ac:dyDescent="0.2">
      <c r="I20263" s="1125"/>
      <c r="J20263" s="1125"/>
    </row>
    <row r="20264" spans="9:10" x14ac:dyDescent="0.2">
      <c r="I20264" s="1125"/>
      <c r="J20264" s="1125"/>
    </row>
    <row r="20265" spans="9:10" x14ac:dyDescent="0.2">
      <c r="I20265" s="1125"/>
      <c r="J20265" s="1125"/>
    </row>
    <row r="20266" spans="9:10" x14ac:dyDescent="0.2">
      <c r="I20266" s="1125"/>
      <c r="J20266" s="1125"/>
    </row>
    <row r="20267" spans="9:10" x14ac:dyDescent="0.2">
      <c r="I20267" s="1125"/>
      <c r="J20267" s="1125"/>
    </row>
    <row r="20268" spans="9:10" x14ac:dyDescent="0.2">
      <c r="I20268" s="1125"/>
      <c r="J20268" s="1125"/>
    </row>
    <row r="20269" spans="9:10" x14ac:dyDescent="0.2">
      <c r="I20269" s="1125"/>
      <c r="J20269" s="1125"/>
    </row>
    <row r="20270" spans="9:10" x14ac:dyDescent="0.2">
      <c r="I20270" s="1125"/>
      <c r="J20270" s="1125"/>
    </row>
    <row r="20271" spans="9:10" x14ac:dyDescent="0.2">
      <c r="I20271" s="1125"/>
      <c r="J20271" s="1125"/>
    </row>
    <row r="20272" spans="9:10" x14ac:dyDescent="0.2">
      <c r="I20272" s="1125"/>
      <c r="J20272" s="1125"/>
    </row>
    <row r="20273" spans="9:10" x14ac:dyDescent="0.2">
      <c r="I20273" s="1125"/>
      <c r="J20273" s="1125"/>
    </row>
    <row r="20274" spans="9:10" x14ac:dyDescent="0.2">
      <c r="I20274" s="1125"/>
      <c r="J20274" s="1125"/>
    </row>
    <row r="20275" spans="9:10" x14ac:dyDescent="0.2">
      <c r="I20275" s="1125"/>
      <c r="J20275" s="1125"/>
    </row>
    <row r="20276" spans="9:10" x14ac:dyDescent="0.2">
      <c r="I20276" s="1125"/>
      <c r="J20276" s="1125"/>
    </row>
    <row r="20277" spans="9:10" x14ac:dyDescent="0.2">
      <c r="I20277" s="1125"/>
      <c r="J20277" s="1125"/>
    </row>
    <row r="20278" spans="9:10" x14ac:dyDescent="0.2">
      <c r="I20278" s="1125"/>
      <c r="J20278" s="1125"/>
    </row>
    <row r="20279" spans="9:10" x14ac:dyDescent="0.2">
      <c r="I20279" s="1125"/>
      <c r="J20279" s="1125"/>
    </row>
    <row r="20280" spans="9:10" x14ac:dyDescent="0.2">
      <c r="I20280" s="1125"/>
      <c r="J20280" s="1125"/>
    </row>
    <row r="20281" spans="9:10" x14ac:dyDescent="0.2">
      <c r="I20281" s="1125"/>
      <c r="J20281" s="1125"/>
    </row>
    <row r="20282" spans="9:10" x14ac:dyDescent="0.2">
      <c r="I20282" s="1125"/>
      <c r="J20282" s="1125"/>
    </row>
    <row r="20283" spans="9:10" x14ac:dyDescent="0.2">
      <c r="I20283" s="1125"/>
      <c r="J20283" s="1125"/>
    </row>
    <row r="20284" spans="9:10" x14ac:dyDescent="0.2">
      <c r="I20284" s="1125"/>
      <c r="J20284" s="1125"/>
    </row>
    <row r="20285" spans="9:10" x14ac:dyDescent="0.2">
      <c r="I20285" s="1125"/>
      <c r="J20285" s="1125"/>
    </row>
    <row r="20286" spans="9:10" x14ac:dyDescent="0.2">
      <c r="I20286" s="1125"/>
      <c r="J20286" s="1125"/>
    </row>
    <row r="20287" spans="9:10" x14ac:dyDescent="0.2">
      <c r="I20287" s="1125"/>
      <c r="J20287" s="1125"/>
    </row>
    <row r="20288" spans="9:10" x14ac:dyDescent="0.2">
      <c r="I20288" s="1125"/>
      <c r="J20288" s="1125"/>
    </row>
    <row r="20289" spans="9:10" x14ac:dyDescent="0.2">
      <c r="I20289" s="1125"/>
      <c r="J20289" s="1125"/>
    </row>
    <row r="20290" spans="9:10" x14ac:dyDescent="0.2">
      <c r="I20290" s="1125"/>
      <c r="J20290" s="1125"/>
    </row>
    <row r="20291" spans="9:10" x14ac:dyDescent="0.2">
      <c r="I20291" s="1125"/>
      <c r="J20291" s="1125"/>
    </row>
    <row r="20292" spans="9:10" x14ac:dyDescent="0.2">
      <c r="I20292" s="1125"/>
      <c r="J20292" s="1125"/>
    </row>
    <row r="20293" spans="9:10" x14ac:dyDescent="0.2">
      <c r="I20293" s="1125"/>
      <c r="J20293" s="1125"/>
    </row>
    <row r="20294" spans="9:10" x14ac:dyDescent="0.2">
      <c r="I20294" s="1125"/>
      <c r="J20294" s="1125"/>
    </row>
    <row r="20295" spans="9:10" x14ac:dyDescent="0.2">
      <c r="I20295" s="1125"/>
      <c r="J20295" s="1125"/>
    </row>
    <row r="20296" spans="9:10" x14ac:dyDescent="0.2">
      <c r="I20296" s="1125"/>
      <c r="J20296" s="1125"/>
    </row>
    <row r="20297" spans="9:10" x14ac:dyDescent="0.2">
      <c r="I20297" s="1125"/>
      <c r="J20297" s="1125"/>
    </row>
    <row r="20298" spans="9:10" x14ac:dyDescent="0.2">
      <c r="I20298" s="1125"/>
      <c r="J20298" s="1125"/>
    </row>
    <row r="20299" spans="9:10" x14ac:dyDescent="0.2">
      <c r="I20299" s="1125"/>
      <c r="J20299" s="1125"/>
    </row>
    <row r="20300" spans="9:10" x14ac:dyDescent="0.2">
      <c r="I20300" s="1125"/>
      <c r="J20300" s="1125"/>
    </row>
    <row r="20301" spans="9:10" x14ac:dyDescent="0.2">
      <c r="I20301" s="1125"/>
      <c r="J20301" s="1125"/>
    </row>
    <row r="20302" spans="9:10" x14ac:dyDescent="0.2">
      <c r="I20302" s="1125"/>
      <c r="J20302" s="1125"/>
    </row>
    <row r="20303" spans="9:10" x14ac:dyDescent="0.2">
      <c r="I20303" s="1125"/>
      <c r="J20303" s="1125"/>
    </row>
    <row r="20304" spans="9:10" x14ac:dyDescent="0.2">
      <c r="I20304" s="1125"/>
      <c r="J20304" s="1125"/>
    </row>
    <row r="20305" spans="9:10" x14ac:dyDescent="0.2">
      <c r="I20305" s="1125"/>
      <c r="J20305" s="1125"/>
    </row>
    <row r="20306" spans="9:10" x14ac:dyDescent="0.2">
      <c r="I20306" s="1125"/>
      <c r="J20306" s="1125"/>
    </row>
    <row r="20307" spans="9:10" x14ac:dyDescent="0.2">
      <c r="I20307" s="1125"/>
      <c r="J20307" s="1125"/>
    </row>
    <row r="20308" spans="9:10" x14ac:dyDescent="0.2">
      <c r="I20308" s="1125"/>
      <c r="J20308" s="1125"/>
    </row>
    <row r="20309" spans="9:10" x14ac:dyDescent="0.2">
      <c r="I20309" s="1125"/>
      <c r="J20309" s="1125"/>
    </row>
    <row r="20310" spans="9:10" x14ac:dyDescent="0.2">
      <c r="I20310" s="1125"/>
      <c r="J20310" s="1125"/>
    </row>
    <row r="20311" spans="9:10" x14ac:dyDescent="0.2">
      <c r="I20311" s="1125"/>
      <c r="J20311" s="1125"/>
    </row>
    <row r="20312" spans="9:10" x14ac:dyDescent="0.2">
      <c r="I20312" s="1125"/>
      <c r="J20312" s="1125"/>
    </row>
    <row r="20313" spans="9:10" x14ac:dyDescent="0.2">
      <c r="I20313" s="1125"/>
      <c r="J20313" s="1125"/>
    </row>
    <row r="20314" spans="9:10" x14ac:dyDescent="0.2">
      <c r="I20314" s="1125"/>
      <c r="J20314" s="1125"/>
    </row>
    <row r="20315" spans="9:10" x14ac:dyDescent="0.2">
      <c r="I20315" s="1125"/>
      <c r="J20315" s="1125"/>
    </row>
    <row r="20316" spans="9:10" x14ac:dyDescent="0.2">
      <c r="I20316" s="1125"/>
      <c r="J20316" s="1125"/>
    </row>
    <row r="20317" spans="9:10" x14ac:dyDescent="0.2">
      <c r="I20317" s="1125"/>
      <c r="J20317" s="1125"/>
    </row>
    <row r="20318" spans="9:10" x14ac:dyDescent="0.2">
      <c r="I20318" s="1125"/>
      <c r="J20318" s="1125"/>
    </row>
    <row r="20319" spans="9:10" x14ac:dyDescent="0.2">
      <c r="I20319" s="1125"/>
      <c r="J20319" s="1125"/>
    </row>
    <row r="20320" spans="9:10" x14ac:dyDescent="0.2">
      <c r="I20320" s="1125"/>
      <c r="J20320" s="1125"/>
    </row>
    <row r="20321" spans="9:10" x14ac:dyDescent="0.2">
      <c r="I20321" s="1125"/>
      <c r="J20321" s="1125"/>
    </row>
    <row r="20322" spans="9:10" x14ac:dyDescent="0.2">
      <c r="I20322" s="1125"/>
      <c r="J20322" s="1125"/>
    </row>
    <row r="20323" spans="9:10" x14ac:dyDescent="0.2">
      <c r="I20323" s="1125"/>
      <c r="J20323" s="1125"/>
    </row>
    <row r="20324" spans="9:10" x14ac:dyDescent="0.2">
      <c r="I20324" s="1125"/>
      <c r="J20324" s="1125"/>
    </row>
    <row r="20325" spans="9:10" x14ac:dyDescent="0.2">
      <c r="I20325" s="1125"/>
      <c r="J20325" s="1125"/>
    </row>
    <row r="20326" spans="9:10" x14ac:dyDescent="0.2">
      <c r="I20326" s="1125"/>
      <c r="J20326" s="1125"/>
    </row>
    <row r="20327" spans="9:10" x14ac:dyDescent="0.2">
      <c r="I20327" s="1125"/>
      <c r="J20327" s="1125"/>
    </row>
    <row r="20328" spans="9:10" x14ac:dyDescent="0.2">
      <c r="I20328" s="1125"/>
      <c r="J20328" s="1125"/>
    </row>
    <row r="20329" spans="9:10" x14ac:dyDescent="0.2">
      <c r="I20329" s="1125"/>
      <c r="J20329" s="1125"/>
    </row>
    <row r="20330" spans="9:10" x14ac:dyDescent="0.2">
      <c r="I20330" s="1125"/>
      <c r="J20330" s="1125"/>
    </row>
    <row r="20331" spans="9:10" x14ac:dyDescent="0.2">
      <c r="I20331" s="1125"/>
      <c r="J20331" s="1125"/>
    </row>
    <row r="20332" spans="9:10" x14ac:dyDescent="0.2">
      <c r="I20332" s="1125"/>
      <c r="J20332" s="1125"/>
    </row>
    <row r="20333" spans="9:10" x14ac:dyDescent="0.2">
      <c r="I20333" s="1125"/>
      <c r="J20333" s="1125"/>
    </row>
    <row r="20334" spans="9:10" x14ac:dyDescent="0.2">
      <c r="I20334" s="1125"/>
      <c r="J20334" s="1125"/>
    </row>
    <row r="20335" spans="9:10" x14ac:dyDescent="0.2">
      <c r="I20335" s="1125"/>
      <c r="J20335" s="1125"/>
    </row>
    <row r="20336" spans="9:10" x14ac:dyDescent="0.2">
      <c r="I20336" s="1125"/>
      <c r="J20336" s="1125"/>
    </row>
    <row r="20337" spans="9:10" x14ac:dyDescent="0.2">
      <c r="I20337" s="1125"/>
      <c r="J20337" s="1125"/>
    </row>
    <row r="20338" spans="9:10" x14ac:dyDescent="0.2">
      <c r="I20338" s="1125"/>
      <c r="J20338" s="1125"/>
    </row>
    <row r="20339" spans="9:10" x14ac:dyDescent="0.2">
      <c r="I20339" s="1125"/>
      <c r="J20339" s="1125"/>
    </row>
    <row r="20340" spans="9:10" x14ac:dyDescent="0.2">
      <c r="I20340" s="1125"/>
      <c r="J20340" s="1125"/>
    </row>
    <row r="20341" spans="9:10" x14ac:dyDescent="0.2">
      <c r="I20341" s="1125"/>
      <c r="J20341" s="1125"/>
    </row>
    <row r="20342" spans="9:10" x14ac:dyDescent="0.2">
      <c r="I20342" s="1125"/>
      <c r="J20342" s="1125"/>
    </row>
    <row r="20343" spans="9:10" x14ac:dyDescent="0.2">
      <c r="I20343" s="1125"/>
      <c r="J20343" s="1125"/>
    </row>
    <row r="20344" spans="9:10" x14ac:dyDescent="0.2">
      <c r="I20344" s="1125"/>
      <c r="J20344" s="1125"/>
    </row>
    <row r="20345" spans="9:10" x14ac:dyDescent="0.2">
      <c r="I20345" s="1125"/>
      <c r="J20345" s="1125"/>
    </row>
    <row r="20346" spans="9:10" x14ac:dyDescent="0.2">
      <c r="I20346" s="1125"/>
      <c r="J20346" s="1125"/>
    </row>
    <row r="20347" spans="9:10" x14ac:dyDescent="0.2">
      <c r="I20347" s="1125"/>
      <c r="J20347" s="1125"/>
    </row>
    <row r="20348" spans="9:10" x14ac:dyDescent="0.2">
      <c r="I20348" s="1125"/>
      <c r="J20348" s="1125"/>
    </row>
    <row r="20349" spans="9:10" x14ac:dyDescent="0.2">
      <c r="I20349" s="1125"/>
      <c r="J20349" s="1125"/>
    </row>
    <row r="20350" spans="9:10" x14ac:dyDescent="0.2">
      <c r="I20350" s="1125"/>
      <c r="J20350" s="1125"/>
    </row>
    <row r="20351" spans="9:10" x14ac:dyDescent="0.2">
      <c r="I20351" s="1125"/>
      <c r="J20351" s="1125"/>
    </row>
    <row r="20352" spans="9:10" x14ac:dyDescent="0.2">
      <c r="I20352" s="1125"/>
      <c r="J20352" s="1125"/>
    </row>
    <row r="20353" spans="9:10" x14ac:dyDescent="0.2">
      <c r="I20353" s="1125"/>
      <c r="J20353" s="1125"/>
    </row>
    <row r="20354" spans="9:10" x14ac:dyDescent="0.2">
      <c r="I20354" s="1125"/>
      <c r="J20354" s="1125"/>
    </row>
    <row r="20355" spans="9:10" x14ac:dyDescent="0.2">
      <c r="I20355" s="1125"/>
      <c r="J20355" s="1125"/>
    </row>
    <row r="20356" spans="9:10" x14ac:dyDescent="0.2">
      <c r="I20356" s="1125"/>
      <c r="J20356" s="1125"/>
    </row>
    <row r="20357" spans="9:10" x14ac:dyDescent="0.2">
      <c r="I20357" s="1125"/>
      <c r="J20357" s="1125"/>
    </row>
    <row r="20358" spans="9:10" x14ac:dyDescent="0.2">
      <c r="I20358" s="1125"/>
      <c r="J20358" s="1125"/>
    </row>
    <row r="20359" spans="9:10" x14ac:dyDescent="0.2">
      <c r="I20359" s="1125"/>
      <c r="J20359" s="1125"/>
    </row>
    <row r="20360" spans="9:10" x14ac:dyDescent="0.2">
      <c r="I20360" s="1125"/>
      <c r="J20360" s="1125"/>
    </row>
    <row r="20361" spans="9:10" x14ac:dyDescent="0.2">
      <c r="I20361" s="1125"/>
      <c r="J20361" s="1125"/>
    </row>
    <row r="20362" spans="9:10" x14ac:dyDescent="0.2">
      <c r="I20362" s="1125"/>
      <c r="J20362" s="1125"/>
    </row>
    <row r="20363" spans="9:10" x14ac:dyDescent="0.2">
      <c r="I20363" s="1125"/>
      <c r="J20363" s="1125"/>
    </row>
    <row r="20364" spans="9:10" x14ac:dyDescent="0.2">
      <c r="I20364" s="1125"/>
      <c r="J20364" s="1125"/>
    </row>
    <row r="20365" spans="9:10" x14ac:dyDescent="0.2">
      <c r="I20365" s="1125"/>
      <c r="J20365" s="1125"/>
    </row>
    <row r="20366" spans="9:10" x14ac:dyDescent="0.2">
      <c r="I20366" s="1125"/>
      <c r="J20366" s="1125"/>
    </row>
    <row r="20367" spans="9:10" x14ac:dyDescent="0.2">
      <c r="I20367" s="1125"/>
      <c r="J20367" s="1125"/>
    </row>
    <row r="20368" spans="9:10" x14ac:dyDescent="0.2">
      <c r="I20368" s="1125"/>
      <c r="J20368" s="1125"/>
    </row>
    <row r="20369" spans="9:10" x14ac:dyDescent="0.2">
      <c r="I20369" s="1125"/>
      <c r="J20369" s="1125"/>
    </row>
    <row r="20370" spans="9:10" x14ac:dyDescent="0.2">
      <c r="I20370" s="1125"/>
      <c r="J20370" s="1125"/>
    </row>
    <row r="20371" spans="9:10" x14ac:dyDescent="0.2">
      <c r="I20371" s="1125"/>
      <c r="J20371" s="1125"/>
    </row>
    <row r="20372" spans="9:10" x14ac:dyDescent="0.2">
      <c r="I20372" s="1125"/>
      <c r="J20372" s="1125"/>
    </row>
    <row r="20373" spans="9:10" x14ac:dyDescent="0.2">
      <c r="I20373" s="1125"/>
      <c r="J20373" s="1125"/>
    </row>
    <row r="20374" spans="9:10" x14ac:dyDescent="0.2">
      <c r="I20374" s="1125"/>
      <c r="J20374" s="1125"/>
    </row>
    <row r="20375" spans="9:10" x14ac:dyDescent="0.2">
      <c r="I20375" s="1125"/>
      <c r="J20375" s="1125"/>
    </row>
    <row r="20376" spans="9:10" x14ac:dyDescent="0.2">
      <c r="I20376" s="1125"/>
      <c r="J20376" s="1125"/>
    </row>
    <row r="20377" spans="9:10" x14ac:dyDescent="0.2">
      <c r="I20377" s="1125"/>
      <c r="J20377" s="1125"/>
    </row>
    <row r="20378" spans="9:10" x14ac:dyDescent="0.2">
      <c r="I20378" s="1125"/>
      <c r="J20378" s="1125"/>
    </row>
    <row r="20379" spans="9:10" x14ac:dyDescent="0.2">
      <c r="I20379" s="1125"/>
      <c r="J20379" s="1125"/>
    </row>
    <row r="20380" spans="9:10" x14ac:dyDescent="0.2">
      <c r="I20380" s="1125"/>
      <c r="J20380" s="1125"/>
    </row>
    <row r="20381" spans="9:10" x14ac:dyDescent="0.2">
      <c r="I20381" s="1125"/>
      <c r="J20381" s="1125"/>
    </row>
    <row r="20382" spans="9:10" x14ac:dyDescent="0.2">
      <c r="I20382" s="1125"/>
      <c r="J20382" s="1125"/>
    </row>
    <row r="20383" spans="9:10" x14ac:dyDescent="0.2">
      <c r="I20383" s="1125"/>
      <c r="J20383" s="1125"/>
    </row>
    <row r="20384" spans="9:10" x14ac:dyDescent="0.2">
      <c r="I20384" s="1125"/>
      <c r="J20384" s="1125"/>
    </row>
    <row r="20385" spans="9:10" x14ac:dyDescent="0.2">
      <c r="I20385" s="1125"/>
      <c r="J20385" s="1125"/>
    </row>
    <row r="20386" spans="9:10" x14ac:dyDescent="0.2">
      <c r="I20386" s="1125"/>
      <c r="J20386" s="1125"/>
    </row>
    <row r="20387" spans="9:10" x14ac:dyDescent="0.2">
      <c r="I20387" s="1125"/>
      <c r="J20387" s="1125"/>
    </row>
    <row r="20388" spans="9:10" x14ac:dyDescent="0.2">
      <c r="I20388" s="1125"/>
      <c r="J20388" s="1125"/>
    </row>
    <row r="20389" spans="9:10" x14ac:dyDescent="0.2">
      <c r="I20389" s="1125"/>
      <c r="J20389" s="1125"/>
    </row>
    <row r="20390" spans="9:10" x14ac:dyDescent="0.2">
      <c r="I20390" s="1125"/>
      <c r="J20390" s="1125"/>
    </row>
    <row r="20391" spans="9:10" x14ac:dyDescent="0.2">
      <c r="I20391" s="1125"/>
      <c r="J20391" s="1125"/>
    </row>
    <row r="20392" spans="9:10" x14ac:dyDescent="0.2">
      <c r="I20392" s="1125"/>
      <c r="J20392" s="1125"/>
    </row>
    <row r="20393" spans="9:10" x14ac:dyDescent="0.2">
      <c r="I20393" s="1125"/>
      <c r="J20393" s="1125"/>
    </row>
    <row r="20394" spans="9:10" x14ac:dyDescent="0.2">
      <c r="I20394" s="1125"/>
      <c r="J20394" s="1125"/>
    </row>
    <row r="20395" spans="9:10" x14ac:dyDescent="0.2">
      <c r="I20395" s="1125"/>
      <c r="J20395" s="1125"/>
    </row>
    <row r="20396" spans="9:10" x14ac:dyDescent="0.2">
      <c r="I20396" s="1125"/>
      <c r="J20396" s="1125"/>
    </row>
    <row r="20397" spans="9:10" x14ac:dyDescent="0.2">
      <c r="I20397" s="1125"/>
      <c r="J20397" s="1125"/>
    </row>
    <row r="20398" spans="9:10" x14ac:dyDescent="0.2">
      <c r="I20398" s="1125"/>
      <c r="J20398" s="1125"/>
    </row>
    <row r="20399" spans="9:10" x14ac:dyDescent="0.2">
      <c r="I20399" s="1125"/>
      <c r="J20399" s="1125"/>
    </row>
    <row r="20400" spans="9:10" x14ac:dyDescent="0.2">
      <c r="I20400" s="1125"/>
      <c r="J20400" s="1125"/>
    </row>
    <row r="20401" spans="9:10" x14ac:dyDescent="0.2">
      <c r="I20401" s="1125"/>
      <c r="J20401" s="1125"/>
    </row>
    <row r="20402" spans="9:10" x14ac:dyDescent="0.2">
      <c r="I20402" s="1125"/>
      <c r="J20402" s="1125"/>
    </row>
    <row r="20403" spans="9:10" x14ac:dyDescent="0.2">
      <c r="I20403" s="1125"/>
      <c r="J20403" s="1125"/>
    </row>
    <row r="20404" spans="9:10" x14ac:dyDescent="0.2">
      <c r="I20404" s="1125"/>
      <c r="J20404" s="1125"/>
    </row>
    <row r="20405" spans="9:10" x14ac:dyDescent="0.2">
      <c r="I20405" s="1125"/>
      <c r="J20405" s="1125"/>
    </row>
    <row r="20406" spans="9:10" x14ac:dyDescent="0.2">
      <c r="I20406" s="1125"/>
      <c r="J20406" s="1125"/>
    </row>
    <row r="20407" spans="9:10" x14ac:dyDescent="0.2">
      <c r="I20407" s="1125"/>
      <c r="J20407" s="1125"/>
    </row>
    <row r="20408" spans="9:10" x14ac:dyDescent="0.2">
      <c r="I20408" s="1125"/>
      <c r="J20408" s="1125"/>
    </row>
    <row r="20409" spans="9:10" x14ac:dyDescent="0.2">
      <c r="I20409" s="1125"/>
      <c r="J20409" s="1125"/>
    </row>
    <row r="20410" spans="9:10" x14ac:dyDescent="0.2">
      <c r="I20410" s="1125"/>
      <c r="J20410" s="1125"/>
    </row>
    <row r="20411" spans="9:10" x14ac:dyDescent="0.2">
      <c r="I20411" s="1125"/>
      <c r="J20411" s="1125"/>
    </row>
    <row r="20412" spans="9:10" x14ac:dyDescent="0.2">
      <c r="I20412" s="1125"/>
      <c r="J20412" s="1125"/>
    </row>
    <row r="20413" spans="9:10" x14ac:dyDescent="0.2">
      <c r="I20413" s="1125"/>
      <c r="J20413" s="1125"/>
    </row>
    <row r="20414" spans="9:10" x14ac:dyDescent="0.2">
      <c r="I20414" s="1125"/>
      <c r="J20414" s="1125"/>
    </row>
    <row r="20415" spans="9:10" x14ac:dyDescent="0.2">
      <c r="I20415" s="1125"/>
      <c r="J20415" s="1125"/>
    </row>
    <row r="20416" spans="9:10" x14ac:dyDescent="0.2">
      <c r="I20416" s="1125"/>
      <c r="J20416" s="1125"/>
    </row>
    <row r="20417" spans="9:10" x14ac:dyDescent="0.2">
      <c r="I20417" s="1125"/>
      <c r="J20417" s="1125"/>
    </row>
    <row r="20418" spans="9:10" x14ac:dyDescent="0.2">
      <c r="I20418" s="1125"/>
      <c r="J20418" s="1125"/>
    </row>
    <row r="20419" spans="9:10" x14ac:dyDescent="0.2">
      <c r="I20419" s="1125"/>
      <c r="J20419" s="1125"/>
    </row>
    <row r="20420" spans="9:10" x14ac:dyDescent="0.2">
      <c r="I20420" s="1125"/>
      <c r="J20420" s="1125"/>
    </row>
    <row r="20421" spans="9:10" x14ac:dyDescent="0.2">
      <c r="I20421" s="1125"/>
      <c r="J20421" s="1125"/>
    </row>
    <row r="20422" spans="9:10" x14ac:dyDescent="0.2">
      <c r="I20422" s="1125"/>
      <c r="J20422" s="1125"/>
    </row>
    <row r="20423" spans="9:10" x14ac:dyDescent="0.2">
      <c r="I20423" s="1125"/>
      <c r="J20423" s="1125"/>
    </row>
    <row r="20424" spans="9:10" x14ac:dyDescent="0.2">
      <c r="I20424" s="1125"/>
      <c r="J20424" s="1125"/>
    </row>
    <row r="20425" spans="9:10" x14ac:dyDescent="0.2">
      <c r="I20425" s="1125"/>
      <c r="J20425" s="1125"/>
    </row>
    <row r="20426" spans="9:10" x14ac:dyDescent="0.2">
      <c r="I20426" s="1125"/>
      <c r="J20426" s="1125"/>
    </row>
    <row r="20427" spans="9:10" x14ac:dyDescent="0.2">
      <c r="I20427" s="1125"/>
      <c r="J20427" s="1125"/>
    </row>
    <row r="20428" spans="9:10" x14ac:dyDescent="0.2">
      <c r="I20428" s="1125"/>
      <c r="J20428" s="1125"/>
    </row>
    <row r="20429" spans="9:10" x14ac:dyDescent="0.2">
      <c r="I20429" s="1125"/>
      <c r="J20429" s="1125"/>
    </row>
    <row r="20430" spans="9:10" x14ac:dyDescent="0.2">
      <c r="I20430" s="1125"/>
      <c r="J20430" s="1125"/>
    </row>
    <row r="20431" spans="9:10" x14ac:dyDescent="0.2">
      <c r="I20431" s="1125"/>
      <c r="J20431" s="1125"/>
    </row>
    <row r="20432" spans="9:10" x14ac:dyDescent="0.2">
      <c r="I20432" s="1125"/>
      <c r="J20432" s="1125"/>
    </row>
    <row r="20433" spans="9:10" x14ac:dyDescent="0.2">
      <c r="I20433" s="1125"/>
      <c r="J20433" s="1125"/>
    </row>
    <row r="20434" spans="9:10" x14ac:dyDescent="0.2">
      <c r="I20434" s="1125"/>
      <c r="J20434" s="1125"/>
    </row>
    <row r="20435" spans="9:10" x14ac:dyDescent="0.2">
      <c r="I20435" s="1125"/>
      <c r="J20435" s="1125"/>
    </row>
    <row r="20436" spans="9:10" x14ac:dyDescent="0.2">
      <c r="I20436" s="1125"/>
      <c r="J20436" s="1125"/>
    </row>
    <row r="20437" spans="9:10" x14ac:dyDescent="0.2">
      <c r="I20437" s="1125"/>
      <c r="J20437" s="1125"/>
    </row>
    <row r="20438" spans="9:10" x14ac:dyDescent="0.2">
      <c r="I20438" s="1125"/>
      <c r="J20438" s="1125"/>
    </row>
    <row r="20439" spans="9:10" x14ac:dyDescent="0.2">
      <c r="I20439" s="1125"/>
      <c r="J20439" s="1125"/>
    </row>
    <row r="20440" spans="9:10" x14ac:dyDescent="0.2">
      <c r="I20440" s="1125"/>
      <c r="J20440" s="1125"/>
    </row>
    <row r="20441" spans="9:10" x14ac:dyDescent="0.2">
      <c r="I20441" s="1125"/>
      <c r="J20441" s="1125"/>
    </row>
    <row r="20442" spans="9:10" x14ac:dyDescent="0.2">
      <c r="I20442" s="1125"/>
      <c r="J20442" s="1125"/>
    </row>
    <row r="20443" spans="9:10" x14ac:dyDescent="0.2">
      <c r="I20443" s="1125"/>
      <c r="J20443" s="1125"/>
    </row>
    <row r="20444" spans="9:10" x14ac:dyDescent="0.2">
      <c r="I20444" s="1125"/>
      <c r="J20444" s="1125"/>
    </row>
    <row r="20445" spans="9:10" x14ac:dyDescent="0.2">
      <c r="I20445" s="1125"/>
      <c r="J20445" s="1125"/>
    </row>
    <row r="20446" spans="9:10" x14ac:dyDescent="0.2">
      <c r="I20446" s="1125"/>
      <c r="J20446" s="1125"/>
    </row>
    <row r="20447" spans="9:10" x14ac:dyDescent="0.2">
      <c r="I20447" s="1125"/>
      <c r="J20447" s="1125"/>
    </row>
    <row r="20448" spans="9:10" x14ac:dyDescent="0.2">
      <c r="I20448" s="1125"/>
      <c r="J20448" s="1125"/>
    </row>
    <row r="20449" spans="9:10" x14ac:dyDescent="0.2">
      <c r="I20449" s="1125"/>
      <c r="J20449" s="1125"/>
    </row>
    <row r="20450" spans="9:10" x14ac:dyDescent="0.2">
      <c r="I20450" s="1125"/>
      <c r="J20450" s="1125"/>
    </row>
    <row r="20451" spans="9:10" x14ac:dyDescent="0.2">
      <c r="I20451" s="1125"/>
      <c r="J20451" s="1125"/>
    </row>
    <row r="20452" spans="9:10" x14ac:dyDescent="0.2">
      <c r="I20452" s="1125"/>
      <c r="J20452" s="1125"/>
    </row>
    <row r="20453" spans="9:10" x14ac:dyDescent="0.2">
      <c r="I20453" s="1125"/>
      <c r="J20453" s="1125"/>
    </row>
    <row r="20454" spans="9:10" x14ac:dyDescent="0.2">
      <c r="I20454" s="1125"/>
      <c r="J20454" s="1125"/>
    </row>
    <row r="20455" spans="9:10" x14ac:dyDescent="0.2">
      <c r="I20455" s="1125"/>
      <c r="J20455" s="1125"/>
    </row>
    <row r="20456" spans="9:10" x14ac:dyDescent="0.2">
      <c r="I20456" s="1125"/>
      <c r="J20456" s="1125"/>
    </row>
    <row r="20457" spans="9:10" x14ac:dyDescent="0.2">
      <c r="I20457" s="1125"/>
      <c r="J20457" s="1125"/>
    </row>
    <row r="20458" spans="9:10" x14ac:dyDescent="0.2">
      <c r="I20458" s="1125"/>
      <c r="J20458" s="1125"/>
    </row>
    <row r="20459" spans="9:10" x14ac:dyDescent="0.2">
      <c r="I20459" s="1125"/>
      <c r="J20459" s="1125"/>
    </row>
    <row r="20460" spans="9:10" x14ac:dyDescent="0.2">
      <c r="I20460" s="1125"/>
      <c r="J20460" s="1125"/>
    </row>
    <row r="20461" spans="9:10" x14ac:dyDescent="0.2">
      <c r="I20461" s="1125"/>
      <c r="J20461" s="1125"/>
    </row>
    <row r="20462" spans="9:10" x14ac:dyDescent="0.2">
      <c r="I20462" s="1125"/>
      <c r="J20462" s="1125"/>
    </row>
    <row r="20463" spans="9:10" x14ac:dyDescent="0.2">
      <c r="I20463" s="1125"/>
      <c r="J20463" s="1125"/>
    </row>
    <row r="20464" spans="9:10" x14ac:dyDescent="0.2">
      <c r="I20464" s="1125"/>
      <c r="J20464" s="1125"/>
    </row>
    <row r="20465" spans="9:10" x14ac:dyDescent="0.2">
      <c r="I20465" s="1125"/>
      <c r="J20465" s="1125"/>
    </row>
    <row r="20466" spans="9:10" x14ac:dyDescent="0.2">
      <c r="I20466" s="1125"/>
      <c r="J20466" s="1125"/>
    </row>
    <row r="20467" spans="9:10" x14ac:dyDescent="0.2">
      <c r="I20467" s="1125"/>
      <c r="J20467" s="1125"/>
    </row>
    <row r="20468" spans="9:10" x14ac:dyDescent="0.2">
      <c r="I20468" s="1125"/>
      <c r="J20468" s="1125"/>
    </row>
    <row r="20469" spans="9:10" x14ac:dyDescent="0.2">
      <c r="I20469" s="1125"/>
      <c r="J20469" s="1125"/>
    </row>
    <row r="20470" spans="9:10" x14ac:dyDescent="0.2">
      <c r="I20470" s="1125"/>
      <c r="J20470" s="1125"/>
    </row>
    <row r="20471" spans="9:10" x14ac:dyDescent="0.2">
      <c r="I20471" s="1125"/>
      <c r="J20471" s="1125"/>
    </row>
    <row r="20472" spans="9:10" x14ac:dyDescent="0.2">
      <c r="I20472" s="1125"/>
      <c r="J20472" s="1125"/>
    </row>
    <row r="20473" spans="9:10" x14ac:dyDescent="0.2">
      <c r="I20473" s="1125"/>
      <c r="J20473" s="1125"/>
    </row>
    <row r="20474" spans="9:10" x14ac:dyDescent="0.2">
      <c r="I20474" s="1125"/>
      <c r="J20474" s="1125"/>
    </row>
    <row r="20475" spans="9:10" x14ac:dyDescent="0.2">
      <c r="I20475" s="1125"/>
      <c r="J20475" s="1125"/>
    </row>
    <row r="20476" spans="9:10" x14ac:dyDescent="0.2">
      <c r="I20476" s="1125"/>
      <c r="J20476" s="1125"/>
    </row>
    <row r="20477" spans="9:10" x14ac:dyDescent="0.2">
      <c r="I20477" s="1125"/>
      <c r="J20477" s="1125"/>
    </row>
    <row r="20478" spans="9:10" x14ac:dyDescent="0.2">
      <c r="I20478" s="1125"/>
      <c r="J20478" s="1125"/>
    </row>
    <row r="20479" spans="9:10" x14ac:dyDescent="0.2">
      <c r="I20479" s="1125"/>
      <c r="J20479" s="1125"/>
    </row>
    <row r="20480" spans="9:10" x14ac:dyDescent="0.2">
      <c r="I20480" s="1125"/>
      <c r="J20480" s="1125"/>
    </row>
    <row r="20481" spans="9:10" x14ac:dyDescent="0.2">
      <c r="I20481" s="1125"/>
      <c r="J20481" s="1125"/>
    </row>
    <row r="20482" spans="9:10" x14ac:dyDescent="0.2">
      <c r="I20482" s="1125"/>
      <c r="J20482" s="1125"/>
    </row>
    <row r="20483" spans="9:10" x14ac:dyDescent="0.2">
      <c r="I20483" s="1125"/>
      <c r="J20483" s="1125"/>
    </row>
    <row r="20484" spans="9:10" x14ac:dyDescent="0.2">
      <c r="I20484" s="1125"/>
      <c r="J20484" s="1125"/>
    </row>
    <row r="20485" spans="9:10" x14ac:dyDescent="0.2">
      <c r="I20485" s="1125"/>
      <c r="J20485" s="1125"/>
    </row>
    <row r="20486" spans="9:10" x14ac:dyDescent="0.2">
      <c r="I20486" s="1125"/>
      <c r="J20486" s="1125"/>
    </row>
    <row r="20487" spans="9:10" x14ac:dyDescent="0.2">
      <c r="I20487" s="1125"/>
      <c r="J20487" s="1125"/>
    </row>
    <row r="20488" spans="9:10" x14ac:dyDescent="0.2">
      <c r="I20488" s="1125"/>
      <c r="J20488" s="1125"/>
    </row>
    <row r="20489" spans="9:10" x14ac:dyDescent="0.2">
      <c r="I20489" s="1125"/>
      <c r="J20489" s="1125"/>
    </row>
    <row r="20490" spans="9:10" x14ac:dyDescent="0.2">
      <c r="I20490" s="1125"/>
      <c r="J20490" s="1125"/>
    </row>
    <row r="20491" spans="9:10" x14ac:dyDescent="0.2">
      <c r="I20491" s="1125"/>
      <c r="J20491" s="1125"/>
    </row>
    <row r="20492" spans="9:10" x14ac:dyDescent="0.2">
      <c r="I20492" s="1125"/>
      <c r="J20492" s="1125"/>
    </row>
    <row r="20493" spans="9:10" x14ac:dyDescent="0.2">
      <c r="I20493" s="1125"/>
      <c r="J20493" s="1125"/>
    </row>
    <row r="20494" spans="9:10" x14ac:dyDescent="0.2">
      <c r="I20494" s="1125"/>
      <c r="J20494" s="1125"/>
    </row>
    <row r="20495" spans="9:10" x14ac:dyDescent="0.2">
      <c r="I20495" s="1125"/>
      <c r="J20495" s="1125"/>
    </row>
    <row r="20496" spans="9:10" x14ac:dyDescent="0.2">
      <c r="I20496" s="1125"/>
      <c r="J20496" s="1125"/>
    </row>
    <row r="20497" spans="9:10" x14ac:dyDescent="0.2">
      <c r="I20497" s="1125"/>
      <c r="J20497" s="1125"/>
    </row>
    <row r="20498" spans="9:10" x14ac:dyDescent="0.2">
      <c r="I20498" s="1125"/>
      <c r="J20498" s="1125"/>
    </row>
    <row r="20499" spans="9:10" x14ac:dyDescent="0.2">
      <c r="I20499" s="1125"/>
      <c r="J20499" s="1125"/>
    </row>
    <row r="20500" spans="9:10" x14ac:dyDescent="0.2">
      <c r="I20500" s="1125"/>
      <c r="J20500" s="1125"/>
    </row>
    <row r="20501" spans="9:10" x14ac:dyDescent="0.2">
      <c r="I20501" s="1125"/>
      <c r="J20501" s="1125"/>
    </row>
    <row r="20502" spans="9:10" x14ac:dyDescent="0.2">
      <c r="I20502" s="1125"/>
      <c r="J20502" s="1125"/>
    </row>
    <row r="20503" spans="9:10" x14ac:dyDescent="0.2">
      <c r="I20503" s="1125"/>
      <c r="J20503" s="1125"/>
    </row>
    <row r="20504" spans="9:10" x14ac:dyDescent="0.2">
      <c r="I20504" s="1125"/>
      <c r="J20504" s="1125"/>
    </row>
    <row r="20505" spans="9:10" x14ac:dyDescent="0.2">
      <c r="I20505" s="1125"/>
      <c r="J20505" s="1125"/>
    </row>
    <row r="20506" spans="9:10" x14ac:dyDescent="0.2">
      <c r="I20506" s="1125"/>
      <c r="J20506" s="1125"/>
    </row>
    <row r="20507" spans="9:10" x14ac:dyDescent="0.2">
      <c r="I20507" s="1125"/>
      <c r="J20507" s="1125"/>
    </row>
    <row r="20508" spans="9:10" x14ac:dyDescent="0.2">
      <c r="I20508" s="1125"/>
      <c r="J20508" s="1125"/>
    </row>
    <row r="20509" spans="9:10" x14ac:dyDescent="0.2">
      <c r="I20509" s="1125"/>
      <c r="J20509" s="1125"/>
    </row>
    <row r="20510" spans="9:10" x14ac:dyDescent="0.2">
      <c r="I20510" s="1125"/>
      <c r="J20510" s="1125"/>
    </row>
    <row r="20511" spans="9:10" x14ac:dyDescent="0.2">
      <c r="I20511" s="1125"/>
      <c r="J20511" s="1125"/>
    </row>
    <row r="20512" spans="9:10" x14ac:dyDescent="0.2">
      <c r="I20512" s="1125"/>
      <c r="J20512" s="1125"/>
    </row>
    <row r="20513" spans="9:10" x14ac:dyDescent="0.2">
      <c r="I20513" s="1125"/>
      <c r="J20513" s="1125"/>
    </row>
    <row r="20514" spans="9:10" x14ac:dyDescent="0.2">
      <c r="I20514" s="1125"/>
      <c r="J20514" s="1125"/>
    </row>
    <row r="20515" spans="9:10" x14ac:dyDescent="0.2">
      <c r="I20515" s="1125"/>
      <c r="J20515" s="1125"/>
    </row>
    <row r="20516" spans="9:10" x14ac:dyDescent="0.2">
      <c r="I20516" s="1125"/>
      <c r="J20516" s="1125"/>
    </row>
    <row r="20517" spans="9:10" x14ac:dyDescent="0.2">
      <c r="I20517" s="1125"/>
      <c r="J20517" s="1125"/>
    </row>
    <row r="20518" spans="9:10" x14ac:dyDescent="0.2">
      <c r="I20518" s="1125"/>
      <c r="J20518" s="1125"/>
    </row>
    <row r="20519" spans="9:10" x14ac:dyDescent="0.2">
      <c r="I20519" s="1125"/>
      <c r="J20519" s="1125"/>
    </row>
    <row r="20520" spans="9:10" x14ac:dyDescent="0.2">
      <c r="I20520" s="1125"/>
      <c r="J20520" s="1125"/>
    </row>
    <row r="20521" spans="9:10" x14ac:dyDescent="0.2">
      <c r="I20521" s="1125"/>
      <c r="J20521" s="1125"/>
    </row>
    <row r="20522" spans="9:10" x14ac:dyDescent="0.2">
      <c r="I20522" s="1125"/>
      <c r="J20522" s="1125"/>
    </row>
    <row r="20523" spans="9:10" x14ac:dyDescent="0.2">
      <c r="I20523" s="1125"/>
      <c r="J20523" s="1125"/>
    </row>
    <row r="20524" spans="9:10" x14ac:dyDescent="0.2">
      <c r="I20524" s="1125"/>
      <c r="J20524" s="1125"/>
    </row>
    <row r="20525" spans="9:10" x14ac:dyDescent="0.2">
      <c r="I20525" s="1125"/>
      <c r="J20525" s="1125"/>
    </row>
    <row r="20526" spans="9:10" x14ac:dyDescent="0.2">
      <c r="I20526" s="1125"/>
      <c r="J20526" s="1125"/>
    </row>
    <row r="20527" spans="9:10" x14ac:dyDescent="0.2">
      <c r="I20527" s="1125"/>
      <c r="J20527" s="1125"/>
    </row>
    <row r="20528" spans="9:10" x14ac:dyDescent="0.2">
      <c r="I20528" s="1125"/>
      <c r="J20528" s="1125"/>
    </row>
    <row r="20529" spans="9:10" x14ac:dyDescent="0.2">
      <c r="I20529" s="1125"/>
      <c r="J20529" s="1125"/>
    </row>
    <row r="20530" spans="9:10" x14ac:dyDescent="0.2">
      <c r="I20530" s="1125"/>
      <c r="J20530" s="1125"/>
    </row>
    <row r="20531" spans="9:10" x14ac:dyDescent="0.2">
      <c r="I20531" s="1125"/>
      <c r="J20531" s="1125"/>
    </row>
    <row r="20532" spans="9:10" x14ac:dyDescent="0.2">
      <c r="I20532" s="1125"/>
      <c r="J20532" s="1125"/>
    </row>
    <row r="20533" spans="9:10" x14ac:dyDescent="0.2">
      <c r="I20533" s="1125"/>
      <c r="J20533" s="1125"/>
    </row>
    <row r="20534" spans="9:10" x14ac:dyDescent="0.2">
      <c r="I20534" s="1125"/>
      <c r="J20534" s="1125"/>
    </row>
    <row r="20535" spans="9:10" x14ac:dyDescent="0.2">
      <c r="I20535" s="1125"/>
      <c r="J20535" s="1125"/>
    </row>
    <row r="20536" spans="9:10" x14ac:dyDescent="0.2">
      <c r="I20536" s="1125"/>
      <c r="J20536" s="1125"/>
    </row>
    <row r="20537" spans="9:10" x14ac:dyDescent="0.2">
      <c r="I20537" s="1125"/>
      <c r="J20537" s="1125"/>
    </row>
    <row r="20538" spans="9:10" x14ac:dyDescent="0.2">
      <c r="I20538" s="1125"/>
      <c r="J20538" s="1125"/>
    </row>
    <row r="20539" spans="9:10" x14ac:dyDescent="0.2">
      <c r="I20539" s="1125"/>
      <c r="J20539" s="1125"/>
    </row>
    <row r="20540" spans="9:10" x14ac:dyDescent="0.2">
      <c r="I20540" s="1125"/>
      <c r="J20540" s="1125"/>
    </row>
    <row r="20541" spans="9:10" x14ac:dyDescent="0.2">
      <c r="I20541" s="1125"/>
      <c r="J20541" s="1125"/>
    </row>
    <row r="20542" spans="9:10" x14ac:dyDescent="0.2">
      <c r="I20542" s="1125"/>
      <c r="J20542" s="1125"/>
    </row>
    <row r="20543" spans="9:10" x14ac:dyDescent="0.2">
      <c r="I20543" s="1125"/>
      <c r="J20543" s="1125"/>
    </row>
    <row r="20544" spans="9:10" x14ac:dyDescent="0.2">
      <c r="I20544" s="1125"/>
      <c r="J20544" s="1125"/>
    </row>
    <row r="20545" spans="9:10" x14ac:dyDescent="0.2">
      <c r="I20545" s="1125"/>
      <c r="J20545" s="1125"/>
    </row>
    <row r="20546" spans="9:10" x14ac:dyDescent="0.2">
      <c r="I20546" s="1125"/>
      <c r="J20546" s="1125"/>
    </row>
    <row r="20547" spans="9:10" x14ac:dyDescent="0.2">
      <c r="I20547" s="1125"/>
      <c r="J20547" s="1125"/>
    </row>
    <row r="20548" spans="9:10" x14ac:dyDescent="0.2">
      <c r="I20548" s="1125"/>
      <c r="J20548" s="1125"/>
    </row>
    <row r="20549" spans="9:10" x14ac:dyDescent="0.2">
      <c r="I20549" s="1125"/>
      <c r="J20549" s="1125"/>
    </row>
    <row r="20550" spans="9:10" x14ac:dyDescent="0.2">
      <c r="I20550" s="1125"/>
      <c r="J20550" s="1125"/>
    </row>
    <row r="20551" spans="9:10" x14ac:dyDescent="0.2">
      <c r="I20551" s="1125"/>
      <c r="J20551" s="1125"/>
    </row>
    <row r="20552" spans="9:10" x14ac:dyDescent="0.2">
      <c r="I20552" s="1125"/>
      <c r="J20552" s="1125"/>
    </row>
    <row r="20553" spans="9:10" x14ac:dyDescent="0.2">
      <c r="I20553" s="1125"/>
      <c r="J20553" s="1125"/>
    </row>
    <row r="20554" spans="9:10" x14ac:dyDescent="0.2">
      <c r="I20554" s="1125"/>
      <c r="J20554" s="1125"/>
    </row>
    <row r="20555" spans="9:10" x14ac:dyDescent="0.2">
      <c r="I20555" s="1125"/>
      <c r="J20555" s="1125"/>
    </row>
    <row r="20556" spans="9:10" x14ac:dyDescent="0.2">
      <c r="I20556" s="1125"/>
      <c r="J20556" s="1125"/>
    </row>
    <row r="20557" spans="9:10" x14ac:dyDescent="0.2">
      <c r="I20557" s="1125"/>
      <c r="J20557" s="1125"/>
    </row>
    <row r="20558" spans="9:10" x14ac:dyDescent="0.2">
      <c r="I20558" s="1125"/>
      <c r="J20558" s="1125"/>
    </row>
    <row r="20559" spans="9:10" x14ac:dyDescent="0.2">
      <c r="I20559" s="1125"/>
      <c r="J20559" s="1125"/>
    </row>
    <row r="20560" spans="9:10" x14ac:dyDescent="0.2">
      <c r="I20560" s="1125"/>
      <c r="J20560" s="1125"/>
    </row>
    <row r="20561" spans="9:10" x14ac:dyDescent="0.2">
      <c r="I20561" s="1125"/>
      <c r="J20561" s="1125"/>
    </row>
    <row r="20562" spans="9:10" x14ac:dyDescent="0.2">
      <c r="I20562" s="1125"/>
      <c r="J20562" s="1125"/>
    </row>
    <row r="20563" spans="9:10" x14ac:dyDescent="0.2">
      <c r="I20563" s="1125"/>
      <c r="J20563" s="1125"/>
    </row>
    <row r="20564" spans="9:10" x14ac:dyDescent="0.2">
      <c r="I20564" s="1125"/>
      <c r="J20564" s="1125"/>
    </row>
    <row r="20565" spans="9:10" x14ac:dyDescent="0.2">
      <c r="I20565" s="1125"/>
      <c r="J20565" s="1125"/>
    </row>
    <row r="20566" spans="9:10" x14ac:dyDescent="0.2">
      <c r="I20566" s="1125"/>
      <c r="J20566" s="1125"/>
    </row>
    <row r="20567" spans="9:10" x14ac:dyDescent="0.2">
      <c r="I20567" s="1125"/>
      <c r="J20567" s="1125"/>
    </row>
    <row r="20568" spans="9:10" x14ac:dyDescent="0.2">
      <c r="I20568" s="1125"/>
      <c r="J20568" s="1125"/>
    </row>
    <row r="20569" spans="9:10" x14ac:dyDescent="0.2">
      <c r="I20569" s="1125"/>
      <c r="J20569" s="1125"/>
    </row>
    <row r="20570" spans="9:10" x14ac:dyDescent="0.2">
      <c r="I20570" s="1125"/>
      <c r="J20570" s="1125"/>
    </row>
    <row r="20571" spans="9:10" x14ac:dyDescent="0.2">
      <c r="I20571" s="1125"/>
      <c r="J20571" s="1125"/>
    </row>
    <row r="20572" spans="9:10" x14ac:dyDescent="0.2">
      <c r="I20572" s="1125"/>
      <c r="J20572" s="1125"/>
    </row>
    <row r="20573" spans="9:10" x14ac:dyDescent="0.2">
      <c r="I20573" s="1125"/>
      <c r="J20573" s="1125"/>
    </row>
    <row r="20574" spans="9:10" x14ac:dyDescent="0.2">
      <c r="I20574" s="1125"/>
      <c r="J20574" s="1125"/>
    </row>
    <row r="20575" spans="9:10" x14ac:dyDescent="0.2">
      <c r="I20575" s="1125"/>
      <c r="J20575" s="1125"/>
    </row>
    <row r="20576" spans="9:10" x14ac:dyDescent="0.2">
      <c r="I20576" s="1125"/>
      <c r="J20576" s="1125"/>
    </row>
    <row r="20577" spans="9:10" x14ac:dyDescent="0.2">
      <c r="I20577" s="1125"/>
      <c r="J20577" s="1125"/>
    </row>
    <row r="20578" spans="9:10" x14ac:dyDescent="0.2">
      <c r="I20578" s="1125"/>
      <c r="J20578" s="1125"/>
    </row>
    <row r="20579" spans="9:10" x14ac:dyDescent="0.2">
      <c r="I20579" s="1125"/>
      <c r="J20579" s="1125"/>
    </row>
    <row r="20580" spans="9:10" x14ac:dyDescent="0.2">
      <c r="I20580" s="1125"/>
      <c r="J20580" s="1125"/>
    </row>
    <row r="20581" spans="9:10" x14ac:dyDescent="0.2">
      <c r="I20581" s="1125"/>
      <c r="J20581" s="1125"/>
    </row>
    <row r="20582" spans="9:10" x14ac:dyDescent="0.2">
      <c r="I20582" s="1125"/>
      <c r="J20582" s="1125"/>
    </row>
    <row r="20583" spans="9:10" x14ac:dyDescent="0.2">
      <c r="I20583" s="1125"/>
      <c r="J20583" s="1125"/>
    </row>
    <row r="20584" spans="9:10" x14ac:dyDescent="0.2">
      <c r="I20584" s="1125"/>
      <c r="J20584" s="1125"/>
    </row>
    <row r="20585" spans="9:10" x14ac:dyDescent="0.2">
      <c r="I20585" s="1125"/>
      <c r="J20585" s="1125"/>
    </row>
    <row r="20586" spans="9:10" x14ac:dyDescent="0.2">
      <c r="I20586" s="1125"/>
      <c r="J20586" s="1125"/>
    </row>
    <row r="20587" spans="9:10" x14ac:dyDescent="0.2">
      <c r="I20587" s="1125"/>
      <c r="J20587" s="1125"/>
    </row>
    <row r="20588" spans="9:10" x14ac:dyDescent="0.2">
      <c r="I20588" s="1125"/>
      <c r="J20588" s="1125"/>
    </row>
    <row r="20589" spans="9:10" x14ac:dyDescent="0.2">
      <c r="I20589" s="1125"/>
      <c r="J20589" s="1125"/>
    </row>
    <row r="20590" spans="9:10" x14ac:dyDescent="0.2">
      <c r="I20590" s="1125"/>
      <c r="J20590" s="1125"/>
    </row>
    <row r="20591" spans="9:10" x14ac:dyDescent="0.2">
      <c r="I20591" s="1125"/>
      <c r="J20591" s="1125"/>
    </row>
    <row r="20592" spans="9:10" x14ac:dyDescent="0.2">
      <c r="I20592" s="1125"/>
      <c r="J20592" s="1125"/>
    </row>
    <row r="20593" spans="9:10" x14ac:dyDescent="0.2">
      <c r="I20593" s="1125"/>
      <c r="J20593" s="1125"/>
    </row>
    <row r="20594" spans="9:10" x14ac:dyDescent="0.2">
      <c r="I20594" s="1125"/>
      <c r="J20594" s="1125"/>
    </row>
    <row r="20595" spans="9:10" x14ac:dyDescent="0.2">
      <c r="I20595" s="1125"/>
      <c r="J20595" s="1125"/>
    </row>
    <row r="20596" spans="9:10" x14ac:dyDescent="0.2">
      <c r="I20596" s="1125"/>
      <c r="J20596" s="1125"/>
    </row>
    <row r="20597" spans="9:10" x14ac:dyDescent="0.2">
      <c r="I20597" s="1125"/>
      <c r="J20597" s="1125"/>
    </row>
    <row r="20598" spans="9:10" x14ac:dyDescent="0.2">
      <c r="I20598" s="1125"/>
      <c r="J20598" s="1125"/>
    </row>
    <row r="20599" spans="9:10" x14ac:dyDescent="0.2">
      <c r="I20599" s="1125"/>
      <c r="J20599" s="1125"/>
    </row>
    <row r="20600" spans="9:10" x14ac:dyDescent="0.2">
      <c r="I20600" s="1125"/>
      <c r="J20600" s="1125"/>
    </row>
    <row r="20601" spans="9:10" x14ac:dyDescent="0.2">
      <c r="I20601" s="1125"/>
      <c r="J20601" s="1125"/>
    </row>
    <row r="20602" spans="9:10" x14ac:dyDescent="0.2">
      <c r="I20602" s="1125"/>
      <c r="J20602" s="1125"/>
    </row>
    <row r="20603" spans="9:10" x14ac:dyDescent="0.2">
      <c r="I20603" s="1125"/>
      <c r="J20603" s="1125"/>
    </row>
    <row r="20604" spans="9:10" x14ac:dyDescent="0.2">
      <c r="I20604" s="1125"/>
      <c r="J20604" s="1125"/>
    </row>
    <row r="20605" spans="9:10" x14ac:dyDescent="0.2">
      <c r="I20605" s="1125"/>
      <c r="J20605" s="1125"/>
    </row>
    <row r="20606" spans="9:10" x14ac:dyDescent="0.2">
      <c r="I20606" s="1125"/>
      <c r="J20606" s="1125"/>
    </row>
    <row r="20607" spans="9:10" x14ac:dyDescent="0.2">
      <c r="I20607" s="1125"/>
      <c r="J20607" s="1125"/>
    </row>
    <row r="20608" spans="9:10" x14ac:dyDescent="0.2">
      <c r="I20608" s="1125"/>
      <c r="J20608" s="1125"/>
    </row>
    <row r="20609" spans="9:10" x14ac:dyDescent="0.2">
      <c r="I20609" s="1125"/>
      <c r="J20609" s="1125"/>
    </row>
    <row r="20610" spans="9:10" x14ac:dyDescent="0.2">
      <c r="I20610" s="1125"/>
      <c r="J20610" s="1125"/>
    </row>
    <row r="20611" spans="9:10" x14ac:dyDescent="0.2">
      <c r="I20611" s="1125"/>
      <c r="J20611" s="1125"/>
    </row>
    <row r="20612" spans="9:10" x14ac:dyDescent="0.2">
      <c r="I20612" s="1125"/>
      <c r="J20612" s="1125"/>
    </row>
    <row r="20613" spans="9:10" x14ac:dyDescent="0.2">
      <c r="I20613" s="1125"/>
      <c r="J20613" s="1125"/>
    </row>
    <row r="20614" spans="9:10" x14ac:dyDescent="0.2">
      <c r="I20614" s="1125"/>
      <c r="J20614" s="1125"/>
    </row>
    <row r="20615" spans="9:10" x14ac:dyDescent="0.2">
      <c r="I20615" s="1125"/>
      <c r="J20615" s="1125"/>
    </row>
    <row r="20616" spans="9:10" x14ac:dyDescent="0.2">
      <c r="I20616" s="1125"/>
      <c r="J20616" s="1125"/>
    </row>
    <row r="20617" spans="9:10" x14ac:dyDescent="0.2">
      <c r="I20617" s="1125"/>
      <c r="J20617" s="1125"/>
    </row>
    <row r="20618" spans="9:10" x14ac:dyDescent="0.2">
      <c r="I20618" s="1125"/>
      <c r="J20618" s="1125"/>
    </row>
    <row r="20619" spans="9:10" x14ac:dyDescent="0.2">
      <c r="I20619" s="1125"/>
      <c r="J20619" s="1125"/>
    </row>
    <row r="20620" spans="9:10" x14ac:dyDescent="0.2">
      <c r="I20620" s="1125"/>
      <c r="J20620" s="1125"/>
    </row>
    <row r="20621" spans="9:10" x14ac:dyDescent="0.2">
      <c r="I20621" s="1125"/>
      <c r="J20621" s="1125"/>
    </row>
    <row r="20622" spans="9:10" x14ac:dyDescent="0.2">
      <c r="I20622" s="1125"/>
      <c r="J20622" s="1125"/>
    </row>
    <row r="20623" spans="9:10" x14ac:dyDescent="0.2">
      <c r="I20623" s="1125"/>
      <c r="J20623" s="1125"/>
    </row>
    <row r="20624" spans="9:10" x14ac:dyDescent="0.2">
      <c r="I20624" s="1125"/>
      <c r="J20624" s="1125"/>
    </row>
    <row r="20625" spans="9:10" x14ac:dyDescent="0.2">
      <c r="I20625" s="1125"/>
      <c r="J20625" s="1125"/>
    </row>
    <row r="20626" spans="9:10" x14ac:dyDescent="0.2">
      <c r="I20626" s="1125"/>
      <c r="J20626" s="1125"/>
    </row>
    <row r="20627" spans="9:10" x14ac:dyDescent="0.2">
      <c r="I20627" s="1125"/>
      <c r="J20627" s="1125"/>
    </row>
    <row r="20628" spans="9:10" x14ac:dyDescent="0.2">
      <c r="I20628" s="1125"/>
      <c r="J20628" s="1125"/>
    </row>
    <row r="20629" spans="9:10" x14ac:dyDescent="0.2">
      <c r="I20629" s="1125"/>
      <c r="J20629" s="1125"/>
    </row>
    <row r="20630" spans="9:10" x14ac:dyDescent="0.2">
      <c r="I20630" s="1125"/>
      <c r="J20630" s="1125"/>
    </row>
    <row r="20631" spans="9:10" x14ac:dyDescent="0.2">
      <c r="I20631" s="1125"/>
      <c r="J20631" s="1125"/>
    </row>
    <row r="20632" spans="9:10" x14ac:dyDescent="0.2">
      <c r="I20632" s="1125"/>
      <c r="J20632" s="1125"/>
    </row>
    <row r="20633" spans="9:10" x14ac:dyDescent="0.2">
      <c r="I20633" s="1125"/>
      <c r="J20633" s="1125"/>
    </row>
    <row r="20634" spans="9:10" x14ac:dyDescent="0.2">
      <c r="I20634" s="1125"/>
      <c r="J20634" s="1125"/>
    </row>
    <row r="20635" spans="9:10" x14ac:dyDescent="0.2">
      <c r="I20635" s="1125"/>
      <c r="J20635" s="1125"/>
    </row>
    <row r="20636" spans="9:10" x14ac:dyDescent="0.2">
      <c r="I20636" s="1125"/>
      <c r="J20636" s="1125"/>
    </row>
    <row r="20637" spans="9:10" x14ac:dyDescent="0.2">
      <c r="I20637" s="1125"/>
      <c r="J20637" s="1125"/>
    </row>
    <row r="20638" spans="9:10" x14ac:dyDescent="0.2">
      <c r="I20638" s="1125"/>
      <c r="J20638" s="1125"/>
    </row>
    <row r="20639" spans="9:10" x14ac:dyDescent="0.2">
      <c r="I20639" s="1125"/>
      <c r="J20639" s="1125"/>
    </row>
    <row r="20640" spans="9:10" x14ac:dyDescent="0.2">
      <c r="I20640" s="1125"/>
      <c r="J20640" s="1125"/>
    </row>
    <row r="20641" spans="9:10" x14ac:dyDescent="0.2">
      <c r="I20641" s="1125"/>
      <c r="J20641" s="1125"/>
    </row>
    <row r="20642" spans="9:10" x14ac:dyDescent="0.2">
      <c r="I20642" s="1125"/>
      <c r="J20642" s="1125"/>
    </row>
    <row r="20643" spans="9:10" x14ac:dyDescent="0.2">
      <c r="I20643" s="1125"/>
      <c r="J20643" s="1125"/>
    </row>
    <row r="20644" spans="9:10" x14ac:dyDescent="0.2">
      <c r="I20644" s="1125"/>
      <c r="J20644" s="1125"/>
    </row>
    <row r="20645" spans="9:10" x14ac:dyDescent="0.2">
      <c r="I20645" s="1125"/>
      <c r="J20645" s="1125"/>
    </row>
    <row r="20646" spans="9:10" x14ac:dyDescent="0.2">
      <c r="I20646" s="1125"/>
      <c r="J20646" s="1125"/>
    </row>
    <row r="20647" spans="9:10" x14ac:dyDescent="0.2">
      <c r="I20647" s="1125"/>
      <c r="J20647" s="1125"/>
    </row>
    <row r="20648" spans="9:10" x14ac:dyDescent="0.2">
      <c r="I20648" s="1125"/>
      <c r="J20648" s="1125"/>
    </row>
    <row r="20649" spans="9:10" x14ac:dyDescent="0.2">
      <c r="I20649" s="1125"/>
      <c r="J20649" s="1125"/>
    </row>
    <row r="20650" spans="9:10" x14ac:dyDescent="0.2">
      <c r="I20650" s="1125"/>
      <c r="J20650" s="1125"/>
    </row>
    <row r="20651" spans="9:10" x14ac:dyDescent="0.2">
      <c r="I20651" s="1125"/>
      <c r="J20651" s="1125"/>
    </row>
    <row r="20652" spans="9:10" x14ac:dyDescent="0.2">
      <c r="I20652" s="1125"/>
      <c r="J20652" s="1125"/>
    </row>
    <row r="20653" spans="9:10" x14ac:dyDescent="0.2">
      <c r="I20653" s="1125"/>
      <c r="J20653" s="1125"/>
    </row>
    <row r="20654" spans="9:10" x14ac:dyDescent="0.2">
      <c r="I20654" s="1125"/>
      <c r="J20654" s="1125"/>
    </row>
    <row r="20655" spans="9:10" x14ac:dyDescent="0.2">
      <c r="I20655" s="1125"/>
      <c r="J20655" s="1125"/>
    </row>
    <row r="20656" spans="9:10" x14ac:dyDescent="0.2">
      <c r="I20656" s="1125"/>
      <c r="J20656" s="1125"/>
    </row>
    <row r="20657" spans="9:10" x14ac:dyDescent="0.2">
      <c r="I20657" s="1125"/>
      <c r="J20657" s="1125"/>
    </row>
    <row r="20658" spans="9:10" x14ac:dyDescent="0.2">
      <c r="I20658" s="1125"/>
      <c r="J20658" s="1125"/>
    </row>
    <row r="20659" spans="9:10" x14ac:dyDescent="0.2">
      <c r="I20659" s="1125"/>
      <c r="J20659" s="1125"/>
    </row>
    <row r="20660" spans="9:10" x14ac:dyDescent="0.2">
      <c r="I20660" s="1125"/>
      <c r="J20660" s="1125"/>
    </row>
    <row r="20661" spans="9:10" x14ac:dyDescent="0.2">
      <c r="I20661" s="1125"/>
      <c r="J20661" s="1125"/>
    </row>
    <row r="20662" spans="9:10" x14ac:dyDescent="0.2">
      <c r="I20662" s="1125"/>
      <c r="J20662" s="1125"/>
    </row>
    <row r="20663" spans="9:10" x14ac:dyDescent="0.2">
      <c r="I20663" s="1125"/>
      <c r="J20663" s="1125"/>
    </row>
    <row r="20664" spans="9:10" x14ac:dyDescent="0.2">
      <c r="I20664" s="1125"/>
      <c r="J20664" s="1125"/>
    </row>
    <row r="20665" spans="9:10" x14ac:dyDescent="0.2">
      <c r="I20665" s="1125"/>
      <c r="J20665" s="1125"/>
    </row>
    <row r="20666" spans="9:10" x14ac:dyDescent="0.2">
      <c r="I20666" s="1125"/>
      <c r="J20666" s="1125"/>
    </row>
    <row r="20667" spans="9:10" x14ac:dyDescent="0.2">
      <c r="I20667" s="1125"/>
      <c r="J20667" s="1125"/>
    </row>
    <row r="20668" spans="9:10" x14ac:dyDescent="0.2">
      <c r="I20668" s="1125"/>
      <c r="J20668" s="1125"/>
    </row>
    <row r="20669" spans="9:10" x14ac:dyDescent="0.2">
      <c r="I20669" s="1125"/>
      <c r="J20669" s="1125"/>
    </row>
    <row r="20670" spans="9:10" x14ac:dyDescent="0.2">
      <c r="I20670" s="1125"/>
      <c r="J20670" s="1125"/>
    </row>
    <row r="20671" spans="9:10" x14ac:dyDescent="0.2">
      <c r="I20671" s="1125"/>
      <c r="J20671" s="1125"/>
    </row>
    <row r="20672" spans="9:10" x14ac:dyDescent="0.2">
      <c r="I20672" s="1125"/>
      <c r="J20672" s="1125"/>
    </row>
    <row r="20673" spans="9:10" x14ac:dyDescent="0.2">
      <c r="I20673" s="1125"/>
      <c r="J20673" s="1125"/>
    </row>
    <row r="20674" spans="9:10" x14ac:dyDescent="0.2">
      <c r="I20674" s="1125"/>
      <c r="J20674" s="1125"/>
    </row>
    <row r="20675" spans="9:10" x14ac:dyDescent="0.2">
      <c r="I20675" s="1125"/>
      <c r="J20675" s="1125"/>
    </row>
    <row r="20676" spans="9:10" x14ac:dyDescent="0.2">
      <c r="I20676" s="1125"/>
      <c r="J20676" s="1125"/>
    </row>
    <row r="20677" spans="9:10" x14ac:dyDescent="0.2">
      <c r="I20677" s="1125"/>
      <c r="J20677" s="1125"/>
    </row>
    <row r="20678" spans="9:10" x14ac:dyDescent="0.2">
      <c r="I20678" s="1125"/>
      <c r="J20678" s="1125"/>
    </row>
    <row r="20679" spans="9:10" x14ac:dyDescent="0.2">
      <c r="I20679" s="1125"/>
      <c r="J20679" s="1125"/>
    </row>
    <row r="20680" spans="9:10" x14ac:dyDescent="0.2">
      <c r="I20680" s="1125"/>
      <c r="J20680" s="1125"/>
    </row>
    <row r="20681" spans="9:10" x14ac:dyDescent="0.2">
      <c r="I20681" s="1125"/>
      <c r="J20681" s="1125"/>
    </row>
    <row r="20682" spans="9:10" x14ac:dyDescent="0.2">
      <c r="I20682" s="1125"/>
      <c r="J20682" s="1125"/>
    </row>
    <row r="20683" spans="9:10" x14ac:dyDescent="0.2">
      <c r="I20683" s="1125"/>
      <c r="J20683" s="1125"/>
    </row>
    <row r="20684" spans="9:10" x14ac:dyDescent="0.2">
      <c r="I20684" s="1125"/>
      <c r="J20684" s="1125"/>
    </row>
    <row r="20685" spans="9:10" x14ac:dyDescent="0.2">
      <c r="I20685" s="1125"/>
      <c r="J20685" s="1125"/>
    </row>
    <row r="20686" spans="9:10" x14ac:dyDescent="0.2">
      <c r="I20686" s="1125"/>
      <c r="J20686" s="1125"/>
    </row>
    <row r="20687" spans="9:10" x14ac:dyDescent="0.2">
      <c r="I20687" s="1125"/>
      <c r="J20687" s="1125"/>
    </row>
    <row r="20688" spans="9:10" x14ac:dyDescent="0.2">
      <c r="I20688" s="1125"/>
      <c r="J20688" s="1125"/>
    </row>
    <row r="20689" spans="9:10" x14ac:dyDescent="0.2">
      <c r="I20689" s="1125"/>
      <c r="J20689" s="1125"/>
    </row>
    <row r="20690" spans="9:10" x14ac:dyDescent="0.2">
      <c r="I20690" s="1125"/>
      <c r="J20690" s="1125"/>
    </row>
    <row r="20691" spans="9:10" x14ac:dyDescent="0.2">
      <c r="I20691" s="1125"/>
      <c r="J20691" s="1125"/>
    </row>
    <row r="20692" spans="9:10" x14ac:dyDescent="0.2">
      <c r="I20692" s="1125"/>
      <c r="J20692" s="1125"/>
    </row>
    <row r="20693" spans="9:10" x14ac:dyDescent="0.2">
      <c r="I20693" s="1125"/>
      <c r="J20693" s="1125"/>
    </row>
    <row r="20694" spans="9:10" x14ac:dyDescent="0.2">
      <c r="I20694" s="1125"/>
      <c r="J20694" s="1125"/>
    </row>
    <row r="20695" spans="9:10" x14ac:dyDescent="0.2">
      <c r="I20695" s="1125"/>
      <c r="J20695" s="1125"/>
    </row>
    <row r="20696" spans="9:10" x14ac:dyDescent="0.2">
      <c r="I20696" s="1125"/>
      <c r="J20696" s="1125"/>
    </row>
    <row r="20697" spans="9:10" x14ac:dyDescent="0.2">
      <c r="I20697" s="1125"/>
      <c r="J20697" s="1125"/>
    </row>
    <row r="20698" spans="9:10" x14ac:dyDescent="0.2">
      <c r="I20698" s="1125"/>
      <c r="J20698" s="1125"/>
    </row>
    <row r="20699" spans="9:10" x14ac:dyDescent="0.2">
      <c r="I20699" s="1125"/>
      <c r="J20699" s="1125"/>
    </row>
    <row r="20700" spans="9:10" x14ac:dyDescent="0.2">
      <c r="I20700" s="1125"/>
      <c r="J20700" s="1125"/>
    </row>
    <row r="20701" spans="9:10" x14ac:dyDescent="0.2">
      <c r="I20701" s="1125"/>
      <c r="J20701" s="1125"/>
    </row>
    <row r="20702" spans="9:10" x14ac:dyDescent="0.2">
      <c r="I20702" s="1125"/>
      <c r="J20702" s="1125"/>
    </row>
    <row r="20703" spans="9:10" x14ac:dyDescent="0.2">
      <c r="I20703" s="1125"/>
      <c r="J20703" s="1125"/>
    </row>
    <row r="20704" spans="9:10" x14ac:dyDescent="0.2">
      <c r="I20704" s="1125"/>
      <c r="J20704" s="1125"/>
    </row>
    <row r="20705" spans="9:10" x14ac:dyDescent="0.2">
      <c r="I20705" s="1125"/>
      <c r="J20705" s="1125"/>
    </row>
    <row r="20706" spans="9:10" x14ac:dyDescent="0.2">
      <c r="I20706" s="1125"/>
      <c r="J20706" s="1125"/>
    </row>
    <row r="20707" spans="9:10" x14ac:dyDescent="0.2">
      <c r="I20707" s="1125"/>
      <c r="J20707" s="1125"/>
    </row>
    <row r="20708" spans="9:10" x14ac:dyDescent="0.2">
      <c r="I20708" s="1125"/>
      <c r="J20708" s="1125"/>
    </row>
    <row r="20709" spans="9:10" x14ac:dyDescent="0.2">
      <c r="I20709" s="1125"/>
      <c r="J20709" s="1125"/>
    </row>
    <row r="20710" spans="9:10" x14ac:dyDescent="0.2">
      <c r="I20710" s="1125"/>
      <c r="J20710" s="1125"/>
    </row>
    <row r="20711" spans="9:10" x14ac:dyDescent="0.2">
      <c r="I20711" s="1125"/>
      <c r="J20711" s="1125"/>
    </row>
    <row r="20712" spans="9:10" x14ac:dyDescent="0.2">
      <c r="I20712" s="1125"/>
      <c r="J20712" s="1125"/>
    </row>
    <row r="20713" spans="9:10" x14ac:dyDescent="0.2">
      <c r="I20713" s="1125"/>
      <c r="J20713" s="1125"/>
    </row>
    <row r="20714" spans="9:10" x14ac:dyDescent="0.2">
      <c r="I20714" s="1125"/>
      <c r="J20714" s="1125"/>
    </row>
    <row r="20715" spans="9:10" x14ac:dyDescent="0.2">
      <c r="I20715" s="1125"/>
      <c r="J20715" s="1125"/>
    </row>
    <row r="20716" spans="9:10" x14ac:dyDescent="0.2">
      <c r="I20716" s="1125"/>
      <c r="J20716" s="1125"/>
    </row>
    <row r="20717" spans="9:10" x14ac:dyDescent="0.2">
      <c r="I20717" s="1125"/>
      <c r="J20717" s="1125"/>
    </row>
    <row r="20718" spans="9:10" x14ac:dyDescent="0.2">
      <c r="I20718" s="1125"/>
      <c r="J20718" s="1125"/>
    </row>
    <row r="20719" spans="9:10" x14ac:dyDescent="0.2">
      <c r="I20719" s="1125"/>
      <c r="J20719" s="1125"/>
    </row>
    <row r="20720" spans="9:10" x14ac:dyDescent="0.2">
      <c r="I20720" s="1125"/>
      <c r="J20720" s="1125"/>
    </row>
    <row r="20721" spans="9:10" x14ac:dyDescent="0.2">
      <c r="I20721" s="1125"/>
      <c r="J20721" s="1125"/>
    </row>
    <row r="20722" spans="9:10" x14ac:dyDescent="0.2">
      <c r="I20722" s="1125"/>
      <c r="J20722" s="1125"/>
    </row>
    <row r="20723" spans="9:10" x14ac:dyDescent="0.2">
      <c r="I20723" s="1125"/>
      <c r="J20723" s="1125"/>
    </row>
    <row r="20724" spans="9:10" x14ac:dyDescent="0.2">
      <c r="I20724" s="1125"/>
      <c r="J20724" s="1125"/>
    </row>
    <row r="20725" spans="9:10" x14ac:dyDescent="0.2">
      <c r="I20725" s="1125"/>
      <c r="J20725" s="1125"/>
    </row>
    <row r="20726" spans="9:10" x14ac:dyDescent="0.2">
      <c r="I20726" s="1125"/>
      <c r="J20726" s="1125"/>
    </row>
    <row r="20727" spans="9:10" x14ac:dyDescent="0.2">
      <c r="I20727" s="1125"/>
      <c r="J20727" s="1125"/>
    </row>
    <row r="20728" spans="9:10" x14ac:dyDescent="0.2">
      <c r="I20728" s="1125"/>
      <c r="J20728" s="1125"/>
    </row>
    <row r="20729" spans="9:10" x14ac:dyDescent="0.2">
      <c r="I20729" s="1125"/>
      <c r="J20729" s="1125"/>
    </row>
    <row r="20730" spans="9:10" x14ac:dyDescent="0.2">
      <c r="I20730" s="1125"/>
      <c r="J20730" s="1125"/>
    </row>
    <row r="20731" spans="9:10" x14ac:dyDescent="0.2">
      <c r="I20731" s="1125"/>
      <c r="J20731" s="1125"/>
    </row>
    <row r="20732" spans="9:10" x14ac:dyDescent="0.2">
      <c r="I20732" s="1125"/>
      <c r="J20732" s="1125"/>
    </row>
    <row r="20733" spans="9:10" x14ac:dyDescent="0.2">
      <c r="I20733" s="1125"/>
      <c r="J20733" s="1125"/>
    </row>
    <row r="20734" spans="9:10" x14ac:dyDescent="0.2">
      <c r="I20734" s="1125"/>
      <c r="J20734" s="1125"/>
    </row>
    <row r="20735" spans="9:10" x14ac:dyDescent="0.2">
      <c r="I20735" s="1125"/>
      <c r="J20735" s="1125"/>
    </row>
    <row r="20736" spans="9:10" x14ac:dyDescent="0.2">
      <c r="I20736" s="1125"/>
      <c r="J20736" s="1125"/>
    </row>
    <row r="20737" spans="9:10" x14ac:dyDescent="0.2">
      <c r="I20737" s="1125"/>
      <c r="J20737" s="1125"/>
    </row>
    <row r="20738" spans="9:10" x14ac:dyDescent="0.2">
      <c r="I20738" s="1125"/>
      <c r="J20738" s="1125"/>
    </row>
    <row r="20739" spans="9:10" x14ac:dyDescent="0.2">
      <c r="I20739" s="1125"/>
      <c r="J20739" s="1125"/>
    </row>
    <row r="20740" spans="9:10" x14ac:dyDescent="0.2">
      <c r="I20740" s="1125"/>
      <c r="J20740" s="1125"/>
    </row>
    <row r="20741" spans="9:10" x14ac:dyDescent="0.2">
      <c r="I20741" s="1125"/>
      <c r="J20741" s="1125"/>
    </row>
    <row r="20742" spans="9:10" x14ac:dyDescent="0.2">
      <c r="I20742" s="1125"/>
      <c r="J20742" s="1125"/>
    </row>
    <row r="20743" spans="9:10" x14ac:dyDescent="0.2">
      <c r="I20743" s="1125"/>
      <c r="J20743" s="1125"/>
    </row>
    <row r="20744" spans="9:10" x14ac:dyDescent="0.2">
      <c r="I20744" s="1125"/>
      <c r="J20744" s="1125"/>
    </row>
    <row r="20745" spans="9:10" x14ac:dyDescent="0.2">
      <c r="I20745" s="1125"/>
      <c r="J20745" s="1125"/>
    </row>
    <row r="20746" spans="9:10" x14ac:dyDescent="0.2">
      <c r="I20746" s="1125"/>
      <c r="J20746" s="1125"/>
    </row>
    <row r="20747" spans="9:10" x14ac:dyDescent="0.2">
      <c r="I20747" s="1125"/>
      <c r="J20747" s="1125"/>
    </row>
    <row r="20748" spans="9:10" x14ac:dyDescent="0.2">
      <c r="I20748" s="1125"/>
      <c r="J20748" s="1125"/>
    </row>
    <row r="20749" spans="9:10" x14ac:dyDescent="0.2">
      <c r="I20749" s="1125"/>
      <c r="J20749" s="1125"/>
    </row>
    <row r="20750" spans="9:10" x14ac:dyDescent="0.2">
      <c r="I20750" s="1125"/>
      <c r="J20750" s="1125"/>
    </row>
    <row r="20751" spans="9:10" x14ac:dyDescent="0.2">
      <c r="I20751" s="1125"/>
      <c r="J20751" s="1125"/>
    </row>
    <row r="20752" spans="9:10" x14ac:dyDescent="0.2">
      <c r="I20752" s="1125"/>
      <c r="J20752" s="1125"/>
    </row>
    <row r="20753" spans="9:10" x14ac:dyDescent="0.2">
      <c r="I20753" s="1125"/>
      <c r="J20753" s="1125"/>
    </row>
    <row r="20754" spans="9:10" x14ac:dyDescent="0.2">
      <c r="I20754" s="1125"/>
      <c r="J20754" s="1125"/>
    </row>
    <row r="20755" spans="9:10" x14ac:dyDescent="0.2">
      <c r="I20755" s="1125"/>
      <c r="J20755" s="1125"/>
    </row>
    <row r="20756" spans="9:10" x14ac:dyDescent="0.2">
      <c r="I20756" s="1125"/>
      <c r="J20756" s="1125"/>
    </row>
    <row r="20757" spans="9:10" x14ac:dyDescent="0.2">
      <c r="I20757" s="1125"/>
      <c r="J20757" s="1125"/>
    </row>
    <row r="20758" spans="9:10" x14ac:dyDescent="0.2">
      <c r="I20758" s="1125"/>
      <c r="J20758" s="1125"/>
    </row>
    <row r="20759" spans="9:10" x14ac:dyDescent="0.2">
      <c r="I20759" s="1125"/>
      <c r="J20759" s="1125"/>
    </row>
    <row r="20760" spans="9:10" x14ac:dyDescent="0.2">
      <c r="I20760" s="1125"/>
      <c r="J20760" s="1125"/>
    </row>
    <row r="20761" spans="9:10" x14ac:dyDescent="0.2">
      <c r="I20761" s="1125"/>
      <c r="J20761" s="1125"/>
    </row>
    <row r="20762" spans="9:10" x14ac:dyDescent="0.2">
      <c r="I20762" s="1125"/>
      <c r="J20762" s="1125"/>
    </row>
    <row r="20763" spans="9:10" x14ac:dyDescent="0.2">
      <c r="I20763" s="1125"/>
      <c r="J20763" s="1125"/>
    </row>
    <row r="20764" spans="9:10" x14ac:dyDescent="0.2">
      <c r="I20764" s="1125"/>
      <c r="J20764" s="1125"/>
    </row>
    <row r="20765" spans="9:10" x14ac:dyDescent="0.2">
      <c r="I20765" s="1125"/>
      <c r="J20765" s="1125"/>
    </row>
    <row r="20766" spans="9:10" x14ac:dyDescent="0.2">
      <c r="I20766" s="1125"/>
      <c r="J20766" s="1125"/>
    </row>
    <row r="20767" spans="9:10" x14ac:dyDescent="0.2">
      <c r="I20767" s="1125"/>
      <c r="J20767" s="1125"/>
    </row>
    <row r="20768" spans="9:10" x14ac:dyDescent="0.2">
      <c r="I20768" s="1125"/>
      <c r="J20768" s="1125"/>
    </row>
    <row r="20769" spans="9:10" x14ac:dyDescent="0.2">
      <c r="I20769" s="1125"/>
      <c r="J20769" s="1125"/>
    </row>
    <row r="20770" spans="9:10" x14ac:dyDescent="0.2">
      <c r="I20770" s="1125"/>
      <c r="J20770" s="1125"/>
    </row>
    <row r="20771" spans="9:10" x14ac:dyDescent="0.2">
      <c r="I20771" s="1125"/>
      <c r="J20771" s="1125"/>
    </row>
    <row r="20772" spans="9:10" x14ac:dyDescent="0.2">
      <c r="I20772" s="1125"/>
      <c r="J20772" s="1125"/>
    </row>
    <row r="20773" spans="9:10" x14ac:dyDescent="0.2">
      <c r="I20773" s="1125"/>
      <c r="J20773" s="1125"/>
    </row>
    <row r="20774" spans="9:10" x14ac:dyDescent="0.2">
      <c r="I20774" s="1125"/>
      <c r="J20774" s="1125"/>
    </row>
    <row r="20775" spans="9:10" x14ac:dyDescent="0.2">
      <c r="I20775" s="1125"/>
      <c r="J20775" s="1125"/>
    </row>
    <row r="20776" spans="9:10" x14ac:dyDescent="0.2">
      <c r="I20776" s="1125"/>
      <c r="J20776" s="1125"/>
    </row>
    <row r="20777" spans="9:10" x14ac:dyDescent="0.2">
      <c r="I20777" s="1125"/>
      <c r="J20777" s="1125"/>
    </row>
    <row r="20778" spans="9:10" x14ac:dyDescent="0.2">
      <c r="I20778" s="1125"/>
      <c r="J20778" s="1125"/>
    </row>
    <row r="20779" spans="9:10" x14ac:dyDescent="0.2">
      <c r="I20779" s="1125"/>
      <c r="J20779" s="1125"/>
    </row>
    <row r="20780" spans="9:10" x14ac:dyDescent="0.2">
      <c r="I20780" s="1125"/>
      <c r="J20780" s="1125"/>
    </row>
    <row r="20781" spans="9:10" x14ac:dyDescent="0.2">
      <c r="I20781" s="1125"/>
      <c r="J20781" s="1125"/>
    </row>
    <row r="20782" spans="9:10" x14ac:dyDescent="0.2">
      <c r="I20782" s="1125"/>
      <c r="J20782" s="1125"/>
    </row>
    <row r="20783" spans="9:10" x14ac:dyDescent="0.2">
      <c r="I20783" s="1125"/>
      <c r="J20783" s="1125"/>
    </row>
    <row r="20784" spans="9:10" x14ac:dyDescent="0.2">
      <c r="I20784" s="1125"/>
      <c r="J20784" s="1125"/>
    </row>
    <row r="20785" spans="9:10" x14ac:dyDescent="0.2">
      <c r="I20785" s="1125"/>
      <c r="J20785" s="1125"/>
    </row>
    <row r="20786" spans="9:10" x14ac:dyDescent="0.2">
      <c r="I20786" s="1125"/>
      <c r="J20786" s="1125"/>
    </row>
    <row r="20787" spans="9:10" x14ac:dyDescent="0.2">
      <c r="I20787" s="1125"/>
      <c r="J20787" s="1125"/>
    </row>
    <row r="20788" spans="9:10" x14ac:dyDescent="0.2">
      <c r="I20788" s="1125"/>
      <c r="J20788" s="1125"/>
    </row>
    <row r="20789" spans="9:10" x14ac:dyDescent="0.2">
      <c r="I20789" s="1125"/>
      <c r="J20789" s="1125"/>
    </row>
    <row r="20790" spans="9:10" x14ac:dyDescent="0.2">
      <c r="I20790" s="1125"/>
      <c r="J20790" s="1125"/>
    </row>
    <row r="20791" spans="9:10" x14ac:dyDescent="0.2">
      <c r="I20791" s="1125"/>
      <c r="J20791" s="1125"/>
    </row>
    <row r="20792" spans="9:10" x14ac:dyDescent="0.2">
      <c r="I20792" s="1125"/>
      <c r="J20792" s="1125"/>
    </row>
    <row r="20793" spans="9:10" x14ac:dyDescent="0.2">
      <c r="I20793" s="1125"/>
      <c r="J20793" s="1125"/>
    </row>
    <row r="20794" spans="9:10" x14ac:dyDescent="0.2">
      <c r="I20794" s="1125"/>
      <c r="J20794" s="1125"/>
    </row>
    <row r="20795" spans="9:10" x14ac:dyDescent="0.2">
      <c r="I20795" s="1125"/>
      <c r="J20795" s="1125"/>
    </row>
    <row r="20796" spans="9:10" x14ac:dyDescent="0.2">
      <c r="I20796" s="1125"/>
      <c r="J20796" s="1125"/>
    </row>
    <row r="20797" spans="9:10" x14ac:dyDescent="0.2">
      <c r="I20797" s="1125"/>
      <c r="J20797" s="1125"/>
    </row>
    <row r="20798" spans="9:10" x14ac:dyDescent="0.2">
      <c r="I20798" s="1125"/>
      <c r="J20798" s="1125"/>
    </row>
    <row r="20799" spans="9:10" x14ac:dyDescent="0.2">
      <c r="I20799" s="1125"/>
      <c r="J20799" s="1125"/>
    </row>
    <row r="20800" spans="9:10" x14ac:dyDescent="0.2">
      <c r="I20800" s="1125"/>
      <c r="J20800" s="1125"/>
    </row>
    <row r="20801" spans="9:10" x14ac:dyDescent="0.2">
      <c r="I20801" s="1125"/>
      <c r="J20801" s="1125"/>
    </row>
    <row r="20802" spans="9:10" x14ac:dyDescent="0.2">
      <c r="I20802" s="1125"/>
      <c r="J20802" s="1125"/>
    </row>
    <row r="20803" spans="9:10" x14ac:dyDescent="0.2">
      <c r="I20803" s="1125"/>
      <c r="J20803" s="1125"/>
    </row>
    <row r="20804" spans="9:10" x14ac:dyDescent="0.2">
      <c r="I20804" s="1125"/>
      <c r="J20804" s="1125"/>
    </row>
    <row r="20805" spans="9:10" x14ac:dyDescent="0.2">
      <c r="I20805" s="1125"/>
      <c r="J20805" s="1125"/>
    </row>
    <row r="20806" spans="9:10" x14ac:dyDescent="0.2">
      <c r="I20806" s="1125"/>
      <c r="J20806" s="1125"/>
    </row>
    <row r="20807" spans="9:10" x14ac:dyDescent="0.2">
      <c r="I20807" s="1125"/>
      <c r="J20807" s="1125"/>
    </row>
    <row r="20808" spans="9:10" x14ac:dyDescent="0.2">
      <c r="I20808" s="1125"/>
      <c r="J20808" s="1125"/>
    </row>
    <row r="20809" spans="9:10" x14ac:dyDescent="0.2">
      <c r="I20809" s="1125"/>
      <c r="J20809" s="1125"/>
    </row>
    <row r="20810" spans="9:10" x14ac:dyDescent="0.2">
      <c r="I20810" s="1125"/>
      <c r="J20810" s="1125"/>
    </row>
    <row r="20811" spans="9:10" x14ac:dyDescent="0.2">
      <c r="I20811" s="1125"/>
      <c r="J20811" s="1125"/>
    </row>
    <row r="20812" spans="9:10" x14ac:dyDescent="0.2">
      <c r="I20812" s="1125"/>
      <c r="J20812" s="1125"/>
    </row>
    <row r="20813" spans="9:10" x14ac:dyDescent="0.2">
      <c r="I20813" s="1125"/>
      <c r="J20813" s="1125"/>
    </row>
    <row r="20814" spans="9:10" x14ac:dyDescent="0.2">
      <c r="I20814" s="1125"/>
      <c r="J20814" s="1125"/>
    </row>
    <row r="20815" spans="9:10" x14ac:dyDescent="0.2">
      <c r="I20815" s="1125"/>
      <c r="J20815" s="1125"/>
    </row>
    <row r="20816" spans="9:10" x14ac:dyDescent="0.2">
      <c r="I20816" s="1125"/>
      <c r="J20816" s="1125"/>
    </row>
    <row r="20817" spans="9:10" x14ac:dyDescent="0.2">
      <c r="I20817" s="1125"/>
      <c r="J20817" s="1125"/>
    </row>
    <row r="20818" spans="9:10" x14ac:dyDescent="0.2">
      <c r="I20818" s="1125"/>
      <c r="J20818" s="1125"/>
    </row>
    <row r="20819" spans="9:10" x14ac:dyDescent="0.2">
      <c r="I20819" s="1125"/>
      <c r="J20819" s="1125"/>
    </row>
    <row r="20820" spans="9:10" x14ac:dyDescent="0.2">
      <c r="I20820" s="1125"/>
      <c r="J20820" s="1125"/>
    </row>
    <row r="20821" spans="9:10" x14ac:dyDescent="0.2">
      <c r="I20821" s="1125"/>
      <c r="J20821" s="1125"/>
    </row>
    <row r="20822" spans="9:10" x14ac:dyDescent="0.2">
      <c r="I20822" s="1125"/>
      <c r="J20822" s="1125"/>
    </row>
    <row r="20823" spans="9:10" x14ac:dyDescent="0.2">
      <c r="I20823" s="1125"/>
      <c r="J20823" s="1125"/>
    </row>
    <row r="20824" spans="9:10" x14ac:dyDescent="0.2">
      <c r="I20824" s="1125"/>
      <c r="J20824" s="1125"/>
    </row>
    <row r="20825" spans="9:10" x14ac:dyDescent="0.2">
      <c r="I20825" s="1125"/>
      <c r="J20825" s="1125"/>
    </row>
    <row r="20826" spans="9:10" x14ac:dyDescent="0.2">
      <c r="I20826" s="1125"/>
      <c r="J20826" s="1125"/>
    </row>
    <row r="20827" spans="9:10" x14ac:dyDescent="0.2">
      <c r="I20827" s="1125"/>
      <c r="J20827" s="1125"/>
    </row>
    <row r="20828" spans="9:10" x14ac:dyDescent="0.2">
      <c r="I20828" s="1125"/>
      <c r="J20828" s="1125"/>
    </row>
    <row r="20829" spans="9:10" x14ac:dyDescent="0.2">
      <c r="I20829" s="1125"/>
      <c r="J20829" s="1125"/>
    </row>
    <row r="20830" spans="9:10" x14ac:dyDescent="0.2">
      <c r="I20830" s="1125"/>
      <c r="J20830" s="1125"/>
    </row>
    <row r="20831" spans="9:10" x14ac:dyDescent="0.2">
      <c r="I20831" s="1125"/>
      <c r="J20831" s="1125"/>
    </row>
    <row r="20832" spans="9:10" x14ac:dyDescent="0.2">
      <c r="I20832" s="1125"/>
      <c r="J20832" s="1125"/>
    </row>
    <row r="20833" spans="9:10" x14ac:dyDescent="0.2">
      <c r="I20833" s="1125"/>
      <c r="J20833" s="1125"/>
    </row>
    <row r="20834" spans="9:10" x14ac:dyDescent="0.2">
      <c r="I20834" s="1125"/>
      <c r="J20834" s="1125"/>
    </row>
    <row r="20835" spans="9:10" x14ac:dyDescent="0.2">
      <c r="I20835" s="1125"/>
      <c r="J20835" s="1125"/>
    </row>
    <row r="20836" spans="9:10" x14ac:dyDescent="0.2">
      <c r="I20836" s="1125"/>
      <c r="J20836" s="1125"/>
    </row>
    <row r="20837" spans="9:10" x14ac:dyDescent="0.2">
      <c r="I20837" s="1125"/>
      <c r="J20837" s="1125"/>
    </row>
    <row r="20838" spans="9:10" x14ac:dyDescent="0.2">
      <c r="I20838" s="1125"/>
      <c r="J20838" s="1125"/>
    </row>
    <row r="20839" spans="9:10" x14ac:dyDescent="0.2">
      <c r="I20839" s="1125"/>
      <c r="J20839" s="1125"/>
    </row>
    <row r="20840" spans="9:10" x14ac:dyDescent="0.2">
      <c r="I20840" s="1125"/>
      <c r="J20840" s="1125"/>
    </row>
    <row r="20841" spans="9:10" x14ac:dyDescent="0.2">
      <c r="I20841" s="1125"/>
      <c r="J20841" s="1125"/>
    </row>
    <row r="20842" spans="9:10" x14ac:dyDescent="0.2">
      <c r="I20842" s="1125"/>
      <c r="J20842" s="1125"/>
    </row>
    <row r="20843" spans="9:10" x14ac:dyDescent="0.2">
      <c r="I20843" s="1125"/>
      <c r="J20843" s="1125"/>
    </row>
    <row r="20844" spans="9:10" x14ac:dyDescent="0.2">
      <c r="I20844" s="1125"/>
      <c r="J20844" s="1125"/>
    </row>
    <row r="20845" spans="9:10" x14ac:dyDescent="0.2">
      <c r="I20845" s="1125"/>
      <c r="J20845" s="1125"/>
    </row>
    <row r="20846" spans="9:10" x14ac:dyDescent="0.2">
      <c r="I20846" s="1125"/>
      <c r="J20846" s="1125"/>
    </row>
    <row r="20847" spans="9:10" x14ac:dyDescent="0.2">
      <c r="I20847" s="1125"/>
      <c r="J20847" s="1125"/>
    </row>
    <row r="20848" spans="9:10" x14ac:dyDescent="0.2">
      <c r="I20848" s="1125"/>
      <c r="J20848" s="1125"/>
    </row>
    <row r="20849" spans="9:10" x14ac:dyDescent="0.2">
      <c r="I20849" s="1125"/>
      <c r="J20849" s="1125"/>
    </row>
    <row r="20850" spans="9:10" x14ac:dyDescent="0.2">
      <c r="I20850" s="1125"/>
      <c r="J20850" s="1125"/>
    </row>
    <row r="20851" spans="9:10" x14ac:dyDescent="0.2">
      <c r="I20851" s="1125"/>
      <c r="J20851" s="1125"/>
    </row>
    <row r="20852" spans="9:10" x14ac:dyDescent="0.2">
      <c r="I20852" s="1125"/>
      <c r="J20852" s="1125"/>
    </row>
    <row r="20853" spans="9:10" x14ac:dyDescent="0.2">
      <c r="I20853" s="1125"/>
      <c r="J20853" s="1125"/>
    </row>
    <row r="20854" spans="9:10" x14ac:dyDescent="0.2">
      <c r="I20854" s="1125"/>
      <c r="J20854" s="1125"/>
    </row>
    <row r="20855" spans="9:10" x14ac:dyDescent="0.2">
      <c r="I20855" s="1125"/>
      <c r="J20855" s="1125"/>
    </row>
    <row r="20856" spans="9:10" x14ac:dyDescent="0.2">
      <c r="I20856" s="1125"/>
      <c r="J20856" s="1125"/>
    </row>
    <row r="20857" spans="9:10" x14ac:dyDescent="0.2">
      <c r="I20857" s="1125"/>
      <c r="J20857" s="1125"/>
    </row>
    <row r="20858" spans="9:10" x14ac:dyDescent="0.2">
      <c r="I20858" s="1125"/>
      <c r="J20858" s="1125"/>
    </row>
    <row r="20859" spans="9:10" x14ac:dyDescent="0.2">
      <c r="I20859" s="1125"/>
      <c r="J20859" s="1125"/>
    </row>
    <row r="20860" spans="9:10" x14ac:dyDescent="0.2">
      <c r="I20860" s="1125"/>
      <c r="J20860" s="1125"/>
    </row>
    <row r="20861" spans="9:10" x14ac:dyDescent="0.2">
      <c r="I20861" s="1125"/>
      <c r="J20861" s="1125"/>
    </row>
    <row r="20862" spans="9:10" x14ac:dyDescent="0.2">
      <c r="I20862" s="1125"/>
      <c r="J20862" s="1125"/>
    </row>
    <row r="20863" spans="9:10" x14ac:dyDescent="0.2">
      <c r="I20863" s="1125"/>
      <c r="J20863" s="1125"/>
    </row>
    <row r="20864" spans="9:10" x14ac:dyDescent="0.2">
      <c r="I20864" s="1125"/>
      <c r="J20864" s="1125"/>
    </row>
    <row r="20865" spans="9:10" x14ac:dyDescent="0.2">
      <c r="I20865" s="1125"/>
      <c r="J20865" s="1125"/>
    </row>
    <row r="20866" spans="9:10" x14ac:dyDescent="0.2">
      <c r="I20866" s="1125"/>
      <c r="J20866" s="1125"/>
    </row>
    <row r="20867" spans="9:10" x14ac:dyDescent="0.2">
      <c r="I20867" s="1125"/>
      <c r="J20867" s="1125"/>
    </row>
    <row r="20868" spans="9:10" x14ac:dyDescent="0.2">
      <c r="I20868" s="1125"/>
      <c r="J20868" s="1125"/>
    </row>
    <row r="20869" spans="9:10" x14ac:dyDescent="0.2">
      <c r="I20869" s="1125"/>
      <c r="J20869" s="1125"/>
    </row>
    <row r="20870" spans="9:10" x14ac:dyDescent="0.2">
      <c r="I20870" s="1125"/>
      <c r="J20870" s="1125"/>
    </row>
    <row r="20871" spans="9:10" x14ac:dyDescent="0.2">
      <c r="I20871" s="1125"/>
      <c r="J20871" s="1125"/>
    </row>
    <row r="20872" spans="9:10" x14ac:dyDescent="0.2">
      <c r="I20872" s="1125"/>
      <c r="J20872" s="1125"/>
    </row>
    <row r="20873" spans="9:10" x14ac:dyDescent="0.2">
      <c r="I20873" s="1125"/>
      <c r="J20873" s="1125"/>
    </row>
    <row r="20874" spans="9:10" x14ac:dyDescent="0.2">
      <c r="I20874" s="1125"/>
      <c r="J20874" s="1125"/>
    </row>
    <row r="20875" spans="9:10" x14ac:dyDescent="0.2">
      <c r="I20875" s="1125"/>
      <c r="J20875" s="1125"/>
    </row>
    <row r="20876" spans="9:10" x14ac:dyDescent="0.2">
      <c r="I20876" s="1125"/>
      <c r="J20876" s="1125"/>
    </row>
    <row r="20877" spans="9:10" x14ac:dyDescent="0.2">
      <c r="I20877" s="1125"/>
      <c r="J20877" s="1125"/>
    </row>
    <row r="20878" spans="9:10" x14ac:dyDescent="0.2">
      <c r="I20878" s="1125"/>
      <c r="J20878" s="1125"/>
    </row>
    <row r="20879" spans="9:10" x14ac:dyDescent="0.2">
      <c r="I20879" s="1125"/>
      <c r="J20879" s="1125"/>
    </row>
    <row r="20880" spans="9:10" x14ac:dyDescent="0.2">
      <c r="I20880" s="1125"/>
      <c r="J20880" s="1125"/>
    </row>
    <row r="20881" spans="9:10" x14ac:dyDescent="0.2">
      <c r="I20881" s="1125"/>
      <c r="J20881" s="1125"/>
    </row>
    <row r="20882" spans="9:10" x14ac:dyDescent="0.2">
      <c r="I20882" s="1125"/>
      <c r="J20882" s="1125"/>
    </row>
    <row r="20883" spans="9:10" x14ac:dyDescent="0.2">
      <c r="I20883" s="1125"/>
      <c r="J20883" s="1125"/>
    </row>
    <row r="20884" spans="9:10" x14ac:dyDescent="0.2">
      <c r="I20884" s="1125"/>
      <c r="J20884" s="1125"/>
    </row>
    <row r="20885" spans="9:10" x14ac:dyDescent="0.2">
      <c r="I20885" s="1125"/>
      <c r="J20885" s="1125"/>
    </row>
    <row r="20886" spans="9:10" x14ac:dyDescent="0.2">
      <c r="I20886" s="1125"/>
      <c r="J20886" s="1125"/>
    </row>
    <row r="20887" spans="9:10" x14ac:dyDescent="0.2">
      <c r="I20887" s="1125"/>
      <c r="J20887" s="1125"/>
    </row>
    <row r="20888" spans="9:10" x14ac:dyDescent="0.2">
      <c r="I20888" s="1125"/>
      <c r="J20888" s="1125"/>
    </row>
    <row r="20889" spans="9:10" x14ac:dyDescent="0.2">
      <c r="I20889" s="1125"/>
      <c r="J20889" s="1125"/>
    </row>
    <row r="20890" spans="9:10" x14ac:dyDescent="0.2">
      <c r="I20890" s="1125"/>
      <c r="J20890" s="1125"/>
    </row>
    <row r="20891" spans="9:10" x14ac:dyDescent="0.2">
      <c r="I20891" s="1125"/>
      <c r="J20891" s="1125"/>
    </row>
    <row r="20892" spans="9:10" x14ac:dyDescent="0.2">
      <c r="I20892" s="1125"/>
      <c r="J20892" s="1125"/>
    </row>
    <row r="20893" spans="9:10" x14ac:dyDescent="0.2">
      <c r="I20893" s="1125"/>
      <c r="J20893" s="1125"/>
    </row>
    <row r="20894" spans="9:10" x14ac:dyDescent="0.2">
      <c r="I20894" s="1125"/>
      <c r="J20894" s="1125"/>
    </row>
    <row r="20895" spans="9:10" x14ac:dyDescent="0.2">
      <c r="I20895" s="1125"/>
      <c r="J20895" s="1125"/>
    </row>
    <row r="20896" spans="9:10" x14ac:dyDescent="0.2">
      <c r="I20896" s="1125"/>
      <c r="J20896" s="1125"/>
    </row>
    <row r="20897" spans="9:10" x14ac:dyDescent="0.2">
      <c r="I20897" s="1125"/>
      <c r="J20897" s="1125"/>
    </row>
    <row r="20898" spans="9:10" x14ac:dyDescent="0.2">
      <c r="I20898" s="1125"/>
      <c r="J20898" s="1125"/>
    </row>
    <row r="20899" spans="9:10" x14ac:dyDescent="0.2">
      <c r="I20899" s="1125"/>
      <c r="J20899" s="1125"/>
    </row>
    <row r="20900" spans="9:10" x14ac:dyDescent="0.2">
      <c r="I20900" s="1125"/>
      <c r="J20900" s="1125"/>
    </row>
    <row r="20901" spans="9:10" x14ac:dyDescent="0.2">
      <c r="I20901" s="1125"/>
      <c r="J20901" s="1125"/>
    </row>
    <row r="20902" spans="9:10" x14ac:dyDescent="0.2">
      <c r="I20902" s="1125"/>
      <c r="J20902" s="1125"/>
    </row>
    <row r="20903" spans="9:10" x14ac:dyDescent="0.2">
      <c r="I20903" s="1125"/>
      <c r="J20903" s="1125"/>
    </row>
    <row r="20904" spans="9:10" x14ac:dyDescent="0.2">
      <c r="I20904" s="1125"/>
      <c r="J20904" s="1125"/>
    </row>
    <row r="20905" spans="9:10" x14ac:dyDescent="0.2">
      <c r="I20905" s="1125"/>
      <c r="J20905" s="1125"/>
    </row>
    <row r="20906" spans="9:10" x14ac:dyDescent="0.2">
      <c r="I20906" s="1125"/>
      <c r="J20906" s="1125"/>
    </row>
    <row r="20907" spans="9:10" x14ac:dyDescent="0.2">
      <c r="I20907" s="1125"/>
      <c r="J20907" s="1125"/>
    </row>
    <row r="20908" spans="9:10" x14ac:dyDescent="0.2">
      <c r="I20908" s="1125"/>
      <c r="J20908" s="1125"/>
    </row>
    <row r="20909" spans="9:10" x14ac:dyDescent="0.2">
      <c r="I20909" s="1125"/>
      <c r="J20909" s="1125"/>
    </row>
    <row r="20910" spans="9:10" x14ac:dyDescent="0.2">
      <c r="I20910" s="1125"/>
      <c r="J20910" s="1125"/>
    </row>
    <row r="20911" spans="9:10" x14ac:dyDescent="0.2">
      <c r="I20911" s="1125"/>
      <c r="J20911" s="1125"/>
    </row>
    <row r="20912" spans="9:10" x14ac:dyDescent="0.2">
      <c r="I20912" s="1125"/>
      <c r="J20912" s="1125"/>
    </row>
    <row r="20913" spans="9:10" x14ac:dyDescent="0.2">
      <c r="I20913" s="1125"/>
      <c r="J20913" s="1125"/>
    </row>
    <row r="20914" spans="9:10" x14ac:dyDescent="0.2">
      <c r="I20914" s="1125"/>
      <c r="J20914" s="1125"/>
    </row>
    <row r="20915" spans="9:10" x14ac:dyDescent="0.2">
      <c r="I20915" s="1125"/>
      <c r="J20915" s="1125"/>
    </row>
    <row r="20916" spans="9:10" x14ac:dyDescent="0.2">
      <c r="I20916" s="1125"/>
      <c r="J20916" s="1125"/>
    </row>
    <row r="20917" spans="9:10" x14ac:dyDescent="0.2">
      <c r="I20917" s="1125"/>
      <c r="J20917" s="1125"/>
    </row>
    <row r="20918" spans="9:10" x14ac:dyDescent="0.2">
      <c r="I20918" s="1125"/>
      <c r="J20918" s="1125"/>
    </row>
    <row r="20919" spans="9:10" x14ac:dyDescent="0.2">
      <c r="I20919" s="1125"/>
      <c r="J20919" s="1125"/>
    </row>
    <row r="20920" spans="9:10" x14ac:dyDescent="0.2">
      <c r="I20920" s="1125"/>
      <c r="J20920" s="1125"/>
    </row>
    <row r="20921" spans="9:10" x14ac:dyDescent="0.2">
      <c r="I20921" s="1125"/>
      <c r="J20921" s="1125"/>
    </row>
    <row r="20922" spans="9:10" x14ac:dyDescent="0.2">
      <c r="I20922" s="1125"/>
      <c r="J20922" s="1125"/>
    </row>
    <row r="20923" spans="9:10" x14ac:dyDescent="0.2">
      <c r="I20923" s="1125"/>
      <c r="J20923" s="1125"/>
    </row>
    <row r="20924" spans="9:10" x14ac:dyDescent="0.2">
      <c r="I20924" s="1125"/>
      <c r="J20924" s="1125"/>
    </row>
    <row r="20925" spans="9:10" x14ac:dyDescent="0.2">
      <c r="I20925" s="1125"/>
      <c r="J20925" s="1125"/>
    </row>
    <row r="20926" spans="9:10" x14ac:dyDescent="0.2">
      <c r="I20926" s="1125"/>
      <c r="J20926" s="1125"/>
    </row>
    <row r="20927" spans="9:10" x14ac:dyDescent="0.2">
      <c r="I20927" s="1125"/>
      <c r="J20927" s="1125"/>
    </row>
    <row r="20928" spans="9:10" x14ac:dyDescent="0.2">
      <c r="I20928" s="1125"/>
      <c r="J20928" s="1125"/>
    </row>
    <row r="20929" spans="9:10" x14ac:dyDescent="0.2">
      <c r="I20929" s="1125"/>
      <c r="J20929" s="1125"/>
    </row>
    <row r="20930" spans="9:10" x14ac:dyDescent="0.2">
      <c r="I20930" s="1125"/>
      <c r="J20930" s="1125"/>
    </row>
    <row r="20931" spans="9:10" x14ac:dyDescent="0.2">
      <c r="I20931" s="1125"/>
      <c r="J20931" s="1125"/>
    </row>
    <row r="20932" spans="9:10" x14ac:dyDescent="0.2">
      <c r="I20932" s="1125"/>
      <c r="J20932" s="1125"/>
    </row>
    <row r="20933" spans="9:10" x14ac:dyDescent="0.2">
      <c r="I20933" s="1125"/>
      <c r="J20933" s="1125"/>
    </row>
    <row r="20934" spans="9:10" x14ac:dyDescent="0.2">
      <c r="I20934" s="1125"/>
      <c r="J20934" s="1125"/>
    </row>
    <row r="20935" spans="9:10" x14ac:dyDescent="0.2">
      <c r="I20935" s="1125"/>
      <c r="J20935" s="1125"/>
    </row>
    <row r="20936" spans="9:10" x14ac:dyDescent="0.2">
      <c r="I20936" s="1125"/>
      <c r="J20936" s="1125"/>
    </row>
    <row r="20937" spans="9:10" x14ac:dyDescent="0.2">
      <c r="I20937" s="1125"/>
      <c r="J20937" s="1125"/>
    </row>
    <row r="20938" spans="9:10" x14ac:dyDescent="0.2">
      <c r="I20938" s="1125"/>
      <c r="J20938" s="1125"/>
    </row>
    <row r="20939" spans="9:10" x14ac:dyDescent="0.2">
      <c r="I20939" s="1125"/>
      <c r="J20939" s="1125"/>
    </row>
    <row r="20940" spans="9:10" x14ac:dyDescent="0.2">
      <c r="I20940" s="1125"/>
      <c r="J20940" s="1125"/>
    </row>
    <row r="20941" spans="9:10" x14ac:dyDescent="0.2">
      <c r="I20941" s="1125"/>
      <c r="J20941" s="1125"/>
    </row>
    <row r="20942" spans="9:10" x14ac:dyDescent="0.2">
      <c r="I20942" s="1125"/>
      <c r="J20942" s="1125"/>
    </row>
    <row r="20943" spans="9:10" x14ac:dyDescent="0.2">
      <c r="I20943" s="1125"/>
      <c r="J20943" s="1125"/>
    </row>
    <row r="20944" spans="9:10" x14ac:dyDescent="0.2">
      <c r="I20944" s="1125"/>
      <c r="J20944" s="1125"/>
    </row>
    <row r="20945" spans="9:10" x14ac:dyDescent="0.2">
      <c r="I20945" s="1125"/>
      <c r="J20945" s="1125"/>
    </row>
    <row r="20946" spans="9:10" x14ac:dyDescent="0.2">
      <c r="I20946" s="1125"/>
      <c r="J20946" s="1125"/>
    </row>
    <row r="20947" spans="9:10" x14ac:dyDescent="0.2">
      <c r="I20947" s="1125"/>
      <c r="J20947" s="1125"/>
    </row>
    <row r="20948" spans="9:10" x14ac:dyDescent="0.2">
      <c r="I20948" s="1125"/>
      <c r="J20948" s="1125"/>
    </row>
    <row r="20949" spans="9:10" x14ac:dyDescent="0.2">
      <c r="I20949" s="1125"/>
      <c r="J20949" s="1125"/>
    </row>
    <row r="20950" spans="9:10" x14ac:dyDescent="0.2">
      <c r="I20950" s="1125"/>
      <c r="J20950" s="1125"/>
    </row>
    <row r="20951" spans="9:10" x14ac:dyDescent="0.2">
      <c r="I20951" s="1125"/>
      <c r="J20951" s="1125"/>
    </row>
    <row r="20952" spans="9:10" x14ac:dyDescent="0.2">
      <c r="I20952" s="1125"/>
      <c r="J20952" s="1125"/>
    </row>
    <row r="20953" spans="9:10" x14ac:dyDescent="0.2">
      <c r="I20953" s="1125"/>
      <c r="J20953" s="1125"/>
    </row>
    <row r="20954" spans="9:10" x14ac:dyDescent="0.2">
      <c r="I20954" s="1125"/>
      <c r="J20954" s="1125"/>
    </row>
    <row r="20955" spans="9:10" x14ac:dyDescent="0.2">
      <c r="I20955" s="1125"/>
      <c r="J20955" s="1125"/>
    </row>
    <row r="20956" spans="9:10" x14ac:dyDescent="0.2">
      <c r="I20956" s="1125"/>
      <c r="J20956" s="1125"/>
    </row>
    <row r="20957" spans="9:10" x14ac:dyDescent="0.2">
      <c r="I20957" s="1125"/>
      <c r="J20957" s="1125"/>
    </row>
    <row r="20958" spans="9:10" x14ac:dyDescent="0.2">
      <c r="I20958" s="1125"/>
      <c r="J20958" s="1125"/>
    </row>
    <row r="20959" spans="9:10" x14ac:dyDescent="0.2">
      <c r="I20959" s="1125"/>
      <c r="J20959" s="1125"/>
    </row>
    <row r="20960" spans="9:10" x14ac:dyDescent="0.2">
      <c r="I20960" s="1125"/>
      <c r="J20960" s="1125"/>
    </row>
    <row r="20961" spans="9:10" x14ac:dyDescent="0.2">
      <c r="I20961" s="1125"/>
      <c r="J20961" s="1125"/>
    </row>
    <row r="20962" spans="9:10" x14ac:dyDescent="0.2">
      <c r="I20962" s="1125"/>
      <c r="J20962" s="1125"/>
    </row>
    <row r="20963" spans="9:10" x14ac:dyDescent="0.2">
      <c r="I20963" s="1125"/>
      <c r="J20963" s="1125"/>
    </row>
    <row r="20964" spans="9:10" x14ac:dyDescent="0.2">
      <c r="I20964" s="1125"/>
      <c r="J20964" s="1125"/>
    </row>
    <row r="20965" spans="9:10" x14ac:dyDescent="0.2">
      <c r="I20965" s="1125"/>
      <c r="J20965" s="1125"/>
    </row>
    <row r="20966" spans="9:10" x14ac:dyDescent="0.2">
      <c r="I20966" s="1125"/>
      <c r="J20966" s="1125"/>
    </row>
    <row r="20967" spans="9:10" x14ac:dyDescent="0.2">
      <c r="I20967" s="1125"/>
      <c r="J20967" s="1125"/>
    </row>
    <row r="20968" spans="9:10" x14ac:dyDescent="0.2">
      <c r="I20968" s="1125"/>
      <c r="J20968" s="1125"/>
    </row>
    <row r="20969" spans="9:10" x14ac:dyDescent="0.2">
      <c r="I20969" s="1125"/>
      <c r="J20969" s="1125"/>
    </row>
    <row r="20970" spans="9:10" x14ac:dyDescent="0.2">
      <c r="I20970" s="1125"/>
      <c r="J20970" s="1125"/>
    </row>
    <row r="20971" spans="9:10" x14ac:dyDescent="0.2">
      <c r="I20971" s="1125"/>
      <c r="J20971" s="1125"/>
    </row>
    <row r="20972" spans="9:10" x14ac:dyDescent="0.2">
      <c r="I20972" s="1125"/>
      <c r="J20972" s="1125"/>
    </row>
    <row r="20973" spans="9:10" x14ac:dyDescent="0.2">
      <c r="I20973" s="1125"/>
      <c r="J20973" s="1125"/>
    </row>
    <row r="20974" spans="9:10" x14ac:dyDescent="0.2">
      <c r="I20974" s="1125"/>
      <c r="J20974" s="1125"/>
    </row>
    <row r="20975" spans="9:10" x14ac:dyDescent="0.2">
      <c r="I20975" s="1125"/>
      <c r="J20975" s="1125"/>
    </row>
    <row r="20976" spans="9:10" x14ac:dyDescent="0.2">
      <c r="I20976" s="1125"/>
      <c r="J20976" s="1125"/>
    </row>
    <row r="20977" spans="9:10" x14ac:dyDescent="0.2">
      <c r="I20977" s="1125"/>
      <c r="J20977" s="1125"/>
    </row>
    <row r="20978" spans="9:10" x14ac:dyDescent="0.2">
      <c r="I20978" s="1125"/>
      <c r="J20978" s="1125"/>
    </row>
    <row r="20979" spans="9:10" x14ac:dyDescent="0.2">
      <c r="I20979" s="1125"/>
      <c r="J20979" s="1125"/>
    </row>
    <row r="20980" spans="9:10" x14ac:dyDescent="0.2">
      <c r="I20980" s="1125"/>
      <c r="J20980" s="1125"/>
    </row>
    <row r="20981" spans="9:10" x14ac:dyDescent="0.2">
      <c r="I20981" s="1125"/>
      <c r="J20981" s="1125"/>
    </row>
    <row r="20982" spans="9:10" x14ac:dyDescent="0.2">
      <c r="I20982" s="1125"/>
      <c r="J20982" s="1125"/>
    </row>
    <row r="20983" spans="9:10" x14ac:dyDescent="0.2">
      <c r="I20983" s="1125"/>
      <c r="J20983" s="1125"/>
    </row>
    <row r="20984" spans="9:10" x14ac:dyDescent="0.2">
      <c r="I20984" s="1125"/>
      <c r="J20984" s="1125"/>
    </row>
    <row r="20985" spans="9:10" x14ac:dyDescent="0.2">
      <c r="I20985" s="1125"/>
      <c r="J20985" s="1125"/>
    </row>
    <row r="20986" spans="9:10" x14ac:dyDescent="0.2">
      <c r="I20986" s="1125"/>
      <c r="J20986" s="1125"/>
    </row>
    <row r="20987" spans="9:10" x14ac:dyDescent="0.2">
      <c r="I20987" s="1125"/>
      <c r="J20987" s="1125"/>
    </row>
    <row r="20988" spans="9:10" x14ac:dyDescent="0.2">
      <c r="I20988" s="1125"/>
      <c r="J20988" s="1125"/>
    </row>
    <row r="20989" spans="9:10" x14ac:dyDescent="0.2">
      <c r="I20989" s="1125"/>
      <c r="J20989" s="1125"/>
    </row>
    <row r="20990" spans="9:10" x14ac:dyDescent="0.2">
      <c r="I20990" s="1125"/>
      <c r="J20990" s="1125"/>
    </row>
    <row r="20991" spans="9:10" x14ac:dyDescent="0.2">
      <c r="I20991" s="1125"/>
      <c r="J20991" s="1125"/>
    </row>
    <row r="20992" spans="9:10" x14ac:dyDescent="0.2">
      <c r="I20992" s="1125"/>
      <c r="J20992" s="1125"/>
    </row>
    <row r="20993" spans="9:10" x14ac:dyDescent="0.2">
      <c r="I20993" s="1125"/>
      <c r="J20993" s="1125"/>
    </row>
    <row r="20994" spans="9:10" x14ac:dyDescent="0.2">
      <c r="I20994" s="1125"/>
      <c r="J20994" s="1125"/>
    </row>
    <row r="20995" spans="9:10" x14ac:dyDescent="0.2">
      <c r="I20995" s="1125"/>
      <c r="J20995" s="1125"/>
    </row>
    <row r="20996" spans="9:10" x14ac:dyDescent="0.2">
      <c r="I20996" s="1125"/>
      <c r="J20996" s="1125"/>
    </row>
    <row r="20997" spans="9:10" x14ac:dyDescent="0.2">
      <c r="I20997" s="1125"/>
      <c r="J20997" s="1125"/>
    </row>
    <row r="20998" spans="9:10" x14ac:dyDescent="0.2">
      <c r="I20998" s="1125"/>
      <c r="J20998" s="1125"/>
    </row>
    <row r="20999" spans="9:10" x14ac:dyDescent="0.2">
      <c r="I20999" s="1125"/>
      <c r="J20999" s="1125"/>
    </row>
    <row r="21000" spans="9:10" x14ac:dyDescent="0.2">
      <c r="I21000" s="1125"/>
      <c r="J21000" s="1125"/>
    </row>
    <row r="21001" spans="9:10" x14ac:dyDescent="0.2">
      <c r="I21001" s="1125"/>
      <c r="J21001" s="1125"/>
    </row>
    <row r="21002" spans="9:10" x14ac:dyDescent="0.2">
      <c r="I21002" s="1125"/>
      <c r="J21002" s="1125"/>
    </row>
    <row r="21003" spans="9:10" x14ac:dyDescent="0.2">
      <c r="I21003" s="1125"/>
      <c r="J21003" s="1125"/>
    </row>
    <row r="21004" spans="9:10" x14ac:dyDescent="0.2">
      <c r="I21004" s="1125"/>
      <c r="J21004" s="1125"/>
    </row>
    <row r="21005" spans="9:10" x14ac:dyDescent="0.2">
      <c r="I21005" s="1125"/>
      <c r="J21005" s="1125"/>
    </row>
    <row r="21006" spans="9:10" x14ac:dyDescent="0.2">
      <c r="I21006" s="1125"/>
      <c r="J21006" s="1125"/>
    </row>
    <row r="21007" spans="9:10" x14ac:dyDescent="0.2">
      <c r="I21007" s="1125"/>
      <c r="J21007" s="1125"/>
    </row>
    <row r="21008" spans="9:10" x14ac:dyDescent="0.2">
      <c r="I21008" s="1125"/>
      <c r="J21008" s="1125"/>
    </row>
    <row r="21009" spans="9:10" x14ac:dyDescent="0.2">
      <c r="I21009" s="1125"/>
      <c r="J21009" s="1125"/>
    </row>
    <row r="21010" spans="9:10" x14ac:dyDescent="0.2">
      <c r="I21010" s="1125"/>
      <c r="J21010" s="1125"/>
    </row>
    <row r="21011" spans="9:10" x14ac:dyDescent="0.2">
      <c r="I21011" s="1125"/>
      <c r="J21011" s="1125"/>
    </row>
    <row r="21012" spans="9:10" x14ac:dyDescent="0.2">
      <c r="I21012" s="1125"/>
      <c r="J21012" s="1125"/>
    </row>
    <row r="21013" spans="9:10" x14ac:dyDescent="0.2">
      <c r="I21013" s="1125"/>
      <c r="J21013" s="1125"/>
    </row>
    <row r="21014" spans="9:10" x14ac:dyDescent="0.2">
      <c r="I21014" s="1125"/>
      <c r="J21014" s="1125"/>
    </row>
    <row r="21015" spans="9:10" x14ac:dyDescent="0.2">
      <c r="I21015" s="1125"/>
      <c r="J21015" s="1125"/>
    </row>
    <row r="21016" spans="9:10" x14ac:dyDescent="0.2">
      <c r="I21016" s="1125"/>
      <c r="J21016" s="1125"/>
    </row>
    <row r="21017" spans="9:10" x14ac:dyDescent="0.2">
      <c r="I21017" s="1125"/>
      <c r="J21017" s="1125"/>
    </row>
    <row r="21018" spans="9:10" x14ac:dyDescent="0.2">
      <c r="I21018" s="1125"/>
      <c r="J21018" s="1125"/>
    </row>
    <row r="21019" spans="9:10" x14ac:dyDescent="0.2">
      <c r="I21019" s="1125"/>
      <c r="J21019" s="1125"/>
    </row>
    <row r="21020" spans="9:10" x14ac:dyDescent="0.2">
      <c r="I21020" s="1125"/>
      <c r="J21020" s="1125"/>
    </row>
    <row r="21021" spans="9:10" x14ac:dyDescent="0.2">
      <c r="I21021" s="1125"/>
      <c r="J21021" s="1125"/>
    </row>
    <row r="21022" spans="9:10" x14ac:dyDescent="0.2">
      <c r="I21022" s="1125"/>
      <c r="J21022" s="1125"/>
    </row>
    <row r="21023" spans="9:10" x14ac:dyDescent="0.2">
      <c r="I21023" s="1125"/>
      <c r="J21023" s="1125"/>
    </row>
    <row r="21024" spans="9:10" x14ac:dyDescent="0.2">
      <c r="I21024" s="1125"/>
      <c r="J21024" s="1125"/>
    </row>
    <row r="21025" spans="9:10" x14ac:dyDescent="0.2">
      <c r="I21025" s="1125"/>
      <c r="J21025" s="1125"/>
    </row>
    <row r="21026" spans="9:10" x14ac:dyDescent="0.2">
      <c r="I21026" s="1125"/>
      <c r="J21026" s="1125"/>
    </row>
    <row r="21027" spans="9:10" x14ac:dyDescent="0.2">
      <c r="I21027" s="1125"/>
      <c r="J21027" s="1125"/>
    </row>
    <row r="21028" spans="9:10" x14ac:dyDescent="0.2">
      <c r="I21028" s="1125"/>
      <c r="J21028" s="1125"/>
    </row>
    <row r="21029" spans="9:10" x14ac:dyDescent="0.2">
      <c r="I21029" s="1125"/>
      <c r="J21029" s="1125"/>
    </row>
    <row r="21030" spans="9:10" x14ac:dyDescent="0.2">
      <c r="I21030" s="1125"/>
      <c r="J21030" s="1125"/>
    </row>
    <row r="21031" spans="9:10" x14ac:dyDescent="0.2">
      <c r="I21031" s="1125"/>
      <c r="J21031" s="1125"/>
    </row>
    <row r="21032" spans="9:10" x14ac:dyDescent="0.2">
      <c r="I21032" s="1125"/>
      <c r="J21032" s="1125"/>
    </row>
    <row r="21033" spans="9:10" x14ac:dyDescent="0.2">
      <c r="I21033" s="1125"/>
      <c r="J21033" s="1125"/>
    </row>
    <row r="21034" spans="9:10" x14ac:dyDescent="0.2">
      <c r="I21034" s="1125"/>
      <c r="J21034" s="1125"/>
    </row>
    <row r="21035" spans="9:10" x14ac:dyDescent="0.2">
      <c r="I21035" s="1125"/>
      <c r="J21035" s="1125"/>
    </row>
    <row r="21036" spans="9:10" x14ac:dyDescent="0.2">
      <c r="I21036" s="1125"/>
      <c r="J21036" s="1125"/>
    </row>
    <row r="21037" spans="9:10" x14ac:dyDescent="0.2">
      <c r="I21037" s="1125"/>
      <c r="J21037" s="1125"/>
    </row>
    <row r="21038" spans="9:10" x14ac:dyDescent="0.2">
      <c r="I21038" s="1125"/>
      <c r="J21038" s="1125"/>
    </row>
    <row r="21039" spans="9:10" x14ac:dyDescent="0.2">
      <c r="I21039" s="1125"/>
      <c r="J21039" s="1125"/>
    </row>
    <row r="21040" spans="9:10" x14ac:dyDescent="0.2">
      <c r="I21040" s="1125"/>
      <c r="J21040" s="1125"/>
    </row>
    <row r="21041" spans="9:10" x14ac:dyDescent="0.2">
      <c r="I21041" s="1125"/>
      <c r="J21041" s="1125"/>
    </row>
    <row r="21042" spans="9:10" x14ac:dyDescent="0.2">
      <c r="I21042" s="1125"/>
      <c r="J21042" s="1125"/>
    </row>
    <row r="21043" spans="9:10" x14ac:dyDescent="0.2">
      <c r="I21043" s="1125"/>
      <c r="J21043" s="1125"/>
    </row>
    <row r="21044" spans="9:10" x14ac:dyDescent="0.2">
      <c r="I21044" s="1125"/>
      <c r="J21044" s="1125"/>
    </row>
    <row r="21045" spans="9:10" x14ac:dyDescent="0.2">
      <c r="I21045" s="1125"/>
      <c r="J21045" s="1125"/>
    </row>
    <row r="21046" spans="9:10" x14ac:dyDescent="0.2">
      <c r="I21046" s="1125"/>
      <c r="J21046" s="1125"/>
    </row>
    <row r="21047" spans="9:10" x14ac:dyDescent="0.2">
      <c r="I21047" s="1125"/>
      <c r="J21047" s="1125"/>
    </row>
    <row r="21048" spans="9:10" x14ac:dyDescent="0.2">
      <c r="I21048" s="1125"/>
      <c r="J21048" s="1125"/>
    </row>
    <row r="21049" spans="9:10" x14ac:dyDescent="0.2">
      <c r="I21049" s="1125"/>
      <c r="J21049" s="1125"/>
    </row>
    <row r="21050" spans="9:10" x14ac:dyDescent="0.2">
      <c r="I21050" s="1125"/>
      <c r="J21050" s="1125"/>
    </row>
    <row r="21051" spans="9:10" x14ac:dyDescent="0.2">
      <c r="I21051" s="1125"/>
      <c r="J21051" s="1125"/>
    </row>
    <row r="21052" spans="9:10" x14ac:dyDescent="0.2">
      <c r="I21052" s="1125"/>
      <c r="J21052" s="1125"/>
    </row>
    <row r="21053" spans="9:10" x14ac:dyDescent="0.2">
      <c r="I21053" s="1125"/>
      <c r="J21053" s="1125"/>
    </row>
    <row r="21054" spans="9:10" x14ac:dyDescent="0.2">
      <c r="I21054" s="1125"/>
      <c r="J21054" s="1125"/>
    </row>
    <row r="21055" spans="9:10" x14ac:dyDescent="0.2">
      <c r="I21055" s="1125"/>
      <c r="J21055" s="1125"/>
    </row>
    <row r="21056" spans="9:10" x14ac:dyDescent="0.2">
      <c r="I21056" s="1125"/>
      <c r="J21056" s="1125"/>
    </row>
    <row r="21057" spans="9:10" x14ac:dyDescent="0.2">
      <c r="I21057" s="1125"/>
      <c r="J21057" s="1125"/>
    </row>
    <row r="21058" spans="9:10" x14ac:dyDescent="0.2">
      <c r="I21058" s="1125"/>
      <c r="J21058" s="1125"/>
    </row>
    <row r="21059" spans="9:10" x14ac:dyDescent="0.2">
      <c r="I21059" s="1125"/>
      <c r="J21059" s="1125"/>
    </row>
    <row r="21060" spans="9:10" x14ac:dyDescent="0.2">
      <c r="I21060" s="1125"/>
      <c r="J21060" s="1125"/>
    </row>
    <row r="21061" spans="9:10" x14ac:dyDescent="0.2">
      <c r="I21061" s="1125"/>
      <c r="J21061" s="1125"/>
    </row>
    <row r="21062" spans="9:10" x14ac:dyDescent="0.2">
      <c r="I21062" s="1125"/>
      <c r="J21062" s="1125"/>
    </row>
    <row r="21063" spans="9:10" x14ac:dyDescent="0.2">
      <c r="I21063" s="1125"/>
      <c r="J21063" s="1125"/>
    </row>
    <row r="21064" spans="9:10" x14ac:dyDescent="0.2">
      <c r="I21064" s="1125"/>
      <c r="J21064" s="1125"/>
    </row>
    <row r="21065" spans="9:10" x14ac:dyDescent="0.2">
      <c r="I21065" s="1125"/>
      <c r="J21065" s="1125"/>
    </row>
    <row r="21066" spans="9:10" x14ac:dyDescent="0.2">
      <c r="I21066" s="1125"/>
      <c r="J21066" s="1125"/>
    </row>
    <row r="21067" spans="9:10" x14ac:dyDescent="0.2">
      <c r="I21067" s="1125"/>
      <c r="J21067" s="1125"/>
    </row>
    <row r="21068" spans="9:10" x14ac:dyDescent="0.2">
      <c r="I21068" s="1125"/>
      <c r="J21068" s="1125"/>
    </row>
    <row r="21069" spans="9:10" x14ac:dyDescent="0.2">
      <c r="I21069" s="1125"/>
      <c r="J21069" s="1125"/>
    </row>
    <row r="21070" spans="9:10" x14ac:dyDescent="0.2">
      <c r="I21070" s="1125"/>
      <c r="J21070" s="1125"/>
    </row>
    <row r="21071" spans="9:10" x14ac:dyDescent="0.2">
      <c r="I21071" s="1125"/>
      <c r="J21071" s="1125"/>
    </row>
    <row r="21072" spans="9:10" x14ac:dyDescent="0.2">
      <c r="I21072" s="1125"/>
      <c r="J21072" s="1125"/>
    </row>
    <row r="21073" spans="9:10" x14ac:dyDescent="0.2">
      <c r="I21073" s="1125"/>
      <c r="J21073" s="1125"/>
    </row>
    <row r="21074" spans="9:10" x14ac:dyDescent="0.2">
      <c r="I21074" s="1125"/>
      <c r="J21074" s="1125"/>
    </row>
    <row r="21075" spans="9:10" x14ac:dyDescent="0.2">
      <c r="I21075" s="1125"/>
      <c r="J21075" s="1125"/>
    </row>
    <row r="21076" spans="9:10" x14ac:dyDescent="0.2">
      <c r="I21076" s="1125"/>
      <c r="J21076" s="1125"/>
    </row>
    <row r="21077" spans="9:10" x14ac:dyDescent="0.2">
      <c r="I21077" s="1125"/>
      <c r="J21077" s="1125"/>
    </row>
    <row r="21078" spans="9:10" x14ac:dyDescent="0.2">
      <c r="I21078" s="1125"/>
      <c r="J21078" s="1125"/>
    </row>
    <row r="21079" spans="9:10" x14ac:dyDescent="0.2">
      <c r="I21079" s="1125"/>
      <c r="J21079" s="1125"/>
    </row>
    <row r="21080" spans="9:10" x14ac:dyDescent="0.2">
      <c r="I21080" s="1125"/>
      <c r="J21080" s="1125"/>
    </row>
    <row r="21081" spans="9:10" x14ac:dyDescent="0.2">
      <c r="I21081" s="1125"/>
      <c r="J21081" s="1125"/>
    </row>
    <row r="21082" spans="9:10" x14ac:dyDescent="0.2">
      <c r="I21082" s="1125"/>
      <c r="J21082" s="1125"/>
    </row>
    <row r="21083" spans="9:10" x14ac:dyDescent="0.2">
      <c r="I21083" s="1125"/>
      <c r="J21083" s="1125"/>
    </row>
    <row r="21084" spans="9:10" x14ac:dyDescent="0.2">
      <c r="I21084" s="1125"/>
      <c r="J21084" s="1125"/>
    </row>
    <row r="21085" spans="9:10" x14ac:dyDescent="0.2">
      <c r="I21085" s="1125"/>
      <c r="J21085" s="1125"/>
    </row>
    <row r="21086" spans="9:10" x14ac:dyDescent="0.2">
      <c r="I21086" s="1125"/>
      <c r="J21086" s="1125"/>
    </row>
    <row r="21087" spans="9:10" x14ac:dyDescent="0.2">
      <c r="I21087" s="1125"/>
      <c r="J21087" s="1125"/>
    </row>
    <row r="21088" spans="9:10" x14ac:dyDescent="0.2">
      <c r="I21088" s="1125"/>
      <c r="J21088" s="1125"/>
    </row>
    <row r="21089" spans="9:10" x14ac:dyDescent="0.2">
      <c r="I21089" s="1125"/>
      <c r="J21089" s="1125"/>
    </row>
    <row r="21090" spans="9:10" x14ac:dyDescent="0.2">
      <c r="I21090" s="1125"/>
      <c r="J21090" s="1125"/>
    </row>
    <row r="21091" spans="9:10" x14ac:dyDescent="0.2">
      <c r="I21091" s="1125"/>
      <c r="J21091" s="1125"/>
    </row>
    <row r="21092" spans="9:10" x14ac:dyDescent="0.2">
      <c r="I21092" s="1125"/>
      <c r="J21092" s="1125"/>
    </row>
    <row r="21093" spans="9:10" x14ac:dyDescent="0.2">
      <c r="I21093" s="1125"/>
      <c r="J21093" s="1125"/>
    </row>
    <row r="21094" spans="9:10" x14ac:dyDescent="0.2">
      <c r="I21094" s="1125"/>
      <c r="J21094" s="1125"/>
    </row>
    <row r="21095" spans="9:10" x14ac:dyDescent="0.2">
      <c r="I21095" s="1125"/>
      <c r="J21095" s="1125"/>
    </row>
    <row r="21096" spans="9:10" x14ac:dyDescent="0.2">
      <c r="I21096" s="1125"/>
      <c r="J21096" s="1125"/>
    </row>
    <row r="21097" spans="9:10" x14ac:dyDescent="0.2">
      <c r="I21097" s="1125"/>
      <c r="J21097" s="1125"/>
    </row>
    <row r="21098" spans="9:10" x14ac:dyDescent="0.2">
      <c r="I21098" s="1125"/>
      <c r="J21098" s="1125"/>
    </row>
    <row r="21099" spans="9:10" x14ac:dyDescent="0.2">
      <c r="I21099" s="1125"/>
      <c r="J21099" s="1125"/>
    </row>
    <row r="21100" spans="9:10" x14ac:dyDescent="0.2">
      <c r="I21100" s="1125"/>
      <c r="J21100" s="1125"/>
    </row>
    <row r="21101" spans="9:10" x14ac:dyDescent="0.2">
      <c r="I21101" s="1125"/>
      <c r="J21101" s="1125"/>
    </row>
    <row r="21102" spans="9:10" x14ac:dyDescent="0.2">
      <c r="I21102" s="1125"/>
      <c r="J21102" s="1125"/>
    </row>
    <row r="21103" spans="9:10" x14ac:dyDescent="0.2">
      <c r="I21103" s="1125"/>
      <c r="J21103" s="1125"/>
    </row>
    <row r="21104" spans="9:10" x14ac:dyDescent="0.2">
      <c r="I21104" s="1125"/>
      <c r="J21104" s="1125"/>
    </row>
    <row r="21105" spans="9:10" x14ac:dyDescent="0.2">
      <c r="I21105" s="1125"/>
      <c r="J21105" s="1125"/>
    </row>
    <row r="21106" spans="9:10" x14ac:dyDescent="0.2">
      <c r="I21106" s="1125"/>
      <c r="J21106" s="1125"/>
    </row>
    <row r="21107" spans="9:10" x14ac:dyDescent="0.2">
      <c r="I21107" s="1125"/>
      <c r="J21107" s="1125"/>
    </row>
    <row r="21108" spans="9:10" x14ac:dyDescent="0.2">
      <c r="I21108" s="1125"/>
      <c r="J21108" s="1125"/>
    </row>
    <row r="21109" spans="9:10" x14ac:dyDescent="0.2">
      <c r="I21109" s="1125"/>
      <c r="J21109" s="1125"/>
    </row>
    <row r="21110" spans="9:10" x14ac:dyDescent="0.2">
      <c r="I21110" s="1125"/>
      <c r="J21110" s="1125"/>
    </row>
    <row r="21111" spans="9:10" x14ac:dyDescent="0.2">
      <c r="I21111" s="1125"/>
      <c r="J21111" s="1125"/>
    </row>
    <row r="21112" spans="9:10" x14ac:dyDescent="0.2">
      <c r="I21112" s="1125"/>
      <c r="J21112" s="1125"/>
    </row>
    <row r="21113" spans="9:10" x14ac:dyDescent="0.2">
      <c r="I21113" s="1125"/>
      <c r="J21113" s="1125"/>
    </row>
    <row r="21114" spans="9:10" x14ac:dyDescent="0.2">
      <c r="I21114" s="1125"/>
      <c r="J21114" s="1125"/>
    </row>
    <row r="21115" spans="9:10" x14ac:dyDescent="0.2">
      <c r="I21115" s="1125"/>
      <c r="J21115" s="1125"/>
    </row>
    <row r="21116" spans="9:10" x14ac:dyDescent="0.2">
      <c r="I21116" s="1125"/>
      <c r="J21116" s="1125"/>
    </row>
    <row r="21117" spans="9:10" x14ac:dyDescent="0.2">
      <c r="I21117" s="1125"/>
      <c r="J21117" s="1125"/>
    </row>
    <row r="21118" spans="9:10" x14ac:dyDescent="0.2">
      <c r="I21118" s="1125"/>
      <c r="J21118" s="1125"/>
    </row>
    <row r="21119" spans="9:10" x14ac:dyDescent="0.2">
      <c r="I21119" s="1125"/>
      <c r="J21119" s="1125"/>
    </row>
    <row r="21120" spans="9:10" x14ac:dyDescent="0.2">
      <c r="I21120" s="1125"/>
      <c r="J21120" s="1125"/>
    </row>
    <row r="21121" spans="9:10" x14ac:dyDescent="0.2">
      <c r="I21121" s="1125"/>
      <c r="J21121" s="1125"/>
    </row>
    <row r="21122" spans="9:10" x14ac:dyDescent="0.2">
      <c r="I21122" s="1125"/>
      <c r="J21122" s="1125"/>
    </row>
    <row r="21123" spans="9:10" x14ac:dyDescent="0.2">
      <c r="I21123" s="1125"/>
      <c r="J21123" s="1125"/>
    </row>
    <row r="21124" spans="9:10" x14ac:dyDescent="0.2">
      <c r="I21124" s="1125"/>
      <c r="J21124" s="1125"/>
    </row>
    <row r="21125" spans="9:10" x14ac:dyDescent="0.2">
      <c r="I21125" s="1125"/>
      <c r="J21125" s="1125"/>
    </row>
    <row r="21126" spans="9:10" x14ac:dyDescent="0.2">
      <c r="I21126" s="1125"/>
      <c r="J21126" s="1125"/>
    </row>
    <row r="21127" spans="9:10" x14ac:dyDescent="0.2">
      <c r="I21127" s="1125"/>
      <c r="J21127" s="1125"/>
    </row>
    <row r="21128" spans="9:10" x14ac:dyDescent="0.2">
      <c r="I21128" s="1125"/>
      <c r="J21128" s="1125"/>
    </row>
    <row r="21129" spans="9:10" x14ac:dyDescent="0.2">
      <c r="I21129" s="1125"/>
      <c r="J21129" s="1125"/>
    </row>
    <row r="21130" spans="9:10" x14ac:dyDescent="0.2">
      <c r="I21130" s="1125"/>
      <c r="J21130" s="1125"/>
    </row>
    <row r="21131" spans="9:10" x14ac:dyDescent="0.2">
      <c r="I21131" s="1125"/>
      <c r="J21131" s="1125"/>
    </row>
    <row r="21132" spans="9:10" x14ac:dyDescent="0.2">
      <c r="I21132" s="1125"/>
      <c r="J21132" s="1125"/>
    </row>
    <row r="21133" spans="9:10" x14ac:dyDescent="0.2">
      <c r="I21133" s="1125"/>
      <c r="J21133" s="1125"/>
    </row>
    <row r="21134" spans="9:10" x14ac:dyDescent="0.2">
      <c r="I21134" s="1125"/>
      <c r="J21134" s="1125"/>
    </row>
    <row r="21135" spans="9:10" x14ac:dyDescent="0.2">
      <c r="I21135" s="1125"/>
      <c r="J21135" s="1125"/>
    </row>
    <row r="21136" spans="9:10" x14ac:dyDescent="0.2">
      <c r="I21136" s="1125"/>
      <c r="J21136" s="1125"/>
    </row>
    <row r="21137" spans="9:10" x14ac:dyDescent="0.2">
      <c r="I21137" s="1125"/>
      <c r="J21137" s="1125"/>
    </row>
    <row r="21138" spans="9:10" x14ac:dyDescent="0.2">
      <c r="I21138" s="1125"/>
      <c r="J21138" s="1125"/>
    </row>
    <row r="21139" spans="9:10" x14ac:dyDescent="0.2">
      <c r="I21139" s="1125"/>
      <c r="J21139" s="1125"/>
    </row>
    <row r="21140" spans="9:10" x14ac:dyDescent="0.2">
      <c r="I21140" s="1125"/>
      <c r="J21140" s="1125"/>
    </row>
    <row r="21141" spans="9:10" x14ac:dyDescent="0.2">
      <c r="I21141" s="1125"/>
      <c r="J21141" s="1125"/>
    </row>
    <row r="21142" spans="9:10" x14ac:dyDescent="0.2">
      <c r="I21142" s="1125"/>
      <c r="J21142" s="1125"/>
    </row>
    <row r="21143" spans="9:10" x14ac:dyDescent="0.2">
      <c r="I21143" s="1125"/>
      <c r="J21143" s="1125"/>
    </row>
    <row r="21144" spans="9:10" x14ac:dyDescent="0.2">
      <c r="I21144" s="1125"/>
      <c r="J21144" s="1125"/>
    </row>
    <row r="21145" spans="9:10" x14ac:dyDescent="0.2">
      <c r="I21145" s="1125"/>
      <c r="J21145" s="1125"/>
    </row>
    <row r="21146" spans="9:10" x14ac:dyDescent="0.2">
      <c r="I21146" s="1125"/>
      <c r="J21146" s="1125"/>
    </row>
    <row r="21147" spans="9:10" x14ac:dyDescent="0.2">
      <c r="I21147" s="1125"/>
      <c r="J21147" s="1125"/>
    </row>
    <row r="21148" spans="9:10" x14ac:dyDescent="0.2">
      <c r="I21148" s="1125"/>
      <c r="J21148" s="1125"/>
    </row>
    <row r="21149" spans="9:10" x14ac:dyDescent="0.2">
      <c r="I21149" s="1125"/>
      <c r="J21149" s="1125"/>
    </row>
    <row r="21150" spans="9:10" x14ac:dyDescent="0.2">
      <c r="I21150" s="1125"/>
      <c r="J21150" s="1125"/>
    </row>
    <row r="21151" spans="9:10" x14ac:dyDescent="0.2">
      <c r="I21151" s="1125"/>
      <c r="J21151" s="1125"/>
    </row>
    <row r="21152" spans="9:10" x14ac:dyDescent="0.2">
      <c r="I21152" s="1125"/>
      <c r="J21152" s="1125"/>
    </row>
    <row r="21153" spans="9:10" x14ac:dyDescent="0.2">
      <c r="I21153" s="1125"/>
      <c r="J21153" s="1125"/>
    </row>
    <row r="21154" spans="9:10" x14ac:dyDescent="0.2">
      <c r="I21154" s="1125"/>
      <c r="J21154" s="1125"/>
    </row>
    <row r="21155" spans="9:10" x14ac:dyDescent="0.2">
      <c r="I21155" s="1125"/>
      <c r="J21155" s="1125"/>
    </row>
    <row r="21156" spans="9:10" x14ac:dyDescent="0.2">
      <c r="I21156" s="1125"/>
      <c r="J21156" s="1125"/>
    </row>
    <row r="21157" spans="9:10" x14ac:dyDescent="0.2">
      <c r="I21157" s="1125"/>
      <c r="J21157" s="1125"/>
    </row>
    <row r="21158" spans="9:10" x14ac:dyDescent="0.2">
      <c r="I21158" s="1125"/>
      <c r="J21158" s="1125"/>
    </row>
    <row r="21159" spans="9:10" x14ac:dyDescent="0.2">
      <c r="I21159" s="1125"/>
      <c r="J21159" s="1125"/>
    </row>
    <row r="21160" spans="9:10" x14ac:dyDescent="0.2">
      <c r="I21160" s="1125"/>
      <c r="J21160" s="1125"/>
    </row>
    <row r="21161" spans="9:10" x14ac:dyDescent="0.2">
      <c r="I21161" s="1125"/>
      <c r="J21161" s="1125"/>
    </row>
    <row r="21162" spans="9:10" x14ac:dyDescent="0.2">
      <c r="I21162" s="1125"/>
      <c r="J21162" s="1125"/>
    </row>
    <row r="21163" spans="9:10" x14ac:dyDescent="0.2">
      <c r="I21163" s="1125"/>
      <c r="J21163" s="1125"/>
    </row>
    <row r="21164" spans="9:10" x14ac:dyDescent="0.2">
      <c r="I21164" s="1125"/>
      <c r="J21164" s="1125"/>
    </row>
    <row r="21165" spans="9:10" x14ac:dyDescent="0.2">
      <c r="I21165" s="1125"/>
      <c r="J21165" s="1125"/>
    </row>
    <row r="21166" spans="9:10" x14ac:dyDescent="0.2">
      <c r="I21166" s="1125"/>
      <c r="J21166" s="1125"/>
    </row>
    <row r="21167" spans="9:10" x14ac:dyDescent="0.2">
      <c r="I21167" s="1125"/>
      <c r="J21167" s="1125"/>
    </row>
    <row r="21168" spans="9:10" x14ac:dyDescent="0.2">
      <c r="I21168" s="1125"/>
      <c r="J21168" s="1125"/>
    </row>
    <row r="21169" spans="9:10" x14ac:dyDescent="0.2">
      <c r="I21169" s="1125"/>
      <c r="J21169" s="1125"/>
    </row>
    <row r="21170" spans="9:10" x14ac:dyDescent="0.2">
      <c r="I21170" s="1125"/>
      <c r="J21170" s="1125"/>
    </row>
    <row r="21171" spans="9:10" x14ac:dyDescent="0.2">
      <c r="I21171" s="1125"/>
      <c r="J21171" s="1125"/>
    </row>
    <row r="21172" spans="9:10" x14ac:dyDescent="0.2">
      <c r="I21172" s="1125"/>
      <c r="J21172" s="1125"/>
    </row>
    <row r="21173" spans="9:10" x14ac:dyDescent="0.2">
      <c r="I21173" s="1125"/>
      <c r="J21173" s="1125"/>
    </row>
    <row r="21174" spans="9:10" x14ac:dyDescent="0.2">
      <c r="I21174" s="1125"/>
      <c r="J21174" s="1125"/>
    </row>
    <row r="21175" spans="9:10" x14ac:dyDescent="0.2">
      <c r="I21175" s="1125"/>
      <c r="J21175" s="1125"/>
    </row>
    <row r="21176" spans="9:10" x14ac:dyDescent="0.2">
      <c r="I21176" s="1125"/>
      <c r="J21176" s="1125"/>
    </row>
    <row r="21177" spans="9:10" x14ac:dyDescent="0.2">
      <c r="I21177" s="1125"/>
      <c r="J21177" s="1125"/>
    </row>
    <row r="21178" spans="9:10" x14ac:dyDescent="0.2">
      <c r="I21178" s="1125"/>
      <c r="J21178" s="1125"/>
    </row>
    <row r="21179" spans="9:10" x14ac:dyDescent="0.2">
      <c r="I21179" s="1125"/>
      <c r="J21179" s="1125"/>
    </row>
    <row r="21180" spans="9:10" x14ac:dyDescent="0.2">
      <c r="I21180" s="1125"/>
      <c r="J21180" s="1125"/>
    </row>
    <row r="21181" spans="9:10" x14ac:dyDescent="0.2">
      <c r="I21181" s="1125"/>
      <c r="J21181" s="1125"/>
    </row>
    <row r="21182" spans="9:10" x14ac:dyDescent="0.2">
      <c r="I21182" s="1125"/>
      <c r="J21182" s="1125"/>
    </row>
    <row r="21183" spans="9:10" x14ac:dyDescent="0.2">
      <c r="I21183" s="1125"/>
      <c r="J21183" s="1125"/>
    </row>
    <row r="21184" spans="9:10" x14ac:dyDescent="0.2">
      <c r="I21184" s="1125"/>
      <c r="J21184" s="1125"/>
    </row>
    <row r="21185" spans="9:10" x14ac:dyDescent="0.2">
      <c r="I21185" s="1125"/>
      <c r="J21185" s="1125"/>
    </row>
    <row r="21186" spans="9:10" x14ac:dyDescent="0.2">
      <c r="I21186" s="1125"/>
      <c r="J21186" s="1125"/>
    </row>
    <row r="21187" spans="9:10" x14ac:dyDescent="0.2">
      <c r="I21187" s="1125"/>
      <c r="J21187" s="1125"/>
    </row>
    <row r="21188" spans="9:10" x14ac:dyDescent="0.2">
      <c r="I21188" s="1125"/>
      <c r="J21188" s="1125"/>
    </row>
    <row r="21189" spans="9:10" x14ac:dyDescent="0.2">
      <c r="I21189" s="1125"/>
      <c r="J21189" s="1125"/>
    </row>
    <row r="21190" spans="9:10" x14ac:dyDescent="0.2">
      <c r="I21190" s="1125"/>
      <c r="J21190" s="1125"/>
    </row>
    <row r="21191" spans="9:10" x14ac:dyDescent="0.2">
      <c r="I21191" s="1125"/>
      <c r="J21191" s="1125"/>
    </row>
    <row r="21192" spans="9:10" x14ac:dyDescent="0.2">
      <c r="I21192" s="1125"/>
      <c r="J21192" s="1125"/>
    </row>
    <row r="21193" spans="9:10" x14ac:dyDescent="0.2">
      <c r="I21193" s="1125"/>
      <c r="J21193" s="1125"/>
    </row>
    <row r="21194" spans="9:10" x14ac:dyDescent="0.2">
      <c r="I21194" s="1125"/>
      <c r="J21194" s="1125"/>
    </row>
    <row r="21195" spans="9:10" x14ac:dyDescent="0.2">
      <c r="I21195" s="1125"/>
      <c r="J21195" s="1125"/>
    </row>
    <row r="21196" spans="9:10" x14ac:dyDescent="0.2">
      <c r="I21196" s="1125"/>
      <c r="J21196" s="1125"/>
    </row>
    <row r="21197" spans="9:10" x14ac:dyDescent="0.2">
      <c r="I21197" s="1125"/>
      <c r="J21197" s="1125"/>
    </row>
    <row r="21198" spans="9:10" x14ac:dyDescent="0.2">
      <c r="I21198" s="1125"/>
      <c r="J21198" s="1125"/>
    </row>
    <row r="21199" spans="9:10" x14ac:dyDescent="0.2">
      <c r="I21199" s="1125"/>
      <c r="J21199" s="1125"/>
    </row>
    <row r="21200" spans="9:10" x14ac:dyDescent="0.2">
      <c r="I21200" s="1125"/>
      <c r="J21200" s="1125"/>
    </row>
    <row r="21201" spans="9:10" x14ac:dyDescent="0.2">
      <c r="I21201" s="1125"/>
      <c r="J21201" s="1125"/>
    </row>
    <row r="21202" spans="9:10" x14ac:dyDescent="0.2">
      <c r="I21202" s="1125"/>
      <c r="J21202" s="1125"/>
    </row>
    <row r="21203" spans="9:10" x14ac:dyDescent="0.2">
      <c r="I21203" s="1125"/>
      <c r="J21203" s="1125"/>
    </row>
    <row r="21204" spans="9:10" x14ac:dyDescent="0.2">
      <c r="I21204" s="1125"/>
      <c r="J21204" s="1125"/>
    </row>
    <row r="21205" spans="9:10" x14ac:dyDescent="0.2">
      <c r="I21205" s="1125"/>
      <c r="J21205" s="1125"/>
    </row>
    <row r="21206" spans="9:10" x14ac:dyDescent="0.2">
      <c r="I21206" s="1125"/>
      <c r="J21206" s="1125"/>
    </row>
    <row r="21207" spans="9:10" x14ac:dyDescent="0.2">
      <c r="I21207" s="1125"/>
      <c r="J21207" s="1125"/>
    </row>
    <row r="21208" spans="9:10" x14ac:dyDescent="0.2">
      <c r="I21208" s="1125"/>
      <c r="J21208" s="1125"/>
    </row>
    <row r="21209" spans="9:10" x14ac:dyDescent="0.2">
      <c r="I21209" s="1125"/>
      <c r="J21209" s="1125"/>
    </row>
    <row r="21210" spans="9:10" x14ac:dyDescent="0.2">
      <c r="I21210" s="1125"/>
      <c r="J21210" s="1125"/>
    </row>
    <row r="21211" spans="9:10" x14ac:dyDescent="0.2">
      <c r="I21211" s="1125"/>
      <c r="J21211" s="1125"/>
    </row>
    <row r="21212" spans="9:10" x14ac:dyDescent="0.2">
      <c r="I21212" s="1125"/>
      <c r="J21212" s="1125"/>
    </row>
    <row r="21213" spans="9:10" x14ac:dyDescent="0.2">
      <c r="I21213" s="1125"/>
      <c r="J21213" s="1125"/>
    </row>
    <row r="21214" spans="9:10" x14ac:dyDescent="0.2">
      <c r="I21214" s="1125"/>
      <c r="J21214" s="1125"/>
    </row>
    <row r="21215" spans="9:10" x14ac:dyDescent="0.2">
      <c r="I21215" s="1125"/>
      <c r="J21215" s="1125"/>
    </row>
    <row r="21216" spans="9:10" x14ac:dyDescent="0.2">
      <c r="I21216" s="1125"/>
      <c r="J21216" s="1125"/>
    </row>
    <row r="21217" spans="9:10" x14ac:dyDescent="0.2">
      <c r="I21217" s="1125"/>
      <c r="J21217" s="1125"/>
    </row>
    <row r="21218" spans="9:10" x14ac:dyDescent="0.2">
      <c r="I21218" s="1125"/>
      <c r="J21218" s="1125"/>
    </row>
    <row r="21219" spans="9:10" x14ac:dyDescent="0.2">
      <c r="I21219" s="1125"/>
      <c r="J21219" s="1125"/>
    </row>
    <row r="21220" spans="9:10" x14ac:dyDescent="0.2">
      <c r="I21220" s="1125"/>
      <c r="J21220" s="1125"/>
    </row>
    <row r="21221" spans="9:10" x14ac:dyDescent="0.2">
      <c r="I21221" s="1125"/>
      <c r="J21221" s="1125"/>
    </row>
    <row r="21222" spans="9:10" x14ac:dyDescent="0.2">
      <c r="I21222" s="1125"/>
      <c r="J21222" s="1125"/>
    </row>
    <row r="21223" spans="9:10" x14ac:dyDescent="0.2">
      <c r="I21223" s="1125"/>
      <c r="J21223" s="1125"/>
    </row>
    <row r="21224" spans="9:10" x14ac:dyDescent="0.2">
      <c r="I21224" s="1125"/>
      <c r="J21224" s="1125"/>
    </row>
    <row r="21225" spans="9:10" x14ac:dyDescent="0.2">
      <c r="I21225" s="1125"/>
      <c r="J21225" s="1125"/>
    </row>
    <row r="21226" spans="9:10" x14ac:dyDescent="0.2">
      <c r="I21226" s="1125"/>
      <c r="J21226" s="1125"/>
    </row>
    <row r="21227" spans="9:10" x14ac:dyDescent="0.2">
      <c r="I21227" s="1125"/>
      <c r="J21227" s="1125"/>
    </row>
    <row r="21228" spans="9:10" x14ac:dyDescent="0.2">
      <c r="I21228" s="1125"/>
      <c r="J21228" s="1125"/>
    </row>
    <row r="21229" spans="9:10" x14ac:dyDescent="0.2">
      <c r="I21229" s="1125"/>
      <c r="J21229" s="1125"/>
    </row>
    <row r="21230" spans="9:10" x14ac:dyDescent="0.2">
      <c r="I21230" s="1125"/>
      <c r="J21230" s="1125"/>
    </row>
    <row r="21231" spans="9:10" x14ac:dyDescent="0.2">
      <c r="I21231" s="1125"/>
      <c r="J21231" s="1125"/>
    </row>
    <row r="21232" spans="9:10" x14ac:dyDescent="0.2">
      <c r="I21232" s="1125"/>
      <c r="J21232" s="1125"/>
    </row>
    <row r="21233" spans="9:10" x14ac:dyDescent="0.2">
      <c r="I21233" s="1125"/>
      <c r="J21233" s="1125"/>
    </row>
    <row r="21234" spans="9:10" x14ac:dyDescent="0.2">
      <c r="I21234" s="1125"/>
      <c r="J21234" s="1125"/>
    </row>
    <row r="21235" spans="9:10" x14ac:dyDescent="0.2">
      <c r="I21235" s="1125"/>
      <c r="J21235" s="1125"/>
    </row>
    <row r="21236" spans="9:10" x14ac:dyDescent="0.2">
      <c r="I21236" s="1125"/>
      <c r="J21236" s="1125"/>
    </row>
    <row r="21237" spans="9:10" x14ac:dyDescent="0.2">
      <c r="I21237" s="1125"/>
      <c r="J21237" s="1125"/>
    </row>
    <row r="21238" spans="9:10" x14ac:dyDescent="0.2">
      <c r="I21238" s="1125"/>
      <c r="J21238" s="1125"/>
    </row>
    <row r="21239" spans="9:10" x14ac:dyDescent="0.2">
      <c r="I21239" s="1125"/>
      <c r="J21239" s="1125"/>
    </row>
    <row r="21240" spans="9:10" x14ac:dyDescent="0.2">
      <c r="I21240" s="1125"/>
      <c r="J21240" s="1125"/>
    </row>
    <row r="21241" spans="9:10" x14ac:dyDescent="0.2">
      <c r="I21241" s="1125"/>
      <c r="J21241" s="1125"/>
    </row>
    <row r="21242" spans="9:10" x14ac:dyDescent="0.2">
      <c r="I21242" s="1125"/>
      <c r="J21242" s="1125"/>
    </row>
    <row r="21243" spans="9:10" x14ac:dyDescent="0.2">
      <c r="I21243" s="1125"/>
      <c r="J21243" s="1125"/>
    </row>
    <row r="21244" spans="9:10" x14ac:dyDescent="0.2">
      <c r="I21244" s="1125"/>
      <c r="J21244" s="1125"/>
    </row>
    <row r="21245" spans="9:10" x14ac:dyDescent="0.2">
      <c r="I21245" s="1125"/>
      <c r="J21245" s="1125"/>
    </row>
    <row r="21246" spans="9:10" x14ac:dyDescent="0.2">
      <c r="I21246" s="1125"/>
      <c r="J21246" s="1125"/>
    </row>
    <row r="21247" spans="9:10" x14ac:dyDescent="0.2">
      <c r="I21247" s="1125"/>
      <c r="J21247" s="1125"/>
    </row>
    <row r="21248" spans="9:10" x14ac:dyDescent="0.2">
      <c r="I21248" s="1125"/>
      <c r="J21248" s="1125"/>
    </row>
    <row r="21249" spans="9:10" x14ac:dyDescent="0.2">
      <c r="I21249" s="1125"/>
      <c r="J21249" s="1125"/>
    </row>
    <row r="21250" spans="9:10" x14ac:dyDescent="0.2">
      <c r="I21250" s="1125"/>
      <c r="J21250" s="1125"/>
    </row>
    <row r="21251" spans="9:10" x14ac:dyDescent="0.2">
      <c r="I21251" s="1125"/>
      <c r="J21251" s="1125"/>
    </row>
    <row r="21252" spans="9:10" x14ac:dyDescent="0.2">
      <c r="I21252" s="1125"/>
      <c r="J21252" s="1125"/>
    </row>
    <row r="21253" spans="9:10" x14ac:dyDescent="0.2">
      <c r="I21253" s="1125"/>
      <c r="J21253" s="1125"/>
    </row>
    <row r="21254" spans="9:10" x14ac:dyDescent="0.2">
      <c r="I21254" s="1125"/>
      <c r="J21254" s="1125"/>
    </row>
    <row r="21255" spans="9:10" x14ac:dyDescent="0.2">
      <c r="I21255" s="1125"/>
      <c r="J21255" s="1125"/>
    </row>
    <row r="21256" spans="9:10" x14ac:dyDescent="0.2">
      <c r="I21256" s="1125"/>
      <c r="J21256" s="1125"/>
    </row>
    <row r="21257" spans="9:10" x14ac:dyDescent="0.2">
      <c r="I21257" s="1125"/>
      <c r="J21257" s="1125"/>
    </row>
    <row r="21258" spans="9:10" x14ac:dyDescent="0.2">
      <c r="I21258" s="1125"/>
      <c r="J21258" s="1125"/>
    </row>
    <row r="21259" spans="9:10" x14ac:dyDescent="0.2">
      <c r="I21259" s="1125"/>
      <c r="J21259" s="1125"/>
    </row>
    <row r="21260" spans="9:10" x14ac:dyDescent="0.2">
      <c r="I21260" s="1125"/>
      <c r="J21260" s="1125"/>
    </row>
    <row r="21261" spans="9:10" x14ac:dyDescent="0.2">
      <c r="I21261" s="1125"/>
      <c r="J21261" s="1125"/>
    </row>
    <row r="21262" spans="9:10" x14ac:dyDescent="0.2">
      <c r="I21262" s="1125"/>
      <c r="J21262" s="1125"/>
    </row>
    <row r="21263" spans="9:10" x14ac:dyDescent="0.2">
      <c r="I21263" s="1125"/>
      <c r="J21263" s="1125"/>
    </row>
    <row r="21264" spans="9:10" x14ac:dyDescent="0.2">
      <c r="I21264" s="1125"/>
      <c r="J21264" s="1125"/>
    </row>
    <row r="21265" spans="9:10" x14ac:dyDescent="0.2">
      <c r="I21265" s="1125"/>
      <c r="J21265" s="1125"/>
    </row>
    <row r="21266" spans="9:10" x14ac:dyDescent="0.2">
      <c r="I21266" s="1125"/>
      <c r="J21266" s="1125"/>
    </row>
    <row r="21267" spans="9:10" x14ac:dyDescent="0.2">
      <c r="I21267" s="1125"/>
      <c r="J21267" s="1125"/>
    </row>
    <row r="21268" spans="9:10" x14ac:dyDescent="0.2">
      <c r="I21268" s="1125"/>
      <c r="J21268" s="1125"/>
    </row>
    <row r="21269" spans="9:10" x14ac:dyDescent="0.2">
      <c r="I21269" s="1125"/>
      <c r="J21269" s="1125"/>
    </row>
    <row r="21270" spans="9:10" x14ac:dyDescent="0.2">
      <c r="I21270" s="1125"/>
      <c r="J21270" s="1125"/>
    </row>
    <row r="21271" spans="9:10" x14ac:dyDescent="0.2">
      <c r="I21271" s="1125"/>
      <c r="J21271" s="1125"/>
    </row>
    <row r="21272" spans="9:10" x14ac:dyDescent="0.2">
      <c r="I21272" s="1125"/>
      <c r="J21272" s="1125"/>
    </row>
    <row r="21273" spans="9:10" x14ac:dyDescent="0.2">
      <c r="I21273" s="1125"/>
      <c r="J21273" s="1125"/>
    </row>
    <row r="21274" spans="9:10" x14ac:dyDescent="0.2">
      <c r="I21274" s="1125"/>
      <c r="J21274" s="1125"/>
    </row>
    <row r="21275" spans="9:10" x14ac:dyDescent="0.2">
      <c r="I21275" s="1125"/>
      <c r="J21275" s="1125"/>
    </row>
    <row r="21276" spans="9:10" x14ac:dyDescent="0.2">
      <c r="I21276" s="1125"/>
      <c r="J21276" s="1125"/>
    </row>
    <row r="21277" spans="9:10" x14ac:dyDescent="0.2">
      <c r="I21277" s="1125"/>
      <c r="J21277" s="1125"/>
    </row>
    <row r="21278" spans="9:10" x14ac:dyDescent="0.2">
      <c r="I21278" s="1125"/>
      <c r="J21278" s="1125"/>
    </row>
    <row r="21279" spans="9:10" x14ac:dyDescent="0.2">
      <c r="I21279" s="1125"/>
      <c r="J21279" s="1125"/>
    </row>
    <row r="21280" spans="9:10" x14ac:dyDescent="0.2">
      <c r="I21280" s="1125"/>
      <c r="J21280" s="1125"/>
    </row>
    <row r="21281" spans="9:10" x14ac:dyDescent="0.2">
      <c r="I21281" s="1125"/>
      <c r="J21281" s="1125"/>
    </row>
    <row r="21282" spans="9:10" x14ac:dyDescent="0.2">
      <c r="I21282" s="1125"/>
      <c r="J21282" s="1125"/>
    </row>
    <row r="21283" spans="9:10" x14ac:dyDescent="0.2">
      <c r="I21283" s="1125"/>
      <c r="J21283" s="1125"/>
    </row>
    <row r="21284" spans="9:10" x14ac:dyDescent="0.2">
      <c r="I21284" s="1125"/>
      <c r="J21284" s="1125"/>
    </row>
    <row r="21285" spans="9:10" x14ac:dyDescent="0.2">
      <c r="I21285" s="1125"/>
      <c r="J21285" s="1125"/>
    </row>
    <row r="21286" spans="9:10" x14ac:dyDescent="0.2">
      <c r="I21286" s="1125"/>
      <c r="J21286" s="1125"/>
    </row>
    <row r="21287" spans="9:10" x14ac:dyDescent="0.2">
      <c r="I21287" s="1125"/>
      <c r="J21287" s="1125"/>
    </row>
    <row r="21288" spans="9:10" x14ac:dyDescent="0.2">
      <c r="I21288" s="1125"/>
      <c r="J21288" s="1125"/>
    </row>
    <row r="21289" spans="9:10" x14ac:dyDescent="0.2">
      <c r="I21289" s="1125"/>
      <c r="J21289" s="1125"/>
    </row>
    <row r="21290" spans="9:10" x14ac:dyDescent="0.2">
      <c r="I21290" s="1125"/>
      <c r="J21290" s="1125"/>
    </row>
    <row r="21291" spans="9:10" x14ac:dyDescent="0.2">
      <c r="I21291" s="1125"/>
      <c r="J21291" s="1125"/>
    </row>
    <row r="21292" spans="9:10" x14ac:dyDescent="0.2">
      <c r="I21292" s="1125"/>
      <c r="J21292" s="1125"/>
    </row>
    <row r="21293" spans="9:10" x14ac:dyDescent="0.2">
      <c r="I21293" s="1125"/>
      <c r="J21293" s="1125"/>
    </row>
    <row r="21294" spans="9:10" x14ac:dyDescent="0.2">
      <c r="I21294" s="1125"/>
      <c r="J21294" s="1125"/>
    </row>
    <row r="21295" spans="9:10" x14ac:dyDescent="0.2">
      <c r="I21295" s="1125"/>
      <c r="J21295" s="1125"/>
    </row>
    <row r="21296" spans="9:10" x14ac:dyDescent="0.2">
      <c r="I21296" s="1125"/>
      <c r="J21296" s="1125"/>
    </row>
    <row r="21297" spans="9:10" x14ac:dyDescent="0.2">
      <c r="I21297" s="1125"/>
      <c r="J21297" s="1125"/>
    </row>
    <row r="21298" spans="9:10" x14ac:dyDescent="0.2">
      <c r="I21298" s="1125"/>
      <c r="J21298" s="1125"/>
    </row>
    <row r="21299" spans="9:10" x14ac:dyDescent="0.2">
      <c r="I21299" s="1125"/>
      <c r="J21299" s="1125"/>
    </row>
    <row r="21300" spans="9:10" x14ac:dyDescent="0.2">
      <c r="I21300" s="1125"/>
      <c r="J21300" s="1125"/>
    </row>
    <row r="21301" spans="9:10" x14ac:dyDescent="0.2">
      <c r="I21301" s="1125"/>
      <c r="J21301" s="1125"/>
    </row>
    <row r="21302" spans="9:10" x14ac:dyDescent="0.2">
      <c r="I21302" s="1125"/>
      <c r="J21302" s="1125"/>
    </row>
    <row r="21303" spans="9:10" x14ac:dyDescent="0.2">
      <c r="I21303" s="1125"/>
      <c r="J21303" s="1125"/>
    </row>
    <row r="21304" spans="9:10" x14ac:dyDescent="0.2">
      <c r="I21304" s="1125"/>
      <c r="J21304" s="1125"/>
    </row>
    <row r="21305" spans="9:10" x14ac:dyDescent="0.2">
      <c r="I21305" s="1125"/>
      <c r="J21305" s="1125"/>
    </row>
    <row r="21306" spans="9:10" x14ac:dyDescent="0.2">
      <c r="I21306" s="1125"/>
      <c r="J21306" s="1125"/>
    </row>
    <row r="21307" spans="9:10" x14ac:dyDescent="0.2">
      <c r="I21307" s="1125"/>
      <c r="J21307" s="1125"/>
    </row>
    <row r="21308" spans="9:10" x14ac:dyDescent="0.2">
      <c r="I21308" s="1125"/>
      <c r="J21308" s="1125"/>
    </row>
    <row r="21309" spans="9:10" x14ac:dyDescent="0.2">
      <c r="I21309" s="1125"/>
      <c r="J21309" s="1125"/>
    </row>
    <row r="21310" spans="9:10" x14ac:dyDescent="0.2">
      <c r="I21310" s="1125"/>
      <c r="J21310" s="1125"/>
    </row>
    <row r="21311" spans="9:10" x14ac:dyDescent="0.2">
      <c r="I21311" s="1125"/>
      <c r="J21311" s="1125"/>
    </row>
    <row r="21312" spans="9:10" x14ac:dyDescent="0.2">
      <c r="I21312" s="1125"/>
      <c r="J21312" s="1125"/>
    </row>
    <row r="21313" spans="9:10" x14ac:dyDescent="0.2">
      <c r="I21313" s="1125"/>
      <c r="J21313" s="1125"/>
    </row>
    <row r="21314" spans="9:10" x14ac:dyDescent="0.2">
      <c r="I21314" s="1125"/>
      <c r="J21314" s="1125"/>
    </row>
    <row r="21315" spans="9:10" x14ac:dyDescent="0.2">
      <c r="I21315" s="1125"/>
      <c r="J21315" s="1125"/>
    </row>
    <row r="21316" spans="9:10" x14ac:dyDescent="0.2">
      <c r="I21316" s="1125"/>
      <c r="J21316" s="1125"/>
    </row>
    <row r="21317" spans="9:10" x14ac:dyDescent="0.2">
      <c r="I21317" s="1125"/>
      <c r="J21317" s="1125"/>
    </row>
    <row r="21318" spans="9:10" x14ac:dyDescent="0.2">
      <c r="I21318" s="1125"/>
      <c r="J21318" s="1125"/>
    </row>
    <row r="21319" spans="9:10" x14ac:dyDescent="0.2">
      <c r="I21319" s="1125"/>
      <c r="J21319" s="1125"/>
    </row>
    <row r="21320" spans="9:10" x14ac:dyDescent="0.2">
      <c r="I21320" s="1125"/>
      <c r="J21320" s="1125"/>
    </row>
    <row r="21321" spans="9:10" x14ac:dyDescent="0.2">
      <c r="I21321" s="1125"/>
      <c r="J21321" s="1125"/>
    </row>
    <row r="21322" spans="9:10" x14ac:dyDescent="0.2">
      <c r="I21322" s="1125"/>
      <c r="J21322" s="1125"/>
    </row>
    <row r="21323" spans="9:10" x14ac:dyDescent="0.2">
      <c r="I21323" s="1125"/>
      <c r="J21323" s="1125"/>
    </row>
    <row r="21324" spans="9:10" x14ac:dyDescent="0.2">
      <c r="I21324" s="1125"/>
      <c r="J21324" s="1125"/>
    </row>
    <row r="21325" spans="9:10" x14ac:dyDescent="0.2">
      <c r="I21325" s="1125"/>
      <c r="J21325" s="1125"/>
    </row>
    <row r="21326" spans="9:10" x14ac:dyDescent="0.2">
      <c r="I21326" s="1125"/>
      <c r="J21326" s="1125"/>
    </row>
    <row r="21327" spans="9:10" x14ac:dyDescent="0.2">
      <c r="I21327" s="1125"/>
      <c r="J21327" s="1125"/>
    </row>
    <row r="21328" spans="9:10" x14ac:dyDescent="0.2">
      <c r="I21328" s="1125"/>
      <c r="J21328" s="1125"/>
    </row>
    <row r="21329" spans="9:10" x14ac:dyDescent="0.2">
      <c r="I21329" s="1125"/>
      <c r="J21329" s="1125"/>
    </row>
    <row r="21330" spans="9:10" x14ac:dyDescent="0.2">
      <c r="I21330" s="1125"/>
      <c r="J21330" s="1125"/>
    </row>
    <row r="21331" spans="9:10" x14ac:dyDescent="0.2">
      <c r="I21331" s="1125"/>
      <c r="J21331" s="1125"/>
    </row>
    <row r="21332" spans="9:10" x14ac:dyDescent="0.2">
      <c r="I21332" s="1125"/>
      <c r="J21332" s="1125"/>
    </row>
    <row r="21333" spans="9:10" x14ac:dyDescent="0.2">
      <c r="I21333" s="1125"/>
      <c r="J21333" s="1125"/>
    </row>
    <row r="21334" spans="9:10" x14ac:dyDescent="0.2">
      <c r="I21334" s="1125"/>
      <c r="J21334" s="1125"/>
    </row>
    <row r="21335" spans="9:10" x14ac:dyDescent="0.2">
      <c r="I21335" s="1125"/>
      <c r="J21335" s="1125"/>
    </row>
    <row r="21336" spans="9:10" x14ac:dyDescent="0.2">
      <c r="I21336" s="1125"/>
      <c r="J21336" s="1125"/>
    </row>
    <row r="21337" spans="9:10" x14ac:dyDescent="0.2">
      <c r="I21337" s="1125"/>
      <c r="J21337" s="1125"/>
    </row>
    <row r="21338" spans="9:10" x14ac:dyDescent="0.2">
      <c r="I21338" s="1125"/>
      <c r="J21338" s="1125"/>
    </row>
    <row r="21339" spans="9:10" x14ac:dyDescent="0.2">
      <c r="I21339" s="1125"/>
      <c r="J21339" s="1125"/>
    </row>
    <row r="21340" spans="9:10" x14ac:dyDescent="0.2">
      <c r="I21340" s="1125"/>
      <c r="J21340" s="1125"/>
    </row>
    <row r="21341" spans="9:10" x14ac:dyDescent="0.2">
      <c r="I21341" s="1125"/>
      <c r="J21341" s="1125"/>
    </row>
    <row r="21342" spans="9:10" x14ac:dyDescent="0.2">
      <c r="I21342" s="1125"/>
      <c r="J21342" s="1125"/>
    </row>
    <row r="21343" spans="9:10" x14ac:dyDescent="0.2">
      <c r="I21343" s="1125"/>
      <c r="J21343" s="1125"/>
    </row>
    <row r="21344" spans="9:10" x14ac:dyDescent="0.2">
      <c r="I21344" s="1125"/>
      <c r="J21344" s="1125"/>
    </row>
    <row r="21345" spans="9:10" x14ac:dyDescent="0.2">
      <c r="I21345" s="1125"/>
      <c r="J21345" s="1125"/>
    </row>
    <row r="21346" spans="9:10" x14ac:dyDescent="0.2">
      <c r="I21346" s="1125"/>
      <c r="J21346" s="1125"/>
    </row>
    <row r="21347" spans="9:10" x14ac:dyDescent="0.2">
      <c r="I21347" s="1125"/>
      <c r="J21347" s="1125"/>
    </row>
    <row r="21348" spans="9:10" x14ac:dyDescent="0.2">
      <c r="I21348" s="1125"/>
      <c r="J21348" s="1125"/>
    </row>
    <row r="21349" spans="9:10" x14ac:dyDescent="0.2">
      <c r="I21349" s="1125"/>
      <c r="J21349" s="1125"/>
    </row>
    <row r="21350" spans="9:10" x14ac:dyDescent="0.2">
      <c r="I21350" s="1125"/>
      <c r="J21350" s="1125"/>
    </row>
    <row r="21351" spans="9:10" x14ac:dyDescent="0.2">
      <c r="I21351" s="1125"/>
      <c r="J21351" s="1125"/>
    </row>
    <row r="21352" spans="9:10" x14ac:dyDescent="0.2">
      <c r="I21352" s="1125"/>
      <c r="J21352" s="1125"/>
    </row>
    <row r="21353" spans="9:10" x14ac:dyDescent="0.2">
      <c r="I21353" s="1125"/>
      <c r="J21353" s="1125"/>
    </row>
    <row r="21354" spans="9:10" x14ac:dyDescent="0.2">
      <c r="I21354" s="1125"/>
      <c r="J21354" s="1125"/>
    </row>
    <row r="21355" spans="9:10" x14ac:dyDescent="0.2">
      <c r="I21355" s="1125"/>
      <c r="J21355" s="1125"/>
    </row>
    <row r="21356" spans="9:10" x14ac:dyDescent="0.2">
      <c r="I21356" s="1125"/>
      <c r="J21356" s="1125"/>
    </row>
    <row r="21357" spans="9:10" x14ac:dyDescent="0.2">
      <c r="I21357" s="1125"/>
      <c r="J21357" s="1125"/>
    </row>
    <row r="21358" spans="9:10" x14ac:dyDescent="0.2">
      <c r="I21358" s="1125"/>
      <c r="J21358" s="1125"/>
    </row>
    <row r="21359" spans="9:10" x14ac:dyDescent="0.2">
      <c r="I21359" s="1125"/>
      <c r="J21359" s="1125"/>
    </row>
    <row r="21360" spans="9:10" x14ac:dyDescent="0.2">
      <c r="I21360" s="1125"/>
      <c r="J21360" s="1125"/>
    </row>
    <row r="21361" spans="9:10" x14ac:dyDescent="0.2">
      <c r="I21361" s="1125"/>
      <c r="J21361" s="1125"/>
    </row>
    <row r="21362" spans="9:10" x14ac:dyDescent="0.2">
      <c r="I21362" s="1125"/>
      <c r="J21362" s="1125"/>
    </row>
    <row r="21363" spans="9:10" x14ac:dyDescent="0.2">
      <c r="I21363" s="1125"/>
      <c r="J21363" s="1125"/>
    </row>
    <row r="21364" spans="9:10" x14ac:dyDescent="0.2">
      <c r="I21364" s="1125"/>
      <c r="J21364" s="1125"/>
    </row>
    <row r="21365" spans="9:10" x14ac:dyDescent="0.2">
      <c r="I21365" s="1125"/>
      <c r="J21365" s="1125"/>
    </row>
    <row r="21366" spans="9:10" x14ac:dyDescent="0.2">
      <c r="I21366" s="1125"/>
      <c r="J21366" s="1125"/>
    </row>
    <row r="21367" spans="9:10" x14ac:dyDescent="0.2">
      <c r="I21367" s="1125"/>
      <c r="J21367" s="1125"/>
    </row>
    <row r="21368" spans="9:10" x14ac:dyDescent="0.2">
      <c r="I21368" s="1125"/>
      <c r="J21368" s="1125"/>
    </row>
    <row r="21369" spans="9:10" x14ac:dyDescent="0.2">
      <c r="I21369" s="1125"/>
      <c r="J21369" s="1125"/>
    </row>
    <row r="21370" spans="9:10" x14ac:dyDescent="0.2">
      <c r="I21370" s="1125"/>
      <c r="J21370" s="1125"/>
    </row>
    <row r="21371" spans="9:10" x14ac:dyDescent="0.2">
      <c r="I21371" s="1125"/>
      <c r="J21371" s="1125"/>
    </row>
    <row r="21372" spans="9:10" x14ac:dyDescent="0.2">
      <c r="I21372" s="1125"/>
      <c r="J21372" s="1125"/>
    </row>
    <row r="21373" spans="9:10" x14ac:dyDescent="0.2">
      <c r="I21373" s="1125"/>
      <c r="J21373" s="1125"/>
    </row>
    <row r="21374" spans="9:10" x14ac:dyDescent="0.2">
      <c r="I21374" s="1125"/>
      <c r="J21374" s="1125"/>
    </row>
    <row r="21375" spans="9:10" x14ac:dyDescent="0.2">
      <c r="I21375" s="1125"/>
      <c r="J21375" s="1125"/>
    </row>
    <row r="21376" spans="9:10" x14ac:dyDescent="0.2">
      <c r="I21376" s="1125"/>
      <c r="J21376" s="1125"/>
    </row>
    <row r="21377" spans="9:10" x14ac:dyDescent="0.2">
      <c r="I21377" s="1125"/>
      <c r="J21377" s="1125"/>
    </row>
    <row r="21378" spans="9:10" x14ac:dyDescent="0.2">
      <c r="I21378" s="1125"/>
      <c r="J21378" s="1125"/>
    </row>
    <row r="21379" spans="9:10" x14ac:dyDescent="0.2">
      <c r="I21379" s="1125"/>
      <c r="J21379" s="1125"/>
    </row>
    <row r="21380" spans="9:10" x14ac:dyDescent="0.2">
      <c r="I21380" s="1125"/>
      <c r="J21380" s="1125"/>
    </row>
    <row r="21381" spans="9:10" x14ac:dyDescent="0.2">
      <c r="I21381" s="1125"/>
      <c r="J21381" s="1125"/>
    </row>
    <row r="21382" spans="9:10" x14ac:dyDescent="0.2">
      <c r="I21382" s="1125"/>
      <c r="J21382" s="1125"/>
    </row>
    <row r="21383" spans="9:10" x14ac:dyDescent="0.2">
      <c r="I21383" s="1125"/>
      <c r="J21383" s="1125"/>
    </row>
    <row r="21384" spans="9:10" x14ac:dyDescent="0.2">
      <c r="I21384" s="1125"/>
      <c r="J21384" s="1125"/>
    </row>
    <row r="21385" spans="9:10" x14ac:dyDescent="0.2">
      <c r="I21385" s="1125"/>
      <c r="J21385" s="1125"/>
    </row>
    <row r="21386" spans="9:10" x14ac:dyDescent="0.2">
      <c r="I21386" s="1125"/>
      <c r="J21386" s="1125"/>
    </row>
    <row r="21387" spans="9:10" x14ac:dyDescent="0.2">
      <c r="I21387" s="1125"/>
      <c r="J21387" s="1125"/>
    </row>
    <row r="21388" spans="9:10" x14ac:dyDescent="0.2">
      <c r="I21388" s="1125"/>
      <c r="J21388" s="1125"/>
    </row>
    <row r="21389" spans="9:10" x14ac:dyDescent="0.2">
      <c r="I21389" s="1125"/>
      <c r="J21389" s="1125"/>
    </row>
    <row r="21390" spans="9:10" x14ac:dyDescent="0.2">
      <c r="I21390" s="1125"/>
      <c r="J21390" s="1125"/>
    </row>
    <row r="21391" spans="9:10" x14ac:dyDescent="0.2">
      <c r="I21391" s="1125"/>
      <c r="J21391" s="1125"/>
    </row>
    <row r="21392" spans="9:10" x14ac:dyDescent="0.2">
      <c r="I21392" s="1125"/>
      <c r="J21392" s="1125"/>
    </row>
    <row r="21393" spans="9:10" x14ac:dyDescent="0.2">
      <c r="I21393" s="1125"/>
      <c r="J21393" s="1125"/>
    </row>
    <row r="21394" spans="9:10" x14ac:dyDescent="0.2">
      <c r="I21394" s="1125"/>
      <c r="J21394" s="1125"/>
    </row>
    <row r="21395" spans="9:10" x14ac:dyDescent="0.2">
      <c r="I21395" s="1125"/>
      <c r="J21395" s="1125"/>
    </row>
    <row r="21396" spans="9:10" x14ac:dyDescent="0.2">
      <c r="I21396" s="1125"/>
      <c r="J21396" s="1125"/>
    </row>
    <row r="21397" spans="9:10" x14ac:dyDescent="0.2">
      <c r="I21397" s="1125"/>
      <c r="J21397" s="1125"/>
    </row>
    <row r="21398" spans="9:10" x14ac:dyDescent="0.2">
      <c r="I21398" s="1125"/>
      <c r="J21398" s="1125"/>
    </row>
    <row r="21399" spans="9:10" x14ac:dyDescent="0.2">
      <c r="I21399" s="1125"/>
      <c r="J21399" s="1125"/>
    </row>
    <row r="21400" spans="9:10" x14ac:dyDescent="0.2">
      <c r="I21400" s="1125"/>
      <c r="J21400" s="1125"/>
    </row>
    <row r="21401" spans="9:10" x14ac:dyDescent="0.2">
      <c r="I21401" s="1125"/>
      <c r="J21401" s="1125"/>
    </row>
    <row r="21402" spans="9:10" x14ac:dyDescent="0.2">
      <c r="I21402" s="1125"/>
      <c r="J21402" s="1125"/>
    </row>
    <row r="21403" spans="9:10" x14ac:dyDescent="0.2">
      <c r="I21403" s="1125"/>
      <c r="J21403" s="1125"/>
    </row>
    <row r="21404" spans="9:10" x14ac:dyDescent="0.2">
      <c r="I21404" s="1125"/>
      <c r="J21404" s="1125"/>
    </row>
    <row r="21405" spans="9:10" x14ac:dyDescent="0.2">
      <c r="I21405" s="1125"/>
      <c r="J21405" s="1125"/>
    </row>
    <row r="21406" spans="9:10" x14ac:dyDescent="0.2">
      <c r="I21406" s="1125"/>
      <c r="J21406" s="1125"/>
    </row>
    <row r="21407" spans="9:10" x14ac:dyDescent="0.2">
      <c r="I21407" s="1125"/>
      <c r="J21407" s="1125"/>
    </row>
    <row r="21408" spans="9:10" x14ac:dyDescent="0.2">
      <c r="I21408" s="1125"/>
      <c r="J21408" s="1125"/>
    </row>
    <row r="21409" spans="9:10" x14ac:dyDescent="0.2">
      <c r="I21409" s="1125"/>
      <c r="J21409" s="1125"/>
    </row>
    <row r="21410" spans="9:10" x14ac:dyDescent="0.2">
      <c r="I21410" s="1125"/>
      <c r="J21410" s="1125"/>
    </row>
    <row r="21411" spans="9:10" x14ac:dyDescent="0.2">
      <c r="I21411" s="1125"/>
      <c r="J21411" s="1125"/>
    </row>
    <row r="21412" spans="9:10" x14ac:dyDescent="0.2">
      <c r="I21412" s="1125"/>
      <c r="J21412" s="1125"/>
    </row>
    <row r="21413" spans="9:10" x14ac:dyDescent="0.2">
      <c r="I21413" s="1125"/>
      <c r="J21413" s="1125"/>
    </row>
    <row r="21414" spans="9:10" x14ac:dyDescent="0.2">
      <c r="I21414" s="1125"/>
      <c r="J21414" s="1125"/>
    </row>
    <row r="21415" spans="9:10" x14ac:dyDescent="0.2">
      <c r="I21415" s="1125"/>
      <c r="J21415" s="1125"/>
    </row>
    <row r="21416" spans="9:10" x14ac:dyDescent="0.2">
      <c r="I21416" s="1125"/>
      <c r="J21416" s="1125"/>
    </row>
    <row r="21417" spans="9:10" x14ac:dyDescent="0.2">
      <c r="I21417" s="1125"/>
      <c r="J21417" s="1125"/>
    </row>
    <row r="21418" spans="9:10" x14ac:dyDescent="0.2">
      <c r="I21418" s="1125"/>
      <c r="J21418" s="1125"/>
    </row>
    <row r="21419" spans="9:10" x14ac:dyDescent="0.2">
      <c r="I21419" s="1125"/>
      <c r="J21419" s="1125"/>
    </row>
    <row r="21420" spans="9:10" x14ac:dyDescent="0.2">
      <c r="I21420" s="1125"/>
      <c r="J21420" s="1125"/>
    </row>
    <row r="21421" spans="9:10" x14ac:dyDescent="0.2">
      <c r="I21421" s="1125"/>
      <c r="J21421" s="1125"/>
    </row>
    <row r="21422" spans="9:10" x14ac:dyDescent="0.2">
      <c r="I21422" s="1125"/>
      <c r="J21422" s="1125"/>
    </row>
    <row r="21423" spans="9:10" x14ac:dyDescent="0.2">
      <c r="I21423" s="1125"/>
      <c r="J21423" s="1125"/>
    </row>
    <row r="21424" spans="9:10" x14ac:dyDescent="0.2">
      <c r="I21424" s="1125"/>
      <c r="J21424" s="1125"/>
    </row>
    <row r="21425" spans="9:10" x14ac:dyDescent="0.2">
      <c r="I21425" s="1125"/>
      <c r="J21425" s="1125"/>
    </row>
    <row r="21426" spans="9:10" x14ac:dyDescent="0.2">
      <c r="I21426" s="1125"/>
      <c r="J21426" s="1125"/>
    </row>
    <row r="21427" spans="9:10" x14ac:dyDescent="0.2">
      <c r="I21427" s="1125"/>
      <c r="J21427" s="1125"/>
    </row>
    <row r="21428" spans="9:10" x14ac:dyDescent="0.2">
      <c r="I21428" s="1125"/>
      <c r="J21428" s="1125"/>
    </row>
    <row r="21429" spans="9:10" x14ac:dyDescent="0.2">
      <c r="I21429" s="1125"/>
      <c r="J21429" s="1125"/>
    </row>
    <row r="21430" spans="9:10" x14ac:dyDescent="0.2">
      <c r="I21430" s="1125"/>
      <c r="J21430" s="1125"/>
    </row>
    <row r="21431" spans="9:10" x14ac:dyDescent="0.2">
      <c r="I21431" s="1125"/>
      <c r="J21431" s="1125"/>
    </row>
    <row r="21432" spans="9:10" x14ac:dyDescent="0.2">
      <c r="I21432" s="1125"/>
      <c r="J21432" s="1125"/>
    </row>
    <row r="21433" spans="9:10" x14ac:dyDescent="0.2">
      <c r="I21433" s="1125"/>
      <c r="J21433" s="1125"/>
    </row>
    <row r="21434" spans="9:10" x14ac:dyDescent="0.2">
      <c r="I21434" s="1125"/>
      <c r="J21434" s="1125"/>
    </row>
    <row r="21435" spans="9:10" x14ac:dyDescent="0.2">
      <c r="I21435" s="1125"/>
      <c r="J21435" s="1125"/>
    </row>
    <row r="21436" spans="9:10" x14ac:dyDescent="0.2">
      <c r="I21436" s="1125"/>
      <c r="J21436" s="1125"/>
    </row>
    <row r="21437" spans="9:10" x14ac:dyDescent="0.2">
      <c r="I21437" s="1125"/>
      <c r="J21437" s="1125"/>
    </row>
    <row r="21438" spans="9:10" x14ac:dyDescent="0.2">
      <c r="I21438" s="1125"/>
      <c r="J21438" s="1125"/>
    </row>
    <row r="21439" spans="9:10" x14ac:dyDescent="0.2">
      <c r="I21439" s="1125"/>
      <c r="J21439" s="1125"/>
    </row>
    <row r="21440" spans="9:10" x14ac:dyDescent="0.2">
      <c r="I21440" s="1125"/>
      <c r="J21440" s="1125"/>
    </row>
    <row r="21441" spans="9:10" x14ac:dyDescent="0.2">
      <c r="I21441" s="1125"/>
      <c r="J21441" s="1125"/>
    </row>
    <row r="21442" spans="9:10" x14ac:dyDescent="0.2">
      <c r="I21442" s="1125"/>
      <c r="J21442" s="1125"/>
    </row>
    <row r="21443" spans="9:10" x14ac:dyDescent="0.2">
      <c r="I21443" s="1125"/>
      <c r="J21443" s="1125"/>
    </row>
    <row r="21444" spans="9:10" x14ac:dyDescent="0.2">
      <c r="I21444" s="1125"/>
      <c r="J21444" s="1125"/>
    </row>
    <row r="21445" spans="9:10" x14ac:dyDescent="0.2">
      <c r="I21445" s="1125"/>
      <c r="J21445" s="1125"/>
    </row>
    <row r="21446" spans="9:10" x14ac:dyDescent="0.2">
      <c r="I21446" s="1125"/>
      <c r="J21446" s="1125"/>
    </row>
    <row r="21447" spans="9:10" x14ac:dyDescent="0.2">
      <c r="I21447" s="1125"/>
      <c r="J21447" s="1125"/>
    </row>
    <row r="21448" spans="9:10" x14ac:dyDescent="0.2">
      <c r="I21448" s="1125"/>
      <c r="J21448" s="1125"/>
    </row>
    <row r="21449" spans="9:10" x14ac:dyDescent="0.2">
      <c r="I21449" s="1125"/>
      <c r="J21449" s="1125"/>
    </row>
    <row r="21450" spans="9:10" x14ac:dyDescent="0.2">
      <c r="I21450" s="1125"/>
      <c r="J21450" s="1125"/>
    </row>
    <row r="21451" spans="9:10" x14ac:dyDescent="0.2">
      <c r="I21451" s="1125"/>
      <c r="J21451" s="1125"/>
    </row>
    <row r="21452" spans="9:10" x14ac:dyDescent="0.2">
      <c r="I21452" s="1125"/>
      <c r="J21452" s="1125"/>
    </row>
    <row r="21453" spans="9:10" x14ac:dyDescent="0.2">
      <c r="I21453" s="1125"/>
      <c r="J21453" s="1125"/>
    </row>
    <row r="21454" spans="9:10" x14ac:dyDescent="0.2">
      <c r="I21454" s="1125"/>
      <c r="J21454" s="1125"/>
    </row>
    <row r="21455" spans="9:10" x14ac:dyDescent="0.2">
      <c r="I21455" s="1125"/>
      <c r="J21455" s="1125"/>
    </row>
    <row r="21456" spans="9:10" x14ac:dyDescent="0.2">
      <c r="I21456" s="1125"/>
      <c r="J21456" s="1125"/>
    </row>
    <row r="21457" spans="9:10" x14ac:dyDescent="0.2">
      <c r="I21457" s="1125"/>
      <c r="J21457" s="1125"/>
    </row>
    <row r="21458" spans="9:10" x14ac:dyDescent="0.2">
      <c r="I21458" s="1125"/>
      <c r="J21458" s="1125"/>
    </row>
    <row r="21459" spans="9:10" x14ac:dyDescent="0.2">
      <c r="I21459" s="1125"/>
      <c r="J21459" s="1125"/>
    </row>
    <row r="21460" spans="9:10" x14ac:dyDescent="0.2">
      <c r="I21460" s="1125"/>
      <c r="J21460" s="1125"/>
    </row>
    <row r="21461" spans="9:10" x14ac:dyDescent="0.2">
      <c r="I21461" s="1125"/>
      <c r="J21461" s="1125"/>
    </row>
    <row r="21462" spans="9:10" x14ac:dyDescent="0.2">
      <c r="I21462" s="1125"/>
      <c r="J21462" s="1125"/>
    </row>
    <row r="21463" spans="9:10" x14ac:dyDescent="0.2">
      <c r="I21463" s="1125"/>
      <c r="J21463" s="1125"/>
    </row>
    <row r="21464" spans="9:10" x14ac:dyDescent="0.2">
      <c r="I21464" s="1125"/>
      <c r="J21464" s="1125"/>
    </row>
    <row r="21465" spans="9:10" x14ac:dyDescent="0.2">
      <c r="I21465" s="1125"/>
      <c r="J21465" s="1125"/>
    </row>
    <row r="21466" spans="9:10" x14ac:dyDescent="0.2">
      <c r="I21466" s="1125"/>
      <c r="J21466" s="1125"/>
    </row>
    <row r="21467" spans="9:10" x14ac:dyDescent="0.2">
      <c r="I21467" s="1125"/>
      <c r="J21467" s="1125"/>
    </row>
    <row r="21468" spans="9:10" x14ac:dyDescent="0.2">
      <c r="I21468" s="1125"/>
      <c r="J21468" s="1125"/>
    </row>
    <row r="21469" spans="9:10" x14ac:dyDescent="0.2">
      <c r="I21469" s="1125"/>
      <c r="J21469" s="1125"/>
    </row>
    <row r="21470" spans="9:10" x14ac:dyDescent="0.2">
      <c r="I21470" s="1125"/>
      <c r="J21470" s="1125"/>
    </row>
    <row r="21471" spans="9:10" x14ac:dyDescent="0.2">
      <c r="I21471" s="1125"/>
      <c r="J21471" s="1125"/>
    </row>
    <row r="21472" spans="9:10" x14ac:dyDescent="0.2">
      <c r="I21472" s="1125"/>
      <c r="J21472" s="1125"/>
    </row>
    <row r="21473" spans="9:10" x14ac:dyDescent="0.2">
      <c r="I21473" s="1125"/>
      <c r="J21473" s="1125"/>
    </row>
    <row r="21474" spans="9:10" x14ac:dyDescent="0.2">
      <c r="I21474" s="1125"/>
      <c r="J21474" s="1125"/>
    </row>
    <row r="21475" spans="9:10" x14ac:dyDescent="0.2">
      <c r="I21475" s="1125"/>
      <c r="J21475" s="1125"/>
    </row>
    <row r="21476" spans="9:10" x14ac:dyDescent="0.2">
      <c r="I21476" s="1125"/>
      <c r="J21476" s="1125"/>
    </row>
    <row r="21477" spans="9:10" x14ac:dyDescent="0.2">
      <c r="I21477" s="1125"/>
      <c r="J21477" s="1125"/>
    </row>
    <row r="21478" spans="9:10" x14ac:dyDescent="0.2">
      <c r="I21478" s="1125"/>
      <c r="J21478" s="1125"/>
    </row>
    <row r="21479" spans="9:10" x14ac:dyDescent="0.2">
      <c r="I21479" s="1125"/>
      <c r="J21479" s="1125"/>
    </row>
    <row r="21480" spans="9:10" x14ac:dyDescent="0.2">
      <c r="I21480" s="1125"/>
      <c r="J21480" s="1125"/>
    </row>
    <row r="21481" spans="9:10" x14ac:dyDescent="0.2">
      <c r="I21481" s="1125"/>
      <c r="J21481" s="1125"/>
    </row>
    <row r="21482" spans="9:10" x14ac:dyDescent="0.2">
      <c r="I21482" s="1125"/>
      <c r="J21482" s="1125"/>
    </row>
    <row r="21483" spans="9:10" x14ac:dyDescent="0.2">
      <c r="I21483" s="1125"/>
      <c r="J21483" s="1125"/>
    </row>
    <row r="21484" spans="9:10" x14ac:dyDescent="0.2">
      <c r="I21484" s="1125"/>
      <c r="J21484" s="1125"/>
    </row>
    <row r="21485" spans="9:10" x14ac:dyDescent="0.2">
      <c r="I21485" s="1125"/>
      <c r="J21485" s="1125"/>
    </row>
    <row r="21486" spans="9:10" x14ac:dyDescent="0.2">
      <c r="I21486" s="1125"/>
      <c r="J21486" s="1125"/>
    </row>
    <row r="21487" spans="9:10" x14ac:dyDescent="0.2">
      <c r="I21487" s="1125"/>
      <c r="J21487" s="1125"/>
    </row>
    <row r="21488" spans="9:10" x14ac:dyDescent="0.2">
      <c r="I21488" s="1125"/>
      <c r="J21488" s="1125"/>
    </row>
    <row r="21489" spans="9:10" x14ac:dyDescent="0.2">
      <c r="I21489" s="1125"/>
      <c r="J21489" s="1125"/>
    </row>
    <row r="21490" spans="9:10" x14ac:dyDescent="0.2">
      <c r="I21490" s="1125"/>
      <c r="J21490" s="1125"/>
    </row>
    <row r="21491" spans="9:10" x14ac:dyDescent="0.2">
      <c r="I21491" s="1125"/>
      <c r="J21491" s="1125"/>
    </row>
    <row r="21492" spans="9:10" x14ac:dyDescent="0.2">
      <c r="I21492" s="1125"/>
      <c r="J21492" s="1125"/>
    </row>
    <row r="21493" spans="9:10" x14ac:dyDescent="0.2">
      <c r="I21493" s="1125"/>
      <c r="J21493" s="1125"/>
    </row>
    <row r="21494" spans="9:10" x14ac:dyDescent="0.2">
      <c r="I21494" s="1125"/>
      <c r="J21494" s="1125"/>
    </row>
    <row r="21495" spans="9:10" x14ac:dyDescent="0.2">
      <c r="I21495" s="1125"/>
      <c r="J21495" s="1125"/>
    </row>
    <row r="21496" spans="9:10" x14ac:dyDescent="0.2">
      <c r="I21496" s="1125"/>
      <c r="J21496" s="1125"/>
    </row>
    <row r="21497" spans="9:10" x14ac:dyDescent="0.2">
      <c r="I21497" s="1125"/>
      <c r="J21497" s="1125"/>
    </row>
    <row r="21498" spans="9:10" x14ac:dyDescent="0.2">
      <c r="I21498" s="1125"/>
      <c r="J21498" s="1125"/>
    </row>
    <row r="21499" spans="9:10" x14ac:dyDescent="0.2">
      <c r="I21499" s="1125"/>
      <c r="J21499" s="1125"/>
    </row>
    <row r="21500" spans="9:10" x14ac:dyDescent="0.2">
      <c r="I21500" s="1125"/>
      <c r="J21500" s="1125"/>
    </row>
    <row r="21501" spans="9:10" x14ac:dyDescent="0.2">
      <c r="I21501" s="1125"/>
      <c r="J21501" s="1125"/>
    </row>
    <row r="21502" spans="9:10" x14ac:dyDescent="0.2">
      <c r="I21502" s="1125"/>
      <c r="J21502" s="1125"/>
    </row>
    <row r="21503" spans="9:10" x14ac:dyDescent="0.2">
      <c r="I21503" s="1125"/>
      <c r="J21503" s="1125"/>
    </row>
    <row r="21504" spans="9:10" x14ac:dyDescent="0.2">
      <c r="I21504" s="1125"/>
      <c r="J21504" s="1125"/>
    </row>
    <row r="21505" spans="9:10" x14ac:dyDescent="0.2">
      <c r="I21505" s="1125"/>
      <c r="J21505" s="1125"/>
    </row>
    <row r="21506" spans="9:10" x14ac:dyDescent="0.2">
      <c r="I21506" s="1125"/>
      <c r="J21506" s="1125"/>
    </row>
    <row r="21507" spans="9:10" x14ac:dyDescent="0.2">
      <c r="I21507" s="1125"/>
      <c r="J21507" s="1125"/>
    </row>
    <row r="21508" spans="9:10" x14ac:dyDescent="0.2">
      <c r="I21508" s="1125"/>
      <c r="J21508" s="1125"/>
    </row>
    <row r="21509" spans="9:10" x14ac:dyDescent="0.2">
      <c r="I21509" s="1125"/>
      <c r="J21509" s="1125"/>
    </row>
    <row r="21510" spans="9:10" x14ac:dyDescent="0.2">
      <c r="I21510" s="1125"/>
      <c r="J21510" s="1125"/>
    </row>
    <row r="21511" spans="9:10" x14ac:dyDescent="0.2">
      <c r="I21511" s="1125"/>
      <c r="J21511" s="1125"/>
    </row>
    <row r="21512" spans="9:10" x14ac:dyDescent="0.2">
      <c r="I21512" s="1125"/>
      <c r="J21512" s="1125"/>
    </row>
    <row r="21513" spans="9:10" x14ac:dyDescent="0.2">
      <c r="I21513" s="1125"/>
      <c r="J21513" s="1125"/>
    </row>
    <row r="21514" spans="9:10" x14ac:dyDescent="0.2">
      <c r="I21514" s="1125"/>
      <c r="J21514" s="1125"/>
    </row>
    <row r="21515" spans="9:10" x14ac:dyDescent="0.2">
      <c r="I21515" s="1125"/>
      <c r="J21515" s="1125"/>
    </row>
    <row r="21516" spans="9:10" x14ac:dyDescent="0.2">
      <c r="I21516" s="1125"/>
      <c r="J21516" s="1125"/>
    </row>
    <row r="21517" spans="9:10" x14ac:dyDescent="0.2">
      <c r="I21517" s="1125"/>
      <c r="J21517" s="1125"/>
    </row>
    <row r="21518" spans="9:10" x14ac:dyDescent="0.2">
      <c r="I21518" s="1125"/>
      <c r="J21518" s="1125"/>
    </row>
    <row r="21519" spans="9:10" x14ac:dyDescent="0.2">
      <c r="I21519" s="1125"/>
      <c r="J21519" s="1125"/>
    </row>
    <row r="21520" spans="9:10" x14ac:dyDescent="0.2">
      <c r="I21520" s="1125"/>
      <c r="J21520" s="1125"/>
    </row>
    <row r="21521" spans="9:10" x14ac:dyDescent="0.2">
      <c r="I21521" s="1125"/>
      <c r="J21521" s="1125"/>
    </row>
    <row r="21522" spans="9:10" x14ac:dyDescent="0.2">
      <c r="I21522" s="1125"/>
      <c r="J21522" s="1125"/>
    </row>
    <row r="21523" spans="9:10" x14ac:dyDescent="0.2">
      <c r="I21523" s="1125"/>
      <c r="J21523" s="1125"/>
    </row>
    <row r="21524" spans="9:10" x14ac:dyDescent="0.2">
      <c r="I21524" s="1125"/>
      <c r="J21524" s="1125"/>
    </row>
    <row r="21525" spans="9:10" x14ac:dyDescent="0.2">
      <c r="I21525" s="1125"/>
      <c r="J21525" s="1125"/>
    </row>
    <row r="21526" spans="9:10" x14ac:dyDescent="0.2">
      <c r="I21526" s="1125"/>
      <c r="J21526" s="1125"/>
    </row>
    <row r="21527" spans="9:10" x14ac:dyDescent="0.2">
      <c r="I21527" s="1125"/>
      <c r="J21527" s="1125"/>
    </row>
    <row r="21528" spans="9:10" x14ac:dyDescent="0.2">
      <c r="I21528" s="1125"/>
      <c r="J21528" s="1125"/>
    </row>
    <row r="21529" spans="9:10" x14ac:dyDescent="0.2">
      <c r="I21529" s="1125"/>
      <c r="J21529" s="1125"/>
    </row>
    <row r="21530" spans="9:10" x14ac:dyDescent="0.2">
      <c r="I21530" s="1125"/>
      <c r="J21530" s="1125"/>
    </row>
    <row r="21531" spans="9:10" x14ac:dyDescent="0.2">
      <c r="I21531" s="1125"/>
      <c r="J21531" s="1125"/>
    </row>
    <row r="21532" spans="9:10" x14ac:dyDescent="0.2">
      <c r="I21532" s="1125"/>
      <c r="J21532" s="1125"/>
    </row>
    <row r="21533" spans="9:10" x14ac:dyDescent="0.2">
      <c r="I21533" s="1125"/>
      <c r="J21533" s="1125"/>
    </row>
    <row r="21534" spans="9:10" x14ac:dyDescent="0.2">
      <c r="I21534" s="1125"/>
      <c r="J21534" s="1125"/>
    </row>
    <row r="21535" spans="9:10" x14ac:dyDescent="0.2">
      <c r="I21535" s="1125"/>
      <c r="J21535" s="1125"/>
    </row>
    <row r="21536" spans="9:10" x14ac:dyDescent="0.2">
      <c r="I21536" s="1125"/>
      <c r="J21536" s="1125"/>
    </row>
    <row r="21537" spans="9:10" x14ac:dyDescent="0.2">
      <c r="I21537" s="1125"/>
      <c r="J21537" s="1125"/>
    </row>
    <row r="21538" spans="9:10" x14ac:dyDescent="0.2">
      <c r="I21538" s="1125"/>
      <c r="J21538" s="1125"/>
    </row>
    <row r="21539" spans="9:10" x14ac:dyDescent="0.2">
      <c r="I21539" s="1125"/>
      <c r="J21539" s="1125"/>
    </row>
    <row r="21540" spans="9:10" x14ac:dyDescent="0.2">
      <c r="I21540" s="1125"/>
      <c r="J21540" s="1125"/>
    </row>
    <row r="21541" spans="9:10" x14ac:dyDescent="0.2">
      <c r="I21541" s="1125"/>
      <c r="J21541" s="1125"/>
    </row>
    <row r="21542" spans="9:10" x14ac:dyDescent="0.2">
      <c r="I21542" s="1125"/>
      <c r="J21542" s="1125"/>
    </row>
    <row r="21543" spans="9:10" x14ac:dyDescent="0.2">
      <c r="I21543" s="1125"/>
      <c r="J21543" s="1125"/>
    </row>
    <row r="21544" spans="9:10" x14ac:dyDescent="0.2">
      <c r="I21544" s="1125"/>
      <c r="J21544" s="1125"/>
    </row>
    <row r="21545" spans="9:10" x14ac:dyDescent="0.2">
      <c r="I21545" s="1125"/>
      <c r="J21545" s="1125"/>
    </row>
    <row r="21546" spans="9:10" x14ac:dyDescent="0.2">
      <c r="I21546" s="1125"/>
      <c r="J21546" s="1125"/>
    </row>
    <row r="21547" spans="9:10" x14ac:dyDescent="0.2">
      <c r="I21547" s="1125"/>
      <c r="J21547" s="1125"/>
    </row>
    <row r="21548" spans="9:10" x14ac:dyDescent="0.2">
      <c r="I21548" s="1125"/>
      <c r="J21548" s="1125"/>
    </row>
    <row r="21549" spans="9:10" x14ac:dyDescent="0.2">
      <c r="I21549" s="1125"/>
      <c r="J21549" s="1125"/>
    </row>
    <row r="21550" spans="9:10" x14ac:dyDescent="0.2">
      <c r="I21550" s="1125"/>
      <c r="J21550" s="1125"/>
    </row>
    <row r="21551" spans="9:10" x14ac:dyDescent="0.2">
      <c r="I21551" s="1125"/>
      <c r="J21551" s="1125"/>
    </row>
    <row r="21552" spans="9:10" x14ac:dyDescent="0.2">
      <c r="I21552" s="1125"/>
      <c r="J21552" s="1125"/>
    </row>
    <row r="21553" spans="9:10" x14ac:dyDescent="0.2">
      <c r="I21553" s="1125"/>
      <c r="J21553" s="1125"/>
    </row>
    <row r="21554" spans="9:10" x14ac:dyDescent="0.2">
      <c r="I21554" s="1125"/>
      <c r="J21554" s="1125"/>
    </row>
    <row r="21555" spans="9:10" x14ac:dyDescent="0.2">
      <c r="I21555" s="1125"/>
      <c r="J21555" s="1125"/>
    </row>
    <row r="21556" spans="9:10" x14ac:dyDescent="0.2">
      <c r="I21556" s="1125"/>
      <c r="J21556" s="1125"/>
    </row>
    <row r="21557" spans="9:10" x14ac:dyDescent="0.2">
      <c r="I21557" s="1125"/>
      <c r="J21557" s="1125"/>
    </row>
    <row r="21558" spans="9:10" x14ac:dyDescent="0.2">
      <c r="I21558" s="1125"/>
      <c r="J21558" s="1125"/>
    </row>
    <row r="21559" spans="9:10" x14ac:dyDescent="0.2">
      <c r="I21559" s="1125"/>
      <c r="J21559" s="1125"/>
    </row>
    <row r="21560" spans="9:10" x14ac:dyDescent="0.2">
      <c r="I21560" s="1125"/>
      <c r="J21560" s="1125"/>
    </row>
    <row r="21561" spans="9:10" x14ac:dyDescent="0.2">
      <c r="I21561" s="1125"/>
      <c r="J21561" s="1125"/>
    </row>
    <row r="21562" spans="9:10" x14ac:dyDescent="0.2">
      <c r="I21562" s="1125"/>
      <c r="J21562" s="1125"/>
    </row>
    <row r="21563" spans="9:10" x14ac:dyDescent="0.2">
      <c r="I21563" s="1125"/>
      <c r="J21563" s="1125"/>
    </row>
    <row r="21564" spans="9:10" x14ac:dyDescent="0.2">
      <c r="I21564" s="1125"/>
      <c r="J21564" s="1125"/>
    </row>
    <row r="21565" spans="9:10" x14ac:dyDescent="0.2">
      <c r="I21565" s="1125"/>
      <c r="J21565" s="1125"/>
    </row>
    <row r="21566" spans="9:10" x14ac:dyDescent="0.2">
      <c r="I21566" s="1125"/>
      <c r="J21566" s="1125"/>
    </row>
    <row r="21567" spans="9:10" x14ac:dyDescent="0.2">
      <c r="I21567" s="1125"/>
      <c r="J21567" s="1125"/>
    </row>
    <row r="21568" spans="9:10" x14ac:dyDescent="0.2">
      <c r="I21568" s="1125"/>
      <c r="J21568" s="1125"/>
    </row>
    <row r="21569" spans="9:10" x14ac:dyDescent="0.2">
      <c r="I21569" s="1125"/>
      <c r="J21569" s="1125"/>
    </row>
    <row r="21570" spans="9:10" x14ac:dyDescent="0.2">
      <c r="I21570" s="1125"/>
      <c r="J21570" s="1125"/>
    </row>
    <row r="21571" spans="9:10" x14ac:dyDescent="0.2">
      <c r="I21571" s="1125"/>
      <c r="J21571" s="1125"/>
    </row>
    <row r="21572" spans="9:10" x14ac:dyDescent="0.2">
      <c r="I21572" s="1125"/>
      <c r="J21572" s="1125"/>
    </row>
    <row r="21573" spans="9:10" x14ac:dyDescent="0.2">
      <c r="I21573" s="1125"/>
      <c r="J21573" s="1125"/>
    </row>
    <row r="21574" spans="9:10" x14ac:dyDescent="0.2">
      <c r="I21574" s="1125"/>
      <c r="J21574" s="1125"/>
    </row>
    <row r="21575" spans="9:10" x14ac:dyDescent="0.2">
      <c r="I21575" s="1125"/>
      <c r="J21575" s="1125"/>
    </row>
    <row r="21576" spans="9:10" x14ac:dyDescent="0.2">
      <c r="I21576" s="1125"/>
      <c r="J21576" s="1125"/>
    </row>
    <row r="21577" spans="9:10" x14ac:dyDescent="0.2">
      <c r="I21577" s="1125"/>
      <c r="J21577" s="1125"/>
    </row>
    <row r="21578" spans="9:10" x14ac:dyDescent="0.2">
      <c r="I21578" s="1125"/>
      <c r="J21578" s="1125"/>
    </row>
    <row r="21579" spans="9:10" x14ac:dyDescent="0.2">
      <c r="I21579" s="1125"/>
      <c r="J21579" s="1125"/>
    </row>
    <row r="21580" spans="9:10" x14ac:dyDescent="0.2">
      <c r="I21580" s="1125"/>
      <c r="J21580" s="1125"/>
    </row>
    <row r="21581" spans="9:10" x14ac:dyDescent="0.2">
      <c r="I21581" s="1125"/>
      <c r="J21581" s="1125"/>
    </row>
    <row r="21582" spans="9:10" x14ac:dyDescent="0.2">
      <c r="I21582" s="1125"/>
      <c r="J21582" s="1125"/>
    </row>
    <row r="21583" spans="9:10" x14ac:dyDescent="0.2">
      <c r="I21583" s="1125"/>
      <c r="J21583" s="1125"/>
    </row>
    <row r="21584" spans="9:10" x14ac:dyDescent="0.2">
      <c r="I21584" s="1125"/>
      <c r="J21584" s="1125"/>
    </row>
    <row r="21585" spans="9:10" x14ac:dyDescent="0.2">
      <c r="I21585" s="1125"/>
      <c r="J21585" s="1125"/>
    </row>
    <row r="21586" spans="9:10" x14ac:dyDescent="0.2">
      <c r="I21586" s="1125"/>
      <c r="J21586" s="1125"/>
    </row>
    <row r="21587" spans="9:10" x14ac:dyDescent="0.2">
      <c r="I21587" s="1125"/>
      <c r="J21587" s="1125"/>
    </row>
    <row r="21588" spans="9:10" x14ac:dyDescent="0.2">
      <c r="I21588" s="1125"/>
      <c r="J21588" s="1125"/>
    </row>
    <row r="21589" spans="9:10" x14ac:dyDescent="0.2">
      <c r="I21589" s="1125"/>
      <c r="J21589" s="1125"/>
    </row>
    <row r="21590" spans="9:10" x14ac:dyDescent="0.2">
      <c r="I21590" s="1125"/>
      <c r="J21590" s="1125"/>
    </row>
    <row r="21591" spans="9:10" x14ac:dyDescent="0.2">
      <c r="I21591" s="1125"/>
      <c r="J21591" s="1125"/>
    </row>
    <row r="21592" spans="9:10" x14ac:dyDescent="0.2">
      <c r="I21592" s="1125"/>
      <c r="J21592" s="1125"/>
    </row>
    <row r="21593" spans="9:10" x14ac:dyDescent="0.2">
      <c r="I21593" s="1125"/>
      <c r="J21593" s="1125"/>
    </row>
    <row r="21594" spans="9:10" x14ac:dyDescent="0.2">
      <c r="I21594" s="1125"/>
      <c r="J21594" s="1125"/>
    </row>
    <row r="21595" spans="9:10" x14ac:dyDescent="0.2">
      <c r="I21595" s="1125"/>
      <c r="J21595" s="1125"/>
    </row>
    <row r="21596" spans="9:10" x14ac:dyDescent="0.2">
      <c r="I21596" s="1125"/>
      <c r="J21596" s="1125"/>
    </row>
    <row r="21597" spans="9:10" x14ac:dyDescent="0.2">
      <c r="I21597" s="1125"/>
      <c r="J21597" s="1125"/>
    </row>
    <row r="21598" spans="9:10" x14ac:dyDescent="0.2">
      <c r="I21598" s="1125"/>
      <c r="J21598" s="1125"/>
    </row>
    <row r="21599" spans="9:10" x14ac:dyDescent="0.2">
      <c r="I21599" s="1125"/>
      <c r="J21599" s="1125"/>
    </row>
    <row r="21600" spans="9:10" x14ac:dyDescent="0.2">
      <c r="I21600" s="1125"/>
      <c r="J21600" s="1125"/>
    </row>
    <row r="21601" spans="9:10" x14ac:dyDescent="0.2">
      <c r="I21601" s="1125"/>
      <c r="J21601" s="1125"/>
    </row>
    <row r="21602" spans="9:10" x14ac:dyDescent="0.2">
      <c r="I21602" s="1125"/>
      <c r="J21602" s="1125"/>
    </row>
    <row r="21603" spans="9:10" x14ac:dyDescent="0.2">
      <c r="I21603" s="1125"/>
      <c r="J21603" s="1125"/>
    </row>
    <row r="21604" spans="9:10" x14ac:dyDescent="0.2">
      <c r="I21604" s="1125"/>
      <c r="J21604" s="1125"/>
    </row>
    <row r="21605" spans="9:10" x14ac:dyDescent="0.2">
      <c r="I21605" s="1125"/>
      <c r="J21605" s="1125"/>
    </row>
    <row r="21606" spans="9:10" x14ac:dyDescent="0.2">
      <c r="I21606" s="1125"/>
      <c r="J21606" s="1125"/>
    </row>
    <row r="21607" spans="9:10" x14ac:dyDescent="0.2">
      <c r="I21607" s="1125"/>
      <c r="J21607" s="1125"/>
    </row>
    <row r="21608" spans="9:10" x14ac:dyDescent="0.2">
      <c r="I21608" s="1125"/>
      <c r="J21608" s="1125"/>
    </row>
    <row r="21609" spans="9:10" x14ac:dyDescent="0.2">
      <c r="I21609" s="1125"/>
      <c r="J21609" s="1125"/>
    </row>
    <row r="21610" spans="9:10" x14ac:dyDescent="0.2">
      <c r="I21610" s="1125"/>
      <c r="J21610" s="1125"/>
    </row>
    <row r="21611" spans="9:10" x14ac:dyDescent="0.2">
      <c r="I21611" s="1125"/>
      <c r="J21611" s="1125"/>
    </row>
    <row r="21612" spans="9:10" x14ac:dyDescent="0.2">
      <c r="I21612" s="1125"/>
      <c r="J21612" s="1125"/>
    </row>
    <row r="21613" spans="9:10" x14ac:dyDescent="0.2">
      <c r="I21613" s="1125"/>
      <c r="J21613" s="1125"/>
    </row>
    <row r="21614" spans="9:10" x14ac:dyDescent="0.2">
      <c r="I21614" s="1125"/>
      <c r="J21614" s="1125"/>
    </row>
    <row r="21615" spans="9:10" x14ac:dyDescent="0.2">
      <c r="I21615" s="1125"/>
      <c r="J21615" s="1125"/>
    </row>
    <row r="21616" spans="9:10" x14ac:dyDescent="0.2">
      <c r="I21616" s="1125"/>
      <c r="J21616" s="1125"/>
    </row>
    <row r="21617" spans="9:10" x14ac:dyDescent="0.2">
      <c r="I21617" s="1125"/>
      <c r="J21617" s="1125"/>
    </row>
    <row r="21618" spans="9:10" x14ac:dyDescent="0.2">
      <c r="I21618" s="1125"/>
      <c r="J21618" s="1125"/>
    </row>
    <row r="21619" spans="9:10" x14ac:dyDescent="0.2">
      <c r="I21619" s="1125"/>
      <c r="J21619" s="1125"/>
    </row>
    <row r="21620" spans="9:10" x14ac:dyDescent="0.2">
      <c r="I21620" s="1125"/>
      <c r="J21620" s="1125"/>
    </row>
    <row r="21621" spans="9:10" x14ac:dyDescent="0.2">
      <c r="I21621" s="1125"/>
      <c r="J21621" s="1125"/>
    </row>
    <row r="21622" spans="9:10" x14ac:dyDescent="0.2">
      <c r="I21622" s="1125"/>
      <c r="J21622" s="1125"/>
    </row>
    <row r="21623" spans="9:10" x14ac:dyDescent="0.2">
      <c r="I21623" s="1125"/>
      <c r="J21623" s="1125"/>
    </row>
    <row r="21624" spans="9:10" x14ac:dyDescent="0.2">
      <c r="I21624" s="1125"/>
      <c r="J21624" s="1125"/>
    </row>
    <row r="21625" spans="9:10" x14ac:dyDescent="0.2">
      <c r="I21625" s="1125"/>
      <c r="J21625" s="1125"/>
    </row>
    <row r="21626" spans="9:10" x14ac:dyDescent="0.2">
      <c r="I21626" s="1125"/>
      <c r="J21626" s="1125"/>
    </row>
    <row r="21627" spans="9:10" x14ac:dyDescent="0.2">
      <c r="I21627" s="1125"/>
      <c r="J21627" s="1125"/>
    </row>
    <row r="21628" spans="9:10" x14ac:dyDescent="0.2">
      <c r="I21628" s="1125"/>
      <c r="J21628" s="1125"/>
    </row>
    <row r="21629" spans="9:10" x14ac:dyDescent="0.2">
      <c r="I21629" s="1125"/>
      <c r="J21629" s="1125"/>
    </row>
    <row r="21630" spans="9:10" x14ac:dyDescent="0.2">
      <c r="I21630" s="1125"/>
      <c r="J21630" s="1125"/>
    </row>
    <row r="21631" spans="9:10" x14ac:dyDescent="0.2">
      <c r="I21631" s="1125"/>
      <c r="J21631" s="1125"/>
    </row>
    <row r="21632" spans="9:10" x14ac:dyDescent="0.2">
      <c r="I21632" s="1125"/>
      <c r="J21632" s="1125"/>
    </row>
    <row r="21633" spans="9:10" x14ac:dyDescent="0.2">
      <c r="I21633" s="1125"/>
      <c r="J21633" s="1125"/>
    </row>
    <row r="21634" spans="9:10" x14ac:dyDescent="0.2">
      <c r="I21634" s="1125"/>
      <c r="J21634" s="1125"/>
    </row>
    <row r="21635" spans="9:10" x14ac:dyDescent="0.2">
      <c r="I21635" s="1125"/>
      <c r="J21635" s="1125"/>
    </row>
    <row r="21636" spans="9:10" x14ac:dyDescent="0.2">
      <c r="I21636" s="1125"/>
      <c r="J21636" s="1125"/>
    </row>
    <row r="21637" spans="9:10" x14ac:dyDescent="0.2">
      <c r="I21637" s="1125"/>
      <c r="J21637" s="1125"/>
    </row>
    <row r="21638" spans="9:10" x14ac:dyDescent="0.2">
      <c r="I21638" s="1125"/>
      <c r="J21638" s="1125"/>
    </row>
    <row r="21639" spans="9:10" x14ac:dyDescent="0.2">
      <c r="I21639" s="1125"/>
      <c r="J21639" s="1125"/>
    </row>
    <row r="21640" spans="9:10" x14ac:dyDescent="0.2">
      <c r="I21640" s="1125"/>
      <c r="J21640" s="1125"/>
    </row>
    <row r="21641" spans="9:10" x14ac:dyDescent="0.2">
      <c r="I21641" s="1125"/>
      <c r="J21641" s="1125"/>
    </row>
    <row r="21642" spans="9:10" x14ac:dyDescent="0.2">
      <c r="I21642" s="1125"/>
      <c r="J21642" s="1125"/>
    </row>
    <row r="21643" spans="9:10" x14ac:dyDescent="0.2">
      <c r="I21643" s="1125"/>
      <c r="J21643" s="1125"/>
    </row>
    <row r="21644" spans="9:10" x14ac:dyDescent="0.2">
      <c r="I21644" s="1125"/>
      <c r="J21644" s="1125"/>
    </row>
    <row r="21645" spans="9:10" x14ac:dyDescent="0.2">
      <c r="I21645" s="1125"/>
      <c r="J21645" s="1125"/>
    </row>
    <row r="21646" spans="9:10" x14ac:dyDescent="0.2">
      <c r="I21646" s="1125"/>
      <c r="J21646" s="1125"/>
    </row>
    <row r="21647" spans="9:10" x14ac:dyDescent="0.2">
      <c r="I21647" s="1125"/>
      <c r="J21647" s="1125"/>
    </row>
    <row r="21648" spans="9:10" x14ac:dyDescent="0.2">
      <c r="I21648" s="1125"/>
      <c r="J21648" s="1125"/>
    </row>
    <row r="21649" spans="9:10" x14ac:dyDescent="0.2">
      <c r="I21649" s="1125"/>
      <c r="J21649" s="1125"/>
    </row>
    <row r="21650" spans="9:10" x14ac:dyDescent="0.2">
      <c r="I21650" s="1125"/>
      <c r="J21650" s="1125"/>
    </row>
    <row r="21651" spans="9:10" x14ac:dyDescent="0.2">
      <c r="I21651" s="1125"/>
      <c r="J21651" s="1125"/>
    </row>
    <row r="21652" spans="9:10" x14ac:dyDescent="0.2">
      <c r="I21652" s="1125"/>
      <c r="J21652" s="1125"/>
    </row>
    <row r="21653" spans="9:10" x14ac:dyDescent="0.2">
      <c r="I21653" s="1125"/>
      <c r="J21653" s="1125"/>
    </row>
    <row r="21654" spans="9:10" x14ac:dyDescent="0.2">
      <c r="I21654" s="1125"/>
      <c r="J21654" s="1125"/>
    </row>
    <row r="21655" spans="9:10" x14ac:dyDescent="0.2">
      <c r="I21655" s="1125"/>
      <c r="J21655" s="1125"/>
    </row>
    <row r="21656" spans="9:10" x14ac:dyDescent="0.2">
      <c r="I21656" s="1125"/>
      <c r="J21656" s="1125"/>
    </row>
    <row r="21657" spans="9:10" x14ac:dyDescent="0.2">
      <c r="I21657" s="1125"/>
      <c r="J21657" s="1125"/>
    </row>
    <row r="21658" spans="9:10" x14ac:dyDescent="0.2">
      <c r="I21658" s="1125"/>
      <c r="J21658" s="1125"/>
    </row>
    <row r="21659" spans="9:10" x14ac:dyDescent="0.2">
      <c r="I21659" s="1125"/>
      <c r="J21659" s="1125"/>
    </row>
    <row r="21660" spans="9:10" x14ac:dyDescent="0.2">
      <c r="I21660" s="1125"/>
      <c r="J21660" s="1125"/>
    </row>
    <row r="21661" spans="9:10" x14ac:dyDescent="0.2">
      <c r="I21661" s="1125"/>
      <c r="J21661" s="1125"/>
    </row>
    <row r="21662" spans="9:10" x14ac:dyDescent="0.2">
      <c r="I21662" s="1125"/>
      <c r="J21662" s="1125"/>
    </row>
    <row r="21663" spans="9:10" x14ac:dyDescent="0.2">
      <c r="I21663" s="1125"/>
      <c r="J21663" s="1125"/>
    </row>
    <row r="21664" spans="9:10" x14ac:dyDescent="0.2">
      <c r="I21664" s="1125"/>
      <c r="J21664" s="1125"/>
    </row>
    <row r="21665" spans="9:10" x14ac:dyDescent="0.2">
      <c r="I21665" s="1125"/>
      <c r="J21665" s="1125"/>
    </row>
    <row r="21666" spans="9:10" x14ac:dyDescent="0.2">
      <c r="I21666" s="1125"/>
      <c r="J21666" s="1125"/>
    </row>
    <row r="21667" spans="9:10" x14ac:dyDescent="0.2">
      <c r="I21667" s="1125"/>
      <c r="J21667" s="1125"/>
    </row>
    <row r="21668" spans="9:10" x14ac:dyDescent="0.2">
      <c r="I21668" s="1125"/>
      <c r="J21668" s="1125"/>
    </row>
    <row r="21669" spans="9:10" x14ac:dyDescent="0.2">
      <c r="I21669" s="1125"/>
      <c r="J21669" s="1125"/>
    </row>
    <row r="21670" spans="9:10" x14ac:dyDescent="0.2">
      <c r="I21670" s="1125"/>
      <c r="J21670" s="1125"/>
    </row>
    <row r="21671" spans="9:10" x14ac:dyDescent="0.2">
      <c r="I21671" s="1125"/>
      <c r="J21671" s="1125"/>
    </row>
    <row r="21672" spans="9:10" x14ac:dyDescent="0.2">
      <c r="I21672" s="1125"/>
      <c r="J21672" s="1125"/>
    </row>
    <row r="21673" spans="9:10" x14ac:dyDescent="0.2">
      <c r="I21673" s="1125"/>
      <c r="J21673" s="1125"/>
    </row>
    <row r="21674" spans="9:10" x14ac:dyDescent="0.2">
      <c r="I21674" s="1125"/>
      <c r="J21674" s="1125"/>
    </row>
    <row r="21675" spans="9:10" x14ac:dyDescent="0.2">
      <c r="I21675" s="1125"/>
      <c r="J21675" s="1125"/>
    </row>
    <row r="21676" spans="9:10" x14ac:dyDescent="0.2">
      <c r="I21676" s="1125"/>
      <c r="J21676" s="1125"/>
    </row>
    <row r="21677" spans="9:10" x14ac:dyDescent="0.2">
      <c r="I21677" s="1125"/>
      <c r="J21677" s="1125"/>
    </row>
    <row r="21678" spans="9:10" x14ac:dyDescent="0.2">
      <c r="I21678" s="1125"/>
      <c r="J21678" s="1125"/>
    </row>
    <row r="21679" spans="9:10" x14ac:dyDescent="0.2">
      <c r="I21679" s="1125"/>
      <c r="J21679" s="1125"/>
    </row>
    <row r="21680" spans="9:10" x14ac:dyDescent="0.2">
      <c r="I21680" s="1125"/>
      <c r="J21680" s="1125"/>
    </row>
    <row r="21681" spans="9:10" x14ac:dyDescent="0.2">
      <c r="I21681" s="1125"/>
      <c r="J21681" s="1125"/>
    </row>
    <row r="21682" spans="9:10" x14ac:dyDescent="0.2">
      <c r="I21682" s="1125"/>
      <c r="J21682" s="1125"/>
    </row>
    <row r="21683" spans="9:10" x14ac:dyDescent="0.2">
      <c r="I21683" s="1125"/>
      <c r="J21683" s="1125"/>
    </row>
    <row r="21684" spans="9:10" x14ac:dyDescent="0.2">
      <c r="I21684" s="1125"/>
      <c r="J21684" s="1125"/>
    </row>
    <row r="21685" spans="9:10" x14ac:dyDescent="0.2">
      <c r="I21685" s="1125"/>
      <c r="J21685" s="1125"/>
    </row>
    <row r="21686" spans="9:10" x14ac:dyDescent="0.2">
      <c r="I21686" s="1125"/>
      <c r="J21686" s="1125"/>
    </row>
    <row r="21687" spans="9:10" x14ac:dyDescent="0.2">
      <c r="I21687" s="1125"/>
      <c r="J21687" s="1125"/>
    </row>
    <row r="21688" spans="9:10" x14ac:dyDescent="0.2">
      <c r="I21688" s="1125"/>
      <c r="J21688" s="1125"/>
    </row>
    <row r="21689" spans="9:10" x14ac:dyDescent="0.2">
      <c r="I21689" s="1125"/>
      <c r="J21689" s="1125"/>
    </row>
    <row r="21690" spans="9:10" x14ac:dyDescent="0.2">
      <c r="I21690" s="1125"/>
      <c r="J21690" s="1125"/>
    </row>
    <row r="21691" spans="9:10" x14ac:dyDescent="0.2">
      <c r="I21691" s="1125"/>
      <c r="J21691" s="1125"/>
    </row>
    <row r="21692" spans="9:10" x14ac:dyDescent="0.2">
      <c r="I21692" s="1125"/>
      <c r="J21692" s="1125"/>
    </row>
    <row r="21693" spans="9:10" x14ac:dyDescent="0.2">
      <c r="I21693" s="1125"/>
      <c r="J21693" s="1125"/>
    </row>
    <row r="21694" spans="9:10" x14ac:dyDescent="0.2">
      <c r="I21694" s="1125"/>
      <c r="J21694" s="1125"/>
    </row>
    <row r="21695" spans="9:10" x14ac:dyDescent="0.2">
      <c r="I21695" s="1125"/>
      <c r="J21695" s="1125"/>
    </row>
    <row r="21696" spans="9:10" x14ac:dyDescent="0.2">
      <c r="I21696" s="1125"/>
      <c r="J21696" s="1125"/>
    </row>
    <row r="21697" spans="9:10" x14ac:dyDescent="0.2">
      <c r="I21697" s="1125"/>
      <c r="J21697" s="1125"/>
    </row>
    <row r="21698" spans="9:10" x14ac:dyDescent="0.2">
      <c r="I21698" s="1125"/>
      <c r="J21698" s="1125"/>
    </row>
    <row r="21699" spans="9:10" x14ac:dyDescent="0.2">
      <c r="I21699" s="1125"/>
      <c r="J21699" s="1125"/>
    </row>
    <row r="21700" spans="9:10" x14ac:dyDescent="0.2">
      <c r="I21700" s="1125"/>
      <c r="J21700" s="1125"/>
    </row>
    <row r="21701" spans="9:10" x14ac:dyDescent="0.2">
      <c r="I21701" s="1125"/>
      <c r="J21701" s="1125"/>
    </row>
    <row r="21702" spans="9:10" x14ac:dyDescent="0.2">
      <c r="I21702" s="1125"/>
      <c r="J21702" s="1125"/>
    </row>
    <row r="21703" spans="9:10" x14ac:dyDescent="0.2">
      <c r="I21703" s="1125"/>
      <c r="J21703" s="1125"/>
    </row>
    <row r="21704" spans="9:10" x14ac:dyDescent="0.2">
      <c r="I21704" s="1125"/>
      <c r="J21704" s="1125"/>
    </row>
    <row r="21705" spans="9:10" x14ac:dyDescent="0.2">
      <c r="I21705" s="1125"/>
      <c r="J21705" s="1125"/>
    </row>
    <row r="21706" spans="9:10" x14ac:dyDescent="0.2">
      <c r="I21706" s="1125"/>
      <c r="J21706" s="1125"/>
    </row>
    <row r="21707" spans="9:10" x14ac:dyDescent="0.2">
      <c r="I21707" s="1125"/>
      <c r="J21707" s="1125"/>
    </row>
    <row r="21708" spans="9:10" x14ac:dyDescent="0.2">
      <c r="I21708" s="1125"/>
      <c r="J21708" s="1125"/>
    </row>
    <row r="21709" spans="9:10" x14ac:dyDescent="0.2">
      <c r="I21709" s="1125"/>
      <c r="J21709" s="1125"/>
    </row>
    <row r="21710" spans="9:10" x14ac:dyDescent="0.2">
      <c r="I21710" s="1125"/>
      <c r="J21710" s="1125"/>
    </row>
    <row r="21711" spans="9:10" x14ac:dyDescent="0.2">
      <c r="I21711" s="1125"/>
      <c r="J21711" s="1125"/>
    </row>
    <row r="21712" spans="9:10" x14ac:dyDescent="0.2">
      <c r="I21712" s="1125"/>
      <c r="J21712" s="1125"/>
    </row>
    <row r="21713" spans="9:10" x14ac:dyDescent="0.2">
      <c r="I21713" s="1125"/>
      <c r="J21713" s="1125"/>
    </row>
    <row r="21714" spans="9:10" x14ac:dyDescent="0.2">
      <c r="I21714" s="1125"/>
      <c r="J21714" s="1125"/>
    </row>
    <row r="21715" spans="9:10" x14ac:dyDescent="0.2">
      <c r="I21715" s="1125"/>
      <c r="J21715" s="1125"/>
    </row>
    <row r="21716" spans="9:10" x14ac:dyDescent="0.2">
      <c r="I21716" s="1125"/>
      <c r="J21716" s="1125"/>
    </row>
    <row r="21717" spans="9:10" x14ac:dyDescent="0.2">
      <c r="I21717" s="1125"/>
      <c r="J21717" s="1125"/>
    </row>
    <row r="21718" spans="9:10" x14ac:dyDescent="0.2">
      <c r="I21718" s="1125"/>
      <c r="J21718" s="1125"/>
    </row>
    <row r="21719" spans="9:10" x14ac:dyDescent="0.2">
      <c r="I21719" s="1125"/>
      <c r="J21719" s="1125"/>
    </row>
    <row r="21720" spans="9:10" x14ac:dyDescent="0.2">
      <c r="I21720" s="1125"/>
      <c r="J21720" s="1125"/>
    </row>
    <row r="21721" spans="9:10" x14ac:dyDescent="0.2">
      <c r="I21721" s="1125"/>
      <c r="J21721" s="1125"/>
    </row>
    <row r="21722" spans="9:10" x14ac:dyDescent="0.2">
      <c r="I21722" s="1125"/>
      <c r="J21722" s="1125"/>
    </row>
    <row r="21723" spans="9:10" x14ac:dyDescent="0.2">
      <c r="I21723" s="1125"/>
      <c r="J21723" s="1125"/>
    </row>
    <row r="21724" spans="9:10" x14ac:dyDescent="0.2">
      <c r="I21724" s="1125"/>
      <c r="J21724" s="1125"/>
    </row>
    <row r="21725" spans="9:10" x14ac:dyDescent="0.2">
      <c r="I21725" s="1125"/>
      <c r="J21725" s="1125"/>
    </row>
    <row r="21726" spans="9:10" x14ac:dyDescent="0.2">
      <c r="I21726" s="1125"/>
      <c r="J21726" s="1125"/>
    </row>
    <row r="21727" spans="9:10" x14ac:dyDescent="0.2">
      <c r="I21727" s="1125"/>
      <c r="J21727" s="1125"/>
    </row>
    <row r="21728" spans="9:10" x14ac:dyDescent="0.2">
      <c r="I21728" s="1125"/>
      <c r="J21728" s="1125"/>
    </row>
    <row r="21729" spans="9:10" x14ac:dyDescent="0.2">
      <c r="I21729" s="1125"/>
      <c r="J21729" s="1125"/>
    </row>
    <row r="21730" spans="9:10" x14ac:dyDescent="0.2">
      <c r="I21730" s="1125"/>
      <c r="J21730" s="1125"/>
    </row>
    <row r="21731" spans="9:10" x14ac:dyDescent="0.2">
      <c r="I21731" s="1125"/>
      <c r="J21731" s="1125"/>
    </row>
    <row r="21732" spans="9:10" x14ac:dyDescent="0.2">
      <c r="I21732" s="1125"/>
      <c r="J21732" s="1125"/>
    </row>
    <row r="21733" spans="9:10" x14ac:dyDescent="0.2">
      <c r="I21733" s="1125"/>
      <c r="J21733" s="1125"/>
    </row>
    <row r="21734" spans="9:10" x14ac:dyDescent="0.2">
      <c r="I21734" s="1125"/>
      <c r="J21734" s="1125"/>
    </row>
    <row r="21735" spans="9:10" x14ac:dyDescent="0.2">
      <c r="I21735" s="1125"/>
      <c r="J21735" s="1125"/>
    </row>
    <row r="21736" spans="9:10" x14ac:dyDescent="0.2">
      <c r="I21736" s="1125"/>
      <c r="J21736" s="1125"/>
    </row>
    <row r="21737" spans="9:10" x14ac:dyDescent="0.2">
      <c r="I21737" s="1125"/>
      <c r="J21737" s="1125"/>
    </row>
    <row r="21738" spans="9:10" x14ac:dyDescent="0.2">
      <c r="I21738" s="1125"/>
      <c r="J21738" s="1125"/>
    </row>
    <row r="21739" spans="9:10" x14ac:dyDescent="0.2">
      <c r="I21739" s="1125"/>
      <c r="J21739" s="1125"/>
    </row>
    <row r="21740" spans="9:10" x14ac:dyDescent="0.2">
      <c r="I21740" s="1125"/>
      <c r="J21740" s="1125"/>
    </row>
    <row r="21741" spans="9:10" x14ac:dyDescent="0.2">
      <c r="I21741" s="1125"/>
      <c r="J21741" s="1125"/>
    </row>
    <row r="21742" spans="9:10" x14ac:dyDescent="0.2">
      <c r="I21742" s="1125"/>
      <c r="J21742" s="1125"/>
    </row>
    <row r="21743" spans="9:10" x14ac:dyDescent="0.2">
      <c r="I21743" s="1125"/>
      <c r="J21743" s="1125"/>
    </row>
    <row r="21744" spans="9:10" x14ac:dyDescent="0.2">
      <c r="I21744" s="1125"/>
      <c r="J21744" s="1125"/>
    </row>
    <row r="21745" spans="9:10" x14ac:dyDescent="0.2">
      <c r="I21745" s="1125"/>
      <c r="J21745" s="1125"/>
    </row>
    <row r="21746" spans="9:10" x14ac:dyDescent="0.2">
      <c r="I21746" s="1125"/>
      <c r="J21746" s="1125"/>
    </row>
    <row r="21747" spans="9:10" x14ac:dyDescent="0.2">
      <c r="I21747" s="1125"/>
      <c r="J21747" s="1125"/>
    </row>
    <row r="21748" spans="9:10" x14ac:dyDescent="0.2">
      <c r="I21748" s="1125"/>
      <c r="J21748" s="1125"/>
    </row>
    <row r="21749" spans="9:10" x14ac:dyDescent="0.2">
      <c r="I21749" s="1125"/>
      <c r="J21749" s="1125"/>
    </row>
    <row r="21750" spans="9:10" x14ac:dyDescent="0.2">
      <c r="I21750" s="1125"/>
      <c r="J21750" s="1125"/>
    </row>
    <row r="21751" spans="9:10" x14ac:dyDescent="0.2">
      <c r="I21751" s="1125"/>
      <c r="J21751" s="1125"/>
    </row>
    <row r="21752" spans="9:10" x14ac:dyDescent="0.2">
      <c r="I21752" s="1125"/>
      <c r="J21752" s="1125"/>
    </row>
    <row r="21753" spans="9:10" x14ac:dyDescent="0.2">
      <c r="I21753" s="1125"/>
      <c r="J21753" s="1125"/>
    </row>
    <row r="21754" spans="9:10" x14ac:dyDescent="0.2">
      <c r="I21754" s="1125"/>
      <c r="J21754" s="1125"/>
    </row>
    <row r="21755" spans="9:10" x14ac:dyDescent="0.2">
      <c r="I21755" s="1125"/>
      <c r="J21755" s="1125"/>
    </row>
    <row r="21756" spans="9:10" x14ac:dyDescent="0.2">
      <c r="I21756" s="1125"/>
      <c r="J21756" s="1125"/>
    </row>
    <row r="21757" spans="9:10" x14ac:dyDescent="0.2">
      <c r="I21757" s="1125"/>
      <c r="J21757" s="1125"/>
    </row>
    <row r="21758" spans="9:10" x14ac:dyDescent="0.2">
      <c r="I21758" s="1125"/>
      <c r="J21758" s="1125"/>
    </row>
    <row r="21759" spans="9:10" x14ac:dyDescent="0.2">
      <c r="I21759" s="1125"/>
      <c r="J21759" s="1125"/>
    </row>
    <row r="21760" spans="9:10" x14ac:dyDescent="0.2">
      <c r="I21760" s="1125"/>
      <c r="J21760" s="1125"/>
    </row>
    <row r="21761" spans="9:10" x14ac:dyDescent="0.2">
      <c r="I21761" s="1125"/>
      <c r="J21761" s="1125"/>
    </row>
    <row r="21762" spans="9:10" x14ac:dyDescent="0.2">
      <c r="I21762" s="1125"/>
      <c r="J21762" s="1125"/>
    </row>
    <row r="21763" spans="9:10" x14ac:dyDescent="0.2">
      <c r="I21763" s="1125"/>
      <c r="J21763" s="1125"/>
    </row>
    <row r="21764" spans="9:10" x14ac:dyDescent="0.2">
      <c r="I21764" s="1125"/>
      <c r="J21764" s="1125"/>
    </row>
    <row r="21765" spans="9:10" x14ac:dyDescent="0.2">
      <c r="I21765" s="1125"/>
      <c r="J21765" s="1125"/>
    </row>
    <row r="21766" spans="9:10" x14ac:dyDescent="0.2">
      <c r="I21766" s="1125"/>
      <c r="J21766" s="1125"/>
    </row>
    <row r="21767" spans="9:10" x14ac:dyDescent="0.2">
      <c r="I21767" s="1125"/>
      <c r="J21767" s="1125"/>
    </row>
    <row r="21768" spans="9:10" x14ac:dyDescent="0.2">
      <c r="I21768" s="1125"/>
      <c r="J21768" s="1125"/>
    </row>
    <row r="21769" spans="9:10" x14ac:dyDescent="0.2">
      <c r="I21769" s="1125"/>
      <c r="J21769" s="1125"/>
    </row>
    <row r="21770" spans="9:10" x14ac:dyDescent="0.2">
      <c r="I21770" s="1125"/>
      <c r="J21770" s="1125"/>
    </row>
    <row r="21771" spans="9:10" x14ac:dyDescent="0.2">
      <c r="I21771" s="1125"/>
      <c r="J21771" s="1125"/>
    </row>
    <row r="21772" spans="9:10" x14ac:dyDescent="0.2">
      <c r="I21772" s="1125"/>
      <c r="J21772" s="1125"/>
    </row>
    <row r="21773" spans="9:10" x14ac:dyDescent="0.2">
      <c r="I21773" s="1125"/>
      <c r="J21773" s="1125"/>
    </row>
    <row r="21774" spans="9:10" x14ac:dyDescent="0.2">
      <c r="I21774" s="1125"/>
      <c r="J21774" s="1125"/>
    </row>
    <row r="21775" spans="9:10" x14ac:dyDescent="0.2">
      <c r="I21775" s="1125"/>
      <c r="J21775" s="1125"/>
    </row>
    <row r="21776" spans="9:10" x14ac:dyDescent="0.2">
      <c r="I21776" s="1125"/>
      <c r="J21776" s="1125"/>
    </row>
    <row r="21777" spans="9:10" x14ac:dyDescent="0.2">
      <c r="I21777" s="1125"/>
      <c r="J21777" s="1125"/>
    </row>
    <row r="21778" spans="9:10" x14ac:dyDescent="0.2">
      <c r="I21778" s="1125"/>
      <c r="J21778" s="1125"/>
    </row>
    <row r="21779" spans="9:10" x14ac:dyDescent="0.2">
      <c r="I21779" s="1125"/>
      <c r="J21779" s="1125"/>
    </row>
    <row r="21780" spans="9:10" x14ac:dyDescent="0.2">
      <c r="I21780" s="1125"/>
      <c r="J21780" s="1125"/>
    </row>
    <row r="21781" spans="9:10" x14ac:dyDescent="0.2">
      <c r="I21781" s="1125"/>
      <c r="J21781" s="1125"/>
    </row>
    <row r="21782" spans="9:10" x14ac:dyDescent="0.2">
      <c r="I21782" s="1125"/>
      <c r="J21782" s="1125"/>
    </row>
    <row r="21783" spans="9:10" x14ac:dyDescent="0.2">
      <c r="I21783" s="1125"/>
      <c r="J21783" s="1125"/>
    </row>
    <row r="21784" spans="9:10" x14ac:dyDescent="0.2">
      <c r="I21784" s="1125"/>
      <c r="J21784" s="1125"/>
    </row>
    <row r="21785" spans="9:10" x14ac:dyDescent="0.2">
      <c r="I21785" s="1125"/>
      <c r="J21785" s="1125"/>
    </row>
    <row r="21786" spans="9:10" x14ac:dyDescent="0.2">
      <c r="I21786" s="1125"/>
      <c r="J21786" s="1125"/>
    </row>
    <row r="21787" spans="9:10" x14ac:dyDescent="0.2">
      <c r="I21787" s="1125"/>
      <c r="J21787" s="1125"/>
    </row>
    <row r="21788" spans="9:10" x14ac:dyDescent="0.2">
      <c r="I21788" s="1125"/>
      <c r="J21788" s="1125"/>
    </row>
    <row r="21789" spans="9:10" x14ac:dyDescent="0.2">
      <c r="I21789" s="1125"/>
      <c r="J21789" s="1125"/>
    </row>
    <row r="21790" spans="9:10" x14ac:dyDescent="0.2">
      <c r="I21790" s="1125"/>
      <c r="J21790" s="1125"/>
    </row>
    <row r="21791" spans="9:10" x14ac:dyDescent="0.2">
      <c r="I21791" s="1125"/>
      <c r="J21791" s="1125"/>
    </row>
    <row r="21792" spans="9:10" x14ac:dyDescent="0.2">
      <c r="I21792" s="1125"/>
      <c r="J21792" s="1125"/>
    </row>
    <row r="21793" spans="9:10" x14ac:dyDescent="0.2">
      <c r="I21793" s="1125"/>
      <c r="J21793" s="1125"/>
    </row>
    <row r="21794" spans="9:10" x14ac:dyDescent="0.2">
      <c r="I21794" s="1125"/>
      <c r="J21794" s="1125"/>
    </row>
    <row r="21795" spans="9:10" x14ac:dyDescent="0.2">
      <c r="I21795" s="1125"/>
      <c r="J21795" s="1125"/>
    </row>
    <row r="21796" spans="9:10" x14ac:dyDescent="0.2">
      <c r="I21796" s="1125"/>
      <c r="J21796" s="1125"/>
    </row>
    <row r="21797" spans="9:10" x14ac:dyDescent="0.2">
      <c r="I21797" s="1125"/>
      <c r="J21797" s="1125"/>
    </row>
    <row r="21798" spans="9:10" x14ac:dyDescent="0.2">
      <c r="I21798" s="1125"/>
      <c r="J21798" s="1125"/>
    </row>
    <row r="21799" spans="9:10" x14ac:dyDescent="0.2">
      <c r="I21799" s="1125"/>
      <c r="J21799" s="1125"/>
    </row>
    <row r="21800" spans="9:10" x14ac:dyDescent="0.2">
      <c r="I21800" s="1125"/>
      <c r="J21800" s="1125"/>
    </row>
    <row r="21801" spans="9:10" x14ac:dyDescent="0.2">
      <c r="I21801" s="1125"/>
      <c r="J21801" s="1125"/>
    </row>
    <row r="21802" spans="9:10" x14ac:dyDescent="0.2">
      <c r="I21802" s="1125"/>
      <c r="J21802" s="1125"/>
    </row>
    <row r="21803" spans="9:10" x14ac:dyDescent="0.2">
      <c r="I21803" s="1125"/>
      <c r="J21803" s="1125"/>
    </row>
    <row r="21804" spans="9:10" x14ac:dyDescent="0.2">
      <c r="I21804" s="1125"/>
      <c r="J21804" s="1125"/>
    </row>
    <row r="21805" spans="9:10" x14ac:dyDescent="0.2">
      <c r="I21805" s="1125"/>
      <c r="J21805" s="1125"/>
    </row>
    <row r="21806" spans="9:10" x14ac:dyDescent="0.2">
      <c r="I21806" s="1125"/>
      <c r="J21806" s="1125"/>
    </row>
    <row r="21807" spans="9:10" x14ac:dyDescent="0.2">
      <c r="I21807" s="1125"/>
      <c r="J21807" s="1125"/>
    </row>
    <row r="21808" spans="9:10" x14ac:dyDescent="0.2">
      <c r="I21808" s="1125"/>
      <c r="J21808" s="1125"/>
    </row>
    <row r="21809" spans="9:10" x14ac:dyDescent="0.2">
      <c r="I21809" s="1125"/>
      <c r="J21809" s="1125"/>
    </row>
    <row r="21810" spans="9:10" x14ac:dyDescent="0.2">
      <c r="I21810" s="1125"/>
      <c r="J21810" s="1125"/>
    </row>
    <row r="21811" spans="9:10" x14ac:dyDescent="0.2">
      <c r="I21811" s="1125"/>
      <c r="J21811" s="1125"/>
    </row>
    <row r="21812" spans="9:10" x14ac:dyDescent="0.2">
      <c r="I21812" s="1125"/>
      <c r="J21812" s="1125"/>
    </row>
    <row r="21813" spans="9:10" x14ac:dyDescent="0.2">
      <c r="I21813" s="1125"/>
      <c r="J21813" s="1125"/>
    </row>
    <row r="21814" spans="9:10" x14ac:dyDescent="0.2">
      <c r="I21814" s="1125"/>
      <c r="J21814" s="1125"/>
    </row>
    <row r="21815" spans="9:10" x14ac:dyDescent="0.2">
      <c r="I21815" s="1125"/>
      <c r="J21815" s="1125"/>
    </row>
    <row r="21816" spans="9:10" x14ac:dyDescent="0.2">
      <c r="I21816" s="1125"/>
      <c r="J21816" s="1125"/>
    </row>
    <row r="21817" spans="9:10" x14ac:dyDescent="0.2">
      <c r="I21817" s="1125"/>
      <c r="J21817" s="1125"/>
    </row>
    <row r="21818" spans="9:10" x14ac:dyDescent="0.2">
      <c r="I21818" s="1125"/>
      <c r="J21818" s="1125"/>
    </row>
    <row r="21819" spans="9:10" x14ac:dyDescent="0.2">
      <c r="I21819" s="1125"/>
      <c r="J21819" s="1125"/>
    </row>
    <row r="21820" spans="9:10" x14ac:dyDescent="0.2">
      <c r="I21820" s="1125"/>
      <c r="J21820" s="1125"/>
    </row>
    <row r="21821" spans="9:10" x14ac:dyDescent="0.2">
      <c r="I21821" s="1125"/>
      <c r="J21821" s="1125"/>
    </row>
    <row r="21822" spans="9:10" x14ac:dyDescent="0.2">
      <c r="I21822" s="1125"/>
      <c r="J21822" s="1125"/>
    </row>
    <row r="21823" spans="9:10" x14ac:dyDescent="0.2">
      <c r="I21823" s="1125"/>
      <c r="J21823" s="1125"/>
    </row>
    <row r="21824" spans="9:10" x14ac:dyDescent="0.2">
      <c r="I21824" s="1125"/>
      <c r="J21824" s="1125"/>
    </row>
    <row r="21825" spans="9:10" x14ac:dyDescent="0.2">
      <c r="I21825" s="1125"/>
      <c r="J21825" s="1125"/>
    </row>
    <row r="21826" spans="9:10" x14ac:dyDescent="0.2">
      <c r="I21826" s="1125"/>
      <c r="J21826" s="1125"/>
    </row>
    <row r="21827" spans="9:10" x14ac:dyDescent="0.2">
      <c r="I21827" s="1125"/>
      <c r="J21827" s="1125"/>
    </row>
    <row r="21828" spans="9:10" x14ac:dyDescent="0.2">
      <c r="I21828" s="1125"/>
      <c r="J21828" s="1125"/>
    </row>
    <row r="21829" spans="9:10" x14ac:dyDescent="0.2">
      <c r="I21829" s="1125"/>
      <c r="J21829" s="1125"/>
    </row>
    <row r="21830" spans="9:10" x14ac:dyDescent="0.2">
      <c r="I21830" s="1125"/>
      <c r="J21830" s="1125"/>
    </row>
    <row r="21831" spans="9:10" x14ac:dyDescent="0.2">
      <c r="I21831" s="1125"/>
      <c r="J21831" s="1125"/>
    </row>
    <row r="21832" spans="9:10" x14ac:dyDescent="0.2">
      <c r="I21832" s="1125"/>
      <c r="J21832" s="1125"/>
    </row>
    <row r="21833" spans="9:10" x14ac:dyDescent="0.2">
      <c r="I21833" s="1125"/>
      <c r="J21833" s="1125"/>
    </row>
    <row r="21834" spans="9:10" x14ac:dyDescent="0.2">
      <c r="I21834" s="1125"/>
      <c r="J21834" s="1125"/>
    </row>
    <row r="21835" spans="9:10" x14ac:dyDescent="0.2">
      <c r="I21835" s="1125"/>
      <c r="J21835" s="1125"/>
    </row>
    <row r="21836" spans="9:10" x14ac:dyDescent="0.2">
      <c r="I21836" s="1125"/>
      <c r="J21836" s="1125"/>
    </row>
    <row r="21837" spans="9:10" x14ac:dyDescent="0.2">
      <c r="I21837" s="1125"/>
      <c r="J21837" s="1125"/>
    </row>
    <row r="21838" spans="9:10" x14ac:dyDescent="0.2">
      <c r="I21838" s="1125"/>
      <c r="J21838" s="1125"/>
    </row>
    <row r="21839" spans="9:10" x14ac:dyDescent="0.2">
      <c r="I21839" s="1125"/>
      <c r="J21839" s="1125"/>
    </row>
    <row r="21840" spans="9:10" x14ac:dyDescent="0.2">
      <c r="I21840" s="1125"/>
      <c r="J21840" s="1125"/>
    </row>
    <row r="21841" spans="9:10" x14ac:dyDescent="0.2">
      <c r="I21841" s="1125"/>
      <c r="J21841" s="1125"/>
    </row>
    <row r="21842" spans="9:10" x14ac:dyDescent="0.2">
      <c r="I21842" s="1125"/>
      <c r="J21842" s="1125"/>
    </row>
    <row r="21843" spans="9:10" x14ac:dyDescent="0.2">
      <c r="I21843" s="1125"/>
      <c r="J21843" s="1125"/>
    </row>
    <row r="21844" spans="9:10" x14ac:dyDescent="0.2">
      <c r="I21844" s="1125"/>
      <c r="J21844" s="1125"/>
    </row>
    <row r="21845" spans="9:10" x14ac:dyDescent="0.2">
      <c r="I21845" s="1125"/>
      <c r="J21845" s="1125"/>
    </row>
    <row r="21846" spans="9:10" x14ac:dyDescent="0.2">
      <c r="I21846" s="1125"/>
      <c r="J21846" s="1125"/>
    </row>
    <row r="21847" spans="9:10" x14ac:dyDescent="0.2">
      <c r="I21847" s="1125"/>
      <c r="J21847" s="1125"/>
    </row>
    <row r="21848" spans="9:10" x14ac:dyDescent="0.2">
      <c r="I21848" s="1125"/>
      <c r="J21848" s="1125"/>
    </row>
    <row r="21849" spans="9:10" x14ac:dyDescent="0.2">
      <c r="I21849" s="1125"/>
      <c r="J21849" s="1125"/>
    </row>
    <row r="21850" spans="9:10" x14ac:dyDescent="0.2">
      <c r="I21850" s="1125"/>
      <c r="J21850" s="1125"/>
    </row>
    <row r="21851" spans="9:10" x14ac:dyDescent="0.2">
      <c r="I21851" s="1125"/>
      <c r="J21851" s="1125"/>
    </row>
    <row r="21852" spans="9:10" x14ac:dyDescent="0.2">
      <c r="I21852" s="1125"/>
      <c r="J21852" s="1125"/>
    </row>
    <row r="21853" spans="9:10" x14ac:dyDescent="0.2">
      <c r="I21853" s="1125"/>
      <c r="J21853" s="1125"/>
    </row>
    <row r="21854" spans="9:10" x14ac:dyDescent="0.2">
      <c r="I21854" s="1125"/>
      <c r="J21854" s="1125"/>
    </row>
    <row r="21855" spans="9:10" x14ac:dyDescent="0.2">
      <c r="I21855" s="1125"/>
      <c r="J21855" s="1125"/>
    </row>
    <row r="21856" spans="9:10" x14ac:dyDescent="0.2">
      <c r="I21856" s="1125"/>
      <c r="J21856" s="1125"/>
    </row>
    <row r="21857" spans="9:10" x14ac:dyDescent="0.2">
      <c r="I21857" s="1125"/>
      <c r="J21857" s="1125"/>
    </row>
    <row r="21858" spans="9:10" x14ac:dyDescent="0.2">
      <c r="I21858" s="1125"/>
      <c r="J21858" s="1125"/>
    </row>
    <row r="21859" spans="9:10" x14ac:dyDescent="0.2">
      <c r="I21859" s="1125"/>
      <c r="J21859" s="1125"/>
    </row>
    <row r="21860" spans="9:10" x14ac:dyDescent="0.2">
      <c r="I21860" s="1125"/>
      <c r="J21860" s="1125"/>
    </row>
    <row r="21861" spans="9:10" x14ac:dyDescent="0.2">
      <c r="I21861" s="1125"/>
      <c r="J21861" s="1125"/>
    </row>
    <row r="21862" spans="9:10" x14ac:dyDescent="0.2">
      <c r="I21862" s="1125"/>
      <c r="J21862" s="1125"/>
    </row>
    <row r="21863" spans="9:10" x14ac:dyDescent="0.2">
      <c r="I21863" s="1125"/>
      <c r="J21863" s="1125"/>
    </row>
    <row r="21864" spans="9:10" x14ac:dyDescent="0.2">
      <c r="I21864" s="1125"/>
      <c r="J21864" s="1125"/>
    </row>
    <row r="21865" spans="9:10" x14ac:dyDescent="0.2">
      <c r="I21865" s="1125"/>
      <c r="J21865" s="1125"/>
    </row>
    <row r="21866" spans="9:10" x14ac:dyDescent="0.2">
      <c r="I21866" s="1125"/>
      <c r="J21866" s="1125"/>
    </row>
    <row r="21867" spans="9:10" x14ac:dyDescent="0.2">
      <c r="I21867" s="1125"/>
      <c r="J21867" s="1125"/>
    </row>
    <row r="21868" spans="9:10" x14ac:dyDescent="0.2">
      <c r="I21868" s="1125"/>
      <c r="J21868" s="1125"/>
    </row>
    <row r="21869" spans="9:10" x14ac:dyDescent="0.2">
      <c r="I21869" s="1125"/>
      <c r="J21869" s="1125"/>
    </row>
    <row r="21870" spans="9:10" x14ac:dyDescent="0.2">
      <c r="I21870" s="1125"/>
      <c r="J21870" s="1125"/>
    </row>
    <row r="21871" spans="9:10" x14ac:dyDescent="0.2">
      <c r="I21871" s="1125"/>
      <c r="J21871" s="1125"/>
    </row>
    <row r="21872" spans="9:10" x14ac:dyDescent="0.2">
      <c r="I21872" s="1125"/>
      <c r="J21872" s="1125"/>
    </row>
    <row r="21873" spans="9:10" x14ac:dyDescent="0.2">
      <c r="I21873" s="1125"/>
      <c r="J21873" s="1125"/>
    </row>
    <row r="21874" spans="9:10" x14ac:dyDescent="0.2">
      <c r="I21874" s="1125"/>
      <c r="J21874" s="1125"/>
    </row>
    <row r="21875" spans="9:10" x14ac:dyDescent="0.2">
      <c r="I21875" s="1125"/>
      <c r="J21875" s="1125"/>
    </row>
    <row r="21876" spans="9:10" x14ac:dyDescent="0.2">
      <c r="I21876" s="1125"/>
      <c r="J21876" s="1125"/>
    </row>
    <row r="21877" spans="9:10" x14ac:dyDescent="0.2">
      <c r="I21877" s="1125"/>
      <c r="J21877" s="1125"/>
    </row>
    <row r="21878" spans="9:10" x14ac:dyDescent="0.2">
      <c r="I21878" s="1125"/>
      <c r="J21878" s="1125"/>
    </row>
    <row r="21879" spans="9:10" x14ac:dyDescent="0.2">
      <c r="I21879" s="1125"/>
      <c r="J21879" s="1125"/>
    </row>
    <row r="21880" spans="9:10" x14ac:dyDescent="0.2">
      <c r="I21880" s="1125"/>
      <c r="J21880" s="1125"/>
    </row>
    <row r="21881" spans="9:10" x14ac:dyDescent="0.2">
      <c r="I21881" s="1125"/>
      <c r="J21881" s="1125"/>
    </row>
    <row r="21882" spans="9:10" x14ac:dyDescent="0.2">
      <c r="I21882" s="1125"/>
      <c r="J21882" s="1125"/>
    </row>
    <row r="21883" spans="9:10" x14ac:dyDescent="0.2">
      <c r="I21883" s="1125"/>
      <c r="J21883" s="1125"/>
    </row>
    <row r="21884" spans="9:10" x14ac:dyDescent="0.2">
      <c r="I21884" s="1125"/>
      <c r="J21884" s="1125"/>
    </row>
    <row r="21885" spans="9:10" x14ac:dyDescent="0.2">
      <c r="I21885" s="1125"/>
      <c r="J21885" s="1125"/>
    </row>
    <row r="21886" spans="9:10" x14ac:dyDescent="0.2">
      <c r="I21886" s="1125"/>
      <c r="J21886" s="1125"/>
    </row>
    <row r="21887" spans="9:10" x14ac:dyDescent="0.2">
      <c r="I21887" s="1125"/>
      <c r="J21887" s="1125"/>
    </row>
    <row r="21888" spans="9:10" x14ac:dyDescent="0.2">
      <c r="I21888" s="1125"/>
      <c r="J21888" s="1125"/>
    </row>
    <row r="21889" spans="9:10" x14ac:dyDescent="0.2">
      <c r="I21889" s="1125"/>
      <c r="J21889" s="1125"/>
    </row>
    <row r="21890" spans="9:10" x14ac:dyDescent="0.2">
      <c r="I21890" s="1125"/>
      <c r="J21890" s="1125"/>
    </row>
    <row r="21891" spans="9:10" x14ac:dyDescent="0.2">
      <c r="I21891" s="1125"/>
      <c r="J21891" s="1125"/>
    </row>
    <row r="21892" spans="9:10" x14ac:dyDescent="0.2">
      <c r="I21892" s="1125"/>
      <c r="J21892" s="1125"/>
    </row>
    <row r="21893" spans="9:10" x14ac:dyDescent="0.2">
      <c r="I21893" s="1125"/>
      <c r="J21893" s="1125"/>
    </row>
    <row r="21894" spans="9:10" x14ac:dyDescent="0.2">
      <c r="I21894" s="1125"/>
      <c r="J21894" s="1125"/>
    </row>
    <row r="21895" spans="9:10" x14ac:dyDescent="0.2">
      <c r="I21895" s="1125"/>
      <c r="J21895" s="1125"/>
    </row>
    <row r="21896" spans="9:10" x14ac:dyDescent="0.2">
      <c r="I21896" s="1125"/>
      <c r="J21896" s="1125"/>
    </row>
    <row r="21897" spans="9:10" x14ac:dyDescent="0.2">
      <c r="I21897" s="1125"/>
      <c r="J21897" s="1125"/>
    </row>
    <row r="21898" spans="9:10" x14ac:dyDescent="0.2">
      <c r="I21898" s="1125"/>
      <c r="J21898" s="1125"/>
    </row>
    <row r="21899" spans="9:10" x14ac:dyDescent="0.2">
      <c r="I21899" s="1125"/>
      <c r="J21899" s="1125"/>
    </row>
    <row r="21900" spans="9:10" x14ac:dyDescent="0.2">
      <c r="I21900" s="1125"/>
      <c r="J21900" s="1125"/>
    </row>
    <row r="21901" spans="9:10" x14ac:dyDescent="0.2">
      <c r="I21901" s="1125"/>
      <c r="J21901" s="1125"/>
    </row>
    <row r="21902" spans="9:10" x14ac:dyDescent="0.2">
      <c r="I21902" s="1125"/>
      <c r="J21902" s="1125"/>
    </row>
    <row r="21903" spans="9:10" x14ac:dyDescent="0.2">
      <c r="I21903" s="1125"/>
      <c r="J21903" s="1125"/>
    </row>
    <row r="21904" spans="9:10" x14ac:dyDescent="0.2">
      <c r="I21904" s="1125"/>
      <c r="J21904" s="1125"/>
    </row>
    <row r="21905" spans="9:10" x14ac:dyDescent="0.2">
      <c r="I21905" s="1125"/>
      <c r="J21905" s="1125"/>
    </row>
    <row r="21906" spans="9:10" x14ac:dyDescent="0.2">
      <c r="I21906" s="1125"/>
      <c r="J21906" s="1125"/>
    </row>
    <row r="21907" spans="9:10" x14ac:dyDescent="0.2">
      <c r="I21907" s="1125"/>
      <c r="J21907" s="1125"/>
    </row>
    <row r="21908" spans="9:10" x14ac:dyDescent="0.2">
      <c r="I21908" s="1125"/>
      <c r="J21908" s="1125"/>
    </row>
    <row r="21909" spans="9:10" x14ac:dyDescent="0.2">
      <c r="I21909" s="1125"/>
      <c r="J21909" s="1125"/>
    </row>
    <row r="21910" spans="9:10" x14ac:dyDescent="0.2">
      <c r="I21910" s="1125"/>
      <c r="J21910" s="1125"/>
    </row>
    <row r="21911" spans="9:10" x14ac:dyDescent="0.2">
      <c r="I21911" s="1125"/>
      <c r="J21911" s="1125"/>
    </row>
    <row r="21912" spans="9:10" x14ac:dyDescent="0.2">
      <c r="I21912" s="1125"/>
      <c r="J21912" s="1125"/>
    </row>
    <row r="21913" spans="9:10" x14ac:dyDescent="0.2">
      <c r="I21913" s="1125"/>
      <c r="J21913" s="1125"/>
    </row>
    <row r="21914" spans="9:10" x14ac:dyDescent="0.2">
      <c r="I21914" s="1125"/>
      <c r="J21914" s="1125"/>
    </row>
    <row r="21915" spans="9:10" x14ac:dyDescent="0.2">
      <c r="I21915" s="1125"/>
      <c r="J21915" s="1125"/>
    </row>
    <row r="21916" spans="9:10" x14ac:dyDescent="0.2">
      <c r="I21916" s="1125"/>
      <c r="J21916" s="1125"/>
    </row>
    <row r="21917" spans="9:10" x14ac:dyDescent="0.2">
      <c r="I21917" s="1125"/>
      <c r="J21917" s="1125"/>
    </row>
    <row r="21918" spans="9:10" x14ac:dyDescent="0.2">
      <c r="I21918" s="1125"/>
      <c r="J21918" s="1125"/>
    </row>
    <row r="21919" spans="9:10" x14ac:dyDescent="0.2">
      <c r="I21919" s="1125"/>
      <c r="J21919" s="1125"/>
    </row>
    <row r="21920" spans="9:10" x14ac:dyDescent="0.2">
      <c r="I21920" s="1125"/>
      <c r="J21920" s="1125"/>
    </row>
    <row r="21921" spans="9:10" x14ac:dyDescent="0.2">
      <c r="I21921" s="1125"/>
      <c r="J21921" s="1125"/>
    </row>
    <row r="21922" spans="9:10" x14ac:dyDescent="0.2">
      <c r="I21922" s="1125"/>
      <c r="J21922" s="1125"/>
    </row>
    <row r="21923" spans="9:10" x14ac:dyDescent="0.2">
      <c r="I21923" s="1125"/>
      <c r="J21923" s="1125"/>
    </row>
    <row r="21924" spans="9:10" x14ac:dyDescent="0.2">
      <c r="I21924" s="1125"/>
      <c r="J21924" s="1125"/>
    </row>
    <row r="21925" spans="9:10" x14ac:dyDescent="0.2">
      <c r="I21925" s="1125"/>
      <c r="J21925" s="1125"/>
    </row>
    <row r="21926" spans="9:10" x14ac:dyDescent="0.2">
      <c r="I21926" s="1125"/>
      <c r="J21926" s="1125"/>
    </row>
    <row r="21927" spans="9:10" x14ac:dyDescent="0.2">
      <c r="I21927" s="1125"/>
      <c r="J21927" s="1125"/>
    </row>
    <row r="21928" spans="9:10" x14ac:dyDescent="0.2">
      <c r="I21928" s="1125"/>
      <c r="J21928" s="1125"/>
    </row>
    <row r="21929" spans="9:10" x14ac:dyDescent="0.2">
      <c r="I21929" s="1125"/>
      <c r="J21929" s="1125"/>
    </row>
    <row r="21930" spans="9:10" x14ac:dyDescent="0.2">
      <c r="I21930" s="1125"/>
      <c r="J21930" s="1125"/>
    </row>
    <row r="21931" spans="9:10" x14ac:dyDescent="0.2">
      <c r="I21931" s="1125"/>
      <c r="J21931" s="1125"/>
    </row>
    <row r="21932" spans="9:10" x14ac:dyDescent="0.2">
      <c r="I21932" s="1125"/>
      <c r="J21932" s="1125"/>
    </row>
    <row r="21933" spans="9:10" x14ac:dyDescent="0.2">
      <c r="I21933" s="1125"/>
      <c r="J21933" s="1125"/>
    </row>
    <row r="21934" spans="9:10" x14ac:dyDescent="0.2">
      <c r="I21934" s="1125"/>
      <c r="J21934" s="1125"/>
    </row>
    <row r="21935" spans="9:10" x14ac:dyDescent="0.2">
      <c r="I21935" s="1125"/>
      <c r="J21935" s="1125"/>
    </row>
    <row r="21936" spans="9:10" x14ac:dyDescent="0.2">
      <c r="I21936" s="1125"/>
      <c r="J21936" s="1125"/>
    </row>
    <row r="21937" spans="9:10" x14ac:dyDescent="0.2">
      <c r="I21937" s="1125"/>
      <c r="J21937" s="1125"/>
    </row>
    <row r="21938" spans="9:10" x14ac:dyDescent="0.2">
      <c r="I21938" s="1125"/>
      <c r="J21938" s="1125"/>
    </row>
    <row r="21939" spans="9:10" x14ac:dyDescent="0.2">
      <c r="I21939" s="1125"/>
      <c r="J21939" s="1125"/>
    </row>
    <row r="21940" spans="9:10" x14ac:dyDescent="0.2">
      <c r="I21940" s="1125"/>
      <c r="J21940" s="1125"/>
    </row>
    <row r="21941" spans="9:10" x14ac:dyDescent="0.2">
      <c r="I21941" s="1125"/>
      <c r="J21941" s="1125"/>
    </row>
    <row r="21942" spans="9:10" x14ac:dyDescent="0.2">
      <c r="I21942" s="1125"/>
      <c r="J21942" s="1125"/>
    </row>
    <row r="21943" spans="9:10" x14ac:dyDescent="0.2">
      <c r="I21943" s="1125"/>
      <c r="J21943" s="1125"/>
    </row>
    <row r="21944" spans="9:10" x14ac:dyDescent="0.2">
      <c r="I21944" s="1125"/>
      <c r="J21944" s="1125"/>
    </row>
    <row r="21945" spans="9:10" x14ac:dyDescent="0.2">
      <c r="I21945" s="1125"/>
      <c r="J21945" s="1125"/>
    </row>
    <row r="21946" spans="9:10" x14ac:dyDescent="0.2">
      <c r="I21946" s="1125"/>
      <c r="J21946" s="1125"/>
    </row>
    <row r="21947" spans="9:10" x14ac:dyDescent="0.2">
      <c r="I21947" s="1125"/>
      <c r="J21947" s="1125"/>
    </row>
    <row r="21948" spans="9:10" x14ac:dyDescent="0.2">
      <c r="I21948" s="1125"/>
      <c r="J21948" s="1125"/>
    </row>
    <row r="21949" spans="9:10" x14ac:dyDescent="0.2">
      <c r="I21949" s="1125"/>
      <c r="J21949" s="1125"/>
    </row>
    <row r="21950" spans="9:10" x14ac:dyDescent="0.2">
      <c r="I21950" s="1125"/>
      <c r="J21950" s="1125"/>
    </row>
    <row r="21951" spans="9:10" x14ac:dyDescent="0.2">
      <c r="I21951" s="1125"/>
      <c r="J21951" s="1125"/>
    </row>
    <row r="21952" spans="9:10" x14ac:dyDescent="0.2">
      <c r="I21952" s="1125"/>
      <c r="J21952" s="1125"/>
    </row>
    <row r="21953" spans="9:10" x14ac:dyDescent="0.2">
      <c r="I21953" s="1125"/>
      <c r="J21953" s="1125"/>
    </row>
    <row r="21954" spans="9:10" x14ac:dyDescent="0.2">
      <c r="I21954" s="1125"/>
      <c r="J21954" s="1125"/>
    </row>
    <row r="21955" spans="9:10" x14ac:dyDescent="0.2">
      <c r="I21955" s="1125"/>
      <c r="J21955" s="1125"/>
    </row>
    <row r="21956" spans="9:10" x14ac:dyDescent="0.2">
      <c r="I21956" s="1125"/>
      <c r="J21956" s="1125"/>
    </row>
    <row r="21957" spans="9:10" x14ac:dyDescent="0.2">
      <c r="I21957" s="1125"/>
      <c r="J21957" s="1125"/>
    </row>
    <row r="21958" spans="9:10" x14ac:dyDescent="0.2">
      <c r="I21958" s="1125"/>
      <c r="J21958" s="1125"/>
    </row>
    <row r="21959" spans="9:10" x14ac:dyDescent="0.2">
      <c r="I21959" s="1125"/>
      <c r="J21959" s="1125"/>
    </row>
    <row r="21960" spans="9:10" x14ac:dyDescent="0.2">
      <c r="I21960" s="1125"/>
      <c r="J21960" s="1125"/>
    </row>
    <row r="21961" spans="9:10" x14ac:dyDescent="0.2">
      <c r="I21961" s="1125"/>
      <c r="J21961" s="1125"/>
    </row>
    <row r="21962" spans="9:10" x14ac:dyDescent="0.2">
      <c r="I21962" s="1125"/>
      <c r="J21962" s="1125"/>
    </row>
    <row r="21963" spans="9:10" x14ac:dyDescent="0.2">
      <c r="I21963" s="1125"/>
      <c r="J21963" s="1125"/>
    </row>
    <row r="21964" spans="9:10" x14ac:dyDescent="0.2">
      <c r="I21964" s="1125"/>
      <c r="J21964" s="1125"/>
    </row>
    <row r="21965" spans="9:10" x14ac:dyDescent="0.2">
      <c r="I21965" s="1125"/>
      <c r="J21965" s="1125"/>
    </row>
    <row r="21966" spans="9:10" x14ac:dyDescent="0.2">
      <c r="I21966" s="1125"/>
      <c r="J21966" s="1125"/>
    </row>
    <row r="21967" spans="9:10" x14ac:dyDescent="0.2">
      <c r="I21967" s="1125"/>
      <c r="J21967" s="1125"/>
    </row>
    <row r="21968" spans="9:10" x14ac:dyDescent="0.2">
      <c r="I21968" s="1125"/>
      <c r="J21968" s="1125"/>
    </row>
    <row r="21969" spans="9:10" x14ac:dyDescent="0.2">
      <c r="I21969" s="1125"/>
      <c r="J21969" s="1125"/>
    </row>
    <row r="21970" spans="9:10" x14ac:dyDescent="0.2">
      <c r="I21970" s="1125"/>
      <c r="J21970" s="1125"/>
    </row>
    <row r="21971" spans="9:10" x14ac:dyDescent="0.2">
      <c r="I21971" s="1125"/>
      <c r="J21971" s="1125"/>
    </row>
    <row r="21972" spans="9:10" x14ac:dyDescent="0.2">
      <c r="I21972" s="1125"/>
      <c r="J21972" s="1125"/>
    </row>
    <row r="21973" spans="9:10" x14ac:dyDescent="0.2">
      <c r="I21973" s="1125"/>
      <c r="J21973" s="1125"/>
    </row>
    <row r="21974" spans="9:10" x14ac:dyDescent="0.2">
      <c r="I21974" s="1125"/>
      <c r="J21974" s="1125"/>
    </row>
    <row r="21975" spans="9:10" x14ac:dyDescent="0.2">
      <c r="I21975" s="1125"/>
      <c r="J21975" s="1125"/>
    </row>
    <row r="21976" spans="9:10" x14ac:dyDescent="0.2">
      <c r="I21976" s="1125"/>
      <c r="J21976" s="1125"/>
    </row>
    <row r="21977" spans="9:10" x14ac:dyDescent="0.2">
      <c r="I21977" s="1125"/>
      <c r="J21977" s="1125"/>
    </row>
    <row r="21978" spans="9:10" x14ac:dyDescent="0.2">
      <c r="I21978" s="1125"/>
      <c r="J21978" s="1125"/>
    </row>
    <row r="21979" spans="9:10" x14ac:dyDescent="0.2">
      <c r="I21979" s="1125"/>
      <c r="J21979" s="1125"/>
    </row>
    <row r="21980" spans="9:10" x14ac:dyDescent="0.2">
      <c r="I21980" s="1125"/>
      <c r="J21980" s="1125"/>
    </row>
    <row r="21981" spans="9:10" x14ac:dyDescent="0.2">
      <c r="I21981" s="1125"/>
      <c r="J21981" s="1125"/>
    </row>
    <row r="21982" spans="9:10" x14ac:dyDescent="0.2">
      <c r="I21982" s="1125"/>
      <c r="J21982" s="1125"/>
    </row>
    <row r="21983" spans="9:10" x14ac:dyDescent="0.2">
      <c r="I21983" s="1125"/>
      <c r="J21983" s="1125"/>
    </row>
    <row r="21984" spans="9:10" x14ac:dyDescent="0.2">
      <c r="I21984" s="1125"/>
      <c r="J21984" s="1125"/>
    </row>
    <row r="21985" spans="9:10" x14ac:dyDescent="0.2">
      <c r="I21985" s="1125"/>
      <c r="J21985" s="1125"/>
    </row>
    <row r="21986" spans="9:10" x14ac:dyDescent="0.2">
      <c r="I21986" s="1125"/>
      <c r="J21986" s="1125"/>
    </row>
    <row r="21987" spans="9:10" x14ac:dyDescent="0.2">
      <c r="I21987" s="1125"/>
      <c r="J21987" s="1125"/>
    </row>
    <row r="21988" spans="9:10" x14ac:dyDescent="0.2">
      <c r="I21988" s="1125"/>
      <c r="J21988" s="1125"/>
    </row>
    <row r="21989" spans="9:10" x14ac:dyDescent="0.2">
      <c r="I21989" s="1125"/>
      <c r="J21989" s="1125"/>
    </row>
    <row r="21990" spans="9:10" x14ac:dyDescent="0.2">
      <c r="I21990" s="1125"/>
      <c r="J21990" s="1125"/>
    </row>
    <row r="21991" spans="9:10" x14ac:dyDescent="0.2">
      <c r="I21991" s="1125"/>
      <c r="J21991" s="1125"/>
    </row>
    <row r="21992" spans="9:10" x14ac:dyDescent="0.2">
      <c r="I21992" s="1125"/>
      <c r="J21992" s="1125"/>
    </row>
    <row r="21993" spans="9:10" x14ac:dyDescent="0.2">
      <c r="I21993" s="1125"/>
      <c r="J21993" s="1125"/>
    </row>
    <row r="21994" spans="9:10" x14ac:dyDescent="0.2">
      <c r="I21994" s="1125"/>
      <c r="J21994" s="1125"/>
    </row>
    <row r="21995" spans="9:10" x14ac:dyDescent="0.2">
      <c r="I21995" s="1125"/>
      <c r="J21995" s="1125"/>
    </row>
    <row r="21996" spans="9:10" x14ac:dyDescent="0.2">
      <c r="I21996" s="1125"/>
      <c r="J21996" s="1125"/>
    </row>
    <row r="21997" spans="9:10" x14ac:dyDescent="0.2">
      <c r="I21997" s="1125"/>
      <c r="J21997" s="1125"/>
    </row>
    <row r="21998" spans="9:10" x14ac:dyDescent="0.2">
      <c r="I21998" s="1125"/>
      <c r="J21998" s="1125"/>
    </row>
    <row r="21999" spans="9:10" x14ac:dyDescent="0.2">
      <c r="I21999" s="1125"/>
      <c r="J21999" s="1125"/>
    </row>
    <row r="22000" spans="9:10" x14ac:dyDescent="0.2">
      <c r="I22000" s="1125"/>
      <c r="J22000" s="1125"/>
    </row>
    <row r="22001" spans="9:10" x14ac:dyDescent="0.2">
      <c r="I22001" s="1125"/>
      <c r="J22001" s="1125"/>
    </row>
    <row r="22002" spans="9:10" x14ac:dyDescent="0.2">
      <c r="I22002" s="1125"/>
      <c r="J22002" s="1125"/>
    </row>
    <row r="22003" spans="9:10" x14ac:dyDescent="0.2">
      <c r="I22003" s="1125"/>
      <c r="J22003" s="1125"/>
    </row>
    <row r="22004" spans="9:10" x14ac:dyDescent="0.2">
      <c r="I22004" s="1125"/>
      <c r="J22004" s="1125"/>
    </row>
    <row r="22005" spans="9:10" x14ac:dyDescent="0.2">
      <c r="I22005" s="1125"/>
      <c r="J22005" s="1125"/>
    </row>
    <row r="22006" spans="9:10" x14ac:dyDescent="0.2">
      <c r="I22006" s="1125"/>
      <c r="J22006" s="1125"/>
    </row>
    <row r="22007" spans="9:10" x14ac:dyDescent="0.2">
      <c r="I22007" s="1125"/>
      <c r="J22007" s="1125"/>
    </row>
    <row r="22008" spans="9:10" x14ac:dyDescent="0.2">
      <c r="I22008" s="1125"/>
      <c r="J22008" s="1125"/>
    </row>
    <row r="22009" spans="9:10" x14ac:dyDescent="0.2">
      <c r="I22009" s="1125"/>
      <c r="J22009" s="1125"/>
    </row>
    <row r="22010" spans="9:10" x14ac:dyDescent="0.2">
      <c r="I22010" s="1125"/>
      <c r="J22010" s="1125"/>
    </row>
    <row r="22011" spans="9:10" x14ac:dyDescent="0.2">
      <c r="I22011" s="1125"/>
      <c r="J22011" s="1125"/>
    </row>
    <row r="22012" spans="9:10" x14ac:dyDescent="0.2">
      <c r="I22012" s="1125"/>
      <c r="J22012" s="1125"/>
    </row>
    <row r="22013" spans="9:10" x14ac:dyDescent="0.2">
      <c r="I22013" s="1125"/>
      <c r="J22013" s="1125"/>
    </row>
    <row r="22014" spans="9:10" x14ac:dyDescent="0.2">
      <c r="I22014" s="1125"/>
      <c r="J22014" s="1125"/>
    </row>
    <row r="22015" spans="9:10" x14ac:dyDescent="0.2">
      <c r="I22015" s="1125"/>
      <c r="J22015" s="1125"/>
    </row>
    <row r="22016" spans="9:10" x14ac:dyDescent="0.2">
      <c r="I22016" s="1125"/>
      <c r="J22016" s="1125"/>
    </row>
    <row r="22017" spans="9:10" x14ac:dyDescent="0.2">
      <c r="I22017" s="1125"/>
      <c r="J22017" s="1125"/>
    </row>
    <row r="22018" spans="9:10" x14ac:dyDescent="0.2">
      <c r="I22018" s="1125"/>
      <c r="J22018" s="1125"/>
    </row>
    <row r="22019" spans="9:10" x14ac:dyDescent="0.2">
      <c r="I22019" s="1125"/>
      <c r="J22019" s="1125"/>
    </row>
    <row r="22020" spans="9:10" x14ac:dyDescent="0.2">
      <c r="I22020" s="1125"/>
      <c r="J22020" s="1125"/>
    </row>
    <row r="22021" spans="9:10" x14ac:dyDescent="0.2">
      <c r="I22021" s="1125"/>
      <c r="J22021" s="1125"/>
    </row>
    <row r="22022" spans="9:10" x14ac:dyDescent="0.2">
      <c r="I22022" s="1125"/>
      <c r="J22022" s="1125"/>
    </row>
    <row r="22023" spans="9:10" x14ac:dyDescent="0.2">
      <c r="I22023" s="1125"/>
      <c r="J22023" s="1125"/>
    </row>
    <row r="22024" spans="9:10" x14ac:dyDescent="0.2">
      <c r="I22024" s="1125"/>
      <c r="J22024" s="1125"/>
    </row>
    <row r="22025" spans="9:10" x14ac:dyDescent="0.2">
      <c r="I22025" s="1125"/>
      <c r="J22025" s="1125"/>
    </row>
    <row r="22026" spans="9:10" x14ac:dyDescent="0.2">
      <c r="I22026" s="1125"/>
      <c r="J22026" s="1125"/>
    </row>
    <row r="22027" spans="9:10" x14ac:dyDescent="0.2">
      <c r="I22027" s="1125"/>
      <c r="J22027" s="1125"/>
    </row>
    <row r="22028" spans="9:10" x14ac:dyDescent="0.2">
      <c r="I22028" s="1125"/>
      <c r="J22028" s="1125"/>
    </row>
    <row r="22029" spans="9:10" x14ac:dyDescent="0.2">
      <c r="I22029" s="1125"/>
      <c r="J22029" s="1125"/>
    </row>
    <row r="22030" spans="9:10" x14ac:dyDescent="0.2">
      <c r="I22030" s="1125"/>
      <c r="J22030" s="1125"/>
    </row>
    <row r="22031" spans="9:10" x14ac:dyDescent="0.2">
      <c r="I22031" s="1125"/>
      <c r="J22031" s="1125"/>
    </row>
    <row r="22032" spans="9:10" x14ac:dyDescent="0.2">
      <c r="I22032" s="1125"/>
      <c r="J22032" s="1125"/>
    </row>
    <row r="22033" spans="9:10" x14ac:dyDescent="0.2">
      <c r="I22033" s="1125"/>
      <c r="J22033" s="1125"/>
    </row>
    <row r="22034" spans="9:10" x14ac:dyDescent="0.2">
      <c r="I22034" s="1125"/>
      <c r="J22034" s="1125"/>
    </row>
    <row r="22035" spans="9:10" x14ac:dyDescent="0.2">
      <c r="I22035" s="1125"/>
      <c r="J22035" s="1125"/>
    </row>
    <row r="22036" spans="9:10" x14ac:dyDescent="0.2">
      <c r="I22036" s="1125"/>
      <c r="J22036" s="1125"/>
    </row>
    <row r="22037" spans="9:10" x14ac:dyDescent="0.2">
      <c r="I22037" s="1125"/>
      <c r="J22037" s="1125"/>
    </row>
    <row r="22038" spans="9:10" x14ac:dyDescent="0.2">
      <c r="I22038" s="1125"/>
      <c r="J22038" s="1125"/>
    </row>
    <row r="22039" spans="9:10" x14ac:dyDescent="0.2">
      <c r="I22039" s="1125"/>
      <c r="J22039" s="1125"/>
    </row>
    <row r="22040" spans="9:10" x14ac:dyDescent="0.2">
      <c r="I22040" s="1125"/>
      <c r="J22040" s="1125"/>
    </row>
    <row r="22041" spans="9:10" x14ac:dyDescent="0.2">
      <c r="I22041" s="1125"/>
      <c r="J22041" s="1125"/>
    </row>
    <row r="22042" spans="9:10" x14ac:dyDescent="0.2">
      <c r="I22042" s="1125"/>
      <c r="J22042" s="1125"/>
    </row>
    <row r="22043" spans="9:10" x14ac:dyDescent="0.2">
      <c r="I22043" s="1125"/>
      <c r="J22043" s="1125"/>
    </row>
    <row r="22044" spans="9:10" x14ac:dyDescent="0.2">
      <c r="I22044" s="1125"/>
      <c r="J22044" s="1125"/>
    </row>
    <row r="22045" spans="9:10" x14ac:dyDescent="0.2">
      <c r="I22045" s="1125"/>
      <c r="J22045" s="1125"/>
    </row>
    <row r="22046" spans="9:10" x14ac:dyDescent="0.2">
      <c r="I22046" s="1125"/>
      <c r="J22046" s="1125"/>
    </row>
    <row r="22047" spans="9:10" x14ac:dyDescent="0.2">
      <c r="I22047" s="1125"/>
      <c r="J22047" s="1125"/>
    </row>
    <row r="22048" spans="9:10" x14ac:dyDescent="0.2">
      <c r="I22048" s="1125"/>
      <c r="J22048" s="1125"/>
    </row>
    <row r="22049" spans="9:10" x14ac:dyDescent="0.2">
      <c r="I22049" s="1125"/>
      <c r="J22049" s="1125"/>
    </row>
    <row r="22050" spans="9:10" x14ac:dyDescent="0.2">
      <c r="I22050" s="1125"/>
      <c r="J22050" s="1125"/>
    </row>
    <row r="22051" spans="9:10" x14ac:dyDescent="0.2">
      <c r="I22051" s="1125"/>
      <c r="J22051" s="1125"/>
    </row>
    <row r="22052" spans="9:10" x14ac:dyDescent="0.2">
      <c r="I22052" s="1125"/>
      <c r="J22052" s="1125"/>
    </row>
    <row r="22053" spans="9:10" x14ac:dyDescent="0.2">
      <c r="I22053" s="1125"/>
      <c r="J22053" s="1125"/>
    </row>
    <row r="22054" spans="9:10" x14ac:dyDescent="0.2">
      <c r="I22054" s="1125"/>
      <c r="J22054" s="1125"/>
    </row>
    <row r="22055" spans="9:10" x14ac:dyDescent="0.2">
      <c r="I22055" s="1125"/>
      <c r="J22055" s="1125"/>
    </row>
    <row r="22056" spans="9:10" x14ac:dyDescent="0.2">
      <c r="I22056" s="1125"/>
      <c r="J22056" s="1125"/>
    </row>
    <row r="22057" spans="9:10" x14ac:dyDescent="0.2">
      <c r="I22057" s="1125"/>
      <c r="J22057" s="1125"/>
    </row>
    <row r="22058" spans="9:10" x14ac:dyDescent="0.2">
      <c r="I22058" s="1125"/>
      <c r="J22058" s="1125"/>
    </row>
    <row r="22059" spans="9:10" x14ac:dyDescent="0.2">
      <c r="I22059" s="1125"/>
      <c r="J22059" s="1125"/>
    </row>
    <row r="22060" spans="9:10" x14ac:dyDescent="0.2">
      <c r="I22060" s="1125"/>
      <c r="J22060" s="1125"/>
    </row>
    <row r="22061" spans="9:10" x14ac:dyDescent="0.2">
      <c r="I22061" s="1125"/>
      <c r="J22061" s="1125"/>
    </row>
    <row r="22062" spans="9:10" x14ac:dyDescent="0.2">
      <c r="I22062" s="1125"/>
      <c r="J22062" s="1125"/>
    </row>
    <row r="22063" spans="9:10" x14ac:dyDescent="0.2">
      <c r="I22063" s="1125"/>
      <c r="J22063" s="1125"/>
    </row>
    <row r="22064" spans="9:10" x14ac:dyDescent="0.2">
      <c r="I22064" s="1125"/>
      <c r="J22064" s="1125"/>
    </row>
    <row r="22065" spans="9:10" x14ac:dyDescent="0.2">
      <c r="I22065" s="1125"/>
      <c r="J22065" s="1125"/>
    </row>
    <row r="22066" spans="9:10" x14ac:dyDescent="0.2">
      <c r="I22066" s="1125"/>
      <c r="J22066" s="1125"/>
    </row>
    <row r="22067" spans="9:10" x14ac:dyDescent="0.2">
      <c r="I22067" s="1125"/>
      <c r="J22067" s="1125"/>
    </row>
    <row r="22068" spans="9:10" x14ac:dyDescent="0.2">
      <c r="I22068" s="1125"/>
      <c r="J22068" s="1125"/>
    </row>
    <row r="22069" spans="9:10" x14ac:dyDescent="0.2">
      <c r="I22069" s="1125"/>
      <c r="J22069" s="1125"/>
    </row>
    <row r="22070" spans="9:10" x14ac:dyDescent="0.2">
      <c r="I22070" s="1125"/>
      <c r="J22070" s="1125"/>
    </row>
    <row r="22071" spans="9:10" x14ac:dyDescent="0.2">
      <c r="I22071" s="1125"/>
      <c r="J22071" s="1125"/>
    </row>
    <row r="22072" spans="9:10" x14ac:dyDescent="0.2">
      <c r="I22072" s="1125"/>
      <c r="J22072" s="1125"/>
    </row>
    <row r="22073" spans="9:10" x14ac:dyDescent="0.2">
      <c r="I22073" s="1125"/>
      <c r="J22073" s="1125"/>
    </row>
    <row r="22074" spans="9:10" x14ac:dyDescent="0.2">
      <c r="I22074" s="1125"/>
      <c r="J22074" s="1125"/>
    </row>
    <row r="22075" spans="9:10" x14ac:dyDescent="0.2">
      <c r="I22075" s="1125"/>
      <c r="J22075" s="1125"/>
    </row>
    <row r="22076" spans="9:10" x14ac:dyDescent="0.2">
      <c r="I22076" s="1125"/>
      <c r="J22076" s="1125"/>
    </row>
    <row r="22077" spans="9:10" x14ac:dyDescent="0.2">
      <c r="I22077" s="1125"/>
      <c r="J22077" s="1125"/>
    </row>
    <row r="22078" spans="9:10" x14ac:dyDescent="0.2">
      <c r="I22078" s="1125"/>
      <c r="J22078" s="1125"/>
    </row>
    <row r="22079" spans="9:10" x14ac:dyDescent="0.2">
      <c r="I22079" s="1125"/>
      <c r="J22079" s="1125"/>
    </row>
    <row r="22080" spans="9:10" x14ac:dyDescent="0.2">
      <c r="I22080" s="1125"/>
      <c r="J22080" s="1125"/>
    </row>
    <row r="22081" spans="9:10" x14ac:dyDescent="0.2">
      <c r="I22081" s="1125"/>
      <c r="J22081" s="1125"/>
    </row>
    <row r="22082" spans="9:10" x14ac:dyDescent="0.2">
      <c r="I22082" s="1125"/>
      <c r="J22082" s="1125"/>
    </row>
    <row r="22083" spans="9:10" x14ac:dyDescent="0.2">
      <c r="I22083" s="1125"/>
      <c r="J22083" s="1125"/>
    </row>
    <row r="22084" spans="9:10" x14ac:dyDescent="0.2">
      <c r="I22084" s="1125"/>
      <c r="J22084" s="1125"/>
    </row>
    <row r="22085" spans="9:10" x14ac:dyDescent="0.2">
      <c r="I22085" s="1125"/>
      <c r="J22085" s="1125"/>
    </row>
    <row r="22086" spans="9:10" x14ac:dyDescent="0.2">
      <c r="I22086" s="1125"/>
      <c r="J22086" s="1125"/>
    </row>
    <row r="22087" spans="9:10" x14ac:dyDescent="0.2">
      <c r="I22087" s="1125"/>
      <c r="J22087" s="1125"/>
    </row>
    <row r="22088" spans="9:10" x14ac:dyDescent="0.2">
      <c r="I22088" s="1125"/>
      <c r="J22088" s="1125"/>
    </row>
    <row r="22089" spans="9:10" x14ac:dyDescent="0.2">
      <c r="I22089" s="1125"/>
      <c r="J22089" s="1125"/>
    </row>
    <row r="22090" spans="9:10" x14ac:dyDescent="0.2">
      <c r="I22090" s="1125"/>
      <c r="J22090" s="1125"/>
    </row>
    <row r="22091" spans="9:10" x14ac:dyDescent="0.2">
      <c r="I22091" s="1125"/>
      <c r="J22091" s="1125"/>
    </row>
    <row r="22092" spans="9:10" x14ac:dyDescent="0.2">
      <c r="I22092" s="1125"/>
      <c r="J22092" s="1125"/>
    </row>
    <row r="22093" spans="9:10" x14ac:dyDescent="0.2">
      <c r="I22093" s="1125"/>
      <c r="J22093" s="1125"/>
    </row>
    <row r="22094" spans="9:10" x14ac:dyDescent="0.2">
      <c r="I22094" s="1125"/>
      <c r="J22094" s="1125"/>
    </row>
    <row r="22095" spans="9:10" x14ac:dyDescent="0.2">
      <c r="I22095" s="1125"/>
      <c r="J22095" s="1125"/>
    </row>
    <row r="22096" spans="9:10" x14ac:dyDescent="0.2">
      <c r="I22096" s="1125"/>
      <c r="J22096" s="1125"/>
    </row>
    <row r="22097" spans="9:10" x14ac:dyDescent="0.2">
      <c r="I22097" s="1125"/>
      <c r="J22097" s="1125"/>
    </row>
    <row r="22098" spans="9:10" x14ac:dyDescent="0.2">
      <c r="I22098" s="1125"/>
      <c r="J22098" s="1125"/>
    </row>
    <row r="22099" spans="9:10" x14ac:dyDescent="0.2">
      <c r="I22099" s="1125"/>
      <c r="J22099" s="1125"/>
    </row>
    <row r="22100" spans="9:10" x14ac:dyDescent="0.2">
      <c r="I22100" s="1125"/>
      <c r="J22100" s="1125"/>
    </row>
    <row r="22101" spans="9:10" x14ac:dyDescent="0.2">
      <c r="I22101" s="1125"/>
      <c r="J22101" s="1125"/>
    </row>
    <row r="22102" spans="9:10" x14ac:dyDescent="0.2">
      <c r="I22102" s="1125"/>
      <c r="J22102" s="1125"/>
    </row>
    <row r="22103" spans="9:10" x14ac:dyDescent="0.2">
      <c r="I22103" s="1125"/>
      <c r="J22103" s="1125"/>
    </row>
    <row r="22104" spans="9:10" x14ac:dyDescent="0.2">
      <c r="I22104" s="1125"/>
      <c r="J22104" s="1125"/>
    </row>
    <row r="22105" spans="9:10" x14ac:dyDescent="0.2">
      <c r="I22105" s="1125"/>
      <c r="J22105" s="1125"/>
    </row>
    <row r="22106" spans="9:10" x14ac:dyDescent="0.2">
      <c r="I22106" s="1125"/>
      <c r="J22106" s="1125"/>
    </row>
    <row r="22107" spans="9:10" x14ac:dyDescent="0.2">
      <c r="I22107" s="1125"/>
      <c r="J22107" s="1125"/>
    </row>
    <row r="22108" spans="9:10" x14ac:dyDescent="0.2">
      <c r="I22108" s="1125"/>
      <c r="J22108" s="1125"/>
    </row>
    <row r="22109" spans="9:10" x14ac:dyDescent="0.2">
      <c r="I22109" s="1125"/>
      <c r="J22109" s="1125"/>
    </row>
    <row r="22110" spans="9:10" x14ac:dyDescent="0.2">
      <c r="I22110" s="1125"/>
      <c r="J22110" s="1125"/>
    </row>
    <row r="22111" spans="9:10" x14ac:dyDescent="0.2">
      <c r="I22111" s="1125"/>
      <c r="J22111" s="1125"/>
    </row>
    <row r="22112" spans="9:10" x14ac:dyDescent="0.2">
      <c r="I22112" s="1125"/>
      <c r="J22112" s="1125"/>
    </row>
    <row r="22113" spans="9:10" x14ac:dyDescent="0.2">
      <c r="I22113" s="1125"/>
      <c r="J22113" s="1125"/>
    </row>
    <row r="22114" spans="9:10" x14ac:dyDescent="0.2">
      <c r="I22114" s="1125"/>
      <c r="J22114" s="1125"/>
    </row>
    <row r="22115" spans="9:10" x14ac:dyDescent="0.2">
      <c r="I22115" s="1125"/>
      <c r="J22115" s="1125"/>
    </row>
    <row r="22116" spans="9:10" x14ac:dyDescent="0.2">
      <c r="I22116" s="1125"/>
      <c r="J22116" s="1125"/>
    </row>
    <row r="22117" spans="9:10" x14ac:dyDescent="0.2">
      <c r="I22117" s="1125"/>
      <c r="J22117" s="1125"/>
    </row>
    <row r="22118" spans="9:10" x14ac:dyDescent="0.2">
      <c r="I22118" s="1125"/>
      <c r="J22118" s="1125"/>
    </row>
    <row r="22119" spans="9:10" x14ac:dyDescent="0.2">
      <c r="I22119" s="1125"/>
      <c r="J22119" s="1125"/>
    </row>
    <row r="22120" spans="9:10" x14ac:dyDescent="0.2">
      <c r="I22120" s="1125"/>
      <c r="J22120" s="1125"/>
    </row>
    <row r="22121" spans="9:10" x14ac:dyDescent="0.2">
      <c r="I22121" s="1125"/>
      <c r="J22121" s="1125"/>
    </row>
    <row r="22122" spans="9:10" x14ac:dyDescent="0.2">
      <c r="I22122" s="1125"/>
      <c r="J22122" s="1125"/>
    </row>
    <row r="22123" spans="9:10" x14ac:dyDescent="0.2">
      <c r="I22123" s="1125"/>
      <c r="J22123" s="1125"/>
    </row>
    <row r="22124" spans="9:10" x14ac:dyDescent="0.2">
      <c r="I22124" s="1125"/>
      <c r="J22124" s="1125"/>
    </row>
    <row r="22125" spans="9:10" x14ac:dyDescent="0.2">
      <c r="I22125" s="1125"/>
      <c r="J22125" s="1125"/>
    </row>
    <row r="22126" spans="9:10" x14ac:dyDescent="0.2">
      <c r="I22126" s="1125"/>
      <c r="J22126" s="1125"/>
    </row>
    <row r="22127" spans="9:10" x14ac:dyDescent="0.2">
      <c r="I22127" s="1125"/>
      <c r="J22127" s="1125"/>
    </row>
    <row r="22128" spans="9:10" x14ac:dyDescent="0.2">
      <c r="I22128" s="1125"/>
      <c r="J22128" s="1125"/>
    </row>
    <row r="22129" spans="9:10" x14ac:dyDescent="0.2">
      <c r="I22129" s="1125"/>
      <c r="J22129" s="1125"/>
    </row>
    <row r="22130" spans="9:10" x14ac:dyDescent="0.2">
      <c r="I22130" s="1125"/>
      <c r="J22130" s="1125"/>
    </row>
    <row r="22131" spans="9:10" x14ac:dyDescent="0.2">
      <c r="I22131" s="1125"/>
      <c r="J22131" s="1125"/>
    </row>
    <row r="22132" spans="9:10" x14ac:dyDescent="0.2">
      <c r="I22132" s="1125"/>
      <c r="J22132" s="1125"/>
    </row>
    <row r="22133" spans="9:10" x14ac:dyDescent="0.2">
      <c r="I22133" s="1125"/>
      <c r="J22133" s="1125"/>
    </row>
    <row r="22134" spans="9:10" x14ac:dyDescent="0.2">
      <c r="I22134" s="1125"/>
      <c r="J22134" s="1125"/>
    </row>
    <row r="22135" spans="9:10" x14ac:dyDescent="0.2">
      <c r="I22135" s="1125"/>
      <c r="J22135" s="1125"/>
    </row>
    <row r="22136" spans="9:10" x14ac:dyDescent="0.2">
      <c r="I22136" s="1125"/>
      <c r="J22136" s="1125"/>
    </row>
    <row r="22137" spans="9:10" x14ac:dyDescent="0.2">
      <c r="I22137" s="1125"/>
      <c r="J22137" s="1125"/>
    </row>
    <row r="22138" spans="9:10" x14ac:dyDescent="0.2">
      <c r="I22138" s="1125"/>
      <c r="J22138" s="1125"/>
    </row>
    <row r="22139" spans="9:10" x14ac:dyDescent="0.2">
      <c r="I22139" s="1125"/>
      <c r="J22139" s="1125"/>
    </row>
    <row r="22140" spans="9:10" x14ac:dyDescent="0.2">
      <c r="I22140" s="1125"/>
      <c r="J22140" s="1125"/>
    </row>
    <row r="22141" spans="9:10" x14ac:dyDescent="0.2">
      <c r="I22141" s="1125"/>
      <c r="J22141" s="1125"/>
    </row>
    <row r="22142" spans="9:10" x14ac:dyDescent="0.2">
      <c r="I22142" s="1125"/>
      <c r="J22142" s="1125"/>
    </row>
    <row r="22143" spans="9:10" x14ac:dyDescent="0.2">
      <c r="I22143" s="1125"/>
      <c r="J22143" s="1125"/>
    </row>
    <row r="22144" spans="9:10" x14ac:dyDescent="0.2">
      <c r="I22144" s="1125"/>
      <c r="J22144" s="1125"/>
    </row>
    <row r="22145" spans="9:10" x14ac:dyDescent="0.2">
      <c r="I22145" s="1125"/>
      <c r="J22145" s="1125"/>
    </row>
    <row r="22146" spans="9:10" x14ac:dyDescent="0.2">
      <c r="I22146" s="1125"/>
      <c r="J22146" s="1125"/>
    </row>
    <row r="22147" spans="9:10" x14ac:dyDescent="0.2">
      <c r="I22147" s="1125"/>
      <c r="J22147" s="1125"/>
    </row>
    <row r="22148" spans="9:10" x14ac:dyDescent="0.2">
      <c r="I22148" s="1125"/>
      <c r="J22148" s="1125"/>
    </row>
    <row r="22149" spans="9:10" x14ac:dyDescent="0.2">
      <c r="I22149" s="1125"/>
      <c r="J22149" s="1125"/>
    </row>
    <row r="22150" spans="9:10" x14ac:dyDescent="0.2">
      <c r="I22150" s="1125"/>
      <c r="J22150" s="1125"/>
    </row>
    <row r="22151" spans="9:10" x14ac:dyDescent="0.2">
      <c r="I22151" s="1125"/>
      <c r="J22151" s="1125"/>
    </row>
    <row r="22152" spans="9:10" x14ac:dyDescent="0.2">
      <c r="I22152" s="1125"/>
      <c r="J22152" s="1125"/>
    </row>
    <row r="22153" spans="9:10" x14ac:dyDescent="0.2">
      <c r="I22153" s="1125"/>
      <c r="J22153" s="1125"/>
    </row>
    <row r="22154" spans="9:10" x14ac:dyDescent="0.2">
      <c r="I22154" s="1125"/>
      <c r="J22154" s="1125"/>
    </row>
    <row r="22155" spans="9:10" x14ac:dyDescent="0.2">
      <c r="I22155" s="1125"/>
      <c r="J22155" s="1125"/>
    </row>
    <row r="22156" spans="9:10" x14ac:dyDescent="0.2">
      <c r="I22156" s="1125"/>
      <c r="J22156" s="1125"/>
    </row>
    <row r="22157" spans="9:10" x14ac:dyDescent="0.2">
      <c r="I22157" s="1125"/>
      <c r="J22157" s="1125"/>
    </row>
    <row r="22158" spans="9:10" x14ac:dyDescent="0.2">
      <c r="I22158" s="1125"/>
      <c r="J22158" s="1125"/>
    </row>
    <row r="22159" spans="9:10" x14ac:dyDescent="0.2">
      <c r="I22159" s="1125"/>
      <c r="J22159" s="1125"/>
    </row>
    <row r="22160" spans="9:10" x14ac:dyDescent="0.2">
      <c r="I22160" s="1125"/>
      <c r="J22160" s="1125"/>
    </row>
    <row r="22161" spans="9:10" x14ac:dyDescent="0.2">
      <c r="I22161" s="1125"/>
      <c r="J22161" s="1125"/>
    </row>
    <row r="22162" spans="9:10" x14ac:dyDescent="0.2">
      <c r="I22162" s="1125"/>
      <c r="J22162" s="1125"/>
    </row>
    <row r="22163" spans="9:10" x14ac:dyDescent="0.2">
      <c r="I22163" s="1125"/>
      <c r="J22163" s="1125"/>
    </row>
    <row r="22164" spans="9:10" x14ac:dyDescent="0.2">
      <c r="I22164" s="1125"/>
      <c r="J22164" s="1125"/>
    </row>
    <row r="22165" spans="9:10" x14ac:dyDescent="0.2">
      <c r="I22165" s="1125"/>
      <c r="J22165" s="1125"/>
    </row>
    <row r="22166" spans="9:10" x14ac:dyDescent="0.2">
      <c r="I22166" s="1125"/>
      <c r="J22166" s="1125"/>
    </row>
    <row r="22167" spans="9:10" x14ac:dyDescent="0.2">
      <c r="I22167" s="1125"/>
      <c r="J22167" s="1125"/>
    </row>
    <row r="22168" spans="9:10" x14ac:dyDescent="0.2">
      <c r="I22168" s="1125"/>
      <c r="J22168" s="1125"/>
    </row>
    <row r="22169" spans="9:10" x14ac:dyDescent="0.2">
      <c r="I22169" s="1125"/>
      <c r="J22169" s="1125"/>
    </row>
    <row r="22170" spans="9:10" x14ac:dyDescent="0.2">
      <c r="I22170" s="1125"/>
      <c r="J22170" s="1125"/>
    </row>
    <row r="22171" spans="9:10" x14ac:dyDescent="0.2">
      <c r="I22171" s="1125"/>
      <c r="J22171" s="1125"/>
    </row>
    <row r="22172" spans="9:10" x14ac:dyDescent="0.2">
      <c r="I22172" s="1125"/>
      <c r="J22172" s="1125"/>
    </row>
    <row r="22173" spans="9:10" x14ac:dyDescent="0.2">
      <c r="I22173" s="1125"/>
      <c r="J22173" s="1125"/>
    </row>
    <row r="22174" spans="9:10" x14ac:dyDescent="0.2">
      <c r="I22174" s="1125"/>
      <c r="J22174" s="1125"/>
    </row>
    <row r="22175" spans="9:10" x14ac:dyDescent="0.2">
      <c r="I22175" s="1125"/>
      <c r="J22175" s="1125"/>
    </row>
    <row r="22176" spans="9:10" x14ac:dyDescent="0.2">
      <c r="I22176" s="1125"/>
      <c r="J22176" s="1125"/>
    </row>
    <row r="22177" spans="9:10" x14ac:dyDescent="0.2">
      <c r="I22177" s="1125"/>
      <c r="J22177" s="1125"/>
    </row>
    <row r="22178" spans="9:10" x14ac:dyDescent="0.2">
      <c r="I22178" s="1125"/>
      <c r="J22178" s="1125"/>
    </row>
    <row r="22179" spans="9:10" x14ac:dyDescent="0.2">
      <c r="I22179" s="1125"/>
      <c r="J22179" s="1125"/>
    </row>
    <row r="22180" spans="9:10" x14ac:dyDescent="0.2">
      <c r="I22180" s="1125"/>
      <c r="J22180" s="1125"/>
    </row>
    <row r="22181" spans="9:10" x14ac:dyDescent="0.2">
      <c r="I22181" s="1125"/>
      <c r="J22181" s="1125"/>
    </row>
    <row r="22182" spans="9:10" x14ac:dyDescent="0.2">
      <c r="I22182" s="1125"/>
      <c r="J22182" s="1125"/>
    </row>
    <row r="22183" spans="9:10" x14ac:dyDescent="0.2">
      <c r="I22183" s="1125"/>
      <c r="J22183" s="1125"/>
    </row>
    <row r="22184" spans="9:10" x14ac:dyDescent="0.2">
      <c r="I22184" s="1125"/>
      <c r="J22184" s="1125"/>
    </row>
    <row r="22185" spans="9:10" x14ac:dyDescent="0.2">
      <c r="I22185" s="1125"/>
      <c r="J22185" s="1125"/>
    </row>
    <row r="22186" spans="9:10" x14ac:dyDescent="0.2">
      <c r="I22186" s="1125"/>
      <c r="J22186" s="1125"/>
    </row>
    <row r="22187" spans="9:10" x14ac:dyDescent="0.2">
      <c r="I22187" s="1125"/>
      <c r="J22187" s="1125"/>
    </row>
    <row r="22188" spans="9:10" x14ac:dyDescent="0.2">
      <c r="I22188" s="1125"/>
      <c r="J22188" s="1125"/>
    </row>
    <row r="22189" spans="9:10" x14ac:dyDescent="0.2">
      <c r="I22189" s="1125"/>
      <c r="J22189" s="1125"/>
    </row>
    <row r="22190" spans="9:10" x14ac:dyDescent="0.2">
      <c r="I22190" s="1125"/>
      <c r="J22190" s="1125"/>
    </row>
    <row r="22191" spans="9:10" x14ac:dyDescent="0.2">
      <c r="I22191" s="1125"/>
      <c r="J22191" s="1125"/>
    </row>
    <row r="22192" spans="9:10" x14ac:dyDescent="0.2">
      <c r="I22192" s="1125"/>
      <c r="J22192" s="1125"/>
    </row>
    <row r="22193" spans="9:10" x14ac:dyDescent="0.2">
      <c r="I22193" s="1125"/>
      <c r="J22193" s="1125"/>
    </row>
    <row r="22194" spans="9:10" x14ac:dyDescent="0.2">
      <c r="I22194" s="1125"/>
      <c r="J22194" s="1125"/>
    </row>
    <row r="22195" spans="9:10" x14ac:dyDescent="0.2">
      <c r="I22195" s="1125"/>
      <c r="J22195" s="1125"/>
    </row>
    <row r="22196" spans="9:10" x14ac:dyDescent="0.2">
      <c r="I22196" s="1125"/>
      <c r="J22196" s="1125"/>
    </row>
    <row r="22197" spans="9:10" x14ac:dyDescent="0.2">
      <c r="I22197" s="1125"/>
      <c r="J22197" s="1125"/>
    </row>
    <row r="22198" spans="9:10" x14ac:dyDescent="0.2">
      <c r="I22198" s="1125"/>
      <c r="J22198" s="1125"/>
    </row>
    <row r="22199" spans="9:10" x14ac:dyDescent="0.2">
      <c r="I22199" s="1125"/>
      <c r="J22199" s="1125"/>
    </row>
    <row r="22200" spans="9:10" x14ac:dyDescent="0.2">
      <c r="I22200" s="1125"/>
      <c r="J22200" s="1125"/>
    </row>
    <row r="22201" spans="9:10" x14ac:dyDescent="0.2">
      <c r="I22201" s="1125"/>
      <c r="J22201" s="1125"/>
    </row>
    <row r="22202" spans="9:10" x14ac:dyDescent="0.2">
      <c r="I22202" s="1125"/>
      <c r="J22202" s="1125"/>
    </row>
    <row r="22203" spans="9:10" x14ac:dyDescent="0.2">
      <c r="I22203" s="1125"/>
      <c r="J22203" s="1125"/>
    </row>
    <row r="22204" spans="9:10" x14ac:dyDescent="0.2">
      <c r="I22204" s="1125"/>
      <c r="J22204" s="1125"/>
    </row>
    <row r="22205" spans="9:10" x14ac:dyDescent="0.2">
      <c r="I22205" s="1125"/>
      <c r="J22205" s="1125"/>
    </row>
    <row r="22206" spans="9:10" x14ac:dyDescent="0.2">
      <c r="I22206" s="1125"/>
      <c r="J22206" s="1125"/>
    </row>
    <row r="22207" spans="9:10" x14ac:dyDescent="0.2">
      <c r="I22207" s="1125"/>
      <c r="J22207" s="1125"/>
    </row>
    <row r="22208" spans="9:10" x14ac:dyDescent="0.2">
      <c r="I22208" s="1125"/>
      <c r="J22208" s="1125"/>
    </row>
    <row r="22209" spans="9:10" x14ac:dyDescent="0.2">
      <c r="I22209" s="1125"/>
      <c r="J22209" s="1125"/>
    </row>
    <row r="22210" spans="9:10" x14ac:dyDescent="0.2">
      <c r="I22210" s="1125"/>
      <c r="J22210" s="1125"/>
    </row>
    <row r="22211" spans="9:10" x14ac:dyDescent="0.2">
      <c r="I22211" s="1125"/>
      <c r="J22211" s="1125"/>
    </row>
    <row r="22212" spans="9:10" x14ac:dyDescent="0.2">
      <c r="I22212" s="1125"/>
      <c r="J22212" s="1125"/>
    </row>
    <row r="22213" spans="9:10" x14ac:dyDescent="0.2">
      <c r="I22213" s="1125"/>
      <c r="J22213" s="1125"/>
    </row>
    <row r="22214" spans="9:10" x14ac:dyDescent="0.2">
      <c r="I22214" s="1125"/>
      <c r="J22214" s="1125"/>
    </row>
    <row r="22215" spans="9:10" x14ac:dyDescent="0.2">
      <c r="I22215" s="1125"/>
      <c r="J22215" s="1125"/>
    </row>
    <row r="22216" spans="9:10" x14ac:dyDescent="0.2">
      <c r="I22216" s="1125"/>
      <c r="J22216" s="1125"/>
    </row>
    <row r="22217" spans="9:10" x14ac:dyDescent="0.2">
      <c r="I22217" s="1125"/>
      <c r="J22217" s="1125"/>
    </row>
    <row r="22218" spans="9:10" x14ac:dyDescent="0.2">
      <c r="I22218" s="1125"/>
      <c r="J22218" s="1125"/>
    </row>
    <row r="22219" spans="9:10" x14ac:dyDescent="0.2">
      <c r="I22219" s="1125"/>
      <c r="J22219" s="1125"/>
    </row>
    <row r="22220" spans="9:10" x14ac:dyDescent="0.2">
      <c r="I22220" s="1125"/>
      <c r="J22220" s="1125"/>
    </row>
    <row r="22221" spans="9:10" x14ac:dyDescent="0.2">
      <c r="I22221" s="1125"/>
      <c r="J22221" s="1125"/>
    </row>
    <row r="22222" spans="9:10" x14ac:dyDescent="0.2">
      <c r="I22222" s="1125"/>
      <c r="J22222" s="1125"/>
    </row>
    <row r="22223" spans="9:10" x14ac:dyDescent="0.2">
      <c r="I22223" s="1125"/>
      <c r="J22223" s="1125"/>
    </row>
    <row r="22224" spans="9:10" x14ac:dyDescent="0.2">
      <c r="I22224" s="1125"/>
      <c r="J22224" s="1125"/>
    </row>
    <row r="22225" spans="9:10" x14ac:dyDescent="0.2">
      <c r="I22225" s="1125"/>
      <c r="J22225" s="1125"/>
    </row>
    <row r="22226" spans="9:10" x14ac:dyDescent="0.2">
      <c r="I22226" s="1125"/>
      <c r="J22226" s="1125"/>
    </row>
    <row r="22227" spans="9:10" x14ac:dyDescent="0.2">
      <c r="I22227" s="1125"/>
      <c r="J22227" s="1125"/>
    </row>
    <row r="22228" spans="9:10" x14ac:dyDescent="0.2">
      <c r="I22228" s="1125"/>
      <c r="J22228" s="1125"/>
    </row>
    <row r="22229" spans="9:10" x14ac:dyDescent="0.2">
      <c r="I22229" s="1125"/>
      <c r="J22229" s="1125"/>
    </row>
    <row r="22230" spans="9:10" x14ac:dyDescent="0.2">
      <c r="I22230" s="1125"/>
      <c r="J22230" s="1125"/>
    </row>
    <row r="22231" spans="9:10" x14ac:dyDescent="0.2">
      <c r="I22231" s="1125"/>
      <c r="J22231" s="1125"/>
    </row>
    <row r="22232" spans="9:10" x14ac:dyDescent="0.2">
      <c r="I22232" s="1125"/>
      <c r="J22232" s="1125"/>
    </row>
    <row r="22233" spans="9:10" x14ac:dyDescent="0.2">
      <c r="I22233" s="1125"/>
      <c r="J22233" s="1125"/>
    </row>
    <row r="22234" spans="9:10" x14ac:dyDescent="0.2">
      <c r="I22234" s="1125"/>
      <c r="J22234" s="1125"/>
    </row>
    <row r="22235" spans="9:10" x14ac:dyDescent="0.2">
      <c r="I22235" s="1125"/>
      <c r="J22235" s="1125"/>
    </row>
    <row r="22236" spans="9:10" x14ac:dyDescent="0.2">
      <c r="I22236" s="1125"/>
      <c r="J22236" s="1125"/>
    </row>
    <row r="22237" spans="9:10" x14ac:dyDescent="0.2">
      <c r="I22237" s="1125"/>
      <c r="J22237" s="1125"/>
    </row>
    <row r="22238" spans="9:10" x14ac:dyDescent="0.2">
      <c r="I22238" s="1125"/>
      <c r="J22238" s="1125"/>
    </row>
    <row r="22239" spans="9:10" x14ac:dyDescent="0.2">
      <c r="I22239" s="1125"/>
      <c r="J22239" s="1125"/>
    </row>
    <row r="22240" spans="9:10" x14ac:dyDescent="0.2">
      <c r="I22240" s="1125"/>
      <c r="J22240" s="1125"/>
    </row>
    <row r="22241" spans="9:10" x14ac:dyDescent="0.2">
      <c r="I22241" s="1125"/>
      <c r="J22241" s="1125"/>
    </row>
    <row r="22242" spans="9:10" x14ac:dyDescent="0.2">
      <c r="I22242" s="1125"/>
      <c r="J22242" s="1125"/>
    </row>
    <row r="22243" spans="9:10" x14ac:dyDescent="0.2">
      <c r="I22243" s="1125"/>
      <c r="J22243" s="1125"/>
    </row>
    <row r="22244" spans="9:10" x14ac:dyDescent="0.2">
      <c r="I22244" s="1125"/>
      <c r="J22244" s="1125"/>
    </row>
    <row r="22245" spans="9:10" x14ac:dyDescent="0.2">
      <c r="I22245" s="1125"/>
      <c r="J22245" s="1125"/>
    </row>
    <row r="22246" spans="9:10" x14ac:dyDescent="0.2">
      <c r="I22246" s="1125"/>
      <c r="J22246" s="1125"/>
    </row>
    <row r="22247" spans="9:10" x14ac:dyDescent="0.2">
      <c r="I22247" s="1125"/>
      <c r="J22247" s="1125"/>
    </row>
    <row r="22248" spans="9:10" x14ac:dyDescent="0.2">
      <c r="I22248" s="1125"/>
      <c r="J22248" s="1125"/>
    </row>
    <row r="22249" spans="9:10" x14ac:dyDescent="0.2">
      <c r="I22249" s="1125"/>
      <c r="J22249" s="1125"/>
    </row>
    <row r="22250" spans="9:10" x14ac:dyDescent="0.2">
      <c r="I22250" s="1125"/>
      <c r="J22250" s="1125"/>
    </row>
    <row r="22251" spans="9:10" x14ac:dyDescent="0.2">
      <c r="I22251" s="1125"/>
      <c r="J22251" s="1125"/>
    </row>
    <row r="22252" spans="9:10" x14ac:dyDescent="0.2">
      <c r="I22252" s="1125"/>
      <c r="J22252" s="1125"/>
    </row>
    <row r="22253" spans="9:10" x14ac:dyDescent="0.2">
      <c r="I22253" s="1125"/>
      <c r="J22253" s="1125"/>
    </row>
    <row r="22254" spans="9:10" x14ac:dyDescent="0.2">
      <c r="I22254" s="1125"/>
      <c r="J22254" s="1125"/>
    </row>
    <row r="22255" spans="9:10" x14ac:dyDescent="0.2">
      <c r="I22255" s="1125"/>
      <c r="J22255" s="1125"/>
    </row>
    <row r="22256" spans="9:10" x14ac:dyDescent="0.2">
      <c r="I22256" s="1125"/>
      <c r="J22256" s="1125"/>
    </row>
    <row r="22257" spans="9:10" x14ac:dyDescent="0.2">
      <c r="I22257" s="1125"/>
      <c r="J22257" s="1125"/>
    </row>
    <row r="22258" spans="9:10" x14ac:dyDescent="0.2">
      <c r="I22258" s="1125"/>
      <c r="J22258" s="1125"/>
    </row>
    <row r="22259" spans="9:10" x14ac:dyDescent="0.2">
      <c r="I22259" s="1125"/>
      <c r="J22259" s="1125"/>
    </row>
    <row r="22260" spans="9:10" x14ac:dyDescent="0.2">
      <c r="I22260" s="1125"/>
      <c r="J22260" s="1125"/>
    </row>
    <row r="22261" spans="9:10" x14ac:dyDescent="0.2">
      <c r="I22261" s="1125"/>
      <c r="J22261" s="1125"/>
    </row>
    <row r="22262" spans="9:10" x14ac:dyDescent="0.2">
      <c r="I22262" s="1125"/>
      <c r="J22262" s="1125"/>
    </row>
    <row r="22263" spans="9:10" x14ac:dyDescent="0.2">
      <c r="I22263" s="1125"/>
      <c r="J22263" s="1125"/>
    </row>
    <row r="22264" spans="9:10" x14ac:dyDescent="0.2">
      <c r="I22264" s="1125"/>
      <c r="J22264" s="1125"/>
    </row>
    <row r="22265" spans="9:10" x14ac:dyDescent="0.2">
      <c r="I22265" s="1125"/>
      <c r="J22265" s="1125"/>
    </row>
    <row r="22266" spans="9:10" x14ac:dyDescent="0.2">
      <c r="I22266" s="1125"/>
      <c r="J22266" s="1125"/>
    </row>
    <row r="22267" spans="9:10" x14ac:dyDescent="0.2">
      <c r="I22267" s="1125"/>
      <c r="J22267" s="1125"/>
    </row>
    <row r="22268" spans="9:10" x14ac:dyDescent="0.2">
      <c r="I22268" s="1125"/>
      <c r="J22268" s="1125"/>
    </row>
    <row r="22269" spans="9:10" x14ac:dyDescent="0.2">
      <c r="I22269" s="1125"/>
      <c r="J22269" s="1125"/>
    </row>
    <row r="22270" spans="9:10" x14ac:dyDescent="0.2">
      <c r="I22270" s="1125"/>
      <c r="J22270" s="1125"/>
    </row>
    <row r="22271" spans="9:10" x14ac:dyDescent="0.2">
      <c r="I22271" s="1125"/>
      <c r="J22271" s="1125"/>
    </row>
    <row r="22272" spans="9:10" x14ac:dyDescent="0.2">
      <c r="I22272" s="1125"/>
      <c r="J22272" s="1125"/>
    </row>
    <row r="22273" spans="9:10" x14ac:dyDescent="0.2">
      <c r="I22273" s="1125"/>
      <c r="J22273" s="1125"/>
    </row>
    <row r="22274" spans="9:10" x14ac:dyDescent="0.2">
      <c r="I22274" s="1125"/>
      <c r="J22274" s="1125"/>
    </row>
    <row r="22275" spans="9:10" x14ac:dyDescent="0.2">
      <c r="I22275" s="1125"/>
      <c r="J22275" s="1125"/>
    </row>
    <row r="22276" spans="9:10" x14ac:dyDescent="0.2">
      <c r="I22276" s="1125"/>
      <c r="J22276" s="1125"/>
    </row>
    <row r="22277" spans="9:10" x14ac:dyDescent="0.2">
      <c r="I22277" s="1125"/>
      <c r="J22277" s="1125"/>
    </row>
    <row r="22278" spans="9:10" x14ac:dyDescent="0.2">
      <c r="I22278" s="1125"/>
      <c r="J22278" s="1125"/>
    </row>
    <row r="22279" spans="9:10" x14ac:dyDescent="0.2">
      <c r="I22279" s="1125"/>
      <c r="J22279" s="1125"/>
    </row>
    <row r="22280" spans="9:10" x14ac:dyDescent="0.2">
      <c r="I22280" s="1125"/>
      <c r="J22280" s="1125"/>
    </row>
    <row r="22281" spans="9:10" x14ac:dyDescent="0.2">
      <c r="I22281" s="1125"/>
      <c r="J22281" s="1125"/>
    </row>
    <row r="22282" spans="9:10" x14ac:dyDescent="0.2">
      <c r="I22282" s="1125"/>
      <c r="J22282" s="1125"/>
    </row>
    <row r="22283" spans="9:10" x14ac:dyDescent="0.2">
      <c r="I22283" s="1125"/>
      <c r="J22283" s="1125"/>
    </row>
    <row r="22284" spans="9:10" x14ac:dyDescent="0.2">
      <c r="I22284" s="1125"/>
      <c r="J22284" s="1125"/>
    </row>
    <row r="22285" spans="9:10" x14ac:dyDescent="0.2">
      <c r="I22285" s="1125"/>
      <c r="J22285" s="1125"/>
    </row>
    <row r="22286" spans="9:10" x14ac:dyDescent="0.2">
      <c r="I22286" s="1125"/>
      <c r="J22286" s="1125"/>
    </row>
    <row r="22287" spans="9:10" x14ac:dyDescent="0.2">
      <c r="I22287" s="1125"/>
      <c r="J22287" s="1125"/>
    </row>
    <row r="22288" spans="9:10" x14ac:dyDescent="0.2">
      <c r="I22288" s="1125"/>
      <c r="J22288" s="1125"/>
    </row>
    <row r="22289" spans="9:10" x14ac:dyDescent="0.2">
      <c r="I22289" s="1125"/>
      <c r="J22289" s="1125"/>
    </row>
    <row r="22290" spans="9:10" x14ac:dyDescent="0.2">
      <c r="I22290" s="1125"/>
      <c r="J22290" s="1125"/>
    </row>
    <row r="22291" spans="9:10" x14ac:dyDescent="0.2">
      <c r="I22291" s="1125"/>
      <c r="J22291" s="1125"/>
    </row>
    <row r="22292" spans="9:10" x14ac:dyDescent="0.2">
      <c r="I22292" s="1125"/>
      <c r="J22292" s="1125"/>
    </row>
    <row r="22293" spans="9:10" x14ac:dyDescent="0.2">
      <c r="I22293" s="1125"/>
      <c r="J22293" s="1125"/>
    </row>
    <row r="22294" spans="9:10" x14ac:dyDescent="0.2">
      <c r="I22294" s="1125"/>
      <c r="J22294" s="1125"/>
    </row>
    <row r="22295" spans="9:10" x14ac:dyDescent="0.2">
      <c r="I22295" s="1125"/>
      <c r="J22295" s="1125"/>
    </row>
    <row r="22296" spans="9:10" x14ac:dyDescent="0.2">
      <c r="I22296" s="1125"/>
      <c r="J22296" s="1125"/>
    </row>
    <row r="22297" spans="9:10" x14ac:dyDescent="0.2">
      <c r="I22297" s="1125"/>
      <c r="J22297" s="1125"/>
    </row>
    <row r="22298" spans="9:10" x14ac:dyDescent="0.2">
      <c r="I22298" s="1125"/>
      <c r="J22298" s="1125"/>
    </row>
    <row r="22299" spans="9:10" x14ac:dyDescent="0.2">
      <c r="I22299" s="1125"/>
      <c r="J22299" s="1125"/>
    </row>
    <row r="22300" spans="9:10" x14ac:dyDescent="0.2">
      <c r="I22300" s="1125"/>
      <c r="J22300" s="1125"/>
    </row>
    <row r="22301" spans="9:10" x14ac:dyDescent="0.2">
      <c r="I22301" s="1125"/>
      <c r="J22301" s="1125"/>
    </row>
    <row r="22302" spans="9:10" x14ac:dyDescent="0.2">
      <c r="I22302" s="1125"/>
      <c r="J22302" s="1125"/>
    </row>
    <row r="22303" spans="9:10" x14ac:dyDescent="0.2">
      <c r="I22303" s="1125"/>
      <c r="J22303" s="1125"/>
    </row>
    <row r="22304" spans="9:10" x14ac:dyDescent="0.2">
      <c r="I22304" s="1125"/>
      <c r="J22304" s="1125"/>
    </row>
    <row r="22305" spans="9:10" x14ac:dyDescent="0.2">
      <c r="I22305" s="1125"/>
      <c r="J22305" s="1125"/>
    </row>
    <row r="22306" spans="9:10" x14ac:dyDescent="0.2">
      <c r="I22306" s="1125"/>
      <c r="J22306" s="1125"/>
    </row>
    <row r="22307" spans="9:10" x14ac:dyDescent="0.2">
      <c r="I22307" s="1125"/>
      <c r="J22307" s="1125"/>
    </row>
    <row r="22308" spans="9:10" x14ac:dyDescent="0.2">
      <c r="I22308" s="1125"/>
      <c r="J22308" s="1125"/>
    </row>
    <row r="22309" spans="9:10" x14ac:dyDescent="0.2">
      <c r="I22309" s="1125"/>
      <c r="J22309" s="1125"/>
    </row>
    <row r="22310" spans="9:10" x14ac:dyDescent="0.2">
      <c r="I22310" s="1125"/>
      <c r="J22310" s="1125"/>
    </row>
    <row r="22311" spans="9:10" x14ac:dyDescent="0.2">
      <c r="I22311" s="1125"/>
      <c r="J22311" s="1125"/>
    </row>
    <row r="22312" spans="9:10" x14ac:dyDescent="0.2">
      <c r="I22312" s="1125"/>
      <c r="J22312" s="1125"/>
    </row>
    <row r="22313" spans="9:10" x14ac:dyDescent="0.2">
      <c r="I22313" s="1125"/>
      <c r="J22313" s="1125"/>
    </row>
    <row r="22314" spans="9:10" x14ac:dyDescent="0.2">
      <c r="I22314" s="1125"/>
      <c r="J22314" s="1125"/>
    </row>
    <row r="22315" spans="9:10" x14ac:dyDescent="0.2">
      <c r="I22315" s="1125"/>
      <c r="J22315" s="1125"/>
    </row>
    <row r="22316" spans="9:10" x14ac:dyDescent="0.2">
      <c r="I22316" s="1125"/>
      <c r="J22316" s="1125"/>
    </row>
    <row r="22317" spans="9:10" x14ac:dyDescent="0.2">
      <c r="I22317" s="1125"/>
      <c r="J22317" s="1125"/>
    </row>
    <row r="22318" spans="9:10" x14ac:dyDescent="0.2">
      <c r="I22318" s="1125"/>
      <c r="J22318" s="1125"/>
    </row>
    <row r="22319" spans="9:10" x14ac:dyDescent="0.2">
      <c r="I22319" s="1125"/>
      <c r="J22319" s="1125"/>
    </row>
    <row r="22320" spans="9:10" x14ac:dyDescent="0.2">
      <c r="I22320" s="1125"/>
      <c r="J22320" s="1125"/>
    </row>
    <row r="22321" spans="9:10" x14ac:dyDescent="0.2">
      <c r="I22321" s="1125"/>
      <c r="J22321" s="1125"/>
    </row>
    <row r="22322" spans="9:10" x14ac:dyDescent="0.2">
      <c r="I22322" s="1125"/>
      <c r="J22322" s="1125"/>
    </row>
    <row r="22323" spans="9:10" x14ac:dyDescent="0.2">
      <c r="I22323" s="1125"/>
      <c r="J22323" s="1125"/>
    </row>
    <row r="22324" spans="9:10" x14ac:dyDescent="0.2">
      <c r="I22324" s="1125"/>
      <c r="J22324" s="1125"/>
    </row>
    <row r="22325" spans="9:10" x14ac:dyDescent="0.2">
      <c r="I22325" s="1125"/>
      <c r="J22325" s="1125"/>
    </row>
    <row r="22326" spans="9:10" x14ac:dyDescent="0.2">
      <c r="I22326" s="1125"/>
      <c r="J22326" s="1125"/>
    </row>
    <row r="22327" spans="9:10" x14ac:dyDescent="0.2">
      <c r="I22327" s="1125"/>
      <c r="J22327" s="1125"/>
    </row>
    <row r="22328" spans="9:10" x14ac:dyDescent="0.2">
      <c r="I22328" s="1125"/>
      <c r="J22328" s="1125"/>
    </row>
    <row r="22329" spans="9:10" x14ac:dyDescent="0.2">
      <c r="I22329" s="1125"/>
      <c r="J22329" s="1125"/>
    </row>
    <row r="22330" spans="9:10" x14ac:dyDescent="0.2">
      <c r="I22330" s="1125"/>
      <c r="J22330" s="1125"/>
    </row>
    <row r="22331" spans="9:10" x14ac:dyDescent="0.2">
      <c r="I22331" s="1125"/>
      <c r="J22331" s="1125"/>
    </row>
    <row r="22332" spans="9:10" x14ac:dyDescent="0.2">
      <c r="I22332" s="1125"/>
      <c r="J22332" s="1125"/>
    </row>
    <row r="22333" spans="9:10" x14ac:dyDescent="0.2">
      <c r="I22333" s="1125"/>
      <c r="J22333" s="1125"/>
    </row>
    <row r="22334" spans="9:10" x14ac:dyDescent="0.2">
      <c r="I22334" s="1125"/>
      <c r="J22334" s="1125"/>
    </row>
    <row r="22335" spans="9:10" x14ac:dyDescent="0.2">
      <c r="I22335" s="1125"/>
      <c r="J22335" s="1125"/>
    </row>
    <row r="22336" spans="9:10" x14ac:dyDescent="0.2">
      <c r="I22336" s="1125"/>
      <c r="J22336" s="1125"/>
    </row>
    <row r="22337" spans="9:10" x14ac:dyDescent="0.2">
      <c r="I22337" s="1125"/>
      <c r="J22337" s="1125"/>
    </row>
    <row r="22338" spans="9:10" x14ac:dyDescent="0.2">
      <c r="I22338" s="1125"/>
      <c r="J22338" s="1125"/>
    </row>
    <row r="22339" spans="9:10" x14ac:dyDescent="0.2">
      <c r="I22339" s="1125"/>
      <c r="J22339" s="1125"/>
    </row>
    <row r="22340" spans="9:10" x14ac:dyDescent="0.2">
      <c r="I22340" s="1125"/>
      <c r="J22340" s="1125"/>
    </row>
    <row r="22341" spans="9:10" x14ac:dyDescent="0.2">
      <c r="I22341" s="1125"/>
      <c r="J22341" s="1125"/>
    </row>
    <row r="22342" spans="9:10" x14ac:dyDescent="0.2">
      <c r="I22342" s="1125"/>
      <c r="J22342" s="1125"/>
    </row>
    <row r="22343" spans="9:10" x14ac:dyDescent="0.2">
      <c r="I22343" s="1125"/>
      <c r="J22343" s="1125"/>
    </row>
    <row r="22344" spans="9:10" x14ac:dyDescent="0.2">
      <c r="I22344" s="1125"/>
      <c r="J22344" s="1125"/>
    </row>
    <row r="22345" spans="9:10" x14ac:dyDescent="0.2">
      <c r="I22345" s="1125"/>
      <c r="J22345" s="1125"/>
    </row>
    <row r="22346" spans="9:10" x14ac:dyDescent="0.2">
      <c r="I22346" s="1125"/>
      <c r="J22346" s="1125"/>
    </row>
    <row r="22347" spans="9:10" x14ac:dyDescent="0.2">
      <c r="I22347" s="1125"/>
      <c r="J22347" s="1125"/>
    </row>
    <row r="22348" spans="9:10" x14ac:dyDescent="0.2">
      <c r="I22348" s="1125"/>
      <c r="J22348" s="1125"/>
    </row>
    <row r="22349" spans="9:10" x14ac:dyDescent="0.2">
      <c r="I22349" s="1125"/>
      <c r="J22349" s="1125"/>
    </row>
    <row r="22350" spans="9:10" x14ac:dyDescent="0.2">
      <c r="I22350" s="1125"/>
      <c r="J22350" s="1125"/>
    </row>
    <row r="22351" spans="9:10" x14ac:dyDescent="0.2">
      <c r="I22351" s="1125"/>
      <c r="J22351" s="1125"/>
    </row>
    <row r="22352" spans="9:10" x14ac:dyDescent="0.2">
      <c r="I22352" s="1125"/>
      <c r="J22352" s="1125"/>
    </row>
    <row r="22353" spans="9:10" x14ac:dyDescent="0.2">
      <c r="I22353" s="1125"/>
      <c r="J22353" s="1125"/>
    </row>
    <row r="22354" spans="9:10" x14ac:dyDescent="0.2">
      <c r="I22354" s="1125"/>
      <c r="J22354" s="1125"/>
    </row>
    <row r="22355" spans="9:10" x14ac:dyDescent="0.2">
      <c r="I22355" s="1125"/>
      <c r="J22355" s="1125"/>
    </row>
    <row r="22356" spans="9:10" x14ac:dyDescent="0.2">
      <c r="I22356" s="1125"/>
      <c r="J22356" s="1125"/>
    </row>
    <row r="22357" spans="9:10" x14ac:dyDescent="0.2">
      <c r="I22357" s="1125"/>
      <c r="J22357" s="1125"/>
    </row>
    <row r="22358" spans="9:10" x14ac:dyDescent="0.2">
      <c r="I22358" s="1125"/>
      <c r="J22358" s="1125"/>
    </row>
    <row r="22359" spans="9:10" x14ac:dyDescent="0.2">
      <c r="I22359" s="1125"/>
      <c r="J22359" s="1125"/>
    </row>
    <row r="22360" spans="9:10" x14ac:dyDescent="0.2">
      <c r="I22360" s="1125"/>
      <c r="J22360" s="1125"/>
    </row>
    <row r="22361" spans="9:10" x14ac:dyDescent="0.2">
      <c r="I22361" s="1125"/>
      <c r="J22361" s="1125"/>
    </row>
    <row r="22362" spans="9:10" x14ac:dyDescent="0.2">
      <c r="I22362" s="1125"/>
      <c r="J22362" s="1125"/>
    </row>
    <row r="22363" spans="9:10" x14ac:dyDescent="0.2">
      <c r="I22363" s="1125"/>
      <c r="J22363" s="1125"/>
    </row>
    <row r="22364" spans="9:10" x14ac:dyDescent="0.2">
      <c r="I22364" s="1125"/>
      <c r="J22364" s="1125"/>
    </row>
    <row r="22365" spans="9:10" x14ac:dyDescent="0.2">
      <c r="I22365" s="1125"/>
      <c r="J22365" s="1125"/>
    </row>
    <row r="22366" spans="9:10" x14ac:dyDescent="0.2">
      <c r="I22366" s="1125"/>
      <c r="J22366" s="1125"/>
    </row>
    <row r="22367" spans="9:10" x14ac:dyDescent="0.2">
      <c r="I22367" s="1125"/>
      <c r="J22367" s="1125"/>
    </row>
    <row r="22368" spans="9:10" x14ac:dyDescent="0.2">
      <c r="I22368" s="1125"/>
      <c r="J22368" s="1125"/>
    </row>
    <row r="22369" spans="9:10" x14ac:dyDescent="0.2">
      <c r="I22369" s="1125"/>
      <c r="J22369" s="1125"/>
    </row>
    <row r="22370" spans="9:10" x14ac:dyDescent="0.2">
      <c r="I22370" s="1125"/>
      <c r="J22370" s="1125"/>
    </row>
    <row r="22371" spans="9:10" x14ac:dyDescent="0.2">
      <c r="I22371" s="1125"/>
      <c r="J22371" s="1125"/>
    </row>
    <row r="22372" spans="9:10" x14ac:dyDescent="0.2">
      <c r="I22372" s="1125"/>
      <c r="J22372" s="1125"/>
    </row>
    <row r="22373" spans="9:10" x14ac:dyDescent="0.2">
      <c r="I22373" s="1125"/>
      <c r="J22373" s="1125"/>
    </row>
    <row r="22374" spans="9:10" x14ac:dyDescent="0.2">
      <c r="I22374" s="1125"/>
      <c r="J22374" s="1125"/>
    </row>
    <row r="22375" spans="9:10" x14ac:dyDescent="0.2">
      <c r="I22375" s="1125"/>
      <c r="J22375" s="1125"/>
    </row>
    <row r="22376" spans="9:10" x14ac:dyDescent="0.2">
      <c r="I22376" s="1125"/>
      <c r="J22376" s="1125"/>
    </row>
    <row r="22377" spans="9:10" x14ac:dyDescent="0.2">
      <c r="I22377" s="1125"/>
      <c r="J22377" s="1125"/>
    </row>
    <row r="22378" spans="9:10" x14ac:dyDescent="0.2">
      <c r="I22378" s="1125"/>
      <c r="J22378" s="1125"/>
    </row>
    <row r="22379" spans="9:10" x14ac:dyDescent="0.2">
      <c r="I22379" s="1125"/>
      <c r="J22379" s="1125"/>
    </row>
    <row r="22380" spans="9:10" x14ac:dyDescent="0.2">
      <c r="I22380" s="1125"/>
      <c r="J22380" s="1125"/>
    </row>
    <row r="22381" spans="9:10" x14ac:dyDescent="0.2">
      <c r="I22381" s="1125"/>
      <c r="J22381" s="1125"/>
    </row>
    <row r="22382" spans="9:10" x14ac:dyDescent="0.2">
      <c r="I22382" s="1125"/>
      <c r="J22382" s="1125"/>
    </row>
    <row r="22383" spans="9:10" x14ac:dyDescent="0.2">
      <c r="I22383" s="1125"/>
      <c r="J22383" s="1125"/>
    </row>
    <row r="22384" spans="9:10" x14ac:dyDescent="0.2">
      <c r="I22384" s="1125"/>
      <c r="J22384" s="1125"/>
    </row>
    <row r="22385" spans="9:10" x14ac:dyDescent="0.2">
      <c r="I22385" s="1125"/>
      <c r="J22385" s="1125"/>
    </row>
    <row r="22386" spans="9:10" x14ac:dyDescent="0.2">
      <c r="I22386" s="1125"/>
      <c r="J22386" s="1125"/>
    </row>
    <row r="22387" spans="9:10" x14ac:dyDescent="0.2">
      <c r="I22387" s="1125"/>
      <c r="J22387" s="1125"/>
    </row>
    <row r="22388" spans="9:10" x14ac:dyDescent="0.2">
      <c r="I22388" s="1125"/>
      <c r="J22388" s="1125"/>
    </row>
    <row r="22389" spans="9:10" x14ac:dyDescent="0.2">
      <c r="I22389" s="1125"/>
      <c r="J22389" s="1125"/>
    </row>
    <row r="22390" spans="9:10" x14ac:dyDescent="0.2">
      <c r="I22390" s="1125"/>
      <c r="J22390" s="1125"/>
    </row>
    <row r="22391" spans="9:10" x14ac:dyDescent="0.2">
      <c r="I22391" s="1125"/>
      <c r="J22391" s="1125"/>
    </row>
    <row r="22392" spans="9:10" x14ac:dyDescent="0.2">
      <c r="I22392" s="1125"/>
      <c r="J22392" s="1125"/>
    </row>
    <row r="22393" spans="9:10" x14ac:dyDescent="0.2">
      <c r="I22393" s="1125"/>
      <c r="J22393" s="1125"/>
    </row>
    <row r="22394" spans="9:10" x14ac:dyDescent="0.2">
      <c r="I22394" s="1125"/>
      <c r="J22394" s="1125"/>
    </row>
    <row r="22395" spans="9:10" x14ac:dyDescent="0.2">
      <c r="I22395" s="1125"/>
      <c r="J22395" s="1125"/>
    </row>
    <row r="22396" spans="9:10" x14ac:dyDescent="0.2">
      <c r="I22396" s="1125"/>
      <c r="J22396" s="1125"/>
    </row>
    <row r="22397" spans="9:10" x14ac:dyDescent="0.2">
      <c r="I22397" s="1125"/>
      <c r="J22397" s="1125"/>
    </row>
    <row r="22398" spans="9:10" x14ac:dyDescent="0.2">
      <c r="I22398" s="1125"/>
      <c r="J22398" s="1125"/>
    </row>
    <row r="22399" spans="9:10" x14ac:dyDescent="0.2">
      <c r="I22399" s="1125"/>
      <c r="J22399" s="1125"/>
    </row>
    <row r="22400" spans="9:10" x14ac:dyDescent="0.2">
      <c r="I22400" s="1125"/>
      <c r="J22400" s="1125"/>
    </row>
    <row r="22401" spans="9:10" x14ac:dyDescent="0.2">
      <c r="I22401" s="1125"/>
      <c r="J22401" s="1125"/>
    </row>
    <row r="22402" spans="9:10" x14ac:dyDescent="0.2">
      <c r="I22402" s="1125"/>
      <c r="J22402" s="1125"/>
    </row>
    <row r="22403" spans="9:10" x14ac:dyDescent="0.2">
      <c r="I22403" s="1125"/>
      <c r="J22403" s="1125"/>
    </row>
    <row r="22404" spans="9:10" x14ac:dyDescent="0.2">
      <c r="I22404" s="1125"/>
      <c r="J22404" s="1125"/>
    </row>
    <row r="22405" spans="9:10" x14ac:dyDescent="0.2">
      <c r="I22405" s="1125"/>
      <c r="J22405" s="1125"/>
    </row>
    <row r="22406" spans="9:10" x14ac:dyDescent="0.2">
      <c r="I22406" s="1125"/>
      <c r="J22406" s="1125"/>
    </row>
    <row r="22407" spans="9:10" x14ac:dyDescent="0.2">
      <c r="I22407" s="1125"/>
      <c r="J22407" s="1125"/>
    </row>
    <row r="22408" spans="9:10" x14ac:dyDescent="0.2">
      <c r="I22408" s="1125"/>
      <c r="J22408" s="1125"/>
    </row>
    <row r="22409" spans="9:10" x14ac:dyDescent="0.2">
      <c r="I22409" s="1125"/>
      <c r="J22409" s="1125"/>
    </row>
    <row r="22410" spans="9:10" x14ac:dyDescent="0.2">
      <c r="I22410" s="1125"/>
      <c r="J22410" s="1125"/>
    </row>
    <row r="22411" spans="9:10" x14ac:dyDescent="0.2">
      <c r="I22411" s="1125"/>
      <c r="J22411" s="1125"/>
    </row>
    <row r="22412" spans="9:10" x14ac:dyDescent="0.2">
      <c r="I22412" s="1125"/>
      <c r="J22412" s="1125"/>
    </row>
    <row r="22413" spans="9:10" x14ac:dyDescent="0.2">
      <c r="I22413" s="1125"/>
      <c r="J22413" s="1125"/>
    </row>
    <row r="22414" spans="9:10" x14ac:dyDescent="0.2">
      <c r="I22414" s="1125"/>
      <c r="J22414" s="1125"/>
    </row>
    <row r="22415" spans="9:10" x14ac:dyDescent="0.2">
      <c r="I22415" s="1125"/>
      <c r="J22415" s="1125"/>
    </row>
    <row r="22416" spans="9:10" x14ac:dyDescent="0.2">
      <c r="I22416" s="1125"/>
      <c r="J22416" s="1125"/>
    </row>
    <row r="22417" spans="9:10" x14ac:dyDescent="0.2">
      <c r="I22417" s="1125"/>
      <c r="J22417" s="1125"/>
    </row>
    <row r="22418" spans="9:10" x14ac:dyDescent="0.2">
      <c r="I22418" s="1125"/>
      <c r="J22418" s="1125"/>
    </row>
    <row r="22419" spans="9:10" x14ac:dyDescent="0.2">
      <c r="I22419" s="1125"/>
      <c r="J22419" s="1125"/>
    </row>
    <row r="22420" spans="9:10" x14ac:dyDescent="0.2">
      <c r="I22420" s="1125"/>
      <c r="J22420" s="1125"/>
    </row>
    <row r="22421" spans="9:10" x14ac:dyDescent="0.2">
      <c r="I22421" s="1125"/>
      <c r="J22421" s="1125"/>
    </row>
    <row r="22422" spans="9:10" x14ac:dyDescent="0.2">
      <c r="I22422" s="1125"/>
      <c r="J22422" s="1125"/>
    </row>
    <row r="22423" spans="9:10" x14ac:dyDescent="0.2">
      <c r="I22423" s="1125"/>
      <c r="J22423" s="1125"/>
    </row>
    <row r="22424" spans="9:10" x14ac:dyDescent="0.2">
      <c r="I22424" s="1125"/>
      <c r="J22424" s="1125"/>
    </row>
    <row r="22425" spans="9:10" x14ac:dyDescent="0.2">
      <c r="I22425" s="1125"/>
      <c r="J22425" s="1125"/>
    </row>
    <row r="22426" spans="9:10" x14ac:dyDescent="0.2">
      <c r="I22426" s="1125"/>
      <c r="J22426" s="1125"/>
    </row>
    <row r="22427" spans="9:10" x14ac:dyDescent="0.2">
      <c r="I22427" s="1125"/>
      <c r="J22427" s="1125"/>
    </row>
    <row r="22428" spans="9:10" x14ac:dyDescent="0.2">
      <c r="I22428" s="1125"/>
      <c r="J22428" s="1125"/>
    </row>
    <row r="22429" spans="9:10" x14ac:dyDescent="0.2">
      <c r="I22429" s="1125"/>
      <c r="J22429" s="1125"/>
    </row>
    <row r="22430" spans="9:10" x14ac:dyDescent="0.2">
      <c r="I22430" s="1125"/>
      <c r="J22430" s="1125"/>
    </row>
    <row r="22431" spans="9:10" x14ac:dyDescent="0.2">
      <c r="I22431" s="1125"/>
      <c r="J22431" s="1125"/>
    </row>
    <row r="22432" spans="9:10" x14ac:dyDescent="0.2">
      <c r="I22432" s="1125"/>
      <c r="J22432" s="1125"/>
    </row>
    <row r="22433" spans="9:10" x14ac:dyDescent="0.2">
      <c r="I22433" s="1125"/>
      <c r="J22433" s="1125"/>
    </row>
    <row r="22434" spans="9:10" x14ac:dyDescent="0.2">
      <c r="I22434" s="1125"/>
      <c r="J22434" s="1125"/>
    </row>
    <row r="22435" spans="9:10" x14ac:dyDescent="0.2">
      <c r="I22435" s="1125"/>
      <c r="J22435" s="1125"/>
    </row>
    <row r="22436" spans="9:10" x14ac:dyDescent="0.2">
      <c r="I22436" s="1125"/>
      <c r="J22436" s="1125"/>
    </row>
    <row r="22437" spans="9:10" x14ac:dyDescent="0.2">
      <c r="I22437" s="1125"/>
      <c r="J22437" s="1125"/>
    </row>
    <row r="22438" spans="9:10" x14ac:dyDescent="0.2">
      <c r="I22438" s="1125"/>
      <c r="J22438" s="1125"/>
    </row>
    <row r="22439" spans="9:10" x14ac:dyDescent="0.2">
      <c r="I22439" s="1125"/>
      <c r="J22439" s="1125"/>
    </row>
    <row r="22440" spans="9:10" x14ac:dyDescent="0.2">
      <c r="I22440" s="1125"/>
      <c r="J22440" s="1125"/>
    </row>
    <row r="22441" spans="9:10" x14ac:dyDescent="0.2">
      <c r="I22441" s="1125"/>
      <c r="J22441" s="1125"/>
    </row>
    <row r="22442" spans="9:10" x14ac:dyDescent="0.2">
      <c r="I22442" s="1125"/>
      <c r="J22442" s="1125"/>
    </row>
    <row r="22443" spans="9:10" x14ac:dyDescent="0.2">
      <c r="I22443" s="1125"/>
      <c r="J22443" s="1125"/>
    </row>
    <row r="22444" spans="9:10" x14ac:dyDescent="0.2">
      <c r="I22444" s="1125"/>
      <c r="J22444" s="1125"/>
    </row>
    <row r="22445" spans="9:10" x14ac:dyDescent="0.2">
      <c r="I22445" s="1125"/>
      <c r="J22445" s="1125"/>
    </row>
    <row r="22446" spans="9:10" x14ac:dyDescent="0.2">
      <c r="I22446" s="1125"/>
      <c r="J22446" s="1125"/>
    </row>
    <row r="22447" spans="9:10" x14ac:dyDescent="0.2">
      <c r="I22447" s="1125"/>
      <c r="J22447" s="1125"/>
    </row>
    <row r="22448" spans="9:10" x14ac:dyDescent="0.2">
      <c r="I22448" s="1125"/>
      <c r="J22448" s="1125"/>
    </row>
    <row r="22449" spans="9:10" x14ac:dyDescent="0.2">
      <c r="I22449" s="1125"/>
      <c r="J22449" s="1125"/>
    </row>
    <row r="22450" spans="9:10" x14ac:dyDescent="0.2">
      <c r="I22450" s="1125"/>
      <c r="J22450" s="1125"/>
    </row>
    <row r="22451" spans="9:10" x14ac:dyDescent="0.2">
      <c r="I22451" s="1125"/>
      <c r="J22451" s="1125"/>
    </row>
    <row r="22452" spans="9:10" x14ac:dyDescent="0.2">
      <c r="I22452" s="1125"/>
      <c r="J22452" s="1125"/>
    </row>
    <row r="22453" spans="9:10" x14ac:dyDescent="0.2">
      <c r="I22453" s="1125"/>
      <c r="J22453" s="1125"/>
    </row>
    <row r="22454" spans="9:10" x14ac:dyDescent="0.2">
      <c r="I22454" s="1125"/>
      <c r="J22454" s="1125"/>
    </row>
    <row r="22455" spans="9:10" x14ac:dyDescent="0.2">
      <c r="I22455" s="1125"/>
      <c r="J22455" s="1125"/>
    </row>
    <row r="22456" spans="9:10" x14ac:dyDescent="0.2">
      <c r="I22456" s="1125"/>
      <c r="J22456" s="1125"/>
    </row>
    <row r="22457" spans="9:10" x14ac:dyDescent="0.2">
      <c r="I22457" s="1125"/>
      <c r="J22457" s="1125"/>
    </row>
    <row r="22458" spans="9:10" x14ac:dyDescent="0.2">
      <c r="I22458" s="1125"/>
      <c r="J22458" s="1125"/>
    </row>
    <row r="22459" spans="9:10" x14ac:dyDescent="0.2">
      <c r="I22459" s="1125"/>
      <c r="J22459" s="1125"/>
    </row>
    <row r="22460" spans="9:10" x14ac:dyDescent="0.2">
      <c r="I22460" s="1125"/>
      <c r="J22460" s="1125"/>
    </row>
    <row r="22461" spans="9:10" x14ac:dyDescent="0.2">
      <c r="I22461" s="1125"/>
      <c r="J22461" s="1125"/>
    </row>
    <row r="22462" spans="9:10" x14ac:dyDescent="0.2">
      <c r="I22462" s="1125"/>
      <c r="J22462" s="1125"/>
    </row>
    <row r="22463" spans="9:10" x14ac:dyDescent="0.2">
      <c r="I22463" s="1125"/>
      <c r="J22463" s="1125"/>
    </row>
    <row r="22464" spans="9:10" x14ac:dyDescent="0.2">
      <c r="I22464" s="1125"/>
      <c r="J22464" s="1125"/>
    </row>
    <row r="22465" spans="9:10" x14ac:dyDescent="0.2">
      <c r="I22465" s="1125"/>
      <c r="J22465" s="1125"/>
    </row>
    <row r="22466" spans="9:10" x14ac:dyDescent="0.2">
      <c r="I22466" s="1125"/>
      <c r="J22466" s="1125"/>
    </row>
    <row r="22467" spans="9:10" x14ac:dyDescent="0.2">
      <c r="I22467" s="1125"/>
      <c r="J22467" s="1125"/>
    </row>
    <row r="22468" spans="9:10" x14ac:dyDescent="0.2">
      <c r="I22468" s="1125"/>
      <c r="J22468" s="1125"/>
    </row>
    <row r="22469" spans="9:10" x14ac:dyDescent="0.2">
      <c r="I22469" s="1125"/>
      <c r="J22469" s="1125"/>
    </row>
    <row r="22470" spans="9:10" x14ac:dyDescent="0.2">
      <c r="I22470" s="1125"/>
      <c r="J22470" s="1125"/>
    </row>
    <row r="22471" spans="9:10" x14ac:dyDescent="0.2">
      <c r="I22471" s="1125"/>
      <c r="J22471" s="1125"/>
    </row>
    <row r="22472" spans="9:10" x14ac:dyDescent="0.2">
      <c r="I22472" s="1125"/>
      <c r="J22472" s="1125"/>
    </row>
    <row r="22473" spans="9:10" x14ac:dyDescent="0.2">
      <c r="I22473" s="1125"/>
      <c r="J22473" s="1125"/>
    </row>
    <row r="22474" spans="9:10" x14ac:dyDescent="0.2">
      <c r="I22474" s="1125"/>
      <c r="J22474" s="1125"/>
    </row>
    <row r="22475" spans="9:10" x14ac:dyDescent="0.2">
      <c r="I22475" s="1125"/>
      <c r="J22475" s="1125"/>
    </row>
    <row r="22476" spans="9:10" x14ac:dyDescent="0.2">
      <c r="I22476" s="1125"/>
      <c r="J22476" s="1125"/>
    </row>
    <row r="22477" spans="9:10" x14ac:dyDescent="0.2">
      <c r="I22477" s="1125"/>
      <c r="J22477" s="1125"/>
    </row>
    <row r="22478" spans="9:10" x14ac:dyDescent="0.2">
      <c r="I22478" s="1125"/>
      <c r="J22478" s="1125"/>
    </row>
    <row r="22479" spans="9:10" x14ac:dyDescent="0.2">
      <c r="I22479" s="1125"/>
      <c r="J22479" s="1125"/>
    </row>
    <row r="22480" spans="9:10" x14ac:dyDescent="0.2">
      <c r="I22480" s="1125"/>
      <c r="J22480" s="1125"/>
    </row>
    <row r="22481" spans="9:10" x14ac:dyDescent="0.2">
      <c r="I22481" s="1125"/>
      <c r="J22481" s="1125"/>
    </row>
    <row r="22482" spans="9:10" x14ac:dyDescent="0.2">
      <c r="I22482" s="1125"/>
      <c r="J22482" s="1125"/>
    </row>
    <row r="22483" spans="9:10" x14ac:dyDescent="0.2">
      <c r="I22483" s="1125"/>
      <c r="J22483" s="1125"/>
    </row>
    <row r="22484" spans="9:10" x14ac:dyDescent="0.2">
      <c r="I22484" s="1125"/>
      <c r="J22484" s="1125"/>
    </row>
    <row r="22485" spans="9:10" x14ac:dyDescent="0.2">
      <c r="I22485" s="1125"/>
      <c r="J22485" s="1125"/>
    </row>
    <row r="22486" spans="9:10" x14ac:dyDescent="0.2">
      <c r="I22486" s="1125"/>
      <c r="J22486" s="1125"/>
    </row>
    <row r="22487" spans="9:10" x14ac:dyDescent="0.2">
      <c r="I22487" s="1125"/>
      <c r="J22487" s="1125"/>
    </row>
    <row r="22488" spans="9:10" x14ac:dyDescent="0.2">
      <c r="I22488" s="1125"/>
      <c r="J22488" s="1125"/>
    </row>
    <row r="22489" spans="9:10" x14ac:dyDescent="0.2">
      <c r="I22489" s="1125"/>
      <c r="J22489" s="1125"/>
    </row>
    <row r="22490" spans="9:10" x14ac:dyDescent="0.2">
      <c r="I22490" s="1125"/>
      <c r="J22490" s="1125"/>
    </row>
    <row r="22491" spans="9:10" x14ac:dyDescent="0.2">
      <c r="I22491" s="1125"/>
      <c r="J22491" s="1125"/>
    </row>
    <row r="22492" spans="9:10" x14ac:dyDescent="0.2">
      <c r="I22492" s="1125"/>
      <c r="J22492" s="1125"/>
    </row>
    <row r="22493" spans="9:10" x14ac:dyDescent="0.2">
      <c r="I22493" s="1125"/>
      <c r="J22493" s="1125"/>
    </row>
    <row r="22494" spans="9:10" x14ac:dyDescent="0.2">
      <c r="I22494" s="1125"/>
      <c r="J22494" s="1125"/>
    </row>
    <row r="22495" spans="9:10" x14ac:dyDescent="0.2">
      <c r="I22495" s="1125"/>
      <c r="J22495" s="1125"/>
    </row>
    <row r="22496" spans="9:10" x14ac:dyDescent="0.2">
      <c r="I22496" s="1125"/>
      <c r="J22496" s="1125"/>
    </row>
    <row r="22497" spans="9:10" x14ac:dyDescent="0.2">
      <c r="I22497" s="1125"/>
      <c r="J22497" s="1125"/>
    </row>
    <row r="22498" spans="9:10" x14ac:dyDescent="0.2">
      <c r="I22498" s="1125"/>
      <c r="J22498" s="1125"/>
    </row>
    <row r="22499" spans="9:10" x14ac:dyDescent="0.2">
      <c r="I22499" s="1125"/>
      <c r="J22499" s="1125"/>
    </row>
    <row r="22500" spans="9:10" x14ac:dyDescent="0.2">
      <c r="I22500" s="1125"/>
      <c r="J22500" s="1125"/>
    </row>
    <row r="22501" spans="9:10" x14ac:dyDescent="0.2">
      <c r="I22501" s="1125"/>
      <c r="J22501" s="1125"/>
    </row>
    <row r="22502" spans="9:10" x14ac:dyDescent="0.2">
      <c r="I22502" s="1125"/>
      <c r="J22502" s="1125"/>
    </row>
    <row r="22503" spans="9:10" x14ac:dyDescent="0.2">
      <c r="I22503" s="1125"/>
      <c r="J22503" s="1125"/>
    </row>
    <row r="22504" spans="9:10" x14ac:dyDescent="0.2">
      <c r="I22504" s="1125"/>
      <c r="J22504" s="1125"/>
    </row>
    <row r="22505" spans="9:10" x14ac:dyDescent="0.2">
      <c r="I22505" s="1125"/>
      <c r="J22505" s="1125"/>
    </row>
    <row r="22506" spans="9:10" x14ac:dyDescent="0.2">
      <c r="I22506" s="1125"/>
      <c r="J22506" s="1125"/>
    </row>
    <row r="22507" spans="9:10" x14ac:dyDescent="0.2">
      <c r="I22507" s="1125"/>
      <c r="J22507" s="1125"/>
    </row>
    <row r="22508" spans="9:10" x14ac:dyDescent="0.2">
      <c r="I22508" s="1125"/>
      <c r="J22508" s="1125"/>
    </row>
    <row r="22509" spans="9:10" x14ac:dyDescent="0.2">
      <c r="I22509" s="1125"/>
      <c r="J22509" s="1125"/>
    </row>
    <row r="22510" spans="9:10" x14ac:dyDescent="0.2">
      <c r="I22510" s="1125"/>
      <c r="J22510" s="1125"/>
    </row>
    <row r="22511" spans="9:10" x14ac:dyDescent="0.2">
      <c r="I22511" s="1125"/>
      <c r="J22511" s="1125"/>
    </row>
    <row r="22512" spans="9:10" x14ac:dyDescent="0.2">
      <c r="I22512" s="1125"/>
      <c r="J22512" s="1125"/>
    </row>
    <row r="22513" spans="9:10" x14ac:dyDescent="0.2">
      <c r="I22513" s="1125"/>
      <c r="J22513" s="1125"/>
    </row>
    <row r="22514" spans="9:10" x14ac:dyDescent="0.2">
      <c r="I22514" s="1125"/>
      <c r="J22514" s="1125"/>
    </row>
    <row r="22515" spans="9:10" x14ac:dyDescent="0.2">
      <c r="I22515" s="1125"/>
      <c r="J22515" s="1125"/>
    </row>
    <row r="22516" spans="9:10" x14ac:dyDescent="0.2">
      <c r="I22516" s="1125"/>
      <c r="J22516" s="1125"/>
    </row>
    <row r="22517" spans="9:10" x14ac:dyDescent="0.2">
      <c r="I22517" s="1125"/>
      <c r="J22517" s="1125"/>
    </row>
    <row r="22518" spans="9:10" x14ac:dyDescent="0.2">
      <c r="I22518" s="1125"/>
      <c r="J22518" s="1125"/>
    </row>
    <row r="22519" spans="9:10" x14ac:dyDescent="0.2">
      <c r="I22519" s="1125"/>
      <c r="J22519" s="1125"/>
    </row>
    <row r="22520" spans="9:10" x14ac:dyDescent="0.2">
      <c r="I22520" s="1125"/>
      <c r="J22520" s="1125"/>
    </row>
    <row r="22521" spans="9:10" x14ac:dyDescent="0.2">
      <c r="I22521" s="1125"/>
      <c r="J22521" s="1125"/>
    </row>
    <row r="22522" spans="9:10" x14ac:dyDescent="0.2">
      <c r="I22522" s="1125"/>
      <c r="J22522" s="1125"/>
    </row>
    <row r="22523" spans="9:10" x14ac:dyDescent="0.2">
      <c r="I22523" s="1125"/>
      <c r="J22523" s="1125"/>
    </row>
    <row r="22524" spans="9:10" x14ac:dyDescent="0.2">
      <c r="I22524" s="1125"/>
      <c r="J22524" s="1125"/>
    </row>
    <row r="22525" spans="9:10" x14ac:dyDescent="0.2">
      <c r="I22525" s="1125"/>
      <c r="J22525" s="1125"/>
    </row>
    <row r="22526" spans="9:10" x14ac:dyDescent="0.2">
      <c r="I22526" s="1125"/>
      <c r="J22526" s="1125"/>
    </row>
    <row r="22527" spans="9:10" x14ac:dyDescent="0.2">
      <c r="I22527" s="1125"/>
      <c r="J22527" s="1125"/>
    </row>
    <row r="22528" spans="9:10" x14ac:dyDescent="0.2">
      <c r="I22528" s="1125"/>
      <c r="J22528" s="1125"/>
    </row>
    <row r="22529" spans="9:10" x14ac:dyDescent="0.2">
      <c r="I22529" s="1125"/>
      <c r="J22529" s="1125"/>
    </row>
    <row r="22530" spans="9:10" x14ac:dyDescent="0.2">
      <c r="I22530" s="1125"/>
      <c r="J22530" s="1125"/>
    </row>
    <row r="22531" spans="9:10" x14ac:dyDescent="0.2">
      <c r="I22531" s="1125"/>
      <c r="J22531" s="1125"/>
    </row>
    <row r="22532" spans="9:10" x14ac:dyDescent="0.2">
      <c r="I22532" s="1125"/>
      <c r="J22532" s="1125"/>
    </row>
    <row r="22533" spans="9:10" x14ac:dyDescent="0.2">
      <c r="I22533" s="1125"/>
      <c r="J22533" s="1125"/>
    </row>
    <row r="22534" spans="9:10" x14ac:dyDescent="0.2">
      <c r="I22534" s="1125"/>
      <c r="J22534" s="1125"/>
    </row>
    <row r="22535" spans="9:10" x14ac:dyDescent="0.2">
      <c r="I22535" s="1125"/>
      <c r="J22535" s="1125"/>
    </row>
    <row r="22536" spans="9:10" x14ac:dyDescent="0.2">
      <c r="I22536" s="1125"/>
      <c r="J22536" s="1125"/>
    </row>
    <row r="22537" spans="9:10" x14ac:dyDescent="0.2">
      <c r="I22537" s="1125"/>
      <c r="J22537" s="1125"/>
    </row>
    <row r="22538" spans="9:10" x14ac:dyDescent="0.2">
      <c r="I22538" s="1125"/>
      <c r="J22538" s="1125"/>
    </row>
    <row r="22539" spans="9:10" x14ac:dyDescent="0.2">
      <c r="I22539" s="1125"/>
      <c r="J22539" s="1125"/>
    </row>
    <row r="22540" spans="9:10" x14ac:dyDescent="0.2">
      <c r="I22540" s="1125"/>
      <c r="J22540" s="1125"/>
    </row>
    <row r="22541" spans="9:10" x14ac:dyDescent="0.2">
      <c r="I22541" s="1125"/>
      <c r="J22541" s="1125"/>
    </row>
    <row r="22542" spans="9:10" x14ac:dyDescent="0.2">
      <c r="I22542" s="1125"/>
      <c r="J22542" s="1125"/>
    </row>
    <row r="22543" spans="9:10" x14ac:dyDescent="0.2">
      <c r="I22543" s="1125"/>
      <c r="J22543" s="1125"/>
    </row>
    <row r="22544" spans="9:10" x14ac:dyDescent="0.2">
      <c r="I22544" s="1125"/>
      <c r="J22544" s="1125"/>
    </row>
    <row r="22545" spans="9:10" x14ac:dyDescent="0.2">
      <c r="I22545" s="1125"/>
      <c r="J22545" s="1125"/>
    </row>
    <row r="22546" spans="9:10" x14ac:dyDescent="0.2">
      <c r="I22546" s="1125"/>
      <c r="J22546" s="1125"/>
    </row>
    <row r="22547" spans="9:10" x14ac:dyDescent="0.2">
      <c r="I22547" s="1125"/>
      <c r="J22547" s="1125"/>
    </row>
    <row r="22548" spans="9:10" x14ac:dyDescent="0.2">
      <c r="I22548" s="1125"/>
      <c r="J22548" s="1125"/>
    </row>
    <row r="22549" spans="9:10" x14ac:dyDescent="0.2">
      <c r="I22549" s="1125"/>
      <c r="J22549" s="1125"/>
    </row>
    <row r="22550" spans="9:10" x14ac:dyDescent="0.2">
      <c r="I22550" s="1125"/>
      <c r="J22550" s="1125"/>
    </row>
    <row r="22551" spans="9:10" x14ac:dyDescent="0.2">
      <c r="I22551" s="1125"/>
      <c r="J22551" s="1125"/>
    </row>
    <row r="22552" spans="9:10" x14ac:dyDescent="0.2">
      <c r="I22552" s="1125"/>
      <c r="J22552" s="1125"/>
    </row>
    <row r="22553" spans="9:10" x14ac:dyDescent="0.2">
      <c r="I22553" s="1125"/>
      <c r="J22553" s="1125"/>
    </row>
    <row r="22554" spans="9:10" x14ac:dyDescent="0.2">
      <c r="I22554" s="1125"/>
      <c r="J22554" s="1125"/>
    </row>
    <row r="22555" spans="9:10" x14ac:dyDescent="0.2">
      <c r="I22555" s="1125"/>
      <c r="J22555" s="1125"/>
    </row>
    <row r="22556" spans="9:10" x14ac:dyDescent="0.2">
      <c r="I22556" s="1125"/>
      <c r="J22556" s="1125"/>
    </row>
    <row r="22557" spans="9:10" x14ac:dyDescent="0.2">
      <c r="I22557" s="1125"/>
      <c r="J22557" s="1125"/>
    </row>
    <row r="22558" spans="9:10" x14ac:dyDescent="0.2">
      <c r="I22558" s="1125"/>
      <c r="J22558" s="1125"/>
    </row>
    <row r="22559" spans="9:10" x14ac:dyDescent="0.2">
      <c r="I22559" s="1125"/>
      <c r="J22559" s="1125"/>
    </row>
    <row r="22560" spans="9:10" x14ac:dyDescent="0.2">
      <c r="I22560" s="1125"/>
      <c r="J22560" s="1125"/>
    </row>
    <row r="22561" spans="9:10" x14ac:dyDescent="0.2">
      <c r="I22561" s="1125"/>
      <c r="J22561" s="1125"/>
    </row>
    <row r="22562" spans="9:10" x14ac:dyDescent="0.2">
      <c r="I22562" s="1125"/>
      <c r="J22562" s="1125"/>
    </row>
    <row r="22563" spans="9:10" x14ac:dyDescent="0.2">
      <c r="I22563" s="1125"/>
      <c r="J22563" s="1125"/>
    </row>
    <row r="22564" spans="9:10" x14ac:dyDescent="0.2">
      <c r="I22564" s="1125"/>
      <c r="J22564" s="1125"/>
    </row>
    <row r="22565" spans="9:10" x14ac:dyDescent="0.2">
      <c r="I22565" s="1125"/>
      <c r="J22565" s="1125"/>
    </row>
    <row r="22566" spans="9:10" x14ac:dyDescent="0.2">
      <c r="I22566" s="1125"/>
      <c r="J22566" s="1125"/>
    </row>
    <row r="22567" spans="9:10" x14ac:dyDescent="0.2">
      <c r="I22567" s="1125"/>
      <c r="J22567" s="1125"/>
    </row>
    <row r="22568" spans="9:10" x14ac:dyDescent="0.2">
      <c r="I22568" s="1125"/>
      <c r="J22568" s="1125"/>
    </row>
    <row r="22569" spans="9:10" x14ac:dyDescent="0.2">
      <c r="I22569" s="1125"/>
      <c r="J22569" s="1125"/>
    </row>
    <row r="22570" spans="9:10" x14ac:dyDescent="0.2">
      <c r="I22570" s="1125"/>
      <c r="J22570" s="1125"/>
    </row>
    <row r="22571" spans="9:10" x14ac:dyDescent="0.2">
      <c r="I22571" s="1125"/>
      <c r="J22571" s="1125"/>
    </row>
    <row r="22572" spans="9:10" x14ac:dyDescent="0.2">
      <c r="I22572" s="1125"/>
      <c r="J22572" s="1125"/>
    </row>
    <row r="22573" spans="9:10" x14ac:dyDescent="0.2">
      <c r="I22573" s="1125"/>
      <c r="J22573" s="1125"/>
    </row>
    <row r="22574" spans="9:10" x14ac:dyDescent="0.2">
      <c r="I22574" s="1125"/>
      <c r="J22574" s="1125"/>
    </row>
    <row r="22575" spans="9:10" x14ac:dyDescent="0.2">
      <c r="I22575" s="1125"/>
      <c r="J22575" s="1125"/>
    </row>
    <row r="22576" spans="9:10" x14ac:dyDescent="0.2">
      <c r="I22576" s="1125"/>
      <c r="J22576" s="1125"/>
    </row>
    <row r="22577" spans="9:10" x14ac:dyDescent="0.2">
      <c r="I22577" s="1125"/>
      <c r="J22577" s="1125"/>
    </row>
    <row r="22578" spans="9:10" x14ac:dyDescent="0.2">
      <c r="I22578" s="1125"/>
      <c r="J22578" s="1125"/>
    </row>
    <row r="22579" spans="9:10" x14ac:dyDescent="0.2">
      <c r="I22579" s="1125"/>
      <c r="J22579" s="1125"/>
    </row>
    <row r="22580" spans="9:10" x14ac:dyDescent="0.2">
      <c r="I22580" s="1125"/>
      <c r="J22580" s="1125"/>
    </row>
    <row r="22581" spans="9:10" x14ac:dyDescent="0.2">
      <c r="I22581" s="1125"/>
      <c r="J22581" s="1125"/>
    </row>
    <row r="22582" spans="9:10" x14ac:dyDescent="0.2">
      <c r="I22582" s="1125"/>
      <c r="J22582" s="1125"/>
    </row>
    <row r="22583" spans="9:10" x14ac:dyDescent="0.2">
      <c r="I22583" s="1125"/>
      <c r="J22583" s="1125"/>
    </row>
    <row r="22584" spans="9:10" x14ac:dyDescent="0.2">
      <c r="I22584" s="1125"/>
      <c r="J22584" s="1125"/>
    </row>
    <row r="22585" spans="9:10" x14ac:dyDescent="0.2">
      <c r="I22585" s="1125"/>
      <c r="J22585" s="1125"/>
    </row>
    <row r="22586" spans="9:10" x14ac:dyDescent="0.2">
      <c r="I22586" s="1125"/>
      <c r="J22586" s="1125"/>
    </row>
    <row r="22587" spans="9:10" x14ac:dyDescent="0.2">
      <c r="I22587" s="1125"/>
      <c r="J22587" s="1125"/>
    </row>
    <row r="22588" spans="9:10" x14ac:dyDescent="0.2">
      <c r="I22588" s="1125"/>
      <c r="J22588" s="1125"/>
    </row>
    <row r="22589" spans="9:10" x14ac:dyDescent="0.2">
      <c r="I22589" s="1125"/>
      <c r="J22589" s="1125"/>
    </row>
    <row r="22590" spans="9:10" x14ac:dyDescent="0.2">
      <c r="I22590" s="1125"/>
      <c r="J22590" s="1125"/>
    </row>
    <row r="22591" spans="9:10" x14ac:dyDescent="0.2">
      <c r="I22591" s="1125"/>
      <c r="J22591" s="1125"/>
    </row>
    <row r="22592" spans="9:10" x14ac:dyDescent="0.2">
      <c r="I22592" s="1125"/>
      <c r="J22592" s="1125"/>
    </row>
    <row r="22593" spans="9:10" x14ac:dyDescent="0.2">
      <c r="I22593" s="1125"/>
      <c r="J22593" s="1125"/>
    </row>
    <row r="22594" spans="9:10" x14ac:dyDescent="0.2">
      <c r="I22594" s="1125"/>
      <c r="J22594" s="1125"/>
    </row>
    <row r="22595" spans="9:10" x14ac:dyDescent="0.2">
      <c r="I22595" s="1125"/>
      <c r="J22595" s="1125"/>
    </row>
    <row r="22596" spans="9:10" x14ac:dyDescent="0.2">
      <c r="I22596" s="1125"/>
      <c r="J22596" s="1125"/>
    </row>
    <row r="22597" spans="9:10" x14ac:dyDescent="0.2">
      <c r="I22597" s="1125"/>
      <c r="J22597" s="1125"/>
    </row>
    <row r="22598" spans="9:10" x14ac:dyDescent="0.2">
      <c r="I22598" s="1125"/>
      <c r="J22598" s="1125"/>
    </row>
    <row r="22599" spans="9:10" x14ac:dyDescent="0.2">
      <c r="I22599" s="1125"/>
      <c r="J22599" s="1125"/>
    </row>
    <row r="22600" spans="9:10" x14ac:dyDescent="0.2">
      <c r="I22600" s="1125"/>
      <c r="J22600" s="1125"/>
    </row>
    <row r="22601" spans="9:10" x14ac:dyDescent="0.2">
      <c r="I22601" s="1125"/>
      <c r="J22601" s="1125"/>
    </row>
    <row r="22602" spans="9:10" x14ac:dyDescent="0.2">
      <c r="I22602" s="1125"/>
      <c r="J22602" s="1125"/>
    </row>
    <row r="22603" spans="9:10" x14ac:dyDescent="0.2">
      <c r="I22603" s="1125"/>
      <c r="J22603" s="1125"/>
    </row>
    <row r="22604" spans="9:10" x14ac:dyDescent="0.2">
      <c r="I22604" s="1125"/>
      <c r="J22604" s="1125"/>
    </row>
    <row r="22605" spans="9:10" x14ac:dyDescent="0.2">
      <c r="I22605" s="1125"/>
      <c r="J22605" s="1125"/>
    </row>
    <row r="22606" spans="9:10" x14ac:dyDescent="0.2">
      <c r="I22606" s="1125"/>
      <c r="J22606" s="1125"/>
    </row>
    <row r="22607" spans="9:10" x14ac:dyDescent="0.2">
      <c r="I22607" s="1125"/>
      <c r="J22607" s="1125"/>
    </row>
    <row r="22608" spans="9:10" x14ac:dyDescent="0.2">
      <c r="I22608" s="1125"/>
      <c r="J22608" s="1125"/>
    </row>
    <row r="22609" spans="9:10" x14ac:dyDescent="0.2">
      <c r="I22609" s="1125"/>
      <c r="J22609" s="1125"/>
    </row>
    <row r="22610" spans="9:10" x14ac:dyDescent="0.2">
      <c r="I22610" s="1125"/>
      <c r="J22610" s="1125"/>
    </row>
    <row r="22611" spans="9:10" x14ac:dyDescent="0.2">
      <c r="I22611" s="1125"/>
      <c r="J22611" s="1125"/>
    </row>
    <row r="22612" spans="9:10" x14ac:dyDescent="0.2">
      <c r="I22612" s="1125"/>
      <c r="J22612" s="1125"/>
    </row>
    <row r="22613" spans="9:10" x14ac:dyDescent="0.2">
      <c r="I22613" s="1125"/>
      <c r="J22613" s="1125"/>
    </row>
    <row r="22614" spans="9:10" x14ac:dyDescent="0.2">
      <c r="I22614" s="1125"/>
      <c r="J22614" s="1125"/>
    </row>
    <row r="22615" spans="9:10" x14ac:dyDescent="0.2">
      <c r="I22615" s="1125"/>
      <c r="J22615" s="1125"/>
    </row>
    <row r="22616" spans="9:10" x14ac:dyDescent="0.2">
      <c r="I22616" s="1125"/>
      <c r="J22616" s="1125"/>
    </row>
    <row r="22617" spans="9:10" x14ac:dyDescent="0.2">
      <c r="I22617" s="1125"/>
      <c r="J22617" s="1125"/>
    </row>
    <row r="22618" spans="9:10" x14ac:dyDescent="0.2">
      <c r="I22618" s="1125"/>
      <c r="J22618" s="1125"/>
    </row>
    <row r="22619" spans="9:10" x14ac:dyDescent="0.2">
      <c r="I22619" s="1125"/>
      <c r="J22619" s="1125"/>
    </row>
    <row r="22620" spans="9:10" x14ac:dyDescent="0.2">
      <c r="I22620" s="1125"/>
      <c r="J22620" s="1125"/>
    </row>
    <row r="22621" spans="9:10" x14ac:dyDescent="0.2">
      <c r="I22621" s="1125"/>
      <c r="J22621" s="1125"/>
    </row>
    <row r="22622" spans="9:10" x14ac:dyDescent="0.2">
      <c r="I22622" s="1125"/>
      <c r="J22622" s="1125"/>
    </row>
    <row r="22623" spans="9:10" x14ac:dyDescent="0.2">
      <c r="I22623" s="1125"/>
      <c r="J22623" s="1125"/>
    </row>
    <row r="22624" spans="9:10" x14ac:dyDescent="0.2">
      <c r="I22624" s="1125"/>
      <c r="J22624" s="1125"/>
    </row>
    <row r="22625" spans="9:10" x14ac:dyDescent="0.2">
      <c r="I22625" s="1125"/>
      <c r="J22625" s="1125"/>
    </row>
    <row r="22626" spans="9:10" x14ac:dyDescent="0.2">
      <c r="I22626" s="1125"/>
      <c r="J22626" s="1125"/>
    </row>
    <row r="22627" spans="9:10" x14ac:dyDescent="0.2">
      <c r="I22627" s="1125"/>
      <c r="J22627" s="1125"/>
    </row>
    <row r="22628" spans="9:10" x14ac:dyDescent="0.2">
      <c r="I22628" s="1125"/>
      <c r="J22628" s="1125"/>
    </row>
    <row r="22629" spans="9:10" x14ac:dyDescent="0.2">
      <c r="I22629" s="1125"/>
      <c r="J22629" s="1125"/>
    </row>
    <row r="22630" spans="9:10" x14ac:dyDescent="0.2">
      <c r="I22630" s="1125"/>
      <c r="J22630" s="1125"/>
    </row>
    <row r="22631" spans="9:10" x14ac:dyDescent="0.2">
      <c r="I22631" s="1125"/>
      <c r="J22631" s="1125"/>
    </row>
    <row r="22632" spans="9:10" x14ac:dyDescent="0.2">
      <c r="I22632" s="1125"/>
      <c r="J22632" s="1125"/>
    </row>
    <row r="22633" spans="9:10" x14ac:dyDescent="0.2">
      <c r="I22633" s="1125"/>
      <c r="J22633" s="1125"/>
    </row>
    <row r="22634" spans="9:10" x14ac:dyDescent="0.2">
      <c r="I22634" s="1125"/>
      <c r="J22634" s="1125"/>
    </row>
    <row r="22635" spans="9:10" x14ac:dyDescent="0.2">
      <c r="I22635" s="1125"/>
      <c r="J22635" s="1125"/>
    </row>
    <row r="22636" spans="9:10" x14ac:dyDescent="0.2">
      <c r="I22636" s="1125"/>
      <c r="J22636" s="1125"/>
    </row>
    <row r="22637" spans="9:10" x14ac:dyDescent="0.2">
      <c r="I22637" s="1125"/>
      <c r="J22637" s="1125"/>
    </row>
    <row r="22638" spans="9:10" x14ac:dyDescent="0.2">
      <c r="I22638" s="1125"/>
      <c r="J22638" s="1125"/>
    </row>
    <row r="22639" spans="9:10" x14ac:dyDescent="0.2">
      <c r="I22639" s="1125"/>
      <c r="J22639" s="1125"/>
    </row>
    <row r="22640" spans="9:10" x14ac:dyDescent="0.2">
      <c r="I22640" s="1125"/>
      <c r="J22640" s="1125"/>
    </row>
    <row r="22641" spans="9:10" x14ac:dyDescent="0.2">
      <c r="I22641" s="1125"/>
      <c r="J22641" s="1125"/>
    </row>
    <row r="22642" spans="9:10" x14ac:dyDescent="0.2">
      <c r="I22642" s="1125"/>
      <c r="J22642" s="1125"/>
    </row>
    <row r="22643" spans="9:10" x14ac:dyDescent="0.2">
      <c r="I22643" s="1125"/>
      <c r="J22643" s="1125"/>
    </row>
    <row r="22644" spans="9:10" x14ac:dyDescent="0.2">
      <c r="I22644" s="1125"/>
      <c r="J22644" s="1125"/>
    </row>
    <row r="22645" spans="9:10" x14ac:dyDescent="0.2">
      <c r="I22645" s="1125"/>
      <c r="J22645" s="1125"/>
    </row>
    <row r="22646" spans="9:10" x14ac:dyDescent="0.2">
      <c r="I22646" s="1125"/>
      <c r="J22646" s="1125"/>
    </row>
    <row r="22647" spans="9:10" x14ac:dyDescent="0.2">
      <c r="I22647" s="1125"/>
      <c r="J22647" s="1125"/>
    </row>
    <row r="22648" spans="9:10" x14ac:dyDescent="0.2">
      <c r="I22648" s="1125"/>
      <c r="J22648" s="1125"/>
    </row>
    <row r="22649" spans="9:10" x14ac:dyDescent="0.2">
      <c r="I22649" s="1125"/>
      <c r="J22649" s="1125"/>
    </row>
    <row r="22650" spans="9:10" x14ac:dyDescent="0.2">
      <c r="I22650" s="1125"/>
      <c r="J22650" s="1125"/>
    </row>
    <row r="22651" spans="9:10" x14ac:dyDescent="0.2">
      <c r="I22651" s="1125"/>
      <c r="J22651" s="1125"/>
    </row>
    <row r="22652" spans="9:10" x14ac:dyDescent="0.2">
      <c r="I22652" s="1125"/>
      <c r="J22652" s="1125"/>
    </row>
    <row r="22653" spans="9:10" x14ac:dyDescent="0.2">
      <c r="I22653" s="1125"/>
      <c r="J22653" s="1125"/>
    </row>
    <row r="22654" spans="9:10" x14ac:dyDescent="0.2">
      <c r="I22654" s="1125"/>
      <c r="J22654" s="1125"/>
    </row>
    <row r="22655" spans="9:10" x14ac:dyDescent="0.2">
      <c r="I22655" s="1125"/>
      <c r="J22655" s="1125"/>
    </row>
    <row r="22656" spans="9:10" x14ac:dyDescent="0.2">
      <c r="I22656" s="1125"/>
      <c r="J22656" s="1125"/>
    </row>
    <row r="22657" spans="9:10" x14ac:dyDescent="0.2">
      <c r="I22657" s="1125"/>
      <c r="J22657" s="1125"/>
    </row>
    <row r="22658" spans="9:10" x14ac:dyDescent="0.2">
      <c r="I22658" s="1125"/>
      <c r="J22658" s="1125"/>
    </row>
    <row r="22659" spans="9:10" x14ac:dyDescent="0.2">
      <c r="I22659" s="1125"/>
      <c r="J22659" s="1125"/>
    </row>
    <row r="22660" spans="9:10" x14ac:dyDescent="0.2">
      <c r="I22660" s="1125"/>
      <c r="J22660" s="1125"/>
    </row>
    <row r="22661" spans="9:10" x14ac:dyDescent="0.2">
      <c r="I22661" s="1125"/>
      <c r="J22661" s="1125"/>
    </row>
    <row r="22662" spans="9:10" x14ac:dyDescent="0.2">
      <c r="I22662" s="1125"/>
      <c r="J22662" s="1125"/>
    </row>
    <row r="22663" spans="9:10" x14ac:dyDescent="0.2">
      <c r="I22663" s="1125"/>
      <c r="J22663" s="1125"/>
    </row>
    <row r="22664" spans="9:10" x14ac:dyDescent="0.2">
      <c r="I22664" s="1125"/>
      <c r="J22664" s="1125"/>
    </row>
    <row r="22665" spans="9:10" x14ac:dyDescent="0.2">
      <c r="I22665" s="1125"/>
      <c r="J22665" s="1125"/>
    </row>
    <row r="22666" spans="9:10" x14ac:dyDescent="0.2">
      <c r="I22666" s="1125"/>
      <c r="J22666" s="1125"/>
    </row>
    <row r="22667" spans="9:10" x14ac:dyDescent="0.2">
      <c r="I22667" s="1125"/>
      <c r="J22667" s="1125"/>
    </row>
    <row r="22668" spans="9:10" x14ac:dyDescent="0.2">
      <c r="I22668" s="1125"/>
      <c r="J22668" s="1125"/>
    </row>
    <row r="22669" spans="9:10" x14ac:dyDescent="0.2">
      <c r="I22669" s="1125"/>
      <c r="J22669" s="1125"/>
    </row>
    <row r="22670" spans="9:10" x14ac:dyDescent="0.2">
      <c r="I22670" s="1125"/>
      <c r="J22670" s="1125"/>
    </row>
    <row r="22671" spans="9:10" x14ac:dyDescent="0.2">
      <c r="I22671" s="1125"/>
      <c r="J22671" s="1125"/>
    </row>
    <row r="22672" spans="9:10" x14ac:dyDescent="0.2">
      <c r="I22672" s="1125"/>
      <c r="J22672" s="1125"/>
    </row>
    <row r="22673" spans="9:10" x14ac:dyDescent="0.2">
      <c r="I22673" s="1125"/>
      <c r="J22673" s="1125"/>
    </row>
    <row r="22674" spans="9:10" x14ac:dyDescent="0.2">
      <c r="I22674" s="1125"/>
      <c r="J22674" s="1125"/>
    </row>
    <row r="22675" spans="9:10" x14ac:dyDescent="0.2">
      <c r="I22675" s="1125"/>
      <c r="J22675" s="1125"/>
    </row>
    <row r="22676" spans="9:10" x14ac:dyDescent="0.2">
      <c r="I22676" s="1125"/>
      <c r="J22676" s="1125"/>
    </row>
    <row r="22677" spans="9:10" x14ac:dyDescent="0.2">
      <c r="I22677" s="1125"/>
      <c r="J22677" s="1125"/>
    </row>
    <row r="22678" spans="9:10" x14ac:dyDescent="0.2">
      <c r="I22678" s="1125"/>
      <c r="J22678" s="1125"/>
    </row>
    <row r="22679" spans="9:10" x14ac:dyDescent="0.2">
      <c r="I22679" s="1125"/>
      <c r="J22679" s="1125"/>
    </row>
    <row r="22680" spans="9:10" x14ac:dyDescent="0.2">
      <c r="I22680" s="1125"/>
      <c r="J22680" s="1125"/>
    </row>
    <row r="22681" spans="9:10" x14ac:dyDescent="0.2">
      <c r="I22681" s="1125"/>
      <c r="J22681" s="1125"/>
    </row>
    <row r="22682" spans="9:10" x14ac:dyDescent="0.2">
      <c r="I22682" s="1125"/>
      <c r="J22682" s="1125"/>
    </row>
    <row r="22683" spans="9:10" x14ac:dyDescent="0.2">
      <c r="I22683" s="1125"/>
      <c r="J22683" s="1125"/>
    </row>
    <row r="22684" spans="9:10" x14ac:dyDescent="0.2">
      <c r="I22684" s="1125"/>
      <c r="J22684" s="1125"/>
    </row>
    <row r="22685" spans="9:10" x14ac:dyDescent="0.2">
      <c r="I22685" s="1125"/>
      <c r="J22685" s="1125"/>
    </row>
    <row r="22686" spans="9:10" x14ac:dyDescent="0.2">
      <c r="I22686" s="1125"/>
      <c r="J22686" s="1125"/>
    </row>
    <row r="22687" spans="9:10" x14ac:dyDescent="0.2">
      <c r="I22687" s="1125"/>
      <c r="J22687" s="1125"/>
    </row>
    <row r="22688" spans="9:10" x14ac:dyDescent="0.2">
      <c r="I22688" s="1125"/>
      <c r="J22688" s="1125"/>
    </row>
    <row r="22689" spans="9:10" x14ac:dyDescent="0.2">
      <c r="I22689" s="1125"/>
      <c r="J22689" s="1125"/>
    </row>
    <row r="22690" spans="9:10" x14ac:dyDescent="0.2">
      <c r="I22690" s="1125"/>
      <c r="J22690" s="1125"/>
    </row>
    <row r="22691" spans="9:10" x14ac:dyDescent="0.2">
      <c r="I22691" s="1125"/>
      <c r="J22691" s="1125"/>
    </row>
    <row r="22692" spans="9:10" x14ac:dyDescent="0.2">
      <c r="I22692" s="1125"/>
      <c r="J22692" s="1125"/>
    </row>
    <row r="22693" spans="9:10" x14ac:dyDescent="0.2">
      <c r="I22693" s="1125"/>
      <c r="J22693" s="1125"/>
    </row>
    <row r="22694" spans="9:10" x14ac:dyDescent="0.2">
      <c r="I22694" s="1125"/>
      <c r="J22694" s="1125"/>
    </row>
    <row r="22695" spans="9:10" x14ac:dyDescent="0.2">
      <c r="I22695" s="1125"/>
      <c r="J22695" s="1125"/>
    </row>
    <row r="22696" spans="9:10" x14ac:dyDescent="0.2">
      <c r="I22696" s="1125"/>
      <c r="J22696" s="1125"/>
    </row>
    <row r="22697" spans="9:10" x14ac:dyDescent="0.2">
      <c r="I22697" s="1125"/>
      <c r="J22697" s="1125"/>
    </row>
    <row r="22698" spans="9:10" x14ac:dyDescent="0.2">
      <c r="I22698" s="1125"/>
      <c r="J22698" s="1125"/>
    </row>
    <row r="22699" spans="9:10" x14ac:dyDescent="0.2">
      <c r="I22699" s="1125"/>
      <c r="J22699" s="1125"/>
    </row>
    <row r="22700" spans="9:10" x14ac:dyDescent="0.2">
      <c r="I22700" s="1125"/>
      <c r="J22700" s="1125"/>
    </row>
    <row r="22701" spans="9:10" x14ac:dyDescent="0.2">
      <c r="I22701" s="1125"/>
      <c r="J22701" s="1125"/>
    </row>
    <row r="22702" spans="9:10" x14ac:dyDescent="0.2">
      <c r="I22702" s="1125"/>
      <c r="J22702" s="1125"/>
    </row>
    <row r="22703" spans="9:10" x14ac:dyDescent="0.2">
      <c r="I22703" s="1125"/>
      <c r="J22703" s="1125"/>
    </row>
    <row r="22704" spans="9:10" x14ac:dyDescent="0.2">
      <c r="I22704" s="1125"/>
      <c r="J22704" s="1125"/>
    </row>
    <row r="22705" spans="9:10" x14ac:dyDescent="0.2">
      <c r="I22705" s="1125"/>
      <c r="J22705" s="1125"/>
    </row>
    <row r="22706" spans="9:10" x14ac:dyDescent="0.2">
      <c r="I22706" s="1125"/>
      <c r="J22706" s="1125"/>
    </row>
    <row r="22707" spans="9:10" x14ac:dyDescent="0.2">
      <c r="I22707" s="1125"/>
      <c r="J22707" s="1125"/>
    </row>
    <row r="22708" spans="9:10" x14ac:dyDescent="0.2">
      <c r="I22708" s="1125"/>
      <c r="J22708" s="1125"/>
    </row>
    <row r="22709" spans="9:10" x14ac:dyDescent="0.2">
      <c r="I22709" s="1125"/>
      <c r="J22709" s="1125"/>
    </row>
    <row r="22710" spans="9:10" x14ac:dyDescent="0.2">
      <c r="I22710" s="1125"/>
      <c r="J22710" s="1125"/>
    </row>
    <row r="22711" spans="9:10" x14ac:dyDescent="0.2">
      <c r="I22711" s="1125"/>
      <c r="J22711" s="1125"/>
    </row>
    <row r="22712" spans="9:10" x14ac:dyDescent="0.2">
      <c r="I22712" s="1125"/>
      <c r="J22712" s="1125"/>
    </row>
    <row r="22713" spans="9:10" x14ac:dyDescent="0.2">
      <c r="I22713" s="1125"/>
      <c r="J22713" s="1125"/>
    </row>
    <row r="22714" spans="9:10" x14ac:dyDescent="0.2">
      <c r="I22714" s="1125"/>
      <c r="J22714" s="1125"/>
    </row>
    <row r="22715" spans="9:10" x14ac:dyDescent="0.2">
      <c r="I22715" s="1125"/>
      <c r="J22715" s="1125"/>
    </row>
    <row r="22716" spans="9:10" x14ac:dyDescent="0.2">
      <c r="I22716" s="1125"/>
      <c r="J22716" s="1125"/>
    </row>
    <row r="22717" spans="9:10" x14ac:dyDescent="0.2">
      <c r="I22717" s="1125"/>
      <c r="J22717" s="1125"/>
    </row>
    <row r="22718" spans="9:10" x14ac:dyDescent="0.2">
      <c r="I22718" s="1125"/>
      <c r="J22718" s="1125"/>
    </row>
    <row r="22719" spans="9:10" x14ac:dyDescent="0.2">
      <c r="I22719" s="1125"/>
      <c r="J22719" s="1125"/>
    </row>
    <row r="22720" spans="9:10" x14ac:dyDescent="0.2">
      <c r="I22720" s="1125"/>
      <c r="J22720" s="1125"/>
    </row>
    <row r="22721" spans="9:10" x14ac:dyDescent="0.2">
      <c r="I22721" s="1125"/>
      <c r="J22721" s="1125"/>
    </row>
    <row r="22722" spans="9:10" x14ac:dyDescent="0.2">
      <c r="I22722" s="1125"/>
      <c r="J22722" s="1125"/>
    </row>
    <row r="22723" spans="9:10" x14ac:dyDescent="0.2">
      <c r="I22723" s="1125"/>
      <c r="J22723" s="1125"/>
    </row>
    <row r="22724" spans="9:10" x14ac:dyDescent="0.2">
      <c r="I22724" s="1125"/>
      <c r="J22724" s="1125"/>
    </row>
    <row r="22725" spans="9:10" x14ac:dyDescent="0.2">
      <c r="I22725" s="1125"/>
      <c r="J22725" s="1125"/>
    </row>
    <row r="22726" spans="9:10" x14ac:dyDescent="0.2">
      <c r="I22726" s="1125"/>
      <c r="J22726" s="1125"/>
    </row>
    <row r="22727" spans="9:10" x14ac:dyDescent="0.2">
      <c r="I22727" s="1125"/>
      <c r="J22727" s="1125"/>
    </row>
    <row r="22728" spans="9:10" x14ac:dyDescent="0.2">
      <c r="I22728" s="1125"/>
      <c r="J22728" s="1125"/>
    </row>
    <row r="22729" spans="9:10" x14ac:dyDescent="0.2">
      <c r="I22729" s="1125"/>
      <c r="J22729" s="1125"/>
    </row>
    <row r="22730" spans="9:10" x14ac:dyDescent="0.2">
      <c r="I22730" s="1125"/>
      <c r="J22730" s="1125"/>
    </row>
    <row r="22731" spans="9:10" x14ac:dyDescent="0.2">
      <c r="I22731" s="1125"/>
      <c r="J22731" s="1125"/>
    </row>
    <row r="22732" spans="9:10" x14ac:dyDescent="0.2">
      <c r="I22732" s="1125"/>
      <c r="J22732" s="1125"/>
    </row>
    <row r="22733" spans="9:10" x14ac:dyDescent="0.2">
      <c r="I22733" s="1125"/>
      <c r="J22733" s="1125"/>
    </row>
    <row r="22734" spans="9:10" x14ac:dyDescent="0.2">
      <c r="I22734" s="1125"/>
      <c r="J22734" s="1125"/>
    </row>
    <row r="22735" spans="9:10" x14ac:dyDescent="0.2">
      <c r="I22735" s="1125"/>
      <c r="J22735" s="1125"/>
    </row>
    <row r="22736" spans="9:10" x14ac:dyDescent="0.2">
      <c r="I22736" s="1125"/>
      <c r="J22736" s="1125"/>
    </row>
    <row r="22737" spans="9:10" x14ac:dyDescent="0.2">
      <c r="I22737" s="1125"/>
      <c r="J22737" s="1125"/>
    </row>
    <row r="22738" spans="9:10" x14ac:dyDescent="0.2">
      <c r="I22738" s="1125"/>
      <c r="J22738" s="1125"/>
    </row>
    <row r="22739" spans="9:10" x14ac:dyDescent="0.2">
      <c r="I22739" s="1125"/>
      <c r="J22739" s="1125"/>
    </row>
    <row r="22740" spans="9:10" x14ac:dyDescent="0.2">
      <c r="I22740" s="1125"/>
      <c r="J22740" s="1125"/>
    </row>
    <row r="22741" spans="9:10" x14ac:dyDescent="0.2">
      <c r="I22741" s="1125"/>
      <c r="J22741" s="1125"/>
    </row>
    <row r="22742" spans="9:10" x14ac:dyDescent="0.2">
      <c r="I22742" s="1125"/>
      <c r="J22742" s="1125"/>
    </row>
    <row r="22743" spans="9:10" x14ac:dyDescent="0.2">
      <c r="I22743" s="1125"/>
      <c r="J22743" s="1125"/>
    </row>
    <row r="22744" spans="9:10" x14ac:dyDescent="0.2">
      <c r="I22744" s="1125"/>
      <c r="J22744" s="1125"/>
    </row>
    <row r="22745" spans="9:10" x14ac:dyDescent="0.2">
      <c r="I22745" s="1125"/>
      <c r="J22745" s="1125"/>
    </row>
    <row r="22746" spans="9:10" x14ac:dyDescent="0.2">
      <c r="I22746" s="1125"/>
      <c r="J22746" s="1125"/>
    </row>
    <row r="22747" spans="9:10" x14ac:dyDescent="0.2">
      <c r="I22747" s="1125"/>
      <c r="J22747" s="1125"/>
    </row>
    <row r="22748" spans="9:10" x14ac:dyDescent="0.2">
      <c r="I22748" s="1125"/>
      <c r="J22748" s="1125"/>
    </row>
    <row r="22749" spans="9:10" x14ac:dyDescent="0.2">
      <c r="I22749" s="1125"/>
      <c r="J22749" s="1125"/>
    </row>
    <row r="22750" spans="9:10" x14ac:dyDescent="0.2">
      <c r="I22750" s="1125"/>
      <c r="J22750" s="1125"/>
    </row>
    <row r="22751" spans="9:10" x14ac:dyDescent="0.2">
      <c r="I22751" s="1125"/>
      <c r="J22751" s="1125"/>
    </row>
    <row r="22752" spans="9:10" x14ac:dyDescent="0.2">
      <c r="I22752" s="1125"/>
      <c r="J22752" s="1125"/>
    </row>
    <row r="22753" spans="9:10" x14ac:dyDescent="0.2">
      <c r="I22753" s="1125"/>
      <c r="J22753" s="1125"/>
    </row>
    <row r="22754" spans="9:10" x14ac:dyDescent="0.2">
      <c r="I22754" s="1125"/>
      <c r="J22754" s="1125"/>
    </row>
    <row r="22755" spans="9:10" x14ac:dyDescent="0.2">
      <c r="I22755" s="1125"/>
      <c r="J22755" s="1125"/>
    </row>
    <row r="22756" spans="9:10" x14ac:dyDescent="0.2">
      <c r="I22756" s="1125"/>
      <c r="J22756" s="1125"/>
    </row>
    <row r="22757" spans="9:10" x14ac:dyDescent="0.2">
      <c r="I22757" s="1125"/>
      <c r="J22757" s="1125"/>
    </row>
    <row r="22758" spans="9:10" x14ac:dyDescent="0.2">
      <c r="I22758" s="1125"/>
      <c r="J22758" s="1125"/>
    </row>
    <row r="22759" spans="9:10" x14ac:dyDescent="0.2">
      <c r="I22759" s="1125"/>
      <c r="J22759" s="1125"/>
    </row>
    <row r="22760" spans="9:10" x14ac:dyDescent="0.2">
      <c r="I22760" s="1125"/>
      <c r="J22760" s="1125"/>
    </row>
    <row r="22761" spans="9:10" x14ac:dyDescent="0.2">
      <c r="I22761" s="1125"/>
      <c r="J22761" s="1125"/>
    </row>
    <row r="22762" spans="9:10" x14ac:dyDescent="0.2">
      <c r="I22762" s="1125"/>
      <c r="J22762" s="1125"/>
    </row>
    <row r="22763" spans="9:10" x14ac:dyDescent="0.2">
      <c r="I22763" s="1125"/>
      <c r="J22763" s="1125"/>
    </row>
    <row r="22764" spans="9:10" x14ac:dyDescent="0.2">
      <c r="I22764" s="1125"/>
      <c r="J22764" s="1125"/>
    </row>
    <row r="22765" spans="9:10" x14ac:dyDescent="0.2">
      <c r="I22765" s="1125"/>
      <c r="J22765" s="1125"/>
    </row>
    <row r="22766" spans="9:10" x14ac:dyDescent="0.2">
      <c r="I22766" s="1125"/>
      <c r="J22766" s="1125"/>
    </row>
    <row r="22767" spans="9:10" x14ac:dyDescent="0.2">
      <c r="I22767" s="1125"/>
      <c r="J22767" s="1125"/>
    </row>
    <row r="22768" spans="9:10" x14ac:dyDescent="0.2">
      <c r="I22768" s="1125"/>
      <c r="J22768" s="1125"/>
    </row>
    <row r="22769" spans="9:10" x14ac:dyDescent="0.2">
      <c r="I22769" s="1125"/>
      <c r="J22769" s="1125"/>
    </row>
    <row r="22770" spans="9:10" x14ac:dyDescent="0.2">
      <c r="I22770" s="1125"/>
      <c r="J22770" s="1125"/>
    </row>
    <row r="22771" spans="9:10" x14ac:dyDescent="0.2">
      <c r="I22771" s="1125"/>
      <c r="J22771" s="1125"/>
    </row>
    <row r="22772" spans="9:10" x14ac:dyDescent="0.2">
      <c r="I22772" s="1125"/>
      <c r="J22772" s="1125"/>
    </row>
    <row r="22773" spans="9:10" x14ac:dyDescent="0.2">
      <c r="I22773" s="1125"/>
      <c r="J22773" s="1125"/>
    </row>
    <row r="22774" spans="9:10" x14ac:dyDescent="0.2">
      <c r="I22774" s="1125"/>
      <c r="J22774" s="1125"/>
    </row>
    <row r="22775" spans="9:10" x14ac:dyDescent="0.2">
      <c r="I22775" s="1125"/>
      <c r="J22775" s="1125"/>
    </row>
    <row r="22776" spans="9:10" x14ac:dyDescent="0.2">
      <c r="I22776" s="1125"/>
      <c r="J22776" s="1125"/>
    </row>
    <row r="22777" spans="9:10" x14ac:dyDescent="0.2">
      <c r="I22777" s="1125"/>
      <c r="J22777" s="1125"/>
    </row>
    <row r="22778" spans="9:10" x14ac:dyDescent="0.2">
      <c r="I22778" s="1125"/>
      <c r="J22778" s="1125"/>
    </row>
    <row r="22779" spans="9:10" x14ac:dyDescent="0.2">
      <c r="I22779" s="1125"/>
      <c r="J22779" s="1125"/>
    </row>
    <row r="22780" spans="9:10" x14ac:dyDescent="0.2">
      <c r="I22780" s="1125"/>
      <c r="J22780" s="1125"/>
    </row>
    <row r="22781" spans="9:10" x14ac:dyDescent="0.2">
      <c r="I22781" s="1125"/>
      <c r="J22781" s="1125"/>
    </row>
    <row r="22782" spans="9:10" x14ac:dyDescent="0.2">
      <c r="I22782" s="1125"/>
      <c r="J22782" s="1125"/>
    </row>
    <row r="22783" spans="9:10" x14ac:dyDescent="0.2">
      <c r="I22783" s="1125"/>
      <c r="J22783" s="1125"/>
    </row>
    <row r="22784" spans="9:10" x14ac:dyDescent="0.2">
      <c r="I22784" s="1125"/>
      <c r="J22784" s="1125"/>
    </row>
    <row r="22785" spans="9:10" x14ac:dyDescent="0.2">
      <c r="I22785" s="1125"/>
      <c r="J22785" s="1125"/>
    </row>
    <row r="22786" spans="9:10" x14ac:dyDescent="0.2">
      <c r="I22786" s="1125"/>
      <c r="J22786" s="1125"/>
    </row>
    <row r="22787" spans="9:10" x14ac:dyDescent="0.2">
      <c r="I22787" s="1125"/>
      <c r="J22787" s="1125"/>
    </row>
    <row r="22788" spans="9:10" x14ac:dyDescent="0.2">
      <c r="I22788" s="1125"/>
      <c r="J22788" s="1125"/>
    </row>
    <row r="22789" spans="9:10" x14ac:dyDescent="0.2">
      <c r="I22789" s="1125"/>
      <c r="J22789" s="1125"/>
    </row>
    <row r="22790" spans="9:10" x14ac:dyDescent="0.2">
      <c r="I22790" s="1125"/>
      <c r="J22790" s="1125"/>
    </row>
    <row r="22791" spans="9:10" x14ac:dyDescent="0.2">
      <c r="I22791" s="1125"/>
      <c r="J22791" s="1125"/>
    </row>
    <row r="22792" spans="9:10" x14ac:dyDescent="0.2">
      <c r="I22792" s="1125"/>
      <c r="J22792" s="1125"/>
    </row>
    <row r="22793" spans="9:10" x14ac:dyDescent="0.2">
      <c r="I22793" s="1125"/>
      <c r="J22793" s="1125"/>
    </row>
    <row r="22794" spans="9:10" x14ac:dyDescent="0.2">
      <c r="I22794" s="1125"/>
      <c r="J22794" s="1125"/>
    </row>
    <row r="22795" spans="9:10" x14ac:dyDescent="0.2">
      <c r="I22795" s="1125"/>
      <c r="J22795" s="1125"/>
    </row>
    <row r="22796" spans="9:10" x14ac:dyDescent="0.2">
      <c r="I22796" s="1125"/>
      <c r="J22796" s="1125"/>
    </row>
    <row r="22797" spans="9:10" x14ac:dyDescent="0.2">
      <c r="I22797" s="1125"/>
      <c r="J22797" s="1125"/>
    </row>
    <row r="22798" spans="9:10" x14ac:dyDescent="0.2">
      <c r="I22798" s="1125"/>
      <c r="J22798" s="1125"/>
    </row>
    <row r="22799" spans="9:10" x14ac:dyDescent="0.2">
      <c r="I22799" s="1125"/>
      <c r="J22799" s="1125"/>
    </row>
    <row r="22800" spans="9:10" x14ac:dyDescent="0.2">
      <c r="I22800" s="1125"/>
      <c r="J22800" s="1125"/>
    </row>
    <row r="22801" spans="9:10" x14ac:dyDescent="0.2">
      <c r="I22801" s="1125"/>
      <c r="J22801" s="1125"/>
    </row>
    <row r="22802" spans="9:10" x14ac:dyDescent="0.2">
      <c r="I22802" s="1125"/>
      <c r="J22802" s="1125"/>
    </row>
    <row r="22803" spans="9:10" x14ac:dyDescent="0.2">
      <c r="I22803" s="1125"/>
      <c r="J22803" s="1125"/>
    </row>
    <row r="22804" spans="9:10" x14ac:dyDescent="0.2">
      <c r="I22804" s="1125"/>
      <c r="J22804" s="1125"/>
    </row>
    <row r="22805" spans="9:10" x14ac:dyDescent="0.2">
      <c r="I22805" s="1125"/>
      <c r="J22805" s="1125"/>
    </row>
    <row r="22806" spans="9:10" x14ac:dyDescent="0.2">
      <c r="I22806" s="1125"/>
      <c r="J22806" s="1125"/>
    </row>
    <row r="22807" spans="9:10" x14ac:dyDescent="0.2">
      <c r="I22807" s="1125"/>
      <c r="J22807" s="1125"/>
    </row>
    <row r="22808" spans="9:10" x14ac:dyDescent="0.2">
      <c r="I22808" s="1125"/>
      <c r="J22808" s="1125"/>
    </row>
    <row r="22809" spans="9:10" x14ac:dyDescent="0.2">
      <c r="I22809" s="1125"/>
      <c r="J22809" s="1125"/>
    </row>
    <row r="22810" spans="9:10" x14ac:dyDescent="0.2">
      <c r="I22810" s="1125"/>
      <c r="J22810" s="1125"/>
    </row>
    <row r="22811" spans="9:10" x14ac:dyDescent="0.2">
      <c r="I22811" s="1125"/>
      <c r="J22811" s="1125"/>
    </row>
    <row r="22812" spans="9:10" x14ac:dyDescent="0.2">
      <c r="I22812" s="1125"/>
      <c r="J22812" s="1125"/>
    </row>
    <row r="22813" spans="9:10" x14ac:dyDescent="0.2">
      <c r="I22813" s="1125"/>
      <c r="J22813" s="1125"/>
    </row>
    <row r="22814" spans="9:10" x14ac:dyDescent="0.2">
      <c r="I22814" s="1125"/>
      <c r="J22814" s="1125"/>
    </row>
    <row r="22815" spans="9:10" x14ac:dyDescent="0.2">
      <c r="I22815" s="1125"/>
      <c r="J22815" s="1125"/>
    </row>
    <row r="22816" spans="9:10" x14ac:dyDescent="0.2">
      <c r="I22816" s="1125"/>
      <c r="J22816" s="1125"/>
    </row>
    <row r="22817" spans="9:10" x14ac:dyDescent="0.2">
      <c r="I22817" s="1125"/>
      <c r="J22817" s="1125"/>
    </row>
    <row r="22818" spans="9:10" x14ac:dyDescent="0.2">
      <c r="I22818" s="1125"/>
      <c r="J22818" s="1125"/>
    </row>
    <row r="22819" spans="9:10" x14ac:dyDescent="0.2">
      <c r="I22819" s="1125"/>
      <c r="J22819" s="1125"/>
    </row>
  </sheetData>
  <mergeCells count="26">
    <mergeCell ref="T3:T5"/>
    <mergeCell ref="S3:S4"/>
    <mergeCell ref="E1:K1"/>
    <mergeCell ref="L1:U1"/>
    <mergeCell ref="K2:L2"/>
    <mergeCell ref="R2:T2"/>
    <mergeCell ref="A6:D6"/>
    <mergeCell ref="D3:H3"/>
    <mergeCell ref="A3:A5"/>
    <mergeCell ref="Q3:Q4"/>
    <mergeCell ref="R3:R4"/>
    <mergeCell ref="I3:O3"/>
    <mergeCell ref="P3:P4"/>
    <mergeCell ref="AD2:AE2"/>
    <mergeCell ref="AK2:AM2"/>
    <mergeCell ref="Y1:AD1"/>
    <mergeCell ref="AE1:AN1"/>
    <mergeCell ref="AB3:AH3"/>
    <mergeCell ref="AI3:AI4"/>
    <mergeCell ref="AJ3:AJ4"/>
    <mergeCell ref="AM3:AM5"/>
    <mergeCell ref="U6:W6"/>
    <mergeCell ref="W3:AA3"/>
    <mergeCell ref="AK3:AK4"/>
    <mergeCell ref="AL3:AL4"/>
    <mergeCell ref="U3:U5"/>
  </mergeCells>
  <pageMargins left="0.62992125984252001" right="0.511811023622047" top="0.31496062992126" bottom="2.5590551E-2" header="0" footer="6.4960630000000005E-2"/>
  <pageSetup paperSize="448" orientation="portrait" r:id="rId1"/>
  <headerFooter differentFirst="1" alignWithMargins="0">
    <oddFooter>&amp;C&amp;"Times New Roman,Regular"&amp;8&amp;P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X76"/>
  <sheetViews>
    <sheetView zoomScaleSheetLayoutView="140" workbookViewId="0">
      <pane xSplit="1" ySplit="5" topLeftCell="B6" activePane="bottomRight" state="frozen"/>
      <selection activeCell="X47" sqref="X47:X50"/>
      <selection pane="topRight" activeCell="X47" sqref="X47:X50"/>
      <selection pane="bottomLeft" activeCell="X47" sqref="X47:X50"/>
      <selection pane="bottomRight"/>
    </sheetView>
  </sheetViews>
  <sheetFormatPr defaultColWidth="9.140625" defaultRowHeight="11.25" x14ac:dyDescent="0.2"/>
  <cols>
    <col min="1" max="23" width="12.42578125" style="8" customWidth="1"/>
    <col min="24" max="16384" width="9.140625" style="8"/>
  </cols>
  <sheetData>
    <row r="1" spans="1:24" s="30" customFormat="1" ht="14.25" customHeight="1" x14ac:dyDescent="0.25">
      <c r="B1" s="2298" t="s">
        <v>241</v>
      </c>
      <c r="C1" s="2298"/>
      <c r="D1" s="2298"/>
      <c r="E1" s="2298"/>
      <c r="F1" s="2298"/>
      <c r="G1" s="2298"/>
      <c r="H1" s="2298"/>
      <c r="I1" s="2298"/>
      <c r="J1" s="2298"/>
      <c r="K1" s="2298"/>
      <c r="L1" s="2732" t="s">
        <v>242</v>
      </c>
      <c r="M1" s="2732"/>
      <c r="N1" s="2732"/>
      <c r="O1" s="2732"/>
      <c r="P1" s="31"/>
      <c r="Q1" s="31"/>
      <c r="R1" s="31"/>
      <c r="U1" s="2298" t="s">
        <v>2232</v>
      </c>
      <c r="V1" s="2298"/>
      <c r="W1" s="2298"/>
    </row>
    <row r="2" spans="1:24" ht="12" customHeight="1" x14ac:dyDescent="0.2">
      <c r="B2" s="1223"/>
      <c r="C2" s="1223"/>
      <c r="D2" s="2729"/>
      <c r="E2" s="2729"/>
      <c r="F2" s="91"/>
      <c r="G2" s="91"/>
      <c r="H2" s="91"/>
      <c r="I2" s="91"/>
      <c r="J2" s="2730" t="s">
        <v>1920</v>
      </c>
      <c r="K2" s="2730"/>
      <c r="L2" s="2733" t="s">
        <v>1921</v>
      </c>
      <c r="M2" s="2733"/>
      <c r="N2" s="2733"/>
      <c r="O2" s="2733"/>
      <c r="P2" s="2733"/>
      <c r="S2" s="1223"/>
      <c r="T2" s="1223"/>
      <c r="V2" s="2731" t="s">
        <v>1512</v>
      </c>
      <c r="W2" s="2731"/>
    </row>
    <row r="3" spans="1:24" ht="13.5" customHeight="1" x14ac:dyDescent="0.2">
      <c r="A3" s="2722" t="s">
        <v>474</v>
      </c>
      <c r="B3" s="2728" t="s">
        <v>243</v>
      </c>
      <c r="C3" s="2728" t="s">
        <v>244</v>
      </c>
      <c r="D3" s="2728" t="s">
        <v>245</v>
      </c>
      <c r="E3" s="2728" t="s">
        <v>267</v>
      </c>
      <c r="F3" s="2728" t="s">
        <v>268</v>
      </c>
      <c r="G3" s="2728" t="s">
        <v>276</v>
      </c>
      <c r="H3" s="2728" t="s">
        <v>246</v>
      </c>
      <c r="I3" s="2728" t="s">
        <v>247</v>
      </c>
      <c r="J3" s="2728" t="s">
        <v>248</v>
      </c>
      <c r="K3" s="2728" t="s">
        <v>1352</v>
      </c>
      <c r="L3" s="2728" t="s">
        <v>275</v>
      </c>
      <c r="M3" s="2728" t="s">
        <v>249</v>
      </c>
      <c r="N3" s="2728" t="s">
        <v>250</v>
      </c>
      <c r="O3" s="2728" t="s">
        <v>801</v>
      </c>
      <c r="P3" s="2728" t="s">
        <v>270</v>
      </c>
      <c r="Q3" s="2728" t="s">
        <v>802</v>
      </c>
      <c r="R3" s="2728" t="s">
        <v>1353</v>
      </c>
      <c r="S3" s="2723" t="s">
        <v>251</v>
      </c>
      <c r="T3" s="2724"/>
      <c r="U3" s="2724"/>
      <c r="V3" s="2724"/>
      <c r="W3" s="2725"/>
    </row>
    <row r="4" spans="1:24" s="92" customFormat="1" ht="74.25" customHeight="1" x14ac:dyDescent="0.2">
      <c r="A4" s="2452"/>
      <c r="B4" s="2728"/>
      <c r="C4" s="2728"/>
      <c r="D4" s="2728"/>
      <c r="E4" s="2728"/>
      <c r="F4" s="2728"/>
      <c r="G4" s="2728"/>
      <c r="H4" s="2728"/>
      <c r="I4" s="2728"/>
      <c r="J4" s="2728"/>
      <c r="K4" s="2728"/>
      <c r="L4" s="2728"/>
      <c r="M4" s="2728"/>
      <c r="N4" s="2728"/>
      <c r="O4" s="2728"/>
      <c r="P4" s="2728"/>
      <c r="Q4" s="2728"/>
      <c r="R4" s="2728"/>
      <c r="S4" s="2726" t="s">
        <v>243</v>
      </c>
      <c r="T4" s="2727"/>
      <c r="U4" s="1738" t="s">
        <v>249</v>
      </c>
      <c r="V4" s="1738" t="s">
        <v>252</v>
      </c>
      <c r="W4" s="1738" t="s">
        <v>269</v>
      </c>
    </row>
    <row r="5" spans="1:24" s="95" customFormat="1" ht="9.75" customHeight="1" x14ac:dyDescent="0.2">
      <c r="A5" s="2453"/>
      <c r="B5" s="1737">
        <v>1</v>
      </c>
      <c r="C5" s="1737">
        <v>2</v>
      </c>
      <c r="D5" s="1737">
        <v>3</v>
      </c>
      <c r="E5" s="1737">
        <v>4</v>
      </c>
      <c r="F5" s="1737">
        <v>5</v>
      </c>
      <c r="G5" s="1737">
        <v>6</v>
      </c>
      <c r="H5" s="1737">
        <v>7</v>
      </c>
      <c r="I5" s="1737">
        <v>8</v>
      </c>
      <c r="J5" s="1737">
        <v>9</v>
      </c>
      <c r="K5" s="1737">
        <v>10</v>
      </c>
      <c r="L5" s="1737">
        <v>11</v>
      </c>
      <c r="M5" s="1737">
        <v>12</v>
      </c>
      <c r="N5" s="1737">
        <v>13</v>
      </c>
      <c r="O5" s="1737">
        <v>14</v>
      </c>
      <c r="P5" s="1737">
        <v>15</v>
      </c>
      <c r="Q5" s="1737">
        <v>16</v>
      </c>
      <c r="R5" s="1737">
        <v>17</v>
      </c>
      <c r="S5" s="2653">
        <v>18</v>
      </c>
      <c r="T5" s="2653"/>
      <c r="U5" s="1737">
        <v>19</v>
      </c>
      <c r="V5" s="1737">
        <v>20</v>
      </c>
      <c r="W5" s="1737">
        <v>21</v>
      </c>
    </row>
    <row r="6" spans="1:24" s="95" customFormat="1" ht="10.5" customHeight="1" x14ac:dyDescent="0.2">
      <c r="A6" s="2714" t="s">
        <v>1922</v>
      </c>
      <c r="B6" s="2715"/>
      <c r="C6" s="2715"/>
      <c r="D6" s="903"/>
      <c r="E6" s="903"/>
      <c r="F6" s="903"/>
      <c r="G6" s="903"/>
      <c r="H6" s="903"/>
      <c r="I6" s="903"/>
      <c r="J6" s="903"/>
      <c r="K6" s="903"/>
      <c r="L6" s="903"/>
      <c r="M6" s="903"/>
      <c r="N6" s="903"/>
      <c r="O6" s="903"/>
      <c r="P6" s="903"/>
      <c r="Q6" s="903"/>
      <c r="R6" s="903"/>
      <c r="S6" s="903"/>
      <c r="T6" s="903"/>
      <c r="U6" s="903"/>
      <c r="V6" s="903"/>
      <c r="W6" s="903"/>
    </row>
    <row r="7" spans="1:24" s="92" customFormat="1" ht="9.75" customHeight="1" x14ac:dyDescent="0.2">
      <c r="A7" s="304" t="s">
        <v>551</v>
      </c>
      <c r="B7" s="277">
        <v>482337</v>
      </c>
      <c r="C7" s="540">
        <v>509545</v>
      </c>
      <c r="D7" s="540">
        <v>3653</v>
      </c>
      <c r="E7" s="540">
        <v>513197</v>
      </c>
      <c r="F7" s="540">
        <v>378940</v>
      </c>
      <c r="G7" s="276">
        <f>(F7/B7)*100</f>
        <v>78.563328129502821</v>
      </c>
      <c r="H7" s="540">
        <v>103397</v>
      </c>
      <c r="I7" s="540">
        <v>134257</v>
      </c>
      <c r="J7" s="276">
        <f>(I7/B7)*100</f>
        <v>27.834688195183038</v>
      </c>
      <c r="K7" s="540">
        <v>126103</v>
      </c>
      <c r="L7" s="276">
        <f>(K7/B7)*100</f>
        <v>26.144168910948157</v>
      </c>
      <c r="M7" s="539" t="s">
        <v>1114</v>
      </c>
      <c r="N7" s="539" t="s">
        <v>1119</v>
      </c>
      <c r="O7" s="539" t="s">
        <v>647</v>
      </c>
      <c r="P7" s="539" t="s">
        <v>1128</v>
      </c>
      <c r="Q7" s="901">
        <f>(B7/M7)*100</f>
        <v>100</v>
      </c>
      <c r="R7" s="539" t="s">
        <v>1132</v>
      </c>
      <c r="S7" s="540">
        <v>34502</v>
      </c>
      <c r="T7" s="539"/>
      <c r="U7" s="539" t="s">
        <v>1138</v>
      </c>
      <c r="V7" s="540">
        <v>36448</v>
      </c>
      <c r="W7" s="539" t="s">
        <v>1137</v>
      </c>
      <c r="X7" s="764"/>
    </row>
    <row r="8" spans="1:24" s="231" customFormat="1" ht="9.75" customHeight="1" x14ac:dyDescent="0.2">
      <c r="A8" s="234"/>
      <c r="B8" s="904">
        <f>(B7/67.08)*10</f>
        <v>71904.740608228982</v>
      </c>
      <c r="C8" s="904">
        <f>(C7/67.08)*10</f>
        <v>75960.793082886114</v>
      </c>
      <c r="D8" s="904">
        <f>(D7/67.08)*10</f>
        <v>544.5736434108527</v>
      </c>
      <c r="E8" s="904">
        <f>(E7/67.08)*10</f>
        <v>76505.217650566497</v>
      </c>
      <c r="F8" s="904">
        <f>(F7/67.08)*10</f>
        <v>56490.757304710794</v>
      </c>
      <c r="G8" s="904"/>
      <c r="H8" s="904">
        <f>(H7/67.08)*10</f>
        <v>15413.983303518187</v>
      </c>
      <c r="I8" s="904">
        <f>(I7/67.08)*10</f>
        <v>20014.460345855696</v>
      </c>
      <c r="J8" s="904"/>
      <c r="K8" s="904">
        <f>(K7/67.08)*10</f>
        <v>18798.896839594516</v>
      </c>
      <c r="L8" s="905"/>
      <c r="M8" s="905"/>
      <c r="N8" s="905"/>
      <c r="O8" s="905"/>
      <c r="P8" s="905"/>
      <c r="Q8" s="905"/>
      <c r="R8" s="905"/>
      <c r="S8" s="904">
        <f>S7/67.08</f>
        <v>514.34108527131787</v>
      </c>
      <c r="T8" s="905"/>
      <c r="U8" s="905"/>
      <c r="V8" s="904">
        <f>V7/67.08</f>
        <v>543.35122242098987</v>
      </c>
      <c r="W8" s="905"/>
      <c r="X8" s="906"/>
    </row>
    <row r="9" spans="1:24" s="92" customFormat="1" ht="9.75" customHeight="1" x14ac:dyDescent="0.2">
      <c r="A9" s="304" t="s">
        <v>560</v>
      </c>
      <c r="B9" s="277">
        <v>549800</v>
      </c>
      <c r="C9" s="540">
        <v>585075</v>
      </c>
      <c r="D9" s="540">
        <v>3989</v>
      </c>
      <c r="E9" s="540">
        <v>589064</v>
      </c>
      <c r="F9" s="540">
        <v>435731</v>
      </c>
      <c r="G9" s="276">
        <f>(F9/B9)*100</f>
        <v>79.252637322662792</v>
      </c>
      <c r="H9" s="540">
        <v>114069</v>
      </c>
      <c r="I9" s="540">
        <v>153333</v>
      </c>
      <c r="J9" s="276">
        <f>(I9/B9)*100</f>
        <v>27.888868679519824</v>
      </c>
      <c r="K9" s="540">
        <v>143929</v>
      </c>
      <c r="L9" s="276">
        <f>(K9/B9)*100</f>
        <v>26.178428519461622</v>
      </c>
      <c r="M9" s="539" t="s">
        <v>1115</v>
      </c>
      <c r="N9" s="539" t="s">
        <v>1120</v>
      </c>
      <c r="O9" s="539" t="s">
        <v>1124</v>
      </c>
      <c r="P9" s="539" t="s">
        <v>1129</v>
      </c>
      <c r="Q9" s="901">
        <f>(B9/M9)*100</f>
        <v>106.47135943669718</v>
      </c>
      <c r="R9" s="539" t="s">
        <v>1133</v>
      </c>
      <c r="S9" s="540">
        <v>38773</v>
      </c>
      <c r="T9" s="539"/>
      <c r="U9" s="539" t="s">
        <v>1139</v>
      </c>
      <c r="V9" s="540">
        <v>41261</v>
      </c>
      <c r="W9" s="539" t="s">
        <v>1143</v>
      </c>
      <c r="X9" s="764"/>
    </row>
    <row r="10" spans="1:24" s="231" customFormat="1" ht="9.75" customHeight="1" x14ac:dyDescent="0.2">
      <c r="A10" s="234"/>
      <c r="B10" s="904">
        <f>(B9/69.03)*10</f>
        <v>79646.530493988117</v>
      </c>
      <c r="C10" s="904">
        <f>(C9/69.03)*10</f>
        <v>84756.627553237719</v>
      </c>
      <c r="D10" s="904">
        <f>(D9/69.03)*10</f>
        <v>577.86469650876427</v>
      </c>
      <c r="E10" s="904">
        <f>(E9/69.03)*10</f>
        <v>85334.492249746487</v>
      </c>
      <c r="F10" s="904">
        <f>(F9/69.03)*10</f>
        <v>63121.975952484427</v>
      </c>
      <c r="G10" s="904"/>
      <c r="H10" s="904">
        <f>(H9/69.03)*10</f>
        <v>16524.554541503694</v>
      </c>
      <c r="I10" s="904">
        <f>(I9/69.03)*10</f>
        <v>22212.51629726206</v>
      </c>
      <c r="J10" s="904"/>
      <c r="K10" s="904">
        <f>(K9/69.03)*10</f>
        <v>20850.210053599883</v>
      </c>
      <c r="L10" s="905"/>
      <c r="M10" s="905"/>
      <c r="N10" s="905"/>
      <c r="O10" s="905"/>
      <c r="P10" s="905"/>
      <c r="Q10" s="905"/>
      <c r="R10" s="905"/>
      <c r="S10" s="904">
        <f>S9/69.03</f>
        <v>561.68332609010577</v>
      </c>
      <c r="T10" s="905"/>
      <c r="U10" s="905"/>
      <c r="V10" s="904">
        <f>V9/69.03</f>
        <v>597.7256265391859</v>
      </c>
      <c r="W10" s="905"/>
      <c r="X10" s="906"/>
    </row>
    <row r="11" spans="1:24" s="92" customFormat="1" ht="9.75" customHeight="1" x14ac:dyDescent="0.2">
      <c r="A11" s="304" t="s">
        <v>325</v>
      </c>
      <c r="B11" s="277">
        <v>628682</v>
      </c>
      <c r="C11" s="540">
        <v>677072</v>
      </c>
      <c r="D11" s="540">
        <v>5671</v>
      </c>
      <c r="E11" s="540">
        <v>682743</v>
      </c>
      <c r="F11" s="540">
        <v>508042</v>
      </c>
      <c r="G11" s="276">
        <f>(F11/B11)*100</f>
        <v>80.810648308683881</v>
      </c>
      <c r="H11" s="540">
        <v>120640</v>
      </c>
      <c r="I11" s="540">
        <v>174701</v>
      </c>
      <c r="J11" s="276">
        <f>(I11/B11)*100</f>
        <v>27.788452667644375</v>
      </c>
      <c r="K11" s="540">
        <v>164729</v>
      </c>
      <c r="L11" s="276">
        <f>(K11/B11)*100</f>
        <v>26.202277144884057</v>
      </c>
      <c r="M11" s="539" t="s">
        <v>1116</v>
      </c>
      <c r="N11" s="539" t="s">
        <v>1121</v>
      </c>
      <c r="O11" s="539" t="s">
        <v>1125</v>
      </c>
      <c r="P11" s="539" t="s">
        <v>1025</v>
      </c>
      <c r="Q11" s="901">
        <f>(B11/M11)*100</f>
        <v>114.84097713526853</v>
      </c>
      <c r="R11" s="539" t="s">
        <v>1134</v>
      </c>
      <c r="S11" s="540">
        <v>43719</v>
      </c>
      <c r="T11" s="539"/>
      <c r="U11" s="539" t="s">
        <v>1144</v>
      </c>
      <c r="V11" s="540">
        <v>47084</v>
      </c>
      <c r="W11" s="539" t="s">
        <v>1140</v>
      </c>
      <c r="X11" s="764"/>
    </row>
    <row r="12" spans="1:24" s="231" customFormat="1" ht="9.75" customHeight="1" x14ac:dyDescent="0.2">
      <c r="A12" s="234"/>
      <c r="B12" s="904">
        <f>(B11/68.6)*10</f>
        <v>91644.606413994174</v>
      </c>
      <c r="C12" s="904">
        <f>(C11/68.6)*10</f>
        <v>98698.542274052481</v>
      </c>
      <c r="D12" s="904">
        <f>(D11/68.6)*10</f>
        <v>826.67638483965015</v>
      </c>
      <c r="E12" s="904">
        <f>(E11/68.6)*10</f>
        <v>99525.218658892132</v>
      </c>
      <c r="F12" s="904">
        <f>(F11/68.6)*10</f>
        <v>74058.600583090389</v>
      </c>
      <c r="G12" s="904"/>
      <c r="H12" s="904">
        <f>(H11/68.6)*10</f>
        <v>17586.005830903792</v>
      </c>
      <c r="I12" s="904">
        <f>(I11/68.6)*10</f>
        <v>25466.618075801751</v>
      </c>
      <c r="J12" s="904"/>
      <c r="K12" s="904">
        <f>(K11/68.6)*10</f>
        <v>24012.973760932946</v>
      </c>
      <c r="L12" s="905"/>
      <c r="M12" s="905"/>
      <c r="N12" s="905"/>
      <c r="O12" s="905"/>
      <c r="P12" s="905"/>
      <c r="Q12" s="905"/>
      <c r="R12" s="905"/>
      <c r="S12" s="904">
        <f>S11/68.6</f>
        <v>637.30320699708454</v>
      </c>
      <c r="T12" s="905"/>
      <c r="U12" s="905"/>
      <c r="V12" s="904">
        <f>V11/68.6</f>
        <v>686.3556851311954</v>
      </c>
      <c r="W12" s="905"/>
      <c r="X12" s="906"/>
    </row>
    <row r="13" spans="1:24" s="92" customFormat="1" ht="9.75" customHeight="1" x14ac:dyDescent="0.2">
      <c r="A13" s="304" t="s">
        <v>85</v>
      </c>
      <c r="B13" s="277">
        <v>705072</v>
      </c>
      <c r="C13" s="540">
        <v>760973</v>
      </c>
      <c r="D13" s="540">
        <v>2407</v>
      </c>
      <c r="E13" s="540">
        <v>763380</v>
      </c>
      <c r="F13" s="540">
        <v>561714</v>
      </c>
      <c r="G13" s="276">
        <f>(F13/B13)*100</f>
        <v>79.667608414459806</v>
      </c>
      <c r="H13" s="540">
        <v>143358</v>
      </c>
      <c r="I13" s="540">
        <v>201662</v>
      </c>
      <c r="J13" s="276">
        <f>(I13/B13)*100</f>
        <v>28.601617990786753</v>
      </c>
      <c r="K13" s="540">
        <v>184772</v>
      </c>
      <c r="L13" s="276">
        <f>(K13/B13)*100</f>
        <v>26.206117956747683</v>
      </c>
      <c r="M13" s="539" t="s">
        <v>1117</v>
      </c>
      <c r="N13" s="539" t="s">
        <v>1122</v>
      </c>
      <c r="O13" s="539" t="s">
        <v>1126</v>
      </c>
      <c r="P13" s="539" t="s">
        <v>1130</v>
      </c>
      <c r="Q13" s="901">
        <f>(B13/M13)*100</f>
        <v>122.60927631395899</v>
      </c>
      <c r="R13" s="539" t="s">
        <v>1135</v>
      </c>
      <c r="S13" s="540">
        <v>48359</v>
      </c>
      <c r="T13" s="539"/>
      <c r="U13" s="539" t="s">
        <v>1145</v>
      </c>
      <c r="V13" s="540">
        <v>52193</v>
      </c>
      <c r="W13" s="539" t="s">
        <v>1141</v>
      </c>
      <c r="X13" s="764"/>
    </row>
    <row r="14" spans="1:24" s="231" customFormat="1" ht="9.75" customHeight="1" x14ac:dyDescent="0.2">
      <c r="A14" s="234"/>
      <c r="B14" s="904">
        <f>(B13/68.8)*10</f>
        <v>102481.39534883722</v>
      </c>
      <c r="C14" s="904">
        <f>(C13/68.8)*10</f>
        <v>110606.54069767443</v>
      </c>
      <c r="D14" s="904">
        <f>(D13/68.8)*10</f>
        <v>349.85465116279073</v>
      </c>
      <c r="E14" s="904">
        <f>(E13/68.8)*10</f>
        <v>110956.39534883722</v>
      </c>
      <c r="F14" s="904">
        <f>(F13/68.8)*10</f>
        <v>81644.476744186046</v>
      </c>
      <c r="G14" s="904"/>
      <c r="H14" s="904">
        <f>(H13/68.8)*10</f>
        <v>20836.918604651164</v>
      </c>
      <c r="I14" s="904">
        <f>(I13/68.8)*10</f>
        <v>29311.337209302328</v>
      </c>
      <c r="J14" s="904"/>
      <c r="K14" s="904">
        <f>(K13/68.8)*10</f>
        <v>26856.39534883721</v>
      </c>
      <c r="L14" s="905"/>
      <c r="M14" s="905"/>
      <c r="N14" s="905"/>
      <c r="O14" s="905"/>
      <c r="P14" s="905"/>
      <c r="Q14" s="905"/>
      <c r="R14" s="905"/>
      <c r="S14" s="904">
        <f>S13/68.8</f>
        <v>702.89244186046517</v>
      </c>
      <c r="T14" s="905"/>
      <c r="U14" s="905"/>
      <c r="V14" s="904">
        <f>V13/68.8</f>
        <v>758.61918604651169</v>
      </c>
      <c r="W14" s="905"/>
      <c r="X14" s="906"/>
    </row>
    <row r="15" spans="1:24" s="92" customFormat="1" ht="9.75" customHeight="1" x14ac:dyDescent="0.2">
      <c r="A15" s="304" t="s">
        <v>81</v>
      </c>
      <c r="B15" s="277">
        <v>797539</v>
      </c>
      <c r="C15" s="540">
        <v>862142</v>
      </c>
      <c r="D15" s="540">
        <v>4248</v>
      </c>
      <c r="E15" s="540">
        <v>866390</v>
      </c>
      <c r="F15" s="540">
        <v>631571</v>
      </c>
      <c r="G15" s="276">
        <f>(F15/B15)*100</f>
        <v>79.189983185775233</v>
      </c>
      <c r="H15" s="540">
        <v>165968</v>
      </c>
      <c r="I15" s="540">
        <v>234819</v>
      </c>
      <c r="J15" s="276">
        <f>(I15/B15)*100</f>
        <v>29.442948871465845</v>
      </c>
      <c r="K15" s="540">
        <v>209327</v>
      </c>
      <c r="L15" s="276">
        <f>(K15/B15)*100</f>
        <v>26.246616152940483</v>
      </c>
      <c r="M15" s="539" t="s">
        <v>1118</v>
      </c>
      <c r="N15" s="539" t="s">
        <v>1123</v>
      </c>
      <c r="O15" s="539" t="s">
        <v>1127</v>
      </c>
      <c r="P15" s="539" t="s">
        <v>1131</v>
      </c>
      <c r="Q15" s="901">
        <f>(B15/M15)*100</f>
        <v>131.3692869508497</v>
      </c>
      <c r="R15" s="539" t="s">
        <v>1136</v>
      </c>
      <c r="S15" s="540">
        <v>53961</v>
      </c>
      <c r="T15" s="539"/>
      <c r="U15" s="539" t="s">
        <v>1146</v>
      </c>
      <c r="V15" s="540">
        <v>58332</v>
      </c>
      <c r="W15" s="539" t="s">
        <v>1142</v>
      </c>
      <c r="X15" s="765"/>
    </row>
    <row r="16" spans="1:24" s="231" customFormat="1" ht="9.75" customHeight="1" x14ac:dyDescent="0.2">
      <c r="A16" s="234"/>
      <c r="B16" s="904">
        <f>(B15/69.18)*10</f>
        <v>115284.61983232148</v>
      </c>
      <c r="C16" s="904">
        <f>(C15/69.18)*10</f>
        <v>124623.01243133852</v>
      </c>
      <c r="D16" s="904">
        <f>(D15/69.18)*10</f>
        <v>614.0503035559409</v>
      </c>
      <c r="E16" s="904">
        <f>(E15/69.18)*10</f>
        <v>125237.06273489445</v>
      </c>
      <c r="F16" s="904">
        <f>(F15/69.18)*10</f>
        <v>91293.871061000274</v>
      </c>
      <c r="G16" s="904"/>
      <c r="H16" s="904">
        <f>(H15/69.18)*10</f>
        <v>23990.748771321189</v>
      </c>
      <c r="I16" s="904">
        <f>(I15/69.18)*10</f>
        <v>33943.191673894187</v>
      </c>
      <c r="J16" s="904"/>
      <c r="K16" s="904">
        <f>(K15/69.18)*10</f>
        <v>30258.311650766114</v>
      </c>
      <c r="L16" s="905"/>
      <c r="M16" s="905"/>
      <c r="N16" s="905"/>
      <c r="O16" s="905"/>
      <c r="P16" s="905"/>
      <c r="Q16" s="905"/>
      <c r="R16" s="905"/>
      <c r="S16" s="904">
        <f>S15/69.18</f>
        <v>780.0086730268863</v>
      </c>
      <c r="T16" s="905"/>
      <c r="U16" s="905"/>
      <c r="V16" s="904">
        <f>V15/69.18</f>
        <v>843.19167389418897</v>
      </c>
      <c r="W16" s="905"/>
      <c r="X16" s="907"/>
    </row>
    <row r="17" spans="1:24" s="92" customFormat="1" ht="9.75" customHeight="1" x14ac:dyDescent="0.2">
      <c r="A17" s="304" t="s">
        <v>189</v>
      </c>
      <c r="B17" s="540">
        <v>915829</v>
      </c>
      <c r="C17" s="540">
        <v>988342</v>
      </c>
      <c r="D17" s="540">
        <v>3102</v>
      </c>
      <c r="E17" s="540">
        <v>991444</v>
      </c>
      <c r="F17" s="540">
        <v>726966</v>
      </c>
      <c r="G17" s="276">
        <f>(F17/B17)*100</f>
        <v>79.377918803619451</v>
      </c>
      <c r="H17" s="540">
        <v>188863</v>
      </c>
      <c r="I17" s="540">
        <v>264478</v>
      </c>
      <c r="J17" s="276">
        <f>(I17/B17)*100</f>
        <v>28.878535185061839</v>
      </c>
      <c r="K17" s="540">
        <v>251129</v>
      </c>
      <c r="L17" s="276">
        <f>(K17/B17)*100</f>
        <v>27.420948670548761</v>
      </c>
      <c r="M17" s="539" t="s">
        <v>1018</v>
      </c>
      <c r="N17" s="539" t="s">
        <v>1041</v>
      </c>
      <c r="O17" s="539" t="s">
        <v>1019</v>
      </c>
      <c r="P17" s="539" t="s">
        <v>1020</v>
      </c>
      <c r="Q17" s="901">
        <f>(B17/M17)*100</f>
        <v>141.694180480303</v>
      </c>
      <c r="R17" s="539" t="s">
        <v>799</v>
      </c>
      <c r="S17" s="540">
        <v>61198</v>
      </c>
      <c r="T17" s="539"/>
      <c r="U17" s="901">
        <v>43190</v>
      </c>
      <c r="V17" s="540">
        <v>66044</v>
      </c>
      <c r="W17" s="539" t="s">
        <v>1044</v>
      </c>
      <c r="X17" s="765"/>
    </row>
    <row r="18" spans="1:24" s="234" customFormat="1" ht="9.75" customHeight="1" x14ac:dyDescent="0.2">
      <c r="B18" s="904">
        <f>(B17/71.17)*10</f>
        <v>128681.88843613882</v>
      </c>
      <c r="C18" s="904">
        <f>(C17/71.17)*10</f>
        <v>138870.59154137981</v>
      </c>
      <c r="D18" s="904">
        <f>(D17/71.17)*10</f>
        <v>435.85780525502315</v>
      </c>
      <c r="E18" s="904">
        <f>(E17/71.17)*10</f>
        <v>139306.44934663482</v>
      </c>
      <c r="F18" s="904">
        <f>(F17/71.17)*10</f>
        <v>102145.00491780243</v>
      </c>
      <c r="G18" s="904"/>
      <c r="H18" s="904">
        <f>(H17/71.17)*10</f>
        <v>26536.883518336377</v>
      </c>
      <c r="I18" s="904">
        <f>(I17/71.17)*10</f>
        <v>37161.444428832372</v>
      </c>
      <c r="J18" s="904"/>
      <c r="K18" s="904">
        <f>(K17/71.17)*10</f>
        <v>35285.794576366447</v>
      </c>
      <c r="L18" s="905"/>
      <c r="M18" s="905"/>
      <c r="N18" s="905"/>
      <c r="O18" s="905"/>
      <c r="P18" s="905"/>
      <c r="Q18" s="905"/>
      <c r="R18" s="905"/>
      <c r="S18" s="904">
        <f>S17/71.17</f>
        <v>859.88478291414924</v>
      </c>
      <c r="T18" s="905"/>
      <c r="U18" s="905"/>
      <c r="V18" s="904">
        <f>V17/71.17</f>
        <v>927.97527047913445</v>
      </c>
      <c r="W18" s="905"/>
      <c r="X18" s="768"/>
    </row>
    <row r="19" spans="1:24" s="92" customFormat="1" ht="9.75" customHeight="1" x14ac:dyDescent="0.2">
      <c r="A19" s="304" t="s">
        <v>696</v>
      </c>
      <c r="B19" s="540">
        <v>1055204</v>
      </c>
      <c r="C19" s="540">
        <v>1144506</v>
      </c>
      <c r="D19" s="540">
        <v>1791</v>
      </c>
      <c r="E19" s="540">
        <v>1146297</v>
      </c>
      <c r="F19" s="540">
        <v>831250</v>
      </c>
      <c r="G19" s="276">
        <f>(F19/B19)*100</f>
        <v>78.776236632916479</v>
      </c>
      <c r="H19" s="540">
        <v>223954</v>
      </c>
      <c r="I19" s="540">
        <v>315047</v>
      </c>
      <c r="J19" s="276">
        <f>(I19/B19)*100</f>
        <v>29.856501681191506</v>
      </c>
      <c r="K19" s="540">
        <v>298225</v>
      </c>
      <c r="L19" s="276">
        <f>(K19/B19)*100</f>
        <v>28.262307572753702</v>
      </c>
      <c r="M19" s="539" t="s">
        <v>1021</v>
      </c>
      <c r="N19" s="539" t="s">
        <v>1040</v>
      </c>
      <c r="O19" s="539" t="s">
        <v>1022</v>
      </c>
      <c r="P19" s="539" t="s">
        <v>1023</v>
      </c>
      <c r="Q19" s="901">
        <f>(B19/M19)*100</f>
        <v>153.26285089318264</v>
      </c>
      <c r="R19" s="539" t="s">
        <v>800</v>
      </c>
      <c r="S19" s="540">
        <v>69614</v>
      </c>
      <c r="T19" s="539"/>
      <c r="U19" s="901">
        <v>45421</v>
      </c>
      <c r="V19" s="540">
        <v>75505</v>
      </c>
      <c r="W19" s="539" t="s">
        <v>1043</v>
      </c>
      <c r="X19" s="764"/>
    </row>
    <row r="20" spans="1:24" s="231" customFormat="1" ht="9.75" customHeight="1" x14ac:dyDescent="0.2">
      <c r="A20" s="234"/>
      <c r="B20" s="904">
        <f>(B19/79.1)*10</f>
        <v>133401.26422250317</v>
      </c>
      <c r="C20" s="904">
        <f>(C19/79.1)*10</f>
        <v>144691.02402022757</v>
      </c>
      <c r="D20" s="904">
        <f>(D19/79.1)*10</f>
        <v>226.42225031605562</v>
      </c>
      <c r="E20" s="904">
        <f>(E19/79.1)*10</f>
        <v>144917.44627054362</v>
      </c>
      <c r="F20" s="904">
        <f>(F19/79.1)*10</f>
        <v>105088.49557522124</v>
      </c>
      <c r="G20" s="904"/>
      <c r="H20" s="904">
        <f>(H19/79.1)*10</f>
        <v>28312.768647281922</v>
      </c>
      <c r="I20" s="904">
        <f>(I19/79.1)*10</f>
        <v>39828.950695322375</v>
      </c>
      <c r="J20" s="904"/>
      <c r="K20" s="904">
        <f>(K19/79.1)*10</f>
        <v>37702.275600505687</v>
      </c>
      <c r="L20" s="905"/>
      <c r="M20" s="905"/>
      <c r="N20" s="905"/>
      <c r="O20" s="905"/>
      <c r="P20" s="905"/>
      <c r="Q20" s="905"/>
      <c r="R20" s="905"/>
      <c r="S20" s="904">
        <f>S19/79.1</f>
        <v>880.07585335018973</v>
      </c>
      <c r="T20" s="905"/>
      <c r="U20" s="905"/>
      <c r="V20" s="904">
        <f>V19/79.1</f>
        <v>954.55120101137811</v>
      </c>
      <c r="W20" s="905"/>
      <c r="X20" s="906"/>
    </row>
    <row r="21" spans="1:24" s="92" customFormat="1" ht="9.75" customHeight="1" x14ac:dyDescent="0.2">
      <c r="A21" s="304" t="s">
        <v>804</v>
      </c>
      <c r="B21" s="277">
        <v>1198923</v>
      </c>
      <c r="C21" s="540">
        <v>1295352</v>
      </c>
      <c r="D21" s="540">
        <v>5375</v>
      </c>
      <c r="E21" s="540">
        <v>1300727</v>
      </c>
      <c r="F21" s="540">
        <v>934727</v>
      </c>
      <c r="G21" s="276">
        <f>(F21/B21)*100</f>
        <v>77.963889257275071</v>
      </c>
      <c r="H21" s="540">
        <v>264196</v>
      </c>
      <c r="I21" s="540">
        <v>365999.9</v>
      </c>
      <c r="J21" s="276">
        <f>(I21/B21)*100</f>
        <v>30.527389999190941</v>
      </c>
      <c r="K21" s="540">
        <v>340370</v>
      </c>
      <c r="L21" s="276">
        <f>(K21/B21)*100</f>
        <v>28.38964637428759</v>
      </c>
      <c r="M21" s="539" t="s">
        <v>1024</v>
      </c>
      <c r="N21" s="539" t="s">
        <v>1039</v>
      </c>
      <c r="O21" s="539" t="s">
        <v>1026</v>
      </c>
      <c r="P21" s="539" t="s">
        <v>1025</v>
      </c>
      <c r="Q21" s="901">
        <f>(B21/M21)*100</f>
        <v>164.25920369586393</v>
      </c>
      <c r="R21" s="539" t="s">
        <v>1027</v>
      </c>
      <c r="S21" s="540">
        <v>78009</v>
      </c>
      <c r="T21" s="539"/>
      <c r="U21" s="901">
        <v>47491</v>
      </c>
      <c r="V21" s="540">
        <v>84283</v>
      </c>
      <c r="W21" s="539" t="s">
        <v>1042</v>
      </c>
      <c r="X21" s="764"/>
    </row>
    <row r="22" spans="1:24" s="234" customFormat="1" ht="9.75" customHeight="1" x14ac:dyDescent="0.2">
      <c r="B22" s="904">
        <f>(B21/79.93)*10</f>
        <v>149996.62204428873</v>
      </c>
      <c r="C22" s="904">
        <f>(C21/79.93)*10</f>
        <v>162060.80320280243</v>
      </c>
      <c r="D22" s="904">
        <f>(D21/79.93)*10</f>
        <v>672.46340547979469</v>
      </c>
      <c r="E22" s="904">
        <f>(E21/79.93)*10</f>
        <v>162733.26660828223</v>
      </c>
      <c r="F22" s="904">
        <f>(F21/79.93)*10</f>
        <v>116943.20030026272</v>
      </c>
      <c r="G22" s="904"/>
      <c r="H22" s="904">
        <f>(H21/79.93)*10</f>
        <v>33053.421744026018</v>
      </c>
      <c r="I22" s="904">
        <f>(I21/79.93)*10</f>
        <v>45790.05379707244</v>
      </c>
      <c r="J22" s="904"/>
      <c r="K22" s="904">
        <f>(K21/79.93)*10</f>
        <v>42583.510571750274</v>
      </c>
      <c r="L22" s="905"/>
      <c r="M22" s="905"/>
      <c r="N22" s="905"/>
      <c r="O22" s="905"/>
      <c r="P22" s="905"/>
      <c r="Q22" s="905"/>
      <c r="R22" s="905"/>
      <c r="S22" s="904">
        <f>S21/79.93</f>
        <v>975.96647066182902</v>
      </c>
      <c r="T22" s="905"/>
      <c r="U22" s="905"/>
      <c r="V22" s="904">
        <f>V21/79.93</f>
        <v>1054.4601526335543</v>
      </c>
      <c r="W22" s="905"/>
      <c r="X22" s="768"/>
    </row>
    <row r="23" spans="1:24" s="330" customFormat="1" ht="9.75" customHeight="1" x14ac:dyDescent="0.2">
      <c r="A23" s="304" t="s">
        <v>978</v>
      </c>
      <c r="B23" s="277">
        <v>1343674</v>
      </c>
      <c r="C23" s="540">
        <v>1433224</v>
      </c>
      <c r="D23" s="540">
        <v>6334</v>
      </c>
      <c r="E23" s="540">
        <v>1439558</v>
      </c>
      <c r="F23" s="540">
        <v>1046856</v>
      </c>
      <c r="G23" s="276">
        <f>(F23/B23)*100</f>
        <v>77.909969233608749</v>
      </c>
      <c r="H23" s="540">
        <v>296817</v>
      </c>
      <c r="I23" s="540">
        <v>392701</v>
      </c>
      <c r="J23" s="276">
        <f>(I23/B23)*100</f>
        <v>29.225913428405999</v>
      </c>
      <c r="K23" s="540">
        <v>383994</v>
      </c>
      <c r="L23" s="276">
        <f>(K23/B23)*100</f>
        <v>28.577913988065557</v>
      </c>
      <c r="M23" s="539" t="s">
        <v>1110</v>
      </c>
      <c r="N23" s="539">
        <v>825728</v>
      </c>
      <c r="O23" s="539" t="s">
        <v>1111</v>
      </c>
      <c r="P23" s="539" t="s">
        <v>1112</v>
      </c>
      <c r="Q23" s="901">
        <f>(B23/M23)*100</f>
        <v>173.57079376233634</v>
      </c>
      <c r="R23" s="539" t="s">
        <v>1028</v>
      </c>
      <c r="S23" s="540">
        <v>86266</v>
      </c>
      <c r="T23" s="539"/>
      <c r="U23" s="901">
        <v>49701</v>
      </c>
      <c r="V23" s="540">
        <v>92015</v>
      </c>
      <c r="W23" s="539" t="s">
        <v>1169</v>
      </c>
      <c r="X23" s="767"/>
    </row>
    <row r="24" spans="1:24" s="234" customFormat="1" ht="9.75" customHeight="1" x14ac:dyDescent="0.2">
      <c r="B24" s="904">
        <f>(B23/77.72)*10</f>
        <v>172886.51569737517</v>
      </c>
      <c r="C24" s="904">
        <f>(C23/77.72)*10</f>
        <v>184408.64642305713</v>
      </c>
      <c r="D24" s="904">
        <f>(D23/77.72)*10</f>
        <v>814.97683993823989</v>
      </c>
      <c r="E24" s="904">
        <f>(E23/77.72)*10</f>
        <v>185223.62326299539</v>
      </c>
      <c r="F24" s="904">
        <f>(F23/77.72)*10</f>
        <v>134695.83118888317</v>
      </c>
      <c r="G24" s="904"/>
      <c r="H24" s="904">
        <f>(H23/77.72)*10</f>
        <v>38190.555841482244</v>
      </c>
      <c r="I24" s="904">
        <f>(I23/77.72)*10</f>
        <v>50527.663407102416</v>
      </c>
      <c r="J24" s="904"/>
      <c r="K24" s="904">
        <f>(K23/77.72)*10</f>
        <v>49407.359752959346</v>
      </c>
      <c r="L24" s="905"/>
      <c r="M24" s="905"/>
      <c r="N24" s="905"/>
      <c r="O24" s="905"/>
      <c r="P24" s="905"/>
      <c r="Q24" s="905"/>
      <c r="R24" s="905"/>
      <c r="S24" s="904">
        <f>S23/77.72</f>
        <v>1109.9588265568709</v>
      </c>
      <c r="T24" s="905"/>
      <c r="U24" s="905"/>
      <c r="V24" s="904">
        <f>V23/77.72</f>
        <v>1183.9294904786414</v>
      </c>
      <c r="W24" s="905"/>
      <c r="X24" s="768"/>
    </row>
    <row r="25" spans="1:24" s="330" customFormat="1" ht="9.75" customHeight="1" x14ac:dyDescent="0.2">
      <c r="A25" s="304" t="s">
        <v>1029</v>
      </c>
      <c r="B25" s="277">
        <v>1515802</v>
      </c>
      <c r="C25" s="540">
        <v>1614204</v>
      </c>
      <c r="D25" s="540">
        <v>5600</v>
      </c>
      <c r="E25" s="540">
        <v>1619804</v>
      </c>
      <c r="F25" s="540">
        <v>1179924</v>
      </c>
      <c r="G25" s="276">
        <f>(F25/B25)*100</f>
        <v>77.84156505928874</v>
      </c>
      <c r="H25" s="540">
        <v>335879</v>
      </c>
      <c r="I25" s="540">
        <v>439881</v>
      </c>
      <c r="J25" s="276">
        <f>(I25/B25)*100</f>
        <v>29.01968726786216</v>
      </c>
      <c r="K25" s="540">
        <v>437865</v>
      </c>
      <c r="L25" s="276">
        <f>(K25/B25)*100</f>
        <v>28.886688366950303</v>
      </c>
      <c r="M25" s="539" t="s">
        <v>1165</v>
      </c>
      <c r="N25" s="539" t="s">
        <v>1166</v>
      </c>
      <c r="O25" s="539" t="s">
        <v>1167</v>
      </c>
      <c r="P25" s="539" t="s">
        <v>1168</v>
      </c>
      <c r="Q25" s="901">
        <f>(B25/M25)*100</f>
        <v>183.76431451564019</v>
      </c>
      <c r="R25" s="539" t="s">
        <v>1113</v>
      </c>
      <c r="S25" s="540">
        <v>96004</v>
      </c>
      <c r="T25" s="539"/>
      <c r="U25" s="540">
        <v>52240</v>
      </c>
      <c r="V25" s="540">
        <v>102236</v>
      </c>
      <c r="W25" s="539" t="s">
        <v>1195</v>
      </c>
      <c r="X25" s="766"/>
    </row>
    <row r="26" spans="1:24" s="234" customFormat="1" ht="9.75" customHeight="1" x14ac:dyDescent="0.2">
      <c r="B26" s="904">
        <f>(B25/77.67)*10</f>
        <v>195159.26355092056</v>
      </c>
      <c r="C26" s="904">
        <f>(C25/77.67)*10</f>
        <v>207828.50521436849</v>
      </c>
      <c r="D26" s="904">
        <f>(D25/77.67)*10</f>
        <v>720.99909875112655</v>
      </c>
      <c r="E26" s="904">
        <f>(E25/77.67)*10</f>
        <v>208549.50431311963</v>
      </c>
      <c r="F26" s="904">
        <f>(F25/77.67)*10</f>
        <v>151915.02510621861</v>
      </c>
      <c r="G26" s="904"/>
      <c r="H26" s="904">
        <f>(H25/77.67)*10</f>
        <v>43244.36719454101</v>
      </c>
      <c r="I26" s="904">
        <f>(I25/77.67)*10</f>
        <v>56634.607956740059</v>
      </c>
      <c r="J26" s="904"/>
      <c r="K26" s="904">
        <f>(K25/77.67)*10</f>
        <v>56375.048281189651</v>
      </c>
      <c r="L26" s="905"/>
      <c r="M26" s="905"/>
      <c r="N26" s="905"/>
      <c r="O26" s="905"/>
      <c r="P26" s="905"/>
      <c r="Q26" s="905"/>
      <c r="R26" s="905"/>
      <c r="S26" s="904">
        <f>S25/77.67</f>
        <v>1236.0499549375563</v>
      </c>
      <c r="T26" s="905"/>
      <c r="U26" s="905"/>
      <c r="V26" s="904">
        <f>V25/77.67</f>
        <v>1316.2868546414318</v>
      </c>
      <c r="W26" s="905"/>
      <c r="X26" s="768"/>
    </row>
    <row r="27" spans="1:24" s="330" customFormat="1" ht="9.75" customHeight="1" x14ac:dyDescent="0.2">
      <c r="A27" s="908" t="s">
        <v>1150</v>
      </c>
      <c r="B27" s="540">
        <v>1732864</v>
      </c>
      <c r="C27" s="540">
        <v>1832675</v>
      </c>
      <c r="D27" s="540">
        <v>583</v>
      </c>
      <c r="E27" s="540">
        <v>1833258</v>
      </c>
      <c r="F27" s="540">
        <v>1300034</v>
      </c>
      <c r="G27" s="276">
        <f>(F27/B27)*100</f>
        <v>75.022275262224852</v>
      </c>
      <c r="H27" s="540">
        <v>432830</v>
      </c>
      <c r="I27" s="540">
        <v>533224</v>
      </c>
      <c r="J27" s="276">
        <f>(I27/B27)*100</f>
        <v>30.771254985965431</v>
      </c>
      <c r="K27" s="540">
        <v>513839</v>
      </c>
      <c r="L27" s="276">
        <f>(K27/B27)*100</f>
        <v>29.652586700398874</v>
      </c>
      <c r="M27" s="540">
        <v>883539</v>
      </c>
      <c r="N27" s="540">
        <v>934430</v>
      </c>
      <c r="O27" s="276">
        <v>14.32</v>
      </c>
      <c r="P27" s="540">
        <v>7.11</v>
      </c>
      <c r="Q27" s="901">
        <f>(B27/M27)*100</f>
        <v>196.12761858842677</v>
      </c>
      <c r="R27" s="540">
        <v>15.99</v>
      </c>
      <c r="S27" s="540">
        <v>108378</v>
      </c>
      <c r="T27" s="540"/>
      <c r="U27" s="540">
        <v>55259</v>
      </c>
      <c r="V27" s="540">
        <v>114621</v>
      </c>
      <c r="W27" s="540">
        <v>58442</v>
      </c>
      <c r="X27" s="766"/>
    </row>
    <row r="28" spans="1:24" s="234" customFormat="1" ht="9.75" customHeight="1" x14ac:dyDescent="0.2">
      <c r="B28" s="904">
        <f>(B27/78.2658)*10</f>
        <v>221407.56243467773</v>
      </c>
      <c r="C28" s="904">
        <f>(C27/78.2658)*10</f>
        <v>234160.38678452146</v>
      </c>
      <c r="D28" s="904">
        <f>(D27/78.2658)*10</f>
        <v>74.489751590094272</v>
      </c>
      <c r="E28" s="904">
        <f>(E27/78.2658)*10</f>
        <v>234234.87653611155</v>
      </c>
      <c r="F28" s="904">
        <f>(F27/78.2658)*10</f>
        <v>166104.99094112628</v>
      </c>
      <c r="G28" s="904"/>
      <c r="H28" s="904">
        <f>(H27/78.2658)*10</f>
        <v>55302.571493551455</v>
      </c>
      <c r="I28" s="904">
        <f>(I27/78.2658)*10</f>
        <v>68129.885594985302</v>
      </c>
      <c r="J28" s="904"/>
      <c r="K28" s="904">
        <f>(K27/78.2658)*10</f>
        <v>65653.06941218258</v>
      </c>
      <c r="L28" s="905"/>
      <c r="M28" s="905"/>
      <c r="N28" s="905"/>
      <c r="O28" s="905"/>
      <c r="P28" s="905"/>
      <c r="Q28" s="905"/>
      <c r="R28" s="905"/>
      <c r="S28" s="904">
        <f>(S27/78.2658)</f>
        <v>1384.742761206044</v>
      </c>
      <c r="T28" s="905"/>
      <c r="U28" s="905"/>
      <c r="V28" s="904">
        <f>(V27/78.2658)</f>
        <v>1464.5094025743044</v>
      </c>
      <c r="W28" s="905"/>
      <c r="X28" s="768"/>
    </row>
    <row r="29" spans="1:24" s="330" customFormat="1" ht="9.75" customHeight="1" x14ac:dyDescent="0.2">
      <c r="A29" s="304" t="s">
        <v>1174</v>
      </c>
      <c r="B29" s="540">
        <v>1975817</v>
      </c>
      <c r="C29" s="540">
        <v>2060718</v>
      </c>
      <c r="D29" s="540">
        <v>353</v>
      </c>
      <c r="E29" s="540">
        <v>2061069</v>
      </c>
      <c r="F29" s="540">
        <v>1475356</v>
      </c>
      <c r="G29" s="276">
        <f>(F29/B29)*100</f>
        <v>74.670680533672908</v>
      </c>
      <c r="H29" s="540">
        <v>500460</v>
      </c>
      <c r="I29" s="540">
        <v>585714</v>
      </c>
      <c r="J29" s="276">
        <f>(I29/B29)*100</f>
        <v>29.644142144743164</v>
      </c>
      <c r="K29" s="540">
        <v>602830</v>
      </c>
      <c r="L29" s="276">
        <f>(K29/B29)*100</f>
        <v>30.510416703571231</v>
      </c>
      <c r="M29" s="540">
        <v>947899</v>
      </c>
      <c r="N29" s="540">
        <v>988630</v>
      </c>
      <c r="O29" s="540">
        <v>14.02</v>
      </c>
      <c r="P29" s="540">
        <v>7.28</v>
      </c>
      <c r="Q29" s="901">
        <f>(B29/M29)*100</f>
        <v>208.44172216660212</v>
      </c>
      <c r="R29" s="276">
        <v>16.175000000000001</v>
      </c>
      <c r="S29" s="540">
        <v>122152</v>
      </c>
      <c r="T29" s="540"/>
      <c r="U29" s="277">
        <f>M29/R29</f>
        <v>58602.720247295205</v>
      </c>
      <c r="V29" s="277">
        <f>C29/R29</f>
        <v>127401.42194744977</v>
      </c>
      <c r="W29" s="277">
        <f>N29/R29</f>
        <v>61120.865533230288</v>
      </c>
      <c r="X29" s="766"/>
    </row>
    <row r="30" spans="1:24" s="234" customFormat="1" ht="9.75" customHeight="1" x14ac:dyDescent="0.2">
      <c r="B30" s="904">
        <f>(B29/79.119175)*10</f>
        <v>249726.69393986985</v>
      </c>
      <c r="C30" s="904">
        <f>(C29/79.119175)*10</f>
        <v>260457.46811692615</v>
      </c>
      <c r="D30" s="904">
        <f>(D29/79.119175)*10</f>
        <v>44.616238731002944</v>
      </c>
      <c r="E30" s="904">
        <f>(E29/79.119175)*10</f>
        <v>260501.83157243489</v>
      </c>
      <c r="F30" s="904">
        <f>(F29/79.119175)*10</f>
        <v>186472.62183914328</v>
      </c>
      <c r="G30" s="904"/>
      <c r="H30" s="904">
        <f>(H29/79.119175)*10</f>
        <v>63253.945709115396</v>
      </c>
      <c r="I30" s="904">
        <f>(I29/79.119175)*10</f>
        <v>74029.336124902722</v>
      </c>
      <c r="J30" s="904"/>
      <c r="K30" s="904">
        <f>(K29/79.119175)*10</f>
        <v>76192.654941106244</v>
      </c>
      <c r="L30" s="905"/>
      <c r="M30" s="905"/>
      <c r="N30" s="905"/>
      <c r="O30" s="905"/>
      <c r="P30" s="905"/>
      <c r="Q30" s="905"/>
      <c r="R30" s="905"/>
      <c r="S30" s="904">
        <f>(S29/79.119175)</f>
        <v>1543.8988083482923</v>
      </c>
      <c r="T30" s="905"/>
      <c r="U30" s="905"/>
      <c r="V30" s="904">
        <f>(V29/79.119175)</f>
        <v>1610.2470980953703</v>
      </c>
      <c r="W30" s="905"/>
      <c r="X30" s="768"/>
    </row>
    <row r="31" spans="1:24" s="330" customFormat="1" ht="9.75" customHeight="1" x14ac:dyDescent="0.2">
      <c r="A31" s="304" t="s">
        <v>1296</v>
      </c>
      <c r="B31" s="540">
        <v>2250481</v>
      </c>
      <c r="C31" s="540">
        <v>2353109</v>
      </c>
      <c r="D31" s="540">
        <v>495</v>
      </c>
      <c r="E31" s="540">
        <v>2353603</v>
      </c>
      <c r="F31" s="540">
        <v>1736587</v>
      </c>
      <c r="G31" s="276">
        <f>(F31/B31)*100</f>
        <v>77.165148250529555</v>
      </c>
      <c r="H31" s="540">
        <v>513892</v>
      </c>
      <c r="I31" s="540">
        <v>617016</v>
      </c>
      <c r="J31" s="276">
        <f>(I31/B31)*100</f>
        <v>27.41707217257111</v>
      </c>
      <c r="K31" s="540">
        <v>702936</v>
      </c>
      <c r="L31" s="276">
        <f>(K31/B31)*100</f>
        <v>31.234922667643051</v>
      </c>
      <c r="M31" s="540">
        <v>1022438</v>
      </c>
      <c r="N31" s="540">
        <v>1069064</v>
      </c>
      <c r="O31" s="276">
        <v>13.9</v>
      </c>
      <c r="P31" s="540">
        <v>7.86</v>
      </c>
      <c r="Q31" s="901">
        <f>(B31/M31)*100</f>
        <v>220.10928780033606</v>
      </c>
      <c r="R31" s="276">
        <v>16.364999999999998</v>
      </c>
      <c r="S31" s="277">
        <f>B31/R31</f>
        <v>137517.93461655974</v>
      </c>
      <c r="T31" s="540"/>
      <c r="U31" s="277">
        <f>M31/R31</f>
        <v>62477.115795905906</v>
      </c>
      <c r="V31" s="540">
        <f>ROUND((C31/R31),0)</f>
        <v>143789</v>
      </c>
      <c r="W31" s="277">
        <f>N31/R31</f>
        <v>65326.245035135966</v>
      </c>
      <c r="X31" s="766"/>
    </row>
    <row r="32" spans="1:24" s="234" customFormat="1" ht="9.75" customHeight="1" x14ac:dyDescent="0.2">
      <c r="B32" s="904">
        <f>(B31/82.100874)*10</f>
        <v>274111.69825061789</v>
      </c>
      <c r="C32" s="904">
        <f>(C31/82.100874)*10</f>
        <v>286611.93058675597</v>
      </c>
      <c r="D32" s="904">
        <f>(D31/82.100874)*10</f>
        <v>60.291684592785217</v>
      </c>
      <c r="E32" s="904">
        <f>(E31/82.100874)*10</f>
        <v>286672.10046996572</v>
      </c>
      <c r="F32" s="904">
        <f>(F31/82.100874)*10</f>
        <v>211518.69832713349</v>
      </c>
      <c r="G32" s="904"/>
      <c r="H32" s="904">
        <f>(H31/82.100874)*10</f>
        <v>62592.756320718334</v>
      </c>
      <c r="I32" s="904">
        <f>(I31/82.100874)*10</f>
        <v>75153.40214283223</v>
      </c>
      <c r="J32" s="904"/>
      <c r="K32" s="904">
        <f>(K31/82.100874)*10</f>
        <v>85618.576971543574</v>
      </c>
      <c r="L32" s="905"/>
      <c r="M32" s="905"/>
      <c r="N32" s="905"/>
      <c r="O32" s="905"/>
      <c r="P32" s="905"/>
      <c r="Q32" s="905"/>
      <c r="R32" s="905"/>
      <c r="S32" s="904">
        <f>(S31/82.100874)</f>
        <v>1674.9874625763391</v>
      </c>
      <c r="T32" s="905"/>
      <c r="U32" s="905"/>
      <c r="V32" s="904">
        <f>(V31/82.100874)</f>
        <v>1751.369906244847</v>
      </c>
      <c r="W32" s="905"/>
      <c r="X32" s="768"/>
    </row>
    <row r="33" spans="1:24" s="330" customFormat="1" ht="9.75" customHeight="1" x14ac:dyDescent="0.2">
      <c r="A33" s="372" t="s">
        <v>1404</v>
      </c>
      <c r="B33" s="540">
        <v>2542484</v>
      </c>
      <c r="C33" s="540">
        <v>2656094</v>
      </c>
      <c r="D33" s="540">
        <v>215</v>
      </c>
      <c r="E33" s="540">
        <v>2656307</v>
      </c>
      <c r="F33" s="540">
        <v>1906266</v>
      </c>
      <c r="G33" s="276">
        <f>(F33/B33)*100</f>
        <v>74.976519026275085</v>
      </c>
      <c r="H33" s="540">
        <v>636217</v>
      </c>
      <c r="I33" s="540">
        <v>750041</v>
      </c>
      <c r="J33" s="276">
        <f>(I33/B33)*100</f>
        <v>29.500323305869379</v>
      </c>
      <c r="K33" s="540">
        <v>802670</v>
      </c>
      <c r="L33" s="276">
        <f>(K33/B33)*100</f>
        <v>31.570306833789317</v>
      </c>
      <c r="M33" s="540">
        <v>1105794</v>
      </c>
      <c r="N33" s="540">
        <v>1155206</v>
      </c>
      <c r="O33" s="540">
        <v>12.98</v>
      </c>
      <c r="P33" s="540">
        <v>8.15</v>
      </c>
      <c r="Q33" s="901">
        <f>(B33/M33)*100</f>
        <v>229.92383753212624</v>
      </c>
      <c r="R33" s="276">
        <v>16.555</v>
      </c>
      <c r="S33" s="277">
        <f>B33/R33</f>
        <v>153578.01268498943</v>
      </c>
      <c r="T33" s="540"/>
      <c r="U33" s="277">
        <f>M33/R33</f>
        <v>66795.167623074594</v>
      </c>
      <c r="V33" s="540">
        <f>ROUND((C33/R33),0)</f>
        <v>160441</v>
      </c>
      <c r="W33" s="277">
        <f>N33/R33</f>
        <v>69779.885231048029</v>
      </c>
      <c r="X33" s="766"/>
    </row>
    <row r="34" spans="1:24" s="234" customFormat="1" ht="9.75" customHeight="1" x14ac:dyDescent="0.2">
      <c r="B34" s="904">
        <f>(B33/84.03)*10</f>
        <v>302568.60645007738</v>
      </c>
      <c r="C34" s="904">
        <f>(C33/84.03)*10</f>
        <v>316088.77781744616</v>
      </c>
      <c r="D34" s="904">
        <f>(D33/84.03)*10</f>
        <v>25.586100202308696</v>
      </c>
      <c r="E34" s="904">
        <f>(E33/84.03)*10</f>
        <v>316114.12590741401</v>
      </c>
      <c r="F34" s="904">
        <f>(F33/84.03)*10</f>
        <v>226855.40878257767</v>
      </c>
      <c r="G34" s="904"/>
      <c r="H34" s="904">
        <f>(H33/84.03)*10</f>
        <v>75713.078662382482</v>
      </c>
      <c r="I34" s="904">
        <f>(I33/84.03)*10</f>
        <v>89258.717124836374</v>
      </c>
      <c r="J34" s="904"/>
      <c r="K34" s="904">
        <f>(K33/84.03)*10</f>
        <v>95521.837439009862</v>
      </c>
      <c r="L34" s="905"/>
      <c r="M34" s="905"/>
      <c r="N34" s="905"/>
      <c r="O34" s="905"/>
      <c r="P34" s="905"/>
      <c r="Q34" s="905"/>
      <c r="R34" s="905"/>
      <c r="S34" s="904">
        <f>(S33/84.03)</f>
        <v>1827.6569401998029</v>
      </c>
      <c r="T34" s="905"/>
      <c r="U34" s="905"/>
      <c r="V34" s="904">
        <f>(V33/84.03)</f>
        <v>1909.3300011900512</v>
      </c>
      <c r="W34" s="905"/>
      <c r="X34" s="768"/>
    </row>
    <row r="35" spans="1:24" s="330" customFormat="1" ht="9.75" customHeight="1" x14ac:dyDescent="0.2">
      <c r="A35" s="304" t="s">
        <v>1484</v>
      </c>
      <c r="B35" s="540">
        <v>2739332</v>
      </c>
      <c r="C35" s="540">
        <v>2873230</v>
      </c>
      <c r="D35" s="540">
        <v>205</v>
      </c>
      <c r="E35" s="540">
        <v>2873435</v>
      </c>
      <c r="F35" s="540">
        <v>2088081</v>
      </c>
      <c r="G35" s="276">
        <f>(F35/B35)*100</f>
        <v>76.225919311715401</v>
      </c>
      <c r="H35" s="540">
        <v>651252</v>
      </c>
      <c r="I35" s="540">
        <v>785354</v>
      </c>
      <c r="J35" s="276">
        <f>(I35/B35)*100</f>
        <v>28.669544253854589</v>
      </c>
      <c r="K35" s="540">
        <v>834631</v>
      </c>
      <c r="L35" s="276">
        <f>(K35/B35)*100</f>
        <v>30.46841346722486</v>
      </c>
      <c r="M35" s="540">
        <v>1144597</v>
      </c>
      <c r="N35" s="540">
        <v>1200545</v>
      </c>
      <c r="O35" s="540">
        <v>7.74</v>
      </c>
      <c r="P35" s="540">
        <v>3.51</v>
      </c>
      <c r="Q35" s="901">
        <f>(B35/M35)*100</f>
        <v>239.32720424743383</v>
      </c>
      <c r="R35" s="276">
        <v>16.742999999999999</v>
      </c>
      <c r="S35" s="277">
        <f>B35/R35</f>
        <v>163610.58352744431</v>
      </c>
      <c r="T35" s="540"/>
      <c r="U35" s="277">
        <f>M35/R35</f>
        <v>68362.718748133557</v>
      </c>
      <c r="V35" s="540">
        <f>ROUND((C35/R35),0)</f>
        <v>171608</v>
      </c>
      <c r="W35" s="277">
        <f>N35/R35</f>
        <v>71704.294331959638</v>
      </c>
      <c r="X35" s="766"/>
    </row>
    <row r="36" spans="1:24" s="234" customFormat="1" ht="9.75" customHeight="1" x14ac:dyDescent="0.2">
      <c r="B36" s="904">
        <f>(B35/84.78)*10</f>
        <v>323110.63930172211</v>
      </c>
      <c r="C36" s="904">
        <f>(C35/84.78)*10</f>
        <v>338904.22269403166</v>
      </c>
      <c r="D36" s="904">
        <f>(D35/84.78)*10</f>
        <v>24.180231186600611</v>
      </c>
      <c r="E36" s="904">
        <f>(E35/84.78)*10</f>
        <v>338928.40292521816</v>
      </c>
      <c r="F36" s="904">
        <f>(F35/84.78)*10</f>
        <v>246294.0552016985</v>
      </c>
      <c r="G36" s="904"/>
      <c r="H36" s="904">
        <f>(H35/84.78)*10</f>
        <v>76816.702052370834</v>
      </c>
      <c r="I36" s="904">
        <f>(I35/84.78)*10</f>
        <v>92634.347723519691</v>
      </c>
      <c r="J36" s="904"/>
      <c r="K36" s="904">
        <f>(K35/84.78)*10</f>
        <v>98446.685539042228</v>
      </c>
      <c r="L36" s="905"/>
      <c r="M36" s="905"/>
      <c r="N36" s="905"/>
      <c r="O36" s="905"/>
      <c r="P36" s="905"/>
      <c r="Q36" s="905"/>
      <c r="R36" s="905"/>
      <c r="S36" s="904">
        <f>(S35/84.78)</f>
        <v>1929.8252362284065</v>
      </c>
      <c r="T36" s="905"/>
      <c r="U36" s="905"/>
      <c r="V36" s="904">
        <f>(V35/84.78)</f>
        <v>2024.1566407171501</v>
      </c>
      <c r="W36" s="905"/>
      <c r="X36" s="768"/>
    </row>
    <row r="37" spans="1:24" s="330" customFormat="1" ht="11.25" customHeight="1" x14ac:dyDescent="0.2">
      <c r="A37" s="304" t="s">
        <v>1823</v>
      </c>
      <c r="B37" s="540">
        <v>3011065</v>
      </c>
      <c r="C37" s="540">
        <v>3197811</v>
      </c>
      <c r="D37" s="540">
        <v>411</v>
      </c>
      <c r="E37" s="540">
        <v>3198222</v>
      </c>
      <c r="F37" s="540">
        <v>2283288</v>
      </c>
      <c r="G37" s="276">
        <f>(F37/B37)*100</f>
        <v>75.829914000528049</v>
      </c>
      <c r="H37" s="540">
        <v>727777</v>
      </c>
      <c r="I37" s="540">
        <v>914934</v>
      </c>
      <c r="J37" s="276">
        <f>(I37/B37)*100</f>
        <v>30.38572730910824</v>
      </c>
      <c r="K37" s="540">
        <v>901003</v>
      </c>
      <c r="L37" s="276">
        <f>(K37/B37)*100</f>
        <v>29.923067087558721</v>
      </c>
      <c r="M37" s="540">
        <v>1207246</v>
      </c>
      <c r="N37" s="540">
        <v>1282119</v>
      </c>
      <c r="O37" s="540">
        <v>9.92</v>
      </c>
      <c r="P37" s="540">
        <v>5.47</v>
      </c>
      <c r="Q37" s="901">
        <f>(B37/M37)*100</f>
        <v>249.41602622829149</v>
      </c>
      <c r="R37" s="276">
        <v>16.931000000000001</v>
      </c>
      <c r="S37" s="277">
        <f>B37/R37</f>
        <v>177843.30517984761</v>
      </c>
      <c r="T37" s="540"/>
      <c r="U37" s="277">
        <f>M37/R37</f>
        <v>71303.880455968334</v>
      </c>
      <c r="V37" s="540">
        <f>ROUND((C37/R37),0)</f>
        <v>188873</v>
      </c>
      <c r="W37" s="277">
        <f>N37/R37</f>
        <v>75726.123678459626</v>
      </c>
      <c r="X37" s="766"/>
    </row>
    <row r="38" spans="1:24" s="234" customFormat="1" ht="9.75" customHeight="1" x14ac:dyDescent="0.2">
      <c r="B38" s="904">
        <f>(B37/84.81)*10</f>
        <v>355036.55229336163</v>
      </c>
      <c r="C38" s="904">
        <f>(C37/84.81)*10</f>
        <v>377055.88963565615</v>
      </c>
      <c r="D38" s="904">
        <f>(D37/84.81)*10</f>
        <v>48.461266360099046</v>
      </c>
      <c r="E38" s="904">
        <f>(E37/84.81)*10</f>
        <v>377104.35090201622</v>
      </c>
      <c r="F38" s="904">
        <f>(F37/84.81)*10</f>
        <v>269223.91227449593</v>
      </c>
      <c r="G38" s="904"/>
      <c r="H38" s="904">
        <f>(H37/84.81)*10</f>
        <v>85812.640018865699</v>
      </c>
      <c r="I38" s="904">
        <f>(I37/84.81)*10</f>
        <v>107880.43862752034</v>
      </c>
      <c r="J38" s="904"/>
      <c r="K38" s="904">
        <f>(K37/84.81)*10</f>
        <v>106237.82572809811</v>
      </c>
      <c r="L38" s="905"/>
      <c r="M38" s="905"/>
      <c r="N38" s="905"/>
      <c r="O38" s="905"/>
      <c r="P38" s="905"/>
      <c r="Q38" s="905"/>
      <c r="R38" s="905"/>
      <c r="S38" s="904">
        <f>(S37/84.81)</f>
        <v>2096.9615043019407</v>
      </c>
      <c r="T38" s="905"/>
      <c r="U38" s="905"/>
      <c r="V38" s="904">
        <f>(V37/84.81)</f>
        <v>2227.0133239004836</v>
      </c>
      <c r="W38" s="905"/>
      <c r="X38" s="768"/>
    </row>
    <row r="39" spans="1:24" s="330" customFormat="1" ht="10.5" customHeight="1" x14ac:dyDescent="0.2">
      <c r="A39" s="336" t="s">
        <v>1923</v>
      </c>
      <c r="B39" s="541"/>
      <c r="C39" s="541"/>
      <c r="D39" s="541"/>
      <c r="E39" s="541"/>
      <c r="F39" s="541"/>
      <c r="G39" s="541"/>
      <c r="H39" s="541"/>
      <c r="I39" s="541"/>
      <c r="J39" s="541"/>
      <c r="K39" s="541"/>
      <c r="L39" s="539"/>
      <c r="M39" s="539"/>
      <c r="N39" s="539"/>
      <c r="O39" s="539"/>
      <c r="P39" s="539"/>
      <c r="Q39" s="539"/>
      <c r="R39" s="539"/>
      <c r="S39" s="541"/>
      <c r="T39" s="539"/>
      <c r="U39" s="539"/>
      <c r="V39" s="541"/>
      <c r="W39" s="539"/>
      <c r="X39" s="766"/>
    </row>
    <row r="40" spans="1:24" s="382" customFormat="1" ht="9.75" customHeight="1" x14ac:dyDescent="0.2">
      <c r="A40" s="493" t="s">
        <v>1150</v>
      </c>
      <c r="B40" s="537">
        <v>2075821</v>
      </c>
      <c r="C40" s="537">
        <v>2173075</v>
      </c>
      <c r="D40" s="537">
        <v>3249</v>
      </c>
      <c r="E40" s="537">
        <v>2176324</v>
      </c>
      <c r="F40" s="537">
        <v>1509739</v>
      </c>
      <c r="G40" s="237">
        <f>(F40/B40)*100</f>
        <v>72.729729586510601</v>
      </c>
      <c r="H40" s="537">
        <v>566082</v>
      </c>
      <c r="I40" s="537">
        <v>666585</v>
      </c>
      <c r="J40" s="237">
        <f>(I40/B40)*100</f>
        <v>32.111872844527539</v>
      </c>
      <c r="K40" s="537">
        <v>627723</v>
      </c>
      <c r="L40" s="237">
        <f>(K40/B40)*100</f>
        <v>30.239746105275938</v>
      </c>
      <c r="M40" s="905" t="s">
        <v>1924</v>
      </c>
      <c r="N40" s="905" t="s">
        <v>1925</v>
      </c>
      <c r="O40" s="905" t="s">
        <v>288</v>
      </c>
      <c r="P40" s="905" t="s">
        <v>288</v>
      </c>
      <c r="Q40" s="356">
        <f>(B40/M40)*100</f>
        <v>100</v>
      </c>
      <c r="R40" s="905" t="s">
        <v>1926</v>
      </c>
      <c r="S40" s="537">
        <v>129828</v>
      </c>
      <c r="T40" s="905"/>
      <c r="U40" s="356">
        <f>M40/R40</f>
        <v>129819.94996873045</v>
      </c>
      <c r="V40" s="537">
        <v>135911</v>
      </c>
      <c r="W40" s="356">
        <f>N40/R40</f>
        <v>135902.12632895561</v>
      </c>
      <c r="X40" s="909"/>
    </row>
    <row r="41" spans="1:24" s="911" customFormat="1" ht="9.75" customHeight="1" x14ac:dyDescent="0.2">
      <c r="A41" s="304"/>
      <c r="B41" s="541">
        <f>(B40/78.27)*10</f>
        <v>265212.85294493422</v>
      </c>
      <c r="C41" s="541">
        <f>(C40/78.27)*10</f>
        <v>277638.30330905842</v>
      </c>
      <c r="D41" s="541">
        <f>(D40/78.27)*10</f>
        <v>415.10157148332695</v>
      </c>
      <c r="E41" s="541">
        <f>(E40/78.27)*10</f>
        <v>278053.40488054173</v>
      </c>
      <c r="F41" s="541">
        <f>(F40/78.27)*10</f>
        <v>192888.59077552066</v>
      </c>
      <c r="G41" s="541"/>
      <c r="H41" s="541">
        <f>(H40/78.27)*10</f>
        <v>72324.262169413574</v>
      </c>
      <c r="I41" s="541">
        <f>(I40/78.27)*10</f>
        <v>85164.814105021083</v>
      </c>
      <c r="J41" s="541"/>
      <c r="K41" s="541">
        <f>(K40/79.1)*10</f>
        <v>79358.154235145397</v>
      </c>
      <c r="L41" s="539"/>
      <c r="M41" s="539"/>
      <c r="N41" s="539"/>
      <c r="O41" s="539"/>
      <c r="P41" s="539"/>
      <c r="Q41" s="539"/>
      <c r="R41" s="539"/>
      <c r="S41" s="541">
        <f>S40/78.27</f>
        <v>1658.7198160214643</v>
      </c>
      <c r="T41" s="539"/>
      <c r="U41" s="539"/>
      <c r="V41" s="541">
        <f>V40/78.27</f>
        <v>1736.437971125591</v>
      </c>
      <c r="W41" s="539"/>
      <c r="X41" s="910"/>
    </row>
    <row r="42" spans="1:24" s="382" customFormat="1" ht="9.75" customHeight="1" x14ac:dyDescent="0.2">
      <c r="A42" s="234" t="s">
        <v>1174</v>
      </c>
      <c r="B42" s="537">
        <v>2324307</v>
      </c>
      <c r="C42" s="537">
        <v>2404557</v>
      </c>
      <c r="D42" s="537">
        <v>4416</v>
      </c>
      <c r="E42" s="537">
        <v>2408974</v>
      </c>
      <c r="F42" s="537">
        <v>1695216</v>
      </c>
      <c r="G42" s="237">
        <f>(F42/B42)*100</f>
        <v>72.934255242530355</v>
      </c>
      <c r="H42" s="537">
        <v>629091</v>
      </c>
      <c r="I42" s="537">
        <v>713758</v>
      </c>
      <c r="J42" s="237">
        <f>(I42/B42)*100</f>
        <v>30.70842190812143</v>
      </c>
      <c r="K42" s="537">
        <v>719300</v>
      </c>
      <c r="L42" s="237">
        <f>(K42/B42)*100</f>
        <v>30.946858569027242</v>
      </c>
      <c r="M42" s="905" t="s">
        <v>1927</v>
      </c>
      <c r="N42" s="905" t="s">
        <v>1928</v>
      </c>
      <c r="O42" s="905" t="s">
        <v>1929</v>
      </c>
      <c r="P42" s="905" t="s">
        <v>1930</v>
      </c>
      <c r="Q42" s="356">
        <f>(B42/M42)*100</f>
        <v>105.04758379534154</v>
      </c>
      <c r="R42" s="905" t="s">
        <v>1931</v>
      </c>
      <c r="S42" s="537">
        <v>143698</v>
      </c>
      <c r="T42" s="905"/>
      <c r="U42" s="356">
        <f>M42/R42</f>
        <v>136750.49443757726</v>
      </c>
      <c r="V42" s="537">
        <v>148659</v>
      </c>
      <c r="W42" s="356">
        <f>N42/R42</f>
        <v>141472.00247218789</v>
      </c>
      <c r="X42" s="909"/>
    </row>
    <row r="43" spans="1:24" s="911" customFormat="1" ht="9.75" customHeight="1" x14ac:dyDescent="0.2">
      <c r="A43" s="304"/>
      <c r="B43" s="541">
        <f>(B42/79.12)*10</f>
        <v>293769.84327603638</v>
      </c>
      <c r="C43" s="541">
        <f>(C42/79.12)*10</f>
        <v>303912.66430738114</v>
      </c>
      <c r="D43" s="541">
        <f>(D42/79.12)*10</f>
        <v>558.1395348837209</v>
      </c>
      <c r="E43" s="541">
        <f>(E42/79.12)*10</f>
        <v>304470.93023255811</v>
      </c>
      <c r="F43" s="541">
        <f>(F42/79.12)*10</f>
        <v>214258.84732052579</v>
      </c>
      <c r="G43" s="541"/>
      <c r="H43" s="541">
        <f>(H42/79.12)*10</f>
        <v>79510.995955510618</v>
      </c>
      <c r="I43" s="541">
        <f>(I42/79.12)*10</f>
        <v>90212.082912032347</v>
      </c>
      <c r="J43" s="541"/>
      <c r="K43" s="541">
        <f>(K42/79.12)*10</f>
        <v>90912.537917087961</v>
      </c>
      <c r="L43" s="539"/>
      <c r="M43" s="539"/>
      <c r="N43" s="539"/>
      <c r="O43" s="539"/>
      <c r="P43" s="539"/>
      <c r="Q43" s="539"/>
      <c r="R43" s="539"/>
      <c r="S43" s="541">
        <f>S42/79.12</f>
        <v>1816.2032355915064</v>
      </c>
      <c r="T43" s="539"/>
      <c r="U43" s="539"/>
      <c r="V43" s="541">
        <f>V42/79.12</f>
        <v>1878.9054600606673</v>
      </c>
      <c r="W43" s="539"/>
      <c r="X43" s="910"/>
    </row>
    <row r="44" spans="1:24" s="382" customFormat="1" ht="9.75" customHeight="1" x14ac:dyDescent="0.2">
      <c r="A44" s="234" t="s">
        <v>1296</v>
      </c>
      <c r="B44" s="537">
        <v>2639248</v>
      </c>
      <c r="C44" s="537">
        <v>2744791</v>
      </c>
      <c r="D44" s="537">
        <v>4213</v>
      </c>
      <c r="E44" s="537">
        <v>2749004</v>
      </c>
      <c r="F44" s="537">
        <v>1941136</v>
      </c>
      <c r="G44" s="237">
        <f>(F44/B44)*100</f>
        <v>73.548829060399029</v>
      </c>
      <c r="H44" s="537">
        <v>698112</v>
      </c>
      <c r="I44" s="537">
        <v>807868</v>
      </c>
      <c r="J44" s="237">
        <f>(I44/B44)*100</f>
        <v>30.609779755445494</v>
      </c>
      <c r="K44" s="537">
        <v>839877</v>
      </c>
      <c r="L44" s="237">
        <f>(K44/B44)*100</f>
        <v>31.822587343061358</v>
      </c>
      <c r="M44" s="905" t="s">
        <v>1932</v>
      </c>
      <c r="N44" s="905" t="s">
        <v>1933</v>
      </c>
      <c r="O44" s="905" t="s">
        <v>1934</v>
      </c>
      <c r="P44" s="905" t="s">
        <v>1935</v>
      </c>
      <c r="Q44" s="356">
        <f>(B44/M44)*100</f>
        <v>111.14616769155225</v>
      </c>
      <c r="R44" s="905" t="s">
        <v>1936</v>
      </c>
      <c r="S44" s="537">
        <v>161274</v>
      </c>
      <c r="T44" s="905"/>
      <c r="U44" s="356">
        <f>M44/R44</f>
        <v>145056.4447159438</v>
      </c>
      <c r="V44" s="537">
        <v>167723</v>
      </c>
      <c r="W44" s="356">
        <f>N44/R44</f>
        <v>150857.23885155772</v>
      </c>
      <c r="X44" s="909"/>
    </row>
    <row r="45" spans="1:24" s="911" customFormat="1" ht="9.75" customHeight="1" x14ac:dyDescent="0.2">
      <c r="A45" s="304"/>
      <c r="B45" s="541">
        <f>(B44/82.1)*10</f>
        <v>321467.47868453106</v>
      </c>
      <c r="C45" s="541">
        <f>(C44/82.1)*10</f>
        <v>334322.89890377596</v>
      </c>
      <c r="D45" s="541">
        <f>(D44/82.1)*10</f>
        <v>513.15468940316691</v>
      </c>
      <c r="E45" s="541">
        <f>(E44/82.1)*10</f>
        <v>334836.05359317909</v>
      </c>
      <c r="F45" s="541">
        <f>(F44/82.1)*10</f>
        <v>236435.56638246041</v>
      </c>
      <c r="G45" s="541"/>
      <c r="H45" s="541">
        <f>(H44/82.1)*10</f>
        <v>85031.912302070647</v>
      </c>
      <c r="I45" s="541">
        <f>(I44/82.1)*10</f>
        <v>98400.487210718638</v>
      </c>
      <c r="J45" s="541"/>
      <c r="K45" s="541">
        <f>(K44/82.1)*10</f>
        <v>102299.26918392206</v>
      </c>
      <c r="L45" s="539"/>
      <c r="M45" s="539"/>
      <c r="N45" s="539"/>
      <c r="O45" s="539"/>
      <c r="P45" s="539"/>
      <c r="Q45" s="539"/>
      <c r="R45" s="539"/>
      <c r="S45" s="541">
        <f>S44/82.1</f>
        <v>1964.3605359317905</v>
      </c>
      <c r="T45" s="539"/>
      <c r="U45" s="539"/>
      <c r="V45" s="541">
        <f>V44/82.1</f>
        <v>2042.9110840438491</v>
      </c>
      <c r="W45" s="539"/>
      <c r="X45" s="910"/>
    </row>
    <row r="46" spans="1:24" s="382" customFormat="1" ht="9.75" customHeight="1" x14ac:dyDescent="0.2">
      <c r="A46" s="358" t="s">
        <v>1404</v>
      </c>
      <c r="B46" s="537">
        <v>2951429</v>
      </c>
      <c r="C46" s="537">
        <v>3072324</v>
      </c>
      <c r="D46" s="537">
        <v>4655</v>
      </c>
      <c r="E46" s="537">
        <v>3076979</v>
      </c>
      <c r="F46" s="537">
        <v>2157955</v>
      </c>
      <c r="G46" s="237">
        <f>(F46/B46)*100</f>
        <v>73.115599257173386</v>
      </c>
      <c r="H46" s="537">
        <v>793474</v>
      </c>
      <c r="I46" s="537">
        <v>919023</v>
      </c>
      <c r="J46" s="237">
        <f>(I46/B46)*100</f>
        <v>31.138238460081542</v>
      </c>
      <c r="K46" s="537">
        <v>950765</v>
      </c>
      <c r="L46" s="237">
        <f>(K46/B46)*100</f>
        <v>32.213717490747698</v>
      </c>
      <c r="M46" s="905" t="s">
        <v>1937</v>
      </c>
      <c r="N46" s="905" t="s">
        <v>1938</v>
      </c>
      <c r="O46" s="905" t="s">
        <v>1939</v>
      </c>
      <c r="P46" s="905" t="s">
        <v>1940</v>
      </c>
      <c r="Q46" s="356">
        <f>(B46/M46)*100</f>
        <v>115.21206712947783</v>
      </c>
      <c r="R46" s="905" t="s">
        <v>1941</v>
      </c>
      <c r="S46" s="537">
        <v>178280</v>
      </c>
      <c r="T46" s="905"/>
      <c r="U46" s="356">
        <f>M46/R46</f>
        <v>154694.20289855075</v>
      </c>
      <c r="V46" s="537">
        <v>185583</v>
      </c>
      <c r="W46" s="356">
        <f>N46/R46</f>
        <v>161030.67632850242</v>
      </c>
      <c r="X46" s="909"/>
    </row>
    <row r="47" spans="1:24" s="911" customFormat="1" ht="9.75" customHeight="1" x14ac:dyDescent="0.2">
      <c r="A47" s="304"/>
      <c r="B47" s="541">
        <f>(B46/84.03)*10</f>
        <v>351235.15411162679</v>
      </c>
      <c r="C47" s="541">
        <f>(C46/84.03)*10</f>
        <v>365622.27775794361</v>
      </c>
      <c r="D47" s="541">
        <f>(D46/84.03)*10</f>
        <v>553.96882065928833</v>
      </c>
      <c r="E47" s="541">
        <f>(E46/84.03)*10</f>
        <v>366176.24657860288</v>
      </c>
      <c r="F47" s="541">
        <f>(F46/84.03)*10</f>
        <v>256807.68773057239</v>
      </c>
      <c r="G47" s="541"/>
      <c r="H47" s="541">
        <f>(H46/84.03)*10</f>
        <v>94427.466381054386</v>
      </c>
      <c r="I47" s="541">
        <f>(I46/84.03)*10</f>
        <v>109368.43984291324</v>
      </c>
      <c r="J47" s="541"/>
      <c r="K47" s="541">
        <f>(K46/84.03)*10</f>
        <v>113145.90027371177</v>
      </c>
      <c r="L47" s="539"/>
      <c r="M47" s="539"/>
      <c r="N47" s="539"/>
      <c r="O47" s="539"/>
      <c r="P47" s="539"/>
      <c r="Q47" s="539"/>
      <c r="R47" s="539"/>
      <c r="S47" s="541">
        <f>S46/84.03</f>
        <v>2121.6232297988813</v>
      </c>
      <c r="T47" s="539"/>
      <c r="U47" s="539"/>
      <c r="V47" s="541">
        <f>V46/84.03</f>
        <v>2208.5326669046767</v>
      </c>
      <c r="W47" s="539"/>
      <c r="X47" s="910"/>
    </row>
    <row r="48" spans="1:24" s="382" customFormat="1" ht="9.75" customHeight="1" x14ac:dyDescent="0.2">
      <c r="A48" s="234" t="s">
        <v>1484</v>
      </c>
      <c r="B48" s="537">
        <v>3170469</v>
      </c>
      <c r="C48" s="537">
        <v>3301701</v>
      </c>
      <c r="D48" s="537">
        <v>6369</v>
      </c>
      <c r="E48" s="537">
        <v>3308071</v>
      </c>
      <c r="F48" s="537">
        <v>2311982</v>
      </c>
      <c r="G48" s="237">
        <f>(F48/B48)*100</f>
        <v>72.922397285701265</v>
      </c>
      <c r="H48" s="537">
        <v>858487</v>
      </c>
      <c r="I48" s="537">
        <v>996088</v>
      </c>
      <c r="J48" s="237">
        <f>(I48/B48)*100</f>
        <v>31.41768615305811</v>
      </c>
      <c r="K48" s="537">
        <v>992609</v>
      </c>
      <c r="L48" s="237">
        <f>(K48/B48)*100</f>
        <v>31.307954753697327</v>
      </c>
      <c r="M48" s="537">
        <v>2650065</v>
      </c>
      <c r="N48" s="537">
        <v>2759756</v>
      </c>
      <c r="O48" s="237">
        <v>7.42</v>
      </c>
      <c r="P48" s="537">
        <v>3.45</v>
      </c>
      <c r="Q48" s="356">
        <f>(B48/M48)*100</f>
        <v>119.63740512025176</v>
      </c>
      <c r="R48" s="537">
        <v>16.739999999999998</v>
      </c>
      <c r="S48" s="537">
        <v>189361</v>
      </c>
      <c r="T48" s="537"/>
      <c r="U48" s="356">
        <f>M48/R48</f>
        <v>158307.34767025092</v>
      </c>
      <c r="V48" s="537">
        <v>197199</v>
      </c>
      <c r="W48" s="356">
        <f>N48/R48</f>
        <v>164859.97610513741</v>
      </c>
      <c r="X48" s="909"/>
    </row>
    <row r="49" spans="1:24" s="911" customFormat="1" ht="9.75" customHeight="1" x14ac:dyDescent="0.2">
      <c r="A49" s="304"/>
      <c r="B49" s="541">
        <f>(B48/84.78)*10</f>
        <v>373964.26043878275</v>
      </c>
      <c r="C49" s="541">
        <f>(C48/84.78)*10</f>
        <v>389443.38287331921</v>
      </c>
      <c r="D49" s="541">
        <f>(D48/84.78)*10</f>
        <v>751.23849964614294</v>
      </c>
      <c r="E49" s="541">
        <f>(E48/84.78)*10</f>
        <v>390194.73932531255</v>
      </c>
      <c r="F49" s="541">
        <f>(F48/84.78)*10</f>
        <v>272703.70370370371</v>
      </c>
      <c r="G49" s="541"/>
      <c r="H49" s="541">
        <f>(H48/84.78)*10</f>
        <v>101260.55673507902</v>
      </c>
      <c r="I49" s="541">
        <f>(I48/84.78)*10</f>
        <v>117490.91766926162</v>
      </c>
      <c r="J49" s="541"/>
      <c r="K49" s="541">
        <f>(K48/84.78)*10</f>
        <v>117080.56145317292</v>
      </c>
      <c r="L49" s="539"/>
      <c r="M49" s="539"/>
      <c r="N49" s="539"/>
      <c r="O49" s="539"/>
      <c r="P49" s="539"/>
      <c r="Q49" s="539"/>
      <c r="R49" s="539"/>
      <c r="S49" s="541">
        <f>(S48/84.78)</f>
        <v>2233.5574427931115</v>
      </c>
      <c r="T49" s="539"/>
      <c r="U49" s="539"/>
      <c r="V49" s="541">
        <f>(V48/84.78)</f>
        <v>2326.0084925690021</v>
      </c>
      <c r="W49" s="539"/>
      <c r="X49" s="910"/>
    </row>
    <row r="50" spans="1:24" s="382" customFormat="1" ht="9.75" customHeight="1" x14ac:dyDescent="0.2">
      <c r="A50" s="234" t="s">
        <v>1536</v>
      </c>
      <c r="B50" s="537">
        <v>3530185</v>
      </c>
      <c r="C50" s="537">
        <v>3715997</v>
      </c>
      <c r="D50" s="537">
        <v>6654</v>
      </c>
      <c r="E50" s="537">
        <v>3722650</v>
      </c>
      <c r="F50" s="537">
        <v>2635572</v>
      </c>
      <c r="G50" s="237">
        <f>(F50/B50)*100</f>
        <v>74.658183636268348</v>
      </c>
      <c r="H50" s="537">
        <v>894613</v>
      </c>
      <c r="I50" s="537">
        <v>1087078</v>
      </c>
      <c r="J50" s="237">
        <f>(I50/B50)*100</f>
        <v>30.793796925656871</v>
      </c>
      <c r="K50" s="537">
        <v>1095019</v>
      </c>
      <c r="L50" s="237">
        <f>(K50/B50)*100</f>
        <v>31.018742643799118</v>
      </c>
      <c r="M50" s="537">
        <v>2833944</v>
      </c>
      <c r="N50" s="537">
        <v>2983109</v>
      </c>
      <c r="O50" s="537">
        <v>11.35</v>
      </c>
      <c r="P50" s="537">
        <v>6.94</v>
      </c>
      <c r="Q50" s="356">
        <f>(B50/M50)*100</f>
        <v>124.56791665608071</v>
      </c>
      <c r="R50" s="237">
        <v>16.911000000000001</v>
      </c>
      <c r="S50" s="537">
        <v>208751</v>
      </c>
      <c r="T50" s="537"/>
      <c r="U50" s="356">
        <f>M50/R50</f>
        <v>167579.91839631009</v>
      </c>
      <c r="V50" s="356">
        <v>219738</v>
      </c>
      <c r="W50" s="356">
        <f>N50/R50</f>
        <v>176400.50854473418</v>
      </c>
      <c r="X50" s="909"/>
    </row>
    <row r="51" spans="1:24" s="911" customFormat="1" ht="9.75" customHeight="1" x14ac:dyDescent="0.2">
      <c r="A51" s="304"/>
      <c r="B51" s="541">
        <f>(B50/84.81)*10</f>
        <v>416246.31529300788</v>
      </c>
      <c r="C51" s="541">
        <f t="shared" ref="C51:K55" si="0">(C50/84.81)*10</f>
        <v>438155.52411272255</v>
      </c>
      <c r="D51" s="541">
        <f t="shared" si="0"/>
        <v>784.57729041386631</v>
      </c>
      <c r="E51" s="541">
        <f t="shared" si="0"/>
        <v>438939.98349251272</v>
      </c>
      <c r="F51" s="541">
        <f t="shared" si="0"/>
        <v>310761.93845065439</v>
      </c>
      <c r="G51" s="541"/>
      <c r="H51" s="541">
        <f t="shared" si="0"/>
        <v>105484.37684235349</v>
      </c>
      <c r="I51" s="541">
        <f t="shared" si="0"/>
        <v>128178.04504185828</v>
      </c>
      <c r="J51" s="541"/>
      <c r="K51" s="541">
        <f t="shared" si="0"/>
        <v>129114.37330503479</v>
      </c>
      <c r="L51" s="539"/>
      <c r="M51" s="539"/>
      <c r="N51" s="539"/>
      <c r="O51" s="539"/>
      <c r="P51" s="539"/>
      <c r="Q51" s="539"/>
      <c r="R51" s="539"/>
      <c r="S51" s="541">
        <v>2462</v>
      </c>
      <c r="T51" s="539"/>
      <c r="U51" s="539"/>
      <c r="V51" s="541">
        <f>(V50/84.81)</f>
        <v>2590.9444640962151</v>
      </c>
      <c r="W51" s="539"/>
      <c r="X51" s="910"/>
    </row>
    <row r="52" spans="1:24" s="911" customFormat="1" ht="9.75" customHeight="1" x14ac:dyDescent="0.2">
      <c r="A52" s="234" t="s">
        <v>1817</v>
      </c>
      <c r="B52" s="537">
        <v>3971716</v>
      </c>
      <c r="C52" s="537">
        <v>4129062</v>
      </c>
      <c r="D52" s="537">
        <v>6505</v>
      </c>
      <c r="E52" s="537">
        <v>4135567</v>
      </c>
      <c r="F52" s="537">
        <v>2969875</v>
      </c>
      <c r="G52" s="237">
        <f>(F52/B52)*100</f>
        <v>74.775613362083291</v>
      </c>
      <c r="H52" s="537">
        <v>1001841</v>
      </c>
      <c r="I52" s="537">
        <v>1165692</v>
      </c>
      <c r="J52" s="237">
        <f>(I52/B52)*100</f>
        <v>29.349832666786853</v>
      </c>
      <c r="K52" s="537">
        <v>1272827</v>
      </c>
      <c r="L52" s="237">
        <f>(K52/B52)*100</f>
        <v>32.047281326257973</v>
      </c>
      <c r="M52" s="537">
        <v>3035150</v>
      </c>
      <c r="N52" s="537">
        <v>3155392</v>
      </c>
      <c r="O52" s="537">
        <v>12.51</v>
      </c>
      <c r="P52" s="237">
        <v>7.1</v>
      </c>
      <c r="Q52" s="356">
        <f>(B52/M52)*100</f>
        <v>130.85732171391859</v>
      </c>
      <c r="R52" s="237">
        <v>17.13</v>
      </c>
      <c r="S52" s="537">
        <v>231861</v>
      </c>
      <c r="T52" s="537"/>
      <c r="U52" s="356">
        <f>M52/R52</f>
        <v>177183.30414477526</v>
      </c>
      <c r="V52" s="537">
        <v>241047</v>
      </c>
      <c r="W52" s="356">
        <f>N52/R52</f>
        <v>184202.68534734385</v>
      </c>
      <c r="X52" s="910"/>
    </row>
    <row r="53" spans="1:24" s="911" customFormat="1" ht="9.75" customHeight="1" x14ac:dyDescent="0.2">
      <c r="A53" s="304"/>
      <c r="B53" s="541">
        <f>(B52/86.3)*10</f>
        <v>460222.01622247975</v>
      </c>
      <c r="C53" s="541">
        <f t="shared" ref="C53:I53" si="1">(C52/86.3)*10</f>
        <v>478454.46118192351</v>
      </c>
      <c r="D53" s="541">
        <f t="shared" si="1"/>
        <v>753.76593279258395</v>
      </c>
      <c r="E53" s="541">
        <f t="shared" si="1"/>
        <v>479208.22711471614</v>
      </c>
      <c r="F53" s="541">
        <f t="shared" si="1"/>
        <v>344133.83545770572</v>
      </c>
      <c r="G53" s="541"/>
      <c r="H53" s="541">
        <f t="shared" si="1"/>
        <v>116088.18076477404</v>
      </c>
      <c r="I53" s="541">
        <f t="shared" si="1"/>
        <v>135074.39165701045</v>
      </c>
      <c r="J53" s="541"/>
      <c r="K53" s="541">
        <f t="shared" si="0"/>
        <v>150079.82549227684</v>
      </c>
      <c r="L53" s="539"/>
      <c r="M53" s="539"/>
      <c r="N53" s="539"/>
      <c r="O53" s="539"/>
      <c r="P53" s="539"/>
      <c r="Q53" s="539"/>
      <c r="R53" s="539"/>
      <c r="S53" s="541">
        <v>2687</v>
      </c>
      <c r="T53" s="539"/>
      <c r="U53" s="539"/>
      <c r="V53" s="541">
        <f>(V52/86.3)</f>
        <v>2793.1286210892235</v>
      </c>
      <c r="W53" s="539"/>
      <c r="X53" s="910"/>
    </row>
    <row r="54" spans="1:24" s="911" customFormat="1" ht="9.75" customHeight="1" x14ac:dyDescent="0.2">
      <c r="A54" s="234" t="s">
        <v>2066</v>
      </c>
      <c r="B54" s="537">
        <v>4490842</v>
      </c>
      <c r="C54" s="537">
        <v>4670080</v>
      </c>
      <c r="D54" s="537">
        <v>8743</v>
      </c>
      <c r="E54" s="537">
        <v>4678823</v>
      </c>
      <c r="F54" s="537">
        <v>3334023</v>
      </c>
      <c r="G54" s="237">
        <f>(F54/B54)*100</f>
        <v>74.2404876412931</v>
      </c>
      <c r="H54" s="537">
        <v>1156819</v>
      </c>
      <c r="I54" s="537">
        <v>1344801</v>
      </c>
      <c r="J54" s="237">
        <f>(I54/B54)*100</f>
        <v>29.945408901047955</v>
      </c>
      <c r="K54" s="537">
        <v>1389969</v>
      </c>
      <c r="L54" s="237">
        <f>(K54/B54)*100</f>
        <v>30.951189108857534</v>
      </c>
      <c r="M54" s="537">
        <v>3210433</v>
      </c>
      <c r="N54" s="537">
        <v>3338568</v>
      </c>
      <c r="O54" s="537">
        <v>13.07</v>
      </c>
      <c r="P54" s="237">
        <v>5.78</v>
      </c>
      <c r="Q54" s="356">
        <f>(B54/M54)*100</f>
        <v>139.88275101832056</v>
      </c>
      <c r="R54" s="237">
        <v>17.079999999999998</v>
      </c>
      <c r="S54" s="537">
        <v>262868</v>
      </c>
      <c r="T54" s="537"/>
      <c r="U54" s="356">
        <f>M54/R54</f>
        <v>187964.46135831383</v>
      </c>
      <c r="V54" s="537">
        <v>273360</v>
      </c>
      <c r="W54" s="356">
        <f>N54/R54</f>
        <v>195466.51053864171</v>
      </c>
      <c r="X54" s="910"/>
    </row>
    <row r="55" spans="1:24" s="911" customFormat="1" ht="9.75" customHeight="1" x14ac:dyDescent="0.2">
      <c r="A55" s="304"/>
      <c r="B55" s="541">
        <f>(B54/99.46)*10</f>
        <v>451522.42107379856</v>
      </c>
      <c r="C55" s="541">
        <f t="shared" ref="C55:I55" si="2">(C54/99.46)*10</f>
        <v>469543.53508948325</v>
      </c>
      <c r="D55" s="541">
        <f t="shared" si="2"/>
        <v>879.04685300623373</v>
      </c>
      <c r="E55" s="541">
        <f t="shared" si="2"/>
        <v>470422.58194248949</v>
      </c>
      <c r="F55" s="541">
        <f t="shared" si="2"/>
        <v>335212.44721496076</v>
      </c>
      <c r="G55" s="541"/>
      <c r="H55" s="541">
        <f t="shared" si="2"/>
        <v>116309.97385883774</v>
      </c>
      <c r="I55" s="541">
        <f t="shared" si="2"/>
        <v>135210.23527046049</v>
      </c>
      <c r="J55" s="541"/>
      <c r="K55" s="541">
        <f t="shared" si="0"/>
        <v>163892.11177927128</v>
      </c>
      <c r="L55" s="539"/>
      <c r="M55" s="539"/>
      <c r="N55" s="539"/>
      <c r="O55" s="539"/>
      <c r="P55" s="539"/>
      <c r="Q55" s="539"/>
      <c r="R55" s="539"/>
      <c r="S55" s="541">
        <v>2643</v>
      </c>
      <c r="T55" s="539"/>
      <c r="U55" s="539"/>
      <c r="V55" s="541">
        <v>2749</v>
      </c>
      <c r="W55" s="539"/>
      <c r="X55" s="910"/>
    </row>
    <row r="56" spans="1:24" s="911" customFormat="1" ht="9.75" customHeight="1" x14ac:dyDescent="0.2">
      <c r="A56" s="234" t="s">
        <v>2206</v>
      </c>
      <c r="B56" s="537">
        <v>5002654</v>
      </c>
      <c r="C56" s="537">
        <v>5218081</v>
      </c>
      <c r="D56" s="537">
        <v>7632</v>
      </c>
      <c r="E56" s="537">
        <v>5225713</v>
      </c>
      <c r="F56" s="537">
        <v>3804159</v>
      </c>
      <c r="G56" s="237">
        <f>(F56/B56)*100</f>
        <v>76.042816473016131</v>
      </c>
      <c r="H56" s="537">
        <v>1198495</v>
      </c>
      <c r="I56" s="537">
        <v>1421554</v>
      </c>
      <c r="J56" s="237">
        <f>(I56/B56)*100</f>
        <v>28.415996788904451</v>
      </c>
      <c r="K56" s="537">
        <v>1535839</v>
      </c>
      <c r="L56" s="237">
        <f>(K56/B56)*100</f>
        <v>30.700484182995663</v>
      </c>
      <c r="M56" s="537">
        <v>3346018</v>
      </c>
      <c r="N56" s="537">
        <v>3490106</v>
      </c>
      <c r="O56" s="237">
        <v>11.4</v>
      </c>
      <c r="P56" s="237">
        <v>4.22</v>
      </c>
      <c r="Q56" s="356">
        <f>(B56/M56)*100</f>
        <v>149.51067208843466</v>
      </c>
      <c r="R56" s="237">
        <v>17.158999999999999</v>
      </c>
      <c r="S56" s="537">
        <v>291547</v>
      </c>
      <c r="T56" s="537"/>
      <c r="U56" s="356">
        <f>M56/R56</f>
        <v>195000.75761990793</v>
      </c>
      <c r="V56" s="537">
        <v>304102</v>
      </c>
      <c r="W56" s="356">
        <f>N56/R56</f>
        <v>203397.98356547585</v>
      </c>
      <c r="X56" s="910"/>
    </row>
    <row r="57" spans="1:24" s="911" customFormat="1" ht="9.75" customHeight="1" x14ac:dyDescent="0.2">
      <c r="A57" s="304"/>
      <c r="B57" s="541">
        <f>(B56/111.06)*10</f>
        <v>450446.06518998742</v>
      </c>
      <c r="C57" s="541">
        <f t="shared" ref="C57:K57" si="3">(C56/111.06)*10</f>
        <v>469843.4179722672</v>
      </c>
      <c r="D57" s="541">
        <f t="shared" si="3"/>
        <v>687.19611021069693</v>
      </c>
      <c r="E57" s="541">
        <f t="shared" si="3"/>
        <v>470530.61408247793</v>
      </c>
      <c r="F57" s="541">
        <f t="shared" si="3"/>
        <v>342531.87466234469</v>
      </c>
      <c r="G57" s="541"/>
      <c r="H57" s="541">
        <f t="shared" si="3"/>
        <v>107914.19052764271</v>
      </c>
      <c r="I57" s="541">
        <f t="shared" si="3"/>
        <v>127998.73942013326</v>
      </c>
      <c r="J57" s="541"/>
      <c r="K57" s="541">
        <f t="shared" si="3"/>
        <v>138289.12299657843</v>
      </c>
      <c r="L57" s="539"/>
      <c r="M57" s="539"/>
      <c r="N57" s="539"/>
      <c r="O57" s="539"/>
      <c r="P57" s="539"/>
      <c r="Q57" s="539"/>
      <c r="R57" s="539"/>
      <c r="S57" s="541">
        <v>2675</v>
      </c>
      <c r="T57" s="539"/>
      <c r="U57" s="539"/>
      <c r="V57" s="541">
        <v>2738</v>
      </c>
      <c r="W57" s="539"/>
      <c r="X57" s="910"/>
    </row>
    <row r="58" spans="1:24" s="911" customFormat="1" ht="11.25" customHeight="1" x14ac:dyDescent="0.2">
      <c r="A58" s="234" t="s">
        <v>2479</v>
      </c>
      <c r="B58" s="537">
        <v>5515026</v>
      </c>
      <c r="C58" s="537">
        <v>5817835</v>
      </c>
      <c r="D58" s="537">
        <v>11049</v>
      </c>
      <c r="E58" s="537">
        <v>5828884</v>
      </c>
      <c r="F58" s="537">
        <v>4302924</v>
      </c>
      <c r="G58" s="237">
        <f>(F58/B58)*100</f>
        <v>78.021826189033376</v>
      </c>
      <c r="H58" s="537">
        <v>1212102</v>
      </c>
      <c r="I58" s="537">
        <v>1525960</v>
      </c>
      <c r="J58" s="237">
        <f>(I58/B58)*100</f>
        <v>27.669135195373514</v>
      </c>
      <c r="K58" s="537">
        <v>1574049</v>
      </c>
      <c r="L58" s="237">
        <f>(K58/B58)*100</f>
        <v>28.541098446317388</v>
      </c>
      <c r="M58" s="537">
        <v>3462791</v>
      </c>
      <c r="N58" s="537">
        <v>3652919</v>
      </c>
      <c r="O58" s="237">
        <v>10.24</v>
      </c>
      <c r="P58" s="237">
        <v>3.49</v>
      </c>
      <c r="Q58" s="356">
        <f>(B58/M58)*100</f>
        <v>159.26534405339507</v>
      </c>
      <c r="R58" s="237">
        <v>17.391999999999999</v>
      </c>
      <c r="S58" s="537">
        <v>31710</v>
      </c>
      <c r="T58" s="537"/>
      <c r="U58" s="356">
        <f>M58/R58</f>
        <v>199102.51839926402</v>
      </c>
      <c r="V58" s="537">
        <v>33451</v>
      </c>
      <c r="W58" s="356">
        <f>N58/R58</f>
        <v>210034.44112235511</v>
      </c>
      <c r="X58" s="910"/>
    </row>
    <row r="59" spans="1:24" s="911" customFormat="1" ht="9.75" customHeight="1" thickBot="1" x14ac:dyDescent="0.25">
      <c r="A59" s="769"/>
      <c r="B59" s="542">
        <f>(B58/120.29)*10</f>
        <v>458477.51267769554</v>
      </c>
      <c r="C59" s="542">
        <f t="shared" ref="C59:F59" si="4">(C58/120.29)*10</f>
        <v>483650.76066173409</v>
      </c>
      <c r="D59" s="542">
        <f t="shared" si="4"/>
        <v>918.53021863829076</v>
      </c>
      <c r="E59" s="542">
        <f t="shared" si="4"/>
        <v>484569.2908803724</v>
      </c>
      <c r="F59" s="542">
        <f t="shared" si="4"/>
        <v>357712.52805719507</v>
      </c>
      <c r="G59" s="542"/>
      <c r="H59" s="542">
        <f t="shared" ref="H59:I59" si="5">(H58/120.29)*10</f>
        <v>100764.98462050046</v>
      </c>
      <c r="I59" s="542">
        <f t="shared" si="5"/>
        <v>126856.76282317733</v>
      </c>
      <c r="J59" s="542"/>
      <c r="K59" s="542">
        <f t="shared" ref="K59" si="6">(K58/120.29)*10</f>
        <v>130854.51824756837</v>
      </c>
      <c r="L59" s="543"/>
      <c r="M59" s="543"/>
      <c r="N59" s="543"/>
      <c r="O59" s="543"/>
      <c r="P59" s="543"/>
      <c r="Q59" s="543"/>
      <c r="R59" s="543"/>
      <c r="S59" s="542">
        <v>2625</v>
      </c>
      <c r="T59" s="543"/>
      <c r="U59" s="543"/>
      <c r="V59" s="542">
        <v>2769</v>
      </c>
      <c r="W59" s="543"/>
      <c r="X59" s="910"/>
    </row>
    <row r="60" spans="1:24" ht="12" customHeight="1" x14ac:dyDescent="0.2">
      <c r="A60" s="2716" t="s">
        <v>1281</v>
      </c>
      <c r="B60" s="2716"/>
      <c r="C60" s="2716"/>
      <c r="D60" s="2716"/>
      <c r="E60" s="2716"/>
      <c r="F60" s="2716"/>
      <c r="G60" s="9"/>
      <c r="I60" s="45" t="s">
        <v>1540</v>
      </c>
      <c r="J60" s="45"/>
      <c r="K60" s="45"/>
      <c r="L60" s="2717" t="s">
        <v>1212</v>
      </c>
      <c r="M60" s="2717"/>
      <c r="N60" s="2717"/>
      <c r="O60" s="2717"/>
      <c r="P60" s="1223"/>
      <c r="Q60" s="2718" t="s">
        <v>1942</v>
      </c>
      <c r="R60" s="2718"/>
      <c r="S60" s="1223"/>
      <c r="T60" s="45"/>
      <c r="U60" s="28"/>
      <c r="V60" s="13"/>
      <c r="W60" s="45"/>
      <c r="X60" s="47"/>
    </row>
    <row r="61" spans="1:24" ht="9.75" customHeight="1" x14ac:dyDescent="0.2">
      <c r="A61" s="2719"/>
      <c r="B61" s="2719"/>
      <c r="C61" s="2719"/>
      <c r="D61" s="2719"/>
      <c r="E61" s="2720"/>
      <c r="F61" s="2685"/>
      <c r="G61" s="2685"/>
      <c r="H61" s="697"/>
      <c r="I61" s="45"/>
      <c r="J61" s="45"/>
      <c r="K61" s="45"/>
      <c r="L61" s="2721"/>
      <c r="M61" s="2721"/>
      <c r="N61" s="2721"/>
      <c r="O61" s="45"/>
      <c r="P61" s="45"/>
      <c r="Q61" s="45"/>
      <c r="R61" s="45"/>
      <c r="S61" s="26"/>
      <c r="T61" s="45"/>
      <c r="U61" s="45"/>
      <c r="V61" s="45"/>
      <c r="W61" s="45"/>
      <c r="X61" s="47"/>
    </row>
    <row r="64" spans="1:24" x14ac:dyDescent="0.2">
      <c r="M64" s="47"/>
    </row>
    <row r="65" spans="13:18" x14ac:dyDescent="0.2">
      <c r="M65" s="47"/>
      <c r="P65" s="47"/>
      <c r="Q65" s="47"/>
      <c r="R65" s="47"/>
    </row>
    <row r="66" spans="13:18" x14ac:dyDescent="0.2">
      <c r="M66" s="47"/>
      <c r="N66" s="47"/>
    </row>
    <row r="67" spans="13:18" x14ac:dyDescent="0.2">
      <c r="M67" s="47"/>
    </row>
    <row r="68" spans="13:18" x14ac:dyDescent="0.2">
      <c r="M68" s="47"/>
      <c r="N68" s="47"/>
    </row>
    <row r="69" spans="13:18" x14ac:dyDescent="0.2">
      <c r="M69" s="47"/>
    </row>
    <row r="70" spans="13:18" x14ac:dyDescent="0.2">
      <c r="M70" s="47"/>
      <c r="N70" s="47"/>
    </row>
    <row r="71" spans="13:18" x14ac:dyDescent="0.2">
      <c r="M71" s="47"/>
      <c r="N71" s="47"/>
    </row>
    <row r="72" spans="13:18" x14ac:dyDescent="0.2">
      <c r="M72" s="47"/>
      <c r="N72" s="47"/>
    </row>
    <row r="73" spans="13:18" x14ac:dyDescent="0.2">
      <c r="M73" s="47"/>
      <c r="N73" s="47"/>
    </row>
    <row r="74" spans="13:18" x14ac:dyDescent="0.2">
      <c r="M74" s="47"/>
      <c r="N74" s="47"/>
    </row>
    <row r="75" spans="13:18" x14ac:dyDescent="0.2">
      <c r="N75" s="47"/>
    </row>
    <row r="76" spans="13:18" x14ac:dyDescent="0.2">
      <c r="N76" s="47"/>
    </row>
  </sheetData>
  <customSheetViews>
    <customSheetView guid="{A374FC54-96E3-45F0-9C12-8450400C12DF}" scale="160" hiddenColumns="1">
      <pane xSplit="1" ySplit="5" topLeftCell="P39" activePane="bottomRight" state="frozen"/>
      <selection pane="bottomRight" activeCell="B1" sqref="B1:K1"/>
      <pageMargins left="0.47244094488188998" right="0.47244094488188998" top="0.511811023622047" bottom="0" header="0" footer="0"/>
      <pageSetup paperSize="132" firstPageNumber="50" orientation="portrait" useFirstPageNumber="1" r:id="rId1"/>
      <headerFooter>
        <oddFooter>&amp;C&amp;"Times New Roman,Regular"&amp;8&amp;P</oddFooter>
      </headerFooter>
    </customSheetView>
  </customSheetViews>
  <mergeCells count="35">
    <mergeCell ref="M3:M4"/>
    <mergeCell ref="B3:B4"/>
    <mergeCell ref="E3:E4"/>
    <mergeCell ref="F3:F4"/>
    <mergeCell ref="G3:G4"/>
    <mergeCell ref="U1:W1"/>
    <mergeCell ref="D2:E2"/>
    <mergeCell ref="J2:K2"/>
    <mergeCell ref="V2:W2"/>
    <mergeCell ref="B1:K1"/>
    <mergeCell ref="L1:O1"/>
    <mergeCell ref="L2:P2"/>
    <mergeCell ref="A3:A5"/>
    <mergeCell ref="S3:W3"/>
    <mergeCell ref="S4:T4"/>
    <mergeCell ref="S5:T5"/>
    <mergeCell ref="Q3:Q4"/>
    <mergeCell ref="C3:C4"/>
    <mergeCell ref="D3:D4"/>
    <mergeCell ref="H3:H4"/>
    <mergeCell ref="I3:I4"/>
    <mergeCell ref="L3:L4"/>
    <mergeCell ref="J3:J4"/>
    <mergeCell ref="P3:P4"/>
    <mergeCell ref="N3:N4"/>
    <mergeCell ref="O3:O4"/>
    <mergeCell ref="R3:R4"/>
    <mergeCell ref="K3:K4"/>
    <mergeCell ref="A6:C6"/>
    <mergeCell ref="A60:F60"/>
    <mergeCell ref="L60:O60"/>
    <mergeCell ref="Q60:R60"/>
    <mergeCell ref="A61:E61"/>
    <mergeCell ref="F61:G61"/>
    <mergeCell ref="L61:N61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K141"/>
  <sheetViews>
    <sheetView zoomScale="140" zoomScaleNormal="140" workbookViewId="0">
      <pane xSplit="1" ySplit="3" topLeftCell="E128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K3" sqref="K3"/>
    </sheetView>
  </sheetViews>
  <sheetFormatPr defaultColWidth="9.140625" defaultRowHeight="12.75" x14ac:dyDescent="0.2"/>
  <cols>
    <col min="1" max="2" width="10.140625" style="2" customWidth="1"/>
    <col min="3" max="4" width="15.7109375" style="89" customWidth="1"/>
    <col min="5" max="5" width="17.42578125" style="89" customWidth="1"/>
    <col min="6" max="6" width="15.42578125" style="89" customWidth="1"/>
    <col min="7" max="7" width="13.28515625" style="1255" customWidth="1"/>
    <col min="8" max="8" width="14.140625" style="2" customWidth="1"/>
    <col min="9" max="9" width="14.28515625" style="2" customWidth="1"/>
    <col min="10" max="10" width="19" style="2" customWidth="1"/>
    <col min="11" max="11" width="11.28515625" style="2" customWidth="1"/>
    <col min="12" max="16384" width="9.140625" style="2"/>
  </cols>
  <sheetData>
    <row r="1" spans="1:11" s="5" customFormat="1" ht="15.75" customHeight="1" x14ac:dyDescent="0.25">
      <c r="A1" s="2734" t="s">
        <v>2433</v>
      </c>
      <c r="B1" s="2734"/>
      <c r="C1" s="2735"/>
      <c r="D1" s="2735"/>
      <c r="E1" s="2735"/>
      <c r="F1" s="2735"/>
      <c r="G1" s="2736" t="s">
        <v>1322</v>
      </c>
      <c r="H1" s="2737"/>
      <c r="I1" s="2737"/>
      <c r="J1" s="2737"/>
      <c r="K1" s="1664" t="s">
        <v>265</v>
      </c>
    </row>
    <row r="2" spans="1:11" s="5" customFormat="1" ht="11.1" customHeight="1" x14ac:dyDescent="0.2">
      <c r="A2" s="1385"/>
      <c r="B2" s="1385"/>
      <c r="C2" s="1385"/>
      <c r="D2" s="1385"/>
      <c r="E2" s="1385"/>
      <c r="G2" s="1251"/>
      <c r="H2" s="64"/>
      <c r="I2" s="84"/>
      <c r="J2" s="84"/>
      <c r="K2" s="90"/>
    </row>
    <row r="3" spans="1:11" s="101" customFormat="1" ht="26.45" customHeight="1" x14ac:dyDescent="0.2">
      <c r="A3" s="1134" t="s">
        <v>910</v>
      </c>
      <c r="B3" s="1134"/>
      <c r="C3" s="623" t="s">
        <v>1307</v>
      </c>
      <c r="D3" s="1656" t="s">
        <v>3222</v>
      </c>
      <c r="E3" s="1656" t="s">
        <v>1308</v>
      </c>
      <c r="F3" s="1656" t="s">
        <v>1310</v>
      </c>
      <c r="G3" s="1252" t="s">
        <v>911</v>
      </c>
      <c r="H3" s="1656" t="s">
        <v>983</v>
      </c>
      <c r="I3" s="1656" t="s">
        <v>1309</v>
      </c>
      <c r="J3" s="1134" t="s">
        <v>1308</v>
      </c>
      <c r="K3" s="1134" t="s">
        <v>1311</v>
      </c>
    </row>
    <row r="4" spans="1:11" s="508" customFormat="1" ht="12" customHeight="1" x14ac:dyDescent="0.2">
      <c r="A4" s="372" t="s">
        <v>696</v>
      </c>
      <c r="B4" s="372"/>
      <c r="C4" s="276">
        <v>4572.88</v>
      </c>
      <c r="D4" s="276">
        <v>117145.07</v>
      </c>
      <c r="E4" s="276">
        <v>38410.899999999994</v>
      </c>
      <c r="F4" s="275">
        <v>279</v>
      </c>
      <c r="G4" s="728">
        <v>46082</v>
      </c>
      <c r="H4" s="281">
        <v>546.16999999999996</v>
      </c>
      <c r="I4" s="805">
        <v>775.57</v>
      </c>
      <c r="J4" s="281">
        <v>103258.2</v>
      </c>
      <c r="K4" s="275">
        <v>412</v>
      </c>
    </row>
    <row r="5" spans="1:11" s="578" customFormat="1" ht="12" customHeight="1" x14ac:dyDescent="0.2">
      <c r="A5" s="1660" t="s">
        <v>804</v>
      </c>
      <c r="B5" s="1676"/>
      <c r="C5" s="237">
        <v>4385.7700000000004</v>
      </c>
      <c r="D5" s="237">
        <v>85716.56</v>
      </c>
      <c r="E5" s="237">
        <v>43407.3</v>
      </c>
      <c r="F5" s="236">
        <v>296</v>
      </c>
      <c r="G5" s="1262">
        <v>46083</v>
      </c>
      <c r="H5" s="313">
        <v>553.4</v>
      </c>
      <c r="I5" s="339">
        <v>779.96</v>
      </c>
      <c r="J5" s="313">
        <v>103258.2</v>
      </c>
      <c r="K5" s="236">
        <v>412</v>
      </c>
    </row>
    <row r="6" spans="1:11" s="68" customFormat="1" ht="12" customHeight="1" x14ac:dyDescent="0.2">
      <c r="A6" s="292" t="s">
        <v>978</v>
      </c>
      <c r="B6" s="292"/>
      <c r="C6" s="281">
        <v>4480.5200000000004</v>
      </c>
      <c r="D6" s="281">
        <v>112539.85800000001</v>
      </c>
      <c r="E6" s="281">
        <v>48255.5</v>
      </c>
      <c r="F6" s="279">
        <v>307</v>
      </c>
      <c r="G6" s="728">
        <v>46056</v>
      </c>
      <c r="H6" s="1316">
        <v>532.51</v>
      </c>
      <c r="I6" s="353">
        <v>885.12</v>
      </c>
      <c r="J6" s="1316">
        <v>103258.2</v>
      </c>
      <c r="K6" s="275">
        <v>412</v>
      </c>
    </row>
    <row r="7" spans="1:11" s="446" customFormat="1" ht="12" customHeight="1" x14ac:dyDescent="0.2">
      <c r="A7" s="1660" t="s">
        <v>1029</v>
      </c>
      <c r="B7" s="1676"/>
      <c r="C7" s="237">
        <v>4583.1099999999997</v>
      </c>
      <c r="D7" s="237">
        <v>112351.91100000001</v>
      </c>
      <c r="E7" s="237">
        <v>54300.800000000003</v>
      </c>
      <c r="F7" s="236">
        <v>326</v>
      </c>
      <c r="G7" s="1262">
        <v>46085</v>
      </c>
      <c r="H7" s="313">
        <v>532.29999999999995</v>
      </c>
      <c r="I7" s="339">
        <v>582.38</v>
      </c>
      <c r="J7" s="313">
        <v>103258.2</v>
      </c>
      <c r="K7" s="236">
        <v>412</v>
      </c>
    </row>
    <row r="8" spans="1:11" s="68" customFormat="1" ht="12" customHeight="1" x14ac:dyDescent="0.2">
      <c r="A8" s="372" t="s">
        <v>1150</v>
      </c>
      <c r="B8" s="372"/>
      <c r="C8" s="276">
        <v>4507.58</v>
      </c>
      <c r="D8" s="276">
        <v>107246.07099999998</v>
      </c>
      <c r="E8" s="276">
        <v>57846.400000000001</v>
      </c>
      <c r="F8" s="275">
        <v>330</v>
      </c>
      <c r="G8" s="728">
        <v>46086</v>
      </c>
      <c r="H8" s="1316">
        <v>524.1</v>
      </c>
      <c r="I8" s="353">
        <v>459.42</v>
      </c>
      <c r="J8" s="1316">
        <v>103258.2</v>
      </c>
      <c r="K8" s="275">
        <v>412</v>
      </c>
    </row>
    <row r="9" spans="1:11" s="446" customFormat="1" ht="12" customHeight="1" x14ac:dyDescent="0.2">
      <c r="A9" s="1660" t="s">
        <v>1174</v>
      </c>
      <c r="B9" s="1676"/>
      <c r="C9" s="237">
        <v>5656.05</v>
      </c>
      <c r="D9" s="237">
        <v>180522.2</v>
      </c>
      <c r="E9" s="237">
        <v>61656.5</v>
      </c>
      <c r="F9" s="236">
        <v>334</v>
      </c>
      <c r="G9" s="1262">
        <v>46089</v>
      </c>
      <c r="H9" s="313">
        <v>500.9</v>
      </c>
      <c r="I9" s="339">
        <v>531.88</v>
      </c>
      <c r="J9" s="313">
        <v>103258.2</v>
      </c>
      <c r="K9" s="236">
        <v>412</v>
      </c>
    </row>
    <row r="10" spans="1:11" s="446" customFormat="1" ht="12" customHeight="1" x14ac:dyDescent="0.2">
      <c r="A10" s="372" t="s">
        <v>1296</v>
      </c>
      <c r="B10" s="372"/>
      <c r="C10" s="276">
        <v>5405.46</v>
      </c>
      <c r="D10" s="276">
        <v>159085.19200000001</v>
      </c>
      <c r="E10" s="276">
        <v>67071.899999999994</v>
      </c>
      <c r="F10" s="275">
        <v>343</v>
      </c>
      <c r="G10" s="728">
        <v>46090</v>
      </c>
      <c r="H10" s="1316">
        <v>514.14</v>
      </c>
      <c r="I10" s="353">
        <v>416.05</v>
      </c>
      <c r="J10" s="1316">
        <v>103258.2</v>
      </c>
      <c r="K10" s="275">
        <v>412</v>
      </c>
    </row>
    <row r="11" spans="1:11" s="446" customFormat="1" ht="12" customHeight="1" x14ac:dyDescent="0.2">
      <c r="A11" s="1660" t="s">
        <v>1404</v>
      </c>
      <c r="B11" s="1676"/>
      <c r="C11" s="237">
        <v>5421.62</v>
      </c>
      <c r="D11" s="237">
        <v>145965.53900000002</v>
      </c>
      <c r="E11" s="237">
        <v>71962.899999999994</v>
      </c>
      <c r="F11" s="236">
        <v>355</v>
      </c>
      <c r="G11" s="1262">
        <v>46091</v>
      </c>
      <c r="H11" s="313">
        <v>529</v>
      </c>
      <c r="I11" s="339">
        <v>593.73</v>
      </c>
      <c r="J11" s="313">
        <v>103258.2</v>
      </c>
      <c r="K11" s="236">
        <v>412</v>
      </c>
    </row>
    <row r="12" spans="1:11" s="446" customFormat="1" ht="12" customHeight="1" x14ac:dyDescent="0.2">
      <c r="A12" s="527" t="s">
        <v>1484</v>
      </c>
      <c r="B12" s="527"/>
      <c r="C12" s="276">
        <v>3989.09</v>
      </c>
      <c r="D12" s="276">
        <v>78042.763000000006</v>
      </c>
      <c r="E12" s="276">
        <v>75486.8</v>
      </c>
      <c r="F12" s="275">
        <v>362</v>
      </c>
      <c r="G12" s="728">
        <v>46092</v>
      </c>
      <c r="H12" s="1316">
        <v>529.22</v>
      </c>
      <c r="I12" s="353">
        <v>523.6</v>
      </c>
      <c r="J12" s="1316">
        <v>103258.2</v>
      </c>
      <c r="K12" s="275">
        <v>412</v>
      </c>
    </row>
    <row r="13" spans="1:11" s="446" customFormat="1" ht="12" customHeight="1" x14ac:dyDescent="0.2">
      <c r="A13" s="491" t="s">
        <v>1536</v>
      </c>
      <c r="B13" s="491"/>
      <c r="C13" s="237">
        <v>6150.48</v>
      </c>
      <c r="D13" s="237">
        <v>254697.05800000005</v>
      </c>
      <c r="E13" s="237">
        <v>85204.7</v>
      </c>
      <c r="F13" s="236">
        <v>382</v>
      </c>
      <c r="G13" s="1262">
        <v>46093</v>
      </c>
      <c r="H13" s="313">
        <v>536.84</v>
      </c>
      <c r="I13" s="339">
        <v>591.57000000000005</v>
      </c>
      <c r="J13" s="313">
        <v>103258.2</v>
      </c>
      <c r="K13" s="236">
        <v>412</v>
      </c>
    </row>
    <row r="14" spans="1:11" s="446" customFormat="1" ht="12" customHeight="1" x14ac:dyDescent="0.2">
      <c r="A14" s="527" t="s">
        <v>1817</v>
      </c>
      <c r="B14" s="527"/>
      <c r="C14" s="276">
        <v>6376.94</v>
      </c>
      <c r="D14" s="276">
        <v>318607.01500000001</v>
      </c>
      <c r="E14" s="276">
        <v>92764.687000000005</v>
      </c>
      <c r="F14" s="275">
        <v>395</v>
      </c>
      <c r="G14" s="728">
        <v>46096</v>
      </c>
      <c r="H14" s="1316">
        <v>531.91</v>
      </c>
      <c r="I14" s="805">
        <v>523.54</v>
      </c>
      <c r="J14" s="1316">
        <v>103258.2</v>
      </c>
      <c r="K14" s="275">
        <v>412</v>
      </c>
    </row>
    <row r="15" spans="1:11" s="446" customFormat="1" ht="12" customHeight="1" x14ac:dyDescent="0.2">
      <c r="A15" s="513" t="s">
        <v>2066</v>
      </c>
      <c r="B15" s="513"/>
      <c r="C15" s="322">
        <v>6344.09</v>
      </c>
      <c r="D15" s="322">
        <v>191087.26499999996</v>
      </c>
      <c r="E15" s="322">
        <v>96843.1</v>
      </c>
      <c r="F15" s="458">
        <v>403</v>
      </c>
      <c r="G15" s="1262">
        <v>46097</v>
      </c>
      <c r="H15" s="313">
        <v>535.39</v>
      </c>
      <c r="I15" s="494">
        <v>460.31</v>
      </c>
      <c r="J15" s="313">
        <v>103258.2</v>
      </c>
      <c r="K15" s="236">
        <v>412</v>
      </c>
    </row>
    <row r="16" spans="1:11" s="446" customFormat="1" ht="12" customHeight="1" x14ac:dyDescent="0.2">
      <c r="A16" s="559" t="s">
        <v>2206</v>
      </c>
      <c r="B16" s="559"/>
      <c r="C16" s="315">
        <f>C33</f>
        <v>5328.4</v>
      </c>
      <c r="D16" s="315">
        <f>SUM(D22:D33)</f>
        <v>149992.62400000001</v>
      </c>
      <c r="E16" s="315">
        <f>E33</f>
        <v>106586.40000000001</v>
      </c>
      <c r="F16" s="490">
        <f>F33</f>
        <v>427</v>
      </c>
      <c r="G16" s="728">
        <v>46105</v>
      </c>
      <c r="H16" s="1316">
        <v>528.5</v>
      </c>
      <c r="I16" s="805">
        <v>492.48</v>
      </c>
      <c r="J16" s="1316">
        <v>103258.2</v>
      </c>
      <c r="K16" s="275">
        <v>412</v>
      </c>
    </row>
    <row r="17" spans="1:11" s="446" customFormat="1" ht="12" customHeight="1" x14ac:dyDescent="0.2">
      <c r="A17" s="513" t="s">
        <v>2479</v>
      </c>
      <c r="B17" s="513"/>
      <c r="C17" s="322">
        <f>C45</f>
        <v>4838.3900000000003</v>
      </c>
      <c r="D17" s="322">
        <f>SUM(D34:D45)</f>
        <v>111035.72</v>
      </c>
      <c r="E17" s="322">
        <f>E45</f>
        <v>103245.09999999999</v>
      </c>
      <c r="F17" s="458">
        <f>F45</f>
        <v>413</v>
      </c>
      <c r="G17" s="728"/>
      <c r="H17" s="1316"/>
      <c r="I17" s="805"/>
      <c r="J17" s="1316"/>
      <c r="K17" s="275"/>
    </row>
    <row r="18" spans="1:11" s="446" customFormat="1" ht="12" customHeight="1" x14ac:dyDescent="0.2">
      <c r="A18" s="559"/>
      <c r="B18" s="559"/>
      <c r="C18" s="315"/>
      <c r="D18" s="315"/>
      <c r="E18" s="315"/>
      <c r="F18" s="490"/>
      <c r="G18" s="728"/>
      <c r="H18" s="1316"/>
      <c r="I18" s="805"/>
      <c r="J18" s="1316"/>
      <c r="K18" s="275"/>
    </row>
    <row r="19" spans="1:11" s="446" customFormat="1" ht="12" customHeight="1" x14ac:dyDescent="0.2">
      <c r="A19" s="559"/>
      <c r="B19" s="559"/>
      <c r="C19" s="315"/>
      <c r="D19" s="315"/>
      <c r="E19" s="315"/>
      <c r="F19" s="490"/>
      <c r="G19" s="728"/>
      <c r="H19" s="1316"/>
      <c r="I19" s="805"/>
      <c r="J19" s="1316"/>
      <c r="K19" s="275"/>
    </row>
    <row r="20" spans="1:11" s="446" customFormat="1" ht="12" customHeight="1" x14ac:dyDescent="0.2">
      <c r="A20" s="559"/>
      <c r="B20" s="559"/>
      <c r="C20" s="315"/>
      <c r="D20" s="315"/>
      <c r="E20" s="315"/>
      <c r="F20" s="490"/>
      <c r="G20" s="728"/>
      <c r="H20" s="1316"/>
      <c r="I20" s="805"/>
      <c r="J20" s="1316"/>
      <c r="K20" s="275"/>
    </row>
    <row r="21" spans="1:11" s="446" customFormat="1" ht="12" customHeight="1" x14ac:dyDescent="0.2">
      <c r="A21" s="559"/>
      <c r="B21" s="559"/>
      <c r="C21" s="315"/>
      <c r="D21" s="315"/>
      <c r="E21" s="315"/>
      <c r="F21" s="490"/>
      <c r="G21" s="728"/>
      <c r="H21" s="1316"/>
      <c r="I21" s="805"/>
      <c r="J21" s="1316"/>
      <c r="K21" s="275"/>
    </row>
    <row r="22" spans="1:11" s="446" customFormat="1" ht="12" customHeight="1" x14ac:dyDescent="0.2">
      <c r="A22" s="559" t="s">
        <v>2206</v>
      </c>
      <c r="B22" s="491" t="s">
        <v>552</v>
      </c>
      <c r="C22" s="237">
        <v>6324.81</v>
      </c>
      <c r="D22" s="237">
        <v>17127.598000000002</v>
      </c>
      <c r="E22" s="237">
        <v>97106</v>
      </c>
      <c r="F22" s="236">
        <f>392+11</f>
        <v>403</v>
      </c>
      <c r="G22" s="1262">
        <v>46106</v>
      </c>
      <c r="H22" s="25">
        <v>531.62</v>
      </c>
      <c r="I22" s="196">
        <v>603.80999999999995</v>
      </c>
      <c r="J22" s="25">
        <v>103258.2</v>
      </c>
      <c r="K22" s="24">
        <v>412</v>
      </c>
    </row>
    <row r="23" spans="1:11" s="446" customFormat="1" ht="12" customHeight="1" x14ac:dyDescent="0.2">
      <c r="A23" s="559" t="s">
        <v>2206</v>
      </c>
      <c r="B23" s="527" t="s">
        <v>553</v>
      </c>
      <c r="C23" s="276">
        <v>6299.5</v>
      </c>
      <c r="D23" s="276">
        <v>9652.4330000000009</v>
      </c>
      <c r="E23" s="276">
        <f>97241.5+4471</f>
        <v>101712.5</v>
      </c>
      <c r="F23" s="275">
        <f>403+11</f>
        <v>414</v>
      </c>
      <c r="G23" s="728">
        <v>46110</v>
      </c>
      <c r="H23" s="1316">
        <v>527.21</v>
      </c>
      <c r="I23" s="805">
        <v>646.41999999999996</v>
      </c>
      <c r="J23" s="1316">
        <v>103258.2</v>
      </c>
      <c r="K23" s="275">
        <v>412</v>
      </c>
    </row>
    <row r="24" spans="1:11" s="446" customFormat="1" ht="12" customHeight="1" x14ac:dyDescent="0.2">
      <c r="A24" s="559" t="s">
        <v>2206</v>
      </c>
      <c r="B24" s="491" t="s">
        <v>547</v>
      </c>
      <c r="C24" s="237">
        <v>6284.63</v>
      </c>
      <c r="D24" s="237">
        <v>11306.359</v>
      </c>
      <c r="E24" s="237">
        <f>97277.5+4471</f>
        <v>101748.5</v>
      </c>
      <c r="F24" s="236">
        <f>403+11</f>
        <v>414</v>
      </c>
      <c r="G24" s="1262">
        <v>46111</v>
      </c>
      <c r="H24" s="25">
        <v>523.07000000000005</v>
      </c>
      <c r="I24" s="196">
        <v>663.87</v>
      </c>
      <c r="J24" s="25">
        <v>103258.2</v>
      </c>
      <c r="K24" s="24">
        <v>412</v>
      </c>
    </row>
    <row r="25" spans="1:11" s="446" customFormat="1" ht="12" customHeight="1" thickBot="1" x14ac:dyDescent="0.25">
      <c r="A25" s="559" t="s">
        <v>2206</v>
      </c>
      <c r="B25" s="527" t="s">
        <v>554</v>
      </c>
      <c r="C25" s="276">
        <v>6278.66</v>
      </c>
      <c r="D25" s="276">
        <v>10068.748</v>
      </c>
      <c r="E25" s="276">
        <f>92875.5+4471</f>
        <v>97346.5</v>
      </c>
      <c r="F25" s="275">
        <f>392+11</f>
        <v>403</v>
      </c>
      <c r="G25" s="1587">
        <v>46112</v>
      </c>
      <c r="H25" s="1588">
        <v>517.83000000000004</v>
      </c>
      <c r="I25" s="1546">
        <v>685.61</v>
      </c>
      <c r="J25" s="1588">
        <v>103258.2</v>
      </c>
      <c r="K25" s="706">
        <v>412</v>
      </c>
    </row>
    <row r="26" spans="1:11" s="446" customFormat="1" ht="12" customHeight="1" x14ac:dyDescent="0.2">
      <c r="A26" s="559" t="s">
        <v>2206</v>
      </c>
      <c r="B26" s="491" t="s">
        <v>555</v>
      </c>
      <c r="C26" s="237">
        <v>6223.03</v>
      </c>
      <c r="D26" s="237">
        <v>9498.1970000000001</v>
      </c>
      <c r="E26" s="237">
        <f>92876.4+4521</f>
        <v>97397.4</v>
      </c>
      <c r="F26" s="236">
        <f>392+12</f>
        <v>404</v>
      </c>
      <c r="G26" s="1253"/>
      <c r="H26" s="24"/>
      <c r="I26" s="196"/>
      <c r="J26" s="25"/>
      <c r="K26" s="1253"/>
    </row>
    <row r="27" spans="1:11" s="446" customFormat="1" ht="12" customHeight="1" x14ac:dyDescent="0.2">
      <c r="A27" s="559" t="s">
        <v>2206</v>
      </c>
      <c r="B27" s="527" t="s">
        <v>548</v>
      </c>
      <c r="C27" s="276">
        <v>6246.5</v>
      </c>
      <c r="D27" s="276">
        <v>10206.054</v>
      </c>
      <c r="E27" s="276">
        <f>92814.8+4900.6</f>
        <v>97715.400000000009</v>
      </c>
      <c r="F27" s="275">
        <f>392+13</f>
        <v>405</v>
      </c>
      <c r="G27" s="24"/>
      <c r="H27" s="24"/>
      <c r="I27" s="24"/>
      <c r="J27" s="24"/>
      <c r="K27" s="24"/>
    </row>
    <row r="28" spans="1:11" s="446" customFormat="1" ht="12" customHeight="1" x14ac:dyDescent="0.2">
      <c r="A28" s="559" t="s">
        <v>2206</v>
      </c>
      <c r="B28" s="491" t="s">
        <v>556</v>
      </c>
      <c r="C28" s="237">
        <v>6153.34</v>
      </c>
      <c r="D28" s="237">
        <v>15747.22</v>
      </c>
      <c r="E28" s="237">
        <v>98895.8</v>
      </c>
      <c r="F28" s="236">
        <v>408</v>
      </c>
      <c r="G28" s="24"/>
      <c r="H28" s="24"/>
      <c r="I28" s="24"/>
      <c r="J28" s="24"/>
      <c r="K28" s="24"/>
    </row>
    <row r="29" spans="1:11" s="446" customFormat="1" ht="12" customHeight="1" x14ac:dyDescent="0.2">
      <c r="A29" s="559" t="s">
        <v>2206</v>
      </c>
      <c r="B29" s="527" t="s">
        <v>557</v>
      </c>
      <c r="C29" s="276">
        <v>6254.54</v>
      </c>
      <c r="D29" s="276">
        <v>23916.23</v>
      </c>
      <c r="E29" s="276">
        <v>99658.5</v>
      </c>
      <c r="F29" s="275">
        <v>410</v>
      </c>
      <c r="G29" s="24"/>
      <c r="H29" s="24"/>
      <c r="I29" s="24"/>
      <c r="J29" s="24"/>
      <c r="K29" s="24"/>
    </row>
    <row r="30" spans="1:11" s="446" customFormat="1" ht="12" customHeight="1" x14ac:dyDescent="0.2">
      <c r="A30" s="559" t="s">
        <v>2206</v>
      </c>
      <c r="B30" s="491" t="s">
        <v>549</v>
      </c>
      <c r="C30" s="237">
        <v>5829.7</v>
      </c>
      <c r="D30" s="237">
        <v>11402.554</v>
      </c>
      <c r="E30" s="237">
        <f>5014.6+99870.3</f>
        <v>104884.90000000001</v>
      </c>
      <c r="F30" s="236">
        <f>412+15</f>
        <v>427</v>
      </c>
      <c r="G30" s="24"/>
      <c r="H30" s="24"/>
      <c r="I30" s="24"/>
      <c r="J30" s="24"/>
      <c r="K30" s="24"/>
    </row>
    <row r="31" spans="1:11" s="446" customFormat="1" ht="12" customHeight="1" x14ac:dyDescent="0.2">
      <c r="A31" s="559" t="s">
        <v>2206</v>
      </c>
      <c r="B31" s="527" t="s">
        <v>558</v>
      </c>
      <c r="C31" s="276">
        <v>5584.65</v>
      </c>
      <c r="D31" s="276">
        <v>9357.1859999999997</v>
      </c>
      <c r="E31" s="276">
        <f>108005.2+5014.6</f>
        <v>113019.8</v>
      </c>
      <c r="F31" s="275">
        <f>412+15</f>
        <v>427</v>
      </c>
      <c r="G31" s="1566"/>
      <c r="H31" s="1566"/>
      <c r="I31" s="1566"/>
      <c r="J31" s="1566"/>
      <c r="K31" s="1566"/>
    </row>
    <row r="32" spans="1:11" s="446" customFormat="1" ht="12" customHeight="1" x14ac:dyDescent="0.2">
      <c r="A32" s="559" t="s">
        <v>2206</v>
      </c>
      <c r="B32" s="491" t="s">
        <v>559</v>
      </c>
      <c r="C32" s="237">
        <v>5251.96</v>
      </c>
      <c r="D32" s="237">
        <v>13355.540999999999</v>
      </c>
      <c r="E32" s="237">
        <f>101272.3+5014.6</f>
        <v>106286.90000000001</v>
      </c>
      <c r="F32" s="236">
        <f>412+15</f>
        <v>427</v>
      </c>
      <c r="G32" s="1253"/>
      <c r="H32" s="24"/>
      <c r="I32" s="196"/>
      <c r="J32" s="25"/>
      <c r="K32" s="24"/>
    </row>
    <row r="33" spans="1:11" s="446" customFormat="1" ht="12" customHeight="1" x14ac:dyDescent="0.2">
      <c r="A33" s="559" t="s">
        <v>2206</v>
      </c>
      <c r="B33" s="527" t="s">
        <v>550</v>
      </c>
      <c r="C33" s="276">
        <v>5328.4</v>
      </c>
      <c r="D33" s="276">
        <v>8354.5040000000008</v>
      </c>
      <c r="E33" s="276">
        <f>101571.8+5014.6</f>
        <v>106586.40000000001</v>
      </c>
      <c r="F33" s="275">
        <f>412+15</f>
        <v>427</v>
      </c>
      <c r="G33" s="1253"/>
      <c r="H33" s="24"/>
      <c r="I33" s="196"/>
      <c r="J33" s="25"/>
      <c r="K33" s="24"/>
    </row>
    <row r="34" spans="1:11" s="446" customFormat="1" ht="12" customHeight="1" x14ac:dyDescent="0.2">
      <c r="A34" s="513" t="s">
        <v>2479</v>
      </c>
      <c r="B34" s="491" t="s">
        <v>552</v>
      </c>
      <c r="C34" s="276">
        <v>5280.47</v>
      </c>
      <c r="D34" s="276">
        <v>10917.593999999999</v>
      </c>
      <c r="E34" s="276">
        <f>101703.8+5014.6</f>
        <v>106718.40000000001</v>
      </c>
      <c r="F34" s="275">
        <f>413+15</f>
        <v>428</v>
      </c>
      <c r="G34" s="1253"/>
      <c r="H34" s="24"/>
      <c r="I34" s="196"/>
      <c r="J34" s="25"/>
      <c r="K34" s="24"/>
    </row>
    <row r="35" spans="1:11" s="446" customFormat="1" ht="12" customHeight="1" x14ac:dyDescent="0.2">
      <c r="A35" s="513" t="s">
        <v>2479</v>
      </c>
      <c r="B35" s="527" t="s">
        <v>553</v>
      </c>
      <c r="C35" s="237">
        <v>5804.42</v>
      </c>
      <c r="D35" s="237">
        <v>16595.981</v>
      </c>
      <c r="E35" s="237">
        <f>96689.2+5014.6</f>
        <v>101703.8</v>
      </c>
      <c r="F35" s="236">
        <f>397+16</f>
        <v>413</v>
      </c>
      <c r="G35" s="1253"/>
      <c r="H35" s="24"/>
      <c r="I35" s="196"/>
      <c r="J35" s="25"/>
      <c r="K35" s="24"/>
    </row>
    <row r="36" spans="1:11" s="446" customFormat="1" ht="12" customHeight="1" x14ac:dyDescent="0.2">
      <c r="A36" s="513" t="s">
        <v>2479</v>
      </c>
      <c r="B36" s="491" t="s">
        <v>547</v>
      </c>
      <c r="C36" s="276">
        <v>5624.5</v>
      </c>
      <c r="D36" s="276">
        <v>14049.625</v>
      </c>
      <c r="E36" s="276">
        <f>101725+5014.6</f>
        <v>106739.6</v>
      </c>
      <c r="F36" s="275">
        <f>413+16</f>
        <v>429</v>
      </c>
      <c r="G36" s="1253"/>
      <c r="H36" s="236"/>
      <c r="I36" s="196"/>
      <c r="J36" s="25"/>
      <c r="K36" s="24"/>
    </row>
    <row r="37" spans="1:11" s="446" customFormat="1" ht="12" customHeight="1" x14ac:dyDescent="0.2">
      <c r="A37" s="513" t="s">
        <v>2479</v>
      </c>
      <c r="B37" s="527" t="s">
        <v>554</v>
      </c>
      <c r="C37" s="237">
        <v>5199.3999999999996</v>
      </c>
      <c r="D37" s="237">
        <v>7661.3140000000003</v>
      </c>
      <c r="E37" s="237">
        <f>101731.8+5014.6</f>
        <v>106746.40000000001</v>
      </c>
      <c r="F37" s="236">
        <f>413+16</f>
        <v>429</v>
      </c>
      <c r="G37" s="1253"/>
      <c r="H37" s="24"/>
      <c r="I37" s="196"/>
      <c r="J37" s="25"/>
      <c r="K37" s="24"/>
    </row>
    <row r="38" spans="1:11" s="446" customFormat="1" ht="12" customHeight="1" x14ac:dyDescent="0.2">
      <c r="A38" s="513" t="s">
        <v>2479</v>
      </c>
      <c r="B38" s="491" t="s">
        <v>555</v>
      </c>
      <c r="C38" s="276">
        <v>5192.59</v>
      </c>
      <c r="D38" s="276">
        <v>10034.755999999999</v>
      </c>
      <c r="E38" s="276">
        <f>96818+5014.6</f>
        <v>101832.6</v>
      </c>
      <c r="F38" s="275">
        <f>397+16</f>
        <v>413</v>
      </c>
      <c r="G38" s="1253"/>
      <c r="H38" s="24"/>
      <c r="I38" s="196"/>
      <c r="J38" s="25"/>
      <c r="K38" s="24"/>
    </row>
    <row r="39" spans="1:11" s="446" customFormat="1" ht="12" customHeight="1" x14ac:dyDescent="0.2">
      <c r="A39" s="513" t="s">
        <v>2479</v>
      </c>
      <c r="B39" s="527" t="s">
        <v>548</v>
      </c>
      <c r="C39" s="237">
        <v>5216.4399999999996</v>
      </c>
      <c r="D39" s="237">
        <v>7247.3490000000002</v>
      </c>
      <c r="E39" s="237">
        <f>96821.7+5014.4</f>
        <v>101836.09999999999</v>
      </c>
      <c r="F39" s="236">
        <f>397+15</f>
        <v>412</v>
      </c>
      <c r="G39" s="1253"/>
      <c r="H39" s="24"/>
      <c r="I39" s="196"/>
      <c r="J39" s="25"/>
      <c r="K39" s="24"/>
    </row>
    <row r="40" spans="1:11" s="446" customFormat="1" ht="12" customHeight="1" x14ac:dyDescent="0.2">
      <c r="A40" s="513" t="s">
        <v>2479</v>
      </c>
      <c r="B40" s="491" t="s">
        <v>556</v>
      </c>
      <c r="C40" s="276">
        <v>5112.8999999999996</v>
      </c>
      <c r="D40" s="276">
        <v>8025.8990000000003</v>
      </c>
      <c r="E40" s="276">
        <f>101786.8+4964.4</f>
        <v>106751.2</v>
      </c>
      <c r="F40" s="275">
        <f>413+16</f>
        <v>429</v>
      </c>
      <c r="G40" s="1253"/>
      <c r="H40" s="24"/>
      <c r="I40" s="196"/>
      <c r="J40" s="25"/>
      <c r="K40" s="24"/>
    </row>
    <row r="41" spans="1:11" s="446" customFormat="1" ht="12" customHeight="1" x14ac:dyDescent="0.2">
      <c r="A41" s="513" t="s">
        <v>2479</v>
      </c>
      <c r="B41" s="527" t="s">
        <v>557</v>
      </c>
      <c r="C41" s="237">
        <v>5247.3</v>
      </c>
      <c r="D41" s="237">
        <v>9182.25</v>
      </c>
      <c r="E41" s="237">
        <f>96827.7+4964.4</f>
        <v>101792.09999999999</v>
      </c>
      <c r="F41" s="236">
        <f t="shared" ref="F41:F50" si="0">397+16</f>
        <v>413</v>
      </c>
      <c r="G41" s="1253"/>
      <c r="H41" s="24"/>
      <c r="I41" s="196"/>
      <c r="J41" s="25"/>
      <c r="K41" s="24"/>
    </row>
    <row r="42" spans="1:11" s="446" customFormat="1" ht="12" customHeight="1" x14ac:dyDescent="0.2">
      <c r="A42" s="513" t="s">
        <v>2479</v>
      </c>
      <c r="B42" s="491" t="s">
        <v>549</v>
      </c>
      <c r="C42" s="276">
        <v>5219.16</v>
      </c>
      <c r="D42" s="276">
        <v>7779.6329999999998</v>
      </c>
      <c r="E42" s="276">
        <f>96827.7+4964.4</f>
        <v>101792.09999999999</v>
      </c>
      <c r="F42" s="275">
        <f t="shared" si="0"/>
        <v>413</v>
      </c>
      <c r="G42" s="1253"/>
      <c r="H42" s="24"/>
      <c r="I42" s="196"/>
      <c r="J42" s="25"/>
      <c r="K42" s="24"/>
    </row>
    <row r="43" spans="1:11" s="446" customFormat="1" ht="12" customHeight="1" x14ac:dyDescent="0.2">
      <c r="A43" s="513" t="s">
        <v>2479</v>
      </c>
      <c r="B43" s="527" t="s">
        <v>558</v>
      </c>
      <c r="C43" s="237">
        <v>4917.99</v>
      </c>
      <c r="D43" s="237">
        <v>7160.8729999999996</v>
      </c>
      <c r="E43" s="237">
        <f>97238.2+4964.4</f>
        <v>102202.59999999999</v>
      </c>
      <c r="F43" s="236">
        <f t="shared" si="0"/>
        <v>413</v>
      </c>
      <c r="G43" s="1253"/>
      <c r="H43" s="24"/>
      <c r="I43" s="196"/>
      <c r="J43" s="25"/>
      <c r="K43" s="24"/>
    </row>
    <row r="44" spans="1:11" s="446" customFormat="1" ht="12" customHeight="1" x14ac:dyDescent="0.2">
      <c r="A44" s="513" t="s">
        <v>2479</v>
      </c>
      <c r="B44" s="491" t="s">
        <v>559</v>
      </c>
      <c r="C44" s="276">
        <v>4637.92</v>
      </c>
      <c r="D44" s="276">
        <v>7017.8130000000001</v>
      </c>
      <c r="E44" s="276">
        <f>98273.7+4964.4</f>
        <v>103238.09999999999</v>
      </c>
      <c r="F44" s="275">
        <f t="shared" si="0"/>
        <v>413</v>
      </c>
      <c r="G44" s="1253"/>
      <c r="H44" s="24"/>
      <c r="I44" s="196"/>
      <c r="J44" s="25"/>
      <c r="K44" s="24"/>
    </row>
    <row r="45" spans="1:11" s="446" customFormat="1" ht="12" customHeight="1" x14ac:dyDescent="0.2">
      <c r="A45" s="513" t="s">
        <v>2479</v>
      </c>
      <c r="B45" s="527" t="s">
        <v>550</v>
      </c>
      <c r="C45" s="237">
        <v>4838.3900000000003</v>
      </c>
      <c r="D45" s="237">
        <v>5362.6329999999998</v>
      </c>
      <c r="E45" s="237">
        <f>98280.7+4964.4</f>
        <v>103245.09999999999</v>
      </c>
      <c r="F45" s="236">
        <f t="shared" si="0"/>
        <v>413</v>
      </c>
      <c r="G45" s="1253"/>
      <c r="H45" s="24"/>
      <c r="I45" s="196"/>
      <c r="J45" s="25"/>
      <c r="K45" s="24"/>
    </row>
    <row r="46" spans="1:11" s="446" customFormat="1" ht="12" customHeight="1" x14ac:dyDescent="0.2">
      <c r="A46" s="559" t="s">
        <v>2730</v>
      </c>
      <c r="B46" s="491" t="s">
        <v>552</v>
      </c>
      <c r="C46" s="237">
        <v>5443.42</v>
      </c>
      <c r="D46" s="237">
        <v>15430.24</v>
      </c>
      <c r="E46" s="237">
        <f>98332.9+4964.4</f>
        <v>103297.29999999999</v>
      </c>
      <c r="F46" s="236">
        <f t="shared" si="0"/>
        <v>413</v>
      </c>
      <c r="G46" s="1253"/>
      <c r="H46" s="24"/>
      <c r="I46" s="196"/>
      <c r="J46" s="25"/>
      <c r="K46" s="24"/>
    </row>
    <row r="47" spans="1:11" s="446" customFormat="1" ht="12" customHeight="1" x14ac:dyDescent="0.2">
      <c r="A47" s="559" t="s">
        <v>2730</v>
      </c>
      <c r="B47" s="527" t="s">
        <v>553</v>
      </c>
      <c r="C47" s="276">
        <v>5594.39</v>
      </c>
      <c r="D47" s="276">
        <v>18653.123</v>
      </c>
      <c r="E47" s="276">
        <f>98283.5+4964.4</f>
        <v>103247.9</v>
      </c>
      <c r="F47" s="275">
        <f t="shared" si="0"/>
        <v>413</v>
      </c>
      <c r="G47" s="1253"/>
      <c r="H47" s="24"/>
      <c r="I47" s="196"/>
      <c r="J47" s="25"/>
      <c r="K47" s="24"/>
    </row>
    <row r="48" spans="1:11" s="446" customFormat="1" ht="12" customHeight="1" x14ac:dyDescent="0.2">
      <c r="A48" s="559" t="s">
        <v>2730</v>
      </c>
      <c r="B48" s="491" t="s">
        <v>547</v>
      </c>
      <c r="C48" s="237">
        <v>5415.79</v>
      </c>
      <c r="D48" s="237">
        <v>19228.092000000001</v>
      </c>
      <c r="E48" s="237">
        <f>98325.5+4964.4</f>
        <v>103289.9</v>
      </c>
      <c r="F48" s="236">
        <f t="shared" si="0"/>
        <v>413</v>
      </c>
      <c r="G48" s="1253"/>
      <c r="H48" s="24"/>
      <c r="I48" s="196"/>
      <c r="J48" s="25"/>
      <c r="K48" s="24"/>
    </row>
    <row r="49" spans="1:11" s="446" customFormat="1" ht="12" customHeight="1" x14ac:dyDescent="0.2">
      <c r="A49" s="559" t="s">
        <v>2730</v>
      </c>
      <c r="B49" s="527" t="s">
        <v>554</v>
      </c>
      <c r="C49" s="276">
        <v>5122.22</v>
      </c>
      <c r="D49" s="276">
        <v>10322.328</v>
      </c>
      <c r="E49" s="276">
        <f>98348.2+4964.4</f>
        <v>103312.59999999999</v>
      </c>
      <c r="F49" s="275">
        <f t="shared" si="0"/>
        <v>413</v>
      </c>
      <c r="G49" s="1253"/>
      <c r="H49" s="24"/>
      <c r="I49" s="196"/>
      <c r="J49" s="25"/>
      <c r="K49" s="24"/>
    </row>
    <row r="50" spans="1:11" s="446" customFormat="1" ht="12" customHeight="1" x14ac:dyDescent="0.2">
      <c r="A50" s="559" t="s">
        <v>2730</v>
      </c>
      <c r="B50" s="491" t="s">
        <v>555</v>
      </c>
      <c r="C50" s="237">
        <v>4978.7700000000004</v>
      </c>
      <c r="D50" s="237">
        <v>9299.8050000000003</v>
      </c>
      <c r="E50" s="237">
        <f>98364+4964.4</f>
        <v>103328.4</v>
      </c>
      <c r="F50" s="236">
        <f t="shared" si="0"/>
        <v>413</v>
      </c>
      <c r="G50" s="1253"/>
      <c r="H50" s="24"/>
      <c r="I50" s="196"/>
      <c r="J50" s="25"/>
      <c r="K50" s="24"/>
    </row>
    <row r="51" spans="1:11" s="446" customFormat="1" ht="12" customHeight="1" x14ac:dyDescent="0.2">
      <c r="A51" s="559" t="s">
        <v>2730</v>
      </c>
      <c r="B51" s="527" t="s">
        <v>548</v>
      </c>
      <c r="C51" s="276">
        <v>4865.34</v>
      </c>
      <c r="D51" s="276">
        <v>7686.0720000000001</v>
      </c>
      <c r="E51" s="276">
        <v>148014.31</v>
      </c>
      <c r="F51" s="275">
        <v>413</v>
      </c>
      <c r="G51" s="1253"/>
      <c r="H51" s="24"/>
      <c r="I51" s="196"/>
      <c r="J51" s="25"/>
      <c r="K51" s="24"/>
    </row>
    <row r="52" spans="1:11" s="446" customFormat="1" ht="12" customHeight="1" x14ac:dyDescent="0.2">
      <c r="A52" s="559" t="s">
        <v>2730</v>
      </c>
      <c r="B52" s="491" t="s">
        <v>556</v>
      </c>
      <c r="C52" s="237">
        <v>5154.3100000000004</v>
      </c>
      <c r="D52" s="237">
        <v>10417.695</v>
      </c>
      <c r="E52" s="237">
        <v>103320</v>
      </c>
      <c r="F52" s="236">
        <v>413</v>
      </c>
      <c r="G52" s="1253"/>
      <c r="H52" s="24"/>
      <c r="I52" s="196"/>
      <c r="J52" s="25"/>
      <c r="K52" s="24"/>
    </row>
    <row r="53" spans="1:11" s="446" customFormat="1" ht="12" customHeight="1" x14ac:dyDescent="0.2">
      <c r="A53" s="559" t="s">
        <v>2730</v>
      </c>
      <c r="B53" s="527" t="s">
        <v>557</v>
      </c>
      <c r="C53" s="276">
        <v>5600.27</v>
      </c>
      <c r="D53" s="276">
        <v>13495.955</v>
      </c>
      <c r="E53" s="276">
        <v>103320</v>
      </c>
      <c r="F53" s="275">
        <v>413</v>
      </c>
      <c r="G53" s="1253"/>
      <c r="H53" s="24"/>
      <c r="I53" s="196"/>
      <c r="J53" s="25"/>
      <c r="K53" s="24"/>
    </row>
    <row r="54" spans="1:11" s="446" customFormat="1" ht="12" customHeight="1" thickBot="1" x14ac:dyDescent="0.25">
      <c r="A54" s="559" t="s">
        <v>2730</v>
      </c>
      <c r="B54" s="1502" t="s">
        <v>549</v>
      </c>
      <c r="C54" s="642">
        <v>5178.3100000000004</v>
      </c>
      <c r="D54" s="642">
        <v>10215.32</v>
      </c>
      <c r="E54" s="642">
        <v>103258.2</v>
      </c>
      <c r="F54" s="1673">
        <v>412</v>
      </c>
      <c r="G54" s="1253"/>
      <c r="H54" s="24"/>
      <c r="I54" s="196"/>
      <c r="J54" s="25"/>
      <c r="K54" s="24"/>
    </row>
    <row r="55" spans="1:11" s="446" customFormat="1" ht="12" customHeight="1" x14ac:dyDescent="0.2">
      <c r="A55" s="222" t="s">
        <v>1827</v>
      </c>
      <c r="B55" s="222"/>
      <c r="C55" s="793"/>
      <c r="D55" s="793"/>
      <c r="E55" s="793"/>
      <c r="F55" s="793"/>
      <c r="G55" s="1253"/>
      <c r="H55" s="24"/>
      <c r="I55" s="196"/>
      <c r="J55" s="25"/>
      <c r="K55" s="24"/>
    </row>
    <row r="56" spans="1:11" s="446" customFormat="1" ht="10.7" customHeight="1" x14ac:dyDescent="0.2">
      <c r="A56" s="99" t="s">
        <v>1826</v>
      </c>
      <c r="B56" s="99"/>
      <c r="C56" s="23"/>
      <c r="D56" s="25"/>
      <c r="E56" s="205" t="s">
        <v>1534</v>
      </c>
      <c r="F56" s="162"/>
      <c r="G56" s="1253"/>
      <c r="H56" s="24"/>
      <c r="I56" s="196"/>
      <c r="J56" s="25"/>
      <c r="K56" s="24"/>
    </row>
    <row r="57" spans="1:11" s="446" customFormat="1" ht="10.7" customHeight="1" x14ac:dyDescent="0.2">
      <c r="G57" s="1253"/>
      <c r="H57" s="24"/>
      <c r="I57" s="196"/>
      <c r="J57" s="25"/>
      <c r="K57" s="24"/>
    </row>
    <row r="58" spans="1:11" s="446" customFormat="1" ht="10.7" customHeight="1" x14ac:dyDescent="0.2">
      <c r="G58" s="1253"/>
      <c r="H58" s="24"/>
      <c r="I58" s="196"/>
      <c r="J58" s="25"/>
      <c r="K58" s="24"/>
    </row>
    <row r="59" spans="1:11" s="446" customFormat="1" ht="10.7" customHeight="1" x14ac:dyDescent="0.2">
      <c r="G59" s="1253"/>
      <c r="H59" s="24"/>
      <c r="I59" s="196"/>
      <c r="J59" s="25"/>
      <c r="K59" s="24"/>
    </row>
    <row r="60" spans="1:11" s="446" customFormat="1" ht="10.7" customHeight="1" x14ac:dyDescent="0.2">
      <c r="G60" s="1253"/>
      <c r="H60" s="24"/>
      <c r="I60" s="196"/>
      <c r="J60" s="25"/>
      <c r="K60" s="24"/>
    </row>
    <row r="61" spans="1:11" s="446" customFormat="1" ht="10.7" customHeight="1" x14ac:dyDescent="0.2">
      <c r="G61" s="1253"/>
      <c r="H61" s="24"/>
      <c r="I61" s="196"/>
      <c r="J61" s="25"/>
      <c r="K61" s="24"/>
    </row>
    <row r="62" spans="1:11" s="446" customFormat="1" ht="10.7" customHeight="1" x14ac:dyDescent="0.2">
      <c r="G62" s="1253"/>
      <c r="H62" s="24"/>
      <c r="I62" s="196"/>
      <c r="J62" s="25"/>
      <c r="K62" s="24"/>
    </row>
    <row r="63" spans="1:11" s="446" customFormat="1" ht="10.7" customHeight="1" x14ac:dyDescent="0.2">
      <c r="G63" s="1253"/>
      <c r="H63" s="24"/>
      <c r="I63" s="196"/>
      <c r="J63" s="25"/>
      <c r="K63" s="24"/>
    </row>
    <row r="64" spans="1:11" s="446" customFormat="1" ht="10.7" customHeight="1" x14ac:dyDescent="0.2">
      <c r="G64" s="1253"/>
      <c r="H64" s="24"/>
      <c r="I64" s="196"/>
      <c r="J64" s="25"/>
      <c r="K64" s="24"/>
    </row>
    <row r="65" spans="1:11" s="446" customFormat="1" ht="11.25" customHeight="1" x14ac:dyDescent="0.2">
      <c r="G65" s="1253"/>
      <c r="H65" s="24"/>
      <c r="I65" s="196"/>
      <c r="J65" s="25"/>
      <c r="K65" s="24"/>
    </row>
    <row r="66" spans="1:11" s="446" customFormat="1" ht="11.25" customHeight="1" x14ac:dyDescent="0.2">
      <c r="G66" s="1253"/>
      <c r="H66" s="24"/>
      <c r="I66" s="196"/>
      <c r="J66" s="25"/>
      <c r="K66" s="24"/>
    </row>
    <row r="67" spans="1:11" s="446" customFormat="1" ht="11.1" customHeight="1" x14ac:dyDescent="0.2">
      <c r="G67" s="1253"/>
      <c r="H67" s="24"/>
      <c r="I67" s="196"/>
      <c r="J67" s="25"/>
      <c r="K67" s="24"/>
    </row>
    <row r="68" spans="1:11" s="446" customFormat="1" ht="11.1" customHeight="1" x14ac:dyDescent="0.2">
      <c r="D68" s="236"/>
      <c r="G68" s="1253"/>
      <c r="H68" s="24"/>
      <c r="I68" s="196"/>
      <c r="J68" s="25"/>
      <c r="K68" s="24"/>
    </row>
    <row r="69" spans="1:11" s="446" customFormat="1" ht="11.1" customHeight="1" x14ac:dyDescent="0.2">
      <c r="F69" s="806"/>
      <c r="G69" s="1253"/>
      <c r="H69" s="24"/>
      <c r="I69" s="196"/>
      <c r="J69" s="25"/>
      <c r="K69" s="24"/>
    </row>
    <row r="70" spans="1:11" s="446" customFormat="1" ht="11.1" customHeight="1" x14ac:dyDescent="0.2">
      <c r="E70" s="807"/>
      <c r="F70" s="808"/>
      <c r="G70" s="1253"/>
      <c r="H70" s="24"/>
      <c r="I70" s="196"/>
      <c r="J70" s="25"/>
      <c r="K70" s="24"/>
    </row>
    <row r="71" spans="1:11" s="446" customFormat="1" ht="11.1" customHeight="1" x14ac:dyDescent="0.2">
      <c r="G71" s="1253"/>
      <c r="H71" s="24"/>
      <c r="I71" s="196"/>
      <c r="J71" s="25"/>
      <c r="K71" s="24"/>
    </row>
    <row r="72" spans="1:11" s="446" customFormat="1" ht="11.1" customHeight="1" x14ac:dyDescent="0.2">
      <c r="G72" s="1253"/>
      <c r="H72" s="24"/>
      <c r="I72" s="196"/>
      <c r="J72" s="25"/>
      <c r="K72" s="24"/>
    </row>
    <row r="73" spans="1:11" s="446" customFormat="1" ht="11.1" customHeight="1" x14ac:dyDescent="0.2">
      <c r="G73" s="1253"/>
      <c r="H73" s="24"/>
      <c r="I73" s="196"/>
      <c r="J73" s="25"/>
      <c r="K73" s="24"/>
    </row>
    <row r="74" spans="1:11" s="446" customFormat="1" ht="11.1" customHeight="1" x14ac:dyDescent="0.2">
      <c r="G74" s="1253"/>
      <c r="H74" s="24"/>
      <c r="I74" s="196"/>
      <c r="J74" s="25"/>
      <c r="K74" s="24"/>
    </row>
    <row r="75" spans="1:11" s="446" customFormat="1" ht="11.1" customHeight="1" x14ac:dyDescent="0.2">
      <c r="G75" s="1253"/>
      <c r="H75" s="24"/>
      <c r="I75" s="196"/>
      <c r="J75" s="25"/>
      <c r="K75" s="24"/>
    </row>
    <row r="76" spans="1:11" s="446" customFormat="1" ht="11.1" customHeight="1" x14ac:dyDescent="0.2">
      <c r="G76" s="1253"/>
      <c r="H76" s="24"/>
      <c r="I76" s="196"/>
      <c r="J76" s="25"/>
      <c r="K76" s="24"/>
    </row>
    <row r="77" spans="1:11" s="446" customFormat="1" ht="11.1" customHeight="1" x14ac:dyDescent="0.2">
      <c r="G77" s="1253"/>
      <c r="H77" s="24"/>
      <c r="I77" s="196"/>
      <c r="J77" s="25"/>
      <c r="K77" s="24"/>
    </row>
    <row r="78" spans="1:11" s="446" customFormat="1" ht="11.1" customHeight="1" x14ac:dyDescent="0.2">
      <c r="G78" s="1253"/>
      <c r="H78" s="24"/>
      <c r="I78" s="196"/>
      <c r="J78" s="25"/>
      <c r="K78" s="24"/>
    </row>
    <row r="79" spans="1:11" s="446" customFormat="1" ht="11.1" customHeight="1" x14ac:dyDescent="0.2">
      <c r="A79" s="68"/>
      <c r="B79" s="68"/>
      <c r="C79" s="68"/>
      <c r="D79" s="68"/>
      <c r="E79" s="68"/>
      <c r="F79" s="68"/>
      <c r="G79" s="1253"/>
      <c r="H79" s="24"/>
      <c r="I79" s="196"/>
      <c r="J79" s="25"/>
      <c r="K79" s="24"/>
    </row>
    <row r="80" spans="1:11" s="446" customFormat="1" ht="11.1" customHeight="1" x14ac:dyDescent="0.2">
      <c r="A80" s="68"/>
      <c r="B80" s="68"/>
      <c r="C80" s="68"/>
      <c r="D80" s="68"/>
      <c r="E80" s="68"/>
      <c r="F80" s="68"/>
      <c r="G80" s="1253"/>
      <c r="H80" s="24"/>
      <c r="I80" s="196"/>
      <c r="J80" s="25"/>
      <c r="K80" s="24"/>
    </row>
    <row r="81" spans="1:11" s="446" customFormat="1" ht="11.1" customHeight="1" x14ac:dyDescent="0.2">
      <c r="A81" s="68"/>
      <c r="B81" s="68"/>
      <c r="C81" s="68"/>
      <c r="D81" s="68"/>
      <c r="E81" s="68"/>
      <c r="F81" s="68"/>
      <c r="G81" s="1253"/>
      <c r="H81" s="24"/>
      <c r="I81" s="196"/>
      <c r="J81" s="25"/>
      <c r="K81" s="24"/>
    </row>
    <row r="82" spans="1:11" s="446" customFormat="1" ht="11.1" customHeight="1" x14ac:dyDescent="0.2">
      <c r="A82" s="68"/>
      <c r="B82" s="68"/>
      <c r="C82" s="68"/>
      <c r="D82" s="68"/>
      <c r="E82" s="68"/>
      <c r="F82" s="68"/>
      <c r="G82" s="1253"/>
      <c r="H82" s="24"/>
      <c r="I82" s="196"/>
      <c r="J82" s="25"/>
      <c r="K82" s="24"/>
    </row>
    <row r="83" spans="1:11" s="446" customFormat="1" ht="11.1" customHeight="1" x14ac:dyDescent="0.2">
      <c r="A83" s="68"/>
      <c r="B83" s="68"/>
      <c r="C83" s="68"/>
      <c r="D83" s="68"/>
      <c r="E83" s="68"/>
      <c r="F83" s="68"/>
      <c r="G83" s="1253"/>
      <c r="H83" s="24"/>
      <c r="I83" s="196"/>
      <c r="J83" s="25"/>
      <c r="K83" s="24"/>
    </row>
    <row r="84" spans="1:11" s="446" customFormat="1" ht="11.1" customHeight="1" x14ac:dyDescent="0.2">
      <c r="A84" s="68"/>
      <c r="B84" s="68"/>
      <c r="C84" s="68"/>
      <c r="D84" s="68"/>
      <c r="E84" s="68"/>
      <c r="F84" s="68"/>
      <c r="G84" s="1253"/>
      <c r="H84" s="24"/>
      <c r="I84" s="196"/>
      <c r="J84" s="25"/>
      <c r="K84" s="24"/>
    </row>
    <row r="85" spans="1:11" s="446" customFormat="1" ht="11.1" customHeight="1" x14ac:dyDescent="0.2">
      <c r="A85" s="68"/>
      <c r="B85" s="68"/>
      <c r="C85" s="68"/>
      <c r="D85" s="68"/>
      <c r="E85" s="68"/>
      <c r="F85" s="68"/>
      <c r="G85" s="1253"/>
      <c r="H85" s="24"/>
      <c r="I85" s="196"/>
      <c r="J85" s="25"/>
      <c r="K85" s="24"/>
    </row>
    <row r="86" spans="1:11" s="446" customFormat="1" ht="11.1" customHeight="1" x14ac:dyDescent="0.2">
      <c r="A86" s="68"/>
      <c r="B86" s="68"/>
      <c r="C86" s="68"/>
      <c r="D86" s="68"/>
      <c r="E86" s="68"/>
      <c r="F86" s="68"/>
      <c r="G86" s="1253"/>
      <c r="H86" s="24"/>
      <c r="I86" s="196"/>
      <c r="J86" s="25"/>
      <c r="K86" s="24"/>
    </row>
    <row r="87" spans="1:11" s="446" customFormat="1" ht="11.1" customHeight="1" x14ac:dyDescent="0.2">
      <c r="A87" s="68"/>
      <c r="B87" s="68"/>
      <c r="C87" s="68"/>
      <c r="D87" s="68"/>
      <c r="E87" s="68"/>
      <c r="F87" s="68"/>
      <c r="G87" s="1253"/>
      <c r="H87" s="24"/>
      <c r="I87" s="196"/>
      <c r="J87" s="25"/>
      <c r="K87" s="24"/>
    </row>
    <row r="88" spans="1:11" s="446" customFormat="1" ht="11.1" customHeight="1" x14ac:dyDescent="0.2">
      <c r="A88" s="68"/>
      <c r="B88" s="68"/>
      <c r="C88" s="68"/>
      <c r="D88" s="68"/>
      <c r="E88" s="68"/>
      <c r="F88" s="68"/>
      <c r="G88" s="1253"/>
      <c r="H88" s="24"/>
      <c r="I88" s="196"/>
      <c r="J88" s="25"/>
      <c r="K88" s="24"/>
    </row>
    <row r="89" spans="1:11" s="446" customFormat="1" ht="11.1" customHeight="1" x14ac:dyDescent="0.2">
      <c r="A89" s="68"/>
      <c r="B89" s="68"/>
      <c r="C89" s="68"/>
      <c r="D89" s="68"/>
      <c r="E89" s="68"/>
      <c r="F89" s="68"/>
      <c r="G89" s="1253"/>
      <c r="H89" s="24"/>
      <c r="I89" s="196"/>
      <c r="J89" s="25"/>
      <c r="K89" s="24"/>
    </row>
    <row r="90" spans="1:11" s="446" customFormat="1" ht="11.1" customHeight="1" x14ac:dyDescent="0.2">
      <c r="A90" s="68"/>
      <c r="B90" s="68"/>
      <c r="C90" s="68"/>
      <c r="D90" s="68"/>
      <c r="E90" s="68"/>
      <c r="F90" s="68"/>
      <c r="G90" s="1253"/>
      <c r="H90" s="24"/>
      <c r="I90" s="196"/>
      <c r="J90" s="25"/>
      <c r="K90" s="24"/>
    </row>
    <row r="91" spans="1:11" s="446" customFormat="1" ht="11.1" customHeight="1" x14ac:dyDescent="0.2">
      <c r="A91" s="68"/>
      <c r="B91" s="68"/>
      <c r="C91" s="68"/>
      <c r="D91" s="68"/>
      <c r="E91" s="68"/>
      <c r="F91" s="68"/>
      <c r="G91" s="1253"/>
      <c r="H91" s="24"/>
      <c r="I91" s="196"/>
      <c r="J91" s="25"/>
      <c r="K91" s="24"/>
    </row>
    <row r="92" spans="1:11" s="446" customFormat="1" ht="11.1" customHeight="1" x14ac:dyDescent="0.2">
      <c r="A92" s="68"/>
      <c r="B92" s="68"/>
      <c r="C92" s="68"/>
      <c r="D92" s="68"/>
      <c r="E92" s="68"/>
      <c r="F92" s="68"/>
      <c r="G92" s="1253"/>
      <c r="H92" s="24"/>
      <c r="I92" s="196"/>
      <c r="J92" s="25"/>
      <c r="K92" s="24"/>
    </row>
    <row r="93" spans="1:11" s="446" customFormat="1" ht="11.1" customHeight="1" x14ac:dyDescent="0.2">
      <c r="A93" s="68"/>
      <c r="B93" s="68"/>
      <c r="C93" s="68"/>
      <c r="D93" s="68"/>
      <c r="E93" s="68"/>
      <c r="F93" s="68"/>
      <c r="G93" s="1253"/>
      <c r="H93" s="24"/>
      <c r="I93" s="196"/>
      <c r="J93" s="25"/>
      <c r="K93" s="24"/>
    </row>
    <row r="94" spans="1:11" s="446" customFormat="1" ht="11.1" customHeight="1" x14ac:dyDescent="0.2">
      <c r="A94" s="68"/>
      <c r="B94" s="68"/>
      <c r="C94" s="68"/>
      <c r="D94" s="68"/>
      <c r="E94" s="68"/>
      <c r="F94" s="68"/>
      <c r="G94" s="1253"/>
      <c r="H94" s="24"/>
      <c r="I94" s="196"/>
      <c r="J94" s="25"/>
      <c r="K94" s="24"/>
    </row>
    <row r="95" spans="1:11" s="446" customFormat="1" ht="11.1" customHeight="1" x14ac:dyDescent="0.2">
      <c r="A95" s="68"/>
      <c r="B95" s="68"/>
      <c r="C95" s="68"/>
      <c r="D95" s="68"/>
      <c r="E95" s="68"/>
      <c r="F95" s="68"/>
      <c r="G95" s="1253"/>
      <c r="H95" s="24"/>
      <c r="I95" s="196"/>
      <c r="J95" s="25"/>
      <c r="K95" s="24"/>
    </row>
    <row r="96" spans="1:11" s="446" customFormat="1" ht="11.1" customHeight="1" x14ac:dyDescent="0.2">
      <c r="G96" s="1253"/>
      <c r="H96" s="24"/>
      <c r="I96" s="196"/>
      <c r="J96" s="25"/>
      <c r="K96" s="24"/>
    </row>
    <row r="97" spans="1:11" s="446" customFormat="1" ht="11.1" customHeight="1" x14ac:dyDescent="0.2">
      <c r="A97" s="2"/>
      <c r="B97" s="2"/>
      <c r="C97" s="2"/>
      <c r="D97" s="2"/>
      <c r="E97" s="2"/>
      <c r="F97" s="2"/>
      <c r="G97" s="1253"/>
      <c r="H97" s="24"/>
      <c r="I97" s="196"/>
      <c r="J97" s="25"/>
      <c r="K97" s="24"/>
    </row>
    <row r="98" spans="1:11" s="446" customFormat="1" ht="11.1" customHeight="1" x14ac:dyDescent="0.2">
      <c r="A98" s="2"/>
      <c r="B98" s="2"/>
      <c r="C98" s="2"/>
      <c r="D98" s="2"/>
      <c r="E98" s="2"/>
      <c r="F98" s="2"/>
      <c r="G98" s="1253"/>
      <c r="H98" s="24"/>
      <c r="I98" s="196"/>
      <c r="J98" s="25"/>
      <c r="K98" s="24"/>
    </row>
    <row r="99" spans="1:11" s="446" customFormat="1" ht="11.1" customHeight="1" x14ac:dyDescent="0.2">
      <c r="A99" s="93"/>
      <c r="B99" s="93"/>
      <c r="C99" s="94"/>
      <c r="D99" s="94"/>
      <c r="E99" s="98"/>
      <c r="F99" s="815"/>
      <c r="G99" s="1253"/>
      <c r="H99" s="24"/>
      <c r="I99" s="196"/>
      <c r="J99" s="25"/>
      <c r="K99" s="24"/>
    </row>
    <row r="100" spans="1:11" s="446" customFormat="1" ht="11.1" customHeight="1" x14ac:dyDescent="0.2">
      <c r="A100" s="96"/>
      <c r="B100" s="96"/>
      <c r="C100" s="97"/>
      <c r="D100" s="97"/>
      <c r="E100" s="98"/>
      <c r="F100" s="80"/>
      <c r="G100" s="1253"/>
      <c r="H100" s="24"/>
      <c r="I100" s="196"/>
      <c r="J100" s="25"/>
      <c r="K100" s="24"/>
    </row>
    <row r="101" spans="1:11" s="446" customFormat="1" ht="11.25" customHeight="1" x14ac:dyDescent="0.2">
      <c r="A101" s="96"/>
      <c r="B101" s="96"/>
      <c r="C101" s="97"/>
      <c r="D101" s="97"/>
      <c r="E101" s="98"/>
      <c r="F101" s="80"/>
      <c r="G101" s="1253"/>
      <c r="H101" s="24"/>
      <c r="I101" s="196"/>
      <c r="J101" s="25"/>
      <c r="K101" s="24"/>
    </row>
    <row r="102" spans="1:11" s="68" customFormat="1" ht="9.9499999999999993" customHeight="1" x14ac:dyDescent="0.2">
      <c r="A102" s="96"/>
      <c r="B102" s="96"/>
      <c r="C102" s="97"/>
      <c r="D102" s="97"/>
      <c r="E102" s="98"/>
      <c r="F102" s="80"/>
      <c r="G102" s="1253"/>
      <c r="H102" s="24"/>
      <c r="I102" s="196"/>
      <c r="J102" s="25"/>
      <c r="K102" s="24"/>
    </row>
    <row r="103" spans="1:11" s="68" customFormat="1" ht="10.5" customHeight="1" x14ac:dyDescent="0.2">
      <c r="A103" s="96"/>
      <c r="B103" s="96"/>
      <c r="C103" s="97"/>
      <c r="D103" s="97"/>
      <c r="E103" s="98"/>
      <c r="F103" s="80"/>
      <c r="G103" s="1253"/>
      <c r="H103" s="24"/>
      <c r="I103" s="196"/>
      <c r="J103" s="25"/>
      <c r="K103" s="24"/>
    </row>
    <row r="104" spans="1:11" s="68" customFormat="1" ht="15.75" customHeight="1" x14ac:dyDescent="0.2">
      <c r="A104" s="96"/>
      <c r="B104" s="96"/>
      <c r="C104" s="97"/>
      <c r="D104" s="97"/>
      <c r="E104" s="98"/>
      <c r="F104" s="80"/>
      <c r="G104" s="1253"/>
      <c r="H104" s="313"/>
      <c r="I104" s="313"/>
      <c r="J104" s="25"/>
      <c r="K104" s="24"/>
    </row>
    <row r="105" spans="1:11" s="68" customFormat="1" ht="13.5" customHeight="1" x14ac:dyDescent="0.2">
      <c r="A105" s="96"/>
      <c r="B105" s="96"/>
      <c r="C105" s="97"/>
      <c r="D105" s="97"/>
      <c r="E105" s="98"/>
      <c r="F105" s="80"/>
      <c r="G105" s="1253"/>
      <c r="H105" s="313"/>
      <c r="I105" s="313"/>
      <c r="J105" s="25"/>
      <c r="K105" s="24"/>
    </row>
    <row r="106" spans="1:11" s="68" customFormat="1" ht="9" customHeight="1" x14ac:dyDescent="0.2">
      <c r="A106" s="96"/>
      <c r="B106" s="96"/>
      <c r="C106" s="97"/>
      <c r="D106" s="97"/>
      <c r="E106" s="98"/>
      <c r="F106" s="80"/>
      <c r="G106" s="1253"/>
      <c r="H106" s="313"/>
      <c r="I106" s="313"/>
      <c r="J106" s="25"/>
      <c r="K106" s="24"/>
    </row>
    <row r="107" spans="1:11" s="68" customFormat="1" ht="8.85" customHeight="1" x14ac:dyDescent="0.2">
      <c r="A107" s="96"/>
      <c r="B107" s="96"/>
      <c r="C107" s="97"/>
      <c r="D107" s="97"/>
      <c r="E107" s="98"/>
      <c r="F107" s="80"/>
      <c r="G107" s="1253"/>
      <c r="H107" s="313"/>
      <c r="I107" s="313"/>
      <c r="J107" s="25"/>
      <c r="K107" s="24"/>
    </row>
    <row r="108" spans="1:11" s="68" customFormat="1" ht="8.85" customHeight="1" x14ac:dyDescent="0.2">
      <c r="A108" s="96"/>
      <c r="B108" s="96"/>
      <c r="C108" s="97"/>
      <c r="D108" s="97"/>
      <c r="E108" s="98"/>
      <c r="F108" s="80"/>
      <c r="G108" s="1253"/>
      <c r="H108" s="313"/>
      <c r="I108" s="313"/>
      <c r="J108" s="25"/>
      <c r="K108" s="24"/>
    </row>
    <row r="109" spans="1:11" s="68" customFormat="1" ht="8.85" customHeight="1" x14ac:dyDescent="0.2">
      <c r="A109" s="96"/>
      <c r="B109" s="96"/>
      <c r="C109" s="97"/>
      <c r="D109" s="97"/>
      <c r="E109" s="98"/>
      <c r="F109" s="80"/>
      <c r="G109" s="1253"/>
      <c r="H109" s="313"/>
      <c r="I109" s="313"/>
      <c r="J109" s="25"/>
      <c r="K109" s="24"/>
    </row>
    <row r="110" spans="1:11" s="68" customFormat="1" ht="8.85" customHeight="1" x14ac:dyDescent="0.2">
      <c r="A110" s="96"/>
      <c r="B110" s="96"/>
      <c r="C110" s="97"/>
      <c r="D110" s="97"/>
      <c r="E110" s="98"/>
      <c r="F110" s="80"/>
      <c r="G110" s="1253"/>
      <c r="H110" s="313"/>
      <c r="I110" s="313"/>
      <c r="J110" s="25"/>
      <c r="K110" s="24"/>
    </row>
    <row r="111" spans="1:11" s="68" customFormat="1" ht="8.85" customHeight="1" x14ac:dyDescent="0.2">
      <c r="A111" s="2"/>
      <c r="B111" s="2"/>
      <c r="C111" s="89"/>
      <c r="D111" s="89"/>
      <c r="E111" s="89"/>
      <c r="F111" s="89"/>
      <c r="G111" s="1253"/>
      <c r="H111" s="313"/>
      <c r="I111" s="313"/>
      <c r="J111" s="25"/>
      <c r="K111" s="24"/>
    </row>
    <row r="112" spans="1:11" s="68" customFormat="1" ht="8.85" customHeight="1" x14ac:dyDescent="0.2">
      <c r="A112" s="2"/>
      <c r="B112" s="2"/>
      <c r="C112" s="89"/>
      <c r="D112" s="89"/>
      <c r="E112" s="89"/>
      <c r="F112" s="89"/>
      <c r="G112" s="1253"/>
      <c r="H112" s="313"/>
      <c r="I112" s="313"/>
      <c r="J112" s="25"/>
      <c r="K112" s="24"/>
    </row>
    <row r="113" spans="1:11" s="68" customFormat="1" ht="9.9499999999999993" customHeight="1" x14ac:dyDescent="0.2">
      <c r="A113" s="2"/>
      <c r="B113" s="2"/>
      <c r="C113" s="89"/>
      <c r="D113" s="89"/>
      <c r="E113" s="89"/>
      <c r="F113" s="89"/>
      <c r="G113" s="1254"/>
      <c r="H113" s="446"/>
      <c r="I113" s="446"/>
      <c r="J113" s="446"/>
      <c r="K113" s="446"/>
    </row>
    <row r="114" spans="1:11" s="68" customFormat="1" ht="9.9499999999999993" customHeight="1" x14ac:dyDescent="0.2">
      <c r="A114" s="2"/>
      <c r="B114" s="2"/>
      <c r="C114" s="89"/>
      <c r="D114" s="89"/>
      <c r="E114" s="89"/>
      <c r="F114" s="89"/>
      <c r="G114" s="1254"/>
      <c r="H114" s="446"/>
      <c r="I114" s="446"/>
      <c r="J114" s="446"/>
      <c r="K114" s="446"/>
    </row>
    <row r="115" spans="1:11" s="68" customFormat="1" ht="9.9499999999999993" customHeight="1" x14ac:dyDescent="0.2">
      <c r="A115" s="96"/>
      <c r="B115" s="96"/>
      <c r="C115" s="94"/>
      <c r="D115" s="97"/>
      <c r="E115" s="98"/>
      <c r="F115" s="80"/>
      <c r="G115" s="1254"/>
      <c r="H115" s="446"/>
      <c r="I115" s="446"/>
      <c r="J115" s="446"/>
      <c r="K115" s="446"/>
    </row>
    <row r="116" spans="1:11" s="68" customFormat="1" ht="11.1" customHeight="1" x14ac:dyDescent="0.2">
      <c r="A116" s="96"/>
      <c r="B116" s="96"/>
      <c r="C116" s="94"/>
      <c r="D116" s="97"/>
      <c r="E116" s="98"/>
      <c r="F116" s="80"/>
      <c r="G116" s="1254"/>
      <c r="H116" s="446"/>
      <c r="I116" s="446"/>
      <c r="J116" s="446"/>
      <c r="K116" s="446"/>
    </row>
    <row r="117" spans="1:11" s="68" customFormat="1" ht="11.1" customHeight="1" x14ac:dyDescent="0.2">
      <c r="A117" s="96"/>
      <c r="B117" s="96"/>
      <c r="C117" s="97"/>
      <c r="D117" s="94"/>
      <c r="E117" s="98"/>
      <c r="F117" s="80"/>
      <c r="G117" s="1254"/>
      <c r="H117" s="446"/>
      <c r="I117" s="446"/>
      <c r="J117" s="446"/>
      <c r="K117" s="446"/>
    </row>
    <row r="118" spans="1:11" s="68" customFormat="1" ht="11.1" customHeight="1" x14ac:dyDescent="0.2">
      <c r="A118" s="96"/>
      <c r="B118" s="96"/>
      <c r="C118" s="97"/>
      <c r="D118" s="97"/>
      <c r="E118" s="98"/>
      <c r="F118" s="80"/>
      <c r="G118" s="1254"/>
      <c r="H118" s="446"/>
      <c r="I118" s="446"/>
      <c r="J118" s="446"/>
      <c r="K118" s="446"/>
    </row>
    <row r="119" spans="1:11" s="68" customFormat="1" ht="11.1" customHeight="1" x14ac:dyDescent="0.2">
      <c r="A119" s="96"/>
      <c r="B119" s="96"/>
      <c r="C119" s="94"/>
      <c r="D119" s="97"/>
      <c r="E119" s="98"/>
      <c r="F119" s="80"/>
      <c r="G119" s="1254"/>
      <c r="H119" s="446"/>
      <c r="I119" s="446"/>
      <c r="J119" s="446"/>
      <c r="K119" s="446"/>
    </row>
    <row r="120" spans="1:11" s="446" customFormat="1" ht="11.1" customHeight="1" x14ac:dyDescent="0.2">
      <c r="A120" s="96"/>
      <c r="B120" s="96"/>
      <c r="C120" s="80"/>
      <c r="D120" s="97"/>
      <c r="E120" s="98"/>
      <c r="F120" s="80"/>
      <c r="G120" s="1254"/>
    </row>
    <row r="121" spans="1:11" ht="11.1" customHeight="1" x14ac:dyDescent="0.2">
      <c r="A121" s="96"/>
      <c r="B121" s="96"/>
      <c r="C121" s="815"/>
      <c r="D121" s="94"/>
      <c r="E121" s="98"/>
      <c r="F121" s="80"/>
      <c r="G121" s="1254"/>
      <c r="H121" s="446"/>
      <c r="I121" s="446"/>
      <c r="J121" s="446"/>
      <c r="K121" s="446"/>
    </row>
    <row r="122" spans="1:11" ht="11.1" customHeight="1" x14ac:dyDescent="0.2">
      <c r="G122" s="1254"/>
      <c r="H122" s="446"/>
      <c r="I122" s="446"/>
      <c r="J122" s="446"/>
      <c r="K122" s="446"/>
    </row>
    <row r="123" spans="1:11" x14ac:dyDescent="0.2">
      <c r="A123" s="96"/>
      <c r="B123" s="96"/>
      <c r="C123" s="98"/>
      <c r="D123" s="98"/>
      <c r="E123" s="98"/>
      <c r="F123" s="80"/>
      <c r="G123" s="1254"/>
      <c r="H123" s="446"/>
      <c r="I123" s="446"/>
      <c r="J123" s="446"/>
      <c r="K123" s="446"/>
    </row>
    <row r="124" spans="1:11" x14ac:dyDescent="0.2">
      <c r="A124" s="96"/>
      <c r="B124" s="96"/>
      <c r="C124" s="98"/>
      <c r="D124" s="98"/>
      <c r="E124" s="98"/>
      <c r="F124" s="80"/>
      <c r="G124" s="1254"/>
      <c r="H124" s="446"/>
      <c r="I124" s="446"/>
      <c r="J124" s="446"/>
      <c r="K124" s="446"/>
    </row>
    <row r="125" spans="1:11" x14ac:dyDescent="0.2">
      <c r="G125" s="1254"/>
      <c r="H125" s="446"/>
      <c r="I125" s="446"/>
      <c r="J125" s="446"/>
      <c r="K125" s="446"/>
    </row>
    <row r="126" spans="1:11" x14ac:dyDescent="0.2">
      <c r="A126" s="96"/>
      <c r="B126" s="96"/>
      <c r="C126" s="2"/>
      <c r="D126" s="2"/>
      <c r="E126" s="98"/>
      <c r="F126" s="80"/>
      <c r="H126" s="446"/>
      <c r="I126" s="446"/>
      <c r="J126" s="446"/>
      <c r="K126" s="446"/>
    </row>
    <row r="127" spans="1:11" x14ac:dyDescent="0.2">
      <c r="A127" s="96"/>
      <c r="B127" s="96"/>
      <c r="C127" s="80"/>
      <c r="D127" s="80"/>
      <c r="E127" s="98"/>
      <c r="F127" s="80"/>
      <c r="H127" s="446"/>
      <c r="I127" s="446"/>
      <c r="J127" s="446"/>
      <c r="K127" s="446"/>
    </row>
    <row r="128" spans="1:11" x14ac:dyDescent="0.2">
      <c r="H128" s="446"/>
      <c r="I128" s="446"/>
      <c r="J128" s="446"/>
      <c r="K128" s="446"/>
    </row>
    <row r="129" spans="1:11" x14ac:dyDescent="0.2">
      <c r="A129" s="96"/>
      <c r="B129" s="96"/>
      <c r="C129" s="80"/>
      <c r="D129" s="80"/>
      <c r="E129" s="98"/>
      <c r="F129" s="80"/>
      <c r="H129" s="446"/>
      <c r="I129" s="446"/>
      <c r="J129" s="446"/>
      <c r="K129" s="446"/>
    </row>
    <row r="130" spans="1:11" x14ac:dyDescent="0.2">
      <c r="A130" s="96"/>
      <c r="B130" s="96"/>
      <c r="C130" s="80"/>
      <c r="D130" s="80"/>
      <c r="E130" s="98"/>
      <c r="F130" s="80"/>
      <c r="H130" s="446"/>
      <c r="I130" s="446"/>
      <c r="J130" s="446"/>
      <c r="K130" s="446"/>
    </row>
    <row r="131" spans="1:11" x14ac:dyDescent="0.2">
      <c r="H131" s="446"/>
      <c r="I131" s="446"/>
      <c r="J131" s="446"/>
      <c r="K131" s="446"/>
    </row>
    <row r="132" spans="1:11" x14ac:dyDescent="0.2">
      <c r="A132" s="96"/>
      <c r="B132" s="96"/>
      <c r="C132" s="80"/>
      <c r="D132" s="97"/>
      <c r="E132" s="98"/>
      <c r="F132" s="80"/>
      <c r="H132" s="446"/>
      <c r="I132" s="446"/>
      <c r="J132" s="446"/>
      <c r="K132" s="446"/>
    </row>
    <row r="133" spans="1:11" x14ac:dyDescent="0.2">
      <c r="A133" s="96"/>
      <c r="B133" s="96"/>
      <c r="C133" s="94"/>
      <c r="D133" s="815"/>
      <c r="E133" s="98"/>
      <c r="F133" s="80"/>
      <c r="H133" s="446"/>
      <c r="I133" s="446"/>
      <c r="J133" s="446"/>
      <c r="K133" s="446"/>
    </row>
    <row r="134" spans="1:11" x14ac:dyDescent="0.2">
      <c r="A134" s="8"/>
      <c r="B134" s="8"/>
      <c r="C134" s="23"/>
      <c r="D134" s="23"/>
      <c r="E134" s="23"/>
      <c r="F134" s="23"/>
      <c r="H134" s="446"/>
      <c r="I134" s="446"/>
      <c r="J134" s="446"/>
      <c r="K134" s="446"/>
    </row>
    <row r="135" spans="1:11" x14ac:dyDescent="0.2">
      <c r="A135" s="8"/>
      <c r="B135" s="8"/>
      <c r="C135" s="23"/>
      <c r="D135" s="23"/>
      <c r="E135" s="23"/>
      <c r="F135" s="23"/>
      <c r="H135" s="446"/>
      <c r="I135" s="446"/>
      <c r="J135" s="446"/>
      <c r="K135" s="446"/>
    </row>
    <row r="136" spans="1:11" x14ac:dyDescent="0.2">
      <c r="D136" s="23"/>
      <c r="E136" s="23"/>
      <c r="F136" s="23"/>
      <c r="H136" s="446"/>
      <c r="I136" s="446"/>
      <c r="J136" s="446"/>
      <c r="K136" s="446"/>
    </row>
    <row r="137" spans="1:11" x14ac:dyDescent="0.2">
      <c r="A137" s="8"/>
      <c r="B137" s="8"/>
      <c r="C137" s="23"/>
      <c r="D137" s="23"/>
      <c r="E137" s="23"/>
      <c r="F137" s="23"/>
      <c r="H137" s="446"/>
      <c r="I137" s="446"/>
      <c r="J137" s="446"/>
      <c r="K137" s="446"/>
    </row>
    <row r="138" spans="1:11" x14ac:dyDescent="0.2">
      <c r="A138" s="8"/>
      <c r="B138" s="8"/>
      <c r="C138" s="23"/>
      <c r="D138" s="23"/>
      <c r="E138" s="23"/>
      <c r="F138" s="23"/>
      <c r="H138" s="446"/>
      <c r="I138" s="446"/>
      <c r="J138" s="446"/>
      <c r="K138" s="446"/>
    </row>
    <row r="139" spans="1:11" x14ac:dyDescent="0.2">
      <c r="A139" s="8"/>
      <c r="B139" s="8"/>
      <c r="C139" s="23"/>
      <c r="D139" s="23"/>
      <c r="E139" s="23"/>
      <c r="F139" s="23"/>
      <c r="H139" s="446"/>
      <c r="I139" s="446"/>
      <c r="J139" s="446"/>
      <c r="K139" s="446"/>
    </row>
    <row r="140" spans="1:11" x14ac:dyDescent="0.2">
      <c r="H140" s="446"/>
      <c r="I140" s="446"/>
      <c r="J140" s="446"/>
      <c r="K140" s="446"/>
    </row>
    <row r="141" spans="1:11" x14ac:dyDescent="0.2">
      <c r="H141" s="446"/>
      <c r="I141" s="446"/>
      <c r="J141" s="446"/>
      <c r="K141" s="446"/>
    </row>
  </sheetData>
  <customSheetViews>
    <customSheetView guid="{A374FC54-96E3-45F0-9C12-8450400C12DF}" scale="202">
      <pane xSplit="1" ySplit="3" topLeftCell="B37" activePane="bottomRight" state="frozen"/>
      <selection pane="bottomRight" activeCell="B42" sqref="B42:B44"/>
      <pageMargins left="0.629" right="0.89300000000000002" top="0.511811023622047" bottom="0.511811023622047" header="0" footer="0.51300000000000001"/>
      <pageSetup paperSize="132" firstPageNumber="52" orientation="portrait" useFirstPageNumber="1" r:id="rId1"/>
      <headerFooter>
        <oddFooter>&amp;C&amp;"Times New Roman,Regular"&amp;8&amp;P</oddFooter>
      </headerFooter>
    </customSheetView>
  </customSheetViews>
  <mergeCells count="2">
    <mergeCell ref="A1:F1"/>
    <mergeCell ref="G1:J1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S142"/>
  <sheetViews>
    <sheetView tabSelected="1" zoomScale="164" zoomScaleNormal="164" workbookViewId="0">
      <pane xSplit="1" ySplit="4" topLeftCell="B83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B91" sqref="B91"/>
    </sheetView>
  </sheetViews>
  <sheetFormatPr defaultColWidth="9.140625" defaultRowHeight="11.25" x14ac:dyDescent="0.2"/>
  <cols>
    <col min="1" max="2" width="8.28515625" style="16" customWidth="1"/>
    <col min="3" max="3" width="8.28515625" style="8" customWidth="1"/>
    <col min="4" max="4" width="9.28515625" style="8" customWidth="1"/>
    <col min="5" max="5" width="7.140625" style="8" customWidth="1"/>
    <col min="6" max="6" width="9.7109375" style="8" customWidth="1"/>
    <col min="7" max="7" width="8.5703125" style="8" customWidth="1"/>
    <col min="8" max="8" width="8.140625" style="8" customWidth="1"/>
    <col min="9" max="9" width="7.85546875" style="8" customWidth="1"/>
    <col min="10" max="10" width="8.42578125" style="8" customWidth="1"/>
    <col min="11" max="11" width="9.5703125" style="8" customWidth="1"/>
    <col min="12" max="12" width="7.140625" style="8" customWidth="1"/>
    <col min="13" max="15" width="7.7109375" style="8" customWidth="1"/>
    <col min="16" max="16" width="9.7109375" style="8" customWidth="1"/>
    <col min="17" max="17" width="7.7109375" style="8" customWidth="1"/>
    <col min="18" max="18" width="10.42578125" style="8" customWidth="1"/>
    <col min="19" max="19" width="9" style="8" customWidth="1"/>
    <col min="20" max="16384" width="9.140625" style="8"/>
  </cols>
  <sheetData>
    <row r="1" spans="1:19" s="100" customFormat="1" ht="12.75" customHeight="1" x14ac:dyDescent="0.25">
      <c r="A1" s="2740" t="s">
        <v>623</v>
      </c>
      <c r="B1" s="2740"/>
      <c r="C1" s="2740"/>
      <c r="D1" s="2740"/>
      <c r="E1" s="2740"/>
      <c r="F1" s="2740"/>
      <c r="G1" s="2740"/>
      <c r="H1" s="2740"/>
      <c r="I1" s="2740"/>
      <c r="J1" s="2740"/>
      <c r="K1" s="2739" t="s">
        <v>1312</v>
      </c>
      <c r="L1" s="2739"/>
      <c r="M1" s="2739"/>
      <c r="N1" s="2739"/>
      <c r="O1" s="2739"/>
      <c r="P1" s="2739"/>
      <c r="Q1" s="2739"/>
      <c r="R1" s="2741" t="s">
        <v>1065</v>
      </c>
      <c r="S1" s="2741"/>
    </row>
    <row r="2" spans="1:19" s="19" customFormat="1" ht="10.5" customHeight="1" x14ac:dyDescent="0.2">
      <c r="C2" s="1386"/>
      <c r="D2" s="1386"/>
      <c r="E2" s="1386"/>
      <c r="F2" s="1386"/>
      <c r="G2" s="1386"/>
      <c r="H2" s="1386"/>
      <c r="K2" s="1386"/>
      <c r="L2" s="1386"/>
      <c r="M2" s="1386"/>
      <c r="N2" s="1386"/>
      <c r="O2" s="1386"/>
      <c r="P2" s="1386"/>
      <c r="Q2" s="1386"/>
      <c r="R2" s="2743" t="s">
        <v>24</v>
      </c>
      <c r="S2" s="2743"/>
    </row>
    <row r="3" spans="1:19" s="102" customFormat="1" ht="12.75" customHeight="1" x14ac:dyDescent="0.2">
      <c r="A3" s="2742" t="s">
        <v>468</v>
      </c>
      <c r="B3" s="2742" t="s">
        <v>3067</v>
      </c>
      <c r="C3" s="2742" t="s">
        <v>1186</v>
      </c>
      <c r="D3" s="2742"/>
      <c r="E3" s="2742"/>
      <c r="F3" s="2742"/>
      <c r="G3" s="2742"/>
      <c r="H3" s="2742"/>
      <c r="I3" s="2742"/>
      <c r="J3" s="2742"/>
      <c r="K3" s="2742"/>
      <c r="L3" s="2742"/>
      <c r="M3" s="2742"/>
      <c r="N3" s="2742"/>
      <c r="O3" s="2742"/>
      <c r="P3" s="2742"/>
      <c r="Q3" s="2742"/>
      <c r="R3" s="2742"/>
      <c r="S3" s="2742" t="s">
        <v>909</v>
      </c>
    </row>
    <row r="4" spans="1:19" s="69" customFormat="1" ht="39.75" customHeight="1" x14ac:dyDescent="0.2">
      <c r="A4" s="2742"/>
      <c r="B4" s="2742"/>
      <c r="C4" s="1731" t="s">
        <v>469</v>
      </c>
      <c r="D4" s="1731" t="s">
        <v>221</v>
      </c>
      <c r="E4" s="1731" t="s">
        <v>222</v>
      </c>
      <c r="F4" s="1731" t="s">
        <v>86</v>
      </c>
      <c r="G4" s="1731" t="s">
        <v>1223</v>
      </c>
      <c r="H4" s="1731" t="s">
        <v>1222</v>
      </c>
      <c r="I4" s="1731" t="s">
        <v>87</v>
      </c>
      <c r="J4" s="1731" t="s">
        <v>497</v>
      </c>
      <c r="K4" s="1731" t="s">
        <v>1221</v>
      </c>
      <c r="L4" s="1731" t="s">
        <v>1224</v>
      </c>
      <c r="M4" s="1731" t="s">
        <v>1225</v>
      </c>
      <c r="N4" s="1731" t="s">
        <v>89</v>
      </c>
      <c r="O4" s="1731" t="s">
        <v>498</v>
      </c>
      <c r="P4" s="1731" t="s">
        <v>227</v>
      </c>
      <c r="Q4" s="1731" t="s">
        <v>271</v>
      </c>
      <c r="R4" s="1731" t="s">
        <v>90</v>
      </c>
      <c r="S4" s="2742"/>
    </row>
    <row r="5" spans="1:19" s="69" customFormat="1" ht="39.75" customHeight="1" x14ac:dyDescent="0.2">
      <c r="A5" s="1739"/>
      <c r="B5" s="1739"/>
      <c r="C5" s="1731">
        <v>1</v>
      </c>
      <c r="D5" s="1731">
        <v>2</v>
      </c>
      <c r="E5" s="1731">
        <v>3</v>
      </c>
      <c r="F5" s="1731">
        <v>4</v>
      </c>
      <c r="G5" s="1731">
        <v>5</v>
      </c>
      <c r="H5" s="1731">
        <v>6</v>
      </c>
      <c r="I5" s="1731">
        <v>7</v>
      </c>
      <c r="J5" s="1731">
        <v>8</v>
      </c>
      <c r="K5" s="1731">
        <v>9</v>
      </c>
      <c r="L5" s="1731">
        <v>10</v>
      </c>
      <c r="M5" s="1731">
        <v>11</v>
      </c>
      <c r="N5" s="1731">
        <v>12</v>
      </c>
      <c r="O5" s="1731">
        <v>13</v>
      </c>
      <c r="P5" s="1731">
        <v>14</v>
      </c>
      <c r="Q5" s="1731">
        <v>15</v>
      </c>
      <c r="R5" s="1731">
        <v>16</v>
      </c>
      <c r="S5" s="1739"/>
    </row>
    <row r="6" spans="1:19" s="231" customFormat="1" ht="12" customHeight="1" x14ac:dyDescent="0.2">
      <c r="A6" s="523" t="s">
        <v>189</v>
      </c>
      <c r="B6" s="523"/>
      <c r="C6" s="237">
        <v>68061.899999999994</v>
      </c>
      <c r="D6" s="524">
        <v>28715.5</v>
      </c>
      <c r="E6" s="237">
        <v>3595.5</v>
      </c>
      <c r="F6" s="237">
        <v>12054.8</v>
      </c>
      <c r="G6" s="237">
        <v>5342</v>
      </c>
      <c r="H6" s="237">
        <v>28931.4</v>
      </c>
      <c r="I6" s="237">
        <v>79</v>
      </c>
      <c r="J6" s="237">
        <v>8229.2000000000007</v>
      </c>
      <c r="K6" s="237">
        <v>18080.8</v>
      </c>
      <c r="L6" s="237">
        <v>90.6</v>
      </c>
      <c r="M6" s="237">
        <v>1871.8</v>
      </c>
      <c r="N6" s="237">
        <v>7703</v>
      </c>
      <c r="O6" s="237">
        <v>14010.4</v>
      </c>
      <c r="P6" s="237">
        <v>22131.4</v>
      </c>
      <c r="Q6" s="237">
        <v>13804.3</v>
      </c>
      <c r="R6" s="237">
        <v>232701.59999999998</v>
      </c>
      <c r="S6" s="525" t="s">
        <v>189</v>
      </c>
    </row>
    <row r="7" spans="1:19" s="92" customFormat="1" ht="12" customHeight="1" x14ac:dyDescent="0.2">
      <c r="A7" s="412" t="s">
        <v>696</v>
      </c>
      <c r="B7" s="412"/>
      <c r="C7" s="276">
        <v>51238.6</v>
      </c>
      <c r="D7" s="413">
        <v>18987.8</v>
      </c>
      <c r="E7" s="276">
        <v>3588.1</v>
      </c>
      <c r="F7" s="276">
        <v>8631.4</v>
      </c>
      <c r="G7" s="276">
        <v>5117.6000000000004</v>
      </c>
      <c r="H7" s="276">
        <v>24813</v>
      </c>
      <c r="I7" s="276">
        <v>49.8</v>
      </c>
      <c r="J7" s="276">
        <v>4585</v>
      </c>
      <c r="K7" s="276">
        <v>16465.8</v>
      </c>
      <c r="L7" s="276">
        <v>48.8</v>
      </c>
      <c r="M7" s="276">
        <v>1187.3</v>
      </c>
      <c r="N7" s="276">
        <v>8386.2999999999993</v>
      </c>
      <c r="O7" s="276">
        <v>10716.9</v>
      </c>
      <c r="P7" s="276">
        <v>28924.3</v>
      </c>
      <c r="Q7" s="276">
        <v>10503.380000000001</v>
      </c>
      <c r="R7" s="276">
        <v>193244.07999999996</v>
      </c>
      <c r="S7" s="414" t="s">
        <v>696</v>
      </c>
    </row>
    <row r="8" spans="1:19" s="231" customFormat="1" ht="12" customHeight="1" x14ac:dyDescent="0.2">
      <c r="A8" s="523" t="s">
        <v>804</v>
      </c>
      <c r="B8" s="523"/>
      <c r="C8" s="237">
        <v>41710.1</v>
      </c>
      <c r="D8" s="524">
        <v>16994.599999999999</v>
      </c>
      <c r="E8" s="237">
        <v>4130.8</v>
      </c>
      <c r="F8" s="237">
        <v>9567</v>
      </c>
      <c r="G8" s="237">
        <v>8581.6</v>
      </c>
      <c r="H8" s="237">
        <v>29036.7</v>
      </c>
      <c r="I8" s="237">
        <v>49.5</v>
      </c>
      <c r="J8" s="237">
        <v>6418.5</v>
      </c>
      <c r="K8" s="237">
        <v>19754.099999999999</v>
      </c>
      <c r="L8" s="237">
        <v>32.9</v>
      </c>
      <c r="M8" s="237">
        <v>954.1</v>
      </c>
      <c r="N8" s="237">
        <v>9156.1</v>
      </c>
      <c r="O8" s="237">
        <v>10675.2</v>
      </c>
      <c r="P8" s="237">
        <v>27168.2</v>
      </c>
      <c r="Q8" s="237">
        <v>13513.613000000001</v>
      </c>
      <c r="R8" s="237">
        <v>197743.01300000004</v>
      </c>
      <c r="S8" s="525" t="s">
        <v>804</v>
      </c>
    </row>
    <row r="9" spans="1:19" s="153" customFormat="1" ht="12" customHeight="1" x14ac:dyDescent="0.2">
      <c r="A9" s="589" t="s">
        <v>978</v>
      </c>
      <c r="B9" s="589"/>
      <c r="C9" s="281">
        <v>39281.1</v>
      </c>
      <c r="D9" s="281">
        <v>15318.1</v>
      </c>
      <c r="E9" s="281">
        <v>3431.1</v>
      </c>
      <c r="F9" s="281">
        <v>9860.7000000000007</v>
      </c>
      <c r="G9" s="281">
        <v>18418.5</v>
      </c>
      <c r="H9" s="281">
        <v>29365.5</v>
      </c>
      <c r="I9" s="281">
        <v>66.900000000000006</v>
      </c>
      <c r="J9" s="281">
        <v>8245.7999999999993</v>
      </c>
      <c r="K9" s="281">
        <v>30676.799999999999</v>
      </c>
      <c r="L9" s="281">
        <v>50.9</v>
      </c>
      <c r="M9" s="281">
        <v>1002.3</v>
      </c>
      <c r="N9" s="281">
        <v>15672.4</v>
      </c>
      <c r="O9" s="281">
        <v>9972.4</v>
      </c>
      <c r="P9" s="281">
        <v>43364.9</v>
      </c>
      <c r="Q9" s="281">
        <v>13898.900999999998</v>
      </c>
      <c r="R9" s="281">
        <v>238626.30099999998</v>
      </c>
      <c r="S9" s="590" t="s">
        <v>978</v>
      </c>
    </row>
    <row r="10" spans="1:19" s="153" customFormat="1" ht="12" customHeight="1" x14ac:dyDescent="0.2">
      <c r="A10" s="495" t="s">
        <v>1029</v>
      </c>
      <c r="B10" s="495"/>
      <c r="C10" s="237">
        <v>36607.300000000003</v>
      </c>
      <c r="D10" s="237">
        <v>15119.2</v>
      </c>
      <c r="E10" s="237">
        <v>2884.8</v>
      </c>
      <c r="F10" s="237">
        <v>13566.4</v>
      </c>
      <c r="G10" s="237">
        <v>23673.8</v>
      </c>
      <c r="H10" s="237">
        <v>38616.1</v>
      </c>
      <c r="I10" s="237">
        <v>71.099999999999994</v>
      </c>
      <c r="J10" s="237">
        <v>9181.1</v>
      </c>
      <c r="K10" s="237">
        <v>38646.1</v>
      </c>
      <c r="L10" s="237">
        <v>256.60000000000002</v>
      </c>
      <c r="M10" s="237">
        <v>2095.3000000000002</v>
      </c>
      <c r="N10" s="237">
        <v>19413.8</v>
      </c>
      <c r="O10" s="237">
        <v>7528.3</v>
      </c>
      <c r="P10" s="237">
        <v>46505.8</v>
      </c>
      <c r="Q10" s="237">
        <v>16021.86</v>
      </c>
      <c r="R10" s="237">
        <v>270187.56</v>
      </c>
      <c r="S10" s="492" t="s">
        <v>1029</v>
      </c>
    </row>
    <row r="11" spans="1:19" s="427" customFormat="1" ht="12" customHeight="1" x14ac:dyDescent="0.2">
      <c r="A11" s="499" t="s">
        <v>1150</v>
      </c>
      <c r="B11" s="499"/>
      <c r="C11" s="276">
        <v>39555.603000000003</v>
      </c>
      <c r="D11" s="276">
        <v>14567.243</v>
      </c>
      <c r="E11" s="276">
        <v>3028.4430000000002</v>
      </c>
      <c r="F11" s="276">
        <v>15529.823</v>
      </c>
      <c r="G11" s="276">
        <v>24410.638999999999</v>
      </c>
      <c r="H11" s="276">
        <v>35133.678</v>
      </c>
      <c r="I11" s="276">
        <v>79.346999999999994</v>
      </c>
      <c r="J11" s="276">
        <v>8184.8909999999996</v>
      </c>
      <c r="K11" s="276">
        <v>43424.767999999996</v>
      </c>
      <c r="L11" s="276">
        <v>150.286</v>
      </c>
      <c r="M11" s="276">
        <v>1834.0039999999999</v>
      </c>
      <c r="N11" s="276">
        <v>14872.710999999999</v>
      </c>
      <c r="O11" s="276">
        <v>7141.9579999999996</v>
      </c>
      <c r="P11" s="276">
        <v>36209.4</v>
      </c>
      <c r="Q11" s="276">
        <v>17324.168000000005</v>
      </c>
      <c r="R11" s="276">
        <v>261446.962</v>
      </c>
      <c r="S11" s="500" t="s">
        <v>1150</v>
      </c>
    </row>
    <row r="12" spans="1:19" s="153" customFormat="1" ht="12" customHeight="1" x14ac:dyDescent="0.2">
      <c r="A12" s="495" t="s">
        <v>1174</v>
      </c>
      <c r="B12" s="495"/>
      <c r="C12" s="237">
        <v>56058.838000000003</v>
      </c>
      <c r="D12" s="237">
        <v>23379.762999999999</v>
      </c>
      <c r="E12" s="237">
        <v>4250.0659999999998</v>
      </c>
      <c r="F12" s="237">
        <v>19062.416000000001</v>
      </c>
      <c r="G12" s="237">
        <v>24719.441999999999</v>
      </c>
      <c r="H12" s="237">
        <v>40486.985999999997</v>
      </c>
      <c r="I12" s="237">
        <v>154.69</v>
      </c>
      <c r="J12" s="237">
        <v>12634.067999999999</v>
      </c>
      <c r="K12" s="237">
        <v>50185.283000000003</v>
      </c>
      <c r="L12" s="237">
        <v>192.57</v>
      </c>
      <c r="M12" s="237">
        <v>2533.12</v>
      </c>
      <c r="N12" s="237">
        <v>13144.56</v>
      </c>
      <c r="O12" s="237">
        <v>8648.9599999999991</v>
      </c>
      <c r="P12" s="237">
        <v>48484.847999999998</v>
      </c>
      <c r="Q12" s="237">
        <v>20005.729999999996</v>
      </c>
      <c r="R12" s="237">
        <v>323941.33999999997</v>
      </c>
      <c r="S12" s="492" t="s">
        <v>1174</v>
      </c>
    </row>
    <row r="13" spans="1:19" s="153" customFormat="1" ht="12" customHeight="1" x14ac:dyDescent="0.2">
      <c r="A13" s="499" t="s">
        <v>1296</v>
      </c>
      <c r="B13" s="499"/>
      <c r="C13" s="276">
        <v>56693.462</v>
      </c>
      <c r="D13" s="276">
        <v>21015.174999999999</v>
      </c>
      <c r="E13" s="276">
        <v>4080.9349999999999</v>
      </c>
      <c r="F13" s="276">
        <v>19059.028999999999</v>
      </c>
      <c r="G13" s="276">
        <v>27614.215</v>
      </c>
      <c r="H13" s="276">
        <v>39752.845000000001</v>
      </c>
      <c r="I13" s="276">
        <v>194.55099999999999</v>
      </c>
      <c r="J13" s="276">
        <v>11658.181</v>
      </c>
      <c r="K13" s="276">
        <v>52211.76</v>
      </c>
      <c r="L13" s="276">
        <v>215.678</v>
      </c>
      <c r="M13" s="276">
        <v>1912.181</v>
      </c>
      <c r="N13" s="276">
        <v>11754.666999999999</v>
      </c>
      <c r="O13" s="276">
        <v>8559.2569999999996</v>
      </c>
      <c r="P13" s="276">
        <v>54210.046000000002</v>
      </c>
      <c r="Q13" s="276">
        <v>17379.812999999998</v>
      </c>
      <c r="R13" s="276">
        <v>326311.7950000001</v>
      </c>
      <c r="S13" s="500" t="s">
        <v>1296</v>
      </c>
    </row>
    <row r="14" spans="1:19" s="153" customFormat="1" ht="12" customHeight="1" x14ac:dyDescent="0.2">
      <c r="A14" s="495" t="s">
        <v>1404</v>
      </c>
      <c r="B14" s="495"/>
      <c r="C14" s="237">
        <v>59295.131999999998</v>
      </c>
      <c r="D14" s="237">
        <v>18180.312000000002</v>
      </c>
      <c r="E14" s="237">
        <v>3559.5810000000001</v>
      </c>
      <c r="F14" s="237">
        <v>20264.021000000001</v>
      </c>
      <c r="G14" s="237">
        <v>31438.42</v>
      </c>
      <c r="H14" s="237">
        <v>48004.101000000002</v>
      </c>
      <c r="I14" s="237">
        <v>399.38499999999999</v>
      </c>
      <c r="J14" s="237">
        <v>14014.406999999999</v>
      </c>
      <c r="K14" s="237">
        <v>52831.345999999998</v>
      </c>
      <c r="L14" s="237">
        <v>1446.3230000000001</v>
      </c>
      <c r="M14" s="237">
        <v>1783.4949999999999</v>
      </c>
      <c r="N14" s="237">
        <v>9048.1380000000008</v>
      </c>
      <c r="O14" s="237">
        <v>10918.987999999999</v>
      </c>
      <c r="P14" s="237">
        <v>51422.195</v>
      </c>
      <c r="Q14" s="237">
        <v>21009.715</v>
      </c>
      <c r="R14" s="237">
        <v>343615.55900000007</v>
      </c>
      <c r="S14" s="492" t="s">
        <v>1404</v>
      </c>
    </row>
    <row r="15" spans="1:19" s="153" customFormat="1" ht="12" customHeight="1" x14ac:dyDescent="0.2">
      <c r="A15" s="527" t="s">
        <v>1484</v>
      </c>
      <c r="B15" s="527"/>
      <c r="C15" s="276">
        <v>44910.99</v>
      </c>
      <c r="D15" s="276">
        <v>12542.67</v>
      </c>
      <c r="E15" s="276">
        <v>2950.95</v>
      </c>
      <c r="F15" s="276">
        <v>13189.19</v>
      </c>
      <c r="G15" s="276">
        <v>20835.34</v>
      </c>
      <c r="H15" s="276">
        <v>36533.269999999997</v>
      </c>
      <c r="I15" s="276">
        <v>179.79</v>
      </c>
      <c r="J15" s="276">
        <v>9589.89</v>
      </c>
      <c r="K15" s="276">
        <v>46746.83</v>
      </c>
      <c r="L15" s="276">
        <v>962.58</v>
      </c>
      <c r="M15" s="276">
        <v>1304.19</v>
      </c>
      <c r="N15" s="276">
        <v>7189.48</v>
      </c>
      <c r="O15" s="276">
        <v>9150.66</v>
      </c>
      <c r="P15" s="276">
        <v>33674.9</v>
      </c>
      <c r="Q15" s="276">
        <v>17815.13</v>
      </c>
      <c r="R15" s="276">
        <v>257575.86</v>
      </c>
      <c r="S15" s="500" t="s">
        <v>1484</v>
      </c>
    </row>
    <row r="16" spans="1:19" s="154" customFormat="1" ht="12" customHeight="1" x14ac:dyDescent="0.2">
      <c r="A16" s="491" t="s">
        <v>1536</v>
      </c>
      <c r="B16" s="491"/>
      <c r="C16" s="237">
        <v>67962.134999999995</v>
      </c>
      <c r="D16" s="237">
        <v>21199.138999999999</v>
      </c>
      <c r="E16" s="237">
        <v>4620.3789999999999</v>
      </c>
      <c r="F16" s="237">
        <v>60387.34</v>
      </c>
      <c r="G16" s="237">
        <v>38572.572</v>
      </c>
      <c r="H16" s="237">
        <v>46586.7</v>
      </c>
      <c r="I16" s="237">
        <v>198.36600000000001</v>
      </c>
      <c r="J16" s="237">
        <v>14741.874</v>
      </c>
      <c r="K16" s="237">
        <v>63825.078000000001</v>
      </c>
      <c r="L16" s="237">
        <v>1509.154</v>
      </c>
      <c r="M16" s="237">
        <v>2085.1729999999998</v>
      </c>
      <c r="N16" s="237">
        <v>11936.501</v>
      </c>
      <c r="O16" s="237">
        <v>22274.534</v>
      </c>
      <c r="P16" s="237">
        <v>73061.112999999998</v>
      </c>
      <c r="Q16" s="237">
        <v>29821.007999999998</v>
      </c>
      <c r="R16" s="237">
        <v>458781.06599999999</v>
      </c>
      <c r="S16" s="492" t="s">
        <v>1536</v>
      </c>
    </row>
    <row r="17" spans="1:19" s="154" customFormat="1" ht="12" customHeight="1" x14ac:dyDescent="0.2">
      <c r="A17" s="527" t="s">
        <v>1817</v>
      </c>
      <c r="B17" s="527"/>
      <c r="C17" s="276">
        <v>68002.862999999998</v>
      </c>
      <c r="D17" s="276">
        <v>19726.462</v>
      </c>
      <c r="E17" s="276">
        <v>3910.991</v>
      </c>
      <c r="F17" s="276">
        <v>55260.614000000001</v>
      </c>
      <c r="G17" s="276">
        <v>39234.875</v>
      </c>
      <c r="H17" s="276">
        <v>47496.468999999997</v>
      </c>
      <c r="I17" s="276">
        <v>197.02600000000001</v>
      </c>
      <c r="J17" s="276">
        <v>17301.597000000002</v>
      </c>
      <c r="K17" s="276">
        <v>71054.562000000005</v>
      </c>
      <c r="L17" s="276">
        <v>2750.3130000000001</v>
      </c>
      <c r="M17" s="276">
        <v>2611.3119999999999</v>
      </c>
      <c r="N17" s="276">
        <v>11890.557000000001</v>
      </c>
      <c r="O17" s="276">
        <v>16599.167000000001</v>
      </c>
      <c r="P17" s="276">
        <v>59091.580999999998</v>
      </c>
      <c r="Q17" s="276">
        <v>41452.983999999997</v>
      </c>
      <c r="R17" s="276">
        <v>456581.37300000008</v>
      </c>
      <c r="S17" s="500" t="s">
        <v>1817</v>
      </c>
    </row>
    <row r="18" spans="1:19" s="154" customFormat="1" ht="12" customHeight="1" x14ac:dyDescent="0.2">
      <c r="A18" s="513" t="s">
        <v>2066</v>
      </c>
      <c r="B18" s="513"/>
      <c r="C18" s="322">
        <v>67510.316000000006</v>
      </c>
      <c r="D18" s="322">
        <v>18741.575000000001</v>
      </c>
      <c r="E18" s="322">
        <v>3764.1147000000001</v>
      </c>
      <c r="F18" s="322">
        <v>53031.377999999997</v>
      </c>
      <c r="G18" s="322">
        <v>39991.436999999998</v>
      </c>
      <c r="H18" s="322">
        <v>45011.857000000004</v>
      </c>
      <c r="I18" s="322">
        <v>371.97899999999998</v>
      </c>
      <c r="J18" s="322">
        <v>17226.175999999999</v>
      </c>
      <c r="K18" s="322">
        <v>72004.596999999994</v>
      </c>
      <c r="L18" s="322">
        <v>4232.2730000000001</v>
      </c>
      <c r="M18" s="322">
        <v>2931.1860000000001</v>
      </c>
      <c r="N18" s="322">
        <v>12316.058000000001</v>
      </c>
      <c r="O18" s="322">
        <v>18425.573</v>
      </c>
      <c r="P18" s="322">
        <v>58023.178999999996</v>
      </c>
      <c r="Q18" s="322">
        <v>42995.048000000003</v>
      </c>
      <c r="R18" s="322">
        <v>456576.74669999996</v>
      </c>
      <c r="S18" s="514" t="s">
        <v>2066</v>
      </c>
    </row>
    <row r="19" spans="1:19" s="154" customFormat="1" ht="12" customHeight="1" x14ac:dyDescent="0.2">
      <c r="A19" s="559" t="s">
        <v>2206</v>
      </c>
      <c r="B19" s="559"/>
      <c r="C19" s="315">
        <f>C105</f>
        <v>61502.328999999998</v>
      </c>
      <c r="D19" s="315">
        <f>D105</f>
        <v>10941.03</v>
      </c>
      <c r="E19" s="315">
        <f t="shared" ref="E19:R19" si="0">E105</f>
        <v>3123.9810000000002</v>
      </c>
      <c r="F19" s="315">
        <f t="shared" si="0"/>
        <v>35219.608999999997</v>
      </c>
      <c r="G19" s="315">
        <f t="shared" si="0"/>
        <v>29567.940999999999</v>
      </c>
      <c r="H19" s="315">
        <f t="shared" si="0"/>
        <v>32888.892</v>
      </c>
      <c r="I19" s="315">
        <f t="shared" si="0"/>
        <v>362.428</v>
      </c>
      <c r="J19" s="315">
        <f t="shared" si="0"/>
        <v>12582.056</v>
      </c>
      <c r="K19" s="315">
        <f t="shared" si="0"/>
        <v>60783.798999999999</v>
      </c>
      <c r="L19" s="315">
        <f t="shared" si="0"/>
        <v>3146.34</v>
      </c>
      <c r="M19" s="315">
        <f t="shared" si="0"/>
        <v>2338.8629999999998</v>
      </c>
      <c r="N19" s="315">
        <f t="shared" si="0"/>
        <v>11085.117</v>
      </c>
      <c r="O19" s="315">
        <f t="shared" si="0"/>
        <v>14177.669</v>
      </c>
      <c r="P19" s="315">
        <f t="shared" si="0"/>
        <v>47687.898000000001</v>
      </c>
      <c r="Q19" s="315">
        <f t="shared" si="0"/>
        <v>41411.814000000006</v>
      </c>
      <c r="R19" s="315">
        <f t="shared" si="0"/>
        <v>366819.766</v>
      </c>
      <c r="S19" s="496" t="s">
        <v>2206</v>
      </c>
    </row>
    <row r="20" spans="1:19" s="154" customFormat="1" ht="12" customHeight="1" x14ac:dyDescent="0.2">
      <c r="A20" s="513" t="s">
        <v>2479</v>
      </c>
      <c r="B20" s="513"/>
      <c r="C20" s="322">
        <f t="shared" ref="C20:R20" si="1">C117</f>
        <v>63348.118000000002</v>
      </c>
      <c r="D20" s="322">
        <f t="shared" si="1"/>
        <v>8960.7900000000009</v>
      </c>
      <c r="E20" s="322">
        <f t="shared" si="1"/>
        <v>2827.2130000000002</v>
      </c>
      <c r="F20" s="322">
        <f t="shared" si="1"/>
        <v>25413.777999999998</v>
      </c>
      <c r="G20" s="322">
        <f t="shared" si="1"/>
        <v>26251.279999999999</v>
      </c>
      <c r="H20" s="322">
        <f t="shared" si="1"/>
        <v>28385.826000000001</v>
      </c>
      <c r="I20" s="322">
        <f t="shared" si="1"/>
        <v>235.09299999999999</v>
      </c>
      <c r="J20" s="322">
        <f t="shared" si="1"/>
        <v>10505.183000000001</v>
      </c>
      <c r="K20" s="322">
        <f t="shared" si="1"/>
        <v>52305.732000000004</v>
      </c>
      <c r="L20" s="322">
        <f t="shared" si="1"/>
        <v>1783.6010000000001</v>
      </c>
      <c r="M20" s="322">
        <f t="shared" si="1"/>
        <v>1575.7809999999999</v>
      </c>
      <c r="N20" s="322">
        <f t="shared" si="1"/>
        <v>1649.4880000000001</v>
      </c>
      <c r="O20" s="322">
        <f t="shared" si="1"/>
        <v>11115.54</v>
      </c>
      <c r="P20" s="322">
        <f t="shared" si="1"/>
        <v>56251.911999999997</v>
      </c>
      <c r="Q20" s="322">
        <f t="shared" si="1"/>
        <v>41801.317999999999</v>
      </c>
      <c r="R20" s="322">
        <f t="shared" si="1"/>
        <v>332410.65299999993</v>
      </c>
      <c r="S20" s="514" t="s">
        <v>2479</v>
      </c>
    </row>
    <row r="21" spans="1:19" s="154" customFormat="1" ht="12" customHeight="1" x14ac:dyDescent="0.2">
      <c r="A21" s="559"/>
      <c r="B21" s="559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496"/>
    </row>
    <row r="22" spans="1:19" s="154" customFormat="1" ht="12" customHeight="1" x14ac:dyDescent="0.2">
      <c r="A22" s="559" t="s">
        <v>1296</v>
      </c>
      <c r="B22" s="491" t="s">
        <v>552</v>
      </c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496"/>
    </row>
    <row r="23" spans="1:19" s="154" customFormat="1" ht="12" customHeight="1" x14ac:dyDescent="0.2">
      <c r="A23" s="559" t="s">
        <v>1296</v>
      </c>
      <c r="B23" s="527" t="s">
        <v>553</v>
      </c>
      <c r="C23" s="315"/>
      <c r="D23" s="315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496"/>
    </row>
    <row r="24" spans="1:19" s="154" customFormat="1" ht="12" customHeight="1" x14ac:dyDescent="0.2">
      <c r="A24" s="559" t="s">
        <v>1296</v>
      </c>
      <c r="B24" s="491" t="s">
        <v>547</v>
      </c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496"/>
    </row>
    <row r="25" spans="1:19" s="154" customFormat="1" ht="12" customHeight="1" x14ac:dyDescent="0.2">
      <c r="A25" s="559" t="s">
        <v>1296</v>
      </c>
      <c r="B25" s="527" t="s">
        <v>554</v>
      </c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496"/>
    </row>
    <row r="26" spans="1:19" s="154" customFormat="1" ht="12" customHeight="1" x14ac:dyDescent="0.2">
      <c r="A26" s="559" t="s">
        <v>1296</v>
      </c>
      <c r="B26" s="491" t="s">
        <v>555</v>
      </c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496"/>
    </row>
    <row r="27" spans="1:19" s="154" customFormat="1" ht="12" customHeight="1" x14ac:dyDescent="0.2">
      <c r="A27" s="559" t="s">
        <v>1296</v>
      </c>
      <c r="B27" s="527" t="s">
        <v>548</v>
      </c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496"/>
    </row>
    <row r="28" spans="1:19" s="154" customFormat="1" ht="12" customHeight="1" x14ac:dyDescent="0.2">
      <c r="A28" s="559" t="s">
        <v>1296</v>
      </c>
      <c r="B28" s="491" t="s">
        <v>556</v>
      </c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496"/>
    </row>
    <row r="29" spans="1:19" s="154" customFormat="1" ht="12" customHeight="1" x14ac:dyDescent="0.2">
      <c r="A29" s="559" t="s">
        <v>1296</v>
      </c>
      <c r="B29" s="527" t="s">
        <v>557</v>
      </c>
      <c r="C29" s="315"/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496"/>
    </row>
    <row r="30" spans="1:19" s="154" customFormat="1" ht="12" customHeight="1" x14ac:dyDescent="0.2">
      <c r="A30" s="559" t="s">
        <v>1296</v>
      </c>
      <c r="B30" s="491" t="s">
        <v>549</v>
      </c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496"/>
    </row>
    <row r="31" spans="1:19" s="154" customFormat="1" ht="12" customHeight="1" x14ac:dyDescent="0.2">
      <c r="A31" s="559" t="s">
        <v>1296</v>
      </c>
      <c r="B31" s="527" t="s">
        <v>558</v>
      </c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496"/>
    </row>
    <row r="32" spans="1:19" s="154" customFormat="1" ht="12" customHeight="1" x14ac:dyDescent="0.2">
      <c r="A32" s="559" t="s">
        <v>1296</v>
      </c>
      <c r="B32" s="491" t="s">
        <v>559</v>
      </c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496"/>
    </row>
    <row r="33" spans="1:19" s="154" customFormat="1" ht="12" customHeight="1" x14ac:dyDescent="0.2">
      <c r="A33" s="559" t="s">
        <v>1296</v>
      </c>
      <c r="B33" s="527" t="s">
        <v>550</v>
      </c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496"/>
    </row>
    <row r="34" spans="1:19" s="154" customFormat="1" ht="12" customHeight="1" x14ac:dyDescent="0.2">
      <c r="A34" s="559" t="s">
        <v>1404</v>
      </c>
      <c r="B34" s="527" t="s">
        <v>552</v>
      </c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496"/>
    </row>
    <row r="35" spans="1:19" s="154" customFormat="1" ht="12" customHeight="1" x14ac:dyDescent="0.2">
      <c r="A35" s="559" t="s">
        <v>1404</v>
      </c>
      <c r="B35" s="491" t="s">
        <v>553</v>
      </c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496"/>
    </row>
    <row r="36" spans="1:19" s="154" customFormat="1" ht="12" customHeight="1" x14ac:dyDescent="0.2">
      <c r="A36" s="559" t="s">
        <v>1404</v>
      </c>
      <c r="B36" s="527" t="s">
        <v>547</v>
      </c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496"/>
    </row>
    <row r="37" spans="1:19" s="154" customFormat="1" ht="12" customHeight="1" x14ac:dyDescent="0.2">
      <c r="A37" s="559" t="s">
        <v>1404</v>
      </c>
      <c r="B37" s="491" t="s">
        <v>554</v>
      </c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496"/>
    </row>
    <row r="38" spans="1:19" s="154" customFormat="1" ht="12" customHeight="1" x14ac:dyDescent="0.2">
      <c r="A38" s="559" t="s">
        <v>1404</v>
      </c>
      <c r="B38" s="527" t="s">
        <v>555</v>
      </c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496"/>
    </row>
    <row r="39" spans="1:19" s="154" customFormat="1" ht="12" customHeight="1" x14ac:dyDescent="0.2">
      <c r="A39" s="559" t="s">
        <v>1404</v>
      </c>
      <c r="B39" s="491" t="s">
        <v>548</v>
      </c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496"/>
    </row>
    <row r="40" spans="1:19" s="154" customFormat="1" ht="12" customHeight="1" x14ac:dyDescent="0.2">
      <c r="A40" s="559" t="s">
        <v>1404</v>
      </c>
      <c r="B40" s="527" t="s">
        <v>556</v>
      </c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496"/>
    </row>
    <row r="41" spans="1:19" s="154" customFormat="1" ht="12" customHeight="1" x14ac:dyDescent="0.2">
      <c r="A41" s="559" t="s">
        <v>1404</v>
      </c>
      <c r="B41" s="491" t="s">
        <v>557</v>
      </c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496"/>
    </row>
    <row r="42" spans="1:19" s="154" customFormat="1" ht="12" customHeight="1" x14ac:dyDescent="0.2">
      <c r="A42" s="559" t="s">
        <v>1404</v>
      </c>
      <c r="B42" s="527" t="s">
        <v>549</v>
      </c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496"/>
    </row>
    <row r="43" spans="1:19" s="154" customFormat="1" ht="12" customHeight="1" x14ac:dyDescent="0.2">
      <c r="A43" s="559" t="s">
        <v>1404</v>
      </c>
      <c r="B43" s="491" t="s">
        <v>558</v>
      </c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496"/>
    </row>
    <row r="44" spans="1:19" s="154" customFormat="1" ht="12" customHeight="1" x14ac:dyDescent="0.2">
      <c r="A44" s="559" t="s">
        <v>1404</v>
      </c>
      <c r="B44" s="527" t="s">
        <v>559</v>
      </c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496"/>
    </row>
    <row r="45" spans="1:19" s="154" customFormat="1" ht="12" customHeight="1" x14ac:dyDescent="0.2">
      <c r="A45" s="559" t="s">
        <v>1404</v>
      </c>
      <c r="B45" s="491" t="s">
        <v>550</v>
      </c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496"/>
    </row>
    <row r="46" spans="1:19" s="154" customFormat="1" ht="12" customHeight="1" x14ac:dyDescent="0.2">
      <c r="A46" s="559" t="s">
        <v>1484</v>
      </c>
      <c r="B46" s="491" t="s">
        <v>552</v>
      </c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496"/>
    </row>
    <row r="47" spans="1:19" s="154" customFormat="1" ht="12" customHeight="1" x14ac:dyDescent="0.2">
      <c r="A47" s="559" t="s">
        <v>1484</v>
      </c>
      <c r="B47" s="527" t="s">
        <v>553</v>
      </c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496"/>
    </row>
    <row r="48" spans="1:19" s="154" customFormat="1" ht="12" customHeight="1" x14ac:dyDescent="0.2">
      <c r="A48" s="559" t="s">
        <v>1484</v>
      </c>
      <c r="B48" s="491" t="s">
        <v>547</v>
      </c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496"/>
    </row>
    <row r="49" spans="1:19" s="154" customFormat="1" ht="12" customHeight="1" x14ac:dyDescent="0.2">
      <c r="A49" s="559" t="s">
        <v>1484</v>
      </c>
      <c r="B49" s="527" t="s">
        <v>554</v>
      </c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496"/>
    </row>
    <row r="50" spans="1:19" s="154" customFormat="1" ht="12" customHeight="1" x14ac:dyDescent="0.2">
      <c r="A50" s="559" t="s">
        <v>1484</v>
      </c>
      <c r="B50" s="491" t="s">
        <v>555</v>
      </c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496"/>
    </row>
    <row r="51" spans="1:19" s="154" customFormat="1" ht="12" customHeight="1" x14ac:dyDescent="0.2">
      <c r="A51" s="559" t="s">
        <v>1484</v>
      </c>
      <c r="B51" s="527" t="s">
        <v>548</v>
      </c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496"/>
    </row>
    <row r="52" spans="1:19" s="154" customFormat="1" ht="12" customHeight="1" x14ac:dyDescent="0.2">
      <c r="A52" s="559" t="s">
        <v>1484</v>
      </c>
      <c r="B52" s="491" t="s">
        <v>556</v>
      </c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496"/>
    </row>
    <row r="53" spans="1:19" s="154" customFormat="1" ht="12" customHeight="1" x14ac:dyDescent="0.2">
      <c r="A53" s="559" t="s">
        <v>1484</v>
      </c>
      <c r="B53" s="527" t="s">
        <v>557</v>
      </c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496"/>
    </row>
    <row r="54" spans="1:19" s="154" customFormat="1" ht="12" customHeight="1" x14ac:dyDescent="0.2">
      <c r="A54" s="559" t="s">
        <v>1484</v>
      </c>
      <c r="B54" s="491" t="s">
        <v>549</v>
      </c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496"/>
    </row>
    <row r="55" spans="1:19" s="154" customFormat="1" ht="12" customHeight="1" x14ac:dyDescent="0.2">
      <c r="A55" s="559" t="s">
        <v>1484</v>
      </c>
      <c r="B55" s="527" t="s">
        <v>558</v>
      </c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496"/>
    </row>
    <row r="56" spans="1:19" s="154" customFormat="1" ht="12" customHeight="1" x14ac:dyDescent="0.2">
      <c r="A56" s="559" t="s">
        <v>1484</v>
      </c>
      <c r="B56" s="491" t="s">
        <v>559</v>
      </c>
      <c r="C56" s="315"/>
      <c r="D56" s="315"/>
      <c r="E56" s="315"/>
      <c r="F56" s="315"/>
      <c r="G56" s="315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496"/>
    </row>
    <row r="57" spans="1:19" s="154" customFormat="1" ht="12" customHeight="1" x14ac:dyDescent="0.2">
      <c r="A57" s="559" t="s">
        <v>1484</v>
      </c>
      <c r="B57" s="527" t="s">
        <v>550</v>
      </c>
      <c r="C57" s="315"/>
      <c r="D57" s="315"/>
      <c r="E57" s="315"/>
      <c r="F57" s="315"/>
      <c r="G57" s="315"/>
      <c r="H57" s="315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496"/>
    </row>
    <row r="58" spans="1:19" s="154" customFormat="1" ht="12" customHeight="1" x14ac:dyDescent="0.2">
      <c r="A58" s="559" t="s">
        <v>1536</v>
      </c>
      <c r="B58" s="527" t="s">
        <v>552</v>
      </c>
      <c r="C58" s="315"/>
      <c r="D58" s="315"/>
      <c r="E58" s="315"/>
      <c r="F58" s="315"/>
      <c r="G58" s="315"/>
      <c r="H58" s="315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496"/>
    </row>
    <row r="59" spans="1:19" s="154" customFormat="1" ht="12" customHeight="1" x14ac:dyDescent="0.2">
      <c r="A59" s="559" t="s">
        <v>1536</v>
      </c>
      <c r="B59" s="491" t="s">
        <v>553</v>
      </c>
      <c r="C59" s="315"/>
      <c r="D59" s="315"/>
      <c r="E59" s="315"/>
      <c r="F59" s="315"/>
      <c r="G59" s="315"/>
      <c r="H59" s="315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496"/>
    </row>
    <row r="60" spans="1:19" s="154" customFormat="1" ht="12" customHeight="1" x14ac:dyDescent="0.2">
      <c r="A60" s="559" t="s">
        <v>1536</v>
      </c>
      <c r="B60" s="527" t="s">
        <v>547</v>
      </c>
      <c r="C60" s="315"/>
      <c r="D60" s="315"/>
      <c r="E60" s="315"/>
      <c r="F60" s="315"/>
      <c r="G60" s="315"/>
      <c r="H60" s="315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496"/>
    </row>
    <row r="61" spans="1:19" s="154" customFormat="1" ht="12" customHeight="1" x14ac:dyDescent="0.2">
      <c r="A61" s="559" t="s">
        <v>1536</v>
      </c>
      <c r="B61" s="491" t="s">
        <v>554</v>
      </c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496"/>
    </row>
    <row r="62" spans="1:19" s="154" customFormat="1" ht="12" customHeight="1" x14ac:dyDescent="0.2">
      <c r="A62" s="559" t="s">
        <v>1536</v>
      </c>
      <c r="B62" s="527" t="s">
        <v>555</v>
      </c>
      <c r="C62" s="315"/>
      <c r="D62" s="315"/>
      <c r="E62" s="315"/>
      <c r="F62" s="315"/>
      <c r="G62" s="315"/>
      <c r="H62" s="315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496"/>
    </row>
    <row r="63" spans="1:19" s="154" customFormat="1" ht="12" customHeight="1" x14ac:dyDescent="0.2">
      <c r="A63" s="559" t="s">
        <v>1536</v>
      </c>
      <c r="B63" s="491" t="s">
        <v>548</v>
      </c>
      <c r="C63" s="315"/>
      <c r="D63" s="315"/>
      <c r="E63" s="315"/>
      <c r="F63" s="315"/>
      <c r="G63" s="315"/>
      <c r="H63" s="315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496"/>
    </row>
    <row r="64" spans="1:19" s="154" customFormat="1" ht="12" customHeight="1" x14ac:dyDescent="0.2">
      <c r="A64" s="559" t="s">
        <v>1536</v>
      </c>
      <c r="B64" s="527" t="s">
        <v>556</v>
      </c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496"/>
    </row>
    <row r="65" spans="1:19" s="154" customFormat="1" ht="12" customHeight="1" x14ac:dyDescent="0.2">
      <c r="A65" s="559" t="s">
        <v>1536</v>
      </c>
      <c r="B65" s="491" t="s">
        <v>557</v>
      </c>
      <c r="C65" s="315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/>
      <c r="P65" s="315"/>
      <c r="Q65" s="315"/>
      <c r="R65" s="315"/>
      <c r="S65" s="496"/>
    </row>
    <row r="66" spans="1:19" s="154" customFormat="1" ht="12" customHeight="1" x14ac:dyDescent="0.2">
      <c r="A66" s="559" t="s">
        <v>1536</v>
      </c>
      <c r="B66" s="527" t="s">
        <v>549</v>
      </c>
      <c r="C66" s="315"/>
      <c r="D66" s="315"/>
      <c r="E66" s="315"/>
      <c r="F66" s="315"/>
      <c r="G66" s="315"/>
      <c r="H66" s="315"/>
      <c r="I66" s="315"/>
      <c r="J66" s="315"/>
      <c r="K66" s="315"/>
      <c r="L66" s="315"/>
      <c r="M66" s="315"/>
      <c r="N66" s="315"/>
      <c r="O66" s="315"/>
      <c r="P66" s="315"/>
      <c r="Q66" s="315"/>
      <c r="R66" s="315"/>
      <c r="S66" s="496"/>
    </row>
    <row r="67" spans="1:19" s="154" customFormat="1" ht="12" customHeight="1" x14ac:dyDescent="0.2">
      <c r="A67" s="559" t="s">
        <v>1536</v>
      </c>
      <c r="B67" s="491" t="s">
        <v>558</v>
      </c>
      <c r="C67" s="315"/>
      <c r="D67" s="315"/>
      <c r="E67" s="315"/>
      <c r="F67" s="315"/>
      <c r="G67" s="315"/>
      <c r="H67" s="315"/>
      <c r="I67" s="315"/>
      <c r="J67" s="315"/>
      <c r="K67" s="315"/>
      <c r="L67" s="315"/>
      <c r="M67" s="315"/>
      <c r="N67" s="315"/>
      <c r="O67" s="315"/>
      <c r="P67" s="315"/>
      <c r="Q67" s="315"/>
      <c r="R67" s="315"/>
      <c r="S67" s="496"/>
    </row>
    <row r="68" spans="1:19" s="154" customFormat="1" ht="12" customHeight="1" x14ac:dyDescent="0.2">
      <c r="A68" s="559" t="s">
        <v>1536</v>
      </c>
      <c r="B68" s="527" t="s">
        <v>559</v>
      </c>
      <c r="C68" s="315"/>
      <c r="D68" s="315"/>
      <c r="E68" s="315"/>
      <c r="F68" s="315"/>
      <c r="G68" s="315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496"/>
    </row>
    <row r="69" spans="1:19" s="154" customFormat="1" ht="12" customHeight="1" x14ac:dyDescent="0.2">
      <c r="A69" s="559" t="s">
        <v>1536</v>
      </c>
      <c r="B69" s="491" t="s">
        <v>550</v>
      </c>
      <c r="C69" s="315"/>
      <c r="D69" s="315"/>
      <c r="E69" s="315"/>
      <c r="F69" s="315"/>
      <c r="G69" s="315"/>
      <c r="H69" s="315"/>
      <c r="I69" s="315"/>
      <c r="J69" s="315"/>
      <c r="K69" s="315"/>
      <c r="L69" s="315"/>
      <c r="M69" s="315"/>
      <c r="N69" s="315"/>
      <c r="O69" s="315"/>
      <c r="P69" s="315"/>
      <c r="Q69" s="315"/>
      <c r="R69" s="315"/>
      <c r="S69" s="496"/>
    </row>
    <row r="70" spans="1:19" s="154" customFormat="1" ht="12" customHeight="1" x14ac:dyDescent="0.2">
      <c r="A70" s="559" t="s">
        <v>1817</v>
      </c>
      <c r="B70" s="491" t="s">
        <v>552</v>
      </c>
      <c r="C70" s="547">
        <v>67616.667000000001</v>
      </c>
      <c r="D70" s="547">
        <v>21474.644</v>
      </c>
      <c r="E70" s="547">
        <v>5208.3590000000004</v>
      </c>
      <c r="F70" s="547">
        <v>63651.858999999997</v>
      </c>
      <c r="G70" s="547">
        <v>40768.993000000002</v>
      </c>
      <c r="H70" s="547">
        <v>48679.767999999996</v>
      </c>
      <c r="I70" s="547">
        <v>209.76300000000001</v>
      </c>
      <c r="J70" s="547">
        <v>15480.004000000001</v>
      </c>
      <c r="K70" s="547">
        <v>68701.176000000007</v>
      </c>
      <c r="L70" s="547">
        <v>1786.6320000000001</v>
      </c>
      <c r="M70" s="547">
        <v>2388.04</v>
      </c>
      <c r="N70" s="547">
        <v>12470.279</v>
      </c>
      <c r="O70" s="547">
        <v>21766.792000000001</v>
      </c>
      <c r="P70" s="547">
        <v>76706.641000000003</v>
      </c>
      <c r="Q70" s="237">
        <f>3160.995+2374.254+3567.953+2111.887+19997.069+408.8</f>
        <v>31620.957999999999</v>
      </c>
      <c r="R70" s="237">
        <f t="shared" ref="R70:R84" si="2">SUM(C70:Q70)</f>
        <v>478530.57499999995</v>
      </c>
      <c r="S70" s="492" t="s">
        <v>552</v>
      </c>
    </row>
    <row r="71" spans="1:19" s="154" customFormat="1" ht="12" customHeight="1" x14ac:dyDescent="0.2">
      <c r="A71" s="559" t="s">
        <v>1817</v>
      </c>
      <c r="B71" s="527" t="s">
        <v>553</v>
      </c>
      <c r="C71" s="546">
        <v>72338.934999999998</v>
      </c>
      <c r="D71" s="546">
        <v>24931.061000000002</v>
      </c>
      <c r="E71" s="546">
        <v>4894.4399999999996</v>
      </c>
      <c r="F71" s="546">
        <v>65552.266000000003</v>
      </c>
      <c r="G71" s="546">
        <v>41875.334000000003</v>
      </c>
      <c r="H71" s="546">
        <v>53252.186999999998</v>
      </c>
      <c r="I71" s="546">
        <v>235.51400000000001</v>
      </c>
      <c r="J71" s="546">
        <v>17658.971000000001</v>
      </c>
      <c r="K71" s="546">
        <v>71320.922999999995</v>
      </c>
      <c r="L71" s="546">
        <v>1961.2760000000001</v>
      </c>
      <c r="M71" s="546">
        <v>2454.7869999999998</v>
      </c>
      <c r="N71" s="546">
        <v>15027.222</v>
      </c>
      <c r="O71" s="546">
        <v>22539.714</v>
      </c>
      <c r="P71" s="546">
        <v>74273.065000000002</v>
      </c>
      <c r="Q71" s="276">
        <f>3505.414+2632.356+3915.536+2139.045+21598.28+413.12</f>
        <v>34203.751000000004</v>
      </c>
      <c r="R71" s="276">
        <f t="shared" si="2"/>
        <v>502519.44600000005</v>
      </c>
      <c r="S71" s="500" t="s">
        <v>553</v>
      </c>
    </row>
    <row r="72" spans="1:19" s="154" customFormat="1" ht="12" customHeight="1" x14ac:dyDescent="0.2">
      <c r="A72" s="559" t="s">
        <v>1817</v>
      </c>
      <c r="B72" s="491" t="s">
        <v>547</v>
      </c>
      <c r="C72" s="547">
        <v>72528.347999999998</v>
      </c>
      <c r="D72" s="547">
        <v>28541.094000000001</v>
      </c>
      <c r="E72" s="547">
        <v>4527.6099999999997</v>
      </c>
      <c r="F72" s="547">
        <v>64271.487000000001</v>
      </c>
      <c r="G72" s="547">
        <v>46096.470999999998</v>
      </c>
      <c r="H72" s="547">
        <v>56101.165000000001</v>
      </c>
      <c r="I72" s="547">
        <v>233.911</v>
      </c>
      <c r="J72" s="547">
        <v>18543.902999999998</v>
      </c>
      <c r="K72" s="547">
        <v>76436.865999999995</v>
      </c>
      <c r="L72" s="547">
        <v>2337.462</v>
      </c>
      <c r="M72" s="547">
        <v>3091.1930000000002</v>
      </c>
      <c r="N72" s="547">
        <v>16677.294000000002</v>
      </c>
      <c r="O72" s="547">
        <v>22544.861000000001</v>
      </c>
      <c r="P72" s="547">
        <v>76521.876000000004</v>
      </c>
      <c r="Q72" s="237">
        <f>3603.217+3116.898+4202.551+2918.704+24204.75+408.47</f>
        <v>38454.590000000004</v>
      </c>
      <c r="R72" s="237">
        <f t="shared" si="2"/>
        <v>526908.13099999994</v>
      </c>
      <c r="S72" s="492" t="s">
        <v>547</v>
      </c>
    </row>
    <row r="73" spans="1:19" s="154" customFormat="1" ht="12" customHeight="1" x14ac:dyDescent="0.2">
      <c r="A73" s="559" t="s">
        <v>1817</v>
      </c>
      <c r="B73" s="527" t="s">
        <v>554</v>
      </c>
      <c r="C73" s="546">
        <v>73358.629000000001</v>
      </c>
      <c r="D73" s="546">
        <v>24399.685000000001</v>
      </c>
      <c r="E73" s="546">
        <v>4448.0540000000001</v>
      </c>
      <c r="F73" s="546">
        <v>58657.873</v>
      </c>
      <c r="G73" s="546">
        <v>44640.004000000001</v>
      </c>
      <c r="H73" s="546">
        <v>50731.190999999999</v>
      </c>
      <c r="I73" s="546">
        <v>200.41900000000001</v>
      </c>
      <c r="J73" s="546">
        <v>17652.591</v>
      </c>
      <c r="K73" s="546">
        <v>72165.013000000006</v>
      </c>
      <c r="L73" s="546">
        <v>2506.9430000000002</v>
      </c>
      <c r="M73" s="546">
        <v>2984.6959999999999</v>
      </c>
      <c r="N73" s="546">
        <v>14088.704</v>
      </c>
      <c r="O73" s="546">
        <v>21662.871999999999</v>
      </c>
      <c r="P73" s="546">
        <v>72845.698999999993</v>
      </c>
      <c r="Q73" s="276">
        <f>3379.149+3535.982+3789.351+2552.163+25681.365+409.2</f>
        <v>39347.21</v>
      </c>
      <c r="R73" s="276">
        <f t="shared" si="2"/>
        <v>499689.58300000004</v>
      </c>
      <c r="S73" s="500" t="s">
        <v>554</v>
      </c>
    </row>
    <row r="74" spans="1:19" s="154" customFormat="1" ht="12" customHeight="1" x14ac:dyDescent="0.2">
      <c r="A74" s="559" t="s">
        <v>1817</v>
      </c>
      <c r="B74" s="491" t="s">
        <v>555</v>
      </c>
      <c r="C74" s="547">
        <v>74686.288</v>
      </c>
      <c r="D74" s="547">
        <v>22303.873</v>
      </c>
      <c r="E74" s="547">
        <v>4200.7</v>
      </c>
      <c r="F74" s="547">
        <v>54288.709000000003</v>
      </c>
      <c r="G74" s="547">
        <v>43231.059000000001</v>
      </c>
      <c r="H74" s="547">
        <v>45987.32</v>
      </c>
      <c r="I74" s="547">
        <v>184.53200000000001</v>
      </c>
      <c r="J74" s="547">
        <v>15694.451999999999</v>
      </c>
      <c r="K74" s="547">
        <v>68809.777000000002</v>
      </c>
      <c r="L74" s="547">
        <v>2408.192</v>
      </c>
      <c r="M74" s="547">
        <v>2667.009</v>
      </c>
      <c r="N74" s="547">
        <v>12967.087</v>
      </c>
      <c r="O74" s="547">
        <v>19594.955999999998</v>
      </c>
      <c r="P74" s="547">
        <v>69880.307000000001</v>
      </c>
      <c r="Q74" s="237">
        <f>3035.109+3235.387+3896.489+2502.627+24565.925+410.5</f>
        <v>37646.036999999997</v>
      </c>
      <c r="R74" s="237">
        <f t="shared" si="2"/>
        <v>474550.29800000007</v>
      </c>
      <c r="S74" s="492" t="s">
        <v>555</v>
      </c>
    </row>
    <row r="75" spans="1:19" s="154" customFormat="1" ht="12" customHeight="1" x14ac:dyDescent="0.2">
      <c r="A75" s="559" t="s">
        <v>1817</v>
      </c>
      <c r="B75" s="527" t="s">
        <v>548</v>
      </c>
      <c r="C75" s="546">
        <v>72701.869000000006</v>
      </c>
      <c r="D75" s="546">
        <v>22836.344000000001</v>
      </c>
      <c r="E75" s="546">
        <v>4048.6019999999999</v>
      </c>
      <c r="F75" s="546">
        <v>56554.961000000003</v>
      </c>
      <c r="G75" s="546">
        <v>44558.463000000003</v>
      </c>
      <c r="H75" s="546">
        <v>46935.637999999999</v>
      </c>
      <c r="I75" s="546">
        <v>205.33500000000001</v>
      </c>
      <c r="J75" s="546">
        <v>16588.208999999999</v>
      </c>
      <c r="K75" s="546">
        <v>71619.951000000001</v>
      </c>
      <c r="L75" s="546">
        <v>3438.0740000000001</v>
      </c>
      <c r="M75" s="546">
        <v>2561.0839999999998</v>
      </c>
      <c r="N75" s="546">
        <v>12697.162</v>
      </c>
      <c r="O75" s="546">
        <v>21394.806</v>
      </c>
      <c r="P75" s="546">
        <v>68780.898000000001</v>
      </c>
      <c r="Q75" s="276">
        <f>3063.666+3425.862+4024.182+2489.779+24706.434+616.693</f>
        <v>38326.616000000002</v>
      </c>
      <c r="R75" s="546">
        <f t="shared" si="2"/>
        <v>483248.01199999993</v>
      </c>
      <c r="S75" s="500" t="s">
        <v>548</v>
      </c>
    </row>
    <row r="76" spans="1:19" s="154" customFormat="1" ht="12" customHeight="1" x14ac:dyDescent="0.2">
      <c r="A76" s="559" t="s">
        <v>1817</v>
      </c>
      <c r="B76" s="491" t="s">
        <v>556</v>
      </c>
      <c r="C76" s="547">
        <v>74102.317999999999</v>
      </c>
      <c r="D76" s="547">
        <v>23240.934000000001</v>
      </c>
      <c r="E76" s="547">
        <v>4094.8620000000001</v>
      </c>
      <c r="F76" s="547">
        <v>55023.042000000001</v>
      </c>
      <c r="G76" s="547">
        <v>46242.385999999999</v>
      </c>
      <c r="H76" s="547">
        <v>49085.125999999997</v>
      </c>
      <c r="I76" s="547">
        <v>198.23099999999999</v>
      </c>
      <c r="J76" s="547">
        <v>17200.05</v>
      </c>
      <c r="K76" s="547">
        <v>73246.820000000007</v>
      </c>
      <c r="L76" s="547">
        <v>3264.96</v>
      </c>
      <c r="M76" s="547">
        <v>2953.6869999999999</v>
      </c>
      <c r="N76" s="547">
        <v>13302.677</v>
      </c>
      <c r="O76" s="547">
        <v>20937.788</v>
      </c>
      <c r="P76" s="547">
        <v>71370.222999999998</v>
      </c>
      <c r="Q76" s="237">
        <f>3626.485+3867.507+3896.69+2668.602+25901.976+3167.879</f>
        <v>43129.138999999996</v>
      </c>
      <c r="R76" s="237">
        <f t="shared" si="2"/>
        <v>497392.24300000002</v>
      </c>
      <c r="S76" s="492" t="s">
        <v>556</v>
      </c>
    </row>
    <row r="77" spans="1:19" s="154" customFormat="1" ht="12" customHeight="1" x14ac:dyDescent="0.2">
      <c r="A77" s="559" t="s">
        <v>1817</v>
      </c>
      <c r="B77" s="527" t="s">
        <v>557</v>
      </c>
      <c r="C77" s="546">
        <v>72291.077999999994</v>
      </c>
      <c r="D77" s="546">
        <v>21076.091</v>
      </c>
      <c r="E77" s="546">
        <v>3979.1469999999999</v>
      </c>
      <c r="F77" s="546">
        <v>55657.616000000002</v>
      </c>
      <c r="G77" s="546">
        <v>43975.31</v>
      </c>
      <c r="H77" s="546">
        <v>48112.402999999998</v>
      </c>
      <c r="I77" s="546">
        <v>198.542</v>
      </c>
      <c r="J77" s="546">
        <v>17510.684000000001</v>
      </c>
      <c r="K77" s="546">
        <v>73002.744000000006</v>
      </c>
      <c r="L77" s="546">
        <v>3271.212</v>
      </c>
      <c r="M77" s="546">
        <v>2766.7849999999999</v>
      </c>
      <c r="N77" s="546">
        <v>12481.625</v>
      </c>
      <c r="O77" s="546">
        <v>19354.003000000001</v>
      </c>
      <c r="P77" s="546">
        <v>68007.065000000002</v>
      </c>
      <c r="Q77" s="276">
        <f>3159.109+3963.523+3959.01+2706.379+25402.452+3228.127</f>
        <v>42418.6</v>
      </c>
      <c r="R77" s="276">
        <f t="shared" si="2"/>
        <v>484102.90499999997</v>
      </c>
      <c r="S77" s="500" t="s">
        <v>557</v>
      </c>
    </row>
    <row r="78" spans="1:19" s="154" customFormat="1" ht="12" customHeight="1" x14ac:dyDescent="0.2">
      <c r="A78" s="559" t="s">
        <v>1817</v>
      </c>
      <c r="B78" s="491" t="s">
        <v>549</v>
      </c>
      <c r="C78" s="547">
        <v>71126.676999999996</v>
      </c>
      <c r="D78" s="547">
        <v>20086.036</v>
      </c>
      <c r="E78" s="547">
        <v>4004.14</v>
      </c>
      <c r="F78" s="547">
        <v>55386.283000000003</v>
      </c>
      <c r="G78" s="547">
        <v>41982.940999999999</v>
      </c>
      <c r="H78" s="547">
        <v>48220.809000000001</v>
      </c>
      <c r="I78" s="547">
        <v>210.113</v>
      </c>
      <c r="J78" s="547">
        <v>17600.581999999999</v>
      </c>
      <c r="K78" s="547">
        <v>73000.616999999998</v>
      </c>
      <c r="L78" s="547">
        <v>3617.8380000000002</v>
      </c>
      <c r="M78" s="547">
        <v>2788.748</v>
      </c>
      <c r="N78" s="547">
        <v>13097.064</v>
      </c>
      <c r="O78" s="547">
        <v>19414.475999999999</v>
      </c>
      <c r="P78" s="547">
        <v>65508.468000000001</v>
      </c>
      <c r="Q78" s="237">
        <f>3075.954+4273.947+4113.611+2787.241+25707.113+3300.574</f>
        <v>43258.44</v>
      </c>
      <c r="R78" s="237">
        <f t="shared" si="2"/>
        <v>479303.23200000002</v>
      </c>
      <c r="S78" s="492" t="s">
        <v>549</v>
      </c>
    </row>
    <row r="79" spans="1:19" s="154" customFormat="1" ht="12" customHeight="1" x14ac:dyDescent="0.2">
      <c r="A79" s="559" t="s">
        <v>1817</v>
      </c>
      <c r="B79" s="527" t="s">
        <v>558</v>
      </c>
      <c r="C79" s="546">
        <v>69887.167000000001</v>
      </c>
      <c r="D79" s="546">
        <v>20288.153999999999</v>
      </c>
      <c r="E79" s="546">
        <v>3926.46</v>
      </c>
      <c r="F79" s="546">
        <v>57739.375</v>
      </c>
      <c r="G79" s="546">
        <v>41462.281000000003</v>
      </c>
      <c r="H79" s="546">
        <v>47723.546000000002</v>
      </c>
      <c r="I79" s="546">
        <v>194.773</v>
      </c>
      <c r="J79" s="546">
        <v>17057.344000000001</v>
      </c>
      <c r="K79" s="546">
        <v>72877.839000000007</v>
      </c>
      <c r="L79" s="546">
        <v>3582.0680000000002</v>
      </c>
      <c r="M79" s="546">
        <v>2713.46</v>
      </c>
      <c r="N79" s="546">
        <v>13408.684999999999</v>
      </c>
      <c r="O79" s="546">
        <v>18093.829000000002</v>
      </c>
      <c r="P79" s="546">
        <v>63816.358999999997</v>
      </c>
      <c r="Q79" s="276">
        <f>2961.14+3972.194+3827.826+3098.591+26236.438+3302.135</f>
        <v>43398.324000000001</v>
      </c>
      <c r="R79" s="276">
        <f t="shared" si="2"/>
        <v>476169.66400000011</v>
      </c>
      <c r="S79" s="500" t="s">
        <v>558</v>
      </c>
    </row>
    <row r="80" spans="1:19" s="154" customFormat="1" ht="12" customHeight="1" x14ac:dyDescent="0.2">
      <c r="A80" s="559" t="s">
        <v>1817</v>
      </c>
      <c r="B80" s="491" t="s">
        <v>559</v>
      </c>
      <c r="C80" s="547">
        <v>67958.615999999995</v>
      </c>
      <c r="D80" s="547">
        <v>19947.473000000002</v>
      </c>
      <c r="E80" s="547">
        <v>3842.8710000000001</v>
      </c>
      <c r="F80" s="547">
        <v>54301.131999999998</v>
      </c>
      <c r="G80" s="547">
        <v>39491.868999999999</v>
      </c>
      <c r="H80" s="547">
        <v>46463.408000000003</v>
      </c>
      <c r="I80" s="547">
        <v>187.649</v>
      </c>
      <c r="J80" s="547">
        <v>16745.438999999998</v>
      </c>
      <c r="K80" s="547">
        <v>71673.289000000004</v>
      </c>
      <c r="L80" s="547">
        <v>2634.3969999999999</v>
      </c>
      <c r="M80" s="547">
        <v>2581.65</v>
      </c>
      <c r="N80" s="547">
        <v>12142.59</v>
      </c>
      <c r="O80" s="547">
        <v>16205.163</v>
      </c>
      <c r="P80" s="547">
        <v>60452.281999999999</v>
      </c>
      <c r="Q80" s="237">
        <f>3146.376+3666.206+3470.296+2764.997+24605.033+3270.67</f>
        <v>40923.577999999994</v>
      </c>
      <c r="R80" s="237">
        <f t="shared" si="2"/>
        <v>455551.40600000002</v>
      </c>
      <c r="S80" s="492" t="s">
        <v>559</v>
      </c>
    </row>
    <row r="81" spans="1:19" s="154" customFormat="1" ht="12" customHeight="1" x14ac:dyDescent="0.2">
      <c r="A81" s="559" t="s">
        <v>1817</v>
      </c>
      <c r="B81" s="527" t="s">
        <v>550</v>
      </c>
      <c r="C81" s="546">
        <v>68002.862999999998</v>
      </c>
      <c r="D81" s="546">
        <v>19726.462</v>
      </c>
      <c r="E81" s="546">
        <v>3910.991</v>
      </c>
      <c r="F81" s="546">
        <v>55260.614000000001</v>
      </c>
      <c r="G81" s="546">
        <v>39234.875</v>
      </c>
      <c r="H81" s="546">
        <v>47496.468999999997</v>
      </c>
      <c r="I81" s="546">
        <v>197.02600000000001</v>
      </c>
      <c r="J81" s="546">
        <v>17301.597000000002</v>
      </c>
      <c r="K81" s="546">
        <v>71054.562000000005</v>
      </c>
      <c r="L81" s="546">
        <v>2750.3130000000001</v>
      </c>
      <c r="M81" s="546">
        <v>2611.3119999999999</v>
      </c>
      <c r="N81" s="546">
        <v>11890.557000000001</v>
      </c>
      <c r="O81" s="546">
        <v>16599.167000000001</v>
      </c>
      <c r="P81" s="546">
        <v>59091.580999999998</v>
      </c>
      <c r="Q81" s="276">
        <f>3609.269+3509.873+3355.183+2789.864+3843.877+24344.918</f>
        <v>41452.983999999997</v>
      </c>
      <c r="R81" s="276">
        <f t="shared" si="2"/>
        <v>456581.37300000008</v>
      </c>
      <c r="S81" s="500" t="s">
        <v>550</v>
      </c>
    </row>
    <row r="82" spans="1:19" s="154" customFormat="1" ht="12" customHeight="1" x14ac:dyDescent="0.2">
      <c r="A82" s="559" t="s">
        <v>2066</v>
      </c>
      <c r="B82" s="527" t="s">
        <v>552</v>
      </c>
      <c r="C82" s="546">
        <v>65457.334000000003</v>
      </c>
      <c r="D82" s="546">
        <v>18985.407999999999</v>
      </c>
      <c r="E82" s="546">
        <v>3850.0590000000002</v>
      </c>
      <c r="F82" s="546">
        <v>52964.053999999996</v>
      </c>
      <c r="G82" s="546">
        <v>38037.769</v>
      </c>
      <c r="H82" s="546">
        <v>44805.618000000002</v>
      </c>
      <c r="I82" s="546">
        <v>196.75800000000001</v>
      </c>
      <c r="J82" s="546">
        <v>17535.436000000002</v>
      </c>
      <c r="K82" s="546">
        <v>69161.164000000004</v>
      </c>
      <c r="L82" s="546">
        <v>3447.7049999999999</v>
      </c>
      <c r="M82" s="546">
        <v>2434.6590000000001</v>
      </c>
      <c r="N82" s="546">
        <v>11352.082</v>
      </c>
      <c r="O82" s="546">
        <v>16430.512999999999</v>
      </c>
      <c r="P82" s="546">
        <v>59130.521000000001</v>
      </c>
      <c r="Q82" s="276">
        <f>3210.582+3302.53+3189.413+2561.261+22850.107+3637.19</f>
        <v>38751.082999999999</v>
      </c>
      <c r="R82" s="276">
        <f t="shared" si="2"/>
        <v>442540.16299999994</v>
      </c>
      <c r="S82" s="500" t="s">
        <v>552</v>
      </c>
    </row>
    <row r="83" spans="1:19" s="154" customFormat="1" ht="12" customHeight="1" x14ac:dyDescent="0.2">
      <c r="A83" s="559" t="s">
        <v>2066</v>
      </c>
      <c r="B83" s="491" t="s">
        <v>553</v>
      </c>
      <c r="C83" s="547">
        <v>67671.425000000003</v>
      </c>
      <c r="D83" s="547">
        <v>20685.25</v>
      </c>
      <c r="E83" s="547">
        <v>3923.8380000000002</v>
      </c>
      <c r="F83" s="547">
        <v>54469.815999999999</v>
      </c>
      <c r="G83" s="547">
        <v>38395.036</v>
      </c>
      <c r="H83" s="547">
        <v>46088.813000000002</v>
      </c>
      <c r="I83" s="547">
        <v>204.357</v>
      </c>
      <c r="J83" s="547">
        <v>18899.857</v>
      </c>
      <c r="K83" s="547">
        <v>72271.921000000002</v>
      </c>
      <c r="L83" s="547">
        <v>4103.2349999999997</v>
      </c>
      <c r="M83" s="547">
        <v>3172.3960000000002</v>
      </c>
      <c r="N83" s="547">
        <v>12998.727999999999</v>
      </c>
      <c r="O83" s="547">
        <v>16844.252</v>
      </c>
      <c r="P83" s="547">
        <v>58266.019</v>
      </c>
      <c r="Q83" s="237">
        <f>3360.252+3342.231+3353.405+3090.845+24151.746+3744.02</f>
        <v>41042.498999999996</v>
      </c>
      <c r="R83" s="237">
        <f t="shared" si="2"/>
        <v>459037.44199999998</v>
      </c>
      <c r="S83" s="492" t="s">
        <v>553</v>
      </c>
    </row>
    <row r="84" spans="1:19" s="154" customFormat="1" ht="12" customHeight="1" x14ac:dyDescent="0.2">
      <c r="A84" s="559" t="s">
        <v>2066</v>
      </c>
      <c r="B84" s="527" t="s">
        <v>547</v>
      </c>
      <c r="C84" s="546">
        <v>66553.089000000007</v>
      </c>
      <c r="D84" s="546">
        <v>19717.593000000001</v>
      </c>
      <c r="E84" s="546">
        <v>3863.2179999999998</v>
      </c>
      <c r="F84" s="546">
        <v>53799.815999999999</v>
      </c>
      <c r="G84" s="546">
        <v>38101.561000000002</v>
      </c>
      <c r="H84" s="546">
        <v>45677.81</v>
      </c>
      <c r="I84" s="546">
        <v>257.709</v>
      </c>
      <c r="J84" s="546">
        <v>17639.59</v>
      </c>
      <c r="K84" s="546">
        <v>75228.61</v>
      </c>
      <c r="L84" s="546">
        <v>4404.4759999999997</v>
      </c>
      <c r="M84" s="546">
        <v>3334.9690000000001</v>
      </c>
      <c r="N84" s="546">
        <v>12421.821</v>
      </c>
      <c r="O84" s="546">
        <v>16050.281999999999</v>
      </c>
      <c r="P84" s="546">
        <v>58143.56</v>
      </c>
      <c r="Q84" s="276">
        <f>3447.751+3388.372+3812.563+4287.395+26258.445+3713.11</f>
        <v>44907.635999999999</v>
      </c>
      <c r="R84" s="276">
        <f t="shared" si="2"/>
        <v>460101.74</v>
      </c>
      <c r="S84" s="500" t="s">
        <v>547</v>
      </c>
    </row>
    <row r="85" spans="1:19" s="154" customFormat="1" ht="12" customHeight="1" x14ac:dyDescent="0.2">
      <c r="A85" s="559" t="s">
        <v>2066</v>
      </c>
      <c r="B85" s="491" t="s">
        <v>554</v>
      </c>
      <c r="C85" s="547">
        <v>66068.740000000005</v>
      </c>
      <c r="D85" s="547">
        <v>18769.64</v>
      </c>
      <c r="E85" s="547">
        <v>3862.13</v>
      </c>
      <c r="F85" s="547">
        <v>52994.66</v>
      </c>
      <c r="G85" s="547">
        <v>37547.46</v>
      </c>
      <c r="H85" s="547">
        <v>44821.36</v>
      </c>
      <c r="I85" s="547">
        <v>280.33</v>
      </c>
      <c r="J85" s="547">
        <v>17198.599999999999</v>
      </c>
      <c r="K85" s="547">
        <v>74236.570000000007</v>
      </c>
      <c r="L85" s="547">
        <v>5011.3</v>
      </c>
      <c r="M85" s="547">
        <v>3025.29</v>
      </c>
      <c r="N85" s="547">
        <v>11147.35</v>
      </c>
      <c r="O85" s="547">
        <v>15846.87</v>
      </c>
      <c r="P85" s="547">
        <v>58023.18</v>
      </c>
      <c r="Q85" s="237">
        <f>3203.67+3210+3946.8+4536.15+23366.17+3712.51</f>
        <v>41975.3</v>
      </c>
      <c r="R85" s="237">
        <f t="shared" ref="R85:R90" si="3">SUM(C85:Q85)</f>
        <v>450808.77999999991</v>
      </c>
      <c r="S85" s="492" t="s">
        <v>554</v>
      </c>
    </row>
    <row r="86" spans="1:19" s="154" customFormat="1" ht="12" customHeight="1" x14ac:dyDescent="0.2">
      <c r="A86" s="559" t="s">
        <v>2066</v>
      </c>
      <c r="B86" s="527" t="s">
        <v>555</v>
      </c>
      <c r="C86" s="546">
        <v>66617.14</v>
      </c>
      <c r="D86" s="546">
        <v>18745.060000000001</v>
      </c>
      <c r="E86" s="546">
        <v>3861.05</v>
      </c>
      <c r="F86" s="546">
        <v>52191.35</v>
      </c>
      <c r="G86" s="546">
        <v>37734.639999999999</v>
      </c>
      <c r="H86" s="546">
        <v>44672.63</v>
      </c>
      <c r="I86" s="546">
        <v>303.95999999999998</v>
      </c>
      <c r="J86" s="546">
        <v>17150</v>
      </c>
      <c r="K86" s="546">
        <v>72294.53</v>
      </c>
      <c r="L86" s="546">
        <v>4160.53</v>
      </c>
      <c r="M86" s="546">
        <v>2772.13</v>
      </c>
      <c r="N86" s="546">
        <v>11285.57</v>
      </c>
      <c r="O86" s="546">
        <v>16281.88</v>
      </c>
      <c r="P86" s="546">
        <v>58023.18</v>
      </c>
      <c r="Q86" s="276">
        <f>3246.17+3214.61+4070.61+4386.91+21922.89+3742</f>
        <v>40583.19</v>
      </c>
      <c r="R86" s="276">
        <f t="shared" si="3"/>
        <v>446676.84</v>
      </c>
      <c r="S86" s="500" t="s">
        <v>555</v>
      </c>
    </row>
    <row r="87" spans="1:19" s="154" customFormat="1" ht="12" customHeight="1" x14ac:dyDescent="0.2">
      <c r="A87" s="559" t="s">
        <v>2066</v>
      </c>
      <c r="B87" s="491" t="s">
        <v>548</v>
      </c>
      <c r="C87" s="547">
        <v>66662.7</v>
      </c>
      <c r="D87" s="547">
        <v>18801.560000000001</v>
      </c>
      <c r="E87" s="547">
        <v>3853.2</v>
      </c>
      <c r="F87" s="547">
        <v>52529.19</v>
      </c>
      <c r="G87" s="547">
        <v>37860.449999999997</v>
      </c>
      <c r="H87" s="547">
        <v>44624.46</v>
      </c>
      <c r="I87" s="547">
        <v>363.28</v>
      </c>
      <c r="J87" s="547">
        <v>17068.16</v>
      </c>
      <c r="K87" s="547">
        <v>72830.039999999994</v>
      </c>
      <c r="L87" s="547">
        <v>4002.44</v>
      </c>
      <c r="M87" s="547">
        <v>2712.27</v>
      </c>
      <c r="N87" s="547">
        <v>11106.53</v>
      </c>
      <c r="O87" s="547">
        <v>16242.39</v>
      </c>
      <c r="P87" s="547">
        <v>58023.18</v>
      </c>
      <c r="Q87" s="237">
        <f>3259.47+3267.12+3935.21+4329.09+21943.23+3759.01</f>
        <v>40493.129999999997</v>
      </c>
      <c r="R87" s="237">
        <f t="shared" si="3"/>
        <v>447172.98000000004</v>
      </c>
      <c r="S87" s="492" t="s">
        <v>548</v>
      </c>
    </row>
    <row r="88" spans="1:19" s="154" customFormat="1" ht="12" customHeight="1" x14ac:dyDescent="0.2">
      <c r="A88" s="559" t="s">
        <v>2066</v>
      </c>
      <c r="B88" s="527" t="s">
        <v>556</v>
      </c>
      <c r="C88" s="546">
        <v>66871.94</v>
      </c>
      <c r="D88" s="546">
        <v>18846.669999999998</v>
      </c>
      <c r="E88" s="546">
        <v>3841.89</v>
      </c>
      <c r="F88" s="546">
        <v>52679.15</v>
      </c>
      <c r="G88" s="546">
        <v>37907.910000000003</v>
      </c>
      <c r="H88" s="546">
        <v>44663.57</v>
      </c>
      <c r="I88" s="546">
        <v>310.93</v>
      </c>
      <c r="J88" s="546">
        <v>16736.05</v>
      </c>
      <c r="K88" s="546">
        <v>72906.240000000005</v>
      </c>
      <c r="L88" s="546">
        <v>4098.8500000000004</v>
      </c>
      <c r="M88" s="546">
        <v>3026.11</v>
      </c>
      <c r="N88" s="546">
        <v>11118.8</v>
      </c>
      <c r="O88" s="546">
        <v>17551.09</v>
      </c>
      <c r="P88" s="546">
        <v>58023.18</v>
      </c>
      <c r="Q88" s="276">
        <f>3220.19+3203.64+4314.26+5574.4+22038.34+3656.51</f>
        <v>42007.340000000004</v>
      </c>
      <c r="R88" s="276">
        <f t="shared" si="3"/>
        <v>450589.72</v>
      </c>
      <c r="S88" s="500" t="s">
        <v>556</v>
      </c>
    </row>
    <row r="89" spans="1:19" s="154" customFormat="1" ht="12" customHeight="1" x14ac:dyDescent="0.2">
      <c r="A89" s="559" t="s">
        <v>2066</v>
      </c>
      <c r="B89" s="491" t="s">
        <v>557</v>
      </c>
      <c r="C89" s="547">
        <v>66923.063999999998</v>
      </c>
      <c r="D89" s="547">
        <v>18769.088</v>
      </c>
      <c r="E89" s="547">
        <v>3751.027</v>
      </c>
      <c r="F89" s="547">
        <v>52619.106</v>
      </c>
      <c r="G89" s="547">
        <v>38130.510999999999</v>
      </c>
      <c r="H89" s="547">
        <v>44565.917000000001</v>
      </c>
      <c r="I89" s="547">
        <v>314.70400000000001</v>
      </c>
      <c r="J89" s="547">
        <v>16602.603999999999</v>
      </c>
      <c r="K89" s="547">
        <v>72479.353000000003</v>
      </c>
      <c r="L89" s="547">
        <v>4029.625</v>
      </c>
      <c r="M89" s="547">
        <v>2832.21</v>
      </c>
      <c r="N89" s="547">
        <v>11089.456</v>
      </c>
      <c r="O89" s="547">
        <v>16067.771000000001</v>
      </c>
      <c r="P89" s="547">
        <v>58023.178999999996</v>
      </c>
      <c r="Q89" s="237">
        <f>3217.489+3238.811+4136.647+5619.79+21986.827+3661.905</f>
        <v>41861.468999999997</v>
      </c>
      <c r="R89" s="237">
        <f t="shared" si="3"/>
        <v>448059.08399999997</v>
      </c>
      <c r="S89" s="492" t="s">
        <v>557</v>
      </c>
    </row>
    <row r="90" spans="1:19" s="154" customFormat="1" ht="12" customHeight="1" x14ac:dyDescent="0.2">
      <c r="A90" s="559" t="s">
        <v>2066</v>
      </c>
      <c r="B90" s="527" t="s">
        <v>549</v>
      </c>
      <c r="C90" s="546">
        <v>67323.73</v>
      </c>
      <c r="D90" s="546">
        <v>18693.95</v>
      </c>
      <c r="E90" s="546">
        <v>3732.44</v>
      </c>
      <c r="F90" s="546">
        <v>52532.73</v>
      </c>
      <c r="G90" s="546">
        <v>38756.769999999997</v>
      </c>
      <c r="H90" s="546">
        <v>44667.34</v>
      </c>
      <c r="I90" s="546">
        <v>311.93</v>
      </c>
      <c r="J90" s="546">
        <v>16681.11</v>
      </c>
      <c r="K90" s="546">
        <v>71236.350000000006</v>
      </c>
      <c r="L90" s="546">
        <v>4009.91</v>
      </c>
      <c r="M90" s="546">
        <v>2996.56</v>
      </c>
      <c r="N90" s="546">
        <v>11094.23</v>
      </c>
      <c r="O90" s="546">
        <v>16060.22</v>
      </c>
      <c r="P90" s="546">
        <v>58023.18</v>
      </c>
      <c r="Q90" s="276">
        <f>3309.84+4456.47+6182.81+3200.11+22054.58+3514.8</f>
        <v>42718.61</v>
      </c>
      <c r="R90" s="276">
        <f t="shared" si="3"/>
        <v>448839.05999999988</v>
      </c>
      <c r="S90" s="500" t="s">
        <v>549</v>
      </c>
    </row>
    <row r="91" spans="1:19" s="154" customFormat="1" ht="12" customHeight="1" x14ac:dyDescent="0.2">
      <c r="A91" s="559" t="s">
        <v>2066</v>
      </c>
      <c r="B91" s="491" t="s">
        <v>558</v>
      </c>
      <c r="C91" s="547">
        <v>67991.72</v>
      </c>
      <c r="D91" s="547">
        <v>18670.78</v>
      </c>
      <c r="E91" s="547">
        <v>3731.77</v>
      </c>
      <c r="F91" s="547">
        <v>52502.559999999998</v>
      </c>
      <c r="G91" s="547">
        <v>38277.57</v>
      </c>
      <c r="H91" s="547">
        <v>44833.84</v>
      </c>
      <c r="I91" s="547">
        <v>371.71</v>
      </c>
      <c r="J91" s="547">
        <v>16720.7</v>
      </c>
      <c r="K91" s="547">
        <v>71440.89</v>
      </c>
      <c r="L91" s="547">
        <v>4184.57</v>
      </c>
      <c r="M91" s="547">
        <v>3138.05</v>
      </c>
      <c r="N91" s="547">
        <v>11967.31</v>
      </c>
      <c r="O91" s="547">
        <v>16124.59</v>
      </c>
      <c r="P91" s="547">
        <v>58023.18</v>
      </c>
      <c r="Q91" s="237">
        <f>3157.63+3366.46+4357.53+5996.83+22338.66+3514.04</f>
        <v>42731.15</v>
      </c>
      <c r="R91" s="237">
        <f>SUM(C91:Q91)</f>
        <v>450710.39000000007</v>
      </c>
      <c r="S91" s="492" t="s">
        <v>558</v>
      </c>
    </row>
    <row r="92" spans="1:19" s="154" customFormat="1" ht="12" customHeight="1" x14ac:dyDescent="0.2">
      <c r="A92" s="559" t="s">
        <v>2066</v>
      </c>
      <c r="B92" s="527" t="s">
        <v>559</v>
      </c>
      <c r="C92" s="546">
        <v>66807.5</v>
      </c>
      <c r="D92" s="546">
        <v>18724.95</v>
      </c>
      <c r="E92" s="546">
        <v>3775.81</v>
      </c>
      <c r="F92" s="546">
        <v>52860.62</v>
      </c>
      <c r="G92" s="546">
        <v>39915.08</v>
      </c>
      <c r="H92" s="546">
        <v>45009.91</v>
      </c>
      <c r="I92" s="546">
        <v>392.51</v>
      </c>
      <c r="J92" s="546">
        <v>17000.939999999999</v>
      </c>
      <c r="K92" s="546">
        <v>71941.42</v>
      </c>
      <c r="L92" s="546">
        <v>4297.59</v>
      </c>
      <c r="M92" s="546">
        <v>3006.42</v>
      </c>
      <c r="N92" s="546">
        <v>12508.25</v>
      </c>
      <c r="O92" s="546">
        <v>18460.57</v>
      </c>
      <c r="P92" s="546">
        <v>58023.18</v>
      </c>
      <c r="Q92" s="276">
        <f>3199.48+3424.32+4480.61+5265.58+22813.13+3528.9</f>
        <v>42712.020000000004</v>
      </c>
      <c r="R92" s="276">
        <f>SUM(C92:Q92)</f>
        <v>455436.77000000008</v>
      </c>
      <c r="S92" s="500" t="s">
        <v>559</v>
      </c>
    </row>
    <row r="93" spans="1:19" s="154" customFormat="1" ht="12" customHeight="1" x14ac:dyDescent="0.2">
      <c r="A93" s="559" t="s">
        <v>2066</v>
      </c>
      <c r="B93" s="491" t="s">
        <v>550</v>
      </c>
      <c r="C93" s="547">
        <v>67510.316000000006</v>
      </c>
      <c r="D93" s="547">
        <v>18741.575000000001</v>
      </c>
      <c r="E93" s="547">
        <v>3764.1147000000001</v>
      </c>
      <c r="F93" s="547">
        <v>53031.377999999997</v>
      </c>
      <c r="G93" s="547">
        <v>39991.436999999998</v>
      </c>
      <c r="H93" s="547">
        <v>45011.857000000004</v>
      </c>
      <c r="I93" s="547">
        <v>371.97899999999998</v>
      </c>
      <c r="J93" s="547">
        <v>17226.175999999999</v>
      </c>
      <c r="K93" s="547">
        <v>72004.596999999994</v>
      </c>
      <c r="L93" s="547">
        <v>4232.2730000000001</v>
      </c>
      <c r="M93" s="547">
        <v>2931.1860000000001</v>
      </c>
      <c r="N93" s="547">
        <v>12316.058000000001</v>
      </c>
      <c r="O93" s="547">
        <v>18425.573</v>
      </c>
      <c r="P93" s="547">
        <v>58023.178999999996</v>
      </c>
      <c r="Q93" s="237">
        <f>3203.225+3479.956+4325.231+5053.542+22843.839+4089.255</f>
        <v>42995.048000000003</v>
      </c>
      <c r="R93" s="237">
        <f>SUM(C93:Q93)</f>
        <v>456576.74669999996</v>
      </c>
      <c r="S93" s="492" t="s">
        <v>550</v>
      </c>
    </row>
    <row r="94" spans="1:19" s="154" customFormat="1" ht="12" customHeight="1" x14ac:dyDescent="0.2">
      <c r="A94" s="559" t="s">
        <v>2206</v>
      </c>
      <c r="B94" s="491" t="s">
        <v>552</v>
      </c>
      <c r="C94" s="547">
        <v>68558.23</v>
      </c>
      <c r="D94" s="547">
        <v>18692.868999999999</v>
      </c>
      <c r="E94" s="547">
        <v>3760.645</v>
      </c>
      <c r="F94" s="547">
        <v>52893.324000000001</v>
      </c>
      <c r="G94" s="547">
        <v>39755.911999999997</v>
      </c>
      <c r="H94" s="547">
        <v>44783.572999999997</v>
      </c>
      <c r="I94" s="547">
        <v>397.05700000000002</v>
      </c>
      <c r="J94" s="547">
        <v>17216.076000000001</v>
      </c>
      <c r="K94" s="547">
        <v>71831.267999999996</v>
      </c>
      <c r="L94" s="547">
        <v>4101.0129999999999</v>
      </c>
      <c r="M94" s="547">
        <v>2781.27</v>
      </c>
      <c r="N94" s="547">
        <v>12326.138000000001</v>
      </c>
      <c r="O94" s="547">
        <v>18567.451000000001</v>
      </c>
      <c r="P94" s="547">
        <v>58023.178999999996</v>
      </c>
      <c r="Q94" s="237">
        <f>3159.836+3422.68+4119.144+4946.04+22838.594+4088.319</f>
        <v>42574.613000000005</v>
      </c>
      <c r="R94" s="237">
        <f t="shared" ref="R94:R112" si="4">SUM(C94:Q94)</f>
        <v>456262.61799999996</v>
      </c>
      <c r="S94" s="492" t="s">
        <v>552</v>
      </c>
    </row>
    <row r="95" spans="1:19" s="154" customFormat="1" ht="12" customHeight="1" x14ac:dyDescent="0.2">
      <c r="A95" s="559" t="s">
        <v>2206</v>
      </c>
      <c r="B95" s="527" t="s">
        <v>553</v>
      </c>
      <c r="C95" s="546">
        <v>68493.937999999995</v>
      </c>
      <c r="D95" s="546">
        <v>18671.004000000001</v>
      </c>
      <c r="E95" s="546">
        <v>3746.0749999999998</v>
      </c>
      <c r="F95" s="546">
        <v>52781.805</v>
      </c>
      <c r="G95" s="546">
        <v>40086.315999999999</v>
      </c>
      <c r="H95" s="546">
        <v>44893.849000000002</v>
      </c>
      <c r="I95" s="546">
        <v>394.91899999999998</v>
      </c>
      <c r="J95" s="546">
        <v>17091.196</v>
      </c>
      <c r="K95" s="546">
        <v>72311.37</v>
      </c>
      <c r="L95" s="546">
        <v>4233.058</v>
      </c>
      <c r="M95" s="546">
        <v>2806.2779999999998</v>
      </c>
      <c r="N95" s="546">
        <v>12398.548000000001</v>
      </c>
      <c r="O95" s="546">
        <v>17446.334999999999</v>
      </c>
      <c r="P95" s="546">
        <v>58023.178999999996</v>
      </c>
      <c r="Q95" s="276">
        <f>3144.596+3405.184+4148.163+4465.432+23044.062+4087.799</f>
        <v>42295.236000000004</v>
      </c>
      <c r="R95" s="276">
        <f t="shared" si="4"/>
        <v>455673.10600000003</v>
      </c>
      <c r="S95" s="500" t="s">
        <v>553</v>
      </c>
    </row>
    <row r="96" spans="1:19" s="154" customFormat="1" ht="12" customHeight="1" x14ac:dyDescent="0.2">
      <c r="A96" s="559" t="s">
        <v>2206</v>
      </c>
      <c r="B96" s="491" t="s">
        <v>547</v>
      </c>
      <c r="C96" s="547">
        <v>68069.134999999995</v>
      </c>
      <c r="D96" s="547">
        <v>18652.02</v>
      </c>
      <c r="E96" s="547">
        <v>3740.2579999999998</v>
      </c>
      <c r="F96" s="547">
        <v>52625.231</v>
      </c>
      <c r="G96" s="547">
        <v>39780.33</v>
      </c>
      <c r="H96" s="547">
        <v>44781.463000000003</v>
      </c>
      <c r="I96" s="547">
        <v>390.28100000000001</v>
      </c>
      <c r="J96" s="547">
        <v>16893.114000000001</v>
      </c>
      <c r="K96" s="547">
        <v>71773.731</v>
      </c>
      <c r="L96" s="547">
        <v>3970.431</v>
      </c>
      <c r="M96" s="547">
        <v>2851.0010000000002</v>
      </c>
      <c r="N96" s="547">
        <v>12272.478999999999</v>
      </c>
      <c r="O96" s="547">
        <v>18806.151000000002</v>
      </c>
      <c r="P96" s="547">
        <v>58023.178999999996</v>
      </c>
      <c r="Q96" s="237">
        <f>3144.596+3597.07+4113.995+4655.642+22500.39+4087.599</f>
        <v>42099.292000000001</v>
      </c>
      <c r="R96" s="237">
        <f t="shared" si="4"/>
        <v>454728.09599999996</v>
      </c>
      <c r="S96" s="492" t="s">
        <v>547</v>
      </c>
    </row>
    <row r="97" spans="1:19" s="154" customFormat="1" ht="12" customHeight="1" x14ac:dyDescent="0.2">
      <c r="A97" s="559" t="s">
        <v>2206</v>
      </c>
      <c r="B97" s="527" t="s">
        <v>554</v>
      </c>
      <c r="C97" s="546">
        <v>68412.78</v>
      </c>
      <c r="D97" s="546">
        <v>18652.02</v>
      </c>
      <c r="E97" s="546">
        <v>4156.5060000000003</v>
      </c>
      <c r="F97" s="546">
        <v>52734.328000000001</v>
      </c>
      <c r="G97" s="546">
        <v>39762.521000000001</v>
      </c>
      <c r="H97" s="546">
        <v>44841.031999999999</v>
      </c>
      <c r="I97" s="546">
        <v>472.39499999999998</v>
      </c>
      <c r="J97" s="546">
        <v>16749.076000000001</v>
      </c>
      <c r="K97" s="546">
        <v>72060.051000000007</v>
      </c>
      <c r="L97" s="546">
        <v>3816.4659999999999</v>
      </c>
      <c r="M97" s="546">
        <v>2818.308</v>
      </c>
      <c r="N97" s="546">
        <v>12312.032999999999</v>
      </c>
      <c r="O97" s="546">
        <v>18030.512999999999</v>
      </c>
      <c r="P97" s="546">
        <v>58023.178999999996</v>
      </c>
      <c r="Q97" s="276">
        <f>3144.596+3551.703+3889.352+4584.273+22596.734+4088.309</f>
        <v>41854.966999999997</v>
      </c>
      <c r="R97" s="276">
        <f t="shared" si="4"/>
        <v>454696.17500000005</v>
      </c>
      <c r="S97" s="500" t="s">
        <v>554</v>
      </c>
    </row>
    <row r="98" spans="1:19" s="154" customFormat="1" ht="12" customHeight="1" x14ac:dyDescent="0.2">
      <c r="A98" s="559" t="s">
        <v>2206</v>
      </c>
      <c r="B98" s="491" t="s">
        <v>555</v>
      </c>
      <c r="C98" s="547">
        <v>67952.573999999993</v>
      </c>
      <c r="D98" s="547">
        <v>18657.198</v>
      </c>
      <c r="E98" s="547">
        <v>3907.6260000000002</v>
      </c>
      <c r="F98" s="547">
        <v>52896.678</v>
      </c>
      <c r="G98" s="547">
        <v>39161.250999999997</v>
      </c>
      <c r="H98" s="547">
        <v>44787.432000000001</v>
      </c>
      <c r="I98" s="547">
        <v>439.06</v>
      </c>
      <c r="J98" s="547">
        <v>17276.647000000001</v>
      </c>
      <c r="K98" s="547">
        <v>71815.494999999995</v>
      </c>
      <c r="L98" s="547">
        <v>3922.0720000000001</v>
      </c>
      <c r="M98" s="547">
        <v>2745.8449999999998</v>
      </c>
      <c r="N98" s="547">
        <v>12040.441000000001</v>
      </c>
      <c r="O98" s="547">
        <v>17132.940999999999</v>
      </c>
      <c r="P98" s="547">
        <v>58023.178999999996</v>
      </c>
      <c r="Q98" s="237">
        <f>3215.45+3492.616+3715.431+4259.053+22681.461+4138.309</f>
        <v>41502.32</v>
      </c>
      <c r="R98" s="237">
        <f t="shared" si="4"/>
        <v>452260.75899999996</v>
      </c>
      <c r="S98" s="492" t="s">
        <v>555</v>
      </c>
    </row>
    <row r="99" spans="1:19" s="154" customFormat="1" ht="12" customHeight="1" x14ac:dyDescent="0.2">
      <c r="A99" s="559" t="s">
        <v>2206</v>
      </c>
      <c r="B99" s="527" t="s">
        <v>548</v>
      </c>
      <c r="C99" s="546">
        <v>68651.072</v>
      </c>
      <c r="D99" s="546">
        <v>18694.316999999999</v>
      </c>
      <c r="E99" s="546">
        <v>4147.3810000000003</v>
      </c>
      <c r="F99" s="546">
        <v>53188.73</v>
      </c>
      <c r="G99" s="546">
        <v>39192.516000000003</v>
      </c>
      <c r="H99" s="546">
        <v>44645.279999999999</v>
      </c>
      <c r="I99" s="546">
        <v>402.577</v>
      </c>
      <c r="J99" s="546">
        <v>17172.57</v>
      </c>
      <c r="K99" s="546">
        <v>72148.035000000003</v>
      </c>
      <c r="L99" s="546">
        <v>3888.9949999999999</v>
      </c>
      <c r="M99" s="546">
        <v>2750.5160000000001</v>
      </c>
      <c r="N99" s="546">
        <v>12140.829</v>
      </c>
      <c r="O99" s="546">
        <v>17567.964</v>
      </c>
      <c r="P99" s="546">
        <v>58023.178999999996</v>
      </c>
      <c r="Q99" s="276">
        <f>3212.365+3480.697+3804.317+3249.123+23250.796+4520.129</f>
        <v>41517.426999999996</v>
      </c>
      <c r="R99" s="276">
        <f t="shared" si="4"/>
        <v>454131.38800000004</v>
      </c>
      <c r="S99" s="500" t="s">
        <v>548</v>
      </c>
    </row>
    <row r="100" spans="1:19" s="154" customFormat="1" ht="12" customHeight="1" x14ac:dyDescent="0.2">
      <c r="A100" s="559" t="s">
        <v>2206</v>
      </c>
      <c r="B100" s="491" t="s">
        <v>556</v>
      </c>
      <c r="C100" s="547">
        <v>66732</v>
      </c>
      <c r="D100" s="547">
        <v>13949.92</v>
      </c>
      <c r="E100" s="547">
        <v>3625.89</v>
      </c>
      <c r="F100" s="547">
        <v>41866.589999999997</v>
      </c>
      <c r="G100" s="547">
        <v>39274.379999999997</v>
      </c>
      <c r="H100" s="547">
        <v>36961.82</v>
      </c>
      <c r="I100" s="547">
        <v>383.29</v>
      </c>
      <c r="J100" s="547">
        <v>13896.84</v>
      </c>
      <c r="K100" s="547">
        <v>71031.899999999994</v>
      </c>
      <c r="L100" s="547">
        <v>3624.61</v>
      </c>
      <c r="M100" s="547">
        <v>2499.04</v>
      </c>
      <c r="N100" s="547">
        <v>12569.16</v>
      </c>
      <c r="O100" s="547">
        <v>17143.59</v>
      </c>
      <c r="P100" s="547">
        <v>57060.13</v>
      </c>
      <c r="Q100" s="237">
        <f>3114.2+3893.99+3354.96+2518.15+25041.51+4342.27</f>
        <v>42265.08</v>
      </c>
      <c r="R100" s="237">
        <f>SUM(C100:Q100)</f>
        <v>422884.24</v>
      </c>
      <c r="S100" s="492" t="s">
        <v>556</v>
      </c>
    </row>
    <row r="101" spans="1:19" s="154" customFormat="1" ht="12" customHeight="1" x14ac:dyDescent="0.2">
      <c r="A101" s="559" t="s">
        <v>2206</v>
      </c>
      <c r="B101" s="527" t="s">
        <v>557</v>
      </c>
      <c r="C101" s="546">
        <v>70136.12</v>
      </c>
      <c r="D101" s="546">
        <v>14281.82</v>
      </c>
      <c r="E101" s="546">
        <v>3679.44</v>
      </c>
      <c r="F101" s="546">
        <v>42012.19</v>
      </c>
      <c r="G101" s="546">
        <v>39871.82</v>
      </c>
      <c r="H101" s="546">
        <v>36556.339999999997</v>
      </c>
      <c r="I101" s="546">
        <v>432.07</v>
      </c>
      <c r="J101" s="546">
        <v>15524.35</v>
      </c>
      <c r="K101" s="546">
        <v>68605.72</v>
      </c>
      <c r="L101" s="546">
        <v>4675.16</v>
      </c>
      <c r="M101" s="546">
        <v>2665.69</v>
      </c>
      <c r="N101" s="546">
        <v>12937.87</v>
      </c>
      <c r="O101" s="546">
        <v>17519.29</v>
      </c>
      <c r="P101" s="546">
        <v>56896.87</v>
      </c>
      <c r="Q101" s="276">
        <f>2943.62+3154.07+3991.33+7390.49+24911.17+4344.73</f>
        <v>46735.41</v>
      </c>
      <c r="R101" s="276">
        <f t="shared" si="4"/>
        <v>432530.15999999992</v>
      </c>
      <c r="S101" s="500" t="s">
        <v>557</v>
      </c>
    </row>
    <row r="102" spans="1:19" s="154" customFormat="1" ht="12" customHeight="1" x14ac:dyDescent="0.2">
      <c r="A102" s="559" t="s">
        <v>2206</v>
      </c>
      <c r="B102" s="491" t="s">
        <v>549</v>
      </c>
      <c r="C102" s="547">
        <v>67789.17</v>
      </c>
      <c r="D102" s="547">
        <v>12519.24</v>
      </c>
      <c r="E102" s="547">
        <v>3394.39</v>
      </c>
      <c r="F102" s="547">
        <v>37908.33</v>
      </c>
      <c r="G102" s="547">
        <v>33052.050000000003</v>
      </c>
      <c r="H102" s="547">
        <v>33893.370000000003</v>
      </c>
      <c r="I102" s="547">
        <v>417</v>
      </c>
      <c r="J102" s="547">
        <v>14219.49</v>
      </c>
      <c r="K102" s="547">
        <v>63661.14</v>
      </c>
      <c r="L102" s="547">
        <v>4129.49</v>
      </c>
      <c r="M102" s="547">
        <v>2414.02</v>
      </c>
      <c r="N102" s="547">
        <v>11774.28</v>
      </c>
      <c r="O102" s="547">
        <v>15687.23</v>
      </c>
      <c r="P102" s="547">
        <v>48817.79</v>
      </c>
      <c r="Q102" s="237">
        <f>2763.975+2936.603+3823.74+7038.679+24302.145+4308.454</f>
        <v>45173.595999999998</v>
      </c>
      <c r="R102" s="237">
        <f t="shared" si="4"/>
        <v>394850.58600000001</v>
      </c>
      <c r="S102" s="492" t="s">
        <v>549</v>
      </c>
    </row>
    <row r="103" spans="1:19" s="154" customFormat="1" ht="12" customHeight="1" x14ac:dyDescent="0.2">
      <c r="A103" s="559" t="s">
        <v>2206</v>
      </c>
      <c r="B103" s="527" t="s">
        <v>558</v>
      </c>
      <c r="C103" s="546">
        <v>65740.97</v>
      </c>
      <c r="D103" s="546">
        <v>10791.044</v>
      </c>
      <c r="E103" s="546">
        <v>3186.0169999999998</v>
      </c>
      <c r="F103" s="546">
        <v>35691.875</v>
      </c>
      <c r="G103" s="546">
        <v>30773.7</v>
      </c>
      <c r="H103" s="546">
        <v>64116.934000000001</v>
      </c>
      <c r="I103" s="546">
        <v>414.24</v>
      </c>
      <c r="J103" s="546">
        <v>13685.728999999999</v>
      </c>
      <c r="K103" s="546">
        <v>62542.012000000002</v>
      </c>
      <c r="L103" s="546">
        <v>3760.3780000000002</v>
      </c>
      <c r="M103" s="546">
        <v>2222.0830000000001</v>
      </c>
      <c r="N103" s="546">
        <v>11370.233</v>
      </c>
      <c r="O103" s="546">
        <v>14494.8</v>
      </c>
      <c r="P103" s="546">
        <v>46805.237999999998</v>
      </c>
      <c r="Q103" s="276">
        <f>2514.703+2744.472+3760.499+6800.924+23506.337+4311.919</f>
        <v>43638.853999999999</v>
      </c>
      <c r="R103" s="276">
        <f t="shared" si="4"/>
        <v>409234.10700000002</v>
      </c>
      <c r="S103" s="1267" t="s">
        <v>558</v>
      </c>
    </row>
    <row r="104" spans="1:19" s="153" customFormat="1" ht="12" customHeight="1" x14ac:dyDescent="0.2">
      <c r="A104" s="559" t="s">
        <v>2206</v>
      </c>
      <c r="B104" s="491" t="s">
        <v>559</v>
      </c>
      <c r="C104" s="547">
        <v>62392.298000000003</v>
      </c>
      <c r="D104" s="547">
        <v>10570.156000000001</v>
      </c>
      <c r="E104" s="547">
        <v>3250.1439999999998</v>
      </c>
      <c r="F104" s="547">
        <v>31467.956999999999</v>
      </c>
      <c r="G104" s="547">
        <v>28385.133999999998</v>
      </c>
      <c r="H104" s="547">
        <v>31517.954000000002</v>
      </c>
      <c r="I104" s="547">
        <v>368.54300000000001</v>
      </c>
      <c r="J104" s="547">
        <v>13157.212</v>
      </c>
      <c r="K104" s="547">
        <v>57728.514000000003</v>
      </c>
      <c r="L104" s="547">
        <v>3111.3389999999999</v>
      </c>
      <c r="M104" s="547">
        <v>2241.7190000000001</v>
      </c>
      <c r="N104" s="547">
        <v>10280.204</v>
      </c>
      <c r="O104" s="547">
        <v>13839.726000000001</v>
      </c>
      <c r="P104" s="547">
        <v>43569.866000000002</v>
      </c>
      <c r="Q104" s="237">
        <f>2242.421+2521.348+3220.347+6423.324+22936.463+4308.146</f>
        <v>41652.048999999999</v>
      </c>
      <c r="R104" s="237">
        <f t="shared" si="4"/>
        <v>353532.815</v>
      </c>
      <c r="S104" s="1289" t="s">
        <v>559</v>
      </c>
    </row>
    <row r="105" spans="1:19" s="153" customFormat="1" ht="12" customHeight="1" x14ac:dyDescent="0.2">
      <c r="A105" s="559" t="s">
        <v>2206</v>
      </c>
      <c r="B105" s="527" t="s">
        <v>550</v>
      </c>
      <c r="C105" s="546">
        <v>61502.328999999998</v>
      </c>
      <c r="D105" s="546">
        <v>10941.03</v>
      </c>
      <c r="E105" s="546">
        <v>3123.9810000000002</v>
      </c>
      <c r="F105" s="546">
        <v>35219.608999999997</v>
      </c>
      <c r="G105" s="546">
        <v>29567.940999999999</v>
      </c>
      <c r="H105" s="546">
        <v>32888.892</v>
      </c>
      <c r="I105" s="546">
        <v>362.428</v>
      </c>
      <c r="J105" s="546">
        <v>12582.056</v>
      </c>
      <c r="K105" s="546">
        <v>60783.798999999999</v>
      </c>
      <c r="L105" s="546">
        <v>3146.34</v>
      </c>
      <c r="M105" s="546">
        <v>2338.8629999999998</v>
      </c>
      <c r="N105" s="546">
        <v>11085.117</v>
      </c>
      <c r="O105" s="546">
        <v>14177.669</v>
      </c>
      <c r="P105" s="546">
        <v>47687.898000000001</v>
      </c>
      <c r="Q105" s="276">
        <f>2204.188+2661.643+3307.592+5913.513+23093.895+4230.983</f>
        <v>41411.814000000006</v>
      </c>
      <c r="R105" s="276">
        <f t="shared" si="4"/>
        <v>366819.766</v>
      </c>
      <c r="S105" s="1267" t="s">
        <v>550</v>
      </c>
    </row>
    <row r="106" spans="1:19" s="153" customFormat="1" ht="12" customHeight="1" x14ac:dyDescent="0.2">
      <c r="A106" s="513" t="s">
        <v>2479</v>
      </c>
      <c r="B106" s="527" t="s">
        <v>552</v>
      </c>
      <c r="C106" s="546">
        <v>64135.667999999998</v>
      </c>
      <c r="D106" s="546">
        <v>10559.447</v>
      </c>
      <c r="E106" s="546">
        <v>2951.9490000000001</v>
      </c>
      <c r="F106" s="546">
        <v>33818.101999999999</v>
      </c>
      <c r="G106" s="546">
        <v>29224.21</v>
      </c>
      <c r="H106" s="546">
        <v>31235.287</v>
      </c>
      <c r="I106" s="546">
        <v>377.96199999999999</v>
      </c>
      <c r="J106" s="546">
        <v>12121.950999999999</v>
      </c>
      <c r="K106" s="546">
        <v>60123.77</v>
      </c>
      <c r="L106" s="546">
        <v>2920.0059999999999</v>
      </c>
      <c r="M106" s="546">
        <v>2155.3110000000001</v>
      </c>
      <c r="N106" s="546">
        <v>10557.96</v>
      </c>
      <c r="O106" s="546">
        <v>13810.766</v>
      </c>
      <c r="P106" s="546">
        <v>48404.218999999997</v>
      </c>
      <c r="Q106" s="276">
        <f>2089.01+2558.936+3259.767+5334.087+23007.252+4144.825</f>
        <v>40393.876999999993</v>
      </c>
      <c r="R106" s="276">
        <f t="shared" si="4"/>
        <v>362790.48499999993</v>
      </c>
      <c r="S106" s="1267" t="s">
        <v>552</v>
      </c>
    </row>
    <row r="107" spans="1:19" s="153" customFormat="1" ht="12" customHeight="1" x14ac:dyDescent="0.2">
      <c r="A107" s="513" t="s">
        <v>2479</v>
      </c>
      <c r="B107" s="491" t="s">
        <v>553</v>
      </c>
      <c r="C107" s="547">
        <v>75073.558000000005</v>
      </c>
      <c r="D107" s="547">
        <v>13598.210999999999</v>
      </c>
      <c r="E107" s="547">
        <v>3306.5329999999999</v>
      </c>
      <c r="F107" s="547">
        <v>38306.201000000001</v>
      </c>
      <c r="G107" s="547">
        <v>36200.235000000001</v>
      </c>
      <c r="H107" s="547">
        <v>34767.072999999997</v>
      </c>
      <c r="I107" s="547">
        <v>357.35500000000002</v>
      </c>
      <c r="J107" s="547">
        <v>13703.477000000001</v>
      </c>
      <c r="K107" s="547">
        <v>60795.749000000003</v>
      </c>
      <c r="L107" s="547">
        <v>2526.6669999999999</v>
      </c>
      <c r="M107" s="547">
        <v>2185.2629999999999</v>
      </c>
      <c r="N107" s="547">
        <v>12158.49</v>
      </c>
      <c r="O107" s="547">
        <v>15263.13</v>
      </c>
      <c r="P107" s="547">
        <v>64845.267</v>
      </c>
      <c r="Q107" s="237">
        <f>2202.77+2560.252+3368.986+5257.213+22746.555+3492.612</f>
        <v>39628.387999999999</v>
      </c>
      <c r="R107" s="237">
        <f t="shared" si="4"/>
        <v>412715.59700000001</v>
      </c>
      <c r="S107" s="1289" t="s">
        <v>553</v>
      </c>
    </row>
    <row r="108" spans="1:19" s="153" customFormat="1" ht="12" customHeight="1" x14ac:dyDescent="0.2">
      <c r="A108" s="513" t="s">
        <v>2479</v>
      </c>
      <c r="B108" s="527" t="s">
        <v>547</v>
      </c>
      <c r="C108" s="546">
        <v>75819.95</v>
      </c>
      <c r="D108" s="546">
        <v>11915.909</v>
      </c>
      <c r="E108" s="546">
        <v>2826.77</v>
      </c>
      <c r="F108" s="546">
        <v>32561.758999999998</v>
      </c>
      <c r="G108" s="546">
        <v>33891.19</v>
      </c>
      <c r="H108" s="546">
        <v>31394.887999999999</v>
      </c>
      <c r="I108" s="546">
        <v>414.84100000000001</v>
      </c>
      <c r="J108" s="546">
        <v>12021.911</v>
      </c>
      <c r="K108" s="546">
        <v>58318.669000000002</v>
      </c>
      <c r="L108" s="546">
        <v>2283.913</v>
      </c>
      <c r="M108" s="546">
        <v>1863.3340000000001</v>
      </c>
      <c r="N108" s="546">
        <v>11090.01</v>
      </c>
      <c r="O108" s="546">
        <v>13753.93</v>
      </c>
      <c r="P108" s="546">
        <v>64416.987000000001</v>
      </c>
      <c r="Q108" s="276">
        <f>1761.706+2343.288+3038.138+4651.553+22918.89+3586.601</f>
        <v>38300.175999999999</v>
      </c>
      <c r="R108" s="276">
        <f t="shared" si="4"/>
        <v>390874.23699999996</v>
      </c>
      <c r="S108" s="1267" t="s">
        <v>547</v>
      </c>
    </row>
    <row r="109" spans="1:19" s="153" customFormat="1" ht="12" customHeight="1" x14ac:dyDescent="0.2">
      <c r="A109" s="513" t="s">
        <v>2479</v>
      </c>
      <c r="B109" s="491" t="s">
        <v>554</v>
      </c>
      <c r="C109" s="547">
        <v>69916.97</v>
      </c>
      <c r="D109" s="547">
        <v>12089.174000000001</v>
      </c>
      <c r="E109" s="547">
        <v>2878.3609999999999</v>
      </c>
      <c r="F109" s="547">
        <v>28873.510999999999</v>
      </c>
      <c r="G109" s="547">
        <v>31772.047999999999</v>
      </c>
      <c r="H109" s="547">
        <v>29152.66</v>
      </c>
      <c r="I109" s="547">
        <v>390.10399999999998</v>
      </c>
      <c r="J109" s="547">
        <v>11074.632</v>
      </c>
      <c r="K109" s="547">
        <v>55414.209000000003</v>
      </c>
      <c r="L109" s="547">
        <v>1834.7739999999999</v>
      </c>
      <c r="M109" s="547">
        <v>1640.9839999999999</v>
      </c>
      <c r="N109" s="547">
        <v>9837.4940000000006</v>
      </c>
      <c r="O109" s="547">
        <v>12452.406999999999</v>
      </c>
      <c r="P109" s="547">
        <v>59258.523000000001</v>
      </c>
      <c r="Q109" s="237">
        <f>1576.202+2181.041+2774.039+4246.704+22613.722+3481.042</f>
        <v>36872.75</v>
      </c>
      <c r="R109" s="237">
        <f t="shared" si="4"/>
        <v>363458.60100000002</v>
      </c>
      <c r="S109" s="1289" t="s">
        <v>554</v>
      </c>
    </row>
    <row r="110" spans="1:19" s="153" customFormat="1" ht="12" customHeight="1" x14ac:dyDescent="0.2">
      <c r="A110" s="513" t="s">
        <v>2479</v>
      </c>
      <c r="B110" s="527" t="s">
        <v>555</v>
      </c>
      <c r="C110" s="546">
        <v>68672.650999999998</v>
      </c>
      <c r="D110" s="546">
        <v>12405.322</v>
      </c>
      <c r="E110" s="546">
        <v>2789.2910000000002</v>
      </c>
      <c r="F110" s="546">
        <v>28400.405999999999</v>
      </c>
      <c r="G110" s="546">
        <v>30829.15</v>
      </c>
      <c r="H110" s="546">
        <v>30550.804</v>
      </c>
      <c r="I110" s="546">
        <v>343.04</v>
      </c>
      <c r="J110" s="546">
        <v>11245.513000000001</v>
      </c>
      <c r="K110" s="546">
        <v>55351.864999999998</v>
      </c>
      <c r="L110" s="546">
        <v>1865.1420000000001</v>
      </c>
      <c r="M110" s="546">
        <v>1766.1790000000001</v>
      </c>
      <c r="N110" s="546">
        <v>9513.3919999999998</v>
      </c>
      <c r="O110" s="546">
        <v>13284.472</v>
      </c>
      <c r="P110" s="546">
        <v>59084.563000000002</v>
      </c>
      <c r="Q110" s="276">
        <f>1634.529+2195.86+2741.339+4085.721+22793.37+3430.119</f>
        <v>36880.938000000002</v>
      </c>
      <c r="R110" s="276">
        <f t="shared" si="4"/>
        <v>362982.72800000006</v>
      </c>
      <c r="S110" s="1267" t="s">
        <v>555</v>
      </c>
    </row>
    <row r="111" spans="1:19" s="153" customFormat="1" ht="12" customHeight="1" x14ac:dyDescent="0.2">
      <c r="A111" s="513" t="s">
        <v>2479</v>
      </c>
      <c r="B111" s="491" t="s">
        <v>548</v>
      </c>
      <c r="C111" s="547">
        <v>67644.684999999998</v>
      </c>
      <c r="D111" s="547">
        <v>11322.665999999999</v>
      </c>
      <c r="E111" s="547">
        <v>2772.8560000000002</v>
      </c>
      <c r="F111" s="547">
        <v>28171.013999999999</v>
      </c>
      <c r="G111" s="547">
        <v>31430.341</v>
      </c>
      <c r="H111" s="547">
        <v>29367.057000000001</v>
      </c>
      <c r="I111" s="547">
        <v>318.202</v>
      </c>
      <c r="J111" s="547">
        <v>11386.762000000001</v>
      </c>
      <c r="K111" s="547">
        <v>56031.021000000001</v>
      </c>
      <c r="L111" s="547">
        <v>1806.32</v>
      </c>
      <c r="M111" s="547">
        <v>1747.6869999999999</v>
      </c>
      <c r="N111" s="547">
        <v>9327.5069999999996</v>
      </c>
      <c r="O111" s="547">
        <v>12775.6</v>
      </c>
      <c r="P111" s="547">
        <v>60810.103999999999</v>
      </c>
      <c r="Q111" s="237">
        <f>1611.112+2250.94+2631.254+3827.06+23093.552+3406.46</f>
        <v>36820.377999999997</v>
      </c>
      <c r="R111" s="237">
        <f t="shared" si="4"/>
        <v>361732.19999999995</v>
      </c>
      <c r="S111" s="1289" t="s">
        <v>548</v>
      </c>
    </row>
    <row r="112" spans="1:19" s="153" customFormat="1" ht="12" customHeight="1" x14ac:dyDescent="0.2">
      <c r="A112" s="513" t="s">
        <v>2479</v>
      </c>
      <c r="B112" s="527" t="s">
        <v>556</v>
      </c>
      <c r="C112" s="546">
        <v>67007.115000000005</v>
      </c>
      <c r="D112" s="546">
        <v>10094.859</v>
      </c>
      <c r="E112" s="546">
        <v>2572.107</v>
      </c>
      <c r="F112" s="546">
        <v>27920.936000000002</v>
      </c>
      <c r="G112" s="546">
        <v>30389.521000000001</v>
      </c>
      <c r="H112" s="546">
        <v>28398.546999999999</v>
      </c>
      <c r="I112" s="546">
        <v>276.142</v>
      </c>
      <c r="J112" s="546">
        <v>11618.625</v>
      </c>
      <c r="K112" s="546">
        <v>53479.502999999997</v>
      </c>
      <c r="L112" s="546">
        <v>1824.6120000000001</v>
      </c>
      <c r="M112" s="546">
        <v>1742.6569999999999</v>
      </c>
      <c r="N112" s="546">
        <v>8642.7620000000006</v>
      </c>
      <c r="O112" s="546">
        <v>12081.218000000001</v>
      </c>
      <c r="P112" s="546">
        <v>62472.851000000002</v>
      </c>
      <c r="Q112" s="276">
        <f>1630.134+2189.528+2608.119+3714.914+23314.66+3376.033</f>
        <v>36833.387999999999</v>
      </c>
      <c r="R112" s="276">
        <f t="shared" si="4"/>
        <v>355354.84299999994</v>
      </c>
      <c r="S112" s="1267" t="s">
        <v>556</v>
      </c>
    </row>
    <row r="113" spans="1:19" s="153" customFormat="1" ht="12" customHeight="1" x14ac:dyDescent="0.2">
      <c r="A113" s="513" t="s">
        <v>2479</v>
      </c>
      <c r="B113" s="491" t="s">
        <v>557</v>
      </c>
      <c r="C113" s="547">
        <v>68714.92</v>
      </c>
      <c r="D113" s="547">
        <v>10585.65</v>
      </c>
      <c r="E113" s="547">
        <v>2689.07</v>
      </c>
      <c r="F113" s="547">
        <v>28330.74</v>
      </c>
      <c r="G113" s="547">
        <v>29388.97</v>
      </c>
      <c r="H113" s="547">
        <v>29286.46</v>
      </c>
      <c r="I113" s="547">
        <v>281.44</v>
      </c>
      <c r="J113" s="547">
        <v>12438.77</v>
      </c>
      <c r="K113" s="547">
        <v>54384.47</v>
      </c>
      <c r="L113" s="547">
        <v>2197.7199999999998</v>
      </c>
      <c r="M113" s="547">
        <v>1809.31</v>
      </c>
      <c r="N113" s="547">
        <v>8843.49</v>
      </c>
      <c r="O113" s="547">
        <v>12151.17</v>
      </c>
      <c r="P113" s="547">
        <v>61663.37</v>
      </c>
      <c r="Q113" s="237">
        <f>1819.19+2201.11+2760.07+3908.74+23194.48+3288.08</f>
        <v>37171.67</v>
      </c>
      <c r="R113" s="237">
        <f t="shared" ref="R113" si="5">SUM(C113:Q113)</f>
        <v>359937.22</v>
      </c>
      <c r="S113" s="1289" t="s">
        <v>557</v>
      </c>
    </row>
    <row r="114" spans="1:19" s="153" customFormat="1" ht="12" customHeight="1" x14ac:dyDescent="0.2">
      <c r="A114" s="513" t="s">
        <v>2479</v>
      </c>
      <c r="B114" s="527" t="s">
        <v>549</v>
      </c>
      <c r="C114" s="546">
        <v>67562.947</v>
      </c>
      <c r="D114" s="546">
        <v>10407.355</v>
      </c>
      <c r="E114" s="546">
        <v>2875.33</v>
      </c>
      <c r="F114" s="546">
        <v>27923.345000000001</v>
      </c>
      <c r="G114" s="546">
        <v>28862.963</v>
      </c>
      <c r="H114" s="546">
        <v>28758.235000000001</v>
      </c>
      <c r="I114" s="546">
        <v>265.24799999999999</v>
      </c>
      <c r="J114" s="546">
        <v>11824.209000000001</v>
      </c>
      <c r="K114" s="546">
        <v>55337.750999999997</v>
      </c>
      <c r="L114" s="546">
        <v>2097.2469999999998</v>
      </c>
      <c r="M114" s="546">
        <v>1831.836</v>
      </c>
      <c r="N114" s="546">
        <v>8488.8539999999994</v>
      </c>
      <c r="O114" s="546">
        <v>12156.999</v>
      </c>
      <c r="P114" s="546">
        <v>59445.222000000002</v>
      </c>
      <c r="Q114" s="276">
        <f>23074.84+2593.363+2182.046+1919.75+3780.436+3308.283</f>
        <v>36858.718000000001</v>
      </c>
      <c r="R114" s="276">
        <f t="shared" ref="R114" si="6">SUM(C114:Q114)</f>
        <v>354696.25899999996</v>
      </c>
      <c r="S114" s="1267" t="s">
        <v>549</v>
      </c>
    </row>
    <row r="115" spans="1:19" s="153" customFormat="1" ht="12" customHeight="1" x14ac:dyDescent="0.2">
      <c r="A115" s="513" t="s">
        <v>2479</v>
      </c>
      <c r="B115" s="491" t="s">
        <v>558</v>
      </c>
      <c r="C115" s="547">
        <v>62308.63</v>
      </c>
      <c r="D115" s="547">
        <v>9168.3189999999995</v>
      </c>
      <c r="E115" s="547">
        <v>2803.1570000000002</v>
      </c>
      <c r="F115" s="547">
        <v>26556.98</v>
      </c>
      <c r="G115" s="547">
        <v>27481.580999999998</v>
      </c>
      <c r="H115" s="547">
        <v>27914.659</v>
      </c>
      <c r="I115" s="547">
        <v>233.023</v>
      </c>
      <c r="J115" s="547">
        <v>10710.51</v>
      </c>
      <c r="K115" s="547">
        <v>53865.341999999997</v>
      </c>
      <c r="L115" s="547">
        <v>1887.595</v>
      </c>
      <c r="M115" s="547">
        <v>1687.3330000000001</v>
      </c>
      <c r="N115" s="547">
        <v>8324.7749999999996</v>
      </c>
      <c r="O115" s="547">
        <v>11284.93</v>
      </c>
      <c r="P115" s="547">
        <v>55850.39</v>
      </c>
      <c r="Q115" s="237">
        <f>1754.729+2036.162+2282.783+3431.085+22661.611+3353.492</f>
        <v>35519.862000000001</v>
      </c>
      <c r="R115" s="237">
        <f t="shared" ref="R115:R116" si="7">SUM(C115:Q115)</f>
        <v>335597.08600000001</v>
      </c>
      <c r="S115" s="1289" t="s">
        <v>558</v>
      </c>
    </row>
    <row r="116" spans="1:19" s="153" customFormat="1" ht="12" customHeight="1" x14ac:dyDescent="0.2">
      <c r="A116" s="513" t="s">
        <v>2479</v>
      </c>
      <c r="B116" s="527" t="s">
        <v>559</v>
      </c>
      <c r="C116" s="546">
        <v>59944.561999999998</v>
      </c>
      <c r="D116" s="546">
        <v>8823.1010000000006</v>
      </c>
      <c r="E116" s="546">
        <v>2826.482</v>
      </c>
      <c r="F116" s="546">
        <v>24162.921999999999</v>
      </c>
      <c r="G116" s="546">
        <v>24538.946</v>
      </c>
      <c r="H116" s="546">
        <v>27158.440999999999</v>
      </c>
      <c r="I116" s="546">
        <v>203.00899999999999</v>
      </c>
      <c r="J116" s="546">
        <v>10105.888000000001</v>
      </c>
      <c r="K116" s="546">
        <v>50495.262999999999</v>
      </c>
      <c r="L116" s="546">
        <v>1737.597</v>
      </c>
      <c r="M116" s="546">
        <v>1558.502</v>
      </c>
      <c r="N116" s="546">
        <v>7945.3720000000003</v>
      </c>
      <c r="O116" s="546">
        <v>10583.242</v>
      </c>
      <c r="P116" s="546">
        <v>52714.499000000003</v>
      </c>
      <c r="Q116" s="276">
        <f>1589.785+2030.964+2155.782+3230.79+22316.96+3330.44</f>
        <v>34654.720999999998</v>
      </c>
      <c r="R116" s="276">
        <f t="shared" si="7"/>
        <v>317452.54700000002</v>
      </c>
      <c r="S116" s="1267" t="s">
        <v>559</v>
      </c>
    </row>
    <row r="117" spans="1:19" s="153" customFormat="1" ht="12" customHeight="1" x14ac:dyDescent="0.2">
      <c r="A117" s="513" t="s">
        <v>2479</v>
      </c>
      <c r="B117" s="491" t="s">
        <v>550</v>
      </c>
      <c r="C117" s="547">
        <v>63348.118000000002</v>
      </c>
      <c r="D117" s="547">
        <v>8960.7900000000009</v>
      </c>
      <c r="E117" s="547">
        <v>2827.2130000000002</v>
      </c>
      <c r="F117" s="547">
        <v>25413.777999999998</v>
      </c>
      <c r="G117" s="547">
        <v>26251.279999999999</v>
      </c>
      <c r="H117" s="547">
        <v>28385.826000000001</v>
      </c>
      <c r="I117" s="547">
        <v>235.09299999999999</v>
      </c>
      <c r="J117" s="547">
        <v>10505.183000000001</v>
      </c>
      <c r="K117" s="547">
        <v>52305.732000000004</v>
      </c>
      <c r="L117" s="547">
        <v>1783.6010000000001</v>
      </c>
      <c r="M117" s="547">
        <v>1575.7809999999999</v>
      </c>
      <c r="N117" s="547">
        <v>1649.4880000000001</v>
      </c>
      <c r="O117" s="547">
        <v>11115.54</v>
      </c>
      <c r="P117" s="547">
        <v>56251.911999999997</v>
      </c>
      <c r="Q117" s="237">
        <f>2076.878+8576.321+2255.429+3447.404+22111.656+3333.63</f>
        <v>41801.317999999999</v>
      </c>
      <c r="R117" s="237">
        <f t="shared" ref="R117" si="8">SUM(C117:Q117)</f>
        <v>332410.65299999993</v>
      </c>
      <c r="S117" s="1289" t="s">
        <v>550</v>
      </c>
    </row>
    <row r="118" spans="1:19" s="153" customFormat="1" ht="12" customHeight="1" x14ac:dyDescent="0.2">
      <c r="A118" s="559" t="s">
        <v>2730</v>
      </c>
      <c r="B118" s="491" t="s">
        <v>552</v>
      </c>
      <c r="C118" s="547">
        <v>76262.61</v>
      </c>
      <c r="D118" s="547">
        <v>10535.084999999999</v>
      </c>
      <c r="E118" s="547">
        <v>2938.1010000000001</v>
      </c>
      <c r="F118" s="547">
        <v>28045.84</v>
      </c>
      <c r="G118" s="547">
        <v>28005.81</v>
      </c>
      <c r="H118" s="547">
        <v>30180.981</v>
      </c>
      <c r="I118" s="547">
        <v>256.91000000000003</v>
      </c>
      <c r="J118" s="547">
        <v>11593.308999999999</v>
      </c>
      <c r="K118" s="547">
        <v>58191.127</v>
      </c>
      <c r="L118" s="547">
        <v>1969.934</v>
      </c>
      <c r="M118" s="547">
        <v>1756.2750000000001</v>
      </c>
      <c r="N118" s="547">
        <v>10157.032999999999</v>
      </c>
      <c r="O118" s="547">
        <v>12694.57</v>
      </c>
      <c r="P118" s="547">
        <v>59216.175000000003</v>
      </c>
      <c r="Q118" s="237">
        <f>1790.104+2248.789+2410.849+3663.357+22530.19+3295.987</f>
        <v>35939.275999999998</v>
      </c>
      <c r="R118" s="237">
        <f t="shared" ref="R118" si="9">SUM(C118:Q118)</f>
        <v>367743.03600000002</v>
      </c>
      <c r="S118" s="1289" t="s">
        <v>552</v>
      </c>
    </row>
    <row r="119" spans="1:19" s="153" customFormat="1" ht="12" customHeight="1" x14ac:dyDescent="0.2">
      <c r="A119" s="559" t="s">
        <v>2730</v>
      </c>
      <c r="B119" s="527" t="s">
        <v>553</v>
      </c>
      <c r="C119" s="546">
        <v>73399.903000000006</v>
      </c>
      <c r="D119" s="546">
        <v>10427.916999999999</v>
      </c>
      <c r="E119" s="546">
        <v>2711.355</v>
      </c>
      <c r="F119" s="546">
        <v>30294.401000000002</v>
      </c>
      <c r="G119" s="546">
        <v>28208.53</v>
      </c>
      <c r="H119" s="546">
        <v>32065.399000000001</v>
      </c>
      <c r="I119" s="546">
        <v>313.61500000000001</v>
      </c>
      <c r="J119" s="546">
        <v>12939.494000000001</v>
      </c>
      <c r="K119" s="546">
        <v>60902.580999999998</v>
      </c>
      <c r="L119" s="546">
        <v>2583.6970000000001</v>
      </c>
      <c r="M119" s="546">
        <v>1947.2950000000001</v>
      </c>
      <c r="N119" s="546">
        <v>10264.605</v>
      </c>
      <c r="O119" s="546">
        <v>14124.08</v>
      </c>
      <c r="P119" s="546">
        <v>59764.864000000001</v>
      </c>
      <c r="Q119" s="276">
        <f>1942.781+2378.868+2789.586+4138.264+22491.504+3556.222</f>
        <v>37297.224999999999</v>
      </c>
      <c r="R119" s="276">
        <f t="shared" ref="R119:R120" si="10">SUM(C119:Q119)</f>
        <v>377244.96100000001</v>
      </c>
      <c r="S119" s="1267" t="s">
        <v>553</v>
      </c>
    </row>
    <row r="120" spans="1:19" s="153" customFormat="1" ht="12" customHeight="1" x14ac:dyDescent="0.2">
      <c r="A120" s="559" t="s">
        <v>2730</v>
      </c>
      <c r="B120" s="491" t="s">
        <v>547</v>
      </c>
      <c r="C120" s="547">
        <v>70447.695000000007</v>
      </c>
      <c r="D120" s="547">
        <v>10461.393</v>
      </c>
      <c r="E120" s="547">
        <v>2648.2359999999999</v>
      </c>
      <c r="F120" s="547">
        <v>29060.361000000001</v>
      </c>
      <c r="G120" s="547">
        <v>26327.79</v>
      </c>
      <c r="H120" s="547">
        <v>30877.884999999998</v>
      </c>
      <c r="I120" s="547">
        <v>315.82499999999999</v>
      </c>
      <c r="J120" s="547">
        <v>12769.257</v>
      </c>
      <c r="K120" s="547">
        <v>57834.714999999997</v>
      </c>
      <c r="L120" s="547">
        <v>2507.6469999999999</v>
      </c>
      <c r="M120" s="547">
        <v>2221.748</v>
      </c>
      <c r="N120" s="547">
        <v>9833.8739999999998</v>
      </c>
      <c r="O120" s="547">
        <v>14049.424999999999</v>
      </c>
      <c r="P120" s="547">
        <v>58433.203000000001</v>
      </c>
      <c r="Q120" s="237">
        <f>1927.245+2340.386+2757.747+3806.304+22757.574+3648.591</f>
        <v>37237.847000000002</v>
      </c>
      <c r="R120" s="237">
        <f t="shared" si="10"/>
        <v>365026.90100000001</v>
      </c>
      <c r="S120" s="1289" t="s">
        <v>547</v>
      </c>
    </row>
    <row r="121" spans="1:19" s="153" customFormat="1" ht="12" customHeight="1" x14ac:dyDescent="0.2">
      <c r="A121" s="559" t="s">
        <v>2730</v>
      </c>
      <c r="B121" s="527" t="s">
        <v>554</v>
      </c>
      <c r="C121" s="546">
        <v>66430.709000000003</v>
      </c>
      <c r="D121" s="546">
        <v>9439.3439999999991</v>
      </c>
      <c r="E121" s="546">
        <v>2557.8090000000002</v>
      </c>
      <c r="F121" s="546">
        <v>26654.064999999999</v>
      </c>
      <c r="G121" s="546">
        <v>25245.087</v>
      </c>
      <c r="H121" s="546">
        <v>28955.447</v>
      </c>
      <c r="I121" s="546">
        <v>278.61099999999999</v>
      </c>
      <c r="J121" s="546">
        <v>11562.067999999999</v>
      </c>
      <c r="K121" s="546">
        <v>56031.082999999999</v>
      </c>
      <c r="L121" s="546">
        <v>2158.9639999999999</v>
      </c>
      <c r="M121" s="546">
        <v>2136.0680000000002</v>
      </c>
      <c r="N121" s="546">
        <v>9366.3320000000003</v>
      </c>
      <c r="O121" s="546">
        <v>13987.852000000001</v>
      </c>
      <c r="P121" s="546">
        <v>56279.974999999999</v>
      </c>
      <c r="Q121" s="276">
        <f>1757.679+2258.213+2456.335+3481.073+21892.004+3740.246</f>
        <v>35585.550000000003</v>
      </c>
      <c r="R121" s="276">
        <f t="shared" ref="R121:R122" si="11">SUM(C121:Q121)</f>
        <v>346668.96399999998</v>
      </c>
      <c r="S121" s="1267" t="s">
        <v>554</v>
      </c>
    </row>
    <row r="122" spans="1:19" s="153" customFormat="1" ht="12" customHeight="1" x14ac:dyDescent="0.2">
      <c r="A122" s="559" t="s">
        <v>2730</v>
      </c>
      <c r="B122" s="491" t="s">
        <v>555</v>
      </c>
      <c r="C122" s="547">
        <v>65915.770999999993</v>
      </c>
      <c r="D122" s="547">
        <v>8670.6479999999992</v>
      </c>
      <c r="E122" s="547">
        <v>2357.0569999999998</v>
      </c>
      <c r="F122" s="547">
        <v>26203.120999999999</v>
      </c>
      <c r="G122" s="547">
        <v>24351.274000000001</v>
      </c>
      <c r="H122" s="547">
        <v>28027.168000000001</v>
      </c>
      <c r="I122" s="547">
        <v>270.34899999999999</v>
      </c>
      <c r="J122" s="547">
        <v>11040.745999999999</v>
      </c>
      <c r="K122" s="547">
        <v>53662.908000000003</v>
      </c>
      <c r="L122" s="547">
        <v>2176.0320000000002</v>
      </c>
      <c r="M122" s="547">
        <v>2109.91</v>
      </c>
      <c r="N122" s="547">
        <v>8864.3189999999995</v>
      </c>
      <c r="O122" s="547">
        <v>12609.831</v>
      </c>
      <c r="P122" s="547">
        <v>54934.008999999998</v>
      </c>
      <c r="Q122" s="237">
        <f>1722.386+2174.851+2275.823+3349.893+21407.364+3707.288</f>
        <v>34637.605000000003</v>
      </c>
      <c r="R122" s="237">
        <f t="shared" si="11"/>
        <v>335830.74799999996</v>
      </c>
      <c r="S122" s="1289" t="s">
        <v>555</v>
      </c>
    </row>
    <row r="123" spans="1:19" s="153" customFormat="1" ht="12" customHeight="1" x14ac:dyDescent="0.2">
      <c r="A123" s="559" t="s">
        <v>2730</v>
      </c>
      <c r="B123" s="527" t="s">
        <v>548</v>
      </c>
      <c r="C123" s="546">
        <v>64690.082000000002</v>
      </c>
      <c r="D123" s="546">
        <v>8197.2530000000006</v>
      </c>
      <c r="E123" s="546">
        <v>2292.0790000000002</v>
      </c>
      <c r="F123" s="546">
        <v>25812.843000000001</v>
      </c>
      <c r="G123" s="546">
        <v>24038.882000000001</v>
      </c>
      <c r="H123" s="546">
        <v>26423.466</v>
      </c>
      <c r="I123" s="546">
        <v>259.86799999999999</v>
      </c>
      <c r="J123" s="546">
        <v>11083.453</v>
      </c>
      <c r="K123" s="546">
        <v>51824.724999999999</v>
      </c>
      <c r="L123" s="546">
        <v>2074.9720000000002</v>
      </c>
      <c r="M123" s="546">
        <v>2029.857</v>
      </c>
      <c r="N123" s="546">
        <v>8288.2199999999993</v>
      </c>
      <c r="O123" s="546">
        <v>12788.026</v>
      </c>
      <c r="P123" s="546">
        <v>51963.12</v>
      </c>
      <c r="Q123" s="276">
        <f>1660.375+2090.837+2246.544+3222.833+21094.278+3660.975</f>
        <v>33975.841999999997</v>
      </c>
      <c r="R123" s="276">
        <f t="shared" ref="R123:R124" si="12">SUM(C123:Q123)</f>
        <v>325742.68800000002</v>
      </c>
      <c r="S123" s="1267" t="s">
        <v>548</v>
      </c>
    </row>
    <row r="124" spans="1:19" s="153" customFormat="1" ht="12" customHeight="1" x14ac:dyDescent="0.2">
      <c r="A124" s="559" t="s">
        <v>2730</v>
      </c>
      <c r="B124" s="491" t="s">
        <v>556</v>
      </c>
      <c r="C124" s="547">
        <v>71814.216</v>
      </c>
      <c r="D124" s="547">
        <v>8486.3469999999998</v>
      </c>
      <c r="E124" s="547">
        <v>2281.489</v>
      </c>
      <c r="F124" s="547">
        <v>26265.24</v>
      </c>
      <c r="G124" s="547">
        <v>25122.243999999999</v>
      </c>
      <c r="H124" s="547">
        <v>27674.628000000001</v>
      </c>
      <c r="I124" s="547">
        <v>251.21</v>
      </c>
      <c r="J124" s="547">
        <v>10782.543</v>
      </c>
      <c r="K124" s="547">
        <v>55311.749000000003</v>
      </c>
      <c r="L124" s="547">
        <v>2011.5450000000001</v>
      </c>
      <c r="M124" s="547">
        <v>2119.4899999999998</v>
      </c>
      <c r="N124" s="547">
        <v>8851.8240000000005</v>
      </c>
      <c r="O124" s="547">
        <v>14458.736000000001</v>
      </c>
      <c r="P124" s="547">
        <v>54534.542999999998</v>
      </c>
      <c r="Q124" s="237">
        <f>1705.462+2135.994+2288.35+3040.66+21290.772+3751.506</f>
        <v>34212.743999999999</v>
      </c>
      <c r="R124" s="237">
        <f t="shared" si="12"/>
        <v>344178.54800000001</v>
      </c>
      <c r="S124" s="1289" t="s">
        <v>556</v>
      </c>
    </row>
    <row r="125" spans="1:19" s="153" customFormat="1" ht="12" customHeight="1" x14ac:dyDescent="0.2">
      <c r="A125" s="559" t="s">
        <v>2730</v>
      </c>
      <c r="B125" s="527" t="s">
        <v>557</v>
      </c>
      <c r="C125" s="546">
        <v>80693.663</v>
      </c>
      <c r="D125" s="546">
        <v>9888.0419999999995</v>
      </c>
      <c r="E125" s="546">
        <v>2472.7179999999998</v>
      </c>
      <c r="F125" s="546">
        <v>28507.201000000001</v>
      </c>
      <c r="G125" s="546">
        <v>26160.023000000001</v>
      </c>
      <c r="H125" s="546">
        <v>28851.429</v>
      </c>
      <c r="I125" s="546">
        <v>256.702</v>
      </c>
      <c r="J125" s="546">
        <v>11891.669</v>
      </c>
      <c r="K125" s="546">
        <v>58439.858999999997</v>
      </c>
      <c r="L125" s="546">
        <v>2268.3890000000001</v>
      </c>
      <c r="M125" s="546">
        <v>2280.277</v>
      </c>
      <c r="N125" s="546">
        <v>9618.1090000000004</v>
      </c>
      <c r="O125" s="546">
        <v>14425.254999999999</v>
      </c>
      <c r="P125" s="546">
        <v>55354.93</v>
      </c>
      <c r="Q125" s="276">
        <f>1841.557+2248.643+2536.165+3332.701+21696.257+3672.127</f>
        <v>35327.449999999997</v>
      </c>
      <c r="R125" s="276">
        <f t="shared" ref="R125" si="13">SUM(C125:Q125)</f>
        <v>366435.71599999996</v>
      </c>
      <c r="S125" s="1267" t="s">
        <v>557</v>
      </c>
    </row>
    <row r="126" spans="1:19" s="153" customFormat="1" ht="12" customHeight="1" x14ac:dyDescent="0.2">
      <c r="A126" s="559" t="s">
        <v>2730</v>
      </c>
      <c r="B126" s="491" t="s">
        <v>549</v>
      </c>
      <c r="C126" s="547">
        <v>71182.89</v>
      </c>
      <c r="D126" s="547">
        <v>9238.0300000000007</v>
      </c>
      <c r="E126" s="547">
        <v>2555.88</v>
      </c>
      <c r="F126" s="547">
        <v>27062</v>
      </c>
      <c r="G126" s="547">
        <v>22793.97</v>
      </c>
      <c r="H126" s="547">
        <v>27341.84</v>
      </c>
      <c r="I126" s="547">
        <v>232.99</v>
      </c>
      <c r="J126" s="547">
        <v>11663.99</v>
      </c>
      <c r="K126" s="547">
        <v>54948.25</v>
      </c>
      <c r="L126" s="547">
        <v>2137.61</v>
      </c>
      <c r="M126" s="547">
        <v>2278.0500000000002</v>
      </c>
      <c r="N126" s="547">
        <v>9071.9599999999991</v>
      </c>
      <c r="O126" s="547">
        <v>13801.51</v>
      </c>
      <c r="P126" s="547">
        <v>50718.46</v>
      </c>
      <c r="Q126" s="237">
        <f>1781.886+2203.034+2485.668+3225.427+21228.023+3778.327</f>
        <v>34702.364999999998</v>
      </c>
      <c r="R126" s="237">
        <f>SUM(C126:Q126)</f>
        <v>339729.79499999998</v>
      </c>
      <c r="S126" s="1289" t="s">
        <v>549</v>
      </c>
    </row>
    <row r="127" spans="1:19" s="154" customFormat="1" ht="12" customHeight="1" x14ac:dyDescent="0.2">
      <c r="A127" s="49" t="s">
        <v>1332</v>
      </c>
      <c r="B127" s="49"/>
      <c r="C127" s="587" t="s">
        <v>1293</v>
      </c>
      <c r="D127" s="586"/>
      <c r="E127" s="586"/>
      <c r="F127" s="586"/>
      <c r="G127" s="586"/>
      <c r="H127" s="586"/>
      <c r="I127" s="94"/>
      <c r="J127" s="60"/>
      <c r="K127" s="2744" t="s">
        <v>2194</v>
      </c>
      <c r="L127" s="2744"/>
      <c r="M127" s="2744"/>
      <c r="N127" s="2744"/>
      <c r="O127" s="2744"/>
      <c r="P127" s="2744"/>
      <c r="Q127" s="2744"/>
      <c r="R127" s="2744"/>
      <c r="S127" s="2744"/>
    </row>
    <row r="128" spans="1:19" s="154" customFormat="1" ht="11.25" customHeight="1" x14ac:dyDescent="0.2">
      <c r="A128" s="39"/>
      <c r="B128" s="39"/>
      <c r="C128" s="2417"/>
      <c r="D128" s="2417"/>
      <c r="E128" s="164"/>
      <c r="F128" s="164"/>
      <c r="G128" s="164"/>
      <c r="H128" s="164"/>
      <c r="I128" s="15"/>
      <c r="J128" s="15"/>
      <c r="K128" s="2738" t="s">
        <v>2193</v>
      </c>
      <c r="L128" s="2738"/>
      <c r="M128" s="2738"/>
      <c r="N128" s="2738"/>
      <c r="O128" s="8"/>
      <c r="P128" s="15"/>
      <c r="Q128" s="15"/>
      <c r="R128" s="15"/>
      <c r="S128" s="66"/>
    </row>
    <row r="129" spans="1:19" s="154" customFormat="1" ht="11.1" customHeight="1" x14ac:dyDescent="0.2">
      <c r="A129" s="507"/>
      <c r="B129" s="507"/>
      <c r="E129" s="452"/>
      <c r="R129" s="452"/>
      <c r="S129" s="477"/>
    </row>
    <row r="130" spans="1:19" s="154" customFormat="1" ht="11.1" customHeight="1" x14ac:dyDescent="0.2">
      <c r="A130" s="502"/>
      <c r="B130" s="502"/>
      <c r="R130" s="705"/>
      <c r="S130" s="477"/>
    </row>
    <row r="131" spans="1:19" s="154" customFormat="1" ht="11.1" customHeight="1" x14ac:dyDescent="0.2">
      <c r="A131" s="39"/>
      <c r="B131" s="39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2"/>
      <c r="R131" s="82"/>
      <c r="S131" s="16"/>
    </row>
    <row r="132" spans="1:19" s="154" customFormat="1" ht="11.1" customHeight="1" x14ac:dyDescent="0.2">
      <c r="A132" s="39"/>
      <c r="B132" s="39"/>
      <c r="C132" s="8"/>
      <c r="D132" s="8"/>
      <c r="E132" s="8"/>
      <c r="F132" s="82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16"/>
    </row>
    <row r="133" spans="1:19" s="154" customFormat="1" ht="11.1" customHeight="1" x14ac:dyDescent="0.2">
      <c r="A133" s="16"/>
      <c r="B133" s="1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16"/>
    </row>
    <row r="134" spans="1:19" s="154" customFormat="1" ht="11.1" customHeight="1" x14ac:dyDescent="0.2">
      <c r="A134" s="16"/>
      <c r="B134" s="1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16"/>
    </row>
    <row r="135" spans="1:19" s="154" customFormat="1" ht="11.1" customHeight="1" x14ac:dyDescent="0.2">
      <c r="A135" s="16"/>
      <c r="B135" s="1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16"/>
    </row>
    <row r="136" spans="1:19" s="154" customFormat="1" ht="11.1" customHeight="1" x14ac:dyDescent="0.2">
      <c r="A136" s="16"/>
      <c r="B136" s="1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16"/>
    </row>
    <row r="137" spans="1:19" s="154" customFormat="1" ht="11.1" customHeight="1" x14ac:dyDescent="0.2">
      <c r="A137" s="16"/>
      <c r="B137" s="1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16"/>
    </row>
    <row r="138" spans="1:19" ht="9.75" customHeight="1" x14ac:dyDescent="0.2">
      <c r="S138" s="16"/>
    </row>
    <row r="139" spans="1:19" ht="9.75" customHeight="1" x14ac:dyDescent="0.2">
      <c r="S139" s="16"/>
    </row>
    <row r="140" spans="1:19" x14ac:dyDescent="0.2">
      <c r="S140" s="16"/>
    </row>
    <row r="141" spans="1:19" s="154" customFormat="1" x14ac:dyDescent="0.2">
      <c r="A141" s="16"/>
      <c r="B141" s="1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16"/>
    </row>
    <row r="142" spans="1:19" s="154" customFormat="1" x14ac:dyDescent="0.2">
      <c r="A142" s="16"/>
      <c r="B142" s="1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</sheetData>
  <customSheetViews>
    <customSheetView guid="{A374FC54-96E3-45F0-9C12-8450400C12DF}" scale="150">
      <pane xSplit="1" ySplit="4" topLeftCell="I37" activePane="bottomRight" state="frozen"/>
      <selection pane="bottomRight" activeCell="Q2" sqref="Q2:R2"/>
      <pageMargins left="0.62992125984252001" right="0.55118110236220497" top="0.511811023622047" bottom="0.31496062992126" header="0.25" footer="0"/>
      <pageSetup paperSize="132" firstPageNumber="54" orientation="portrait" useFirstPageNumber="1" r:id="rId1"/>
      <headerFooter>
        <oddFooter>&amp;C&amp;"Times New Roman,Regular"&amp;8&amp;P</oddFooter>
      </headerFooter>
    </customSheetView>
  </customSheetViews>
  <mergeCells count="11">
    <mergeCell ref="C128:D128"/>
    <mergeCell ref="K128:N128"/>
    <mergeCell ref="K1:Q1"/>
    <mergeCell ref="A1:J1"/>
    <mergeCell ref="R1:S1"/>
    <mergeCell ref="C3:R3"/>
    <mergeCell ref="R2:S2"/>
    <mergeCell ref="S3:S4"/>
    <mergeCell ref="A3:A4"/>
    <mergeCell ref="K127:S127"/>
    <mergeCell ref="B3:B4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T217"/>
  <sheetViews>
    <sheetView topLeftCell="A46" zoomScale="140" zoomScaleNormal="140" zoomScaleSheetLayoutView="120" workbookViewId="0">
      <selection activeCell="A64" sqref="A64"/>
    </sheetView>
  </sheetViews>
  <sheetFormatPr defaultColWidth="9.140625" defaultRowHeight="11.25" x14ac:dyDescent="0.2"/>
  <cols>
    <col min="1" max="1" width="4.140625" style="8" customWidth="1"/>
    <col min="2" max="2" width="14" style="34" customWidth="1"/>
    <col min="3" max="3" width="5.5703125" style="8" customWidth="1"/>
    <col min="4" max="4" width="8.28515625" style="8" customWidth="1"/>
    <col min="5" max="5" width="9" style="8" customWidth="1"/>
    <col min="6" max="6" width="6" style="8" customWidth="1"/>
    <col min="7" max="7" width="8.42578125" style="8" customWidth="1"/>
    <col min="8" max="8" width="7.28515625" style="34" customWidth="1"/>
    <col min="9" max="9" width="14.28515625" style="8" customWidth="1"/>
    <col min="10" max="10" width="4.85546875" style="243" customWidth="1"/>
    <col min="11" max="11" width="13.42578125" style="154" customWidth="1"/>
    <col min="12" max="12" width="5.42578125" style="154" customWidth="1"/>
    <col min="13" max="13" width="9.7109375" style="154" customWidth="1"/>
    <col min="14" max="14" width="10.28515625" style="154" customWidth="1"/>
    <col min="15" max="15" width="6.85546875" style="244" customWidth="1"/>
    <col min="16" max="16" width="9" style="154" customWidth="1"/>
    <col min="17" max="17" width="7.7109375" style="154" customWidth="1"/>
    <col min="18" max="18" width="11.42578125" style="243" customWidth="1"/>
    <col min="19" max="19" width="4.28515625" style="154" customWidth="1"/>
    <col min="20" max="20" width="11.5703125" style="154" customWidth="1"/>
    <col min="21" max="21" width="5.5703125" style="154" customWidth="1"/>
    <col min="22" max="22" width="9.85546875" style="154" customWidth="1"/>
    <col min="23" max="23" width="10.140625" style="244" customWidth="1"/>
    <col min="24" max="24" width="6.85546875" style="154" customWidth="1"/>
    <col min="25" max="25" width="10.7109375" style="154" customWidth="1"/>
    <col min="26" max="26" width="8.42578125" style="245" customWidth="1"/>
    <col min="27" max="27" width="11.5703125" style="154" customWidth="1"/>
    <col min="28" max="28" width="3.85546875" style="154" customWidth="1"/>
    <col min="29" max="29" width="14" style="154" customWidth="1"/>
    <col min="30" max="30" width="4.5703125" style="154" customWidth="1"/>
    <col min="31" max="32" width="9.42578125" style="154" customWidth="1"/>
    <col min="33" max="33" width="6.140625" style="154" customWidth="1"/>
    <col min="34" max="34" width="8.85546875" style="154" customWidth="1"/>
    <col min="35" max="35" width="6" style="154" customWidth="1"/>
    <col min="36" max="36" width="13.7109375" style="154" customWidth="1"/>
    <col min="37" max="37" width="4.28515625" style="245" customWidth="1"/>
    <col min="38" max="38" width="12.7109375" style="154" customWidth="1"/>
    <col min="39" max="39" width="6.140625" style="154" customWidth="1"/>
    <col min="40" max="40" width="9.28515625" style="154" customWidth="1"/>
    <col min="41" max="41" width="10" style="154" customWidth="1"/>
    <col min="42" max="42" width="6.7109375" style="154" customWidth="1"/>
    <col min="43" max="43" width="9.140625" style="154"/>
    <col min="44" max="44" width="5.85546875" style="154" customWidth="1"/>
    <col min="45" max="45" width="15.140625" style="245" customWidth="1"/>
    <col min="46" max="46" width="4.42578125" style="154" customWidth="1"/>
    <col min="47" max="47" width="11.85546875" style="154" customWidth="1"/>
    <col min="48" max="48" width="4.5703125" style="154" customWidth="1"/>
    <col min="49" max="49" width="8.42578125" style="154" customWidth="1"/>
    <col min="50" max="50" width="9.5703125" style="154" customWidth="1"/>
    <col min="51" max="51" width="8.5703125" style="154" customWidth="1"/>
    <col min="52" max="52" width="9.28515625" style="154" customWidth="1"/>
    <col min="53" max="53" width="7.85546875" style="154" customWidth="1"/>
    <col min="54" max="54" width="14.7109375" style="245" customWidth="1"/>
    <col min="55" max="55" width="4.42578125" style="154" customWidth="1"/>
    <col min="56" max="56" width="14.5703125" style="154" customWidth="1"/>
    <col min="57" max="57" width="4.5703125" style="154" customWidth="1"/>
    <col min="58" max="58" width="8.28515625" style="154" customWidth="1"/>
    <col min="59" max="59" width="9.140625" style="154"/>
    <col min="60" max="60" width="9.7109375" style="154" customWidth="1"/>
    <col min="61" max="61" width="7.5703125" style="154" customWidth="1"/>
    <col min="62" max="62" width="9.7109375" style="154" customWidth="1"/>
    <col min="63" max="63" width="11" style="245" customWidth="1"/>
    <col min="64" max="64" width="3.140625" style="154" customWidth="1"/>
    <col min="65" max="65" width="14.140625" style="154" customWidth="1"/>
    <col min="66" max="66" width="6.140625" style="154" customWidth="1"/>
    <col min="67" max="67" width="8.7109375" style="154" customWidth="1"/>
    <col min="68" max="68" width="9.5703125" style="154" customWidth="1"/>
    <col min="69" max="69" width="8.28515625" style="154" customWidth="1"/>
    <col min="70" max="70" width="7" style="8" customWidth="1"/>
    <col min="71" max="71" width="8.5703125" style="8" customWidth="1"/>
    <col min="72" max="72" width="12" style="8" customWidth="1"/>
    <col min="73" max="16384" width="9.140625" style="8"/>
  </cols>
  <sheetData>
    <row r="1" spans="1:72" s="102" customFormat="1" ht="23.25" customHeight="1" x14ac:dyDescent="0.2">
      <c r="A1" s="2757" t="s">
        <v>869</v>
      </c>
      <c r="B1" s="2757"/>
      <c r="C1" s="2757"/>
      <c r="D1" s="2757"/>
      <c r="E1" s="2757"/>
      <c r="F1" s="2757"/>
      <c r="G1" s="2757"/>
      <c r="H1" s="2757"/>
      <c r="I1" s="2757"/>
      <c r="J1" s="2756" t="s">
        <v>871</v>
      </c>
      <c r="K1" s="2756"/>
      <c r="L1" s="2756"/>
      <c r="M1" s="2756"/>
      <c r="N1" s="2756"/>
      <c r="O1" s="798"/>
      <c r="P1" s="2755" t="s">
        <v>1543</v>
      </c>
      <c r="Q1" s="2755"/>
      <c r="R1" s="2755"/>
      <c r="W1" s="2755" t="s">
        <v>870</v>
      </c>
      <c r="X1" s="2755"/>
      <c r="Y1" s="2755"/>
      <c r="Z1" s="2755"/>
      <c r="AA1" s="2755"/>
      <c r="AB1" s="2756" t="s">
        <v>871</v>
      </c>
      <c r="AC1" s="2756"/>
      <c r="AD1" s="2756"/>
      <c r="AE1" s="2756"/>
      <c r="AF1" s="2756"/>
      <c r="AG1" s="798"/>
      <c r="AH1" s="798"/>
      <c r="AI1" s="2752" t="s">
        <v>1544</v>
      </c>
      <c r="AJ1" s="2752"/>
      <c r="AK1" s="230"/>
      <c r="AL1" s="798"/>
      <c r="AM1" s="798"/>
      <c r="AN1" s="798"/>
      <c r="AO1" s="798"/>
      <c r="AP1" s="2755" t="s">
        <v>870</v>
      </c>
      <c r="AQ1" s="2755"/>
      <c r="AR1" s="2755"/>
      <c r="AS1" s="2755"/>
      <c r="AT1" s="2756" t="s">
        <v>871</v>
      </c>
      <c r="AU1" s="2756"/>
      <c r="AV1" s="2756"/>
      <c r="AW1" s="2756"/>
      <c r="AX1" s="2756"/>
      <c r="AY1" s="2755" t="s">
        <v>1544</v>
      </c>
      <c r="AZ1" s="2755"/>
      <c r="BA1" s="2755"/>
      <c r="BB1" s="2755"/>
      <c r="BC1" s="798"/>
      <c r="BD1" s="798"/>
      <c r="BE1" s="798"/>
      <c r="BF1" s="798"/>
      <c r="BG1" s="2755" t="s">
        <v>870</v>
      </c>
      <c r="BH1" s="2755"/>
      <c r="BI1" s="2755"/>
      <c r="BJ1" s="2755"/>
      <c r="BK1" s="798"/>
      <c r="BL1" s="2756" t="s">
        <v>871</v>
      </c>
      <c r="BM1" s="2756"/>
      <c r="BN1" s="2756"/>
      <c r="BO1" s="2756"/>
      <c r="BP1" s="2756"/>
      <c r="BQ1" s="798"/>
      <c r="BR1" s="2755" t="s">
        <v>1066</v>
      </c>
      <c r="BS1" s="2755"/>
      <c r="BT1" s="2755"/>
    </row>
    <row r="2" spans="1:72" s="102" customFormat="1" ht="13.5" customHeight="1" x14ac:dyDescent="0.2">
      <c r="A2" s="1387"/>
      <c r="B2" s="1388"/>
      <c r="C2" s="1387"/>
      <c r="D2" s="1387"/>
      <c r="E2" s="1387"/>
      <c r="F2" s="1387"/>
      <c r="G2" s="1387"/>
      <c r="H2" s="1387"/>
      <c r="I2" s="1387"/>
      <c r="J2" s="1389"/>
      <c r="K2" s="1389"/>
      <c r="L2" s="1389"/>
      <c r="M2" s="1389"/>
      <c r="N2" s="1389"/>
      <c r="O2" s="1390"/>
      <c r="P2" s="1391"/>
      <c r="Q2" s="1391"/>
      <c r="R2" s="1392" t="s">
        <v>1545</v>
      </c>
      <c r="S2" s="868"/>
      <c r="T2" s="868"/>
      <c r="U2" s="868"/>
      <c r="V2" s="868"/>
      <c r="W2" s="868"/>
      <c r="X2" s="1390"/>
      <c r="Y2" s="1393"/>
      <c r="Z2" s="1393"/>
      <c r="AA2" s="1393"/>
      <c r="AB2" s="1389"/>
      <c r="AC2" s="1389"/>
      <c r="AD2" s="1389"/>
      <c r="AE2" s="1389"/>
      <c r="AF2" s="1389"/>
      <c r="AG2" s="1390"/>
      <c r="AH2" s="1390"/>
      <c r="AI2" s="1391"/>
      <c r="AJ2" s="1392" t="s">
        <v>1546</v>
      </c>
      <c r="AK2" s="1394"/>
      <c r="AL2" s="1390"/>
      <c r="AM2" s="1390"/>
      <c r="AN2" s="1390"/>
      <c r="AO2" s="1390"/>
      <c r="AP2" s="1393"/>
      <c r="AQ2" s="1393"/>
      <c r="AR2" s="1393"/>
      <c r="AS2" s="1393"/>
      <c r="AT2" s="1389"/>
      <c r="AU2" s="1389"/>
      <c r="AV2" s="1389"/>
      <c r="AW2" s="1389"/>
      <c r="AX2" s="1389"/>
      <c r="AY2" s="1390"/>
      <c r="AZ2" s="1390"/>
      <c r="BA2" s="1393"/>
      <c r="BB2" s="1395" t="s">
        <v>24</v>
      </c>
      <c r="BC2" s="1390"/>
      <c r="BD2" s="1390"/>
      <c r="BE2" s="1390"/>
      <c r="BF2" s="1390"/>
      <c r="BG2" s="1390"/>
      <c r="BH2" s="1393"/>
      <c r="BI2" s="1393"/>
      <c r="BJ2" s="1393"/>
      <c r="BK2" s="1393"/>
      <c r="BL2" s="1389"/>
      <c r="BM2" s="1389"/>
      <c r="BN2" s="1389"/>
      <c r="BO2" s="1389"/>
      <c r="BP2" s="1389"/>
      <c r="BQ2" s="1390"/>
      <c r="BR2" s="1393"/>
      <c r="BS2" s="1393"/>
      <c r="BT2" s="1395" t="s">
        <v>24</v>
      </c>
    </row>
    <row r="3" spans="1:72" s="202" customFormat="1" ht="17.25" customHeight="1" x14ac:dyDescent="0.2">
      <c r="A3" s="2747" t="s">
        <v>1547</v>
      </c>
      <c r="B3" s="2747" t="s">
        <v>1548</v>
      </c>
      <c r="C3" s="2747" t="s">
        <v>1549</v>
      </c>
      <c r="D3" s="2749" t="s">
        <v>1550</v>
      </c>
      <c r="E3" s="2749" t="s">
        <v>1551</v>
      </c>
      <c r="F3" s="2749" t="s">
        <v>1796</v>
      </c>
      <c r="G3" s="2749" t="s">
        <v>1552</v>
      </c>
      <c r="H3" s="2749" t="s">
        <v>1767</v>
      </c>
      <c r="I3" s="2749" t="s">
        <v>1553</v>
      </c>
      <c r="J3" s="2747" t="s">
        <v>1547</v>
      </c>
      <c r="K3" s="2747" t="s">
        <v>1548</v>
      </c>
      <c r="L3" s="2747" t="s">
        <v>1549</v>
      </c>
      <c r="M3" s="2749" t="s">
        <v>1550</v>
      </c>
      <c r="N3" s="2749" t="s">
        <v>1551</v>
      </c>
      <c r="O3" s="2749" t="s">
        <v>1796</v>
      </c>
      <c r="P3" s="2749" t="s">
        <v>1554</v>
      </c>
      <c r="Q3" s="2749" t="s">
        <v>1767</v>
      </c>
      <c r="R3" s="2749" t="s">
        <v>1553</v>
      </c>
      <c r="S3" s="2747" t="s">
        <v>1547</v>
      </c>
      <c r="T3" s="2747" t="s">
        <v>1548</v>
      </c>
      <c r="U3" s="2747" t="s">
        <v>1549</v>
      </c>
      <c r="V3" s="2749" t="s">
        <v>1550</v>
      </c>
      <c r="W3" s="2749" t="s">
        <v>1551</v>
      </c>
      <c r="X3" s="2749" t="s">
        <v>1900</v>
      </c>
      <c r="Y3" s="2749" t="s">
        <v>1552</v>
      </c>
      <c r="Z3" s="2749" t="s">
        <v>1767</v>
      </c>
      <c r="AA3" s="2749" t="s">
        <v>1553</v>
      </c>
      <c r="AB3" s="2747" t="s">
        <v>1547</v>
      </c>
      <c r="AC3" s="2747" t="s">
        <v>1548</v>
      </c>
      <c r="AD3" s="2747" t="s">
        <v>1549</v>
      </c>
      <c r="AE3" s="2749" t="s">
        <v>1550</v>
      </c>
      <c r="AF3" s="2749" t="s">
        <v>1551</v>
      </c>
      <c r="AG3" s="2749" t="s">
        <v>1796</v>
      </c>
      <c r="AH3" s="2749" t="s">
        <v>1552</v>
      </c>
      <c r="AI3" s="2749" t="s">
        <v>1767</v>
      </c>
      <c r="AJ3" s="2749" t="s">
        <v>1553</v>
      </c>
      <c r="AK3" s="2747" t="s">
        <v>1547</v>
      </c>
      <c r="AL3" s="2747" t="s">
        <v>1548</v>
      </c>
      <c r="AM3" s="2747" t="s">
        <v>1549</v>
      </c>
      <c r="AN3" s="2749" t="s">
        <v>1550</v>
      </c>
      <c r="AO3" s="2749" t="s">
        <v>1551</v>
      </c>
      <c r="AP3" s="2749" t="s">
        <v>1796</v>
      </c>
      <c r="AQ3" s="2749" t="s">
        <v>1552</v>
      </c>
      <c r="AR3" s="2749" t="s">
        <v>1901</v>
      </c>
      <c r="AS3" s="2749" t="s">
        <v>1553</v>
      </c>
      <c r="AT3" s="2747" t="s">
        <v>1547</v>
      </c>
      <c r="AU3" s="2747" t="s">
        <v>1548</v>
      </c>
      <c r="AV3" s="2747" t="s">
        <v>1549</v>
      </c>
      <c r="AW3" s="2749" t="s">
        <v>1550</v>
      </c>
      <c r="AX3" s="2749" t="s">
        <v>1551</v>
      </c>
      <c r="AY3" s="2749" t="s">
        <v>1900</v>
      </c>
      <c r="AZ3" s="2749" t="s">
        <v>1552</v>
      </c>
      <c r="BA3" s="2749" t="s">
        <v>1901</v>
      </c>
      <c r="BB3" s="2749" t="s">
        <v>1553</v>
      </c>
      <c r="BC3" s="2747" t="s">
        <v>1547</v>
      </c>
      <c r="BD3" s="2747" t="s">
        <v>2367</v>
      </c>
      <c r="BE3" s="2747" t="s">
        <v>1549</v>
      </c>
      <c r="BF3" s="2749" t="s">
        <v>1550</v>
      </c>
      <c r="BG3" s="2749" t="s">
        <v>1551</v>
      </c>
      <c r="BH3" s="2751" t="s">
        <v>1902</v>
      </c>
      <c r="BI3" s="2749" t="s">
        <v>1552</v>
      </c>
      <c r="BJ3" s="2749" t="s">
        <v>1903</v>
      </c>
      <c r="BK3" s="2749" t="s">
        <v>1553</v>
      </c>
      <c r="BL3" s="2745" t="s">
        <v>1547</v>
      </c>
      <c r="BM3" s="2745" t="s">
        <v>1768</v>
      </c>
      <c r="BN3" s="2747" t="s">
        <v>1549</v>
      </c>
      <c r="BO3" s="2749" t="s">
        <v>1550</v>
      </c>
      <c r="BP3" s="2749" t="s">
        <v>1551</v>
      </c>
      <c r="BQ3" s="2749" t="s">
        <v>1796</v>
      </c>
      <c r="BR3" s="2749" t="s">
        <v>1552</v>
      </c>
      <c r="BS3" s="2749" t="s">
        <v>1767</v>
      </c>
      <c r="BT3" s="2749" t="s">
        <v>1553</v>
      </c>
    </row>
    <row r="4" spans="1:72" s="62" customFormat="1" ht="27.75" customHeight="1" x14ac:dyDescent="0.2">
      <c r="A4" s="2748"/>
      <c r="B4" s="2748"/>
      <c r="C4" s="2748"/>
      <c r="D4" s="2751"/>
      <c r="E4" s="2751"/>
      <c r="F4" s="2751"/>
      <c r="G4" s="2750"/>
      <c r="H4" s="2750"/>
      <c r="I4" s="2750"/>
      <c r="J4" s="2748"/>
      <c r="K4" s="2748"/>
      <c r="L4" s="2748"/>
      <c r="M4" s="2751"/>
      <c r="N4" s="2751"/>
      <c r="O4" s="2751"/>
      <c r="P4" s="2750"/>
      <c r="Q4" s="2750"/>
      <c r="R4" s="2750"/>
      <c r="S4" s="2748"/>
      <c r="T4" s="2748"/>
      <c r="U4" s="2748"/>
      <c r="V4" s="2751"/>
      <c r="W4" s="2751"/>
      <c r="X4" s="2751"/>
      <c r="Y4" s="2750"/>
      <c r="Z4" s="2750"/>
      <c r="AA4" s="2750"/>
      <c r="AB4" s="2748"/>
      <c r="AC4" s="2748"/>
      <c r="AD4" s="2748"/>
      <c r="AE4" s="2751"/>
      <c r="AF4" s="2751"/>
      <c r="AG4" s="2751"/>
      <c r="AH4" s="2750"/>
      <c r="AI4" s="2750"/>
      <c r="AJ4" s="2750"/>
      <c r="AK4" s="2748"/>
      <c r="AL4" s="2748"/>
      <c r="AM4" s="2748"/>
      <c r="AN4" s="2751"/>
      <c r="AO4" s="2751"/>
      <c r="AP4" s="2751"/>
      <c r="AQ4" s="2750"/>
      <c r="AR4" s="2750"/>
      <c r="AS4" s="2750"/>
      <c r="AT4" s="2748"/>
      <c r="AU4" s="2748"/>
      <c r="AV4" s="2748"/>
      <c r="AW4" s="2751"/>
      <c r="AX4" s="2751"/>
      <c r="AY4" s="2751"/>
      <c r="AZ4" s="2750"/>
      <c r="BA4" s="2750"/>
      <c r="BB4" s="2750"/>
      <c r="BC4" s="2748"/>
      <c r="BD4" s="2748"/>
      <c r="BE4" s="2748"/>
      <c r="BF4" s="2751"/>
      <c r="BG4" s="2751"/>
      <c r="BH4" s="2751"/>
      <c r="BI4" s="2750"/>
      <c r="BJ4" s="2750"/>
      <c r="BK4" s="2750"/>
      <c r="BL4" s="2746"/>
      <c r="BM4" s="2746"/>
      <c r="BN4" s="2748"/>
      <c r="BO4" s="2751"/>
      <c r="BP4" s="2751"/>
      <c r="BQ4" s="2751"/>
      <c r="BR4" s="2750"/>
      <c r="BS4" s="2750"/>
      <c r="BT4" s="2750"/>
    </row>
    <row r="5" spans="1:72" s="234" customFormat="1" ht="12.6" customHeight="1" x14ac:dyDescent="0.2">
      <c r="A5" s="2753" t="s">
        <v>1555</v>
      </c>
      <c r="B5" s="2754"/>
      <c r="C5" s="2754"/>
      <c r="D5" s="2754"/>
      <c r="E5" s="2754"/>
      <c r="F5" s="804"/>
      <c r="G5" s="804"/>
      <c r="H5" s="804"/>
      <c r="I5" s="804"/>
      <c r="J5" s="715">
        <v>46</v>
      </c>
      <c r="K5" s="715" t="s">
        <v>2812</v>
      </c>
      <c r="L5" s="715">
        <v>5</v>
      </c>
      <c r="M5" s="735" t="s">
        <v>2813</v>
      </c>
      <c r="N5" s="735" t="s">
        <v>2851</v>
      </c>
      <c r="O5" s="735">
        <v>10.79</v>
      </c>
      <c r="P5" s="715" t="s">
        <v>2852</v>
      </c>
      <c r="Q5" s="735">
        <v>10.84</v>
      </c>
      <c r="R5" s="735">
        <v>8000</v>
      </c>
      <c r="S5" s="725">
        <v>93</v>
      </c>
      <c r="T5" s="725" t="s">
        <v>1661</v>
      </c>
      <c r="U5" s="725">
        <v>15</v>
      </c>
      <c r="V5" s="746" t="s">
        <v>925</v>
      </c>
      <c r="W5" s="725" t="s">
        <v>926</v>
      </c>
      <c r="X5" s="489">
        <v>11.75</v>
      </c>
      <c r="Y5" s="725" t="s">
        <v>288</v>
      </c>
      <c r="Z5" s="489">
        <v>11.75</v>
      </c>
      <c r="AA5" s="489">
        <v>500</v>
      </c>
      <c r="AB5" s="725">
        <v>139</v>
      </c>
      <c r="AC5" s="725" t="s">
        <v>1658</v>
      </c>
      <c r="AD5" s="725">
        <v>20</v>
      </c>
      <c r="AE5" s="746" t="s">
        <v>459</v>
      </c>
      <c r="AF5" s="725" t="s">
        <v>462</v>
      </c>
      <c r="AG5" s="489">
        <v>13.88</v>
      </c>
      <c r="AH5" s="725" t="s">
        <v>288</v>
      </c>
      <c r="AI5" s="489">
        <v>13.88</v>
      </c>
      <c r="AJ5" s="489">
        <v>50</v>
      </c>
      <c r="AK5" s="725">
        <v>185</v>
      </c>
      <c r="AL5" s="725" t="s">
        <v>1678</v>
      </c>
      <c r="AM5" s="725">
        <v>20</v>
      </c>
      <c r="AN5" s="746" t="s">
        <v>937</v>
      </c>
      <c r="AO5" s="725" t="s">
        <v>938</v>
      </c>
      <c r="AP5" s="489">
        <v>11.5</v>
      </c>
      <c r="AQ5" s="725" t="s">
        <v>288</v>
      </c>
      <c r="AR5" s="489">
        <v>11.5</v>
      </c>
      <c r="AS5" s="489">
        <v>175</v>
      </c>
      <c r="AT5" s="725">
        <v>231</v>
      </c>
      <c r="AU5" s="725" t="s">
        <v>2061</v>
      </c>
      <c r="AV5" s="725">
        <v>20</v>
      </c>
      <c r="AW5" s="746" t="s">
        <v>2062</v>
      </c>
      <c r="AX5" s="725" t="s">
        <v>2063</v>
      </c>
      <c r="AY5" s="489">
        <v>8.65</v>
      </c>
      <c r="AZ5" s="725" t="s">
        <v>2112</v>
      </c>
      <c r="BA5" s="489">
        <v>8.83</v>
      </c>
      <c r="BB5" s="489">
        <v>5161.28</v>
      </c>
      <c r="BC5" s="725">
        <v>30</v>
      </c>
      <c r="BD5" s="1313" t="s">
        <v>2352</v>
      </c>
      <c r="BE5" s="725">
        <v>8</v>
      </c>
      <c r="BF5" s="746" t="s">
        <v>2328</v>
      </c>
      <c r="BG5" s="725" t="s">
        <v>2351</v>
      </c>
      <c r="BH5" s="489" t="s">
        <v>2312</v>
      </c>
      <c r="BI5" s="725" t="s">
        <v>288</v>
      </c>
      <c r="BJ5" s="489" t="s">
        <v>2312</v>
      </c>
      <c r="BK5" s="489">
        <v>57.67</v>
      </c>
      <c r="BL5" s="725">
        <v>76</v>
      </c>
      <c r="BM5" s="1313" t="s">
        <v>2405</v>
      </c>
      <c r="BN5" s="725">
        <v>10</v>
      </c>
      <c r="BO5" s="746" t="s">
        <v>2457</v>
      </c>
      <c r="BP5" s="725" t="s">
        <v>2458</v>
      </c>
      <c r="BQ5" s="489" t="s">
        <v>2312</v>
      </c>
      <c r="BR5" s="725" t="s">
        <v>288</v>
      </c>
      <c r="BS5" s="489" t="s">
        <v>2312</v>
      </c>
      <c r="BT5" s="489">
        <v>300</v>
      </c>
    </row>
    <row r="6" spans="1:72" s="234" customFormat="1" ht="12.6" customHeight="1" x14ac:dyDescent="0.2">
      <c r="A6" s="684">
        <v>1</v>
      </c>
      <c r="B6" s="749" t="s">
        <v>2378</v>
      </c>
      <c r="C6" s="1333">
        <v>2</v>
      </c>
      <c r="D6" s="1333" t="s">
        <v>2379</v>
      </c>
      <c r="E6" s="1333" t="s">
        <v>2380</v>
      </c>
      <c r="F6" s="579">
        <v>12</v>
      </c>
      <c r="G6" s="695" t="s">
        <v>288</v>
      </c>
      <c r="H6" s="579">
        <v>12</v>
      </c>
      <c r="I6" s="579">
        <v>2336.5700000000002</v>
      </c>
      <c r="J6" s="695">
        <v>47</v>
      </c>
      <c r="K6" s="695" t="s">
        <v>1717</v>
      </c>
      <c r="L6" s="695">
        <v>10</v>
      </c>
      <c r="M6" s="695" t="s">
        <v>1176</v>
      </c>
      <c r="N6" s="695" t="s">
        <v>1177</v>
      </c>
      <c r="O6" s="579">
        <v>7.59</v>
      </c>
      <c r="P6" s="695" t="s">
        <v>1199</v>
      </c>
      <c r="Q6" s="579">
        <v>6.89</v>
      </c>
      <c r="R6" s="579">
        <v>2700</v>
      </c>
      <c r="S6" s="684">
        <v>94</v>
      </c>
      <c r="T6" s="749" t="s">
        <v>1665</v>
      </c>
      <c r="U6" s="734">
        <v>15</v>
      </c>
      <c r="V6" s="734" t="s">
        <v>927</v>
      </c>
      <c r="W6" s="687" t="s">
        <v>928</v>
      </c>
      <c r="X6" s="687">
        <v>11.8</v>
      </c>
      <c r="Y6" s="734" t="s">
        <v>288</v>
      </c>
      <c r="Z6" s="687">
        <v>11.8</v>
      </c>
      <c r="AA6" s="687">
        <v>500</v>
      </c>
      <c r="AB6" s="236">
        <v>140</v>
      </c>
      <c r="AC6" s="749" t="s">
        <v>1662</v>
      </c>
      <c r="AD6" s="734">
        <v>20</v>
      </c>
      <c r="AE6" s="734" t="s">
        <v>460</v>
      </c>
      <c r="AF6" s="687" t="s">
        <v>463</v>
      </c>
      <c r="AG6" s="687">
        <v>13.489999999999998</v>
      </c>
      <c r="AH6" s="734" t="s">
        <v>288</v>
      </c>
      <c r="AI6" s="687">
        <v>13.489999999999998</v>
      </c>
      <c r="AJ6" s="687">
        <v>50</v>
      </c>
      <c r="AK6" s="684">
        <v>186</v>
      </c>
      <c r="AL6" s="749" t="s">
        <v>1682</v>
      </c>
      <c r="AM6" s="734">
        <v>20</v>
      </c>
      <c r="AN6" s="734" t="s">
        <v>1194</v>
      </c>
      <c r="AO6" s="687" t="s">
        <v>1200</v>
      </c>
      <c r="AP6" s="687">
        <v>11.5</v>
      </c>
      <c r="AQ6" s="734" t="s">
        <v>288</v>
      </c>
      <c r="AR6" s="687">
        <v>11.5</v>
      </c>
      <c r="AS6" s="687">
        <v>175</v>
      </c>
      <c r="AT6" s="684">
        <v>232</v>
      </c>
      <c r="AU6" s="684" t="s">
        <v>2134</v>
      </c>
      <c r="AV6" s="684">
        <v>20</v>
      </c>
      <c r="AW6" s="734" t="s">
        <v>2133</v>
      </c>
      <c r="AX6" s="684" t="s">
        <v>2135</v>
      </c>
      <c r="AY6" s="488">
        <v>8.9499999999999993</v>
      </c>
      <c r="AZ6" s="684" t="s">
        <v>2667</v>
      </c>
      <c r="BA6" s="488">
        <v>12.46</v>
      </c>
      <c r="BB6" s="488">
        <v>8943.23</v>
      </c>
      <c r="BC6" s="684">
        <v>31</v>
      </c>
      <c r="BD6" s="1399" t="s">
        <v>2353</v>
      </c>
      <c r="BE6" s="684">
        <v>9</v>
      </c>
      <c r="BF6" s="734" t="s">
        <v>2354</v>
      </c>
      <c r="BG6" s="684" t="s">
        <v>2355</v>
      </c>
      <c r="BH6" s="488" t="s">
        <v>2312</v>
      </c>
      <c r="BI6" s="684" t="s">
        <v>288</v>
      </c>
      <c r="BJ6" s="488" t="s">
        <v>2312</v>
      </c>
      <c r="BK6" s="488">
        <v>447.22</v>
      </c>
      <c r="BL6" s="684">
        <v>77</v>
      </c>
      <c r="BM6" s="1399" t="s">
        <v>2408</v>
      </c>
      <c r="BN6" s="684">
        <v>9</v>
      </c>
      <c r="BO6" s="734" t="s">
        <v>2457</v>
      </c>
      <c r="BP6" s="684" t="s">
        <v>2468</v>
      </c>
      <c r="BQ6" s="488" t="s">
        <v>2312</v>
      </c>
      <c r="BR6" s="684" t="s">
        <v>288</v>
      </c>
      <c r="BS6" s="488" t="s">
        <v>2312</v>
      </c>
      <c r="BT6" s="488">
        <v>129.35480000000001</v>
      </c>
    </row>
    <row r="7" spans="1:72" s="234" customFormat="1" ht="12.6" customHeight="1" x14ac:dyDescent="0.2">
      <c r="A7" s="725">
        <v>2</v>
      </c>
      <c r="B7" s="751" t="s">
        <v>2389</v>
      </c>
      <c r="C7" s="1334">
        <v>2</v>
      </c>
      <c r="D7" s="1334" t="s">
        <v>2390</v>
      </c>
      <c r="E7" s="1334" t="s">
        <v>2391</v>
      </c>
      <c r="F7" s="735">
        <v>12.05</v>
      </c>
      <c r="G7" s="715" t="s">
        <v>288</v>
      </c>
      <c r="H7" s="735">
        <v>12.05</v>
      </c>
      <c r="I7" s="735">
        <v>3007.67</v>
      </c>
      <c r="J7" s="715">
        <v>48</v>
      </c>
      <c r="K7" s="715" t="s">
        <v>1723</v>
      </c>
      <c r="L7" s="715">
        <v>10</v>
      </c>
      <c r="M7" s="715" t="s">
        <v>1201</v>
      </c>
      <c r="N7" s="715" t="s">
        <v>961</v>
      </c>
      <c r="O7" s="735">
        <v>6.77</v>
      </c>
      <c r="P7" s="715" t="s">
        <v>1295</v>
      </c>
      <c r="Q7" s="735">
        <v>6.96</v>
      </c>
      <c r="R7" s="735">
        <v>2600</v>
      </c>
      <c r="S7" s="725">
        <v>95</v>
      </c>
      <c r="T7" s="725" t="s">
        <v>1669</v>
      </c>
      <c r="U7" s="725">
        <v>15</v>
      </c>
      <c r="V7" s="746" t="s">
        <v>929</v>
      </c>
      <c r="W7" s="725" t="s">
        <v>930</v>
      </c>
      <c r="X7" s="489">
        <v>11.85</v>
      </c>
      <c r="Y7" s="725" t="s">
        <v>288</v>
      </c>
      <c r="Z7" s="489">
        <v>11.85</v>
      </c>
      <c r="AA7" s="489">
        <v>350</v>
      </c>
      <c r="AB7" s="725">
        <v>141</v>
      </c>
      <c r="AC7" s="725" t="s">
        <v>1666</v>
      </c>
      <c r="AD7" s="725">
        <v>20</v>
      </c>
      <c r="AE7" s="746" t="s">
        <v>1788</v>
      </c>
      <c r="AF7" s="725" t="s">
        <v>1789</v>
      </c>
      <c r="AG7" s="489">
        <v>13.29</v>
      </c>
      <c r="AH7" s="725" t="s">
        <v>288</v>
      </c>
      <c r="AI7" s="489">
        <v>13.29</v>
      </c>
      <c r="AJ7" s="489">
        <v>50</v>
      </c>
      <c r="AK7" s="725">
        <v>187</v>
      </c>
      <c r="AL7" s="725" t="s">
        <v>1688</v>
      </c>
      <c r="AM7" s="725">
        <v>20</v>
      </c>
      <c r="AN7" s="746" t="s">
        <v>1689</v>
      </c>
      <c r="AO7" s="725" t="s">
        <v>1202</v>
      </c>
      <c r="AP7" s="489">
        <v>11.95</v>
      </c>
      <c r="AQ7" s="725" t="s">
        <v>288</v>
      </c>
      <c r="AR7" s="489">
        <v>11.95</v>
      </c>
      <c r="AS7" s="489">
        <v>250</v>
      </c>
      <c r="AT7" s="725">
        <v>233</v>
      </c>
      <c r="AU7" s="725" t="s">
        <v>2143</v>
      </c>
      <c r="AV7" s="725">
        <v>20</v>
      </c>
      <c r="AW7" s="746" t="s">
        <v>2142</v>
      </c>
      <c r="AX7" s="725" t="s">
        <v>2144</v>
      </c>
      <c r="AY7" s="489">
        <v>8.89</v>
      </c>
      <c r="AZ7" s="725" t="s">
        <v>2617</v>
      </c>
      <c r="BA7" s="489">
        <v>11.95</v>
      </c>
      <c r="BB7" s="489">
        <v>4324.8099999999995</v>
      </c>
      <c r="BC7" s="725">
        <v>32</v>
      </c>
      <c r="BD7" s="1317" t="s">
        <v>1297</v>
      </c>
      <c r="BE7" s="725">
        <v>9</v>
      </c>
      <c r="BF7" s="746" t="s">
        <v>2354</v>
      </c>
      <c r="BG7" s="725" t="s">
        <v>2355</v>
      </c>
      <c r="BH7" s="489" t="s">
        <v>2312</v>
      </c>
      <c r="BI7" s="725" t="s">
        <v>288</v>
      </c>
      <c r="BJ7" s="489" t="s">
        <v>2312</v>
      </c>
      <c r="BK7" s="489">
        <v>282.3</v>
      </c>
      <c r="BL7" s="725">
        <v>78</v>
      </c>
      <c r="BM7" s="1317" t="s">
        <v>2404</v>
      </c>
      <c r="BN7" s="725">
        <v>10</v>
      </c>
      <c r="BO7" s="746" t="s">
        <v>2457</v>
      </c>
      <c r="BP7" s="725" t="s">
        <v>2458</v>
      </c>
      <c r="BQ7" s="489" t="s">
        <v>2312</v>
      </c>
      <c r="BR7" s="725" t="s">
        <v>288</v>
      </c>
      <c r="BS7" s="489" t="s">
        <v>2312</v>
      </c>
      <c r="BT7" s="489">
        <v>1353.855</v>
      </c>
    </row>
    <row r="8" spans="1:72" s="234" customFormat="1" ht="12.6" customHeight="1" x14ac:dyDescent="0.2">
      <c r="A8" s="684">
        <v>3</v>
      </c>
      <c r="B8" s="749" t="s">
        <v>2453</v>
      </c>
      <c r="C8" s="1333">
        <v>2</v>
      </c>
      <c r="D8" s="1333" t="s">
        <v>2454</v>
      </c>
      <c r="E8" s="1333" t="s">
        <v>2455</v>
      </c>
      <c r="F8" s="579">
        <v>12.3</v>
      </c>
      <c r="G8" s="695" t="s">
        <v>2480</v>
      </c>
      <c r="H8" s="579">
        <v>12.31</v>
      </c>
      <c r="I8" s="579">
        <v>4422.22</v>
      </c>
      <c r="J8" s="695">
        <v>49</v>
      </c>
      <c r="K8" s="734" t="s">
        <v>1730</v>
      </c>
      <c r="L8" s="734">
        <v>10</v>
      </c>
      <c r="M8" s="734" t="s">
        <v>1354</v>
      </c>
      <c r="N8" s="734" t="s">
        <v>1355</v>
      </c>
      <c r="O8" s="687">
        <v>7</v>
      </c>
      <c r="P8" s="734" t="s">
        <v>1391</v>
      </c>
      <c r="Q8" s="687">
        <v>7.11</v>
      </c>
      <c r="R8" s="687">
        <v>2800</v>
      </c>
      <c r="S8" s="684">
        <v>96</v>
      </c>
      <c r="T8" s="749" t="s">
        <v>1673</v>
      </c>
      <c r="U8" s="734">
        <v>15</v>
      </c>
      <c r="V8" s="734" t="s">
        <v>931</v>
      </c>
      <c r="W8" s="687" t="s">
        <v>932</v>
      </c>
      <c r="X8" s="687">
        <v>11.88</v>
      </c>
      <c r="Y8" s="734" t="s">
        <v>288</v>
      </c>
      <c r="Z8" s="687">
        <v>11.88</v>
      </c>
      <c r="AA8" s="687">
        <v>350</v>
      </c>
      <c r="AB8" s="236">
        <v>142</v>
      </c>
      <c r="AC8" s="749" t="s">
        <v>1670</v>
      </c>
      <c r="AD8" s="734">
        <v>20</v>
      </c>
      <c r="AE8" s="734" t="s">
        <v>31</v>
      </c>
      <c r="AF8" s="687" t="s">
        <v>43</v>
      </c>
      <c r="AG8" s="687">
        <v>13.19</v>
      </c>
      <c r="AH8" s="734" t="s">
        <v>288</v>
      </c>
      <c r="AI8" s="687">
        <v>13.19</v>
      </c>
      <c r="AJ8" s="687">
        <v>50</v>
      </c>
      <c r="AK8" s="684">
        <v>188</v>
      </c>
      <c r="AL8" s="749" t="s">
        <v>1845</v>
      </c>
      <c r="AM8" s="734">
        <v>20</v>
      </c>
      <c r="AN8" s="734" t="s">
        <v>1846</v>
      </c>
      <c r="AO8" s="687" t="s">
        <v>1847</v>
      </c>
      <c r="AP8" s="687">
        <v>12</v>
      </c>
      <c r="AQ8" s="734" t="s">
        <v>288</v>
      </c>
      <c r="AR8" s="687">
        <v>12</v>
      </c>
      <c r="AS8" s="687">
        <v>250</v>
      </c>
      <c r="AT8" s="684">
        <v>234</v>
      </c>
      <c r="AU8" s="749" t="s">
        <v>2482</v>
      </c>
      <c r="AV8" s="734">
        <v>20</v>
      </c>
      <c r="AW8" s="734" t="s">
        <v>2481</v>
      </c>
      <c r="AX8" s="687" t="s">
        <v>2483</v>
      </c>
      <c r="AY8" s="687">
        <v>12.75</v>
      </c>
      <c r="AZ8" s="734" t="s">
        <v>2603</v>
      </c>
      <c r="BA8" s="687">
        <v>12.675000000000001</v>
      </c>
      <c r="BB8" s="687">
        <v>8374.2900000000009</v>
      </c>
      <c r="BC8" s="684">
        <v>33</v>
      </c>
      <c r="BD8" s="1318" t="s">
        <v>2356</v>
      </c>
      <c r="BE8" s="734">
        <v>10</v>
      </c>
      <c r="BF8" s="734" t="s">
        <v>2354</v>
      </c>
      <c r="BG8" s="687" t="s">
        <v>2357</v>
      </c>
      <c r="BH8" s="687" t="s">
        <v>2312</v>
      </c>
      <c r="BI8" s="734" t="s">
        <v>288</v>
      </c>
      <c r="BJ8" s="687" t="s">
        <v>2312</v>
      </c>
      <c r="BK8" s="687">
        <v>190.29</v>
      </c>
      <c r="BL8" s="684">
        <v>79</v>
      </c>
      <c r="BM8" s="1318" t="s">
        <v>2469</v>
      </c>
      <c r="BN8" s="734">
        <v>10</v>
      </c>
      <c r="BO8" s="734" t="s">
        <v>2457</v>
      </c>
      <c r="BP8" s="687" t="s">
        <v>2458</v>
      </c>
      <c r="BQ8" s="687" t="s">
        <v>2312</v>
      </c>
      <c r="BR8" s="734" t="s">
        <v>288</v>
      </c>
      <c r="BS8" s="687" t="s">
        <v>2312</v>
      </c>
      <c r="BT8" s="687">
        <v>323.9889</v>
      </c>
    </row>
    <row r="9" spans="1:72" s="234" customFormat="1" ht="12.6" customHeight="1" x14ac:dyDescent="0.2">
      <c r="A9" s="725">
        <v>4</v>
      </c>
      <c r="B9" s="751" t="s">
        <v>2506</v>
      </c>
      <c r="C9" s="1334">
        <v>2</v>
      </c>
      <c r="D9" s="1334" t="s">
        <v>2507</v>
      </c>
      <c r="E9" s="1334" t="s">
        <v>2508</v>
      </c>
      <c r="F9" s="735">
        <v>12.25</v>
      </c>
      <c r="G9" s="715" t="s">
        <v>2528</v>
      </c>
      <c r="H9" s="735">
        <v>12.24</v>
      </c>
      <c r="I9" s="735">
        <v>8280.77</v>
      </c>
      <c r="J9" s="715">
        <v>50</v>
      </c>
      <c r="K9" s="715" t="s">
        <v>1737</v>
      </c>
      <c r="L9" s="715">
        <v>10</v>
      </c>
      <c r="M9" s="735" t="s">
        <v>1395</v>
      </c>
      <c r="N9" s="735" t="s">
        <v>1396</v>
      </c>
      <c r="O9" s="735">
        <v>7.5</v>
      </c>
      <c r="P9" s="715" t="s">
        <v>1474</v>
      </c>
      <c r="Q9" s="735">
        <v>7.6</v>
      </c>
      <c r="R9" s="735">
        <v>2800</v>
      </c>
      <c r="S9" s="725">
        <v>97</v>
      </c>
      <c r="T9" s="725" t="s">
        <v>2113</v>
      </c>
      <c r="U9" s="725">
        <v>15</v>
      </c>
      <c r="V9" s="746" t="s">
        <v>2114</v>
      </c>
      <c r="W9" s="725" t="s">
        <v>2115</v>
      </c>
      <c r="X9" s="489">
        <v>11.93</v>
      </c>
      <c r="Y9" s="725" t="s">
        <v>288</v>
      </c>
      <c r="Z9" s="489">
        <v>11.93</v>
      </c>
      <c r="AA9" s="489">
        <v>100</v>
      </c>
      <c r="AB9" s="725">
        <v>143</v>
      </c>
      <c r="AC9" s="725" t="s">
        <v>1674</v>
      </c>
      <c r="AD9" s="725">
        <v>20</v>
      </c>
      <c r="AE9" s="746" t="s">
        <v>32</v>
      </c>
      <c r="AF9" s="746" t="s">
        <v>44</v>
      </c>
      <c r="AG9" s="489">
        <v>13.139999999999999</v>
      </c>
      <c r="AH9" s="725" t="s">
        <v>288</v>
      </c>
      <c r="AI9" s="489">
        <v>13.139999999999999</v>
      </c>
      <c r="AJ9" s="489">
        <v>50</v>
      </c>
      <c r="AK9" s="725">
        <v>189</v>
      </c>
      <c r="AL9" s="725" t="s">
        <v>1848</v>
      </c>
      <c r="AM9" s="725">
        <v>20</v>
      </c>
      <c r="AN9" s="746" t="s">
        <v>1849</v>
      </c>
      <c r="AO9" s="725" t="s">
        <v>1850</v>
      </c>
      <c r="AP9" s="489">
        <v>12.03</v>
      </c>
      <c r="AQ9" s="725" t="s">
        <v>288</v>
      </c>
      <c r="AR9" s="489">
        <v>12.03</v>
      </c>
      <c r="AS9" s="489">
        <v>250</v>
      </c>
      <c r="AT9" s="725">
        <v>235</v>
      </c>
      <c r="AU9" s="725" t="s">
        <v>2683</v>
      </c>
      <c r="AV9" s="725">
        <v>20</v>
      </c>
      <c r="AW9" s="746" t="s">
        <v>2682</v>
      </c>
      <c r="AX9" s="725" t="s">
        <v>2684</v>
      </c>
      <c r="AY9" s="489">
        <v>12.24</v>
      </c>
      <c r="AZ9" s="725" t="s">
        <v>2947</v>
      </c>
      <c r="BA9" s="489">
        <v>10.44</v>
      </c>
      <c r="BB9" s="489">
        <v>5132.8</v>
      </c>
      <c r="BC9" s="725">
        <v>34</v>
      </c>
      <c r="BD9" s="1317" t="s">
        <v>2358</v>
      </c>
      <c r="BE9" s="725">
        <v>10</v>
      </c>
      <c r="BF9" s="746" t="s">
        <v>2354</v>
      </c>
      <c r="BG9" s="725" t="s">
        <v>2357</v>
      </c>
      <c r="BH9" s="489" t="s">
        <v>2312</v>
      </c>
      <c r="BI9" s="725" t="s">
        <v>288</v>
      </c>
      <c r="BJ9" s="489" t="s">
        <v>2312</v>
      </c>
      <c r="BK9" s="489">
        <v>56.52</v>
      </c>
      <c r="BL9" s="725">
        <v>80</v>
      </c>
      <c r="BM9" s="1317" t="s">
        <v>2403</v>
      </c>
      <c r="BN9" s="725">
        <v>10</v>
      </c>
      <c r="BO9" s="746" t="s">
        <v>2457</v>
      </c>
      <c r="BP9" s="725" t="s">
        <v>2458</v>
      </c>
      <c r="BQ9" s="489" t="s">
        <v>2312</v>
      </c>
      <c r="BR9" s="725" t="s">
        <v>288</v>
      </c>
      <c r="BS9" s="489" t="s">
        <v>2312</v>
      </c>
      <c r="BT9" s="489">
        <v>3246.145</v>
      </c>
    </row>
    <row r="10" spans="1:72" s="234" customFormat="1" ht="12.6" customHeight="1" x14ac:dyDescent="0.2">
      <c r="A10" s="695">
        <v>5</v>
      </c>
      <c r="B10" s="684" t="s">
        <v>2537</v>
      </c>
      <c r="C10" s="684">
        <v>2</v>
      </c>
      <c r="D10" s="684" t="s">
        <v>2538</v>
      </c>
      <c r="E10" s="684" t="s">
        <v>2539</v>
      </c>
      <c r="F10" s="687">
        <v>12.2</v>
      </c>
      <c r="G10" s="684" t="s">
        <v>288</v>
      </c>
      <c r="H10" s="687">
        <v>12.2</v>
      </c>
      <c r="I10" s="488">
        <v>4926.24</v>
      </c>
      <c r="J10" s="695">
        <v>51</v>
      </c>
      <c r="K10" s="695" t="s">
        <v>1743</v>
      </c>
      <c r="L10" s="695">
        <v>10</v>
      </c>
      <c r="M10" s="579" t="s">
        <v>1469</v>
      </c>
      <c r="N10" s="579" t="s">
        <v>1470</v>
      </c>
      <c r="O10" s="579">
        <v>7.15</v>
      </c>
      <c r="P10" s="695" t="s">
        <v>1486</v>
      </c>
      <c r="Q10" s="579">
        <v>8.89</v>
      </c>
      <c r="R10" s="579">
        <v>3000</v>
      </c>
      <c r="S10" s="684">
        <v>98</v>
      </c>
      <c r="T10" s="749" t="s">
        <v>1680</v>
      </c>
      <c r="U10" s="734">
        <v>15</v>
      </c>
      <c r="V10" s="734" t="s">
        <v>933</v>
      </c>
      <c r="W10" s="687" t="s">
        <v>934</v>
      </c>
      <c r="X10" s="687">
        <v>12</v>
      </c>
      <c r="Y10" s="734" t="s">
        <v>288</v>
      </c>
      <c r="Z10" s="687">
        <v>12</v>
      </c>
      <c r="AA10" s="687">
        <v>100</v>
      </c>
      <c r="AB10" s="236">
        <v>144</v>
      </c>
      <c r="AC10" s="749" t="s">
        <v>1677</v>
      </c>
      <c r="AD10" s="734">
        <v>20</v>
      </c>
      <c r="AE10" s="734" t="s">
        <v>33</v>
      </c>
      <c r="AF10" s="687" t="s">
        <v>45</v>
      </c>
      <c r="AG10" s="687">
        <v>13.139999999999999</v>
      </c>
      <c r="AH10" s="734" t="s">
        <v>288</v>
      </c>
      <c r="AI10" s="687">
        <v>13.139999999999999</v>
      </c>
      <c r="AJ10" s="687">
        <v>50</v>
      </c>
      <c r="AK10" s="684">
        <v>190</v>
      </c>
      <c r="AL10" s="749" t="s">
        <v>1693</v>
      </c>
      <c r="AM10" s="734">
        <v>20</v>
      </c>
      <c r="AN10" s="734" t="s">
        <v>1694</v>
      </c>
      <c r="AO10" s="687" t="s">
        <v>1695</v>
      </c>
      <c r="AP10" s="687">
        <v>12.07</v>
      </c>
      <c r="AQ10" s="734" t="s">
        <v>288</v>
      </c>
      <c r="AR10" s="687">
        <v>12.07</v>
      </c>
      <c r="AS10" s="687">
        <v>325</v>
      </c>
      <c r="AT10" s="684">
        <v>236</v>
      </c>
      <c r="AU10" s="749" t="s">
        <v>2750</v>
      </c>
      <c r="AV10" s="734">
        <v>20</v>
      </c>
      <c r="AW10" s="734" t="s">
        <v>2748</v>
      </c>
      <c r="AX10" s="687" t="s">
        <v>2751</v>
      </c>
      <c r="AY10" s="687">
        <v>10.3</v>
      </c>
      <c r="AZ10" s="734" t="s">
        <v>2980</v>
      </c>
      <c r="BA10" s="687">
        <v>10.61</v>
      </c>
      <c r="BB10" s="687">
        <f>1000+6500</f>
        <v>7500</v>
      </c>
      <c r="BC10" s="684">
        <v>35</v>
      </c>
      <c r="BD10" s="1318" t="s">
        <v>2359</v>
      </c>
      <c r="BE10" s="734">
        <v>10</v>
      </c>
      <c r="BF10" s="734" t="s">
        <v>2354</v>
      </c>
      <c r="BG10" s="687" t="s">
        <v>2357</v>
      </c>
      <c r="BH10" s="687" t="s">
        <v>2312</v>
      </c>
      <c r="BI10" s="734" t="s">
        <v>288</v>
      </c>
      <c r="BJ10" s="687" t="s">
        <v>2312</v>
      </c>
      <c r="BK10" s="687">
        <v>392.91</v>
      </c>
      <c r="BL10" s="684">
        <v>81</v>
      </c>
      <c r="BM10" s="1318" t="s">
        <v>2426</v>
      </c>
      <c r="BN10" s="734">
        <v>10</v>
      </c>
      <c r="BO10" s="734" t="s">
        <v>2470</v>
      </c>
      <c r="BP10" s="687" t="s">
        <v>2471</v>
      </c>
      <c r="BQ10" s="687" t="s">
        <v>1804</v>
      </c>
      <c r="BR10" s="734" t="s">
        <v>288</v>
      </c>
      <c r="BS10" s="687" t="s">
        <v>1804</v>
      </c>
      <c r="BT10" s="687">
        <v>2568</v>
      </c>
    </row>
    <row r="11" spans="1:72" s="234" customFormat="1" ht="12.6" customHeight="1" x14ac:dyDescent="0.2">
      <c r="A11" s="715">
        <v>6</v>
      </c>
      <c r="B11" s="725" t="s">
        <v>2580</v>
      </c>
      <c r="C11" s="725">
        <v>2</v>
      </c>
      <c r="D11" s="725" t="s">
        <v>2581</v>
      </c>
      <c r="E11" s="725" t="s">
        <v>2582</v>
      </c>
      <c r="F11" s="639">
        <v>12.3</v>
      </c>
      <c r="G11" s="725" t="s">
        <v>2598</v>
      </c>
      <c r="H11" s="639">
        <v>12.298999999999999</v>
      </c>
      <c r="I11" s="489">
        <v>6666.58</v>
      </c>
      <c r="J11" s="715">
        <v>52</v>
      </c>
      <c r="K11" s="715" t="s">
        <v>1748</v>
      </c>
      <c r="L11" s="715">
        <v>10</v>
      </c>
      <c r="M11" s="735" t="s">
        <v>1475</v>
      </c>
      <c r="N11" s="735" t="s">
        <v>1476</v>
      </c>
      <c r="O11" s="735">
        <v>7.74</v>
      </c>
      <c r="P11" s="715" t="s">
        <v>1489</v>
      </c>
      <c r="Q11" s="735">
        <v>9.0500000000000007</v>
      </c>
      <c r="R11" s="735">
        <v>2675</v>
      </c>
      <c r="S11" s="725">
        <v>99</v>
      </c>
      <c r="T11" s="725" t="s">
        <v>1686</v>
      </c>
      <c r="U11" s="725">
        <v>15</v>
      </c>
      <c r="V11" s="746" t="s">
        <v>935</v>
      </c>
      <c r="W11" s="725" t="s">
        <v>936</v>
      </c>
      <c r="X11" s="489">
        <v>12.1</v>
      </c>
      <c r="Y11" s="725" t="s">
        <v>288</v>
      </c>
      <c r="Z11" s="489">
        <v>12.1</v>
      </c>
      <c r="AA11" s="489">
        <v>100</v>
      </c>
      <c r="AB11" s="725">
        <v>145</v>
      </c>
      <c r="AC11" s="725" t="s">
        <v>1681</v>
      </c>
      <c r="AD11" s="725">
        <v>20</v>
      </c>
      <c r="AE11" s="746" t="s">
        <v>34</v>
      </c>
      <c r="AF11" s="725" t="s">
        <v>46</v>
      </c>
      <c r="AG11" s="489">
        <v>13.139999999999999</v>
      </c>
      <c r="AH11" s="725" t="s">
        <v>288</v>
      </c>
      <c r="AI11" s="489">
        <v>13.139999999999999</v>
      </c>
      <c r="AJ11" s="489">
        <v>50</v>
      </c>
      <c r="AK11" s="725">
        <v>191</v>
      </c>
      <c r="AL11" s="725" t="s">
        <v>1698</v>
      </c>
      <c r="AM11" s="725">
        <v>20</v>
      </c>
      <c r="AN11" s="746" t="s">
        <v>1699</v>
      </c>
      <c r="AO11" s="725" t="s">
        <v>1700</v>
      </c>
      <c r="AP11" s="489">
        <v>12.1</v>
      </c>
      <c r="AQ11" s="725" t="s">
        <v>288</v>
      </c>
      <c r="AR11" s="489">
        <v>12.1</v>
      </c>
      <c r="AS11" s="489">
        <v>325</v>
      </c>
      <c r="AT11" s="725"/>
      <c r="AU11" s="725"/>
      <c r="AV11" s="725"/>
      <c r="AW11" s="746"/>
      <c r="AX11" s="725"/>
      <c r="AY11" s="489"/>
      <c r="AZ11" s="725"/>
      <c r="BA11" s="489"/>
      <c r="BB11" s="489"/>
      <c r="BC11" s="725">
        <v>36</v>
      </c>
      <c r="BD11" s="1317" t="s">
        <v>2360</v>
      </c>
      <c r="BE11" s="725">
        <v>10</v>
      </c>
      <c r="BF11" s="746" t="s">
        <v>2354</v>
      </c>
      <c r="BG11" s="725" t="s">
        <v>2357</v>
      </c>
      <c r="BH11" s="489" t="s">
        <v>2312</v>
      </c>
      <c r="BI11" s="725" t="s">
        <v>288</v>
      </c>
      <c r="BJ11" s="489" t="s">
        <v>2312</v>
      </c>
      <c r="BK11" s="489">
        <v>397.43</v>
      </c>
      <c r="BL11" s="725">
        <v>82</v>
      </c>
      <c r="BM11" s="1317" t="s">
        <v>2426</v>
      </c>
      <c r="BN11" s="725">
        <v>10</v>
      </c>
      <c r="BO11" s="746" t="s">
        <v>2510</v>
      </c>
      <c r="BP11" s="725" t="s">
        <v>2511</v>
      </c>
      <c r="BQ11" s="489" t="s">
        <v>1804</v>
      </c>
      <c r="BR11" s="725" t="s">
        <v>288</v>
      </c>
      <c r="BS11" s="489" t="s">
        <v>1804</v>
      </c>
      <c r="BT11" s="489">
        <v>969.86509999999998</v>
      </c>
    </row>
    <row r="12" spans="1:72" s="234" customFormat="1" ht="12.6" customHeight="1" x14ac:dyDescent="0.2">
      <c r="A12" s="684">
        <v>7</v>
      </c>
      <c r="B12" s="684" t="s">
        <v>2609</v>
      </c>
      <c r="C12" s="684">
        <v>2</v>
      </c>
      <c r="D12" s="684" t="s">
        <v>2610</v>
      </c>
      <c r="E12" s="684" t="s">
        <v>2611</v>
      </c>
      <c r="F12" s="687">
        <v>12.12</v>
      </c>
      <c r="G12" s="488" t="s">
        <v>288</v>
      </c>
      <c r="H12" s="687">
        <v>12.12</v>
      </c>
      <c r="I12" s="488">
        <v>4500</v>
      </c>
      <c r="J12" s="695">
        <v>53</v>
      </c>
      <c r="K12" s="695" t="s">
        <v>1754</v>
      </c>
      <c r="L12" s="695">
        <v>10</v>
      </c>
      <c r="M12" s="579" t="s">
        <v>1480</v>
      </c>
      <c r="N12" s="579" t="s">
        <v>1481</v>
      </c>
      <c r="O12" s="579">
        <v>8.44</v>
      </c>
      <c r="P12" s="695" t="s">
        <v>1486</v>
      </c>
      <c r="Q12" s="579">
        <v>8.89</v>
      </c>
      <c r="R12" s="579">
        <v>3000</v>
      </c>
      <c r="S12" s="684">
        <v>100</v>
      </c>
      <c r="T12" s="749" t="s">
        <v>1833</v>
      </c>
      <c r="U12" s="734">
        <v>15</v>
      </c>
      <c r="V12" s="734" t="s">
        <v>1834</v>
      </c>
      <c r="W12" s="687" t="s">
        <v>1835</v>
      </c>
      <c r="X12" s="687">
        <v>12.2</v>
      </c>
      <c r="Y12" s="734" t="s">
        <v>288</v>
      </c>
      <c r="Z12" s="687">
        <v>12.2</v>
      </c>
      <c r="AA12" s="687">
        <v>100</v>
      </c>
      <c r="AB12" s="236">
        <v>146</v>
      </c>
      <c r="AC12" s="749" t="s">
        <v>1687</v>
      </c>
      <c r="AD12" s="734">
        <v>20</v>
      </c>
      <c r="AE12" s="734" t="s">
        <v>35</v>
      </c>
      <c r="AF12" s="687" t="s">
        <v>47</v>
      </c>
      <c r="AG12" s="687">
        <v>13.13</v>
      </c>
      <c r="AH12" s="734" t="s">
        <v>288</v>
      </c>
      <c r="AI12" s="687">
        <v>13.13</v>
      </c>
      <c r="AJ12" s="687">
        <v>50</v>
      </c>
      <c r="AK12" s="684">
        <v>192</v>
      </c>
      <c r="AL12" s="749" t="s">
        <v>1703</v>
      </c>
      <c r="AM12" s="734">
        <v>20</v>
      </c>
      <c r="AN12" s="734" t="s">
        <v>1704</v>
      </c>
      <c r="AO12" s="687" t="s">
        <v>1705</v>
      </c>
      <c r="AP12" s="687">
        <v>12.12</v>
      </c>
      <c r="AQ12" s="734" t="s">
        <v>288</v>
      </c>
      <c r="AR12" s="687">
        <v>12.12</v>
      </c>
      <c r="AS12" s="687">
        <v>341</v>
      </c>
      <c r="AT12" s="684"/>
      <c r="AU12" s="749"/>
      <c r="AV12" s="734"/>
      <c r="AW12" s="734"/>
      <c r="AX12" s="687"/>
      <c r="AY12" s="687"/>
      <c r="AZ12" s="734"/>
      <c r="BA12" s="687"/>
      <c r="BB12" s="687"/>
      <c r="BC12" s="684">
        <v>37</v>
      </c>
      <c r="BD12" s="1318" t="s">
        <v>166</v>
      </c>
      <c r="BE12" s="734">
        <v>10</v>
      </c>
      <c r="BF12" s="734" t="s">
        <v>2354</v>
      </c>
      <c r="BG12" s="687" t="s">
        <v>2357</v>
      </c>
      <c r="BH12" s="687" t="s">
        <v>2312</v>
      </c>
      <c r="BI12" s="734" t="s">
        <v>288</v>
      </c>
      <c r="BJ12" s="687" t="s">
        <v>2312</v>
      </c>
      <c r="BK12" s="687">
        <v>919.83</v>
      </c>
      <c r="BL12" s="684">
        <v>83</v>
      </c>
      <c r="BM12" s="1318" t="s">
        <v>2467</v>
      </c>
      <c r="BN12" s="734">
        <v>10</v>
      </c>
      <c r="BO12" s="734" t="s">
        <v>2510</v>
      </c>
      <c r="BP12" s="687" t="s">
        <v>2511</v>
      </c>
      <c r="BQ12" s="687" t="s">
        <v>1804</v>
      </c>
      <c r="BR12" s="734" t="s">
        <v>288</v>
      </c>
      <c r="BS12" s="687" t="s">
        <v>1804</v>
      </c>
      <c r="BT12" s="687">
        <v>162.9084</v>
      </c>
    </row>
    <row r="13" spans="1:72" s="234" customFormat="1" ht="12.6" customHeight="1" x14ac:dyDescent="0.2">
      <c r="A13" s="725">
        <v>8</v>
      </c>
      <c r="B13" s="725" t="s">
        <v>2635</v>
      </c>
      <c r="C13" s="725">
        <v>2</v>
      </c>
      <c r="D13" s="725" t="s">
        <v>2636</v>
      </c>
      <c r="E13" s="725" t="s">
        <v>2637</v>
      </c>
      <c r="F13" s="639">
        <v>10.98</v>
      </c>
      <c r="G13" s="725" t="s">
        <v>288</v>
      </c>
      <c r="H13" s="639">
        <v>10.98</v>
      </c>
      <c r="I13" s="489">
        <v>4500</v>
      </c>
      <c r="J13" s="715">
        <v>54</v>
      </c>
      <c r="K13" s="715" t="s">
        <v>1760</v>
      </c>
      <c r="L13" s="715">
        <v>10</v>
      </c>
      <c r="M13" s="715" t="s">
        <v>1487</v>
      </c>
      <c r="N13" s="715" t="s">
        <v>1488</v>
      </c>
      <c r="O13" s="735">
        <v>9.27</v>
      </c>
      <c r="P13" s="715" t="s">
        <v>1491</v>
      </c>
      <c r="Q13" s="735">
        <v>9.19</v>
      </c>
      <c r="R13" s="735">
        <v>4000</v>
      </c>
      <c r="S13" s="725">
        <v>101</v>
      </c>
      <c r="T13" s="725" t="s">
        <v>1836</v>
      </c>
      <c r="U13" s="725">
        <v>15</v>
      </c>
      <c r="V13" s="746" t="s">
        <v>1837</v>
      </c>
      <c r="W13" s="725" t="s">
        <v>1838</v>
      </c>
      <c r="X13" s="489">
        <v>12.3</v>
      </c>
      <c r="Y13" s="725" t="s">
        <v>288</v>
      </c>
      <c r="Z13" s="489">
        <v>12.3</v>
      </c>
      <c r="AA13" s="489">
        <v>100</v>
      </c>
      <c r="AB13" s="725">
        <v>147</v>
      </c>
      <c r="AC13" s="725" t="s">
        <v>1839</v>
      </c>
      <c r="AD13" s="725">
        <v>20</v>
      </c>
      <c r="AE13" s="746" t="s">
        <v>1840</v>
      </c>
      <c r="AF13" s="725" t="s">
        <v>1841</v>
      </c>
      <c r="AG13" s="489">
        <v>13.09</v>
      </c>
      <c r="AH13" s="725" t="s">
        <v>288</v>
      </c>
      <c r="AI13" s="489">
        <v>13.09</v>
      </c>
      <c r="AJ13" s="489">
        <v>50</v>
      </c>
      <c r="AK13" s="725">
        <v>193</v>
      </c>
      <c r="AL13" s="725" t="s">
        <v>1708</v>
      </c>
      <c r="AM13" s="725">
        <v>20</v>
      </c>
      <c r="AN13" s="746" t="s">
        <v>1709</v>
      </c>
      <c r="AO13" s="725" t="s">
        <v>1710</v>
      </c>
      <c r="AP13" s="489">
        <v>12.12</v>
      </c>
      <c r="AQ13" s="725" t="s">
        <v>288</v>
      </c>
      <c r="AR13" s="489">
        <v>12.12</v>
      </c>
      <c r="AS13" s="489">
        <v>300</v>
      </c>
      <c r="AT13" s="725"/>
      <c r="AU13" s="725"/>
      <c r="AV13" s="725"/>
      <c r="AW13" s="746"/>
      <c r="AX13" s="725"/>
      <c r="AY13" s="489"/>
      <c r="AZ13" s="725"/>
      <c r="BA13" s="489"/>
      <c r="BB13" s="489"/>
      <c r="BC13" s="725">
        <v>38</v>
      </c>
      <c r="BD13" s="1317" t="s">
        <v>2361</v>
      </c>
      <c r="BE13" s="725">
        <v>10</v>
      </c>
      <c r="BF13" s="746" t="s">
        <v>2274</v>
      </c>
      <c r="BG13" s="725" t="s">
        <v>2362</v>
      </c>
      <c r="BH13" s="489" t="s">
        <v>1804</v>
      </c>
      <c r="BI13" s="725" t="s">
        <v>288</v>
      </c>
      <c r="BJ13" s="489" t="s">
        <v>1804</v>
      </c>
      <c r="BK13" s="489">
        <v>2482.1799999999998</v>
      </c>
      <c r="BL13" s="725">
        <v>84</v>
      </c>
      <c r="BM13" s="1317" t="s">
        <v>2403</v>
      </c>
      <c r="BN13" s="725">
        <v>10</v>
      </c>
      <c r="BO13" s="746" t="s">
        <v>2510</v>
      </c>
      <c r="BP13" s="725" t="s">
        <v>2511</v>
      </c>
      <c r="BQ13" s="489" t="s">
        <v>2312</v>
      </c>
      <c r="BR13" s="725" t="s">
        <v>288</v>
      </c>
      <c r="BS13" s="489" t="s">
        <v>2312</v>
      </c>
      <c r="BT13" s="489">
        <v>2121.2341000000001</v>
      </c>
    </row>
    <row r="14" spans="1:72" s="234" customFormat="1" ht="12.6" customHeight="1" x14ac:dyDescent="0.2">
      <c r="A14" s="684">
        <v>9</v>
      </c>
      <c r="B14" s="684" t="s">
        <v>2651</v>
      </c>
      <c r="C14" s="684">
        <v>2</v>
      </c>
      <c r="D14" s="488" t="s">
        <v>2152</v>
      </c>
      <c r="E14" s="488" t="s">
        <v>2652</v>
      </c>
      <c r="F14" s="687">
        <v>11.2</v>
      </c>
      <c r="G14" s="488" t="s">
        <v>288</v>
      </c>
      <c r="H14" s="687">
        <v>11.2</v>
      </c>
      <c r="I14" s="488">
        <v>4500</v>
      </c>
      <c r="J14" s="695">
        <v>55</v>
      </c>
      <c r="K14" s="695" t="s">
        <v>1556</v>
      </c>
      <c r="L14" s="695">
        <v>10</v>
      </c>
      <c r="M14" s="579" t="s">
        <v>1492</v>
      </c>
      <c r="N14" s="579" t="s">
        <v>1493</v>
      </c>
      <c r="O14" s="579">
        <v>9.23</v>
      </c>
      <c r="P14" s="695" t="s">
        <v>1557</v>
      </c>
      <c r="Q14" s="579">
        <v>8.64</v>
      </c>
      <c r="R14" s="579">
        <v>4000</v>
      </c>
      <c r="S14" s="684">
        <v>102</v>
      </c>
      <c r="T14" s="749" t="s">
        <v>1691</v>
      </c>
      <c r="U14" s="734">
        <v>15</v>
      </c>
      <c r="V14" s="734" t="s">
        <v>967</v>
      </c>
      <c r="W14" s="687" t="s">
        <v>968</v>
      </c>
      <c r="X14" s="687">
        <v>12.379999999999999</v>
      </c>
      <c r="Y14" s="734" t="s">
        <v>288</v>
      </c>
      <c r="Z14" s="687">
        <v>12.379999999999999</v>
      </c>
      <c r="AA14" s="687">
        <v>100</v>
      </c>
      <c r="AB14" s="236">
        <v>148</v>
      </c>
      <c r="AC14" s="749" t="s">
        <v>1842</v>
      </c>
      <c r="AD14" s="734">
        <v>20</v>
      </c>
      <c r="AE14" s="734" t="s">
        <v>1843</v>
      </c>
      <c r="AF14" s="687" t="s">
        <v>1844</v>
      </c>
      <c r="AG14" s="687">
        <v>13.07</v>
      </c>
      <c r="AH14" s="734" t="s">
        <v>288</v>
      </c>
      <c r="AI14" s="687">
        <v>13.07</v>
      </c>
      <c r="AJ14" s="687">
        <v>125</v>
      </c>
      <c r="AK14" s="684">
        <v>194</v>
      </c>
      <c r="AL14" s="749" t="s">
        <v>1714</v>
      </c>
      <c r="AM14" s="734">
        <v>20</v>
      </c>
      <c r="AN14" s="734" t="s">
        <v>1715</v>
      </c>
      <c r="AO14" s="687" t="s">
        <v>1716</v>
      </c>
      <c r="AP14" s="687">
        <v>12.16</v>
      </c>
      <c r="AQ14" s="734" t="s">
        <v>288</v>
      </c>
      <c r="AR14" s="687">
        <v>12.16</v>
      </c>
      <c r="AS14" s="687">
        <v>300</v>
      </c>
      <c r="AT14" s="1523" t="s">
        <v>1888</v>
      </c>
      <c r="AU14" s="1523"/>
      <c r="AV14" s="1523"/>
      <c r="AW14" s="1523"/>
      <c r="AX14" s="1523"/>
      <c r="AY14" s="1523"/>
      <c r="AZ14" s="1523"/>
      <c r="BA14" s="687"/>
      <c r="BB14" s="687"/>
      <c r="BC14" s="684">
        <v>39</v>
      </c>
      <c r="BD14" s="1318" t="s">
        <v>2363</v>
      </c>
      <c r="BE14" s="734">
        <v>10</v>
      </c>
      <c r="BF14" s="734" t="s">
        <v>2319</v>
      </c>
      <c r="BG14" s="687" t="s">
        <v>2337</v>
      </c>
      <c r="BH14" s="687" t="s">
        <v>1804</v>
      </c>
      <c r="BI14" s="734" t="s">
        <v>288</v>
      </c>
      <c r="BJ14" s="687" t="s">
        <v>1804</v>
      </c>
      <c r="BK14" s="687">
        <v>23.04</v>
      </c>
      <c r="BL14" s="684">
        <v>85</v>
      </c>
      <c r="BM14" s="1318" t="s">
        <v>2405</v>
      </c>
      <c r="BN14" s="734">
        <v>10</v>
      </c>
      <c r="BO14" s="734" t="s">
        <v>2510</v>
      </c>
      <c r="BP14" s="687" t="s">
        <v>2511</v>
      </c>
      <c r="BQ14" s="687" t="s">
        <v>2312</v>
      </c>
      <c r="BR14" s="734" t="s">
        <v>288</v>
      </c>
      <c r="BS14" s="687" t="s">
        <v>2312</v>
      </c>
      <c r="BT14" s="687">
        <v>327.95440000000002</v>
      </c>
    </row>
    <row r="15" spans="1:72" s="234" customFormat="1" ht="12.6" customHeight="1" x14ac:dyDescent="0.2">
      <c r="A15" s="725">
        <v>10</v>
      </c>
      <c r="B15" s="725" t="s">
        <v>2668</v>
      </c>
      <c r="C15" s="725">
        <v>2</v>
      </c>
      <c r="D15" s="725" t="s">
        <v>2669</v>
      </c>
      <c r="E15" s="725" t="s">
        <v>2670</v>
      </c>
      <c r="F15" s="639">
        <v>12.18</v>
      </c>
      <c r="G15" s="725" t="s">
        <v>288</v>
      </c>
      <c r="H15" s="639">
        <v>12.18</v>
      </c>
      <c r="I15" s="489">
        <v>4500</v>
      </c>
      <c r="J15" s="715">
        <v>56</v>
      </c>
      <c r="K15" s="715" t="s">
        <v>1563</v>
      </c>
      <c r="L15" s="715">
        <v>10</v>
      </c>
      <c r="M15" s="735" t="s">
        <v>1499</v>
      </c>
      <c r="N15" s="735" t="s">
        <v>1500</v>
      </c>
      <c r="O15" s="735">
        <v>9.15</v>
      </c>
      <c r="P15" s="715" t="s">
        <v>1770</v>
      </c>
      <c r="Q15" s="735">
        <v>6.64</v>
      </c>
      <c r="R15" s="735">
        <v>4000</v>
      </c>
      <c r="S15" s="725">
        <v>103</v>
      </c>
      <c r="T15" s="725" t="s">
        <v>1696</v>
      </c>
      <c r="U15" s="725">
        <v>15</v>
      </c>
      <c r="V15" s="746" t="s">
        <v>969</v>
      </c>
      <c r="W15" s="725" t="s">
        <v>970</v>
      </c>
      <c r="X15" s="489">
        <v>12.379999999999999</v>
      </c>
      <c r="Y15" s="725" t="s">
        <v>288</v>
      </c>
      <c r="Z15" s="489">
        <v>12.379999999999999</v>
      </c>
      <c r="AA15" s="489">
        <v>200</v>
      </c>
      <c r="AB15" s="725">
        <v>149</v>
      </c>
      <c r="AC15" s="725" t="s">
        <v>1692</v>
      </c>
      <c r="AD15" s="725">
        <v>20</v>
      </c>
      <c r="AE15" s="746" t="s">
        <v>36</v>
      </c>
      <c r="AF15" s="725" t="s">
        <v>1220</v>
      </c>
      <c r="AG15" s="489">
        <v>13.07</v>
      </c>
      <c r="AH15" s="725" t="s">
        <v>288</v>
      </c>
      <c r="AI15" s="489">
        <v>13.07</v>
      </c>
      <c r="AJ15" s="489">
        <v>125</v>
      </c>
      <c r="AK15" s="725">
        <v>195</v>
      </c>
      <c r="AL15" s="725" t="s">
        <v>1721</v>
      </c>
      <c r="AM15" s="725">
        <v>20</v>
      </c>
      <c r="AN15" s="746" t="s">
        <v>1722</v>
      </c>
      <c r="AO15" s="725" t="s">
        <v>1329</v>
      </c>
      <c r="AP15" s="489">
        <v>12.16</v>
      </c>
      <c r="AQ15" s="725" t="s">
        <v>288</v>
      </c>
      <c r="AR15" s="489">
        <v>12.16</v>
      </c>
      <c r="AS15" s="489">
        <v>300</v>
      </c>
      <c r="AT15" s="725">
        <v>1</v>
      </c>
      <c r="AU15" s="725" t="s">
        <v>1889</v>
      </c>
      <c r="AV15" s="725">
        <v>5</v>
      </c>
      <c r="AW15" s="746" t="s">
        <v>1905</v>
      </c>
      <c r="AX15" s="725" t="s">
        <v>1906</v>
      </c>
      <c r="AY15" s="489">
        <v>4.6900000000000004</v>
      </c>
      <c r="AZ15" s="725" t="s">
        <v>1907</v>
      </c>
      <c r="BA15" s="489">
        <v>4.6900000000000004</v>
      </c>
      <c r="BB15" s="489">
        <v>8000</v>
      </c>
      <c r="BC15" s="725">
        <v>40</v>
      </c>
      <c r="BD15" s="1317" t="s">
        <v>2364</v>
      </c>
      <c r="BE15" s="725">
        <v>10</v>
      </c>
      <c r="BF15" s="746" t="s">
        <v>2319</v>
      </c>
      <c r="BG15" s="725" t="s">
        <v>2337</v>
      </c>
      <c r="BH15" s="489" t="s">
        <v>1804</v>
      </c>
      <c r="BI15" s="725" t="s">
        <v>288</v>
      </c>
      <c r="BJ15" s="489" t="s">
        <v>1804</v>
      </c>
      <c r="BK15" s="489">
        <v>56.47</v>
      </c>
      <c r="BL15" s="725">
        <v>86</v>
      </c>
      <c r="BM15" s="1317" t="s">
        <v>2404</v>
      </c>
      <c r="BN15" s="725">
        <v>10</v>
      </c>
      <c r="BO15" s="746" t="s">
        <v>2510</v>
      </c>
      <c r="BP15" s="725" t="s">
        <v>2511</v>
      </c>
      <c r="BQ15" s="489" t="s">
        <v>2312</v>
      </c>
      <c r="BR15" s="725" t="s">
        <v>288</v>
      </c>
      <c r="BS15" s="489" t="s">
        <v>2312</v>
      </c>
      <c r="BT15" s="489">
        <v>1976.9058</v>
      </c>
    </row>
    <row r="16" spans="1:72" s="234" customFormat="1" ht="12.6" customHeight="1" x14ac:dyDescent="0.2">
      <c r="A16" s="684">
        <v>11</v>
      </c>
      <c r="B16" s="749" t="s">
        <v>2685</v>
      </c>
      <c r="C16" s="684">
        <v>2</v>
      </c>
      <c r="D16" s="684" t="s">
        <v>2686</v>
      </c>
      <c r="E16" s="684" t="s">
        <v>2687</v>
      </c>
      <c r="F16" s="687">
        <v>11.97</v>
      </c>
      <c r="G16" s="734" t="s">
        <v>288</v>
      </c>
      <c r="H16" s="687">
        <v>11.97</v>
      </c>
      <c r="I16" s="687">
        <v>4500</v>
      </c>
      <c r="J16" s="695">
        <v>57</v>
      </c>
      <c r="K16" s="695" t="s">
        <v>1569</v>
      </c>
      <c r="L16" s="695">
        <v>10</v>
      </c>
      <c r="M16" s="579" t="s">
        <v>1570</v>
      </c>
      <c r="N16" s="579" t="s">
        <v>1571</v>
      </c>
      <c r="O16" s="579">
        <v>8.74</v>
      </c>
      <c r="P16" s="695" t="s">
        <v>288</v>
      </c>
      <c r="Q16" s="579">
        <v>8.74</v>
      </c>
      <c r="R16" s="579">
        <v>4500</v>
      </c>
      <c r="S16" s="684">
        <v>104</v>
      </c>
      <c r="T16" s="749" t="s">
        <v>1701</v>
      </c>
      <c r="U16" s="734">
        <v>15</v>
      </c>
      <c r="V16" s="734" t="s">
        <v>971</v>
      </c>
      <c r="W16" s="687" t="s">
        <v>972</v>
      </c>
      <c r="X16" s="687">
        <v>12.379999999999999</v>
      </c>
      <c r="Y16" s="734" t="s">
        <v>288</v>
      </c>
      <c r="Z16" s="687">
        <v>12.379999999999999</v>
      </c>
      <c r="AA16" s="687">
        <v>200</v>
      </c>
      <c r="AB16" s="236">
        <v>150</v>
      </c>
      <c r="AC16" s="749" t="s">
        <v>1697</v>
      </c>
      <c r="AD16" s="734">
        <v>20</v>
      </c>
      <c r="AE16" s="734" t="s">
        <v>37</v>
      </c>
      <c r="AF16" s="687" t="s">
        <v>48</v>
      </c>
      <c r="AG16" s="687">
        <v>13.07</v>
      </c>
      <c r="AH16" s="734" t="s">
        <v>288</v>
      </c>
      <c r="AI16" s="687">
        <v>13.07</v>
      </c>
      <c r="AJ16" s="687">
        <v>125</v>
      </c>
      <c r="AK16" s="684">
        <v>196</v>
      </c>
      <c r="AL16" s="749" t="s">
        <v>1727</v>
      </c>
      <c r="AM16" s="734">
        <v>20</v>
      </c>
      <c r="AN16" s="734" t="s">
        <v>1728</v>
      </c>
      <c r="AO16" s="687" t="s">
        <v>1729</v>
      </c>
      <c r="AP16" s="687">
        <v>12.16</v>
      </c>
      <c r="AQ16" s="734" t="s">
        <v>288</v>
      </c>
      <c r="AR16" s="687">
        <v>12.16</v>
      </c>
      <c r="AS16" s="687">
        <v>100</v>
      </c>
      <c r="AT16" s="684">
        <v>2</v>
      </c>
      <c r="AU16" s="749" t="s">
        <v>1990</v>
      </c>
      <c r="AV16" s="734">
        <v>5</v>
      </c>
      <c r="AW16" s="734" t="s">
        <v>1991</v>
      </c>
      <c r="AX16" s="687" t="s">
        <v>1992</v>
      </c>
      <c r="AY16" s="687">
        <v>4.6500000000000004</v>
      </c>
      <c r="AZ16" s="734" t="s">
        <v>288</v>
      </c>
      <c r="BA16" s="687" t="s">
        <v>288</v>
      </c>
      <c r="BB16" s="687">
        <v>5000</v>
      </c>
      <c r="BC16" s="684">
        <v>41</v>
      </c>
      <c r="BD16" s="1318" t="s">
        <v>2361</v>
      </c>
      <c r="BE16" s="734">
        <v>9</v>
      </c>
      <c r="BF16" s="734" t="s">
        <v>2319</v>
      </c>
      <c r="BG16" s="687" t="s">
        <v>2320</v>
      </c>
      <c r="BH16" s="687" t="s">
        <v>1804</v>
      </c>
      <c r="BI16" s="734" t="s">
        <v>288</v>
      </c>
      <c r="BJ16" s="687" t="s">
        <v>1804</v>
      </c>
      <c r="BK16" s="687">
        <v>486.87</v>
      </c>
      <c r="BL16" s="684">
        <v>87</v>
      </c>
      <c r="BM16" s="1318" t="s">
        <v>2512</v>
      </c>
      <c r="BN16" s="734">
        <v>10</v>
      </c>
      <c r="BO16" s="734" t="s">
        <v>2510</v>
      </c>
      <c r="BP16" s="687" t="s">
        <v>2511</v>
      </c>
      <c r="BQ16" s="687" t="s">
        <v>2312</v>
      </c>
      <c r="BR16" s="734" t="s">
        <v>288</v>
      </c>
      <c r="BS16" s="687" t="s">
        <v>2312</v>
      </c>
      <c r="BT16" s="687">
        <v>746.72860000000003</v>
      </c>
    </row>
    <row r="17" spans="1:72" s="234" customFormat="1" ht="12.6" customHeight="1" x14ac:dyDescent="0.2">
      <c r="A17" s="725">
        <v>12</v>
      </c>
      <c r="B17" s="725" t="s">
        <v>2701</v>
      </c>
      <c r="C17" s="725">
        <v>2</v>
      </c>
      <c r="D17" s="725" t="s">
        <v>2702</v>
      </c>
      <c r="E17" s="725" t="s">
        <v>2703</v>
      </c>
      <c r="F17" s="639">
        <v>12.29</v>
      </c>
      <c r="G17" s="725" t="s">
        <v>288</v>
      </c>
      <c r="H17" s="639">
        <v>12.29</v>
      </c>
      <c r="I17" s="489">
        <v>3500</v>
      </c>
      <c r="J17" s="715">
        <v>58</v>
      </c>
      <c r="K17" s="715" t="s">
        <v>1577</v>
      </c>
      <c r="L17" s="715">
        <v>10</v>
      </c>
      <c r="M17" s="735" t="s">
        <v>1528</v>
      </c>
      <c r="N17" s="735" t="s">
        <v>1529</v>
      </c>
      <c r="O17" s="735">
        <v>8.66</v>
      </c>
      <c r="P17" s="715" t="s">
        <v>1786</v>
      </c>
      <c r="Q17" s="735">
        <v>5.75</v>
      </c>
      <c r="R17" s="735">
        <v>4500</v>
      </c>
      <c r="S17" s="725">
        <v>105</v>
      </c>
      <c r="T17" s="725" t="s">
        <v>1706</v>
      </c>
      <c r="U17" s="725">
        <v>15</v>
      </c>
      <c r="V17" s="746" t="s">
        <v>973</v>
      </c>
      <c r="W17" s="725" t="s">
        <v>974</v>
      </c>
      <c r="X17" s="489">
        <v>12.4</v>
      </c>
      <c r="Y17" s="725" t="s">
        <v>288</v>
      </c>
      <c r="Z17" s="489">
        <v>12.4</v>
      </c>
      <c r="AA17" s="489">
        <v>200</v>
      </c>
      <c r="AB17" s="725">
        <v>151</v>
      </c>
      <c r="AC17" s="725" t="s">
        <v>1702</v>
      </c>
      <c r="AD17" s="725">
        <v>20</v>
      </c>
      <c r="AE17" s="746" t="s">
        <v>38</v>
      </c>
      <c r="AF17" s="725" t="s">
        <v>49</v>
      </c>
      <c r="AG17" s="489">
        <v>13.04</v>
      </c>
      <c r="AH17" s="725" t="s">
        <v>288</v>
      </c>
      <c r="AI17" s="489">
        <v>13.04</v>
      </c>
      <c r="AJ17" s="489">
        <v>125</v>
      </c>
      <c r="AK17" s="725">
        <v>197</v>
      </c>
      <c r="AL17" s="725" t="s">
        <v>1734</v>
      </c>
      <c r="AM17" s="725">
        <v>20</v>
      </c>
      <c r="AN17" s="746" t="s">
        <v>1735</v>
      </c>
      <c r="AO17" s="725" t="s">
        <v>1736</v>
      </c>
      <c r="AP17" s="489">
        <v>12.18</v>
      </c>
      <c r="AQ17" s="725" t="s">
        <v>288</v>
      </c>
      <c r="AR17" s="489">
        <v>12.18</v>
      </c>
      <c r="AS17" s="489">
        <v>100</v>
      </c>
      <c r="AT17" s="725">
        <v>3</v>
      </c>
      <c r="AU17" s="725" t="s">
        <v>2048</v>
      </c>
      <c r="AV17" s="725">
        <v>5</v>
      </c>
      <c r="AW17" s="746" t="s">
        <v>2030</v>
      </c>
      <c r="AX17" s="725" t="s">
        <v>2034</v>
      </c>
      <c r="AY17" s="489">
        <v>4.75</v>
      </c>
      <c r="AZ17" s="725" t="s">
        <v>288</v>
      </c>
      <c r="BA17" s="489" t="s">
        <v>288</v>
      </c>
      <c r="BB17" s="489">
        <v>5000</v>
      </c>
      <c r="BC17" s="725">
        <v>42</v>
      </c>
      <c r="BD17" s="1317" t="s">
        <v>2365</v>
      </c>
      <c r="BE17" s="725">
        <v>10</v>
      </c>
      <c r="BF17" s="746" t="s">
        <v>2354</v>
      </c>
      <c r="BG17" s="725" t="s">
        <v>2357</v>
      </c>
      <c r="BH17" s="489" t="s">
        <v>1804</v>
      </c>
      <c r="BI17" s="725" t="s">
        <v>288</v>
      </c>
      <c r="BJ17" s="489" t="s">
        <v>1804</v>
      </c>
      <c r="BK17" s="489">
        <v>47.85</v>
      </c>
      <c r="BL17" s="725">
        <v>88</v>
      </c>
      <c r="BM17" s="1317" t="s">
        <v>2408</v>
      </c>
      <c r="BN17" s="725">
        <v>10</v>
      </c>
      <c r="BO17" s="746" t="s">
        <v>2510</v>
      </c>
      <c r="BP17" s="725" t="s">
        <v>2511</v>
      </c>
      <c r="BQ17" s="489" t="s">
        <v>2312</v>
      </c>
      <c r="BR17" s="725" t="s">
        <v>288</v>
      </c>
      <c r="BS17" s="489" t="s">
        <v>2312</v>
      </c>
      <c r="BT17" s="489">
        <v>251.9743</v>
      </c>
    </row>
    <row r="18" spans="1:72" s="234" customFormat="1" ht="12.6" customHeight="1" x14ac:dyDescent="0.2">
      <c r="A18" s="684">
        <v>13</v>
      </c>
      <c r="B18" s="749" t="s">
        <v>2717</v>
      </c>
      <c r="C18" s="684">
        <v>2</v>
      </c>
      <c r="D18" s="684" t="s">
        <v>2718</v>
      </c>
      <c r="E18" s="684" t="s">
        <v>2719</v>
      </c>
      <c r="F18" s="687">
        <v>11.6</v>
      </c>
      <c r="G18" s="734" t="s">
        <v>2752</v>
      </c>
      <c r="H18" s="687">
        <v>10.2399</v>
      </c>
      <c r="I18" s="687">
        <v>6640.5</v>
      </c>
      <c r="J18" s="695">
        <v>59</v>
      </c>
      <c r="K18" s="749" t="s">
        <v>1583</v>
      </c>
      <c r="L18" s="749">
        <v>10</v>
      </c>
      <c r="M18" s="687" t="s">
        <v>1538</v>
      </c>
      <c r="N18" s="687" t="s">
        <v>1584</v>
      </c>
      <c r="O18" s="687">
        <v>7.89</v>
      </c>
      <c r="P18" s="749" t="s">
        <v>2204</v>
      </c>
      <c r="Q18" s="687">
        <v>8.91</v>
      </c>
      <c r="R18" s="687">
        <v>6000</v>
      </c>
      <c r="S18" s="684">
        <v>106</v>
      </c>
      <c r="T18" s="749" t="s">
        <v>1711</v>
      </c>
      <c r="U18" s="734">
        <v>15</v>
      </c>
      <c r="V18" s="734" t="s">
        <v>1575</v>
      </c>
      <c r="W18" s="687" t="s">
        <v>1712</v>
      </c>
      <c r="X18" s="687">
        <v>12.4</v>
      </c>
      <c r="Y18" s="734" t="s">
        <v>288</v>
      </c>
      <c r="Z18" s="687">
        <v>12.4</v>
      </c>
      <c r="AA18" s="687">
        <v>150</v>
      </c>
      <c r="AB18" s="236">
        <v>152</v>
      </c>
      <c r="AC18" s="749" t="s">
        <v>1707</v>
      </c>
      <c r="AD18" s="734">
        <v>20</v>
      </c>
      <c r="AE18" s="734" t="s">
        <v>39</v>
      </c>
      <c r="AF18" s="687" t="s">
        <v>50</v>
      </c>
      <c r="AG18" s="687">
        <v>13.04</v>
      </c>
      <c r="AH18" s="734" t="s">
        <v>288</v>
      </c>
      <c r="AI18" s="687">
        <v>13.04</v>
      </c>
      <c r="AJ18" s="687">
        <v>125</v>
      </c>
      <c r="AK18" s="684">
        <v>198</v>
      </c>
      <c r="AL18" s="749" t="s">
        <v>1740</v>
      </c>
      <c r="AM18" s="734">
        <v>20</v>
      </c>
      <c r="AN18" s="734" t="s">
        <v>1741</v>
      </c>
      <c r="AO18" s="687" t="s">
        <v>1742</v>
      </c>
      <c r="AP18" s="687">
        <v>12.28</v>
      </c>
      <c r="AQ18" s="734" t="s">
        <v>288</v>
      </c>
      <c r="AR18" s="687">
        <v>12.28</v>
      </c>
      <c r="AS18" s="687">
        <v>100</v>
      </c>
      <c r="AT18" s="684">
        <v>4</v>
      </c>
      <c r="AU18" s="749" t="s">
        <v>2472</v>
      </c>
      <c r="AV18" s="734">
        <v>5</v>
      </c>
      <c r="AW18" s="734" t="s">
        <v>2470</v>
      </c>
      <c r="AX18" s="687" t="s">
        <v>2473</v>
      </c>
      <c r="AY18" s="687">
        <v>10.4</v>
      </c>
      <c r="AZ18" s="734" t="s">
        <v>288</v>
      </c>
      <c r="BA18" s="687" t="s">
        <v>288</v>
      </c>
      <c r="BB18" s="687">
        <v>1000</v>
      </c>
      <c r="BC18" s="684">
        <v>43</v>
      </c>
      <c r="BD18" s="1318" t="s">
        <v>2366</v>
      </c>
      <c r="BE18" s="734">
        <v>10</v>
      </c>
      <c r="BF18" s="734" t="s">
        <v>2354</v>
      </c>
      <c r="BG18" s="687" t="s">
        <v>2357</v>
      </c>
      <c r="BH18" s="687" t="s">
        <v>1804</v>
      </c>
      <c r="BI18" s="734" t="s">
        <v>288</v>
      </c>
      <c r="BJ18" s="687" t="s">
        <v>1804</v>
      </c>
      <c r="BK18" s="687">
        <v>69.86</v>
      </c>
      <c r="BL18" s="684">
        <v>89</v>
      </c>
      <c r="BM18" s="1318" t="s">
        <v>2360</v>
      </c>
      <c r="BN18" s="734">
        <v>10</v>
      </c>
      <c r="BO18" s="734" t="s">
        <v>2510</v>
      </c>
      <c r="BP18" s="687" t="s">
        <v>2511</v>
      </c>
      <c r="BQ18" s="687" t="s">
        <v>2312</v>
      </c>
      <c r="BR18" s="734" t="s">
        <v>288</v>
      </c>
      <c r="BS18" s="687" t="s">
        <v>2312</v>
      </c>
      <c r="BT18" s="687">
        <v>333.45920000000001</v>
      </c>
    </row>
    <row r="19" spans="1:72" s="234" customFormat="1" ht="12.6" customHeight="1" x14ac:dyDescent="0.2">
      <c r="A19" s="725">
        <v>14</v>
      </c>
      <c r="B19" s="725" t="s">
        <v>2778</v>
      </c>
      <c r="C19" s="725">
        <v>2</v>
      </c>
      <c r="D19" s="725" t="s">
        <v>2779</v>
      </c>
      <c r="E19" s="725" t="s">
        <v>2780</v>
      </c>
      <c r="F19" s="639">
        <v>10.17</v>
      </c>
      <c r="G19" s="725">
        <v>8.1024999999999991</v>
      </c>
      <c r="H19" s="639">
        <v>9.44</v>
      </c>
      <c r="I19" s="489">
        <v>6000</v>
      </c>
      <c r="J19" s="715">
        <v>60</v>
      </c>
      <c r="K19" s="715" t="s">
        <v>1771</v>
      </c>
      <c r="L19" s="715">
        <v>10</v>
      </c>
      <c r="M19" s="715" t="s">
        <v>1772</v>
      </c>
      <c r="N19" s="715" t="s">
        <v>1787</v>
      </c>
      <c r="O19" s="735">
        <v>5.63</v>
      </c>
      <c r="P19" s="715" t="s">
        <v>1779</v>
      </c>
      <c r="Q19" s="735">
        <v>5.77</v>
      </c>
      <c r="R19" s="735">
        <v>4500</v>
      </c>
      <c r="S19" s="725">
        <v>107</v>
      </c>
      <c r="T19" s="725" t="s">
        <v>1718</v>
      </c>
      <c r="U19" s="725">
        <v>15</v>
      </c>
      <c r="V19" s="746" t="s">
        <v>1581</v>
      </c>
      <c r="W19" s="725" t="s">
        <v>1719</v>
      </c>
      <c r="X19" s="489">
        <v>12.4</v>
      </c>
      <c r="Y19" s="725" t="s">
        <v>288</v>
      </c>
      <c r="Z19" s="489">
        <v>12.4</v>
      </c>
      <c r="AA19" s="489">
        <v>150</v>
      </c>
      <c r="AB19" s="725">
        <v>153</v>
      </c>
      <c r="AC19" s="725" t="s">
        <v>1713</v>
      </c>
      <c r="AD19" s="725">
        <v>20</v>
      </c>
      <c r="AE19" s="746" t="s">
        <v>40</v>
      </c>
      <c r="AF19" s="725" t="s">
        <v>51</v>
      </c>
      <c r="AG19" s="489">
        <v>13.019999999999998</v>
      </c>
      <c r="AH19" s="725" t="s">
        <v>288</v>
      </c>
      <c r="AI19" s="489">
        <v>13.019999999999998</v>
      </c>
      <c r="AJ19" s="489">
        <v>125</v>
      </c>
      <c r="AK19" s="725">
        <v>199</v>
      </c>
      <c r="AL19" s="725" t="s">
        <v>1745</v>
      </c>
      <c r="AM19" s="725">
        <v>20</v>
      </c>
      <c r="AN19" s="746" t="s">
        <v>1746</v>
      </c>
      <c r="AO19" s="725" t="s">
        <v>1747</v>
      </c>
      <c r="AP19" s="489">
        <v>12.38</v>
      </c>
      <c r="AQ19" s="725" t="s">
        <v>288</v>
      </c>
      <c r="AR19" s="489">
        <v>12.38</v>
      </c>
      <c r="AS19" s="489">
        <v>100</v>
      </c>
      <c r="AT19" s="725">
        <v>5</v>
      </c>
      <c r="AU19" s="725" t="s">
        <v>2660</v>
      </c>
      <c r="AV19" s="725">
        <v>7</v>
      </c>
      <c r="AW19" s="746" t="s">
        <v>2661</v>
      </c>
      <c r="AX19" s="725" t="s">
        <v>2662</v>
      </c>
      <c r="AY19" s="489">
        <v>9.25</v>
      </c>
      <c r="AZ19" s="725" t="s">
        <v>288</v>
      </c>
      <c r="BA19" s="489">
        <v>9.25</v>
      </c>
      <c r="BB19" s="489">
        <v>3000</v>
      </c>
      <c r="BC19" s="725">
        <v>44</v>
      </c>
      <c r="BD19" s="1317" t="s">
        <v>2363</v>
      </c>
      <c r="BE19" s="725">
        <v>10</v>
      </c>
      <c r="BF19" s="746" t="s">
        <v>2354</v>
      </c>
      <c r="BG19" s="725" t="s">
        <v>2357</v>
      </c>
      <c r="BH19" s="489" t="s">
        <v>1804</v>
      </c>
      <c r="BI19" s="725" t="s">
        <v>288</v>
      </c>
      <c r="BJ19" s="489" t="s">
        <v>1804</v>
      </c>
      <c r="BK19" s="489">
        <v>473.56</v>
      </c>
      <c r="BL19" s="725">
        <v>90</v>
      </c>
      <c r="BM19" s="1317" t="s">
        <v>2417</v>
      </c>
      <c r="BN19" s="725">
        <v>10</v>
      </c>
      <c r="BO19" s="746" t="s">
        <v>2510</v>
      </c>
      <c r="BP19" s="725" t="s">
        <v>2511</v>
      </c>
      <c r="BQ19" s="489" t="s">
        <v>2312</v>
      </c>
      <c r="BR19" s="725" t="s">
        <v>288</v>
      </c>
      <c r="BS19" s="489" t="s">
        <v>2312</v>
      </c>
      <c r="BT19" s="489">
        <v>88.062200000000004</v>
      </c>
    </row>
    <row r="20" spans="1:72" s="234" customFormat="1" ht="12.6" customHeight="1" x14ac:dyDescent="0.2">
      <c r="A20" s="684">
        <v>15</v>
      </c>
      <c r="B20" s="749" t="s">
        <v>2814</v>
      </c>
      <c r="C20" s="684">
        <v>2</v>
      </c>
      <c r="D20" s="684" t="s">
        <v>2815</v>
      </c>
      <c r="E20" s="684" t="s">
        <v>2816</v>
      </c>
      <c r="F20" s="687">
        <v>10.1</v>
      </c>
      <c r="G20" s="734" t="s">
        <v>2853</v>
      </c>
      <c r="H20" s="687">
        <v>10.719900000000001</v>
      </c>
      <c r="I20" s="687">
        <v>7500</v>
      </c>
      <c r="J20" s="695">
        <v>61</v>
      </c>
      <c r="K20" s="695" t="s">
        <v>1791</v>
      </c>
      <c r="L20" s="695">
        <v>10</v>
      </c>
      <c r="M20" s="695" t="s">
        <v>1792</v>
      </c>
      <c r="N20" s="695" t="s">
        <v>1793</v>
      </c>
      <c r="O20" s="579">
        <v>6.01</v>
      </c>
      <c r="P20" s="695" t="s">
        <v>1854</v>
      </c>
      <c r="Q20" s="579">
        <v>5.99</v>
      </c>
      <c r="R20" s="579">
        <v>4500</v>
      </c>
      <c r="S20" s="684">
        <v>108</v>
      </c>
      <c r="T20" s="749" t="s">
        <v>1724</v>
      </c>
      <c r="U20" s="734">
        <v>15</v>
      </c>
      <c r="V20" s="734" t="s">
        <v>1590</v>
      </c>
      <c r="W20" s="687" t="s">
        <v>1725</v>
      </c>
      <c r="X20" s="687">
        <v>12.42</v>
      </c>
      <c r="Y20" s="734" t="s">
        <v>288</v>
      </c>
      <c r="Z20" s="687">
        <v>12.42</v>
      </c>
      <c r="AA20" s="687">
        <v>150</v>
      </c>
      <c r="AB20" s="236">
        <v>154</v>
      </c>
      <c r="AC20" s="749" t="s">
        <v>1720</v>
      </c>
      <c r="AD20" s="734">
        <v>20</v>
      </c>
      <c r="AE20" s="734" t="s">
        <v>1</v>
      </c>
      <c r="AF20" s="687" t="s">
        <v>42</v>
      </c>
      <c r="AG20" s="687">
        <v>13</v>
      </c>
      <c r="AH20" s="734" t="s">
        <v>288</v>
      </c>
      <c r="AI20" s="687">
        <v>13</v>
      </c>
      <c r="AJ20" s="687">
        <v>125</v>
      </c>
      <c r="AK20" s="684">
        <v>200</v>
      </c>
      <c r="AL20" s="749" t="s">
        <v>1751</v>
      </c>
      <c r="AM20" s="734">
        <v>20</v>
      </c>
      <c r="AN20" s="734" t="s">
        <v>1752</v>
      </c>
      <c r="AO20" s="687" t="s">
        <v>1753</v>
      </c>
      <c r="AP20" s="687">
        <v>12.48</v>
      </c>
      <c r="AQ20" s="734" t="s">
        <v>288</v>
      </c>
      <c r="AR20" s="687">
        <v>12.48</v>
      </c>
      <c r="AS20" s="687">
        <v>100</v>
      </c>
      <c r="AT20" s="684">
        <v>6</v>
      </c>
      <c r="AU20" s="749" t="s">
        <v>2709</v>
      </c>
      <c r="AV20" s="734">
        <v>7</v>
      </c>
      <c r="AW20" s="734" t="s">
        <v>2710</v>
      </c>
      <c r="AX20" s="687" t="s">
        <v>2711</v>
      </c>
      <c r="AY20" s="687">
        <v>10.050000000000001</v>
      </c>
      <c r="AZ20" s="734" t="s">
        <v>288</v>
      </c>
      <c r="BA20" s="687">
        <v>10.050000000000001</v>
      </c>
      <c r="BB20" s="687">
        <v>2000</v>
      </c>
      <c r="BC20" s="695">
        <v>45</v>
      </c>
      <c r="BD20" s="1318" t="s">
        <v>2403</v>
      </c>
      <c r="BE20" s="695">
        <v>8</v>
      </c>
      <c r="BF20" s="695" t="s">
        <v>1832</v>
      </c>
      <c r="BG20" s="695" t="s">
        <v>2400</v>
      </c>
      <c r="BH20" s="1026" t="s">
        <v>2312</v>
      </c>
      <c r="BI20" s="695" t="s">
        <v>288</v>
      </c>
      <c r="BJ20" s="1349" t="s">
        <v>2312</v>
      </c>
      <c r="BK20" s="579">
        <v>511.65</v>
      </c>
      <c r="BL20" s="695">
        <v>91</v>
      </c>
      <c r="BM20" s="1318" t="s">
        <v>2428</v>
      </c>
      <c r="BN20" s="695">
        <v>9</v>
      </c>
      <c r="BO20" s="695" t="s">
        <v>2550</v>
      </c>
      <c r="BP20" s="695" t="s">
        <v>2551</v>
      </c>
      <c r="BQ20" s="1026" t="s">
        <v>2312</v>
      </c>
      <c r="BR20" s="695" t="s">
        <v>288</v>
      </c>
      <c r="BS20" s="1349" t="s">
        <v>2312</v>
      </c>
      <c r="BT20" s="579">
        <v>92.1</v>
      </c>
    </row>
    <row r="21" spans="1:72" s="234" customFormat="1" ht="12.6" customHeight="1" x14ac:dyDescent="0.2">
      <c r="A21" s="725">
        <v>16</v>
      </c>
      <c r="B21" s="725" t="s">
        <v>2540</v>
      </c>
      <c r="C21" s="725">
        <v>3</v>
      </c>
      <c r="D21" s="725" t="s">
        <v>2538</v>
      </c>
      <c r="E21" s="725" t="s">
        <v>2541</v>
      </c>
      <c r="F21" s="639">
        <v>13.26</v>
      </c>
      <c r="G21" s="725" t="s">
        <v>2581</v>
      </c>
      <c r="H21" s="639">
        <v>13.18</v>
      </c>
      <c r="I21" s="489">
        <v>929.76</v>
      </c>
      <c r="J21" s="715">
        <v>62</v>
      </c>
      <c r="K21" s="715" t="s">
        <v>1801</v>
      </c>
      <c r="L21" s="715">
        <v>10</v>
      </c>
      <c r="M21" s="715" t="s">
        <v>1802</v>
      </c>
      <c r="N21" s="715" t="s">
        <v>1803</v>
      </c>
      <c r="O21" s="735">
        <v>5.8</v>
      </c>
      <c r="P21" s="715" t="s">
        <v>1816</v>
      </c>
      <c r="Q21" s="735">
        <v>5.38</v>
      </c>
      <c r="R21" s="735">
        <v>4500</v>
      </c>
      <c r="S21" s="725">
        <v>109</v>
      </c>
      <c r="T21" s="725" t="s">
        <v>1731</v>
      </c>
      <c r="U21" s="725">
        <v>15</v>
      </c>
      <c r="V21" s="746" t="s">
        <v>1595</v>
      </c>
      <c r="W21" s="725" t="s">
        <v>1732</v>
      </c>
      <c r="X21" s="489">
        <v>12.42</v>
      </c>
      <c r="Y21" s="725" t="s">
        <v>288</v>
      </c>
      <c r="Z21" s="489">
        <v>12.42</v>
      </c>
      <c r="AA21" s="489">
        <v>150</v>
      </c>
      <c r="AB21" s="725">
        <v>155</v>
      </c>
      <c r="AC21" s="725" t="s">
        <v>1726</v>
      </c>
      <c r="AD21" s="725">
        <v>20</v>
      </c>
      <c r="AE21" s="746" t="s">
        <v>2</v>
      </c>
      <c r="AF21" s="725" t="s">
        <v>3</v>
      </c>
      <c r="AG21" s="489">
        <v>12.990000000000002</v>
      </c>
      <c r="AH21" s="725" t="s">
        <v>288</v>
      </c>
      <c r="AI21" s="489">
        <v>12.990000000000002</v>
      </c>
      <c r="AJ21" s="489">
        <v>125</v>
      </c>
      <c r="AK21" s="725">
        <v>201</v>
      </c>
      <c r="AL21" s="725" t="s">
        <v>1757</v>
      </c>
      <c r="AM21" s="725">
        <v>20</v>
      </c>
      <c r="AN21" s="746" t="s">
        <v>1758</v>
      </c>
      <c r="AO21" s="725" t="s">
        <v>1759</v>
      </c>
      <c r="AP21" s="489">
        <v>12.479999999999999</v>
      </c>
      <c r="AQ21" s="725" t="s">
        <v>288</v>
      </c>
      <c r="AR21" s="489">
        <v>12.479999999999999</v>
      </c>
      <c r="AS21" s="489">
        <v>100</v>
      </c>
      <c r="AT21" s="1524" t="s">
        <v>1904</v>
      </c>
      <c r="AU21" s="1524"/>
      <c r="AV21" s="1524"/>
      <c r="AW21" s="1524"/>
      <c r="AX21" s="1524"/>
      <c r="AY21" s="1524"/>
      <c r="AZ21" s="725"/>
      <c r="BA21" s="489"/>
      <c r="BB21" s="489"/>
      <c r="BC21" s="715">
        <v>46</v>
      </c>
      <c r="BD21" s="1317" t="s">
        <v>2404</v>
      </c>
      <c r="BE21" s="715">
        <v>8</v>
      </c>
      <c r="BF21" s="715" t="s">
        <v>1832</v>
      </c>
      <c r="BG21" s="715" t="s">
        <v>2400</v>
      </c>
      <c r="BH21" s="1027" t="s">
        <v>2312</v>
      </c>
      <c r="BI21" s="715" t="s">
        <v>288</v>
      </c>
      <c r="BJ21" s="1350" t="s">
        <v>2312</v>
      </c>
      <c r="BK21" s="735">
        <v>373.47250000000003</v>
      </c>
      <c r="BL21" s="715">
        <v>92</v>
      </c>
      <c r="BM21" s="1317" t="s">
        <v>2548</v>
      </c>
      <c r="BN21" s="715">
        <v>9</v>
      </c>
      <c r="BO21" s="715" t="s">
        <v>2550</v>
      </c>
      <c r="BP21" s="715" t="s">
        <v>2551</v>
      </c>
      <c r="BQ21" s="1027" t="s">
        <v>2312</v>
      </c>
      <c r="BR21" s="715" t="s">
        <v>288</v>
      </c>
      <c r="BS21" s="1350" t="s">
        <v>2312</v>
      </c>
      <c r="BT21" s="735">
        <v>16.989999999999998</v>
      </c>
    </row>
    <row r="22" spans="1:72" s="234" customFormat="1" ht="12.6" customHeight="1" x14ac:dyDescent="0.2">
      <c r="A22" s="684">
        <v>17</v>
      </c>
      <c r="B22" s="749" t="s">
        <v>2597</v>
      </c>
      <c r="C22" s="684">
        <v>3</v>
      </c>
      <c r="D22" s="684" t="s">
        <v>2598</v>
      </c>
      <c r="E22" s="684" t="s">
        <v>2599</v>
      </c>
      <c r="F22" s="687">
        <v>13.19</v>
      </c>
      <c r="G22" s="734" t="s">
        <v>288</v>
      </c>
      <c r="H22" s="687">
        <v>13.19</v>
      </c>
      <c r="I22" s="687">
        <v>300</v>
      </c>
      <c r="J22" s="695">
        <v>63</v>
      </c>
      <c r="K22" s="695" t="s">
        <v>1855</v>
      </c>
      <c r="L22" s="695">
        <v>10</v>
      </c>
      <c r="M22" s="695" t="s">
        <v>1856</v>
      </c>
      <c r="N22" s="695" t="s">
        <v>1857</v>
      </c>
      <c r="O22" s="579">
        <v>5.4</v>
      </c>
      <c r="P22" s="695" t="s">
        <v>1859</v>
      </c>
      <c r="Q22" s="579">
        <v>6.33</v>
      </c>
      <c r="R22" s="579">
        <v>4000</v>
      </c>
      <c r="S22" s="684">
        <v>110</v>
      </c>
      <c r="T22" s="749" t="s">
        <v>1738</v>
      </c>
      <c r="U22" s="734">
        <v>15</v>
      </c>
      <c r="V22" s="734" t="s">
        <v>1602</v>
      </c>
      <c r="W22" s="687" t="s">
        <v>1797</v>
      </c>
      <c r="X22" s="687">
        <v>12.29</v>
      </c>
      <c r="Y22" s="734" t="s">
        <v>288</v>
      </c>
      <c r="Z22" s="687">
        <v>12.29</v>
      </c>
      <c r="AA22" s="687">
        <v>150</v>
      </c>
      <c r="AB22" s="236">
        <v>156</v>
      </c>
      <c r="AC22" s="749" t="s">
        <v>1733</v>
      </c>
      <c r="AD22" s="734">
        <v>20</v>
      </c>
      <c r="AE22" s="734" t="s">
        <v>4</v>
      </c>
      <c r="AF22" s="687" t="s">
        <v>5</v>
      </c>
      <c r="AG22" s="687">
        <v>12.98</v>
      </c>
      <c r="AH22" s="734" t="s">
        <v>288</v>
      </c>
      <c r="AI22" s="687">
        <v>12.98</v>
      </c>
      <c r="AJ22" s="687">
        <v>150</v>
      </c>
      <c r="AK22" s="684">
        <v>202</v>
      </c>
      <c r="AL22" s="749" t="s">
        <v>1763</v>
      </c>
      <c r="AM22" s="734">
        <v>20</v>
      </c>
      <c r="AN22" s="734" t="s">
        <v>1764</v>
      </c>
      <c r="AO22" s="687" t="s">
        <v>1765</v>
      </c>
      <c r="AP22" s="687">
        <v>12.479999999999999</v>
      </c>
      <c r="AQ22" s="734" t="s">
        <v>288</v>
      </c>
      <c r="AR22" s="687">
        <v>12.479999999999999</v>
      </c>
      <c r="AS22" s="687">
        <v>100</v>
      </c>
      <c r="AT22" s="684">
        <v>1</v>
      </c>
      <c r="AU22" s="1417" t="s">
        <v>2136</v>
      </c>
      <c r="AV22" s="734">
        <v>3</v>
      </c>
      <c r="AW22" s="734" t="s">
        <v>2137</v>
      </c>
      <c r="AX22" s="687" t="s">
        <v>2138</v>
      </c>
      <c r="AY22" s="687" t="s">
        <v>1804</v>
      </c>
      <c r="AZ22" s="734" t="s">
        <v>288</v>
      </c>
      <c r="BA22" s="687" t="s">
        <v>1804</v>
      </c>
      <c r="BB22" s="687">
        <v>4.2278000000000002</v>
      </c>
      <c r="BC22" s="695">
        <v>47</v>
      </c>
      <c r="BD22" s="1318" t="s">
        <v>2405</v>
      </c>
      <c r="BE22" s="695">
        <v>8</v>
      </c>
      <c r="BF22" s="579" t="s">
        <v>2401</v>
      </c>
      <c r="BG22" s="695" t="s">
        <v>2411</v>
      </c>
      <c r="BH22" s="1026" t="s">
        <v>2312</v>
      </c>
      <c r="BI22" s="695" t="s">
        <v>288</v>
      </c>
      <c r="BJ22" s="1349" t="s">
        <v>2312</v>
      </c>
      <c r="BK22" s="579">
        <v>42.789400000000001</v>
      </c>
      <c r="BL22" s="695">
        <v>93</v>
      </c>
      <c r="BM22" s="1318" t="s">
        <v>2549</v>
      </c>
      <c r="BN22" s="695">
        <v>9</v>
      </c>
      <c r="BO22" s="579" t="s">
        <v>2550</v>
      </c>
      <c r="BP22" s="695" t="s">
        <v>2551</v>
      </c>
      <c r="BQ22" s="1026" t="s">
        <v>2312</v>
      </c>
      <c r="BR22" s="695" t="s">
        <v>288</v>
      </c>
      <c r="BS22" s="1349" t="s">
        <v>2312</v>
      </c>
      <c r="BT22" s="579">
        <v>860.16669999999999</v>
      </c>
    </row>
    <row r="23" spans="1:72" s="234" customFormat="1" ht="12.6" customHeight="1" x14ac:dyDescent="0.2">
      <c r="A23" s="725">
        <v>18</v>
      </c>
      <c r="B23" s="725" t="s">
        <v>2612</v>
      </c>
      <c r="C23" s="725">
        <v>3</v>
      </c>
      <c r="D23" s="725" t="s">
        <v>2610</v>
      </c>
      <c r="E23" s="725" t="s">
        <v>2613</v>
      </c>
      <c r="F23" s="639">
        <v>13.19</v>
      </c>
      <c r="G23" s="725" t="s">
        <v>2671</v>
      </c>
      <c r="H23" s="639">
        <v>13.15</v>
      </c>
      <c r="I23" s="489">
        <v>1888.36</v>
      </c>
      <c r="J23" s="715">
        <v>64</v>
      </c>
      <c r="K23" s="715" t="s">
        <v>1880</v>
      </c>
      <c r="L23" s="715">
        <v>10</v>
      </c>
      <c r="M23" s="715" t="s">
        <v>1881</v>
      </c>
      <c r="N23" s="715" t="s">
        <v>1882</v>
      </c>
      <c r="O23" s="735">
        <v>6.8</v>
      </c>
      <c r="P23" s="715" t="s">
        <v>1918</v>
      </c>
      <c r="Q23" s="735">
        <v>7.4</v>
      </c>
      <c r="R23" s="735">
        <v>4500</v>
      </c>
      <c r="S23" s="725">
        <v>111</v>
      </c>
      <c r="T23" s="725" t="s">
        <v>2460</v>
      </c>
      <c r="U23" s="725">
        <v>15</v>
      </c>
      <c r="V23" s="746" t="s">
        <v>995</v>
      </c>
      <c r="W23" s="725" t="s">
        <v>2461</v>
      </c>
      <c r="X23" s="489">
        <v>12.29</v>
      </c>
      <c r="Y23" s="725" t="s">
        <v>288</v>
      </c>
      <c r="Z23" s="489">
        <v>12.29</v>
      </c>
      <c r="AA23" s="489">
        <v>150</v>
      </c>
      <c r="AB23" s="725">
        <v>157</v>
      </c>
      <c r="AC23" s="725" t="s">
        <v>1739</v>
      </c>
      <c r="AD23" s="725">
        <v>20</v>
      </c>
      <c r="AE23" s="746" t="s">
        <v>6</v>
      </c>
      <c r="AF23" s="725" t="s">
        <v>7</v>
      </c>
      <c r="AG23" s="489">
        <v>11.48</v>
      </c>
      <c r="AH23" s="725" t="s">
        <v>288</v>
      </c>
      <c r="AI23" s="489">
        <v>11.48</v>
      </c>
      <c r="AJ23" s="489">
        <v>150</v>
      </c>
      <c r="AK23" s="725">
        <v>203</v>
      </c>
      <c r="AL23" s="725" t="s">
        <v>1560</v>
      </c>
      <c r="AM23" s="725">
        <v>20</v>
      </c>
      <c r="AN23" s="746" t="s">
        <v>1561</v>
      </c>
      <c r="AO23" s="725" t="s">
        <v>1562</v>
      </c>
      <c r="AP23" s="489">
        <v>12.47</v>
      </c>
      <c r="AQ23" s="725" t="s">
        <v>288</v>
      </c>
      <c r="AR23" s="489">
        <v>12.47</v>
      </c>
      <c r="AS23" s="489">
        <v>100</v>
      </c>
      <c r="AT23" s="725">
        <v>2</v>
      </c>
      <c r="AU23" s="1313" t="s">
        <v>1807</v>
      </c>
      <c r="AV23" s="725">
        <v>7</v>
      </c>
      <c r="AW23" s="746" t="s">
        <v>1805</v>
      </c>
      <c r="AX23" s="725" t="s">
        <v>1806</v>
      </c>
      <c r="AY23" s="489">
        <v>5</v>
      </c>
      <c r="AZ23" s="725" t="s">
        <v>288</v>
      </c>
      <c r="BA23" s="489">
        <v>5</v>
      </c>
      <c r="BB23" s="489">
        <v>1438.54</v>
      </c>
      <c r="BC23" s="715">
        <v>48</v>
      </c>
      <c r="BD23" s="1317" t="s">
        <v>2406</v>
      </c>
      <c r="BE23" s="715">
        <v>9</v>
      </c>
      <c r="BF23" s="715" t="s">
        <v>1832</v>
      </c>
      <c r="BG23" s="715" t="s">
        <v>2412</v>
      </c>
      <c r="BH23" s="1027" t="s">
        <v>2312</v>
      </c>
      <c r="BI23" s="715" t="s">
        <v>288</v>
      </c>
      <c r="BJ23" s="1350" t="s">
        <v>2312</v>
      </c>
      <c r="BK23" s="735">
        <v>2351.3143</v>
      </c>
      <c r="BL23" s="715">
        <v>94</v>
      </c>
      <c r="BM23" s="1317" t="s">
        <v>2429</v>
      </c>
      <c r="BN23" s="715">
        <v>9</v>
      </c>
      <c r="BO23" s="715" t="s">
        <v>2550</v>
      </c>
      <c r="BP23" s="715" t="s">
        <v>2551</v>
      </c>
      <c r="BQ23" s="1027" t="s">
        <v>2312</v>
      </c>
      <c r="BR23" s="715" t="s">
        <v>288</v>
      </c>
      <c r="BS23" s="1350" t="s">
        <v>2312</v>
      </c>
      <c r="BT23" s="735">
        <v>561.82989999999995</v>
      </c>
    </row>
    <row r="24" spans="1:72" s="234" customFormat="1" ht="12.6" customHeight="1" x14ac:dyDescent="0.2">
      <c r="A24" s="684">
        <v>19</v>
      </c>
      <c r="B24" s="749" t="s">
        <v>2688</v>
      </c>
      <c r="C24" s="684">
        <v>3</v>
      </c>
      <c r="D24" s="684" t="s">
        <v>2686</v>
      </c>
      <c r="E24" s="684" t="s">
        <v>2689</v>
      </c>
      <c r="F24" s="687">
        <v>12.94</v>
      </c>
      <c r="G24" s="734" t="s">
        <v>288</v>
      </c>
      <c r="H24" s="687">
        <v>12.94</v>
      </c>
      <c r="I24" s="687">
        <v>500</v>
      </c>
      <c r="J24" s="695">
        <v>65</v>
      </c>
      <c r="K24" s="695" t="s">
        <v>1995</v>
      </c>
      <c r="L24" s="695">
        <v>10</v>
      </c>
      <c r="M24" s="695" t="s">
        <v>1996</v>
      </c>
      <c r="N24" s="695" t="s">
        <v>1997</v>
      </c>
      <c r="O24" s="579">
        <v>7.1</v>
      </c>
      <c r="P24" s="695" t="s">
        <v>2030</v>
      </c>
      <c r="Q24" s="579">
        <v>7.75</v>
      </c>
      <c r="R24" s="579">
        <v>4500</v>
      </c>
      <c r="S24" s="684">
        <v>112</v>
      </c>
      <c r="T24" s="749" t="s">
        <v>1749</v>
      </c>
      <c r="U24" s="734">
        <v>15</v>
      </c>
      <c r="V24" s="734" t="s">
        <v>998</v>
      </c>
      <c r="W24" s="687" t="s">
        <v>1000</v>
      </c>
      <c r="X24" s="687">
        <v>12.2</v>
      </c>
      <c r="Y24" s="734" t="s">
        <v>288</v>
      </c>
      <c r="Z24" s="687">
        <v>12.2</v>
      </c>
      <c r="AA24" s="687">
        <v>150</v>
      </c>
      <c r="AB24" s="236">
        <v>158</v>
      </c>
      <c r="AC24" s="749" t="s">
        <v>1744</v>
      </c>
      <c r="AD24" s="734">
        <v>20</v>
      </c>
      <c r="AE24" s="734" t="s">
        <v>8</v>
      </c>
      <c r="AF24" s="687" t="s">
        <v>9</v>
      </c>
      <c r="AG24" s="687">
        <v>11.09</v>
      </c>
      <c r="AH24" s="734" t="s">
        <v>288</v>
      </c>
      <c r="AI24" s="687">
        <v>11.09</v>
      </c>
      <c r="AJ24" s="687">
        <v>133.19999999999999</v>
      </c>
      <c r="AK24" s="684">
        <v>204</v>
      </c>
      <c r="AL24" s="749" t="s">
        <v>1566</v>
      </c>
      <c r="AM24" s="734">
        <v>20</v>
      </c>
      <c r="AN24" s="734" t="s">
        <v>1567</v>
      </c>
      <c r="AO24" s="687" t="s">
        <v>1568</v>
      </c>
      <c r="AP24" s="687">
        <v>12.479999999999999</v>
      </c>
      <c r="AQ24" s="734" t="s">
        <v>288</v>
      </c>
      <c r="AR24" s="687">
        <v>12.479999999999999</v>
      </c>
      <c r="AS24" s="687">
        <v>100</v>
      </c>
      <c r="AT24" s="684">
        <v>3</v>
      </c>
      <c r="AU24" s="1417" t="s">
        <v>1807</v>
      </c>
      <c r="AV24" s="734">
        <v>7</v>
      </c>
      <c r="AW24" s="734" t="s">
        <v>1805</v>
      </c>
      <c r="AX24" s="687" t="s">
        <v>1806</v>
      </c>
      <c r="AY24" s="687" t="s">
        <v>1804</v>
      </c>
      <c r="AZ24" s="734" t="s">
        <v>288</v>
      </c>
      <c r="BA24" s="687" t="s">
        <v>1804</v>
      </c>
      <c r="BB24" s="687">
        <v>554</v>
      </c>
      <c r="BC24" s="695">
        <v>49</v>
      </c>
      <c r="BD24" s="1318" t="s">
        <v>2407</v>
      </c>
      <c r="BE24" s="695">
        <v>8</v>
      </c>
      <c r="BF24" s="695" t="s">
        <v>1832</v>
      </c>
      <c r="BG24" s="695" t="s">
        <v>2400</v>
      </c>
      <c r="BH24" s="1026" t="s">
        <v>2312</v>
      </c>
      <c r="BI24" s="695" t="s">
        <v>288</v>
      </c>
      <c r="BJ24" s="1349" t="s">
        <v>2312</v>
      </c>
      <c r="BK24" s="579">
        <v>37.255499999999998</v>
      </c>
      <c r="BL24" s="695">
        <v>95</v>
      </c>
      <c r="BM24" s="1318" t="s">
        <v>2426</v>
      </c>
      <c r="BN24" s="695">
        <v>9</v>
      </c>
      <c r="BO24" s="695" t="s">
        <v>2550</v>
      </c>
      <c r="BP24" s="695" t="s">
        <v>2551</v>
      </c>
      <c r="BQ24" s="1026" t="s">
        <v>2312</v>
      </c>
      <c r="BR24" s="695" t="s">
        <v>288</v>
      </c>
      <c r="BS24" s="1349" t="s">
        <v>2312</v>
      </c>
      <c r="BT24" s="579">
        <v>176.00030000000001</v>
      </c>
    </row>
    <row r="25" spans="1:72" s="234" customFormat="1" ht="12.6" customHeight="1" x14ac:dyDescent="0.2">
      <c r="A25" s="725">
        <v>20</v>
      </c>
      <c r="B25" s="725" t="s">
        <v>2701</v>
      </c>
      <c r="C25" s="725">
        <v>3</v>
      </c>
      <c r="D25" s="725" t="s">
        <v>2702</v>
      </c>
      <c r="E25" s="725" t="s">
        <v>2704</v>
      </c>
      <c r="F25" s="639">
        <v>13.19</v>
      </c>
      <c r="G25" s="725" t="s">
        <v>288</v>
      </c>
      <c r="H25" s="639">
        <v>13.19</v>
      </c>
      <c r="I25" s="489">
        <v>500</v>
      </c>
      <c r="J25" s="715">
        <v>66</v>
      </c>
      <c r="K25" s="715" t="s">
        <v>2036</v>
      </c>
      <c r="L25" s="715">
        <v>10</v>
      </c>
      <c r="M25" s="735" t="s">
        <v>2037</v>
      </c>
      <c r="N25" s="735" t="s">
        <v>2038</v>
      </c>
      <c r="O25" s="735">
        <v>8</v>
      </c>
      <c r="P25" s="715" t="s">
        <v>2107</v>
      </c>
      <c r="Q25" s="735">
        <v>8.17</v>
      </c>
      <c r="R25" s="735">
        <v>4300</v>
      </c>
      <c r="S25" s="725">
        <v>113</v>
      </c>
      <c r="T25" s="725" t="s">
        <v>1755</v>
      </c>
      <c r="U25" s="725">
        <v>15</v>
      </c>
      <c r="V25" s="746" t="s">
        <v>1001</v>
      </c>
      <c r="W25" s="725" t="s">
        <v>1003</v>
      </c>
      <c r="X25" s="489">
        <v>12.1</v>
      </c>
      <c r="Y25" s="725" t="s">
        <v>288</v>
      </c>
      <c r="Z25" s="489">
        <v>12.1</v>
      </c>
      <c r="AA25" s="489">
        <v>150</v>
      </c>
      <c r="AB25" s="725">
        <v>159</v>
      </c>
      <c r="AC25" s="725" t="s">
        <v>1750</v>
      </c>
      <c r="AD25" s="725">
        <v>20</v>
      </c>
      <c r="AE25" s="746" t="s">
        <v>10</v>
      </c>
      <c r="AF25" s="725" t="s">
        <v>11</v>
      </c>
      <c r="AG25" s="489">
        <v>10.07</v>
      </c>
      <c r="AH25" s="725" t="s">
        <v>288</v>
      </c>
      <c r="AI25" s="489">
        <v>10.07</v>
      </c>
      <c r="AJ25" s="489">
        <v>80</v>
      </c>
      <c r="AK25" s="725">
        <v>205</v>
      </c>
      <c r="AL25" s="725" t="s">
        <v>1574</v>
      </c>
      <c r="AM25" s="725">
        <v>20</v>
      </c>
      <c r="AN25" s="746" t="s">
        <v>1575</v>
      </c>
      <c r="AO25" s="725" t="s">
        <v>1576</v>
      </c>
      <c r="AP25" s="489">
        <v>12.479999999999999</v>
      </c>
      <c r="AQ25" s="725" t="s">
        <v>288</v>
      </c>
      <c r="AR25" s="489">
        <v>12.479999999999999</v>
      </c>
      <c r="AS25" s="489">
        <v>150</v>
      </c>
      <c r="AT25" s="725">
        <v>4</v>
      </c>
      <c r="AU25" s="1313" t="s">
        <v>2309</v>
      </c>
      <c r="AV25" s="725">
        <v>8</v>
      </c>
      <c r="AW25" s="746" t="s">
        <v>2310</v>
      </c>
      <c r="AX25" s="725" t="s">
        <v>2311</v>
      </c>
      <c r="AY25" s="489" t="s">
        <v>2312</v>
      </c>
      <c r="AZ25" s="725" t="s">
        <v>288</v>
      </c>
      <c r="BA25" s="489" t="s">
        <v>2312</v>
      </c>
      <c r="BB25" s="489">
        <v>459.26</v>
      </c>
      <c r="BC25" s="715">
        <v>50</v>
      </c>
      <c r="BD25" s="1317" t="s">
        <v>2408</v>
      </c>
      <c r="BE25" s="715">
        <v>10</v>
      </c>
      <c r="BF25" s="715" t="s">
        <v>2402</v>
      </c>
      <c r="BG25" s="715" t="s">
        <v>1010</v>
      </c>
      <c r="BH25" s="1027" t="s">
        <v>2312</v>
      </c>
      <c r="BI25" s="715" t="s">
        <v>288</v>
      </c>
      <c r="BJ25" s="1350" t="s">
        <v>2312</v>
      </c>
      <c r="BK25" s="735">
        <v>479.90859999999998</v>
      </c>
      <c r="BL25" s="715">
        <v>96</v>
      </c>
      <c r="BM25" s="1317" t="s">
        <v>2552</v>
      </c>
      <c r="BN25" s="715">
        <v>9</v>
      </c>
      <c r="BO25" s="715" t="s">
        <v>2550</v>
      </c>
      <c r="BP25" s="715" t="s">
        <v>2551</v>
      </c>
      <c r="BQ25" s="1027" t="s">
        <v>2312</v>
      </c>
      <c r="BR25" s="715" t="s">
        <v>288</v>
      </c>
      <c r="BS25" s="1350" t="s">
        <v>2312</v>
      </c>
      <c r="BT25" s="735">
        <v>100</v>
      </c>
    </row>
    <row r="26" spans="1:72" s="153" customFormat="1" ht="12.6" customHeight="1" x14ac:dyDescent="0.2">
      <c r="A26" s="684">
        <v>21</v>
      </c>
      <c r="B26" s="749" t="s">
        <v>2720</v>
      </c>
      <c r="C26" s="684">
        <v>3</v>
      </c>
      <c r="D26" s="684" t="s">
        <v>2718</v>
      </c>
      <c r="E26" s="684" t="s">
        <v>2721</v>
      </c>
      <c r="F26" s="687">
        <v>12.92</v>
      </c>
      <c r="G26" s="734" t="s">
        <v>2779</v>
      </c>
      <c r="H26" s="687">
        <v>11.75</v>
      </c>
      <c r="I26" s="687">
        <v>1500</v>
      </c>
      <c r="J26" s="695">
        <v>67</v>
      </c>
      <c r="K26" s="695" t="s">
        <v>2058</v>
      </c>
      <c r="L26" s="695">
        <v>10</v>
      </c>
      <c r="M26" s="579" t="s">
        <v>2059</v>
      </c>
      <c r="N26" s="579" t="s">
        <v>2060</v>
      </c>
      <c r="O26" s="579">
        <v>8.1</v>
      </c>
      <c r="P26" s="695" t="s">
        <v>2071</v>
      </c>
      <c r="Q26" s="579">
        <v>7.89</v>
      </c>
      <c r="R26" s="579">
        <v>4500</v>
      </c>
      <c r="S26" s="684">
        <v>114</v>
      </c>
      <c r="T26" s="749" t="s">
        <v>1761</v>
      </c>
      <c r="U26" s="734">
        <v>15</v>
      </c>
      <c r="V26" s="734" t="s">
        <v>1005</v>
      </c>
      <c r="W26" s="687" t="s">
        <v>1006</v>
      </c>
      <c r="X26" s="687">
        <v>12</v>
      </c>
      <c r="Y26" s="734" t="s">
        <v>288</v>
      </c>
      <c r="Z26" s="687">
        <v>12</v>
      </c>
      <c r="AA26" s="687">
        <v>350</v>
      </c>
      <c r="AB26" s="236">
        <v>160</v>
      </c>
      <c r="AC26" s="749" t="s">
        <v>1756</v>
      </c>
      <c r="AD26" s="734">
        <v>20</v>
      </c>
      <c r="AE26" s="734" t="s">
        <v>12</v>
      </c>
      <c r="AF26" s="687" t="s">
        <v>13</v>
      </c>
      <c r="AG26" s="687">
        <v>8.9700000000000006</v>
      </c>
      <c r="AH26" s="734" t="s">
        <v>288</v>
      </c>
      <c r="AI26" s="687">
        <v>8.9700000000000006</v>
      </c>
      <c r="AJ26" s="687">
        <v>125</v>
      </c>
      <c r="AK26" s="684">
        <v>206</v>
      </c>
      <c r="AL26" s="749" t="s">
        <v>1580</v>
      </c>
      <c r="AM26" s="734">
        <v>20</v>
      </c>
      <c r="AN26" s="734" t="s">
        <v>1581</v>
      </c>
      <c r="AO26" s="687" t="s">
        <v>1582</v>
      </c>
      <c r="AP26" s="687">
        <v>12.479999999999999</v>
      </c>
      <c r="AQ26" s="734" t="s">
        <v>288</v>
      </c>
      <c r="AR26" s="687">
        <v>12.479999999999999</v>
      </c>
      <c r="AS26" s="687">
        <v>150</v>
      </c>
      <c r="AT26" s="684">
        <v>5</v>
      </c>
      <c r="AU26" s="1417" t="s">
        <v>2313</v>
      </c>
      <c r="AV26" s="734">
        <v>9</v>
      </c>
      <c r="AW26" s="734" t="s">
        <v>2310</v>
      </c>
      <c r="AX26" s="687" t="s">
        <v>2314</v>
      </c>
      <c r="AY26" s="687" t="s">
        <v>2312</v>
      </c>
      <c r="AZ26" s="734" t="s">
        <v>288</v>
      </c>
      <c r="BA26" s="687" t="s">
        <v>2312</v>
      </c>
      <c r="BB26" s="687">
        <v>2557.0700000000002</v>
      </c>
      <c r="BC26" s="734">
        <v>51</v>
      </c>
      <c r="BD26" s="1318" t="s">
        <v>2409</v>
      </c>
      <c r="BE26" s="695">
        <v>10</v>
      </c>
      <c r="BF26" s="695" t="s">
        <v>2402</v>
      </c>
      <c r="BG26" s="695" t="s">
        <v>1010</v>
      </c>
      <c r="BH26" s="1026" t="s">
        <v>2312</v>
      </c>
      <c r="BI26" s="695" t="s">
        <v>288</v>
      </c>
      <c r="BJ26" s="1349" t="s">
        <v>2312</v>
      </c>
      <c r="BK26" s="579">
        <v>391.9316</v>
      </c>
      <c r="BL26" s="734">
        <v>97</v>
      </c>
      <c r="BM26" s="1318" t="s">
        <v>2553</v>
      </c>
      <c r="BN26" s="695">
        <v>9</v>
      </c>
      <c r="BO26" s="695" t="s">
        <v>2550</v>
      </c>
      <c r="BP26" s="695" t="s">
        <v>2551</v>
      </c>
      <c r="BQ26" s="1026" t="s">
        <v>2312</v>
      </c>
      <c r="BR26" s="695" t="s">
        <v>288</v>
      </c>
      <c r="BS26" s="1349" t="s">
        <v>2312</v>
      </c>
      <c r="BT26" s="579">
        <v>25</v>
      </c>
    </row>
    <row r="27" spans="1:72" s="153" customFormat="1" ht="12.6" customHeight="1" x14ac:dyDescent="0.2">
      <c r="A27" s="725">
        <v>22</v>
      </c>
      <c r="B27" s="725" t="s">
        <v>2792</v>
      </c>
      <c r="C27" s="725">
        <v>3</v>
      </c>
      <c r="D27" s="725" t="s">
        <v>2793</v>
      </c>
      <c r="E27" s="725" t="s">
        <v>2794</v>
      </c>
      <c r="F27" s="639">
        <v>10.7</v>
      </c>
      <c r="G27" s="725" t="s">
        <v>2853</v>
      </c>
      <c r="H27" s="639">
        <v>11.0846</v>
      </c>
      <c r="I27" s="489">
        <v>1500.12</v>
      </c>
      <c r="J27" s="715">
        <v>68</v>
      </c>
      <c r="K27" s="715" t="s">
        <v>2109</v>
      </c>
      <c r="L27" s="715">
        <v>10</v>
      </c>
      <c r="M27" s="715" t="s">
        <v>2110</v>
      </c>
      <c r="N27" s="715" t="s">
        <v>2111</v>
      </c>
      <c r="O27" s="735">
        <v>8.1</v>
      </c>
      <c r="P27" s="715" t="s">
        <v>2274</v>
      </c>
      <c r="Q27" s="735">
        <v>11.9</v>
      </c>
      <c r="R27" s="735">
        <v>5445.45</v>
      </c>
      <c r="S27" s="725">
        <v>115</v>
      </c>
      <c r="T27" s="725" t="s">
        <v>1558</v>
      </c>
      <c r="U27" s="725">
        <v>15</v>
      </c>
      <c r="V27" s="746" t="s">
        <v>1007</v>
      </c>
      <c r="W27" s="725" t="s">
        <v>1008</v>
      </c>
      <c r="X27" s="489">
        <v>11.97</v>
      </c>
      <c r="Y27" s="725" t="s">
        <v>288</v>
      </c>
      <c r="Z27" s="489">
        <v>11.97</v>
      </c>
      <c r="AA27" s="489">
        <v>350</v>
      </c>
      <c r="AB27" s="725">
        <v>161</v>
      </c>
      <c r="AC27" s="725" t="s">
        <v>1762</v>
      </c>
      <c r="AD27" s="725">
        <v>20</v>
      </c>
      <c r="AE27" s="746" t="s">
        <v>14</v>
      </c>
      <c r="AF27" s="725" t="s">
        <v>15</v>
      </c>
      <c r="AG27" s="489">
        <v>8.59</v>
      </c>
      <c r="AH27" s="725" t="s">
        <v>288</v>
      </c>
      <c r="AI27" s="489">
        <v>8.59</v>
      </c>
      <c r="AJ27" s="489">
        <v>3</v>
      </c>
      <c r="AK27" s="725">
        <v>207</v>
      </c>
      <c r="AL27" s="725" t="s">
        <v>1589</v>
      </c>
      <c r="AM27" s="725">
        <v>20</v>
      </c>
      <c r="AN27" s="746" t="s">
        <v>1590</v>
      </c>
      <c r="AO27" s="725" t="s">
        <v>1591</v>
      </c>
      <c r="AP27" s="489">
        <v>12.479999999999999</v>
      </c>
      <c r="AQ27" s="725" t="s">
        <v>288</v>
      </c>
      <c r="AR27" s="489">
        <v>12.479999999999999</v>
      </c>
      <c r="AS27" s="489">
        <v>150</v>
      </c>
      <c r="AT27" s="725">
        <v>6</v>
      </c>
      <c r="AU27" s="1313" t="s">
        <v>2315</v>
      </c>
      <c r="AV27" s="725">
        <v>9</v>
      </c>
      <c r="AW27" s="746" t="s">
        <v>2316</v>
      </c>
      <c r="AX27" s="725" t="s">
        <v>2317</v>
      </c>
      <c r="AY27" s="489" t="s">
        <v>2312</v>
      </c>
      <c r="AZ27" s="725" t="s">
        <v>288</v>
      </c>
      <c r="BA27" s="489" t="s">
        <v>2312</v>
      </c>
      <c r="BB27" s="489">
        <v>1896.7</v>
      </c>
      <c r="BC27" s="746">
        <v>52</v>
      </c>
      <c r="BD27" s="1317" t="s">
        <v>2410</v>
      </c>
      <c r="BE27" s="715">
        <v>10</v>
      </c>
      <c r="BF27" s="715" t="s">
        <v>2402</v>
      </c>
      <c r="BG27" s="715" t="s">
        <v>1010</v>
      </c>
      <c r="BH27" s="1027" t="s">
        <v>2312</v>
      </c>
      <c r="BI27" s="715" t="s">
        <v>288</v>
      </c>
      <c r="BJ27" s="1350" t="s">
        <v>2312</v>
      </c>
      <c r="BK27" s="735">
        <v>614.84180000000003</v>
      </c>
      <c r="BL27" s="746">
        <v>98</v>
      </c>
      <c r="BM27" s="1317" t="s">
        <v>2554</v>
      </c>
      <c r="BN27" s="715">
        <v>9</v>
      </c>
      <c r="BO27" s="715" t="s">
        <v>2550</v>
      </c>
      <c r="BP27" s="715" t="s">
        <v>2551</v>
      </c>
      <c r="BQ27" s="1027" t="s">
        <v>2312</v>
      </c>
      <c r="BR27" s="715" t="s">
        <v>288</v>
      </c>
      <c r="BS27" s="1350" t="s">
        <v>2312</v>
      </c>
      <c r="BT27" s="735">
        <v>10.816599999999999</v>
      </c>
    </row>
    <row r="28" spans="1:72" s="153" customFormat="1" ht="12.6" customHeight="1" x14ac:dyDescent="0.2">
      <c r="A28" s="684">
        <v>23</v>
      </c>
      <c r="B28" s="749" t="s">
        <v>2873</v>
      </c>
      <c r="C28" s="684">
        <v>3</v>
      </c>
      <c r="D28" s="684" t="s">
        <v>2874</v>
      </c>
      <c r="E28" s="684" t="s">
        <v>2875</v>
      </c>
      <c r="F28" s="687">
        <v>10.67</v>
      </c>
      <c r="G28" s="734" t="s">
        <v>2981</v>
      </c>
      <c r="H28" s="687">
        <v>10.039999999999999</v>
      </c>
      <c r="I28" s="687">
        <f>500+500+500</f>
        <v>1500</v>
      </c>
      <c r="J28" s="695">
        <v>69</v>
      </c>
      <c r="K28" s="695" t="s">
        <v>2130</v>
      </c>
      <c r="L28" s="695">
        <v>10</v>
      </c>
      <c r="M28" s="695" t="s">
        <v>2131</v>
      </c>
      <c r="N28" s="695" t="s">
        <v>2132</v>
      </c>
      <c r="O28" s="579">
        <v>8.33</v>
      </c>
      <c r="P28" s="695" t="s">
        <v>2147</v>
      </c>
      <c r="Q28" s="579">
        <v>8.33</v>
      </c>
      <c r="R28" s="579">
        <v>5500</v>
      </c>
      <c r="S28" s="684">
        <v>116</v>
      </c>
      <c r="T28" s="749" t="s">
        <v>1564</v>
      </c>
      <c r="U28" s="734">
        <v>15</v>
      </c>
      <c r="V28" s="734" t="s">
        <v>1011</v>
      </c>
      <c r="W28" s="687" t="s">
        <v>1015</v>
      </c>
      <c r="X28" s="687">
        <v>11.97</v>
      </c>
      <c r="Y28" s="734" t="s">
        <v>288</v>
      </c>
      <c r="Z28" s="687">
        <v>11.97</v>
      </c>
      <c r="AA28" s="687">
        <v>400</v>
      </c>
      <c r="AB28" s="236">
        <v>162</v>
      </c>
      <c r="AC28" s="749" t="s">
        <v>1559</v>
      </c>
      <c r="AD28" s="734">
        <v>20</v>
      </c>
      <c r="AE28" s="734" t="s">
        <v>331</v>
      </c>
      <c r="AF28" s="687" t="s">
        <v>332</v>
      </c>
      <c r="AG28" s="687">
        <v>9.1</v>
      </c>
      <c r="AH28" s="734" t="s">
        <v>288</v>
      </c>
      <c r="AI28" s="687">
        <v>9.1</v>
      </c>
      <c r="AJ28" s="687">
        <v>125</v>
      </c>
      <c r="AK28" s="684">
        <v>208</v>
      </c>
      <c r="AL28" s="749" t="s">
        <v>1594</v>
      </c>
      <c r="AM28" s="734">
        <v>20</v>
      </c>
      <c r="AN28" s="734" t="s">
        <v>1595</v>
      </c>
      <c r="AO28" s="687" t="s">
        <v>1596</v>
      </c>
      <c r="AP28" s="687">
        <v>12.479999999999999</v>
      </c>
      <c r="AQ28" s="734" t="s">
        <v>288</v>
      </c>
      <c r="AR28" s="687">
        <v>12.479999999999999</v>
      </c>
      <c r="AS28" s="687">
        <v>150</v>
      </c>
      <c r="AT28" s="684">
        <v>7</v>
      </c>
      <c r="AU28" s="1417" t="s">
        <v>2318</v>
      </c>
      <c r="AV28" s="734">
        <v>9</v>
      </c>
      <c r="AW28" s="734" t="s">
        <v>2319</v>
      </c>
      <c r="AX28" s="687" t="s">
        <v>2320</v>
      </c>
      <c r="AY28" s="687" t="s">
        <v>2312</v>
      </c>
      <c r="AZ28" s="734" t="s">
        <v>288</v>
      </c>
      <c r="BA28" s="687" t="s">
        <v>2312</v>
      </c>
      <c r="BB28" s="687">
        <v>822.27</v>
      </c>
      <c r="BC28" s="734">
        <v>53</v>
      </c>
      <c r="BD28" s="1318" t="s">
        <v>2413</v>
      </c>
      <c r="BE28" s="695">
        <v>10</v>
      </c>
      <c r="BF28" s="695" t="s">
        <v>2402</v>
      </c>
      <c r="BG28" s="695" t="s">
        <v>1010</v>
      </c>
      <c r="BH28" s="1026" t="s">
        <v>2312</v>
      </c>
      <c r="BI28" s="695" t="s">
        <v>288</v>
      </c>
      <c r="BJ28" s="1349" t="s">
        <v>2312</v>
      </c>
      <c r="BK28" s="579">
        <v>155.9222</v>
      </c>
      <c r="BL28" s="734">
        <v>99</v>
      </c>
      <c r="BM28" s="1318" t="s">
        <v>2555</v>
      </c>
      <c r="BN28" s="695">
        <v>9</v>
      </c>
      <c r="BO28" s="695" t="s">
        <v>2546</v>
      </c>
      <c r="BP28" s="695" t="s">
        <v>2563</v>
      </c>
      <c r="BQ28" s="1026" t="s">
        <v>2312</v>
      </c>
      <c r="BR28" s="695" t="s">
        <v>288</v>
      </c>
      <c r="BS28" s="1349" t="s">
        <v>2312</v>
      </c>
      <c r="BT28" s="579">
        <v>309.88069999999999</v>
      </c>
    </row>
    <row r="29" spans="1:72" s="153" customFormat="1" ht="12.6" customHeight="1" x14ac:dyDescent="0.2">
      <c r="A29" s="725">
        <v>24</v>
      </c>
      <c r="B29" s="725" t="s">
        <v>1813</v>
      </c>
      <c r="C29" s="725">
        <v>5</v>
      </c>
      <c r="D29" s="725" t="s">
        <v>1814</v>
      </c>
      <c r="E29" s="725" t="s">
        <v>1815</v>
      </c>
      <c r="F29" s="639">
        <v>3.88</v>
      </c>
      <c r="G29" s="725" t="s">
        <v>1819</v>
      </c>
      <c r="H29" s="639">
        <v>3.9</v>
      </c>
      <c r="I29" s="489">
        <v>4500</v>
      </c>
      <c r="J29" s="715">
        <v>70</v>
      </c>
      <c r="K29" s="715" t="s">
        <v>2149</v>
      </c>
      <c r="L29" s="715">
        <v>10</v>
      </c>
      <c r="M29" s="715" t="s">
        <v>2150</v>
      </c>
      <c r="N29" s="715" t="s">
        <v>2151</v>
      </c>
      <c r="O29" s="735">
        <v>8.4499999999999993</v>
      </c>
      <c r="P29" s="715" t="s">
        <v>2157</v>
      </c>
      <c r="Q29" s="735">
        <v>8.6</v>
      </c>
      <c r="R29" s="735">
        <v>6000</v>
      </c>
      <c r="S29" s="725">
        <v>117</v>
      </c>
      <c r="T29" s="725" t="s">
        <v>1572</v>
      </c>
      <c r="U29" s="725">
        <v>15</v>
      </c>
      <c r="V29" s="746" t="s">
        <v>1014</v>
      </c>
      <c r="W29" s="725" t="s">
        <v>1016</v>
      </c>
      <c r="X29" s="489">
        <v>11.97</v>
      </c>
      <c r="Y29" s="725" t="s">
        <v>288</v>
      </c>
      <c r="Z29" s="489">
        <v>11.97</v>
      </c>
      <c r="AA29" s="489">
        <v>400</v>
      </c>
      <c r="AB29" s="725">
        <v>163</v>
      </c>
      <c r="AC29" s="725" t="s">
        <v>1565</v>
      </c>
      <c r="AD29" s="725">
        <v>20</v>
      </c>
      <c r="AE29" s="746" t="s">
        <v>333</v>
      </c>
      <c r="AF29" s="725" t="s">
        <v>334</v>
      </c>
      <c r="AG29" s="489">
        <v>9.1</v>
      </c>
      <c r="AH29" s="725" t="s">
        <v>288</v>
      </c>
      <c r="AI29" s="489">
        <v>9.1</v>
      </c>
      <c r="AJ29" s="489">
        <v>150</v>
      </c>
      <c r="AK29" s="725">
        <v>209</v>
      </c>
      <c r="AL29" s="725" t="s">
        <v>1601</v>
      </c>
      <c r="AM29" s="725">
        <v>20</v>
      </c>
      <c r="AN29" s="746" t="s">
        <v>1602</v>
      </c>
      <c r="AO29" s="725" t="s">
        <v>1603</v>
      </c>
      <c r="AP29" s="489">
        <v>12.33</v>
      </c>
      <c r="AQ29" s="725" t="s">
        <v>288</v>
      </c>
      <c r="AR29" s="489">
        <v>12.33</v>
      </c>
      <c r="AS29" s="489">
        <v>150</v>
      </c>
      <c r="AT29" s="725">
        <v>8</v>
      </c>
      <c r="AU29" s="1313" t="s">
        <v>2321</v>
      </c>
      <c r="AV29" s="725">
        <v>9</v>
      </c>
      <c r="AW29" s="746" t="s">
        <v>2322</v>
      </c>
      <c r="AX29" s="725" t="s">
        <v>2323</v>
      </c>
      <c r="AY29" s="489" t="s">
        <v>2312</v>
      </c>
      <c r="AZ29" s="725" t="s">
        <v>288</v>
      </c>
      <c r="BA29" s="489" t="s">
        <v>2312</v>
      </c>
      <c r="BB29" s="489">
        <v>135.59</v>
      </c>
      <c r="BC29" s="715">
        <v>54</v>
      </c>
      <c r="BD29" s="1317" t="s">
        <v>2414</v>
      </c>
      <c r="BE29" s="715">
        <v>10</v>
      </c>
      <c r="BF29" s="715" t="s">
        <v>2402</v>
      </c>
      <c r="BG29" s="715" t="s">
        <v>1010</v>
      </c>
      <c r="BH29" s="1027" t="s">
        <v>2312</v>
      </c>
      <c r="BI29" s="715" t="s">
        <v>288</v>
      </c>
      <c r="BJ29" s="1350" t="s">
        <v>2312</v>
      </c>
      <c r="BK29" s="735">
        <v>187.30029999999999</v>
      </c>
      <c r="BL29" s="715">
        <v>100</v>
      </c>
      <c r="BM29" s="1317" t="s">
        <v>2556</v>
      </c>
      <c r="BN29" s="715">
        <v>9</v>
      </c>
      <c r="BO29" s="715" t="s">
        <v>2546</v>
      </c>
      <c r="BP29" s="715" t="s">
        <v>2563</v>
      </c>
      <c r="BQ29" s="1027" t="s">
        <v>2312</v>
      </c>
      <c r="BR29" s="715" t="s">
        <v>288</v>
      </c>
      <c r="BS29" s="1350" t="s">
        <v>2312</v>
      </c>
      <c r="BT29" s="735">
        <v>5.1437999999999997</v>
      </c>
    </row>
    <row r="30" spans="1:72" s="153" customFormat="1" ht="12.6" customHeight="1" x14ac:dyDescent="0.2">
      <c r="A30" s="684">
        <v>25</v>
      </c>
      <c r="B30" s="749" t="s">
        <v>1860</v>
      </c>
      <c r="C30" s="684">
        <v>5</v>
      </c>
      <c r="D30" s="684" t="s">
        <v>1861</v>
      </c>
      <c r="E30" s="684" t="s">
        <v>1862</v>
      </c>
      <c r="F30" s="687">
        <v>4.97</v>
      </c>
      <c r="G30" s="734" t="s">
        <v>1917</v>
      </c>
      <c r="H30" s="687">
        <v>6.5</v>
      </c>
      <c r="I30" s="687">
        <v>4063.34</v>
      </c>
      <c r="J30" s="695">
        <v>71</v>
      </c>
      <c r="K30" s="696" t="s">
        <v>2209</v>
      </c>
      <c r="L30" s="696">
        <v>10</v>
      </c>
      <c r="M30" s="696" t="s">
        <v>2210</v>
      </c>
      <c r="N30" s="696" t="s">
        <v>2211</v>
      </c>
      <c r="O30" s="694">
        <v>9.1999999999999993</v>
      </c>
      <c r="P30" s="696" t="s">
        <v>2262</v>
      </c>
      <c r="Q30" s="694">
        <v>10.82</v>
      </c>
      <c r="R30" s="694">
        <v>5415.03</v>
      </c>
      <c r="S30" s="684">
        <v>118</v>
      </c>
      <c r="T30" s="749" t="s">
        <v>1578</v>
      </c>
      <c r="U30" s="734">
        <v>15</v>
      </c>
      <c r="V30" s="734" t="s">
        <v>1030</v>
      </c>
      <c r="W30" s="687" t="s">
        <v>1031</v>
      </c>
      <c r="X30" s="687">
        <v>11.87</v>
      </c>
      <c r="Y30" s="734" t="s">
        <v>288</v>
      </c>
      <c r="Z30" s="687">
        <v>11.87</v>
      </c>
      <c r="AA30" s="687">
        <v>250</v>
      </c>
      <c r="AB30" s="236">
        <v>164</v>
      </c>
      <c r="AC30" s="749" t="s">
        <v>1573</v>
      </c>
      <c r="AD30" s="734">
        <v>20</v>
      </c>
      <c r="AE30" s="734" t="s">
        <v>335</v>
      </c>
      <c r="AF30" s="687" t="s">
        <v>336</v>
      </c>
      <c r="AG30" s="687">
        <v>9.11</v>
      </c>
      <c r="AH30" s="734" t="s">
        <v>288</v>
      </c>
      <c r="AI30" s="687">
        <v>9.11</v>
      </c>
      <c r="AJ30" s="687">
        <v>100</v>
      </c>
      <c r="AK30" s="684">
        <v>210</v>
      </c>
      <c r="AL30" s="749" t="s">
        <v>1608</v>
      </c>
      <c r="AM30" s="734">
        <v>20</v>
      </c>
      <c r="AN30" s="734" t="s">
        <v>995</v>
      </c>
      <c r="AO30" s="687" t="s">
        <v>996</v>
      </c>
      <c r="AP30" s="687">
        <v>12.33</v>
      </c>
      <c r="AQ30" s="734" t="s">
        <v>288</v>
      </c>
      <c r="AR30" s="687">
        <v>12.33</v>
      </c>
      <c r="AS30" s="687">
        <v>150</v>
      </c>
      <c r="AT30" s="684">
        <v>9</v>
      </c>
      <c r="AU30" s="1417" t="s">
        <v>2324</v>
      </c>
      <c r="AV30" s="734">
        <v>9</v>
      </c>
      <c r="AW30" s="734" t="s">
        <v>2322</v>
      </c>
      <c r="AX30" s="687" t="s">
        <v>2323</v>
      </c>
      <c r="AY30" s="687" t="s">
        <v>2312</v>
      </c>
      <c r="AZ30" s="734" t="s">
        <v>288</v>
      </c>
      <c r="BA30" s="687" t="s">
        <v>2312</v>
      </c>
      <c r="BB30" s="687">
        <v>186.7</v>
      </c>
      <c r="BC30" s="695">
        <v>55</v>
      </c>
      <c r="BD30" s="1318" t="s">
        <v>2415</v>
      </c>
      <c r="BE30" s="695">
        <v>10</v>
      </c>
      <c r="BF30" s="695" t="s">
        <v>2386</v>
      </c>
      <c r="BG30" s="695" t="s">
        <v>2424</v>
      </c>
      <c r="BH30" s="1026" t="s">
        <v>2312</v>
      </c>
      <c r="BI30" s="695" t="s">
        <v>288</v>
      </c>
      <c r="BJ30" s="1349" t="s">
        <v>2312</v>
      </c>
      <c r="BK30" s="579">
        <v>98.564999999999998</v>
      </c>
      <c r="BL30" s="695">
        <v>101</v>
      </c>
      <c r="BM30" s="1318" t="s">
        <v>2557</v>
      </c>
      <c r="BN30" s="695">
        <v>10</v>
      </c>
      <c r="BO30" s="695" t="s">
        <v>2546</v>
      </c>
      <c r="BP30" s="695" t="s">
        <v>2564</v>
      </c>
      <c r="BQ30" s="1026" t="s">
        <v>2312</v>
      </c>
      <c r="BR30" s="695" t="s">
        <v>288</v>
      </c>
      <c r="BS30" s="1349" t="s">
        <v>2312</v>
      </c>
      <c r="BT30" s="579">
        <v>303.56979999999999</v>
      </c>
    </row>
    <row r="31" spans="1:72" s="153" customFormat="1" ht="12.6" customHeight="1" x14ac:dyDescent="0.2">
      <c r="A31" s="725">
        <v>26</v>
      </c>
      <c r="B31" s="725" t="s">
        <v>1911</v>
      </c>
      <c r="C31" s="725">
        <v>5</v>
      </c>
      <c r="D31" s="725" t="s">
        <v>949</v>
      </c>
      <c r="E31" s="725" t="s">
        <v>1912</v>
      </c>
      <c r="F31" s="639">
        <v>6.5</v>
      </c>
      <c r="G31" s="725" t="s">
        <v>2005</v>
      </c>
      <c r="H31" s="639">
        <v>5.75</v>
      </c>
      <c r="I31" s="489">
        <v>4500</v>
      </c>
      <c r="J31" s="715">
        <v>72</v>
      </c>
      <c r="K31" s="715" t="s">
        <v>2290</v>
      </c>
      <c r="L31" s="715">
        <v>10</v>
      </c>
      <c r="M31" s="715" t="s">
        <v>2291</v>
      </c>
      <c r="N31" s="715" t="s">
        <v>2292</v>
      </c>
      <c r="O31" s="735">
        <v>12.05</v>
      </c>
      <c r="P31" s="715" t="s">
        <v>2545</v>
      </c>
      <c r="Q31" s="735">
        <v>12.45</v>
      </c>
      <c r="R31" s="735">
        <v>7124.8</v>
      </c>
      <c r="S31" s="725">
        <v>119</v>
      </c>
      <c r="T31" s="725" t="s">
        <v>1585</v>
      </c>
      <c r="U31" s="725">
        <v>15</v>
      </c>
      <c r="V31" s="746" t="s">
        <v>1032</v>
      </c>
      <c r="W31" s="725" t="s">
        <v>1033</v>
      </c>
      <c r="X31" s="489">
        <v>11.59</v>
      </c>
      <c r="Y31" s="725" t="s">
        <v>288</v>
      </c>
      <c r="Z31" s="489">
        <v>11.59</v>
      </c>
      <c r="AA31" s="489">
        <v>250</v>
      </c>
      <c r="AB31" s="725">
        <v>165</v>
      </c>
      <c r="AC31" s="725" t="s">
        <v>1579</v>
      </c>
      <c r="AD31" s="725">
        <v>20</v>
      </c>
      <c r="AE31" s="746" t="s">
        <v>337</v>
      </c>
      <c r="AF31" s="725" t="s">
        <v>338</v>
      </c>
      <c r="AG31" s="489">
        <v>9.15</v>
      </c>
      <c r="AH31" s="725" t="s">
        <v>288</v>
      </c>
      <c r="AI31" s="489">
        <v>9.15</v>
      </c>
      <c r="AJ31" s="489">
        <v>100</v>
      </c>
      <c r="AK31" s="725">
        <v>211</v>
      </c>
      <c r="AL31" s="725" t="s">
        <v>1612</v>
      </c>
      <c r="AM31" s="725">
        <v>20</v>
      </c>
      <c r="AN31" s="746" t="s">
        <v>998</v>
      </c>
      <c r="AO31" s="725" t="s">
        <v>999</v>
      </c>
      <c r="AP31" s="489">
        <v>12.26</v>
      </c>
      <c r="AQ31" s="725" t="s">
        <v>288</v>
      </c>
      <c r="AR31" s="489">
        <v>12.26</v>
      </c>
      <c r="AS31" s="489">
        <v>150</v>
      </c>
      <c r="AT31" s="725">
        <v>10</v>
      </c>
      <c r="AU31" s="1313" t="s">
        <v>2325</v>
      </c>
      <c r="AV31" s="725">
        <v>9</v>
      </c>
      <c r="AW31" s="746" t="s">
        <v>2322</v>
      </c>
      <c r="AX31" s="725" t="s">
        <v>2323</v>
      </c>
      <c r="AY31" s="489" t="s">
        <v>2312</v>
      </c>
      <c r="AZ31" s="725" t="s">
        <v>288</v>
      </c>
      <c r="BA31" s="489" t="s">
        <v>2312</v>
      </c>
      <c r="BB31" s="489">
        <v>752.77</v>
      </c>
      <c r="BC31" s="715">
        <v>56</v>
      </c>
      <c r="BD31" s="1317" t="s">
        <v>2421</v>
      </c>
      <c r="BE31" s="800">
        <v>10</v>
      </c>
      <c r="BF31" s="762" t="s">
        <v>2386</v>
      </c>
      <c r="BG31" s="762" t="s">
        <v>2424</v>
      </c>
      <c r="BH31" s="1350" t="s">
        <v>2312</v>
      </c>
      <c r="BI31" s="725" t="s">
        <v>288</v>
      </c>
      <c r="BJ31" s="1350" t="s">
        <v>2312</v>
      </c>
      <c r="BK31" s="489">
        <v>115.5348</v>
      </c>
      <c r="BL31" s="715">
        <v>102</v>
      </c>
      <c r="BM31" s="1317" t="s">
        <v>2558</v>
      </c>
      <c r="BN31" s="800">
        <v>9</v>
      </c>
      <c r="BO31" s="762" t="s">
        <v>2546</v>
      </c>
      <c r="BP31" s="762" t="s">
        <v>2563</v>
      </c>
      <c r="BQ31" s="1350" t="s">
        <v>2312</v>
      </c>
      <c r="BR31" s="725" t="s">
        <v>288</v>
      </c>
      <c r="BS31" s="1350" t="s">
        <v>2312</v>
      </c>
      <c r="BT31" s="489">
        <v>319.16800000000001</v>
      </c>
    </row>
    <row r="32" spans="1:72" s="153" customFormat="1" ht="12.6" customHeight="1" x14ac:dyDescent="0.2">
      <c r="A32" s="684">
        <v>27</v>
      </c>
      <c r="B32" s="749" t="s">
        <v>2006</v>
      </c>
      <c r="C32" s="684">
        <v>5</v>
      </c>
      <c r="D32" s="684" t="s">
        <v>2007</v>
      </c>
      <c r="E32" s="684" t="s">
        <v>2008</v>
      </c>
      <c r="F32" s="687">
        <v>6.25</v>
      </c>
      <c r="G32" s="734" t="s">
        <v>2118</v>
      </c>
      <c r="H32" s="687">
        <v>7.72</v>
      </c>
      <c r="I32" s="687">
        <v>5699.41</v>
      </c>
      <c r="J32" s="695">
        <v>73</v>
      </c>
      <c r="K32" s="696" t="s">
        <v>2383</v>
      </c>
      <c r="L32" s="696">
        <v>10</v>
      </c>
      <c r="M32" s="696" t="s">
        <v>2384</v>
      </c>
      <c r="N32" s="696" t="s">
        <v>2385</v>
      </c>
      <c r="O32" s="694">
        <v>12.15</v>
      </c>
      <c r="P32" s="696" t="s">
        <v>2583</v>
      </c>
      <c r="Q32" s="694">
        <v>12.57</v>
      </c>
      <c r="R32" s="694">
        <v>6404.73</v>
      </c>
      <c r="S32" s="684">
        <v>120</v>
      </c>
      <c r="T32" s="749" t="s">
        <v>1592</v>
      </c>
      <c r="U32" s="734">
        <v>15</v>
      </c>
      <c r="V32" s="734" t="s">
        <v>1036</v>
      </c>
      <c r="W32" s="687" t="s">
        <v>1037</v>
      </c>
      <c r="X32" s="687">
        <v>11.5</v>
      </c>
      <c r="Y32" s="734" t="s">
        <v>288</v>
      </c>
      <c r="Z32" s="687">
        <v>11.5</v>
      </c>
      <c r="AA32" s="687">
        <v>250</v>
      </c>
      <c r="AB32" s="236">
        <v>166</v>
      </c>
      <c r="AC32" s="749" t="s">
        <v>1586</v>
      </c>
      <c r="AD32" s="734">
        <v>20</v>
      </c>
      <c r="AE32" s="734" t="s">
        <v>1587</v>
      </c>
      <c r="AF32" s="687" t="s">
        <v>1588</v>
      </c>
      <c r="AG32" s="687">
        <v>9.17</v>
      </c>
      <c r="AH32" s="734" t="s">
        <v>288</v>
      </c>
      <c r="AI32" s="687">
        <v>9.17</v>
      </c>
      <c r="AJ32" s="687">
        <v>80</v>
      </c>
      <c r="AK32" s="684">
        <v>212</v>
      </c>
      <c r="AL32" s="749" t="s">
        <v>1616</v>
      </c>
      <c r="AM32" s="734">
        <v>20</v>
      </c>
      <c r="AN32" s="734" t="s">
        <v>1001</v>
      </c>
      <c r="AO32" s="687" t="s">
        <v>1002</v>
      </c>
      <c r="AP32" s="687">
        <v>12.24</v>
      </c>
      <c r="AQ32" s="734" t="s">
        <v>288</v>
      </c>
      <c r="AR32" s="687">
        <v>12.24</v>
      </c>
      <c r="AS32" s="687">
        <v>150</v>
      </c>
      <c r="AT32" s="684">
        <v>11</v>
      </c>
      <c r="AU32" s="1417" t="s">
        <v>2326</v>
      </c>
      <c r="AV32" s="734">
        <v>9</v>
      </c>
      <c r="AW32" s="734" t="s">
        <v>2322</v>
      </c>
      <c r="AX32" s="687" t="s">
        <v>2323</v>
      </c>
      <c r="AY32" s="687" t="s">
        <v>2312</v>
      </c>
      <c r="AZ32" s="734" t="s">
        <v>288</v>
      </c>
      <c r="BA32" s="687" t="s">
        <v>2312</v>
      </c>
      <c r="BB32" s="687">
        <v>274.25</v>
      </c>
      <c r="BC32" s="695">
        <v>57</v>
      </c>
      <c r="BD32" s="1318" t="s">
        <v>2416</v>
      </c>
      <c r="BE32" s="799">
        <v>10</v>
      </c>
      <c r="BF32" s="763" t="s">
        <v>2386</v>
      </c>
      <c r="BG32" s="695" t="s">
        <v>2424</v>
      </c>
      <c r="BH32" s="1349" t="s">
        <v>2312</v>
      </c>
      <c r="BI32" s="684" t="s">
        <v>288</v>
      </c>
      <c r="BJ32" s="1349" t="s">
        <v>2312</v>
      </c>
      <c r="BK32" s="488">
        <v>36.376100000000001</v>
      </c>
      <c r="BL32" s="695">
        <v>103</v>
      </c>
      <c r="BM32" s="1318" t="s">
        <v>2559</v>
      </c>
      <c r="BN32" s="799">
        <v>9</v>
      </c>
      <c r="BO32" s="763" t="s">
        <v>2546</v>
      </c>
      <c r="BP32" s="695" t="s">
        <v>2563</v>
      </c>
      <c r="BQ32" s="1349" t="s">
        <v>2312</v>
      </c>
      <c r="BR32" s="684" t="s">
        <v>288</v>
      </c>
      <c r="BS32" s="1349" t="s">
        <v>2312</v>
      </c>
      <c r="BT32" s="488">
        <v>484.4862</v>
      </c>
    </row>
    <row r="33" spans="1:72" s="222" customFormat="1" ht="12.6" customHeight="1" x14ac:dyDescent="0.2">
      <c r="A33" s="725">
        <v>28</v>
      </c>
      <c r="B33" s="725" t="s">
        <v>2039</v>
      </c>
      <c r="C33" s="725">
        <v>5</v>
      </c>
      <c r="D33" s="725" t="s">
        <v>2040</v>
      </c>
      <c r="E33" s="725" t="s">
        <v>2041</v>
      </c>
      <c r="F33" s="639">
        <v>7.7</v>
      </c>
      <c r="G33" s="725" t="s">
        <v>2057</v>
      </c>
      <c r="H33" s="639">
        <v>7.8</v>
      </c>
      <c r="I33" s="489">
        <v>4499.6000000000004</v>
      </c>
      <c r="J33" s="715">
        <v>74</v>
      </c>
      <c r="K33" s="715" t="s">
        <v>2456</v>
      </c>
      <c r="L33" s="715">
        <v>10</v>
      </c>
      <c r="M33" s="715" t="s">
        <v>2457</v>
      </c>
      <c r="N33" s="715" t="s">
        <v>2458</v>
      </c>
      <c r="O33" s="735">
        <v>12.602</v>
      </c>
      <c r="P33" s="715" t="s">
        <v>2602</v>
      </c>
      <c r="Q33" s="735">
        <v>12.48</v>
      </c>
      <c r="R33" s="735">
        <v>11500</v>
      </c>
      <c r="S33" s="725">
        <v>121</v>
      </c>
      <c r="T33" s="725" t="s">
        <v>1597</v>
      </c>
      <c r="U33" s="725">
        <v>15</v>
      </c>
      <c r="V33" s="746" t="s">
        <v>1046</v>
      </c>
      <c r="W33" s="725" t="s">
        <v>1047</v>
      </c>
      <c r="X33" s="489">
        <v>11.42</v>
      </c>
      <c r="Y33" s="725" t="s">
        <v>288</v>
      </c>
      <c r="Z33" s="489">
        <v>11.42</v>
      </c>
      <c r="AA33" s="489">
        <v>250</v>
      </c>
      <c r="AB33" s="725">
        <v>167</v>
      </c>
      <c r="AC33" s="725" t="s">
        <v>1593</v>
      </c>
      <c r="AD33" s="725">
        <v>20</v>
      </c>
      <c r="AE33" s="746" t="s">
        <v>648</v>
      </c>
      <c r="AF33" s="725" t="s">
        <v>649</v>
      </c>
      <c r="AG33" s="489">
        <v>9.1999999999999993</v>
      </c>
      <c r="AH33" s="725" t="s">
        <v>288</v>
      </c>
      <c r="AI33" s="489">
        <v>9.1999999999999993</v>
      </c>
      <c r="AJ33" s="489">
        <v>75</v>
      </c>
      <c r="AK33" s="725">
        <v>213</v>
      </c>
      <c r="AL33" s="725" t="s">
        <v>1620</v>
      </c>
      <c r="AM33" s="725">
        <v>20</v>
      </c>
      <c r="AN33" s="746" t="s">
        <v>1005</v>
      </c>
      <c r="AO33" s="725" t="s">
        <v>1009</v>
      </c>
      <c r="AP33" s="489">
        <v>12.139999999999999</v>
      </c>
      <c r="AQ33" s="725" t="s">
        <v>288</v>
      </c>
      <c r="AR33" s="489">
        <v>12.139999999999999</v>
      </c>
      <c r="AS33" s="489">
        <v>300</v>
      </c>
      <c r="AT33" s="725">
        <v>12</v>
      </c>
      <c r="AU33" s="1313" t="s">
        <v>2327</v>
      </c>
      <c r="AV33" s="725">
        <v>9</v>
      </c>
      <c r="AW33" s="746" t="s">
        <v>2328</v>
      </c>
      <c r="AX33" s="725" t="s">
        <v>2329</v>
      </c>
      <c r="AY33" s="489" t="s">
        <v>2312</v>
      </c>
      <c r="AZ33" s="725" t="s">
        <v>288</v>
      </c>
      <c r="BA33" s="489" t="s">
        <v>2312</v>
      </c>
      <c r="BB33" s="489">
        <v>48.24</v>
      </c>
      <c r="BC33" s="715">
        <v>58</v>
      </c>
      <c r="BD33" s="1317" t="s">
        <v>2417</v>
      </c>
      <c r="BE33" s="715">
        <v>10</v>
      </c>
      <c r="BF33" s="715" t="s">
        <v>2386</v>
      </c>
      <c r="BG33" s="715" t="s">
        <v>2424</v>
      </c>
      <c r="BH33" s="1027" t="s">
        <v>2312</v>
      </c>
      <c r="BI33" s="715" t="s">
        <v>288</v>
      </c>
      <c r="BJ33" s="1350" t="s">
        <v>2312</v>
      </c>
      <c r="BK33" s="735">
        <v>64.739999999999995</v>
      </c>
      <c r="BL33" s="715">
        <v>104</v>
      </c>
      <c r="BM33" s="1317" t="s">
        <v>2560</v>
      </c>
      <c r="BN33" s="715">
        <v>9</v>
      </c>
      <c r="BO33" s="715" t="s">
        <v>2546</v>
      </c>
      <c r="BP33" s="715" t="s">
        <v>2563</v>
      </c>
      <c r="BQ33" s="1027" t="s">
        <v>2312</v>
      </c>
      <c r="BR33" s="715" t="s">
        <v>288</v>
      </c>
      <c r="BS33" s="1350" t="s">
        <v>2312</v>
      </c>
      <c r="BT33" s="735">
        <v>75.039400000000001</v>
      </c>
    </row>
    <row r="34" spans="1:72" s="222" customFormat="1" ht="12.6" customHeight="1" x14ac:dyDescent="0.2">
      <c r="A34" s="684">
        <v>29</v>
      </c>
      <c r="B34" s="749" t="s">
        <v>2068</v>
      </c>
      <c r="C34" s="684">
        <v>5</v>
      </c>
      <c r="D34" s="684" t="s">
        <v>2069</v>
      </c>
      <c r="E34" s="684" t="s">
        <v>2070</v>
      </c>
      <c r="F34" s="687">
        <v>7.89</v>
      </c>
      <c r="G34" s="734" t="s">
        <v>2106</v>
      </c>
      <c r="H34" s="687">
        <v>7.8</v>
      </c>
      <c r="I34" s="687">
        <v>3300</v>
      </c>
      <c r="J34" s="695">
        <v>75</v>
      </c>
      <c r="K34" s="696" t="s">
        <v>2614</v>
      </c>
      <c r="L34" s="696">
        <v>10</v>
      </c>
      <c r="M34" s="696" t="s">
        <v>2615</v>
      </c>
      <c r="N34" s="696" t="s">
        <v>2616</v>
      </c>
      <c r="O34" s="694">
        <v>12.08</v>
      </c>
      <c r="P34" s="696" t="s">
        <v>2641</v>
      </c>
      <c r="Q34" s="694">
        <v>10.32</v>
      </c>
      <c r="R34" s="694">
        <v>7000</v>
      </c>
      <c r="S34" s="684">
        <v>122</v>
      </c>
      <c r="T34" s="749" t="s">
        <v>1605</v>
      </c>
      <c r="U34" s="734">
        <v>15</v>
      </c>
      <c r="V34" s="734" t="s">
        <v>1048</v>
      </c>
      <c r="W34" s="687" t="s">
        <v>1049</v>
      </c>
      <c r="X34" s="687">
        <v>11.469999999999999</v>
      </c>
      <c r="Y34" s="734" t="s">
        <v>1606</v>
      </c>
      <c r="Z34" s="687">
        <v>11.4</v>
      </c>
      <c r="AA34" s="687">
        <v>680</v>
      </c>
      <c r="AB34" s="236">
        <v>168</v>
      </c>
      <c r="AC34" s="749" t="s">
        <v>1598</v>
      </c>
      <c r="AD34" s="734">
        <v>20</v>
      </c>
      <c r="AE34" s="734" t="s">
        <v>1599</v>
      </c>
      <c r="AF34" s="687" t="s">
        <v>1600</v>
      </c>
      <c r="AG34" s="687">
        <v>9.15</v>
      </c>
      <c r="AH34" s="734" t="s">
        <v>288</v>
      </c>
      <c r="AI34" s="687">
        <v>9.15</v>
      </c>
      <c r="AJ34" s="687">
        <v>75</v>
      </c>
      <c r="AK34" s="684">
        <v>214</v>
      </c>
      <c r="AL34" s="749" t="s">
        <v>1624</v>
      </c>
      <c r="AM34" s="734">
        <v>20</v>
      </c>
      <c r="AN34" s="734" t="s">
        <v>1007</v>
      </c>
      <c r="AO34" s="687" t="s">
        <v>1010</v>
      </c>
      <c r="AP34" s="687">
        <v>12.139999999999999</v>
      </c>
      <c r="AQ34" s="734" t="s">
        <v>288</v>
      </c>
      <c r="AR34" s="687">
        <v>12.139999999999999</v>
      </c>
      <c r="AS34" s="687">
        <v>300</v>
      </c>
      <c r="AT34" s="684">
        <v>13</v>
      </c>
      <c r="AU34" s="1417" t="s">
        <v>2330</v>
      </c>
      <c r="AV34" s="734">
        <v>9</v>
      </c>
      <c r="AW34" s="734" t="s">
        <v>2328</v>
      </c>
      <c r="AX34" s="687" t="s">
        <v>2329</v>
      </c>
      <c r="AY34" s="687" t="s">
        <v>2312</v>
      </c>
      <c r="AZ34" s="734" t="s">
        <v>288</v>
      </c>
      <c r="BA34" s="687" t="s">
        <v>2312</v>
      </c>
      <c r="BB34" s="687">
        <v>51.7</v>
      </c>
      <c r="BC34" s="695">
        <v>59</v>
      </c>
      <c r="BD34" s="1318" t="s">
        <v>2418</v>
      </c>
      <c r="BE34" s="695">
        <v>10</v>
      </c>
      <c r="BF34" s="579" t="s">
        <v>2386</v>
      </c>
      <c r="BG34" s="695" t="s">
        <v>2424</v>
      </c>
      <c r="BH34" s="1026" t="s">
        <v>2312</v>
      </c>
      <c r="BI34" s="695" t="s">
        <v>288</v>
      </c>
      <c r="BJ34" s="1349" t="s">
        <v>2312</v>
      </c>
      <c r="BK34" s="579">
        <v>75.4863</v>
      </c>
      <c r="BL34" s="695">
        <v>105</v>
      </c>
      <c r="BM34" s="1318" t="s">
        <v>2561</v>
      </c>
      <c r="BN34" s="695">
        <v>9</v>
      </c>
      <c r="BO34" s="579" t="s">
        <v>2546</v>
      </c>
      <c r="BP34" s="695" t="s">
        <v>2563</v>
      </c>
      <c r="BQ34" s="1026" t="s">
        <v>2312</v>
      </c>
      <c r="BR34" s="695" t="s">
        <v>288</v>
      </c>
      <c r="BS34" s="1349" t="s">
        <v>2312</v>
      </c>
      <c r="BT34" s="579">
        <v>273.71629999999999</v>
      </c>
    </row>
    <row r="35" spans="1:72" s="153" customFormat="1" ht="12.6" customHeight="1" x14ac:dyDescent="0.2">
      <c r="A35" s="725">
        <v>30</v>
      </c>
      <c r="B35" s="725" t="s">
        <v>2126</v>
      </c>
      <c r="C35" s="725">
        <v>5</v>
      </c>
      <c r="D35" s="725" t="s">
        <v>2127</v>
      </c>
      <c r="E35" s="725" t="s">
        <v>2128</v>
      </c>
      <c r="F35" s="639">
        <v>7.85</v>
      </c>
      <c r="G35" s="725" t="s">
        <v>2146</v>
      </c>
      <c r="H35" s="639">
        <v>8.1999999999999993</v>
      </c>
      <c r="I35" s="489">
        <v>5800</v>
      </c>
      <c r="J35" s="715">
        <v>76</v>
      </c>
      <c r="K35" s="715" t="s">
        <v>2654</v>
      </c>
      <c r="L35" s="715">
        <v>10</v>
      </c>
      <c r="M35" s="715" t="s">
        <v>2655</v>
      </c>
      <c r="N35" s="715" t="s">
        <v>2656</v>
      </c>
      <c r="O35" s="735">
        <v>12.05</v>
      </c>
      <c r="P35" s="715" t="s">
        <v>2672</v>
      </c>
      <c r="Q35" s="735">
        <v>12.48</v>
      </c>
      <c r="R35" s="735">
        <v>7500</v>
      </c>
      <c r="S35" s="725">
        <v>123</v>
      </c>
      <c r="T35" s="725" t="s">
        <v>1610</v>
      </c>
      <c r="U35" s="725">
        <v>15</v>
      </c>
      <c r="V35" s="746" t="s">
        <v>1151</v>
      </c>
      <c r="W35" s="725" t="s">
        <v>651</v>
      </c>
      <c r="X35" s="1281">
        <v>10.059999999999999</v>
      </c>
      <c r="Y35" s="1282" t="s">
        <v>1501</v>
      </c>
      <c r="Z35" s="1281">
        <v>9.09</v>
      </c>
      <c r="AA35" s="1281">
        <v>3000</v>
      </c>
      <c r="AB35" s="725">
        <v>169</v>
      </c>
      <c r="AC35" s="725" t="s">
        <v>1607</v>
      </c>
      <c r="AD35" s="725">
        <v>20</v>
      </c>
      <c r="AE35" s="746" t="s">
        <v>650</v>
      </c>
      <c r="AF35" s="725" t="s">
        <v>651</v>
      </c>
      <c r="AG35" s="489">
        <v>9.1999999999999993</v>
      </c>
      <c r="AH35" s="725" t="s">
        <v>288</v>
      </c>
      <c r="AI35" s="489">
        <v>9.1999999999999993</v>
      </c>
      <c r="AJ35" s="489">
        <v>125</v>
      </c>
      <c r="AK35" s="725">
        <v>215</v>
      </c>
      <c r="AL35" s="725" t="s">
        <v>1631</v>
      </c>
      <c r="AM35" s="725">
        <v>20</v>
      </c>
      <c r="AN35" s="746" t="s">
        <v>1011</v>
      </c>
      <c r="AO35" s="725" t="s">
        <v>1012</v>
      </c>
      <c r="AP35" s="489">
        <v>12.139999999999999</v>
      </c>
      <c r="AQ35" s="725" t="s">
        <v>288</v>
      </c>
      <c r="AR35" s="489">
        <v>12.139999999999999</v>
      </c>
      <c r="AS35" s="489">
        <v>350</v>
      </c>
      <c r="AT35" s="725">
        <v>14</v>
      </c>
      <c r="AU35" s="1313" t="s">
        <v>2331</v>
      </c>
      <c r="AV35" s="725">
        <v>9</v>
      </c>
      <c r="AW35" s="746" t="s">
        <v>2328</v>
      </c>
      <c r="AX35" s="725" t="s">
        <v>2329</v>
      </c>
      <c r="AY35" s="489" t="s">
        <v>2312</v>
      </c>
      <c r="AZ35" s="725" t="s">
        <v>288</v>
      </c>
      <c r="BA35" s="489" t="s">
        <v>2312</v>
      </c>
      <c r="BB35" s="489">
        <v>51.47</v>
      </c>
      <c r="BC35" s="715">
        <v>60</v>
      </c>
      <c r="BD35" s="1317" t="s">
        <v>2419</v>
      </c>
      <c r="BE35" s="715">
        <v>10</v>
      </c>
      <c r="BF35" s="715" t="s">
        <v>2422</v>
      </c>
      <c r="BG35" s="715" t="s">
        <v>2425</v>
      </c>
      <c r="BH35" s="1027" t="s">
        <v>2312</v>
      </c>
      <c r="BI35" s="715" t="s">
        <v>288</v>
      </c>
      <c r="BJ35" s="1350" t="s">
        <v>2312</v>
      </c>
      <c r="BK35" s="735">
        <v>20.03</v>
      </c>
      <c r="BL35" s="715">
        <v>106</v>
      </c>
      <c r="BM35" s="1317" t="s">
        <v>2562</v>
      </c>
      <c r="BN35" s="715">
        <v>9</v>
      </c>
      <c r="BO35" s="715" t="s">
        <v>2546</v>
      </c>
      <c r="BP35" s="715" t="s">
        <v>2563</v>
      </c>
      <c r="BQ35" s="1027" t="s">
        <v>2312</v>
      </c>
      <c r="BR35" s="715" t="s">
        <v>288</v>
      </c>
      <c r="BS35" s="1350" t="s">
        <v>2312</v>
      </c>
      <c r="BT35" s="735">
        <v>35</v>
      </c>
    </row>
    <row r="36" spans="1:72" s="153" customFormat="1" ht="12.6" customHeight="1" x14ac:dyDescent="0.2">
      <c r="A36" s="684">
        <v>31</v>
      </c>
      <c r="B36" s="749" t="s">
        <v>2139</v>
      </c>
      <c r="C36" s="684">
        <v>5</v>
      </c>
      <c r="D36" s="684" t="s">
        <v>2140</v>
      </c>
      <c r="E36" s="684" t="s">
        <v>2141</v>
      </c>
      <c r="F36" s="687">
        <v>8.2899999999999991</v>
      </c>
      <c r="G36" s="734" t="s">
        <v>2874</v>
      </c>
      <c r="H36" s="687">
        <v>10.51</v>
      </c>
      <c r="I36" s="687">
        <v>8700</v>
      </c>
      <c r="J36" s="695">
        <v>77</v>
      </c>
      <c r="K36" s="696" t="s">
        <v>2690</v>
      </c>
      <c r="L36" s="696">
        <v>10</v>
      </c>
      <c r="M36" s="696" t="s">
        <v>2691</v>
      </c>
      <c r="N36" s="696" t="s">
        <v>2692</v>
      </c>
      <c r="O36" s="694">
        <v>11.88</v>
      </c>
      <c r="P36" s="696" t="s">
        <v>2700</v>
      </c>
      <c r="Q36" s="694">
        <v>12.35</v>
      </c>
      <c r="R36" s="694">
        <v>7742.75</v>
      </c>
      <c r="S36" s="684">
        <v>124</v>
      </c>
      <c r="T36" s="749" t="s">
        <v>1614</v>
      </c>
      <c r="U36" s="734">
        <v>15</v>
      </c>
      <c r="V36" s="734" t="s">
        <v>1153</v>
      </c>
      <c r="W36" s="687" t="s">
        <v>1154</v>
      </c>
      <c r="X36" s="687">
        <v>8.44</v>
      </c>
      <c r="Y36" s="734" t="s">
        <v>1389</v>
      </c>
      <c r="Z36" s="687">
        <v>7.99</v>
      </c>
      <c r="AA36" s="687">
        <v>3000</v>
      </c>
      <c r="AB36" s="236">
        <v>170</v>
      </c>
      <c r="AC36" s="749" t="s">
        <v>1611</v>
      </c>
      <c r="AD36" s="734">
        <v>20</v>
      </c>
      <c r="AE36" s="734" t="s">
        <v>652</v>
      </c>
      <c r="AF36" s="687" t="s">
        <v>653</v>
      </c>
      <c r="AG36" s="687">
        <v>9.23</v>
      </c>
      <c r="AH36" s="734" t="s">
        <v>288</v>
      </c>
      <c r="AI36" s="687">
        <v>9.23</v>
      </c>
      <c r="AJ36" s="687">
        <v>125</v>
      </c>
      <c r="AK36" s="684">
        <v>216</v>
      </c>
      <c r="AL36" s="749" t="s">
        <v>1637</v>
      </c>
      <c r="AM36" s="734">
        <v>20</v>
      </c>
      <c r="AN36" s="734" t="s">
        <v>1014</v>
      </c>
      <c r="AO36" s="687" t="s">
        <v>1013</v>
      </c>
      <c r="AP36" s="687">
        <v>12.120000000000001</v>
      </c>
      <c r="AQ36" s="734" t="s">
        <v>288</v>
      </c>
      <c r="AR36" s="687">
        <v>12.120000000000001</v>
      </c>
      <c r="AS36" s="687">
        <v>350</v>
      </c>
      <c r="AT36" s="684">
        <v>15</v>
      </c>
      <c r="AU36" s="1417" t="s">
        <v>2332</v>
      </c>
      <c r="AV36" s="734">
        <v>10</v>
      </c>
      <c r="AW36" s="734" t="s">
        <v>2275</v>
      </c>
      <c r="AX36" s="687" t="s">
        <v>2333</v>
      </c>
      <c r="AY36" s="687" t="s">
        <v>2312</v>
      </c>
      <c r="AZ36" s="734" t="s">
        <v>288</v>
      </c>
      <c r="BA36" s="687" t="s">
        <v>2312</v>
      </c>
      <c r="BB36" s="687">
        <v>1985.93</v>
      </c>
      <c r="BC36" s="695">
        <v>61</v>
      </c>
      <c r="BD36" s="1318" t="s">
        <v>2420</v>
      </c>
      <c r="BE36" s="695">
        <v>10</v>
      </c>
      <c r="BF36" s="695" t="s">
        <v>2422</v>
      </c>
      <c r="BG36" s="695" t="s">
        <v>2425</v>
      </c>
      <c r="BH36" s="1026" t="s">
        <v>2312</v>
      </c>
      <c r="BI36" s="695" t="s">
        <v>288</v>
      </c>
      <c r="BJ36" s="1349" t="s">
        <v>2312</v>
      </c>
      <c r="BK36" s="579">
        <v>18.048400000000001</v>
      </c>
      <c r="BL36" s="695">
        <v>107</v>
      </c>
      <c r="BM36" s="1318" t="s">
        <v>2584</v>
      </c>
      <c r="BN36" s="695">
        <v>9</v>
      </c>
      <c r="BO36" s="695" t="s">
        <v>2588</v>
      </c>
      <c r="BP36" s="695" t="s">
        <v>2589</v>
      </c>
      <c r="BQ36" s="1026" t="s">
        <v>2312</v>
      </c>
      <c r="BR36" s="695" t="s">
        <v>288</v>
      </c>
      <c r="BS36" s="1349" t="s">
        <v>2312</v>
      </c>
      <c r="BT36" s="579">
        <v>1581.1470999999999</v>
      </c>
    </row>
    <row r="37" spans="1:72" s="153" customFormat="1" ht="12.6" customHeight="1" x14ac:dyDescent="0.2">
      <c r="A37" s="725">
        <v>32</v>
      </c>
      <c r="B37" s="725" t="s">
        <v>2154</v>
      </c>
      <c r="C37" s="725">
        <v>5</v>
      </c>
      <c r="D37" s="725" t="s">
        <v>2155</v>
      </c>
      <c r="E37" s="725" t="s">
        <v>2156</v>
      </c>
      <c r="F37" s="639">
        <v>8.26</v>
      </c>
      <c r="G37" s="725" t="s">
        <v>2160</v>
      </c>
      <c r="H37" s="639">
        <v>8.5</v>
      </c>
      <c r="I37" s="489">
        <v>6000</v>
      </c>
      <c r="J37" s="715">
        <v>79</v>
      </c>
      <c r="K37" s="715" t="s">
        <v>2722</v>
      </c>
      <c r="L37" s="715">
        <v>10</v>
      </c>
      <c r="M37" s="715" t="s">
        <v>2723</v>
      </c>
      <c r="N37" s="715" t="s">
        <v>2724</v>
      </c>
      <c r="O37" s="735">
        <v>10.48</v>
      </c>
      <c r="P37" s="715" t="s">
        <v>2982</v>
      </c>
      <c r="Q37" s="735">
        <v>10.27</v>
      </c>
      <c r="R37" s="735">
        <f>2000+8600</f>
        <v>10600</v>
      </c>
      <c r="S37" s="725">
        <v>125</v>
      </c>
      <c r="T37" s="725" t="s">
        <v>1618</v>
      </c>
      <c r="U37" s="725">
        <v>15</v>
      </c>
      <c r="V37" s="746" t="s">
        <v>1170</v>
      </c>
      <c r="W37" s="725" t="s">
        <v>670</v>
      </c>
      <c r="X37" s="489">
        <v>7.79</v>
      </c>
      <c r="Y37" s="725" t="s">
        <v>1392</v>
      </c>
      <c r="Z37" s="489">
        <v>7.52</v>
      </c>
      <c r="AA37" s="489">
        <v>2850</v>
      </c>
      <c r="AB37" s="725">
        <v>171</v>
      </c>
      <c r="AC37" s="725" t="s">
        <v>1615</v>
      </c>
      <c r="AD37" s="725">
        <v>20</v>
      </c>
      <c r="AE37" s="746" t="s">
        <v>654</v>
      </c>
      <c r="AF37" s="725" t="s">
        <v>655</v>
      </c>
      <c r="AG37" s="489">
        <v>9.25</v>
      </c>
      <c r="AH37" s="725" t="s">
        <v>288</v>
      </c>
      <c r="AI37" s="489">
        <v>9.25</v>
      </c>
      <c r="AJ37" s="489">
        <v>125</v>
      </c>
      <c r="AK37" s="725">
        <v>217</v>
      </c>
      <c r="AL37" s="725" t="s">
        <v>1643</v>
      </c>
      <c r="AM37" s="725">
        <v>20</v>
      </c>
      <c r="AN37" s="746" t="s">
        <v>1030</v>
      </c>
      <c r="AO37" s="725" t="s">
        <v>1034</v>
      </c>
      <c r="AP37" s="489">
        <v>12.1</v>
      </c>
      <c r="AQ37" s="725" t="s">
        <v>288</v>
      </c>
      <c r="AR37" s="489">
        <v>12.1</v>
      </c>
      <c r="AS37" s="489">
        <v>250</v>
      </c>
      <c r="AT37" s="725">
        <v>16</v>
      </c>
      <c r="AU37" s="1313" t="s">
        <v>2334</v>
      </c>
      <c r="AV37" s="725">
        <v>10</v>
      </c>
      <c r="AW37" s="746" t="s">
        <v>2275</v>
      </c>
      <c r="AX37" s="725" t="s">
        <v>2333</v>
      </c>
      <c r="AY37" s="489" t="s">
        <v>2312</v>
      </c>
      <c r="AZ37" s="725" t="s">
        <v>288</v>
      </c>
      <c r="BA37" s="489" t="s">
        <v>2312</v>
      </c>
      <c r="BB37" s="489">
        <v>77.56</v>
      </c>
      <c r="BC37" s="715">
        <v>62</v>
      </c>
      <c r="BD37" s="1317" t="s">
        <v>2423</v>
      </c>
      <c r="BE37" s="715">
        <v>10</v>
      </c>
      <c r="BF37" s="715" t="s">
        <v>2422</v>
      </c>
      <c r="BG37" s="715" t="s">
        <v>2425</v>
      </c>
      <c r="BH37" s="1027" t="s">
        <v>2312</v>
      </c>
      <c r="BI37" s="715" t="s">
        <v>288</v>
      </c>
      <c r="BJ37" s="1350" t="s">
        <v>2312</v>
      </c>
      <c r="BK37" s="735">
        <v>6.0328999999999997</v>
      </c>
      <c r="BL37" s="715">
        <v>108</v>
      </c>
      <c r="BM37" s="1317" t="s">
        <v>2585</v>
      </c>
      <c r="BN37" s="715">
        <v>9</v>
      </c>
      <c r="BO37" s="715" t="s">
        <v>2588</v>
      </c>
      <c r="BP37" s="715" t="s">
        <v>2589</v>
      </c>
      <c r="BQ37" s="1027" t="s">
        <v>2312</v>
      </c>
      <c r="BR37" s="715" t="s">
        <v>288</v>
      </c>
      <c r="BS37" s="1350" t="s">
        <v>2312</v>
      </c>
      <c r="BT37" s="735">
        <v>249.5</v>
      </c>
    </row>
    <row r="38" spans="1:72" s="153" customFormat="1" ht="12.6" customHeight="1" x14ac:dyDescent="0.2">
      <c r="A38" s="684">
        <v>33</v>
      </c>
      <c r="B38" s="749" t="s">
        <v>2195</v>
      </c>
      <c r="C38" s="684">
        <v>5</v>
      </c>
      <c r="D38" s="684" t="s">
        <v>2196</v>
      </c>
      <c r="E38" s="684" t="s">
        <v>2197</v>
      </c>
      <c r="F38" s="687">
        <v>8.75</v>
      </c>
      <c r="G38" s="734" t="s">
        <v>2203</v>
      </c>
      <c r="H38" s="687">
        <v>9.0399999999999991</v>
      </c>
      <c r="I38" s="687">
        <v>6000</v>
      </c>
      <c r="J38" s="695">
        <v>80</v>
      </c>
      <c r="K38" s="696" t="s">
        <v>2817</v>
      </c>
      <c r="L38" s="696">
        <v>10</v>
      </c>
      <c r="M38" s="696" t="s">
        <v>2818</v>
      </c>
      <c r="N38" s="696" t="s">
        <v>2819</v>
      </c>
      <c r="O38" s="694">
        <v>10.39</v>
      </c>
      <c r="P38" s="696" t="s">
        <v>2949</v>
      </c>
      <c r="Q38" s="694">
        <v>10.23</v>
      </c>
      <c r="R38" s="694">
        <v>9500</v>
      </c>
      <c r="S38" s="684">
        <v>126</v>
      </c>
      <c r="T38" s="749" t="s">
        <v>1622</v>
      </c>
      <c r="U38" s="734">
        <v>15</v>
      </c>
      <c r="V38" s="734" t="s">
        <v>1430</v>
      </c>
      <c r="W38" s="687" t="s">
        <v>1431</v>
      </c>
      <c r="X38" s="687">
        <v>7.1999999999999993</v>
      </c>
      <c r="Y38" s="734" t="s">
        <v>1494</v>
      </c>
      <c r="Z38" s="687">
        <v>9.33</v>
      </c>
      <c r="AA38" s="687">
        <v>4500</v>
      </c>
      <c r="AB38" s="236">
        <v>172</v>
      </c>
      <c r="AC38" s="749" t="s">
        <v>1619</v>
      </c>
      <c r="AD38" s="734">
        <v>20</v>
      </c>
      <c r="AE38" s="734" t="s">
        <v>656</v>
      </c>
      <c r="AF38" s="687" t="s">
        <v>657</v>
      </c>
      <c r="AG38" s="687">
        <v>9.25</v>
      </c>
      <c r="AH38" s="734" t="s">
        <v>288</v>
      </c>
      <c r="AI38" s="687">
        <v>9.25</v>
      </c>
      <c r="AJ38" s="687">
        <v>125</v>
      </c>
      <c r="AK38" s="684">
        <v>218</v>
      </c>
      <c r="AL38" s="749" t="s">
        <v>1646</v>
      </c>
      <c r="AM38" s="734">
        <v>20</v>
      </c>
      <c r="AN38" s="734" t="s">
        <v>1032</v>
      </c>
      <c r="AO38" s="687" t="s">
        <v>1035</v>
      </c>
      <c r="AP38" s="687">
        <v>11.89</v>
      </c>
      <c r="AQ38" s="734" t="s">
        <v>288</v>
      </c>
      <c r="AR38" s="687">
        <v>11.89</v>
      </c>
      <c r="AS38" s="687">
        <v>250</v>
      </c>
      <c r="AT38" s="684">
        <v>17</v>
      </c>
      <c r="AU38" s="1417" t="s">
        <v>2335</v>
      </c>
      <c r="AV38" s="734">
        <v>10</v>
      </c>
      <c r="AW38" s="734" t="s">
        <v>2336</v>
      </c>
      <c r="AX38" s="687" t="s">
        <v>999</v>
      </c>
      <c r="AY38" s="687" t="s">
        <v>2312</v>
      </c>
      <c r="AZ38" s="734" t="s">
        <v>288</v>
      </c>
      <c r="BA38" s="687" t="s">
        <v>2312</v>
      </c>
      <c r="BB38" s="687">
        <v>1050.48</v>
      </c>
      <c r="BC38" s="734">
        <v>63</v>
      </c>
      <c r="BD38" s="1318" t="s">
        <v>2426</v>
      </c>
      <c r="BE38" s="695">
        <v>10</v>
      </c>
      <c r="BF38" s="695" t="s">
        <v>2422</v>
      </c>
      <c r="BG38" s="695" t="s">
        <v>2425</v>
      </c>
      <c r="BH38" s="1026" t="s">
        <v>1804</v>
      </c>
      <c r="BI38" s="695" t="s">
        <v>288</v>
      </c>
      <c r="BJ38" s="1349" t="s">
        <v>1804</v>
      </c>
      <c r="BK38" s="579">
        <v>218.24969999999999</v>
      </c>
      <c r="BL38" s="734">
        <v>109</v>
      </c>
      <c r="BM38" s="1318" t="s">
        <v>2416</v>
      </c>
      <c r="BN38" s="695">
        <v>9</v>
      </c>
      <c r="BO38" s="695" t="s">
        <v>2588</v>
      </c>
      <c r="BP38" s="695" t="s">
        <v>2589</v>
      </c>
      <c r="BQ38" s="1026" t="s">
        <v>2312</v>
      </c>
      <c r="BR38" s="695" t="s">
        <v>288</v>
      </c>
      <c r="BS38" s="1349" t="s">
        <v>2312</v>
      </c>
      <c r="BT38" s="579">
        <v>0.79039999999999999</v>
      </c>
    </row>
    <row r="39" spans="1:72" s="153" customFormat="1" ht="12.6" customHeight="1" x14ac:dyDescent="0.2">
      <c r="A39" s="725">
        <v>34</v>
      </c>
      <c r="B39" s="725" t="s">
        <v>2207</v>
      </c>
      <c r="C39" s="725">
        <v>5</v>
      </c>
      <c r="D39" s="725" t="s">
        <v>2208</v>
      </c>
      <c r="E39" s="725" t="s">
        <v>2236</v>
      </c>
      <c r="F39" s="639">
        <v>9</v>
      </c>
      <c r="G39" s="725" t="s">
        <v>2981</v>
      </c>
      <c r="H39" s="639">
        <v>9.66</v>
      </c>
      <c r="I39" s="489">
        <f>3500+2500</f>
        <v>6000</v>
      </c>
      <c r="J39" s="715">
        <v>81</v>
      </c>
      <c r="K39" s="715" t="s">
        <v>1604</v>
      </c>
      <c r="L39" s="715">
        <v>15</v>
      </c>
      <c r="M39" s="715" t="s">
        <v>667</v>
      </c>
      <c r="N39" s="715" t="s">
        <v>668</v>
      </c>
      <c r="O39" s="735">
        <v>9.3000000000000007</v>
      </c>
      <c r="P39" s="715" t="s">
        <v>288</v>
      </c>
      <c r="Q39" s="735">
        <v>9.3000000000000007</v>
      </c>
      <c r="R39" s="735">
        <v>250</v>
      </c>
      <c r="S39" s="725">
        <v>127</v>
      </c>
      <c r="T39" s="725" t="s">
        <v>1628</v>
      </c>
      <c r="U39" s="725">
        <v>15</v>
      </c>
      <c r="V39" s="746" t="s">
        <v>1471</v>
      </c>
      <c r="W39" s="725" t="s">
        <v>1472</v>
      </c>
      <c r="X39" s="489">
        <v>7.55</v>
      </c>
      <c r="Y39" s="725" t="s">
        <v>1799</v>
      </c>
      <c r="Z39" s="489">
        <v>5.87</v>
      </c>
      <c r="AA39" s="489">
        <v>4150</v>
      </c>
      <c r="AB39" s="725">
        <v>173</v>
      </c>
      <c r="AC39" s="725" t="s">
        <v>1623</v>
      </c>
      <c r="AD39" s="725">
        <v>20</v>
      </c>
      <c r="AE39" s="746" t="s">
        <v>658</v>
      </c>
      <c r="AF39" s="725" t="s">
        <v>659</v>
      </c>
      <c r="AG39" s="489">
        <v>9.4499999999999993</v>
      </c>
      <c r="AH39" s="725" t="s">
        <v>288</v>
      </c>
      <c r="AI39" s="489">
        <v>9.4499999999999993</v>
      </c>
      <c r="AJ39" s="489">
        <v>125</v>
      </c>
      <c r="AK39" s="725">
        <v>219</v>
      </c>
      <c r="AL39" s="725" t="s">
        <v>1652</v>
      </c>
      <c r="AM39" s="725">
        <v>20</v>
      </c>
      <c r="AN39" s="746" t="s">
        <v>1036</v>
      </c>
      <c r="AO39" s="725" t="s">
        <v>1038</v>
      </c>
      <c r="AP39" s="489">
        <v>11.98</v>
      </c>
      <c r="AQ39" s="725" t="s">
        <v>288</v>
      </c>
      <c r="AR39" s="489">
        <v>11.98</v>
      </c>
      <c r="AS39" s="489">
        <v>250</v>
      </c>
      <c r="AT39" s="725">
        <v>18</v>
      </c>
      <c r="AU39" s="1313" t="s">
        <v>2315</v>
      </c>
      <c r="AV39" s="725">
        <v>10</v>
      </c>
      <c r="AW39" s="746" t="s">
        <v>2319</v>
      </c>
      <c r="AX39" s="725" t="s">
        <v>2337</v>
      </c>
      <c r="AY39" s="489" t="s">
        <v>2312</v>
      </c>
      <c r="AZ39" s="725" t="s">
        <v>288</v>
      </c>
      <c r="BA39" s="489" t="s">
        <v>2312</v>
      </c>
      <c r="BB39" s="489">
        <v>666.11</v>
      </c>
      <c r="BC39" s="746">
        <v>64</v>
      </c>
      <c r="BD39" s="1317" t="s">
        <v>2428</v>
      </c>
      <c r="BE39" s="715">
        <v>10</v>
      </c>
      <c r="BF39" s="715" t="s">
        <v>2392</v>
      </c>
      <c r="BG39" s="715" t="s">
        <v>2427</v>
      </c>
      <c r="BH39" s="1027" t="s">
        <v>2312</v>
      </c>
      <c r="BI39" s="715" t="s">
        <v>288</v>
      </c>
      <c r="BJ39" s="1350" t="s">
        <v>2312</v>
      </c>
      <c r="BK39" s="735">
        <v>23.218399999999999</v>
      </c>
      <c r="BL39" s="746">
        <v>110</v>
      </c>
      <c r="BM39" s="1317" t="s">
        <v>2403</v>
      </c>
      <c r="BN39" s="715">
        <v>10</v>
      </c>
      <c r="BO39" s="715" t="s">
        <v>2588</v>
      </c>
      <c r="BP39" s="715" t="s">
        <v>2590</v>
      </c>
      <c r="BQ39" s="1027" t="s">
        <v>2312</v>
      </c>
      <c r="BR39" s="715" t="s">
        <v>288</v>
      </c>
      <c r="BS39" s="1350" t="s">
        <v>2312</v>
      </c>
      <c r="BT39" s="735">
        <v>5.82</v>
      </c>
    </row>
    <row r="40" spans="1:72" s="153" customFormat="1" ht="12.6" customHeight="1" x14ac:dyDescent="0.2">
      <c r="A40" s="684">
        <v>35</v>
      </c>
      <c r="B40" s="749" t="s">
        <v>2234</v>
      </c>
      <c r="C40" s="684">
        <v>5</v>
      </c>
      <c r="D40" s="684" t="s">
        <v>2235</v>
      </c>
      <c r="E40" s="684" t="s">
        <v>2237</v>
      </c>
      <c r="F40" s="687">
        <v>9.1</v>
      </c>
      <c r="G40" s="734" t="s">
        <v>2948</v>
      </c>
      <c r="H40" s="687">
        <v>10.46</v>
      </c>
      <c r="I40" s="687">
        <v>6289.83</v>
      </c>
      <c r="J40" s="695">
        <v>82</v>
      </c>
      <c r="K40" s="696" t="s">
        <v>1609</v>
      </c>
      <c r="L40" s="696">
        <v>15</v>
      </c>
      <c r="M40" s="696" t="s">
        <v>950</v>
      </c>
      <c r="N40" s="696" t="s">
        <v>951</v>
      </c>
      <c r="O40" s="694">
        <v>9.35</v>
      </c>
      <c r="P40" s="696" t="s">
        <v>288</v>
      </c>
      <c r="Q40" s="694">
        <v>9.35</v>
      </c>
      <c r="R40" s="694">
        <v>250</v>
      </c>
      <c r="S40" s="684">
        <v>128</v>
      </c>
      <c r="T40" s="749" t="s">
        <v>1633</v>
      </c>
      <c r="U40" s="734">
        <v>15</v>
      </c>
      <c r="V40" s="734" t="s">
        <v>1634</v>
      </c>
      <c r="W40" s="687" t="s">
        <v>1635</v>
      </c>
      <c r="X40" s="687">
        <v>8.9</v>
      </c>
      <c r="Y40" s="734" t="s">
        <v>2241</v>
      </c>
      <c r="Z40" s="687">
        <v>10.55</v>
      </c>
      <c r="AA40" s="687">
        <v>5227.32</v>
      </c>
      <c r="AB40" s="236">
        <v>174</v>
      </c>
      <c r="AC40" s="749" t="s">
        <v>1630</v>
      </c>
      <c r="AD40" s="734">
        <v>20</v>
      </c>
      <c r="AE40" s="734" t="s">
        <v>660</v>
      </c>
      <c r="AF40" s="687" t="s">
        <v>1052</v>
      </c>
      <c r="AG40" s="687">
        <v>9.57</v>
      </c>
      <c r="AH40" s="734" t="s">
        <v>288</v>
      </c>
      <c r="AI40" s="687">
        <v>9.57</v>
      </c>
      <c r="AJ40" s="687">
        <v>125</v>
      </c>
      <c r="AK40" s="684">
        <v>220</v>
      </c>
      <c r="AL40" s="749" t="s">
        <v>1656</v>
      </c>
      <c r="AM40" s="734">
        <v>20</v>
      </c>
      <c r="AN40" s="734" t="s">
        <v>1046</v>
      </c>
      <c r="AO40" s="687" t="s">
        <v>1051</v>
      </c>
      <c r="AP40" s="687">
        <v>11.98</v>
      </c>
      <c r="AQ40" s="734" t="s">
        <v>288</v>
      </c>
      <c r="AR40" s="687">
        <v>11.98</v>
      </c>
      <c r="AS40" s="687">
        <v>250</v>
      </c>
      <c r="AT40" s="684">
        <v>19</v>
      </c>
      <c r="AU40" s="1417" t="s">
        <v>2313</v>
      </c>
      <c r="AV40" s="734">
        <v>10</v>
      </c>
      <c r="AW40" s="734" t="s">
        <v>2319</v>
      </c>
      <c r="AX40" s="687" t="s">
        <v>2337</v>
      </c>
      <c r="AY40" s="687" t="s">
        <v>2312</v>
      </c>
      <c r="AZ40" s="734" t="s">
        <v>288</v>
      </c>
      <c r="BA40" s="687" t="s">
        <v>2312</v>
      </c>
      <c r="BB40" s="687">
        <v>504.76</v>
      </c>
      <c r="BC40" s="734">
        <v>65</v>
      </c>
      <c r="BD40" s="1318" t="s">
        <v>2429</v>
      </c>
      <c r="BE40" s="695">
        <v>10</v>
      </c>
      <c r="BF40" s="695" t="s">
        <v>2392</v>
      </c>
      <c r="BG40" s="695" t="s">
        <v>2427</v>
      </c>
      <c r="BH40" s="1026" t="s">
        <v>2312</v>
      </c>
      <c r="BI40" s="695" t="s">
        <v>288</v>
      </c>
      <c r="BJ40" s="1349" t="s">
        <v>2312</v>
      </c>
      <c r="BK40" s="579">
        <v>1023.5085</v>
      </c>
      <c r="BL40" s="734">
        <v>111</v>
      </c>
      <c r="BM40" s="1318" t="s">
        <v>2586</v>
      </c>
      <c r="BN40" s="695">
        <v>10</v>
      </c>
      <c r="BO40" s="695" t="s">
        <v>2588</v>
      </c>
      <c r="BP40" s="695" t="s">
        <v>2590</v>
      </c>
      <c r="BQ40" s="1026" t="s">
        <v>2312</v>
      </c>
      <c r="BR40" s="695" t="s">
        <v>288</v>
      </c>
      <c r="BS40" s="1349" t="s">
        <v>2312</v>
      </c>
      <c r="BT40" s="579">
        <v>9.3963000000000001</v>
      </c>
    </row>
    <row r="41" spans="1:72" s="153" customFormat="1" ht="12.6" customHeight="1" x14ac:dyDescent="0.2">
      <c r="A41" s="725">
        <v>36</v>
      </c>
      <c r="B41" s="725" t="s">
        <v>2246</v>
      </c>
      <c r="C41" s="725">
        <v>5</v>
      </c>
      <c r="D41" s="725" t="s">
        <v>2247</v>
      </c>
      <c r="E41" s="725" t="s">
        <v>2248</v>
      </c>
      <c r="F41" s="639">
        <v>10.99</v>
      </c>
      <c r="G41" s="725" t="s">
        <v>2293</v>
      </c>
      <c r="H41" s="639">
        <v>11.95</v>
      </c>
      <c r="I41" s="489">
        <v>3934.8999999999996</v>
      </c>
      <c r="J41" s="715">
        <v>83</v>
      </c>
      <c r="K41" s="715" t="s">
        <v>1613</v>
      </c>
      <c r="L41" s="715">
        <v>15</v>
      </c>
      <c r="M41" s="715" t="s">
        <v>952</v>
      </c>
      <c r="N41" s="715" t="s">
        <v>953</v>
      </c>
      <c r="O41" s="735">
        <v>9.35</v>
      </c>
      <c r="P41" s="715" t="s">
        <v>288</v>
      </c>
      <c r="Q41" s="735">
        <v>9.35</v>
      </c>
      <c r="R41" s="735">
        <v>250</v>
      </c>
      <c r="S41" s="725">
        <v>129</v>
      </c>
      <c r="T41" s="725" t="s">
        <v>1641</v>
      </c>
      <c r="U41" s="725">
        <v>15</v>
      </c>
      <c r="V41" s="746" t="s">
        <v>1530</v>
      </c>
      <c r="W41" s="725" t="s">
        <v>1531</v>
      </c>
      <c r="X41" s="489">
        <v>8.6999999999999993</v>
      </c>
      <c r="Y41" s="725" t="s">
        <v>2275</v>
      </c>
      <c r="Z41" s="489">
        <v>12</v>
      </c>
      <c r="AA41" s="489">
        <v>5316.0899999999992</v>
      </c>
      <c r="AB41" s="725">
        <v>175</v>
      </c>
      <c r="AC41" s="725" t="s">
        <v>1636</v>
      </c>
      <c r="AD41" s="725">
        <v>20</v>
      </c>
      <c r="AE41" s="746" t="s">
        <v>661</v>
      </c>
      <c r="AF41" s="725" t="s">
        <v>662</v>
      </c>
      <c r="AG41" s="489">
        <v>9.6</v>
      </c>
      <c r="AH41" s="725" t="s">
        <v>288</v>
      </c>
      <c r="AI41" s="489">
        <v>9.6</v>
      </c>
      <c r="AJ41" s="489">
        <v>150</v>
      </c>
      <c r="AK41" s="725">
        <v>221</v>
      </c>
      <c r="AL41" s="725" t="s">
        <v>1660</v>
      </c>
      <c r="AM41" s="725">
        <v>20</v>
      </c>
      <c r="AN41" s="746" t="s">
        <v>1048</v>
      </c>
      <c r="AO41" s="725" t="s">
        <v>1050</v>
      </c>
      <c r="AP41" s="489">
        <v>11.98</v>
      </c>
      <c r="AQ41" s="725" t="s">
        <v>1606</v>
      </c>
      <c r="AR41" s="489">
        <v>11.97</v>
      </c>
      <c r="AS41" s="489">
        <v>680</v>
      </c>
      <c r="AT41" s="725">
        <v>20</v>
      </c>
      <c r="AU41" s="1313" t="s">
        <v>2338</v>
      </c>
      <c r="AV41" s="725">
        <v>10</v>
      </c>
      <c r="AW41" s="746" t="s">
        <v>2319</v>
      </c>
      <c r="AX41" s="725" t="s">
        <v>2337</v>
      </c>
      <c r="AY41" s="489" t="s">
        <v>2312</v>
      </c>
      <c r="AZ41" s="725" t="s">
        <v>288</v>
      </c>
      <c r="BA41" s="489" t="s">
        <v>2312</v>
      </c>
      <c r="BB41" s="489">
        <v>330.53</v>
      </c>
      <c r="BC41" s="715">
        <v>66</v>
      </c>
      <c r="BD41" s="1317" t="s">
        <v>2430</v>
      </c>
      <c r="BE41" s="715">
        <v>10</v>
      </c>
      <c r="BF41" s="715" t="s">
        <v>2392</v>
      </c>
      <c r="BG41" s="715" t="s">
        <v>2427</v>
      </c>
      <c r="BH41" s="1027" t="s">
        <v>2312</v>
      </c>
      <c r="BI41" s="715" t="s">
        <v>288</v>
      </c>
      <c r="BJ41" s="1350" t="s">
        <v>2312</v>
      </c>
      <c r="BK41" s="735">
        <v>8.0681999999999992</v>
      </c>
      <c r="BL41" s="715">
        <v>112</v>
      </c>
      <c r="BM41" s="1317" t="s">
        <v>2420</v>
      </c>
      <c r="BN41" s="715">
        <v>10</v>
      </c>
      <c r="BO41" s="715" t="s">
        <v>2588</v>
      </c>
      <c r="BP41" s="715" t="s">
        <v>2590</v>
      </c>
      <c r="BQ41" s="1027" t="s">
        <v>2312</v>
      </c>
      <c r="BR41" s="715" t="s">
        <v>288</v>
      </c>
      <c r="BS41" s="1350" t="s">
        <v>2312</v>
      </c>
      <c r="BT41" s="735">
        <v>60.087699999999998</v>
      </c>
    </row>
    <row r="42" spans="1:72" s="153" customFormat="1" ht="12.6" customHeight="1" x14ac:dyDescent="0.2">
      <c r="A42" s="684">
        <v>37</v>
      </c>
      <c r="B42" s="749" t="s">
        <v>2263</v>
      </c>
      <c r="C42" s="684">
        <v>5</v>
      </c>
      <c r="D42" s="684" t="s">
        <v>2264</v>
      </c>
      <c r="E42" s="684" t="s">
        <v>2265</v>
      </c>
      <c r="F42" s="687">
        <v>10.35</v>
      </c>
      <c r="G42" s="734" t="s">
        <v>2509</v>
      </c>
      <c r="H42" s="687">
        <v>12.4</v>
      </c>
      <c r="I42" s="687">
        <v>5430.21</v>
      </c>
      <c r="J42" s="695">
        <v>84</v>
      </c>
      <c r="K42" s="696" t="s">
        <v>1617</v>
      </c>
      <c r="L42" s="696">
        <v>15</v>
      </c>
      <c r="M42" s="696" t="s">
        <v>954</v>
      </c>
      <c r="N42" s="696" t="s">
        <v>955</v>
      </c>
      <c r="O42" s="694">
        <v>9.65</v>
      </c>
      <c r="P42" s="696" t="s">
        <v>288</v>
      </c>
      <c r="Q42" s="694">
        <v>9.65</v>
      </c>
      <c r="R42" s="694">
        <v>150</v>
      </c>
      <c r="S42" s="684">
        <v>130</v>
      </c>
      <c r="T42" s="749" t="s">
        <v>1820</v>
      </c>
      <c r="U42" s="734">
        <v>15</v>
      </c>
      <c r="V42" s="734" t="s">
        <v>1821</v>
      </c>
      <c r="W42" s="687" t="s">
        <v>1822</v>
      </c>
      <c r="X42" s="687">
        <v>5.65</v>
      </c>
      <c r="Y42" s="734" t="s">
        <v>288</v>
      </c>
      <c r="Z42" s="687">
        <v>5.65</v>
      </c>
      <c r="AA42" s="687">
        <v>4500</v>
      </c>
      <c r="AB42" s="236">
        <v>176</v>
      </c>
      <c r="AC42" s="749" t="s">
        <v>1642</v>
      </c>
      <c r="AD42" s="734">
        <v>20</v>
      </c>
      <c r="AE42" s="734" t="s">
        <v>663</v>
      </c>
      <c r="AF42" s="687" t="s">
        <v>664</v>
      </c>
      <c r="AG42" s="687">
        <v>9.6</v>
      </c>
      <c r="AH42" s="734" t="s">
        <v>288</v>
      </c>
      <c r="AI42" s="687">
        <v>9.6</v>
      </c>
      <c r="AJ42" s="687">
        <v>150</v>
      </c>
      <c r="AK42" s="684">
        <v>222</v>
      </c>
      <c r="AL42" s="749" t="s">
        <v>1664</v>
      </c>
      <c r="AM42" s="734">
        <v>20</v>
      </c>
      <c r="AN42" s="734" t="s">
        <v>1151</v>
      </c>
      <c r="AO42" s="687" t="s">
        <v>1152</v>
      </c>
      <c r="AP42" s="687">
        <v>10.36</v>
      </c>
      <c r="AQ42" s="734" t="s">
        <v>1405</v>
      </c>
      <c r="AR42" s="687">
        <v>8.09</v>
      </c>
      <c r="AS42" s="687">
        <v>2600</v>
      </c>
      <c r="AT42" s="684">
        <v>21</v>
      </c>
      <c r="AU42" s="1417" t="s">
        <v>2339</v>
      </c>
      <c r="AV42" s="734">
        <v>10</v>
      </c>
      <c r="AW42" s="734" t="s">
        <v>2328</v>
      </c>
      <c r="AX42" s="687" t="s">
        <v>2340</v>
      </c>
      <c r="AY42" s="687" t="s">
        <v>2312</v>
      </c>
      <c r="AZ42" s="734" t="s">
        <v>288</v>
      </c>
      <c r="BA42" s="687" t="s">
        <v>2312</v>
      </c>
      <c r="BB42" s="687">
        <v>5.61</v>
      </c>
      <c r="BC42" s="695">
        <v>67</v>
      </c>
      <c r="BD42" s="1318" t="s">
        <v>2431</v>
      </c>
      <c r="BE42" s="695">
        <v>10</v>
      </c>
      <c r="BF42" s="695" t="s">
        <v>2392</v>
      </c>
      <c r="BG42" s="695" t="s">
        <v>2427</v>
      </c>
      <c r="BH42" s="1026" t="s">
        <v>2312</v>
      </c>
      <c r="BI42" s="695" t="s">
        <v>288</v>
      </c>
      <c r="BJ42" s="1349" t="s">
        <v>2312</v>
      </c>
      <c r="BK42" s="579">
        <v>41.005299999999998</v>
      </c>
      <c r="BL42" s="695">
        <v>113</v>
      </c>
      <c r="BM42" s="1318" t="s">
        <v>2587</v>
      </c>
      <c r="BN42" s="695">
        <v>10</v>
      </c>
      <c r="BO42" s="695" t="s">
        <v>2588</v>
      </c>
      <c r="BP42" s="695" t="s">
        <v>2590</v>
      </c>
      <c r="BQ42" s="1026" t="s">
        <v>2312</v>
      </c>
      <c r="BR42" s="695" t="s">
        <v>288</v>
      </c>
      <c r="BS42" s="1349" t="s">
        <v>2312</v>
      </c>
      <c r="BT42" s="579">
        <v>2.0255999999999998</v>
      </c>
    </row>
    <row r="43" spans="1:72" s="153" customFormat="1" ht="12.6" customHeight="1" thickBot="1" x14ac:dyDescent="0.25">
      <c r="A43" s="725">
        <v>38</v>
      </c>
      <c r="B43" s="725" t="s">
        <v>2381</v>
      </c>
      <c r="C43" s="725">
        <v>5</v>
      </c>
      <c r="D43" s="725" t="s">
        <v>1832</v>
      </c>
      <c r="E43" s="725" t="s">
        <v>2382</v>
      </c>
      <c r="F43" s="639">
        <v>12.1</v>
      </c>
      <c r="G43" s="725" t="s">
        <v>1479</v>
      </c>
      <c r="H43" s="639">
        <v>12.41</v>
      </c>
      <c r="I43" s="489">
        <v>6141.35</v>
      </c>
      <c r="J43" s="715">
        <v>85</v>
      </c>
      <c r="K43" s="715" t="s">
        <v>1621</v>
      </c>
      <c r="L43" s="715">
        <v>15</v>
      </c>
      <c r="M43" s="715" t="s">
        <v>956</v>
      </c>
      <c r="N43" s="715" t="s">
        <v>957</v>
      </c>
      <c r="O43" s="735">
        <v>10.3</v>
      </c>
      <c r="P43" s="715" t="s">
        <v>288</v>
      </c>
      <c r="Q43" s="735">
        <v>10.3</v>
      </c>
      <c r="R43" s="735">
        <v>150</v>
      </c>
      <c r="S43" s="725">
        <v>131</v>
      </c>
      <c r="T43" s="725" t="s">
        <v>2031</v>
      </c>
      <c r="U43" s="725">
        <v>15</v>
      </c>
      <c r="V43" s="746" t="s">
        <v>2032</v>
      </c>
      <c r="W43" s="725" t="s">
        <v>2033</v>
      </c>
      <c r="X43" s="489">
        <v>7.98</v>
      </c>
      <c r="Y43" s="725" t="s">
        <v>2642</v>
      </c>
      <c r="Z43" s="489">
        <v>11.36</v>
      </c>
      <c r="AA43" s="489">
        <v>6766.66</v>
      </c>
      <c r="AB43" s="725">
        <v>177</v>
      </c>
      <c r="AC43" s="725" t="s">
        <v>1645</v>
      </c>
      <c r="AD43" s="725">
        <v>20</v>
      </c>
      <c r="AE43" s="746" t="s">
        <v>665</v>
      </c>
      <c r="AF43" s="725" t="s">
        <v>666</v>
      </c>
      <c r="AG43" s="489">
        <v>9.6300000000000008</v>
      </c>
      <c r="AH43" s="725" t="s">
        <v>288</v>
      </c>
      <c r="AI43" s="489">
        <v>9.6300000000000008</v>
      </c>
      <c r="AJ43" s="489">
        <v>160</v>
      </c>
      <c r="AK43" s="725">
        <v>223</v>
      </c>
      <c r="AL43" s="725" t="s">
        <v>1668</v>
      </c>
      <c r="AM43" s="725">
        <v>20</v>
      </c>
      <c r="AN43" s="746" t="s">
        <v>1157</v>
      </c>
      <c r="AO43" s="725" t="s">
        <v>1158</v>
      </c>
      <c r="AP43" s="489">
        <v>8.6999999999999993</v>
      </c>
      <c r="AQ43" s="725" t="s">
        <v>1494</v>
      </c>
      <c r="AR43" s="489">
        <v>9.43</v>
      </c>
      <c r="AS43" s="489">
        <v>3950</v>
      </c>
      <c r="AT43" s="725">
        <v>22</v>
      </c>
      <c r="AU43" s="1313" t="s">
        <v>2341</v>
      </c>
      <c r="AV43" s="725">
        <v>10</v>
      </c>
      <c r="AW43" s="746" t="s">
        <v>2328</v>
      </c>
      <c r="AX43" s="725" t="s">
        <v>2340</v>
      </c>
      <c r="AY43" s="489" t="s">
        <v>2312</v>
      </c>
      <c r="AZ43" s="725" t="s">
        <v>288</v>
      </c>
      <c r="BA43" s="489" t="s">
        <v>2312</v>
      </c>
      <c r="BB43" s="489">
        <v>50</v>
      </c>
      <c r="BC43" s="715">
        <v>68</v>
      </c>
      <c r="BD43" s="1317" t="s">
        <v>2432</v>
      </c>
      <c r="BE43" s="800">
        <v>10</v>
      </c>
      <c r="BF43" s="762" t="s">
        <v>2392</v>
      </c>
      <c r="BG43" s="762" t="s">
        <v>2427</v>
      </c>
      <c r="BH43" s="1350" t="s">
        <v>2312</v>
      </c>
      <c r="BI43" s="725" t="s">
        <v>288</v>
      </c>
      <c r="BJ43" s="1350" t="s">
        <v>2312</v>
      </c>
      <c r="BK43" s="489">
        <v>71.054400000000001</v>
      </c>
      <c r="BL43" s="1551">
        <v>114</v>
      </c>
      <c r="BM43" s="1552" t="s">
        <v>2407</v>
      </c>
      <c r="BN43" s="1553">
        <v>10</v>
      </c>
      <c r="BO43" s="1554" t="s">
        <v>2588</v>
      </c>
      <c r="BP43" s="1554" t="s">
        <v>2590</v>
      </c>
      <c r="BQ43" s="1555" t="s">
        <v>2312</v>
      </c>
      <c r="BR43" s="1556" t="s">
        <v>288</v>
      </c>
      <c r="BS43" s="1555" t="s">
        <v>2312</v>
      </c>
      <c r="BT43" s="1557">
        <v>5.2679999999999998</v>
      </c>
    </row>
    <row r="44" spans="1:72" s="153" customFormat="1" ht="12.6" customHeight="1" x14ac:dyDescent="0.2">
      <c r="A44" s="684">
        <v>39</v>
      </c>
      <c r="B44" s="749" t="s">
        <v>2393</v>
      </c>
      <c r="C44" s="684">
        <v>5</v>
      </c>
      <c r="D44" s="684" t="s">
        <v>2394</v>
      </c>
      <c r="E44" s="684" t="s">
        <v>2395</v>
      </c>
      <c r="F44" s="687">
        <v>12.4</v>
      </c>
      <c r="G44" s="734" t="s">
        <v>2529</v>
      </c>
      <c r="H44" s="687">
        <v>12.37</v>
      </c>
      <c r="I44" s="687">
        <v>7760.69</v>
      </c>
      <c r="J44" s="695">
        <v>86</v>
      </c>
      <c r="K44" s="696" t="s">
        <v>1625</v>
      </c>
      <c r="L44" s="696">
        <v>15</v>
      </c>
      <c r="M44" s="696" t="s">
        <v>1626</v>
      </c>
      <c r="N44" s="696" t="s">
        <v>1627</v>
      </c>
      <c r="O44" s="694">
        <v>10.99</v>
      </c>
      <c r="P44" s="696" t="s">
        <v>288</v>
      </c>
      <c r="Q44" s="694">
        <v>10.99</v>
      </c>
      <c r="R44" s="694">
        <v>200</v>
      </c>
      <c r="S44" s="684">
        <v>132</v>
      </c>
      <c r="T44" s="749" t="s">
        <v>2064</v>
      </c>
      <c r="U44" s="734">
        <v>15</v>
      </c>
      <c r="V44" s="734" t="s">
        <v>2062</v>
      </c>
      <c r="W44" s="687" t="s">
        <v>2065</v>
      </c>
      <c r="X44" s="687">
        <v>8.5500000000000007</v>
      </c>
      <c r="Y44" s="734" t="s">
        <v>2617</v>
      </c>
      <c r="Z44" s="687">
        <v>11.92</v>
      </c>
      <c r="AA44" s="687">
        <v>8154.22</v>
      </c>
      <c r="AB44" s="236">
        <v>178</v>
      </c>
      <c r="AC44" s="749" t="s">
        <v>1651</v>
      </c>
      <c r="AD44" s="734">
        <v>20</v>
      </c>
      <c r="AE44" s="734" t="s">
        <v>669</v>
      </c>
      <c r="AF44" s="687" t="s">
        <v>670</v>
      </c>
      <c r="AG44" s="687">
        <v>9.65</v>
      </c>
      <c r="AH44" s="734" t="s">
        <v>288</v>
      </c>
      <c r="AI44" s="687">
        <v>9.65</v>
      </c>
      <c r="AJ44" s="687">
        <v>175</v>
      </c>
      <c r="AK44" s="684">
        <v>224</v>
      </c>
      <c r="AL44" s="749" t="s">
        <v>1672</v>
      </c>
      <c r="AM44" s="734">
        <v>20</v>
      </c>
      <c r="AN44" s="734" t="s">
        <v>1170</v>
      </c>
      <c r="AO44" s="687" t="s">
        <v>1171</v>
      </c>
      <c r="AP44" s="687">
        <v>8.24</v>
      </c>
      <c r="AQ44" s="734" t="s">
        <v>1430</v>
      </c>
      <c r="AR44" s="687">
        <v>7.97</v>
      </c>
      <c r="AS44" s="687">
        <v>2850</v>
      </c>
      <c r="AT44" s="684">
        <v>23</v>
      </c>
      <c r="AU44" s="1417" t="s">
        <v>2342</v>
      </c>
      <c r="AV44" s="734">
        <v>10</v>
      </c>
      <c r="AW44" s="734" t="s">
        <v>2328</v>
      </c>
      <c r="AX44" s="687" t="s">
        <v>2340</v>
      </c>
      <c r="AY44" s="687" t="s">
        <v>2312</v>
      </c>
      <c r="AZ44" s="734" t="s">
        <v>288</v>
      </c>
      <c r="BA44" s="687" t="s">
        <v>2312</v>
      </c>
      <c r="BB44" s="687">
        <v>3.69</v>
      </c>
      <c r="BC44" s="695">
        <v>69</v>
      </c>
      <c r="BD44" s="1318" t="s">
        <v>2408</v>
      </c>
      <c r="BE44" s="799">
        <v>9</v>
      </c>
      <c r="BF44" s="763" t="s">
        <v>2462</v>
      </c>
      <c r="BG44" s="695" t="s">
        <v>2464</v>
      </c>
      <c r="BH44" s="1349" t="s">
        <v>2312</v>
      </c>
      <c r="BI44" s="684" t="s">
        <v>288</v>
      </c>
      <c r="BJ44" s="1349" t="s">
        <v>2312</v>
      </c>
      <c r="BK44" s="488">
        <v>64.721900000000005</v>
      </c>
    </row>
    <row r="45" spans="1:72" s="153" customFormat="1" ht="12.6" customHeight="1" x14ac:dyDescent="0.2">
      <c r="A45" s="725">
        <v>40</v>
      </c>
      <c r="B45" s="725" t="s">
        <v>2542</v>
      </c>
      <c r="C45" s="725">
        <v>5</v>
      </c>
      <c r="D45" s="725" t="s">
        <v>2543</v>
      </c>
      <c r="E45" s="725" t="s">
        <v>2544</v>
      </c>
      <c r="F45" s="639">
        <v>12.3</v>
      </c>
      <c r="G45" s="725" t="s">
        <v>2579</v>
      </c>
      <c r="H45" s="639">
        <v>12.45</v>
      </c>
      <c r="I45" s="489">
        <v>7510.16</v>
      </c>
      <c r="J45" s="715">
        <v>87</v>
      </c>
      <c r="K45" s="715" t="s">
        <v>1632</v>
      </c>
      <c r="L45" s="715">
        <v>15</v>
      </c>
      <c r="M45" s="715" t="s">
        <v>958</v>
      </c>
      <c r="N45" s="715" t="s">
        <v>959</v>
      </c>
      <c r="O45" s="735">
        <v>11</v>
      </c>
      <c r="P45" s="715" t="s">
        <v>288</v>
      </c>
      <c r="Q45" s="735">
        <v>11</v>
      </c>
      <c r="R45" s="735">
        <v>200</v>
      </c>
      <c r="S45" s="725">
        <v>133</v>
      </c>
      <c r="T45" s="725" t="s">
        <v>2368</v>
      </c>
      <c r="U45" s="725">
        <v>15</v>
      </c>
      <c r="V45" s="746" t="s">
        <v>2369</v>
      </c>
      <c r="W45" s="725" t="s">
        <v>2370</v>
      </c>
      <c r="X45" s="489">
        <v>12.15</v>
      </c>
      <c r="Y45" s="725" t="s">
        <v>2603</v>
      </c>
      <c r="Z45" s="489">
        <v>12.63</v>
      </c>
      <c r="AA45" s="489">
        <v>8257.2800000000007</v>
      </c>
      <c r="AB45" s="725">
        <v>179</v>
      </c>
      <c r="AC45" s="725" t="s">
        <v>1655</v>
      </c>
      <c r="AD45" s="725">
        <v>20</v>
      </c>
      <c r="AE45" s="746" t="s">
        <v>1180</v>
      </c>
      <c r="AF45" s="725" t="s">
        <v>1173</v>
      </c>
      <c r="AG45" s="489">
        <v>9.65</v>
      </c>
      <c r="AH45" s="725" t="s">
        <v>288</v>
      </c>
      <c r="AI45" s="489">
        <v>9.65</v>
      </c>
      <c r="AJ45" s="489">
        <v>175</v>
      </c>
      <c r="AK45" s="725">
        <v>225</v>
      </c>
      <c r="AL45" s="725" t="s">
        <v>1676</v>
      </c>
      <c r="AM45" s="725">
        <v>20</v>
      </c>
      <c r="AN45" s="746" t="s">
        <v>1471</v>
      </c>
      <c r="AO45" s="725" t="s">
        <v>1473</v>
      </c>
      <c r="AP45" s="489">
        <v>8.24</v>
      </c>
      <c r="AQ45" s="725" t="s">
        <v>1478</v>
      </c>
      <c r="AR45" s="489">
        <v>8.68</v>
      </c>
      <c r="AS45" s="489">
        <v>3000</v>
      </c>
      <c r="AT45" s="725">
        <v>24</v>
      </c>
      <c r="AU45" s="1313" t="s">
        <v>2343</v>
      </c>
      <c r="AV45" s="725">
        <v>8</v>
      </c>
      <c r="AW45" s="746" t="s">
        <v>2319</v>
      </c>
      <c r="AX45" s="725" t="s">
        <v>2344</v>
      </c>
      <c r="AY45" s="489" t="s">
        <v>2312</v>
      </c>
      <c r="AZ45" s="725" t="s">
        <v>288</v>
      </c>
      <c r="BA45" s="489" t="s">
        <v>2312</v>
      </c>
      <c r="BB45" s="489">
        <v>778.81</v>
      </c>
      <c r="BC45" s="715">
        <v>70</v>
      </c>
      <c r="BD45" s="1317" t="s">
        <v>2406</v>
      </c>
      <c r="BE45" s="800">
        <v>10</v>
      </c>
      <c r="BF45" s="762" t="s">
        <v>2462</v>
      </c>
      <c r="BG45" s="762" t="s">
        <v>2463</v>
      </c>
      <c r="BH45" s="1350" t="s">
        <v>2312</v>
      </c>
      <c r="BI45" s="725" t="s">
        <v>288</v>
      </c>
      <c r="BJ45" s="1350" t="s">
        <v>2312</v>
      </c>
      <c r="BK45" s="489">
        <v>256.83819999999997</v>
      </c>
    </row>
    <row r="46" spans="1:72" s="153" customFormat="1" ht="12.6" customHeight="1" x14ac:dyDescent="0.2">
      <c r="A46" s="684">
        <v>41</v>
      </c>
      <c r="B46" s="749" t="s">
        <v>2600</v>
      </c>
      <c r="C46" s="684">
        <v>5</v>
      </c>
      <c r="D46" s="684" t="s">
        <v>2547</v>
      </c>
      <c r="E46" s="684" t="s">
        <v>2601</v>
      </c>
      <c r="F46" s="687">
        <v>12.38</v>
      </c>
      <c r="G46" s="734" t="s">
        <v>1497</v>
      </c>
      <c r="H46" s="687">
        <v>12.38</v>
      </c>
      <c r="I46" s="687">
        <v>7000</v>
      </c>
      <c r="J46" s="695">
        <v>88</v>
      </c>
      <c r="K46" s="696" t="s">
        <v>1638</v>
      </c>
      <c r="L46" s="696">
        <v>15</v>
      </c>
      <c r="M46" s="696" t="s">
        <v>1639</v>
      </c>
      <c r="N46" s="696" t="s">
        <v>1640</v>
      </c>
      <c r="O46" s="694">
        <v>11</v>
      </c>
      <c r="P46" s="696" t="s">
        <v>288</v>
      </c>
      <c r="Q46" s="694">
        <v>11</v>
      </c>
      <c r="R46" s="694">
        <v>200</v>
      </c>
      <c r="S46" s="684">
        <v>134</v>
      </c>
      <c r="T46" s="749" t="s">
        <v>2657</v>
      </c>
      <c r="U46" s="734">
        <v>15</v>
      </c>
      <c r="V46" s="734" t="s">
        <v>2658</v>
      </c>
      <c r="W46" s="687" t="s">
        <v>2659</v>
      </c>
      <c r="X46" s="687">
        <v>12.28</v>
      </c>
      <c r="Y46" s="734" t="s">
        <v>2725</v>
      </c>
      <c r="Z46" s="687">
        <v>10.477499999999999</v>
      </c>
      <c r="AA46" s="687">
        <v>6500</v>
      </c>
      <c r="AB46" s="236">
        <v>180</v>
      </c>
      <c r="AC46" s="749" t="s">
        <v>1659</v>
      </c>
      <c r="AD46" s="734">
        <v>20</v>
      </c>
      <c r="AE46" s="734" t="s">
        <v>1181</v>
      </c>
      <c r="AF46" s="687" t="s">
        <v>1178</v>
      </c>
      <c r="AG46" s="687">
        <v>9.65</v>
      </c>
      <c r="AH46" s="734" t="s">
        <v>288</v>
      </c>
      <c r="AI46" s="687">
        <v>9.65</v>
      </c>
      <c r="AJ46" s="687">
        <v>185</v>
      </c>
      <c r="AK46" s="684">
        <v>226</v>
      </c>
      <c r="AL46" s="749" t="s">
        <v>1679</v>
      </c>
      <c r="AM46" s="734">
        <v>20</v>
      </c>
      <c r="AN46" s="734" t="s">
        <v>1482</v>
      </c>
      <c r="AO46" s="687" t="s">
        <v>1483</v>
      </c>
      <c r="AP46" s="687">
        <v>9.2899999999999991</v>
      </c>
      <c r="AQ46" s="734" t="s">
        <v>1629</v>
      </c>
      <c r="AR46" s="687">
        <v>8.77</v>
      </c>
      <c r="AS46" s="687">
        <v>3650</v>
      </c>
      <c r="AT46" s="684">
        <v>25</v>
      </c>
      <c r="AU46" s="1417" t="s">
        <v>2345</v>
      </c>
      <c r="AV46" s="734">
        <v>8</v>
      </c>
      <c r="AW46" s="734" t="s">
        <v>2322</v>
      </c>
      <c r="AX46" s="687" t="s">
        <v>2346</v>
      </c>
      <c r="AY46" s="687" t="s">
        <v>2312</v>
      </c>
      <c r="AZ46" s="734" t="s">
        <v>288</v>
      </c>
      <c r="BA46" s="687" t="s">
        <v>2312</v>
      </c>
      <c r="BB46" s="687">
        <v>340.09</v>
      </c>
      <c r="BC46" s="695">
        <v>71</v>
      </c>
      <c r="BD46" s="1318" t="s">
        <v>2465</v>
      </c>
      <c r="BE46" s="799">
        <v>10</v>
      </c>
      <c r="BF46" s="763" t="s">
        <v>2462</v>
      </c>
      <c r="BG46" s="695" t="s">
        <v>2463</v>
      </c>
      <c r="BH46" s="1349" t="s">
        <v>2312</v>
      </c>
      <c r="BI46" s="684" t="s">
        <v>288</v>
      </c>
      <c r="BJ46" s="1349" t="s">
        <v>2312</v>
      </c>
      <c r="BK46" s="488">
        <v>12.002700000000001</v>
      </c>
    </row>
    <row r="47" spans="1:72" s="153" customFormat="1" ht="12.6" customHeight="1" x14ac:dyDescent="0.2">
      <c r="A47" s="725">
        <v>42</v>
      </c>
      <c r="B47" s="725" t="s">
        <v>2638</v>
      </c>
      <c r="C47" s="725">
        <v>5</v>
      </c>
      <c r="D47" s="725" t="s">
        <v>2639</v>
      </c>
      <c r="E47" s="725" t="s">
        <v>2640</v>
      </c>
      <c r="F47" s="639">
        <v>10.47</v>
      </c>
      <c r="G47" s="725" t="s">
        <v>2653</v>
      </c>
      <c r="H47" s="639">
        <v>11.5</v>
      </c>
      <c r="I47" s="489">
        <v>8000</v>
      </c>
      <c r="J47" s="715">
        <v>89</v>
      </c>
      <c r="K47" s="715" t="s">
        <v>1644</v>
      </c>
      <c r="L47" s="715">
        <v>15</v>
      </c>
      <c r="M47" s="715" t="s">
        <v>960</v>
      </c>
      <c r="N47" s="715" t="s">
        <v>961</v>
      </c>
      <c r="O47" s="735">
        <v>11.5</v>
      </c>
      <c r="P47" s="715" t="s">
        <v>288</v>
      </c>
      <c r="Q47" s="735">
        <v>11.5</v>
      </c>
      <c r="R47" s="735">
        <v>275</v>
      </c>
      <c r="S47" s="725">
        <v>135</v>
      </c>
      <c r="T47" s="725" t="s">
        <v>2747</v>
      </c>
      <c r="U47" s="725">
        <v>15</v>
      </c>
      <c r="V47" s="746" t="s">
        <v>2748</v>
      </c>
      <c r="W47" s="725" t="s">
        <v>2749</v>
      </c>
      <c r="X47" s="489">
        <v>10.28</v>
      </c>
      <c r="Y47" s="725" t="s">
        <v>2980</v>
      </c>
      <c r="Z47" s="489">
        <v>10.5</v>
      </c>
      <c r="AA47" s="489">
        <f>1000+6500</f>
        <v>7500</v>
      </c>
      <c r="AB47" s="725">
        <v>181</v>
      </c>
      <c r="AC47" s="725" t="s">
        <v>1663</v>
      </c>
      <c r="AD47" s="725">
        <v>20</v>
      </c>
      <c r="AE47" s="746" t="s">
        <v>1182</v>
      </c>
      <c r="AF47" s="725" t="s">
        <v>1179</v>
      </c>
      <c r="AG47" s="489">
        <v>10</v>
      </c>
      <c r="AH47" s="725" t="s">
        <v>288</v>
      </c>
      <c r="AI47" s="489">
        <v>10</v>
      </c>
      <c r="AJ47" s="489">
        <v>150</v>
      </c>
      <c r="AK47" s="725">
        <v>227</v>
      </c>
      <c r="AL47" s="725" t="s">
        <v>1683</v>
      </c>
      <c r="AM47" s="725">
        <v>20</v>
      </c>
      <c r="AN47" s="746" t="s">
        <v>1684</v>
      </c>
      <c r="AO47" s="725" t="s">
        <v>1685</v>
      </c>
      <c r="AP47" s="489">
        <v>9.1999999999999993</v>
      </c>
      <c r="AQ47" s="725" t="s">
        <v>2275</v>
      </c>
      <c r="AR47" s="489">
        <v>12.1</v>
      </c>
      <c r="AS47" s="489">
        <v>5029.96</v>
      </c>
      <c r="AT47" s="725">
        <v>26</v>
      </c>
      <c r="AU47" s="1313" t="s">
        <v>2347</v>
      </c>
      <c r="AV47" s="725">
        <v>8</v>
      </c>
      <c r="AW47" s="746" t="s">
        <v>2322</v>
      </c>
      <c r="AX47" s="725" t="s">
        <v>2346</v>
      </c>
      <c r="AY47" s="489" t="s">
        <v>2312</v>
      </c>
      <c r="AZ47" s="725" t="s">
        <v>288</v>
      </c>
      <c r="BA47" s="489" t="s">
        <v>2312</v>
      </c>
      <c r="BB47" s="489">
        <v>623.30999999999995</v>
      </c>
      <c r="BC47" s="715">
        <v>72</v>
      </c>
      <c r="BD47" s="1317" t="s">
        <v>2466</v>
      </c>
      <c r="BE47" s="800">
        <v>9</v>
      </c>
      <c r="BF47" s="762" t="s">
        <v>2462</v>
      </c>
      <c r="BG47" s="762" t="s">
        <v>2464</v>
      </c>
      <c r="BH47" s="1350" t="s">
        <v>2312</v>
      </c>
      <c r="BI47" s="725" t="s">
        <v>288</v>
      </c>
      <c r="BJ47" s="1350" t="s">
        <v>2312</v>
      </c>
      <c r="BK47" s="489">
        <v>72.0214</v>
      </c>
    </row>
    <row r="48" spans="1:72" s="153" customFormat="1" ht="12.6" customHeight="1" x14ac:dyDescent="0.2">
      <c r="A48" s="684">
        <v>43</v>
      </c>
      <c r="B48" s="749" t="s">
        <v>2673</v>
      </c>
      <c r="C48" s="684">
        <v>5</v>
      </c>
      <c r="D48" s="684" t="s">
        <v>2671</v>
      </c>
      <c r="E48" s="684" t="s">
        <v>2674</v>
      </c>
      <c r="F48" s="687">
        <v>12.39</v>
      </c>
      <c r="G48" s="734" t="s">
        <v>2693</v>
      </c>
      <c r="H48" s="687">
        <v>11.99</v>
      </c>
      <c r="I48" s="687">
        <v>8500</v>
      </c>
      <c r="J48" s="695">
        <v>90</v>
      </c>
      <c r="K48" s="696" t="s">
        <v>1647</v>
      </c>
      <c r="L48" s="696">
        <v>15</v>
      </c>
      <c r="M48" s="696" t="s">
        <v>962</v>
      </c>
      <c r="N48" s="696" t="s">
        <v>963</v>
      </c>
      <c r="O48" s="694">
        <v>11.6</v>
      </c>
      <c r="P48" s="696" t="s">
        <v>288</v>
      </c>
      <c r="Q48" s="694">
        <v>11.6</v>
      </c>
      <c r="R48" s="694">
        <v>275</v>
      </c>
      <c r="S48" s="684">
        <v>136</v>
      </c>
      <c r="T48" s="749" t="s">
        <v>2726</v>
      </c>
      <c r="U48" s="734">
        <v>20</v>
      </c>
      <c r="V48" s="734" t="s">
        <v>2727</v>
      </c>
      <c r="W48" s="687" t="s">
        <v>2728</v>
      </c>
      <c r="X48" s="687">
        <v>15.950000000000001</v>
      </c>
      <c r="Y48" s="734" t="s">
        <v>288</v>
      </c>
      <c r="Z48" s="687">
        <v>15.950000000000001</v>
      </c>
      <c r="AA48" s="687">
        <v>50</v>
      </c>
      <c r="AB48" s="236">
        <v>182</v>
      </c>
      <c r="AC48" s="749" t="s">
        <v>1667</v>
      </c>
      <c r="AD48" s="734">
        <v>20</v>
      </c>
      <c r="AE48" s="734" t="s">
        <v>1191</v>
      </c>
      <c r="AF48" s="687" t="s">
        <v>1183</v>
      </c>
      <c r="AG48" s="687">
        <v>10.25</v>
      </c>
      <c r="AH48" s="734" t="s">
        <v>2983</v>
      </c>
      <c r="AI48" s="687">
        <v>10.199999999999999</v>
      </c>
      <c r="AJ48" s="687">
        <f>2500+5150</f>
        <v>7650</v>
      </c>
      <c r="AK48" s="684">
        <v>228</v>
      </c>
      <c r="AL48" s="749" t="s">
        <v>1690</v>
      </c>
      <c r="AM48" s="734">
        <v>20</v>
      </c>
      <c r="AN48" s="734" t="s">
        <v>1530</v>
      </c>
      <c r="AO48" s="687" t="s">
        <v>1532</v>
      </c>
      <c r="AP48" s="687">
        <v>8.94</v>
      </c>
      <c r="AQ48" s="734" t="s">
        <v>2249</v>
      </c>
      <c r="AR48" s="687">
        <v>11.26</v>
      </c>
      <c r="AS48" s="687">
        <v>5184.3499999999995</v>
      </c>
      <c r="AT48" s="684">
        <v>27</v>
      </c>
      <c r="AU48" s="1399" t="s">
        <v>2348</v>
      </c>
      <c r="AV48" s="684">
        <v>8</v>
      </c>
      <c r="AW48" s="734" t="s">
        <v>2322</v>
      </c>
      <c r="AX48" s="684" t="s">
        <v>2346</v>
      </c>
      <c r="AY48" s="488" t="s">
        <v>2312</v>
      </c>
      <c r="AZ48" s="684" t="s">
        <v>288</v>
      </c>
      <c r="BA48" s="488" t="s">
        <v>2312</v>
      </c>
      <c r="BB48" s="488">
        <v>172.17</v>
      </c>
      <c r="BC48" s="695">
        <v>73</v>
      </c>
      <c r="BD48" s="1318" t="s">
        <v>2430</v>
      </c>
      <c r="BE48" s="799">
        <v>10</v>
      </c>
      <c r="BF48" s="763" t="s">
        <v>2462</v>
      </c>
      <c r="BG48" s="695" t="s">
        <v>2463</v>
      </c>
      <c r="BH48" s="1349" t="s">
        <v>2312</v>
      </c>
      <c r="BI48" s="684" t="s">
        <v>288</v>
      </c>
      <c r="BJ48" s="1349" t="s">
        <v>2312</v>
      </c>
      <c r="BK48" s="488">
        <v>68.582800000000006</v>
      </c>
    </row>
    <row r="49" spans="1:72" s="153" customFormat="1" ht="12.6" customHeight="1" x14ac:dyDescent="0.2">
      <c r="A49" s="725">
        <v>44</v>
      </c>
      <c r="B49" s="725" t="s">
        <v>2697</v>
      </c>
      <c r="C49" s="725">
        <v>5</v>
      </c>
      <c r="D49" s="725" t="s">
        <v>2698</v>
      </c>
      <c r="E49" s="725" t="s">
        <v>2699</v>
      </c>
      <c r="F49" s="639">
        <v>12.4</v>
      </c>
      <c r="G49" s="725" t="s">
        <v>2746</v>
      </c>
      <c r="H49" s="639">
        <v>10.275</v>
      </c>
      <c r="I49" s="489">
        <v>8949.18</v>
      </c>
      <c r="J49" s="715">
        <v>91</v>
      </c>
      <c r="K49" s="715" t="s">
        <v>1653</v>
      </c>
      <c r="L49" s="715">
        <v>15</v>
      </c>
      <c r="M49" s="715" t="s">
        <v>964</v>
      </c>
      <c r="N49" s="715" t="s">
        <v>965</v>
      </c>
      <c r="O49" s="735">
        <v>11.65</v>
      </c>
      <c r="P49" s="715" t="s">
        <v>288</v>
      </c>
      <c r="Q49" s="735">
        <v>11.65</v>
      </c>
      <c r="R49" s="735">
        <v>275</v>
      </c>
      <c r="S49" s="725">
        <v>137</v>
      </c>
      <c r="T49" s="725" t="s">
        <v>1648</v>
      </c>
      <c r="U49" s="725">
        <v>20</v>
      </c>
      <c r="V49" s="746" t="s">
        <v>1649</v>
      </c>
      <c r="W49" s="725" t="s">
        <v>1650</v>
      </c>
      <c r="X49" s="489">
        <v>15.440000000000001</v>
      </c>
      <c r="Y49" s="725" t="s">
        <v>288</v>
      </c>
      <c r="Z49" s="489">
        <v>15.440000000000001</v>
      </c>
      <c r="AA49" s="489">
        <v>50</v>
      </c>
      <c r="AB49" s="725">
        <v>183</v>
      </c>
      <c r="AC49" s="725" t="s">
        <v>1671</v>
      </c>
      <c r="AD49" s="725">
        <v>20</v>
      </c>
      <c r="AE49" s="746" t="s">
        <v>1192</v>
      </c>
      <c r="AF49" s="725" t="s">
        <v>1189</v>
      </c>
      <c r="AG49" s="489">
        <v>10.85</v>
      </c>
      <c r="AH49" s="725" t="s">
        <v>288</v>
      </c>
      <c r="AI49" s="489">
        <v>10.85</v>
      </c>
      <c r="AJ49" s="489">
        <v>150</v>
      </c>
      <c r="AK49" s="725">
        <v>229</v>
      </c>
      <c r="AL49" s="725" t="s">
        <v>1811</v>
      </c>
      <c r="AM49" s="725">
        <v>20</v>
      </c>
      <c r="AN49" s="746" t="s">
        <v>1810</v>
      </c>
      <c r="AO49" s="725" t="s">
        <v>1812</v>
      </c>
      <c r="AP49" s="489">
        <v>6.07</v>
      </c>
      <c r="AQ49" s="725" t="s">
        <v>1993</v>
      </c>
      <c r="AR49" s="489">
        <v>7.64</v>
      </c>
      <c r="AS49" s="489">
        <v>4400</v>
      </c>
      <c r="AT49" s="725">
        <v>28</v>
      </c>
      <c r="AU49" s="1313" t="s">
        <v>2349</v>
      </c>
      <c r="AV49" s="725">
        <v>8</v>
      </c>
      <c r="AW49" s="746" t="s">
        <v>2322</v>
      </c>
      <c r="AX49" s="725" t="s">
        <v>2346</v>
      </c>
      <c r="AY49" s="489" t="s">
        <v>2312</v>
      </c>
      <c r="AZ49" s="725" t="s">
        <v>288</v>
      </c>
      <c r="BA49" s="489" t="s">
        <v>2312</v>
      </c>
      <c r="BB49" s="489">
        <v>120.95</v>
      </c>
      <c r="BC49" s="715">
        <v>74</v>
      </c>
      <c r="BD49" s="1317" t="s">
        <v>2426</v>
      </c>
      <c r="BE49" s="800">
        <v>9</v>
      </c>
      <c r="BF49" s="762" t="s">
        <v>2462</v>
      </c>
      <c r="BG49" s="762" t="s">
        <v>2464</v>
      </c>
      <c r="BH49" s="1350" t="s">
        <v>1804</v>
      </c>
      <c r="BI49" s="725" t="s">
        <v>288</v>
      </c>
      <c r="BJ49" s="1350" t="s">
        <v>1804</v>
      </c>
      <c r="BK49" s="489">
        <v>747.0127</v>
      </c>
    </row>
    <row r="50" spans="1:72" s="153" customFormat="1" ht="12.6" customHeight="1" thickBot="1" x14ac:dyDescent="0.25">
      <c r="A50" s="1343">
        <v>45</v>
      </c>
      <c r="B50" s="1343" t="s">
        <v>2775</v>
      </c>
      <c r="C50" s="1343">
        <v>5</v>
      </c>
      <c r="D50" s="1343" t="s">
        <v>2776</v>
      </c>
      <c r="E50" s="1343" t="s">
        <v>2777</v>
      </c>
      <c r="F50" s="637">
        <v>10.029999999999999</v>
      </c>
      <c r="G50" s="1343" t="s">
        <v>2811</v>
      </c>
      <c r="H50" s="637">
        <v>10.15</v>
      </c>
      <c r="I50" s="1344">
        <v>8000</v>
      </c>
      <c r="J50" s="1345">
        <v>92</v>
      </c>
      <c r="K50" s="1345" t="s">
        <v>1657</v>
      </c>
      <c r="L50" s="1345">
        <v>15</v>
      </c>
      <c r="M50" s="1345" t="s">
        <v>923</v>
      </c>
      <c r="N50" s="1345" t="s">
        <v>924</v>
      </c>
      <c r="O50" s="1346">
        <v>11.7</v>
      </c>
      <c r="P50" s="1345" t="s">
        <v>288</v>
      </c>
      <c r="Q50" s="1346">
        <v>11.7</v>
      </c>
      <c r="R50" s="1346">
        <v>500</v>
      </c>
      <c r="S50" s="1343">
        <v>138</v>
      </c>
      <c r="T50" s="1343" t="s">
        <v>1654</v>
      </c>
      <c r="U50" s="1343">
        <v>20</v>
      </c>
      <c r="V50" s="679" t="s">
        <v>458</v>
      </c>
      <c r="W50" s="1343" t="s">
        <v>461</v>
      </c>
      <c r="X50" s="1344">
        <v>14.23</v>
      </c>
      <c r="Y50" s="1343" t="s">
        <v>288</v>
      </c>
      <c r="Z50" s="1344">
        <v>14.23</v>
      </c>
      <c r="AA50" s="1344">
        <v>50</v>
      </c>
      <c r="AB50" s="1343">
        <v>184</v>
      </c>
      <c r="AC50" s="1343" t="s">
        <v>1675</v>
      </c>
      <c r="AD50" s="1343">
        <v>20</v>
      </c>
      <c r="AE50" s="679" t="s">
        <v>1190</v>
      </c>
      <c r="AF50" s="1343" t="s">
        <v>1193</v>
      </c>
      <c r="AG50" s="1344">
        <v>11.5</v>
      </c>
      <c r="AH50" s="1343" t="s">
        <v>288</v>
      </c>
      <c r="AI50" s="1344">
        <v>11.5</v>
      </c>
      <c r="AJ50" s="1344">
        <v>175</v>
      </c>
      <c r="AK50" s="1343">
        <v>230</v>
      </c>
      <c r="AL50" s="1343" t="s">
        <v>2010</v>
      </c>
      <c r="AM50" s="1343">
        <v>20</v>
      </c>
      <c r="AN50" s="679" t="s">
        <v>2009</v>
      </c>
      <c r="AO50" s="1343" t="s">
        <v>2011</v>
      </c>
      <c r="AP50" s="1344">
        <v>7.75</v>
      </c>
      <c r="AQ50" s="1343" t="s">
        <v>2119</v>
      </c>
      <c r="AR50" s="1344">
        <v>8.9</v>
      </c>
      <c r="AS50" s="1344">
        <v>4500</v>
      </c>
      <c r="AT50" s="1343">
        <v>29</v>
      </c>
      <c r="AU50" s="1418" t="s">
        <v>2350</v>
      </c>
      <c r="AV50" s="1343">
        <v>8</v>
      </c>
      <c r="AW50" s="679" t="s">
        <v>2328</v>
      </c>
      <c r="AX50" s="1343" t="s">
        <v>2351</v>
      </c>
      <c r="AY50" s="1344" t="s">
        <v>2312</v>
      </c>
      <c r="AZ50" s="1343" t="s">
        <v>288</v>
      </c>
      <c r="BA50" s="1344" t="s">
        <v>2312</v>
      </c>
      <c r="BB50" s="1344">
        <v>21.68</v>
      </c>
      <c r="BC50" s="1345">
        <v>75</v>
      </c>
      <c r="BD50" s="1396" t="s">
        <v>2467</v>
      </c>
      <c r="BE50" s="1347">
        <v>10</v>
      </c>
      <c r="BF50" s="1348" t="s">
        <v>2462</v>
      </c>
      <c r="BG50" s="1345" t="s">
        <v>2463</v>
      </c>
      <c r="BH50" s="1351" t="s">
        <v>1804</v>
      </c>
      <c r="BI50" s="1343" t="s">
        <v>288</v>
      </c>
      <c r="BJ50" s="1351" t="s">
        <v>1804</v>
      </c>
      <c r="BK50" s="1344">
        <v>125.4759</v>
      </c>
    </row>
    <row r="51" spans="1:72" s="153" customFormat="1" ht="9.75" customHeight="1" x14ac:dyDescent="0.2">
      <c r="A51" s="750" t="s">
        <v>30</v>
      </c>
      <c r="B51" s="234" t="s">
        <v>1766</v>
      </c>
      <c r="C51" s="8"/>
      <c r="D51" s="8"/>
      <c r="E51" s="8"/>
      <c r="AT51" s="338" t="s">
        <v>1104</v>
      </c>
      <c r="AU51" s="887" t="s">
        <v>2876</v>
      </c>
      <c r="AV51" s="871"/>
      <c r="AW51" s="871"/>
      <c r="AX51" s="684"/>
      <c r="AY51" s="695"/>
      <c r="AZ51" s="488"/>
      <c r="BA51" s="223"/>
      <c r="BB51" s="151"/>
    </row>
    <row r="52" spans="1:72" s="153" customFormat="1" ht="13.35" customHeight="1" x14ac:dyDescent="0.2">
      <c r="A52" s="750"/>
      <c r="B52" s="234" t="s">
        <v>2950</v>
      </c>
      <c r="C52" s="8"/>
      <c r="D52" s="8"/>
      <c r="E52" s="8"/>
      <c r="F52" s="8"/>
      <c r="G52" s="803"/>
      <c r="H52" s="803"/>
      <c r="I52" s="9" t="s">
        <v>1919</v>
      </c>
      <c r="K52" s="860"/>
      <c r="L52" s="9"/>
      <c r="M52" s="9"/>
      <c r="N52" s="9"/>
      <c r="O52" s="694"/>
      <c r="P52" s="696"/>
      <c r="Q52" s="694"/>
      <c r="R52" s="694"/>
      <c r="AT52" s="886" t="s">
        <v>257</v>
      </c>
      <c r="AU52" s="887" t="s">
        <v>1916</v>
      </c>
      <c r="AV52" s="871"/>
      <c r="AW52" s="871"/>
      <c r="AX52" s="684"/>
      <c r="AY52" s="695"/>
      <c r="AZ52" s="234"/>
      <c r="BA52" s="223"/>
      <c r="BB52" s="9" t="s">
        <v>1994</v>
      </c>
      <c r="BK52" s="227"/>
    </row>
    <row r="53" spans="1:72" s="153" customFormat="1" ht="13.35" customHeight="1" x14ac:dyDescent="0.2">
      <c r="S53" s="9"/>
      <c r="T53" s="695"/>
      <c r="U53" s="695"/>
      <c r="V53" s="695"/>
      <c r="W53" s="695"/>
      <c r="X53" s="579"/>
      <c r="Y53" s="695"/>
      <c r="Z53" s="579"/>
      <c r="AA53" s="57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60"/>
      <c r="AU53" s="60"/>
      <c r="AV53" s="60"/>
      <c r="AW53" s="154"/>
      <c r="AX53" s="154"/>
      <c r="AY53" s="154"/>
      <c r="AZ53" s="154"/>
      <c r="BA53" s="154"/>
      <c r="BB53" s="6"/>
    </row>
    <row r="54" spans="1:72" s="153" customFormat="1" ht="12.95" customHeight="1" x14ac:dyDescent="0.2">
      <c r="O54" s="9"/>
      <c r="S54" s="9"/>
      <c r="T54" s="695"/>
      <c r="U54" s="695"/>
      <c r="V54" s="695"/>
      <c r="W54" s="695"/>
      <c r="X54" s="579"/>
      <c r="Y54" s="695"/>
      <c r="Z54" s="579"/>
      <c r="AA54" s="579"/>
      <c r="AB54" s="9"/>
      <c r="AC54" s="9"/>
      <c r="AD54" s="9"/>
      <c r="AE54" s="9"/>
      <c r="AF54" s="9"/>
      <c r="AG54" s="9"/>
      <c r="AH54" s="148"/>
      <c r="AI54" s="9"/>
      <c r="AJ54" s="151"/>
      <c r="AK54" s="9"/>
      <c r="AL54" s="9"/>
      <c r="AM54" s="9"/>
      <c r="AN54" s="9"/>
      <c r="AO54" s="9"/>
      <c r="AP54" s="9"/>
      <c r="AQ54" s="9"/>
      <c r="AR54" s="9"/>
      <c r="AS54" s="9"/>
      <c r="AT54" s="60"/>
      <c r="AU54" s="60"/>
      <c r="AV54" s="60"/>
      <c r="AW54" s="154"/>
      <c r="AX54" s="154"/>
      <c r="AY54" s="154"/>
      <c r="AZ54" s="154"/>
      <c r="BA54" s="154"/>
      <c r="BB54" s="151"/>
      <c r="BL54" s="154"/>
      <c r="BM54" s="154"/>
      <c r="BN54" s="154"/>
      <c r="BO54" s="154"/>
      <c r="BP54" s="154"/>
      <c r="BQ54" s="154"/>
      <c r="BR54" s="92"/>
      <c r="BS54" s="92"/>
      <c r="BT54" s="92"/>
    </row>
    <row r="55" spans="1:72" s="9" customFormat="1" ht="12.95" customHeight="1" x14ac:dyDescent="0.2">
      <c r="I55" s="151"/>
      <c r="Q55" s="50"/>
      <c r="R55" s="586"/>
      <c r="T55" s="695"/>
      <c r="U55" s="695"/>
      <c r="V55" s="695"/>
      <c r="W55" s="695"/>
      <c r="X55" s="579"/>
      <c r="Y55" s="695"/>
      <c r="Z55" s="579"/>
      <c r="AA55" s="579"/>
      <c r="AJ55" s="151"/>
      <c r="AS55" s="151"/>
      <c r="AT55" s="154"/>
      <c r="AU55" s="154"/>
      <c r="AV55" s="154"/>
      <c r="AW55" s="154"/>
      <c r="AX55" s="154"/>
      <c r="AY55" s="154"/>
      <c r="AZ55" s="154"/>
      <c r="BA55" s="154"/>
      <c r="BB55" s="1197"/>
      <c r="BD55" s="151"/>
      <c r="BL55" s="231"/>
      <c r="BM55" s="231"/>
      <c r="BN55" s="231"/>
      <c r="BO55" s="231"/>
      <c r="BP55" s="231"/>
      <c r="BQ55" s="231"/>
      <c r="BR55" s="92"/>
      <c r="BS55" s="92"/>
      <c r="BT55" s="92"/>
    </row>
    <row r="56" spans="1:72" s="9" customFormat="1" ht="11.25" customHeight="1" x14ac:dyDescent="0.2">
      <c r="B56" s="60"/>
      <c r="C56" s="38"/>
      <c r="D56" s="38"/>
      <c r="E56" s="60"/>
      <c r="F56" s="34"/>
      <c r="G56" s="803"/>
      <c r="H56" s="803"/>
      <c r="J56" s="153"/>
      <c r="T56" s="695"/>
      <c r="U56" s="695"/>
      <c r="V56" s="695"/>
      <c r="W56" s="695"/>
      <c r="X56" s="579"/>
      <c r="Y56" s="695"/>
      <c r="Z56" s="579"/>
      <c r="AA56" s="579"/>
      <c r="AH56" s="148"/>
      <c r="AJ56" s="151"/>
      <c r="AT56" s="154"/>
      <c r="AU56" s="154"/>
      <c r="AV56" s="154"/>
      <c r="AW56" s="154"/>
      <c r="AX56" s="154"/>
      <c r="AY56" s="154"/>
      <c r="AZ56" s="154"/>
      <c r="BA56" s="154"/>
      <c r="BB56" s="245"/>
      <c r="BC56" s="154"/>
      <c r="BD56" s="154"/>
      <c r="BE56" s="154"/>
      <c r="BF56" s="154"/>
      <c r="BG56" s="154"/>
      <c r="BH56" s="154"/>
      <c r="BI56" s="154"/>
      <c r="BJ56" s="223"/>
      <c r="BK56" s="235"/>
      <c r="BL56" s="231"/>
      <c r="BM56" s="231"/>
      <c r="BN56" s="231"/>
      <c r="BO56" s="231"/>
      <c r="BP56" s="231"/>
      <c r="BQ56" s="231"/>
      <c r="BR56" s="92"/>
      <c r="BS56" s="92"/>
      <c r="BT56" s="92"/>
    </row>
    <row r="57" spans="1:72" s="9" customFormat="1" ht="10.5" customHeight="1" x14ac:dyDescent="0.2">
      <c r="I57" s="151"/>
      <c r="J57" s="153"/>
      <c r="R57" s="151"/>
      <c r="T57" s="153"/>
      <c r="U57" s="153"/>
      <c r="V57" s="153"/>
      <c r="W57" s="153"/>
      <c r="X57" s="153"/>
      <c r="Y57" s="153"/>
      <c r="Z57" s="153"/>
      <c r="AA57" s="151"/>
      <c r="AJ57" s="151"/>
      <c r="AR57" s="154"/>
      <c r="AS57" s="151"/>
      <c r="AT57" s="154"/>
      <c r="AU57" s="154"/>
      <c r="AV57" s="154"/>
      <c r="AW57" s="154"/>
      <c r="AX57" s="154"/>
      <c r="AY57" s="154"/>
      <c r="AZ57" s="154"/>
      <c r="BA57" s="154"/>
      <c r="BB57" s="245"/>
      <c r="BC57" s="154"/>
      <c r="BD57" s="452"/>
      <c r="BE57" s="154"/>
      <c r="BF57" s="154"/>
      <c r="BG57" s="154"/>
      <c r="BH57" s="154"/>
      <c r="BI57" s="154"/>
      <c r="BJ57" s="223"/>
      <c r="BK57" s="235"/>
      <c r="BL57" s="231"/>
      <c r="BM57" s="231"/>
      <c r="BN57" s="231"/>
      <c r="BO57" s="231"/>
      <c r="BP57" s="231"/>
      <c r="BQ57" s="231"/>
      <c r="BR57" s="92"/>
      <c r="BS57" s="92"/>
      <c r="BT57" s="92"/>
    </row>
    <row r="58" spans="1:72" s="60" customFormat="1" ht="10.5" customHeight="1" x14ac:dyDescent="0.2">
      <c r="B58" s="684"/>
      <c r="C58" s="695"/>
      <c r="D58" s="695"/>
      <c r="E58" s="695"/>
      <c r="F58" s="579"/>
      <c r="G58" s="695"/>
      <c r="H58" s="579"/>
      <c r="I58" s="579"/>
      <c r="J58" s="162"/>
      <c r="R58" s="6"/>
      <c r="T58" s="162"/>
      <c r="U58" s="162"/>
      <c r="V58" s="162"/>
      <c r="W58" s="162"/>
      <c r="X58" s="162"/>
      <c r="Y58" s="162"/>
      <c r="Z58" s="162"/>
      <c r="AA58" s="1204"/>
      <c r="AJ58" s="6"/>
      <c r="AR58" s="154"/>
      <c r="AS58" s="1197"/>
      <c r="AT58" s="154"/>
      <c r="AU58" s="154"/>
      <c r="AV58" s="154"/>
      <c r="AW58" s="154"/>
      <c r="AX58" s="154"/>
      <c r="AY58" s="154"/>
      <c r="AZ58" s="154"/>
      <c r="BA58" s="154"/>
      <c r="BB58" s="245"/>
      <c r="BC58" s="154"/>
      <c r="BD58" s="452"/>
      <c r="BE58" s="154"/>
      <c r="BF58" s="154"/>
      <c r="BG58" s="154"/>
      <c r="BH58" s="154"/>
      <c r="BI58" s="154"/>
      <c r="BJ58" s="223"/>
      <c r="BK58" s="235"/>
      <c r="BL58" s="231"/>
      <c r="BM58" s="231"/>
      <c r="BN58" s="231"/>
      <c r="BO58" s="231"/>
      <c r="BP58" s="246"/>
      <c r="BQ58" s="231"/>
      <c r="BR58" s="92"/>
      <c r="BS58" s="92"/>
      <c r="BT58" s="92"/>
    </row>
    <row r="59" spans="1:72" s="60" customFormat="1" ht="11.25" customHeight="1" x14ac:dyDescent="0.2">
      <c r="B59" s="749"/>
      <c r="C59" s="695"/>
      <c r="D59" s="695"/>
      <c r="E59" s="695"/>
      <c r="F59" s="579"/>
      <c r="G59" s="695"/>
      <c r="H59" s="579"/>
      <c r="I59" s="579"/>
      <c r="J59" s="242"/>
      <c r="K59" s="162"/>
      <c r="L59" s="162"/>
      <c r="M59" s="162"/>
      <c r="N59" s="162"/>
      <c r="O59" s="162"/>
      <c r="P59" s="162"/>
      <c r="R59" s="6"/>
      <c r="T59" s="695"/>
      <c r="U59" s="695"/>
      <c r="V59" s="695"/>
      <c r="W59" s="695"/>
      <c r="X59" s="579"/>
      <c r="Y59" s="695"/>
      <c r="Z59" s="579"/>
      <c r="AA59" s="579"/>
      <c r="AJ59" s="6"/>
      <c r="AR59" s="154"/>
      <c r="AS59" s="1197"/>
      <c r="AT59" s="154"/>
      <c r="AU59" s="154"/>
      <c r="AV59" s="154"/>
      <c r="AW59" s="154"/>
      <c r="AX59" s="154"/>
      <c r="AY59" s="154"/>
      <c r="AZ59" s="154"/>
      <c r="BA59" s="154"/>
      <c r="BB59" s="245"/>
      <c r="BC59" s="154"/>
      <c r="BD59" s="154"/>
      <c r="BE59" s="154"/>
      <c r="BF59" s="154"/>
      <c r="BG59" s="154"/>
      <c r="BH59" s="154"/>
      <c r="BI59" s="154"/>
      <c r="BJ59" s="223"/>
      <c r="BK59" s="235"/>
      <c r="BL59" s="231"/>
      <c r="BM59" s="231"/>
      <c r="BN59" s="231"/>
      <c r="BO59" s="231"/>
      <c r="BP59" s="246"/>
      <c r="BQ59" s="231"/>
      <c r="BR59" s="92"/>
      <c r="BS59" s="92"/>
      <c r="BT59" s="92"/>
    </row>
    <row r="60" spans="1:72" ht="13.5" customHeight="1" x14ac:dyDescent="0.2">
      <c r="H60" s="817"/>
      <c r="I60" s="82"/>
      <c r="BK60" s="235"/>
      <c r="BL60" s="231"/>
      <c r="BM60" s="231"/>
      <c r="BN60" s="231"/>
      <c r="BO60" s="231"/>
      <c r="BP60" s="246"/>
      <c r="BQ60" s="231"/>
      <c r="BR60" s="92"/>
      <c r="BS60" s="92"/>
      <c r="BT60" s="92"/>
    </row>
    <row r="61" spans="1:72" ht="12" customHeight="1" x14ac:dyDescent="0.2">
      <c r="BB61" s="154"/>
      <c r="BK61" s="235"/>
      <c r="BL61" s="231"/>
      <c r="BM61" s="231"/>
      <c r="BN61" s="231"/>
      <c r="BO61" s="231"/>
      <c r="BP61" s="231"/>
      <c r="BQ61" s="231"/>
      <c r="BR61" s="92"/>
      <c r="BS61" s="92"/>
      <c r="BT61" s="92"/>
    </row>
    <row r="62" spans="1:72" ht="12.75" customHeight="1" x14ac:dyDescent="0.2">
      <c r="BK62" s="235"/>
      <c r="BL62" s="231"/>
      <c r="BM62" s="231"/>
      <c r="BN62" s="231"/>
      <c r="BO62" s="231"/>
      <c r="BP62" s="231"/>
      <c r="BQ62" s="231"/>
      <c r="BR62" s="92"/>
      <c r="BS62" s="92"/>
      <c r="BT62" s="92"/>
    </row>
    <row r="63" spans="1:72" ht="12" customHeight="1" x14ac:dyDescent="0.2">
      <c r="BK63" s="235"/>
      <c r="BL63" s="231"/>
      <c r="BM63" s="231"/>
      <c r="BN63" s="231"/>
      <c r="BO63" s="231"/>
      <c r="BP63" s="231"/>
      <c r="BQ63" s="231"/>
      <c r="BR63" s="92"/>
      <c r="BS63" s="92"/>
      <c r="BT63" s="92"/>
    </row>
    <row r="64" spans="1:72" ht="11.25" customHeight="1" x14ac:dyDescent="0.2">
      <c r="I64" s="82"/>
      <c r="BK64" s="235"/>
      <c r="BL64" s="231"/>
      <c r="BM64" s="231"/>
      <c r="BN64" s="231"/>
      <c r="BO64" s="231"/>
      <c r="BP64" s="231"/>
      <c r="BQ64" s="231"/>
      <c r="BR64" s="92"/>
      <c r="BS64" s="92"/>
      <c r="BT64" s="92"/>
    </row>
    <row r="65" spans="2:72" s="154" customFormat="1" ht="22.5" customHeight="1" x14ac:dyDescent="0.2">
      <c r="B65" s="244"/>
      <c r="H65" s="244"/>
      <c r="J65" s="243"/>
      <c r="O65" s="244"/>
      <c r="R65" s="243"/>
      <c r="W65" s="244"/>
      <c r="Z65" s="245"/>
      <c r="AK65" s="245"/>
      <c r="AS65" s="245"/>
      <c r="BA65" s="231"/>
      <c r="BB65" s="245"/>
      <c r="BC65" s="231"/>
      <c r="BD65" s="231"/>
      <c r="BE65" s="231"/>
      <c r="BF65" s="231"/>
      <c r="BG65" s="231"/>
      <c r="BH65" s="231"/>
      <c r="BI65" s="231"/>
      <c r="BK65" s="245"/>
      <c r="BL65" s="231"/>
      <c r="BM65" s="231"/>
      <c r="BN65" s="231"/>
      <c r="BO65" s="231"/>
      <c r="BP65" s="231"/>
      <c r="BQ65" s="231"/>
      <c r="BR65" s="92"/>
      <c r="BS65" s="92"/>
      <c r="BT65" s="92"/>
    </row>
    <row r="66" spans="2:72" s="154" customFormat="1" ht="22.5" customHeight="1" x14ac:dyDescent="0.2">
      <c r="B66" s="244"/>
      <c r="H66" s="244"/>
      <c r="J66" s="243"/>
      <c r="O66" s="244"/>
      <c r="R66" s="243"/>
      <c r="W66" s="244"/>
      <c r="Z66" s="245"/>
      <c r="AK66" s="245"/>
      <c r="AS66" s="245"/>
      <c r="BA66" s="231"/>
      <c r="BB66" s="245"/>
      <c r="BC66" s="231"/>
      <c r="BD66" s="231"/>
      <c r="BE66" s="231"/>
      <c r="BF66" s="231"/>
      <c r="BG66" s="231"/>
      <c r="BH66" s="231"/>
      <c r="BI66" s="231"/>
      <c r="BK66" s="245"/>
      <c r="BL66" s="231"/>
      <c r="BM66" s="231"/>
      <c r="BN66" s="231"/>
      <c r="BO66" s="231"/>
      <c r="BP66" s="231"/>
      <c r="BQ66" s="231"/>
      <c r="BR66" s="92"/>
      <c r="BS66" s="92"/>
      <c r="BT66" s="92"/>
    </row>
    <row r="67" spans="2:72" s="154" customFormat="1" ht="22.5" customHeight="1" x14ac:dyDescent="0.2">
      <c r="B67" s="244"/>
      <c r="H67" s="244"/>
      <c r="J67" s="243"/>
      <c r="O67" s="244"/>
      <c r="R67" s="243"/>
      <c r="W67" s="244"/>
      <c r="Z67" s="245"/>
      <c r="AK67" s="245"/>
      <c r="AS67" s="245"/>
      <c r="AT67" s="92"/>
      <c r="AU67" s="92"/>
      <c r="AV67" s="92"/>
      <c r="AW67" s="231"/>
      <c r="AX67" s="231"/>
      <c r="AY67" s="231"/>
      <c r="AZ67" s="231"/>
      <c r="BA67" s="231"/>
      <c r="BB67" s="245"/>
      <c r="BC67" s="231"/>
      <c r="BD67" s="231"/>
      <c r="BE67" s="231"/>
      <c r="BF67" s="231"/>
      <c r="BG67" s="231"/>
      <c r="BH67" s="231"/>
      <c r="BI67" s="231"/>
      <c r="BK67" s="245"/>
      <c r="BL67" s="231"/>
      <c r="BM67" s="231"/>
      <c r="BN67" s="231"/>
      <c r="BO67" s="231"/>
      <c r="BP67" s="231"/>
      <c r="BQ67" s="231"/>
      <c r="BR67" s="92"/>
      <c r="BS67" s="92"/>
      <c r="BT67" s="92"/>
    </row>
    <row r="68" spans="2:72" s="154" customFormat="1" ht="22.5" customHeight="1" x14ac:dyDescent="0.2">
      <c r="B68" s="244"/>
      <c r="H68" s="244"/>
      <c r="J68" s="243"/>
      <c r="O68" s="244"/>
      <c r="R68" s="243"/>
      <c r="W68" s="244"/>
      <c r="Z68" s="245"/>
      <c r="AK68" s="245"/>
      <c r="AS68" s="245"/>
      <c r="AT68" s="92"/>
      <c r="AU68" s="92"/>
      <c r="AV68" s="92"/>
      <c r="AW68" s="231"/>
      <c r="AX68" s="231"/>
      <c r="AY68" s="231"/>
      <c r="AZ68" s="231"/>
      <c r="BA68" s="231"/>
      <c r="BB68" s="245"/>
      <c r="BC68" s="231"/>
      <c r="BD68" s="231"/>
      <c r="BE68" s="231"/>
      <c r="BF68" s="231"/>
      <c r="BG68" s="231"/>
      <c r="BH68" s="231"/>
      <c r="BI68" s="231"/>
      <c r="BJ68" s="231"/>
      <c r="BK68" s="245"/>
      <c r="BL68" s="231"/>
      <c r="BM68" s="231"/>
      <c r="BN68" s="231"/>
      <c r="BO68" s="231"/>
      <c r="BP68" s="231"/>
      <c r="BQ68" s="231"/>
      <c r="BR68" s="92"/>
      <c r="BS68" s="92"/>
      <c r="BT68" s="92"/>
    </row>
    <row r="69" spans="2:72" s="154" customFormat="1" ht="22.5" customHeight="1" x14ac:dyDescent="0.2">
      <c r="B69" s="244"/>
      <c r="H69" s="244"/>
      <c r="J69" s="243"/>
      <c r="O69" s="244"/>
      <c r="R69" s="243"/>
      <c r="W69" s="244"/>
      <c r="Z69" s="245"/>
      <c r="AK69" s="245"/>
      <c r="AS69" s="245"/>
      <c r="AT69" s="92"/>
      <c r="AU69" s="92"/>
      <c r="AV69" s="92"/>
      <c r="AW69" s="231"/>
      <c r="AX69" s="231"/>
      <c r="AY69" s="231"/>
      <c r="AZ69" s="231"/>
      <c r="BA69" s="231"/>
      <c r="BB69" s="245"/>
      <c r="BC69" s="231"/>
      <c r="BD69" s="231"/>
      <c r="BE69" s="231"/>
      <c r="BF69" s="231"/>
      <c r="BG69" s="231"/>
      <c r="BH69" s="231"/>
      <c r="BI69" s="231"/>
      <c r="BJ69" s="231"/>
      <c r="BK69" s="245"/>
      <c r="BL69" s="231"/>
      <c r="BM69" s="231"/>
      <c r="BN69" s="231"/>
      <c r="BO69" s="231"/>
      <c r="BP69" s="231"/>
      <c r="BQ69" s="231"/>
      <c r="BR69" s="92"/>
      <c r="BS69" s="92"/>
      <c r="BT69" s="92"/>
    </row>
    <row r="70" spans="2:72" s="154" customFormat="1" ht="22.5" customHeight="1" x14ac:dyDescent="0.2">
      <c r="B70" s="244"/>
      <c r="H70" s="244"/>
      <c r="J70" s="243"/>
      <c r="O70" s="244"/>
      <c r="R70" s="243"/>
      <c r="W70" s="244"/>
      <c r="Z70" s="245"/>
      <c r="AK70" s="245"/>
      <c r="AT70" s="92"/>
      <c r="AU70" s="92"/>
      <c r="AV70" s="92"/>
      <c r="AW70" s="231"/>
      <c r="AX70" s="231"/>
      <c r="AY70" s="246"/>
      <c r="AZ70" s="231"/>
      <c r="BA70" s="231"/>
      <c r="BB70" s="245"/>
      <c r="BC70" s="231"/>
      <c r="BD70" s="231"/>
      <c r="BE70" s="231"/>
      <c r="BF70" s="231"/>
      <c r="BG70" s="231"/>
      <c r="BH70" s="231"/>
      <c r="BI70" s="231"/>
      <c r="BJ70" s="231"/>
      <c r="BK70" s="245"/>
      <c r="BL70" s="231"/>
      <c r="BM70" s="231"/>
      <c r="BN70" s="231"/>
      <c r="BO70" s="231"/>
      <c r="BP70" s="231"/>
      <c r="BQ70" s="231"/>
      <c r="BR70" s="92"/>
      <c r="BS70" s="92"/>
      <c r="BT70" s="92"/>
    </row>
    <row r="71" spans="2:72" s="154" customFormat="1" ht="22.5" customHeight="1" x14ac:dyDescent="0.2">
      <c r="B71" s="244"/>
      <c r="H71" s="244"/>
      <c r="J71" s="243"/>
      <c r="O71" s="244"/>
      <c r="R71" s="243"/>
      <c r="W71" s="244"/>
      <c r="Z71" s="245"/>
      <c r="AK71" s="245"/>
      <c r="AS71" s="245"/>
      <c r="AT71" s="92"/>
      <c r="AU71" s="92"/>
      <c r="AV71" s="92"/>
      <c r="AW71" s="231"/>
      <c r="AX71" s="231"/>
      <c r="AY71" s="246"/>
      <c r="AZ71" s="231"/>
      <c r="BA71" s="231"/>
      <c r="BB71" s="245"/>
      <c r="BC71" s="231"/>
      <c r="BD71" s="231"/>
      <c r="BE71" s="231"/>
      <c r="BF71" s="231"/>
      <c r="BG71" s="231"/>
      <c r="BH71" s="231"/>
      <c r="BI71" s="231"/>
      <c r="BJ71" s="223"/>
      <c r="BK71" s="245"/>
      <c r="BL71" s="231"/>
      <c r="BM71" s="231"/>
      <c r="BN71" s="231"/>
      <c r="BO71" s="231"/>
      <c r="BP71" s="231"/>
      <c r="BQ71" s="231"/>
      <c r="BR71" s="92"/>
      <c r="BS71" s="92"/>
      <c r="BT71" s="92"/>
    </row>
    <row r="72" spans="2:72" s="154" customFormat="1" ht="22.5" customHeight="1" x14ac:dyDescent="0.2">
      <c r="B72" s="244"/>
      <c r="H72" s="244"/>
      <c r="J72" s="243"/>
      <c r="O72" s="244"/>
      <c r="R72" s="243"/>
      <c r="W72" s="244"/>
      <c r="Z72" s="245"/>
      <c r="AK72" s="245"/>
      <c r="AS72" s="245"/>
      <c r="AT72" s="92"/>
      <c r="AU72" s="92"/>
      <c r="AV72" s="92"/>
      <c r="AW72" s="231"/>
      <c r="AX72" s="231"/>
      <c r="AY72" s="246"/>
      <c r="AZ72" s="231"/>
      <c r="BA72" s="231"/>
      <c r="BB72" s="245"/>
      <c r="BC72" s="231"/>
      <c r="BD72" s="231"/>
      <c r="BE72" s="231"/>
      <c r="BF72" s="231"/>
      <c r="BG72" s="231"/>
      <c r="BH72" s="231"/>
      <c r="BI72" s="231"/>
      <c r="BJ72" s="223"/>
      <c r="BK72" s="245"/>
      <c r="BL72" s="231"/>
      <c r="BM72" s="231"/>
      <c r="BN72" s="231"/>
      <c r="BO72" s="231"/>
      <c r="BP72" s="231"/>
      <c r="BQ72" s="231"/>
      <c r="BR72" s="92"/>
      <c r="BS72" s="92"/>
      <c r="BT72" s="92"/>
    </row>
    <row r="73" spans="2:72" s="154" customFormat="1" ht="22.5" customHeight="1" x14ac:dyDescent="0.2">
      <c r="B73" s="244"/>
      <c r="H73" s="244"/>
      <c r="J73" s="243"/>
      <c r="O73" s="244"/>
      <c r="R73" s="243"/>
      <c r="W73" s="244"/>
      <c r="Z73" s="245"/>
      <c r="AK73" s="245"/>
      <c r="AS73" s="245"/>
      <c r="AT73" s="231"/>
      <c r="AU73" s="231"/>
      <c r="AV73" s="231"/>
      <c r="AW73" s="231"/>
      <c r="AX73" s="231"/>
      <c r="AY73" s="231"/>
      <c r="AZ73" s="231"/>
      <c r="BA73" s="231"/>
      <c r="BB73" s="245"/>
      <c r="BC73" s="231"/>
      <c r="BD73" s="231"/>
      <c r="BE73" s="231"/>
      <c r="BF73" s="231"/>
      <c r="BG73" s="231"/>
      <c r="BH73" s="231"/>
      <c r="BI73" s="231"/>
      <c r="BJ73" s="223"/>
      <c r="BK73" s="245"/>
      <c r="BL73" s="231"/>
      <c r="BM73" s="231"/>
      <c r="BN73" s="231"/>
      <c r="BO73" s="231"/>
      <c r="BP73" s="231"/>
      <c r="BQ73" s="231"/>
      <c r="BR73" s="92"/>
      <c r="BS73" s="92"/>
      <c r="BT73" s="92"/>
    </row>
    <row r="74" spans="2:72" ht="22.5" customHeight="1" x14ac:dyDescent="0.2">
      <c r="AT74" s="231"/>
      <c r="AU74" s="231"/>
      <c r="AV74" s="231"/>
      <c r="AW74" s="231"/>
      <c r="AX74" s="231"/>
      <c r="AY74" s="231"/>
      <c r="AZ74" s="231"/>
      <c r="BA74" s="231"/>
      <c r="BC74" s="231"/>
      <c r="BD74" s="231"/>
      <c r="BE74" s="231"/>
      <c r="BF74" s="231"/>
      <c r="BG74" s="231"/>
      <c r="BH74" s="231"/>
      <c r="BI74" s="231"/>
      <c r="BJ74" s="231"/>
      <c r="BL74" s="231"/>
      <c r="BM74" s="231"/>
      <c r="BN74" s="231"/>
      <c r="BO74" s="231"/>
      <c r="BP74" s="231"/>
      <c r="BQ74" s="231"/>
      <c r="BR74" s="92"/>
      <c r="BS74" s="92"/>
      <c r="BT74" s="92"/>
    </row>
    <row r="75" spans="2:72" s="92" customFormat="1" ht="22.5" customHeight="1" x14ac:dyDescent="0.2">
      <c r="J75" s="245"/>
      <c r="K75" s="231"/>
      <c r="L75" s="231"/>
      <c r="M75" s="231"/>
      <c r="N75" s="231"/>
      <c r="O75" s="231"/>
      <c r="P75" s="231"/>
      <c r="Q75" s="231"/>
      <c r="R75" s="245"/>
      <c r="S75" s="231"/>
      <c r="T75" s="231"/>
      <c r="U75" s="231"/>
      <c r="V75" s="231"/>
      <c r="W75" s="231"/>
      <c r="X75" s="231"/>
      <c r="AR75" s="231"/>
      <c r="AS75" s="245"/>
      <c r="AT75" s="231"/>
      <c r="AU75" s="231"/>
      <c r="AV75" s="231"/>
      <c r="AW75" s="231"/>
      <c r="AX75" s="231"/>
      <c r="AY75" s="231"/>
      <c r="AZ75" s="231"/>
      <c r="BA75" s="231"/>
      <c r="BB75" s="245"/>
      <c r="BC75" s="231"/>
      <c r="BD75" s="231"/>
      <c r="BE75" s="231"/>
      <c r="BF75" s="231"/>
      <c r="BG75" s="231"/>
      <c r="BH75" s="231"/>
      <c r="BI75" s="231"/>
      <c r="BJ75" s="231"/>
      <c r="BK75" s="245"/>
      <c r="BL75" s="231"/>
      <c r="BM75" s="231"/>
      <c r="BN75" s="231"/>
      <c r="BO75" s="231"/>
      <c r="BP75" s="231"/>
      <c r="BQ75" s="231"/>
    </row>
    <row r="76" spans="2:72" s="92" customFormat="1" ht="22.5" customHeight="1" x14ac:dyDescent="0.2">
      <c r="J76" s="245"/>
      <c r="K76" s="231"/>
      <c r="L76" s="231"/>
      <c r="M76" s="231"/>
      <c r="N76" s="231"/>
      <c r="O76" s="231"/>
      <c r="P76" s="231"/>
      <c r="Q76" s="231"/>
      <c r="R76" s="245"/>
      <c r="S76" s="231"/>
      <c r="T76" s="231"/>
      <c r="U76" s="231"/>
      <c r="V76" s="231"/>
      <c r="W76" s="231"/>
      <c r="X76" s="231"/>
      <c r="Y76" s="231"/>
      <c r="Z76" s="245"/>
      <c r="AA76" s="231"/>
      <c r="AB76" s="231"/>
      <c r="AC76" s="231"/>
      <c r="AD76" s="231"/>
      <c r="AE76" s="231"/>
      <c r="AF76" s="231"/>
      <c r="AG76" s="231"/>
      <c r="AH76" s="231"/>
      <c r="AI76" s="231"/>
      <c r="AR76" s="231"/>
      <c r="AS76" s="245"/>
      <c r="AT76" s="231"/>
      <c r="AU76" s="231"/>
      <c r="AV76" s="231"/>
      <c r="AW76" s="231"/>
      <c r="AX76" s="231"/>
      <c r="AY76" s="231"/>
      <c r="AZ76" s="231"/>
      <c r="BA76" s="231"/>
      <c r="BB76" s="245"/>
      <c r="BC76" s="231"/>
      <c r="BD76" s="231"/>
      <c r="BE76" s="231"/>
      <c r="BF76" s="231"/>
      <c r="BG76" s="231"/>
      <c r="BH76" s="231"/>
      <c r="BI76" s="231"/>
      <c r="BJ76" s="231"/>
      <c r="BK76" s="245"/>
      <c r="BL76" s="231"/>
      <c r="BM76" s="231"/>
      <c r="BN76" s="231"/>
      <c r="BO76" s="231"/>
      <c r="BP76" s="231"/>
      <c r="BQ76" s="231"/>
    </row>
    <row r="77" spans="2:72" s="92" customFormat="1" ht="22.5" customHeight="1" x14ac:dyDescent="0.2">
      <c r="J77" s="245"/>
      <c r="K77" s="231"/>
      <c r="L77" s="231"/>
      <c r="M77" s="231"/>
      <c r="N77" s="231"/>
      <c r="O77" s="231"/>
      <c r="P77" s="231"/>
      <c r="Q77" s="231"/>
      <c r="R77" s="245"/>
      <c r="S77" s="231"/>
      <c r="T77" s="231"/>
      <c r="U77" s="231"/>
      <c r="V77" s="231"/>
      <c r="W77" s="231"/>
      <c r="X77" s="231"/>
      <c r="Y77" s="231"/>
      <c r="Z77" s="245"/>
      <c r="AA77" s="231"/>
      <c r="AB77" s="231"/>
      <c r="AC77" s="231"/>
      <c r="AD77" s="231"/>
      <c r="AE77" s="231"/>
      <c r="AF77" s="231"/>
      <c r="AG77" s="231"/>
      <c r="AH77" s="231"/>
      <c r="AI77" s="231"/>
      <c r="AR77" s="231"/>
      <c r="AS77" s="245"/>
      <c r="AT77" s="231"/>
      <c r="AU77" s="231"/>
      <c r="AV77" s="231"/>
      <c r="AW77" s="231"/>
      <c r="AX77" s="231"/>
      <c r="AY77" s="231"/>
      <c r="AZ77" s="231"/>
      <c r="BA77" s="231"/>
      <c r="BB77" s="245"/>
      <c r="BC77" s="231"/>
      <c r="BD77" s="231"/>
      <c r="BE77" s="231"/>
      <c r="BF77" s="231"/>
      <c r="BG77" s="231"/>
      <c r="BH77" s="231"/>
      <c r="BI77" s="231"/>
      <c r="BJ77" s="231"/>
      <c r="BK77" s="245"/>
      <c r="BL77" s="231"/>
      <c r="BM77" s="231"/>
      <c r="BN77" s="231"/>
      <c r="BO77" s="231"/>
      <c r="BP77" s="231"/>
      <c r="BQ77" s="231"/>
    </row>
    <row r="78" spans="2:72" s="92" customFormat="1" ht="22.5" customHeight="1" x14ac:dyDescent="0.2">
      <c r="J78" s="245"/>
      <c r="K78" s="231"/>
      <c r="L78" s="231"/>
      <c r="M78" s="231"/>
      <c r="N78" s="231"/>
      <c r="O78" s="231"/>
      <c r="P78" s="231"/>
      <c r="Q78" s="231"/>
      <c r="R78" s="245"/>
      <c r="S78" s="231"/>
      <c r="T78" s="231"/>
      <c r="U78" s="231"/>
      <c r="V78" s="231"/>
      <c r="W78" s="231"/>
      <c r="X78" s="231"/>
      <c r="Y78" s="231"/>
      <c r="Z78" s="245"/>
      <c r="AA78" s="231"/>
      <c r="AB78" s="231"/>
      <c r="AC78" s="231"/>
      <c r="AD78" s="231"/>
      <c r="AE78" s="231"/>
      <c r="AF78" s="231"/>
      <c r="AG78" s="231"/>
      <c r="AH78" s="231"/>
      <c r="AI78" s="231"/>
      <c r="AJ78" s="231"/>
      <c r="AK78" s="245"/>
      <c r="AL78" s="231"/>
      <c r="AM78" s="231"/>
      <c r="AN78" s="231"/>
      <c r="AO78" s="231"/>
      <c r="AP78" s="231"/>
      <c r="AQ78" s="231"/>
      <c r="AR78" s="223"/>
      <c r="AS78" s="245"/>
      <c r="AT78" s="231"/>
      <c r="AU78" s="231"/>
      <c r="AV78" s="231"/>
      <c r="AW78" s="231"/>
      <c r="AX78" s="231"/>
      <c r="AY78" s="231"/>
      <c r="AZ78" s="231"/>
      <c r="BA78" s="231"/>
      <c r="BB78" s="245"/>
      <c r="BC78" s="231"/>
      <c r="BD78" s="231"/>
      <c r="BE78" s="231"/>
      <c r="BF78" s="231"/>
      <c r="BG78" s="231"/>
      <c r="BH78" s="231"/>
      <c r="BI78" s="231"/>
      <c r="BJ78" s="231"/>
      <c r="BK78" s="245"/>
      <c r="BL78" s="231"/>
      <c r="BM78" s="231"/>
      <c r="BN78" s="231"/>
      <c r="BO78" s="231"/>
      <c r="BP78" s="231"/>
      <c r="BQ78" s="231"/>
    </row>
    <row r="79" spans="2:72" s="92" customFormat="1" ht="22.5" customHeight="1" x14ac:dyDescent="0.2">
      <c r="J79" s="245"/>
      <c r="K79" s="231"/>
      <c r="L79" s="231"/>
      <c r="M79" s="231"/>
      <c r="N79" s="231"/>
      <c r="O79" s="231"/>
      <c r="P79" s="231"/>
      <c r="Q79" s="231"/>
      <c r="R79" s="245"/>
      <c r="S79" s="231"/>
      <c r="T79" s="231"/>
      <c r="U79" s="231"/>
      <c r="V79" s="231"/>
      <c r="W79" s="231"/>
      <c r="X79" s="231"/>
      <c r="Y79" s="231"/>
      <c r="Z79" s="245"/>
      <c r="AA79" s="231"/>
      <c r="AB79" s="231"/>
      <c r="AC79" s="231"/>
      <c r="AD79" s="231"/>
      <c r="AE79" s="231"/>
      <c r="AF79" s="231"/>
      <c r="AG79" s="231"/>
      <c r="AH79" s="231"/>
      <c r="AI79" s="231"/>
      <c r="AR79" s="223"/>
      <c r="AS79" s="245"/>
      <c r="AT79" s="231"/>
      <c r="AU79" s="231"/>
      <c r="AV79" s="231"/>
      <c r="AW79" s="231"/>
      <c r="AX79" s="231"/>
      <c r="AY79" s="231"/>
      <c r="AZ79" s="231"/>
      <c r="BA79" s="231"/>
      <c r="BB79" s="245"/>
      <c r="BC79" s="231"/>
      <c r="BD79" s="231"/>
      <c r="BE79" s="231"/>
      <c r="BF79" s="231"/>
      <c r="BG79" s="231"/>
      <c r="BH79" s="231"/>
      <c r="BI79" s="231"/>
      <c r="BJ79" s="231"/>
      <c r="BK79" s="245"/>
      <c r="BL79" s="231"/>
      <c r="BM79" s="231"/>
      <c r="BN79" s="231"/>
      <c r="BO79" s="231"/>
      <c r="BP79" s="231"/>
      <c r="BQ79" s="231"/>
    </row>
    <row r="80" spans="2:72" s="92" customFormat="1" ht="22.5" customHeight="1" x14ac:dyDescent="0.2">
      <c r="J80" s="245"/>
      <c r="K80" s="231"/>
      <c r="L80" s="231"/>
      <c r="M80" s="231"/>
      <c r="N80" s="231"/>
      <c r="O80" s="231"/>
      <c r="P80" s="231"/>
      <c r="Q80" s="231"/>
      <c r="R80" s="245"/>
      <c r="S80" s="231"/>
      <c r="T80" s="231"/>
      <c r="U80" s="231"/>
      <c r="V80" s="231"/>
      <c r="W80" s="231"/>
      <c r="X80" s="231"/>
      <c r="Y80" s="231"/>
      <c r="Z80" s="245"/>
      <c r="AA80" s="231"/>
      <c r="AB80" s="231"/>
      <c r="AC80" s="231"/>
      <c r="AD80" s="231"/>
      <c r="AE80" s="231"/>
      <c r="AF80" s="231"/>
      <c r="AG80" s="231"/>
      <c r="AH80" s="231"/>
      <c r="AI80" s="231"/>
      <c r="AR80" s="223"/>
      <c r="AS80" s="245"/>
      <c r="AT80" s="231"/>
      <c r="AU80" s="231"/>
      <c r="AV80" s="231"/>
      <c r="AW80" s="231"/>
      <c r="AX80" s="231"/>
      <c r="AY80" s="231"/>
      <c r="AZ80" s="231"/>
      <c r="BA80" s="231"/>
      <c r="BB80" s="245"/>
      <c r="BC80" s="231"/>
      <c r="BD80" s="231"/>
      <c r="BE80" s="231"/>
      <c r="BF80" s="231"/>
      <c r="BG80" s="231"/>
      <c r="BH80" s="231"/>
      <c r="BI80" s="231"/>
      <c r="BJ80" s="231"/>
      <c r="BK80" s="245"/>
      <c r="BL80" s="231"/>
      <c r="BM80" s="231"/>
      <c r="BN80" s="231"/>
      <c r="BO80" s="231"/>
      <c r="BP80" s="231"/>
      <c r="BQ80" s="231"/>
    </row>
    <row r="81" spans="10:72" s="92" customFormat="1" ht="22.5" customHeight="1" x14ac:dyDescent="0.2">
      <c r="J81" s="245"/>
      <c r="K81" s="231"/>
      <c r="L81" s="231"/>
      <c r="M81" s="231"/>
      <c r="N81" s="231"/>
      <c r="O81" s="231"/>
      <c r="P81" s="231"/>
      <c r="Q81" s="231"/>
      <c r="R81" s="245"/>
      <c r="S81" s="231"/>
      <c r="T81" s="231"/>
      <c r="U81" s="231"/>
      <c r="V81" s="231"/>
      <c r="W81" s="231"/>
      <c r="X81" s="231"/>
      <c r="Y81" s="231"/>
      <c r="Z81" s="245"/>
      <c r="AA81" s="231"/>
      <c r="AB81" s="231"/>
      <c r="AC81" s="231"/>
      <c r="AD81" s="231"/>
      <c r="AE81" s="231"/>
      <c r="AF81" s="231"/>
      <c r="AG81" s="231"/>
      <c r="AH81" s="231"/>
      <c r="AI81" s="231"/>
      <c r="AR81" s="231"/>
      <c r="AS81" s="245"/>
      <c r="AT81" s="231"/>
      <c r="AU81" s="231"/>
      <c r="AV81" s="231"/>
      <c r="AW81" s="231"/>
      <c r="AX81" s="231"/>
      <c r="AY81" s="231"/>
      <c r="AZ81" s="231"/>
      <c r="BA81" s="231"/>
      <c r="BB81" s="245"/>
      <c r="BC81" s="231"/>
      <c r="BD81" s="231"/>
      <c r="BE81" s="231"/>
      <c r="BF81" s="231"/>
      <c r="BG81" s="231"/>
      <c r="BH81" s="231"/>
      <c r="BI81" s="231"/>
      <c r="BJ81" s="231"/>
      <c r="BK81" s="245"/>
      <c r="BL81" s="231"/>
      <c r="BM81" s="231"/>
      <c r="BN81" s="231"/>
      <c r="BO81" s="231"/>
      <c r="BP81" s="231"/>
      <c r="BQ81" s="231"/>
    </row>
    <row r="82" spans="10:72" s="92" customFormat="1" ht="22.5" customHeight="1" x14ac:dyDescent="0.2">
      <c r="J82" s="245"/>
      <c r="K82" s="231"/>
      <c r="L82" s="231"/>
      <c r="M82" s="231"/>
      <c r="N82" s="231"/>
      <c r="O82" s="231"/>
      <c r="P82" s="231"/>
      <c r="Q82" s="231"/>
      <c r="R82" s="245"/>
      <c r="S82" s="231"/>
      <c r="T82" s="231"/>
      <c r="U82" s="231"/>
      <c r="V82" s="231"/>
      <c r="W82" s="231"/>
      <c r="X82" s="231"/>
      <c r="Y82" s="231"/>
      <c r="Z82" s="245"/>
      <c r="AA82" s="231"/>
      <c r="AB82" s="231"/>
      <c r="AC82" s="231"/>
      <c r="AD82" s="231"/>
      <c r="AE82" s="231"/>
      <c r="AF82" s="231"/>
      <c r="AG82" s="231"/>
      <c r="AH82" s="231"/>
      <c r="AI82" s="231"/>
      <c r="AR82" s="231"/>
      <c r="AS82" s="245"/>
      <c r="AT82" s="231"/>
      <c r="AU82" s="231"/>
      <c r="AV82" s="231"/>
      <c r="AW82" s="231"/>
      <c r="AX82" s="231"/>
      <c r="AY82" s="231"/>
      <c r="AZ82" s="231"/>
      <c r="BA82" s="231"/>
      <c r="BB82" s="245"/>
      <c r="BC82" s="231"/>
      <c r="BD82" s="231"/>
      <c r="BE82" s="231"/>
      <c r="BF82" s="231"/>
      <c r="BG82" s="231"/>
      <c r="BH82" s="231"/>
      <c r="BI82" s="231"/>
      <c r="BJ82" s="231"/>
      <c r="BK82" s="245"/>
      <c r="BL82" s="231"/>
      <c r="BM82" s="231"/>
      <c r="BN82" s="231"/>
      <c r="BO82" s="231"/>
      <c r="BP82" s="231"/>
      <c r="BQ82" s="231"/>
    </row>
    <row r="83" spans="10:72" s="92" customFormat="1" ht="22.5" customHeight="1" x14ac:dyDescent="0.2">
      <c r="J83" s="245"/>
      <c r="K83" s="231"/>
      <c r="L83" s="231"/>
      <c r="M83" s="231"/>
      <c r="N83" s="231"/>
      <c r="O83" s="231"/>
      <c r="P83" s="231"/>
      <c r="Q83" s="231"/>
      <c r="R83" s="245"/>
      <c r="S83" s="231"/>
      <c r="T83" s="231"/>
      <c r="U83" s="231"/>
      <c r="V83" s="231"/>
      <c r="W83" s="231"/>
      <c r="X83" s="231"/>
      <c r="Y83" s="231"/>
      <c r="Z83" s="245"/>
      <c r="AA83" s="231"/>
      <c r="AB83" s="231"/>
      <c r="AC83" s="231"/>
      <c r="AD83" s="231"/>
      <c r="AE83" s="231"/>
      <c r="AF83" s="231"/>
      <c r="AG83" s="231"/>
      <c r="AH83" s="231"/>
      <c r="AI83" s="231"/>
      <c r="AR83" s="231"/>
      <c r="AS83" s="245"/>
      <c r="AT83" s="231"/>
      <c r="AU83" s="231"/>
      <c r="AV83" s="231"/>
      <c r="AW83" s="231"/>
      <c r="AX83" s="231"/>
      <c r="AY83" s="231"/>
      <c r="AZ83" s="231"/>
      <c r="BA83" s="231"/>
      <c r="BB83" s="245"/>
      <c r="BC83" s="231"/>
      <c r="BD83" s="231"/>
      <c r="BE83" s="231"/>
      <c r="BF83" s="231"/>
      <c r="BG83" s="231"/>
      <c r="BH83" s="231"/>
      <c r="BI83" s="231"/>
      <c r="BJ83" s="231"/>
      <c r="BK83" s="245"/>
      <c r="BL83" s="231"/>
      <c r="BM83" s="231"/>
      <c r="BN83" s="231"/>
      <c r="BO83" s="231"/>
      <c r="BP83" s="231"/>
      <c r="BQ83" s="231"/>
    </row>
    <row r="84" spans="10:72" s="92" customFormat="1" ht="22.5" customHeight="1" x14ac:dyDescent="0.2">
      <c r="J84" s="245"/>
      <c r="K84" s="231"/>
      <c r="L84" s="231"/>
      <c r="M84" s="231"/>
      <c r="N84" s="231"/>
      <c r="O84" s="231"/>
      <c r="P84" s="231"/>
      <c r="Q84" s="231"/>
      <c r="R84" s="245"/>
      <c r="S84" s="231"/>
      <c r="T84" s="231"/>
      <c r="U84" s="231"/>
      <c r="V84" s="231"/>
      <c r="W84" s="231"/>
      <c r="X84" s="231"/>
      <c r="Y84" s="231"/>
      <c r="Z84" s="245"/>
      <c r="AA84" s="231"/>
      <c r="AB84" s="231"/>
      <c r="AC84" s="231"/>
      <c r="AD84" s="231"/>
      <c r="AE84" s="231"/>
      <c r="AF84" s="231"/>
      <c r="AG84" s="231"/>
      <c r="AH84" s="231"/>
      <c r="AI84" s="231"/>
      <c r="AR84" s="231"/>
      <c r="AS84" s="245"/>
      <c r="AT84" s="231"/>
      <c r="AU84" s="231"/>
      <c r="AV84" s="231"/>
      <c r="AW84" s="231"/>
      <c r="AX84" s="231"/>
      <c r="AY84" s="231"/>
      <c r="AZ84" s="231"/>
      <c r="BA84" s="231"/>
      <c r="BB84" s="245"/>
      <c r="BC84" s="231"/>
      <c r="BD84" s="231"/>
      <c r="BE84" s="231"/>
      <c r="BF84" s="231"/>
      <c r="BG84" s="231"/>
      <c r="BH84" s="231"/>
      <c r="BI84" s="231"/>
      <c r="BJ84" s="231"/>
      <c r="BK84" s="245"/>
      <c r="BL84" s="231"/>
      <c r="BM84" s="231"/>
      <c r="BN84" s="231"/>
      <c r="BO84" s="231"/>
      <c r="BP84" s="231"/>
      <c r="BQ84" s="231"/>
    </row>
    <row r="85" spans="10:72" s="92" customFormat="1" ht="22.5" customHeight="1" x14ac:dyDescent="0.2">
      <c r="J85" s="245"/>
      <c r="K85" s="231"/>
      <c r="L85" s="231"/>
      <c r="M85" s="231"/>
      <c r="N85" s="231"/>
      <c r="O85" s="231"/>
      <c r="P85" s="231"/>
      <c r="Q85" s="231"/>
      <c r="R85" s="245"/>
      <c r="S85" s="231"/>
      <c r="T85" s="231"/>
      <c r="U85" s="231"/>
      <c r="V85" s="231"/>
      <c r="W85" s="231"/>
      <c r="X85" s="231"/>
      <c r="Y85" s="231"/>
      <c r="Z85" s="245"/>
      <c r="AA85" s="231"/>
      <c r="AB85" s="231"/>
      <c r="AC85" s="231"/>
      <c r="AD85" s="231"/>
      <c r="AE85" s="231"/>
      <c r="AF85" s="231"/>
      <c r="AG85" s="231"/>
      <c r="AH85" s="231"/>
      <c r="AI85" s="231"/>
      <c r="AR85" s="231"/>
      <c r="AS85" s="245"/>
      <c r="AT85" s="231"/>
      <c r="AU85" s="231"/>
      <c r="AV85" s="231"/>
      <c r="AW85" s="231"/>
      <c r="AX85" s="231"/>
      <c r="AY85" s="231"/>
      <c r="AZ85" s="231"/>
      <c r="BA85" s="231"/>
      <c r="BB85" s="245"/>
      <c r="BC85" s="231"/>
      <c r="BD85" s="231"/>
      <c r="BE85" s="231"/>
      <c r="BF85" s="231"/>
      <c r="BG85" s="231"/>
      <c r="BH85" s="231"/>
      <c r="BI85" s="231"/>
      <c r="BJ85" s="231"/>
      <c r="BK85" s="245"/>
      <c r="BL85" s="231"/>
      <c r="BM85" s="231"/>
      <c r="BN85" s="231"/>
      <c r="BO85" s="231"/>
      <c r="BP85" s="231"/>
      <c r="BQ85" s="231"/>
    </row>
    <row r="86" spans="10:72" s="92" customFormat="1" ht="22.5" customHeight="1" x14ac:dyDescent="0.2">
      <c r="J86" s="245"/>
      <c r="K86" s="231"/>
      <c r="L86" s="231"/>
      <c r="M86" s="231"/>
      <c r="N86" s="231"/>
      <c r="O86" s="231"/>
      <c r="P86" s="231"/>
      <c r="Q86" s="231"/>
      <c r="R86" s="245"/>
      <c r="S86" s="231"/>
      <c r="T86" s="231"/>
      <c r="U86" s="231"/>
      <c r="V86" s="231"/>
      <c r="W86" s="231"/>
      <c r="X86" s="231"/>
      <c r="Y86" s="231"/>
      <c r="Z86" s="245"/>
      <c r="AA86" s="231"/>
      <c r="AB86" s="231"/>
      <c r="AC86" s="231"/>
      <c r="AD86" s="231"/>
      <c r="AE86" s="231"/>
      <c r="AF86" s="231"/>
      <c r="AG86" s="231"/>
      <c r="AH86" s="231"/>
      <c r="AI86" s="231"/>
      <c r="AR86" s="231"/>
      <c r="AS86" s="245"/>
      <c r="AT86" s="231"/>
      <c r="AU86" s="231"/>
      <c r="AV86" s="231"/>
      <c r="AW86" s="231"/>
      <c r="AX86" s="231"/>
      <c r="AY86" s="231"/>
      <c r="AZ86" s="231"/>
      <c r="BA86" s="231"/>
      <c r="BB86" s="245"/>
      <c r="BC86" s="231"/>
      <c r="BD86" s="231"/>
      <c r="BE86" s="231"/>
      <c r="BF86" s="231"/>
      <c r="BG86" s="231"/>
      <c r="BH86" s="231"/>
      <c r="BI86" s="231"/>
      <c r="BJ86" s="231"/>
      <c r="BK86" s="245"/>
      <c r="BL86" s="231"/>
      <c r="BM86" s="231"/>
      <c r="BN86" s="231"/>
      <c r="BO86" s="231"/>
      <c r="BP86" s="231"/>
      <c r="BQ86" s="231"/>
    </row>
    <row r="87" spans="10:72" s="92" customFormat="1" ht="22.5" customHeight="1" x14ac:dyDescent="0.2">
      <c r="J87" s="245"/>
      <c r="K87" s="231"/>
      <c r="L87" s="231"/>
      <c r="M87" s="231"/>
      <c r="N87" s="231"/>
      <c r="O87" s="231"/>
      <c r="P87" s="231"/>
      <c r="Q87" s="231"/>
      <c r="R87" s="245"/>
      <c r="S87" s="231"/>
      <c r="T87" s="231"/>
      <c r="U87" s="231"/>
      <c r="V87" s="231"/>
      <c r="W87" s="231"/>
      <c r="X87" s="231"/>
      <c r="Y87" s="231"/>
      <c r="Z87" s="245"/>
      <c r="AA87" s="231"/>
      <c r="AB87" s="231"/>
      <c r="AC87" s="231"/>
      <c r="AD87" s="231"/>
      <c r="AE87" s="231"/>
      <c r="AF87" s="231"/>
      <c r="AG87" s="231"/>
      <c r="AH87" s="231"/>
      <c r="AI87" s="231"/>
      <c r="AJ87" s="231"/>
      <c r="AK87" s="245"/>
      <c r="AL87" s="231"/>
      <c r="AM87" s="231"/>
      <c r="AN87" s="231"/>
      <c r="AO87" s="231"/>
      <c r="AP87" s="231"/>
      <c r="AQ87" s="231"/>
      <c r="AR87" s="231"/>
      <c r="AS87" s="245"/>
      <c r="AT87" s="231"/>
      <c r="AU87" s="231"/>
      <c r="AV87" s="231"/>
      <c r="AW87" s="231"/>
      <c r="AX87" s="231"/>
      <c r="AY87" s="231"/>
      <c r="AZ87" s="231"/>
      <c r="BA87" s="231"/>
      <c r="BB87" s="245"/>
      <c r="BC87" s="231"/>
      <c r="BD87" s="231"/>
      <c r="BE87" s="231"/>
      <c r="BF87" s="231"/>
      <c r="BG87" s="231"/>
      <c r="BH87" s="231"/>
      <c r="BI87" s="231"/>
      <c r="BJ87" s="231"/>
      <c r="BK87" s="245"/>
      <c r="BL87" s="231"/>
      <c r="BM87" s="231"/>
      <c r="BN87" s="231"/>
      <c r="BO87" s="231"/>
      <c r="BP87" s="231"/>
      <c r="BQ87" s="231"/>
      <c r="BR87" s="8"/>
      <c r="BS87" s="8"/>
      <c r="BT87" s="8"/>
    </row>
    <row r="88" spans="10:72" s="92" customFormat="1" ht="22.5" customHeight="1" x14ac:dyDescent="0.2">
      <c r="J88" s="245"/>
      <c r="K88" s="231"/>
      <c r="L88" s="231"/>
      <c r="M88" s="231"/>
      <c r="N88" s="231"/>
      <c r="O88" s="231"/>
      <c r="P88" s="231"/>
      <c r="Q88" s="231"/>
      <c r="R88" s="245"/>
      <c r="S88" s="231"/>
      <c r="T88" s="231"/>
      <c r="U88" s="231"/>
      <c r="V88" s="231"/>
      <c r="W88" s="231"/>
      <c r="X88" s="231"/>
      <c r="Y88" s="231"/>
      <c r="Z88" s="245"/>
      <c r="AA88" s="231"/>
      <c r="AB88" s="231"/>
      <c r="AC88" s="231"/>
      <c r="AD88" s="231"/>
      <c r="AE88" s="231"/>
      <c r="AF88" s="231"/>
      <c r="AG88" s="231"/>
      <c r="AH88" s="231"/>
      <c r="AI88" s="231"/>
      <c r="AJ88" s="231"/>
      <c r="AK88" s="245"/>
      <c r="AL88" s="231"/>
      <c r="AM88" s="231"/>
      <c r="AN88" s="231"/>
      <c r="AO88" s="231"/>
      <c r="AP88" s="231"/>
      <c r="AQ88" s="231"/>
      <c r="AR88" s="231"/>
      <c r="AS88" s="245"/>
      <c r="AT88" s="231"/>
      <c r="AU88" s="231"/>
      <c r="AV88" s="231"/>
      <c r="AW88" s="231"/>
      <c r="AX88" s="231"/>
      <c r="AY88" s="231"/>
      <c r="AZ88" s="231"/>
      <c r="BA88" s="231"/>
      <c r="BB88" s="245"/>
      <c r="BC88" s="231"/>
      <c r="BD88" s="231"/>
      <c r="BE88" s="231"/>
      <c r="BF88" s="231"/>
      <c r="BG88" s="231"/>
      <c r="BH88" s="231"/>
      <c r="BI88" s="231"/>
      <c r="BJ88" s="231"/>
      <c r="BK88" s="245"/>
      <c r="BL88" s="231"/>
      <c r="BM88" s="231"/>
      <c r="BN88" s="231"/>
      <c r="BO88" s="231"/>
      <c r="BP88" s="231"/>
      <c r="BQ88" s="231"/>
      <c r="BR88" s="188"/>
      <c r="BS88" s="188"/>
      <c r="BT88" s="188"/>
    </row>
    <row r="89" spans="10:72" s="92" customFormat="1" ht="22.5" customHeight="1" x14ac:dyDescent="0.2">
      <c r="J89" s="245"/>
      <c r="K89" s="231"/>
      <c r="L89" s="231"/>
      <c r="M89" s="231"/>
      <c r="N89" s="231"/>
      <c r="O89" s="231"/>
      <c r="P89" s="231"/>
      <c r="Q89" s="231"/>
      <c r="R89" s="245"/>
      <c r="S89" s="231"/>
      <c r="T89" s="231"/>
      <c r="U89" s="231"/>
      <c r="V89" s="231"/>
      <c r="W89" s="231"/>
      <c r="X89" s="231"/>
      <c r="Y89" s="231"/>
      <c r="Z89" s="245"/>
      <c r="AA89" s="231"/>
      <c r="AB89" s="231"/>
      <c r="AC89" s="231"/>
      <c r="AD89" s="231"/>
      <c r="AE89" s="231"/>
      <c r="AF89" s="231"/>
      <c r="AG89" s="231"/>
      <c r="AH89" s="231"/>
      <c r="AI89" s="231"/>
      <c r="AJ89" s="231"/>
      <c r="AK89" s="245"/>
      <c r="AL89" s="231"/>
      <c r="AM89" s="231"/>
      <c r="AN89" s="231"/>
      <c r="AO89" s="231"/>
      <c r="AP89" s="231"/>
      <c r="AQ89" s="231"/>
      <c r="AR89" s="231"/>
      <c r="AS89" s="245"/>
      <c r="AT89" s="231"/>
      <c r="AU89" s="231"/>
      <c r="AV89" s="231"/>
      <c r="AW89" s="231"/>
      <c r="AX89" s="231"/>
      <c r="AY89" s="231"/>
      <c r="AZ89" s="231"/>
      <c r="BA89" s="231"/>
      <c r="BB89" s="245"/>
      <c r="BC89" s="231"/>
      <c r="BD89" s="231"/>
      <c r="BE89" s="231"/>
      <c r="BF89" s="231"/>
      <c r="BG89" s="231"/>
      <c r="BH89" s="231"/>
      <c r="BI89" s="231"/>
      <c r="BJ89" s="231"/>
      <c r="BK89" s="245"/>
      <c r="BL89" s="231"/>
      <c r="BM89" s="231"/>
      <c r="BN89" s="231"/>
      <c r="BO89" s="231"/>
      <c r="BP89" s="231"/>
      <c r="BQ89" s="231"/>
      <c r="BR89" s="188"/>
      <c r="BS89" s="188"/>
      <c r="BT89" s="188"/>
    </row>
    <row r="90" spans="10:72" s="92" customFormat="1" ht="22.5" customHeight="1" x14ac:dyDescent="0.2">
      <c r="J90" s="245"/>
      <c r="K90" s="231"/>
      <c r="L90" s="231"/>
      <c r="M90" s="231"/>
      <c r="N90" s="231"/>
      <c r="O90" s="231"/>
      <c r="P90" s="231"/>
      <c r="Q90" s="231"/>
      <c r="R90" s="245"/>
      <c r="S90" s="231"/>
      <c r="T90" s="231"/>
      <c r="U90" s="231"/>
      <c r="V90" s="231"/>
      <c r="W90" s="231"/>
      <c r="X90" s="231"/>
      <c r="Y90" s="231"/>
      <c r="Z90" s="245"/>
      <c r="AA90" s="231"/>
      <c r="AB90" s="231"/>
      <c r="AC90" s="231"/>
      <c r="AD90" s="231"/>
      <c r="AE90" s="231"/>
      <c r="AF90" s="231"/>
      <c r="AG90" s="231"/>
      <c r="AH90" s="231"/>
      <c r="AI90" s="231"/>
      <c r="AJ90" s="231"/>
      <c r="AK90" s="245"/>
      <c r="AL90" s="231"/>
      <c r="AM90" s="231"/>
      <c r="AN90" s="231"/>
      <c r="AO90" s="231"/>
      <c r="AP90" s="231"/>
      <c r="AQ90" s="231"/>
      <c r="AR90" s="231"/>
      <c r="AS90" s="245"/>
      <c r="AT90" s="231"/>
      <c r="AU90" s="231"/>
      <c r="AV90" s="231"/>
      <c r="AW90" s="231"/>
      <c r="AX90" s="231"/>
      <c r="AY90" s="231"/>
      <c r="AZ90" s="231"/>
      <c r="BA90" s="231"/>
      <c r="BB90" s="245"/>
      <c r="BC90" s="231"/>
      <c r="BD90" s="231"/>
      <c r="BE90" s="231"/>
      <c r="BF90" s="231"/>
      <c r="BG90" s="231"/>
      <c r="BH90" s="231"/>
      <c r="BI90" s="231"/>
      <c r="BJ90" s="231"/>
      <c r="BK90" s="245"/>
      <c r="BL90" s="231"/>
      <c r="BM90" s="231"/>
      <c r="BN90" s="231"/>
      <c r="BO90" s="231"/>
      <c r="BP90" s="231"/>
      <c r="BQ90" s="231"/>
      <c r="BR90" s="34"/>
      <c r="BS90" s="34"/>
      <c r="BT90" s="34"/>
    </row>
    <row r="91" spans="10:72" s="92" customFormat="1" ht="22.5" customHeight="1" x14ac:dyDescent="0.2">
      <c r="J91" s="245"/>
      <c r="K91" s="231"/>
      <c r="L91" s="231"/>
      <c r="M91" s="231"/>
      <c r="N91" s="231"/>
      <c r="O91" s="231"/>
      <c r="P91" s="231"/>
      <c r="Q91" s="231"/>
      <c r="R91" s="245"/>
      <c r="S91" s="231"/>
      <c r="T91" s="231"/>
      <c r="U91" s="231"/>
      <c r="V91" s="231"/>
      <c r="W91" s="231"/>
      <c r="X91" s="231"/>
      <c r="Y91" s="231"/>
      <c r="Z91" s="245"/>
      <c r="AA91" s="231"/>
      <c r="AB91" s="231"/>
      <c r="AC91" s="231"/>
      <c r="AD91" s="231"/>
      <c r="AE91" s="231"/>
      <c r="AF91" s="231"/>
      <c r="AG91" s="231"/>
      <c r="AH91" s="231"/>
      <c r="AI91" s="231"/>
      <c r="AJ91" s="231"/>
      <c r="AK91" s="245"/>
      <c r="AL91" s="231"/>
      <c r="AM91" s="231"/>
      <c r="AN91" s="231"/>
      <c r="AO91" s="231"/>
      <c r="AP91" s="231"/>
      <c r="AQ91" s="231"/>
      <c r="AR91" s="231"/>
      <c r="AS91" s="245"/>
      <c r="AT91" s="231"/>
      <c r="AU91" s="231"/>
      <c r="AV91" s="231"/>
      <c r="AW91" s="231"/>
      <c r="AX91" s="231"/>
      <c r="AY91" s="231"/>
      <c r="AZ91" s="231"/>
      <c r="BA91" s="231"/>
      <c r="BB91" s="245"/>
      <c r="BC91" s="231"/>
      <c r="BD91" s="231"/>
      <c r="BE91" s="231"/>
      <c r="BF91" s="231"/>
      <c r="BG91" s="231"/>
      <c r="BH91" s="231"/>
      <c r="BI91" s="231"/>
      <c r="BJ91" s="231"/>
      <c r="BK91" s="245"/>
      <c r="BL91" s="154"/>
      <c r="BM91" s="154"/>
      <c r="BN91" s="154"/>
      <c r="BO91" s="154"/>
      <c r="BP91" s="154"/>
      <c r="BQ91" s="154"/>
      <c r="BR91" s="34"/>
      <c r="BS91" s="34"/>
      <c r="BT91" s="34"/>
    </row>
    <row r="92" spans="10:72" s="92" customFormat="1" ht="22.5" customHeight="1" x14ac:dyDescent="0.2">
      <c r="J92" s="245"/>
      <c r="K92" s="231"/>
      <c r="L92" s="231"/>
      <c r="M92" s="231"/>
      <c r="N92" s="231"/>
      <c r="O92" s="231"/>
      <c r="P92" s="231"/>
      <c r="Q92" s="231"/>
      <c r="R92" s="245"/>
      <c r="S92" s="231"/>
      <c r="T92" s="231"/>
      <c r="U92" s="231"/>
      <c r="V92" s="231"/>
      <c r="W92" s="231"/>
      <c r="X92" s="231"/>
      <c r="Y92" s="231"/>
      <c r="Z92" s="245"/>
      <c r="AA92" s="231"/>
      <c r="AB92" s="231"/>
      <c r="AC92" s="231"/>
      <c r="AD92" s="231"/>
      <c r="AE92" s="231"/>
      <c r="AF92" s="231"/>
      <c r="AG92" s="231"/>
      <c r="AH92" s="231"/>
      <c r="AI92" s="231"/>
      <c r="AJ92" s="231"/>
      <c r="AK92" s="245"/>
      <c r="AL92" s="231"/>
      <c r="AM92" s="231"/>
      <c r="AN92" s="231"/>
      <c r="AO92" s="231"/>
      <c r="AP92" s="231"/>
      <c r="AQ92" s="231"/>
      <c r="AR92" s="231"/>
      <c r="AS92" s="245"/>
      <c r="AT92" s="231"/>
      <c r="AU92" s="231"/>
      <c r="AV92" s="231"/>
      <c r="AW92" s="231"/>
      <c r="AX92" s="231"/>
      <c r="AY92" s="231"/>
      <c r="AZ92" s="231"/>
      <c r="BA92" s="231"/>
      <c r="BB92" s="245"/>
      <c r="BC92" s="231"/>
      <c r="BD92" s="231"/>
      <c r="BE92" s="231"/>
      <c r="BF92" s="231"/>
      <c r="BG92" s="231"/>
      <c r="BH92" s="231"/>
      <c r="BI92" s="231"/>
      <c r="BJ92" s="231"/>
      <c r="BK92" s="245"/>
      <c r="BL92" s="247"/>
      <c r="BM92" s="247"/>
      <c r="BN92" s="247"/>
      <c r="BO92" s="247"/>
      <c r="BP92" s="247"/>
      <c r="BQ92" s="247"/>
      <c r="BR92" s="34"/>
      <c r="BS92" s="34"/>
      <c r="BT92" s="34"/>
    </row>
    <row r="93" spans="10:72" s="92" customFormat="1" ht="22.5" customHeight="1" x14ac:dyDescent="0.2">
      <c r="J93" s="245"/>
      <c r="K93" s="231"/>
      <c r="L93" s="231"/>
      <c r="M93" s="231"/>
      <c r="N93" s="231"/>
      <c r="O93" s="231"/>
      <c r="P93" s="231"/>
      <c r="Q93" s="231"/>
      <c r="R93" s="245"/>
      <c r="S93" s="231"/>
      <c r="T93" s="231"/>
      <c r="U93" s="231"/>
      <c r="V93" s="231"/>
      <c r="W93" s="231"/>
      <c r="X93" s="231"/>
      <c r="Y93" s="231"/>
      <c r="Z93" s="245"/>
      <c r="AA93" s="231"/>
      <c r="AB93" s="231"/>
      <c r="AC93" s="231"/>
      <c r="AD93" s="231"/>
      <c r="AE93" s="231"/>
      <c r="AF93" s="231"/>
      <c r="AG93" s="231"/>
      <c r="AH93" s="231"/>
      <c r="AI93" s="231"/>
      <c r="AJ93" s="231"/>
      <c r="AK93" s="245"/>
      <c r="AL93" s="231"/>
      <c r="AM93" s="231"/>
      <c r="AN93" s="231"/>
      <c r="AO93" s="231"/>
      <c r="AP93" s="231"/>
      <c r="AQ93" s="231"/>
      <c r="AR93" s="231"/>
      <c r="AS93" s="245"/>
      <c r="AT93" s="231"/>
      <c r="AU93" s="231"/>
      <c r="AV93" s="231"/>
      <c r="AW93" s="231"/>
      <c r="AX93" s="231"/>
      <c r="AY93" s="231"/>
      <c r="AZ93" s="231"/>
      <c r="BA93" s="231"/>
      <c r="BB93" s="245"/>
      <c r="BC93" s="231"/>
      <c r="BD93" s="231"/>
      <c r="BE93" s="231"/>
      <c r="BF93" s="231"/>
      <c r="BG93" s="231"/>
      <c r="BH93" s="231"/>
      <c r="BI93" s="231"/>
      <c r="BJ93" s="231"/>
      <c r="BK93" s="245"/>
      <c r="BL93" s="247"/>
      <c r="BM93" s="247"/>
      <c r="BN93" s="247"/>
      <c r="BO93" s="247"/>
      <c r="BP93" s="247"/>
      <c r="BQ93" s="247"/>
      <c r="BR93" s="34"/>
      <c r="BS93" s="34"/>
      <c r="BT93" s="34"/>
    </row>
    <row r="94" spans="10:72" s="92" customFormat="1" ht="22.5" customHeight="1" x14ac:dyDescent="0.2">
      <c r="J94" s="245"/>
      <c r="K94" s="231"/>
      <c r="L94" s="231"/>
      <c r="M94" s="231"/>
      <c r="N94" s="231"/>
      <c r="O94" s="231"/>
      <c r="P94" s="231"/>
      <c r="Q94" s="231"/>
      <c r="R94" s="245"/>
      <c r="S94" s="231"/>
      <c r="T94" s="231"/>
      <c r="U94" s="231"/>
      <c r="V94" s="231"/>
      <c r="W94" s="231"/>
      <c r="X94" s="231"/>
      <c r="Y94" s="231"/>
      <c r="Z94" s="245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45"/>
      <c r="AL94" s="231"/>
      <c r="AM94" s="231"/>
      <c r="AN94" s="231"/>
      <c r="AO94" s="231"/>
      <c r="AP94" s="231"/>
      <c r="AQ94" s="231"/>
      <c r="AR94" s="231"/>
      <c r="AS94" s="245"/>
      <c r="AT94" s="231"/>
      <c r="AU94" s="231"/>
      <c r="AV94" s="231"/>
      <c r="AW94" s="231"/>
      <c r="AX94" s="231"/>
      <c r="AY94" s="231"/>
      <c r="AZ94" s="231"/>
      <c r="BA94" s="231"/>
      <c r="BB94" s="245"/>
      <c r="BC94" s="231"/>
      <c r="BD94" s="231"/>
      <c r="BE94" s="231"/>
      <c r="BF94" s="231"/>
      <c r="BG94" s="231"/>
      <c r="BH94" s="231"/>
      <c r="BI94" s="231"/>
      <c r="BJ94" s="231"/>
      <c r="BK94" s="245"/>
      <c r="BL94" s="244"/>
      <c r="BM94" s="244"/>
      <c r="BN94" s="244"/>
      <c r="BO94" s="244"/>
      <c r="BP94" s="244"/>
      <c r="BQ94" s="244"/>
      <c r="BR94" s="34"/>
      <c r="BS94" s="34"/>
      <c r="BT94" s="34"/>
    </row>
    <row r="95" spans="10:72" s="92" customFormat="1" ht="22.5" customHeight="1" x14ac:dyDescent="0.2">
      <c r="J95" s="245"/>
      <c r="K95" s="231"/>
      <c r="L95" s="231"/>
      <c r="M95" s="231"/>
      <c r="N95" s="231"/>
      <c r="O95" s="231"/>
      <c r="P95" s="231"/>
      <c r="Q95" s="231"/>
      <c r="R95" s="245"/>
      <c r="S95" s="231"/>
      <c r="T95" s="231"/>
      <c r="U95" s="231"/>
      <c r="V95" s="231"/>
      <c r="W95" s="231"/>
      <c r="X95" s="231"/>
      <c r="Y95" s="231"/>
      <c r="Z95" s="245"/>
      <c r="AA95" s="231"/>
      <c r="AB95" s="231"/>
      <c r="AC95" s="231"/>
      <c r="AD95" s="231"/>
      <c r="AE95" s="231"/>
      <c r="AF95" s="231"/>
      <c r="AG95" s="231"/>
      <c r="AH95" s="231"/>
      <c r="AI95" s="231"/>
      <c r="AJ95" s="231"/>
      <c r="AK95" s="245"/>
      <c r="AL95" s="231"/>
      <c r="AM95" s="231"/>
      <c r="AN95" s="231"/>
      <c r="AO95" s="231"/>
      <c r="AP95" s="231"/>
      <c r="AQ95" s="231"/>
      <c r="AR95" s="231"/>
      <c r="AS95" s="245"/>
      <c r="AT95" s="231"/>
      <c r="AU95" s="231"/>
      <c r="AV95" s="231"/>
      <c r="AW95" s="231"/>
      <c r="AX95" s="231"/>
      <c r="AY95" s="231"/>
      <c r="AZ95" s="231"/>
      <c r="BA95" s="231"/>
      <c r="BB95" s="245"/>
      <c r="BC95" s="231"/>
      <c r="BD95" s="231"/>
      <c r="BE95" s="231"/>
      <c r="BF95" s="231"/>
      <c r="BG95" s="231"/>
      <c r="BH95" s="231"/>
      <c r="BI95" s="231"/>
      <c r="BJ95" s="231"/>
      <c r="BK95" s="245"/>
      <c r="BL95" s="244"/>
      <c r="BM95" s="244"/>
      <c r="BN95" s="244"/>
      <c r="BO95" s="244"/>
      <c r="BP95" s="244"/>
      <c r="BQ95" s="244"/>
      <c r="BR95" s="34"/>
      <c r="BS95" s="34"/>
      <c r="BT95" s="34"/>
    </row>
    <row r="96" spans="10:72" s="92" customFormat="1" ht="22.5" customHeight="1" x14ac:dyDescent="0.2">
      <c r="J96" s="245"/>
      <c r="K96" s="231"/>
      <c r="L96" s="231"/>
      <c r="M96" s="231"/>
      <c r="N96" s="231"/>
      <c r="O96" s="231"/>
      <c r="P96" s="231"/>
      <c r="Q96" s="231"/>
      <c r="R96" s="245"/>
      <c r="S96" s="231"/>
      <c r="T96" s="231"/>
      <c r="U96" s="231"/>
      <c r="V96" s="231"/>
      <c r="W96" s="231"/>
      <c r="X96" s="231"/>
      <c r="Y96" s="231"/>
      <c r="Z96" s="245"/>
      <c r="AA96" s="231"/>
      <c r="AB96" s="231"/>
      <c r="AC96" s="231"/>
      <c r="AD96" s="231"/>
      <c r="AE96" s="231"/>
      <c r="AF96" s="231"/>
      <c r="AG96" s="231"/>
      <c r="AH96" s="231"/>
      <c r="AI96" s="231"/>
      <c r="AJ96" s="231"/>
      <c r="AK96" s="245"/>
      <c r="AL96" s="231"/>
      <c r="AM96" s="231"/>
      <c r="AN96" s="231"/>
      <c r="AO96" s="231"/>
      <c r="AP96" s="231"/>
      <c r="AQ96" s="231"/>
      <c r="AR96" s="231"/>
      <c r="AS96" s="245"/>
      <c r="AT96" s="231"/>
      <c r="AU96" s="231"/>
      <c r="AV96" s="231"/>
      <c r="AW96" s="231"/>
      <c r="AX96" s="231"/>
      <c r="AY96" s="231"/>
      <c r="AZ96" s="231"/>
      <c r="BA96" s="231"/>
      <c r="BB96" s="245"/>
      <c r="BC96" s="231"/>
      <c r="BD96" s="231"/>
      <c r="BE96" s="231"/>
      <c r="BF96" s="231"/>
      <c r="BG96" s="231"/>
      <c r="BH96" s="231"/>
      <c r="BI96" s="231"/>
      <c r="BJ96" s="231"/>
      <c r="BK96" s="245"/>
      <c r="BL96" s="244"/>
      <c r="BM96" s="244"/>
      <c r="BN96" s="244"/>
      <c r="BO96" s="244"/>
      <c r="BP96" s="244"/>
      <c r="BQ96" s="244"/>
      <c r="BR96" s="190"/>
      <c r="BS96" s="190"/>
      <c r="BT96" s="190"/>
    </row>
    <row r="97" spans="2:72" s="92" customFormat="1" ht="22.5" customHeight="1" x14ac:dyDescent="0.2">
      <c r="J97" s="245"/>
      <c r="K97" s="231"/>
      <c r="L97" s="231"/>
      <c r="M97" s="231"/>
      <c r="N97" s="231"/>
      <c r="O97" s="231"/>
      <c r="P97" s="231"/>
      <c r="Q97" s="231"/>
      <c r="R97" s="245"/>
      <c r="S97" s="231"/>
      <c r="T97" s="231"/>
      <c r="U97" s="231"/>
      <c r="V97" s="231"/>
      <c r="W97" s="231"/>
      <c r="X97" s="231"/>
      <c r="Y97" s="231"/>
      <c r="Z97" s="245"/>
      <c r="AA97" s="231"/>
      <c r="AB97" s="231"/>
      <c r="AC97" s="231"/>
      <c r="AD97" s="231"/>
      <c r="AE97" s="231"/>
      <c r="AF97" s="231"/>
      <c r="AG97" s="231"/>
      <c r="AH97" s="231"/>
      <c r="AI97" s="231"/>
      <c r="AJ97" s="231"/>
      <c r="AK97" s="245"/>
      <c r="AL97" s="231"/>
      <c r="AM97" s="231"/>
      <c r="AN97" s="231"/>
      <c r="AO97" s="231"/>
      <c r="AP97" s="231"/>
      <c r="AQ97" s="231"/>
      <c r="AR97" s="231"/>
      <c r="AS97" s="245"/>
      <c r="AT97" s="231"/>
      <c r="AU97" s="231"/>
      <c r="AV97" s="231"/>
      <c r="AW97" s="231"/>
      <c r="AX97" s="231"/>
      <c r="AY97" s="231"/>
      <c r="AZ97" s="231"/>
      <c r="BA97" s="231"/>
      <c r="BB97" s="245"/>
      <c r="BC97" s="231"/>
      <c r="BD97" s="231"/>
      <c r="BE97" s="231"/>
      <c r="BF97" s="231"/>
      <c r="BG97" s="231"/>
      <c r="BH97" s="231"/>
      <c r="BI97" s="231"/>
      <c r="BJ97" s="231"/>
      <c r="BK97" s="245"/>
      <c r="BL97" s="244"/>
      <c r="BM97" s="244"/>
      <c r="BN97" s="244"/>
      <c r="BO97" s="244"/>
      <c r="BP97" s="244"/>
      <c r="BQ97" s="244"/>
      <c r="BR97" s="190"/>
      <c r="BS97" s="190"/>
      <c r="BT97" s="190"/>
    </row>
    <row r="98" spans="2:72" s="92" customFormat="1" ht="22.5" customHeight="1" x14ac:dyDescent="0.2">
      <c r="J98" s="245"/>
      <c r="K98" s="231"/>
      <c r="L98" s="231"/>
      <c r="M98" s="231"/>
      <c r="N98" s="231"/>
      <c r="O98" s="231"/>
      <c r="P98" s="231"/>
      <c r="Q98" s="231"/>
      <c r="R98" s="245"/>
      <c r="S98" s="231"/>
      <c r="T98" s="231"/>
      <c r="U98" s="231"/>
      <c r="V98" s="231"/>
      <c r="W98" s="231"/>
      <c r="X98" s="231"/>
      <c r="Y98" s="231"/>
      <c r="Z98" s="245"/>
      <c r="AA98" s="231"/>
      <c r="AB98" s="231"/>
      <c r="AC98" s="231"/>
      <c r="AD98" s="231"/>
      <c r="AE98" s="231"/>
      <c r="AF98" s="231"/>
      <c r="AG98" s="231"/>
      <c r="AH98" s="231"/>
      <c r="AI98" s="231"/>
      <c r="AJ98" s="231"/>
      <c r="AK98" s="245"/>
      <c r="AL98" s="231"/>
      <c r="AM98" s="231"/>
      <c r="AN98" s="231"/>
      <c r="AO98" s="231"/>
      <c r="AP98" s="231"/>
      <c r="AQ98" s="231"/>
      <c r="AR98" s="231"/>
      <c r="AS98" s="245"/>
      <c r="AT98" s="231"/>
      <c r="AU98" s="231"/>
      <c r="AV98" s="231"/>
      <c r="AW98" s="231"/>
      <c r="AX98" s="231"/>
      <c r="AY98" s="231"/>
      <c r="AZ98" s="231"/>
      <c r="BA98" s="231"/>
      <c r="BB98" s="245"/>
      <c r="BC98" s="231"/>
      <c r="BD98" s="231"/>
      <c r="BE98" s="231"/>
      <c r="BF98" s="231"/>
      <c r="BG98" s="231"/>
      <c r="BH98" s="231"/>
      <c r="BI98" s="231"/>
      <c r="BJ98" s="231"/>
      <c r="BK98" s="245"/>
      <c r="BL98" s="244"/>
      <c r="BM98" s="244"/>
      <c r="BN98" s="244"/>
      <c r="BO98" s="244"/>
      <c r="BP98" s="244"/>
      <c r="BQ98" s="244"/>
      <c r="BR98" s="190"/>
      <c r="BS98" s="190"/>
      <c r="BT98" s="190"/>
    </row>
    <row r="99" spans="2:72" s="92" customFormat="1" ht="22.5" customHeight="1" x14ac:dyDescent="0.2">
      <c r="J99" s="245"/>
      <c r="K99" s="231"/>
      <c r="L99" s="231"/>
      <c r="M99" s="231"/>
      <c r="N99" s="231"/>
      <c r="O99" s="231"/>
      <c r="P99" s="231"/>
      <c r="Q99" s="231"/>
      <c r="R99" s="245"/>
      <c r="S99" s="231"/>
      <c r="T99" s="231"/>
      <c r="U99" s="231"/>
      <c r="V99" s="231"/>
      <c r="W99" s="231"/>
      <c r="X99" s="231"/>
      <c r="Y99" s="231"/>
      <c r="Z99" s="245"/>
      <c r="AA99" s="231"/>
      <c r="AB99" s="231"/>
      <c r="AC99" s="231"/>
      <c r="AD99" s="231"/>
      <c r="AE99" s="231"/>
      <c r="AF99" s="231"/>
      <c r="AG99" s="231"/>
      <c r="AH99" s="231"/>
      <c r="AI99" s="231"/>
      <c r="AJ99" s="231"/>
      <c r="AK99" s="245"/>
      <c r="AL99" s="231"/>
      <c r="AM99" s="231"/>
      <c r="AN99" s="231"/>
      <c r="AO99" s="231"/>
      <c r="AP99" s="231"/>
      <c r="AQ99" s="231"/>
      <c r="AR99" s="231"/>
      <c r="AS99" s="245"/>
      <c r="AT99" s="231"/>
      <c r="AU99" s="231"/>
      <c r="AV99" s="231"/>
      <c r="AW99" s="231"/>
      <c r="AX99" s="231"/>
      <c r="AY99" s="231"/>
      <c r="AZ99" s="231"/>
      <c r="BA99" s="231"/>
      <c r="BB99" s="245"/>
      <c r="BC99" s="231"/>
      <c r="BD99" s="231"/>
      <c r="BE99" s="231"/>
      <c r="BF99" s="231"/>
      <c r="BG99" s="231"/>
      <c r="BH99" s="231"/>
      <c r="BI99" s="231"/>
      <c r="BJ99" s="231"/>
      <c r="BK99" s="245"/>
      <c r="BL99" s="244"/>
      <c r="BM99" s="244"/>
      <c r="BN99" s="244"/>
      <c r="BO99" s="244"/>
      <c r="BP99" s="244"/>
      <c r="BQ99" s="244"/>
      <c r="BR99" s="190"/>
      <c r="BS99" s="190"/>
      <c r="BT99" s="190"/>
    </row>
    <row r="100" spans="2:72" s="92" customFormat="1" ht="22.5" customHeight="1" x14ac:dyDescent="0.2">
      <c r="J100" s="245"/>
      <c r="K100" s="231"/>
      <c r="L100" s="231"/>
      <c r="M100" s="231"/>
      <c r="N100" s="231"/>
      <c r="O100" s="231"/>
      <c r="P100" s="231"/>
      <c r="Q100" s="231"/>
      <c r="R100" s="245"/>
      <c r="S100" s="231"/>
      <c r="T100" s="231"/>
      <c r="U100" s="231"/>
      <c r="V100" s="231"/>
      <c r="W100" s="231"/>
      <c r="X100" s="231"/>
      <c r="Y100" s="231"/>
      <c r="Z100" s="245"/>
      <c r="AA100" s="231"/>
      <c r="AB100" s="231"/>
      <c r="AC100" s="231"/>
      <c r="AD100" s="231"/>
      <c r="AE100" s="231"/>
      <c r="AF100" s="231"/>
      <c r="AG100" s="231"/>
      <c r="AH100" s="231"/>
      <c r="AI100" s="231"/>
      <c r="AJ100" s="231"/>
      <c r="AK100" s="245"/>
      <c r="AL100" s="231"/>
      <c r="AM100" s="231"/>
      <c r="AN100" s="231"/>
      <c r="AO100" s="231"/>
      <c r="AP100" s="231"/>
      <c r="AQ100" s="231"/>
      <c r="AR100" s="231"/>
      <c r="AS100" s="245"/>
      <c r="AT100" s="231"/>
      <c r="AU100" s="231"/>
      <c r="AV100" s="231"/>
      <c r="AW100" s="231"/>
      <c r="AX100" s="231"/>
      <c r="AY100" s="231"/>
      <c r="AZ100" s="231"/>
      <c r="BA100" s="231"/>
      <c r="BB100" s="245"/>
      <c r="BC100" s="231"/>
      <c r="BD100" s="231"/>
      <c r="BE100" s="231"/>
      <c r="BF100" s="231"/>
      <c r="BG100" s="246"/>
      <c r="BH100" s="246"/>
      <c r="BI100" s="231"/>
      <c r="BJ100" s="231"/>
      <c r="BK100" s="245"/>
      <c r="BL100" s="246"/>
      <c r="BM100" s="246"/>
      <c r="BN100" s="246"/>
      <c r="BO100" s="246"/>
      <c r="BP100" s="246"/>
      <c r="BQ100" s="246"/>
      <c r="BR100" s="191"/>
      <c r="BS100" s="191"/>
      <c r="BT100" s="191"/>
    </row>
    <row r="101" spans="2:72" s="92" customFormat="1" ht="22.5" customHeight="1" x14ac:dyDescent="0.2">
      <c r="J101" s="245"/>
      <c r="K101" s="231"/>
      <c r="L101" s="231"/>
      <c r="M101" s="231"/>
      <c r="N101" s="231"/>
      <c r="O101" s="231"/>
      <c r="P101" s="231"/>
      <c r="Q101" s="231"/>
      <c r="R101" s="245"/>
      <c r="S101" s="231"/>
      <c r="T101" s="231"/>
      <c r="U101" s="231"/>
      <c r="V101" s="231"/>
      <c r="W101" s="231"/>
      <c r="X101" s="231"/>
      <c r="Y101" s="231"/>
      <c r="Z101" s="245"/>
      <c r="AA101" s="231"/>
      <c r="AB101" s="231"/>
      <c r="AC101" s="231"/>
      <c r="AD101" s="231"/>
      <c r="AE101" s="231"/>
      <c r="AF101" s="231"/>
      <c r="AG101" s="231"/>
      <c r="AH101" s="231"/>
      <c r="AI101" s="231"/>
      <c r="AJ101" s="231"/>
      <c r="AK101" s="245"/>
      <c r="AL101" s="231"/>
      <c r="AM101" s="231"/>
      <c r="AN101" s="231"/>
      <c r="AO101" s="231"/>
      <c r="AP101" s="231"/>
      <c r="AQ101" s="231"/>
      <c r="AR101" s="231"/>
      <c r="AS101" s="245"/>
      <c r="AT101" s="231"/>
      <c r="AU101" s="231"/>
      <c r="AV101" s="231"/>
      <c r="AW101" s="231"/>
      <c r="AX101" s="231"/>
      <c r="AY101" s="231"/>
      <c r="AZ101" s="231"/>
      <c r="BA101" s="154"/>
      <c r="BB101" s="243"/>
      <c r="BC101" s="154"/>
      <c r="BD101" s="154"/>
      <c r="BE101" s="154"/>
      <c r="BF101" s="154"/>
      <c r="BG101" s="154"/>
      <c r="BH101" s="154"/>
      <c r="BI101" s="154"/>
      <c r="BJ101" s="231"/>
      <c r="BK101" s="245"/>
      <c r="BL101" s="246"/>
      <c r="BM101" s="246"/>
      <c r="BN101" s="246"/>
      <c r="BO101" s="246"/>
      <c r="BP101" s="246"/>
      <c r="BQ101" s="246"/>
      <c r="BR101" s="190"/>
      <c r="BS101" s="190"/>
      <c r="BT101" s="190"/>
    </row>
    <row r="102" spans="2:72" s="92" customFormat="1" ht="22.5" customHeight="1" x14ac:dyDescent="0.2">
      <c r="J102" s="245"/>
      <c r="K102" s="231"/>
      <c r="L102" s="231"/>
      <c r="M102" s="231"/>
      <c r="N102" s="231"/>
      <c r="O102" s="231"/>
      <c r="P102" s="231"/>
      <c r="Q102" s="231"/>
      <c r="R102" s="245"/>
      <c r="S102" s="231"/>
      <c r="T102" s="231"/>
      <c r="U102" s="231"/>
      <c r="V102" s="231"/>
      <c r="W102" s="231"/>
      <c r="X102" s="231"/>
      <c r="Y102" s="231"/>
      <c r="Z102" s="245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45"/>
      <c r="AL102" s="231"/>
      <c r="AM102" s="231"/>
      <c r="AN102" s="231"/>
      <c r="AO102" s="231"/>
      <c r="AP102" s="231"/>
      <c r="AQ102" s="231"/>
      <c r="AR102" s="231"/>
      <c r="AS102" s="245"/>
      <c r="AT102" s="231"/>
      <c r="AU102" s="231"/>
      <c r="AV102" s="231"/>
      <c r="AW102" s="231"/>
      <c r="AX102" s="231"/>
      <c r="AY102" s="231"/>
      <c r="AZ102" s="231"/>
      <c r="BA102" s="247"/>
      <c r="BB102" s="245"/>
      <c r="BC102" s="247"/>
      <c r="BD102" s="247"/>
      <c r="BE102" s="247"/>
      <c r="BF102" s="247"/>
      <c r="BG102" s="247"/>
      <c r="BH102" s="247"/>
      <c r="BI102" s="247"/>
      <c r="BJ102" s="231"/>
      <c r="BK102" s="245"/>
      <c r="BL102" s="246"/>
      <c r="BM102" s="246"/>
      <c r="BN102" s="246"/>
      <c r="BO102" s="246"/>
      <c r="BP102" s="246"/>
      <c r="BQ102" s="246"/>
      <c r="BR102" s="188"/>
      <c r="BS102" s="188"/>
      <c r="BT102" s="188"/>
    </row>
    <row r="103" spans="2:72" s="92" customFormat="1" ht="22.5" customHeight="1" x14ac:dyDescent="0.2">
      <c r="J103" s="245"/>
      <c r="K103" s="231"/>
      <c r="L103" s="231"/>
      <c r="M103" s="231"/>
      <c r="N103" s="231"/>
      <c r="O103" s="231"/>
      <c r="P103" s="231"/>
      <c r="Q103" s="231"/>
      <c r="R103" s="245"/>
      <c r="S103" s="231"/>
      <c r="T103" s="231"/>
      <c r="U103" s="231"/>
      <c r="V103" s="231"/>
      <c r="W103" s="231"/>
      <c r="X103" s="231"/>
      <c r="Y103" s="231"/>
      <c r="Z103" s="245"/>
      <c r="AA103" s="231"/>
      <c r="AB103" s="231"/>
      <c r="AC103" s="231"/>
      <c r="AD103" s="231"/>
      <c r="AE103" s="231"/>
      <c r="AF103" s="231"/>
      <c r="AG103" s="231"/>
      <c r="AH103" s="231"/>
      <c r="AI103" s="231"/>
      <c r="AJ103" s="231"/>
      <c r="AK103" s="245"/>
      <c r="AL103" s="231"/>
      <c r="AM103" s="231"/>
      <c r="AN103" s="231"/>
      <c r="AO103" s="231"/>
      <c r="AP103" s="231"/>
      <c r="AQ103" s="231"/>
      <c r="AR103" s="231"/>
      <c r="AS103" s="245"/>
      <c r="AT103" s="154"/>
      <c r="AU103" s="154"/>
      <c r="AV103" s="154"/>
      <c r="AW103" s="154"/>
      <c r="AX103" s="154"/>
      <c r="AY103" s="154"/>
      <c r="AZ103" s="154"/>
      <c r="BA103" s="247"/>
      <c r="BB103" s="248"/>
      <c r="BC103" s="247"/>
      <c r="BD103" s="247"/>
      <c r="BE103" s="247"/>
      <c r="BF103" s="247"/>
      <c r="BG103" s="247"/>
      <c r="BH103" s="247"/>
      <c r="BI103" s="247"/>
      <c r="BJ103" s="231"/>
      <c r="BK103" s="245"/>
      <c r="BL103" s="246"/>
      <c r="BM103" s="246"/>
      <c r="BN103" s="246"/>
      <c r="BO103" s="246"/>
      <c r="BP103" s="246"/>
      <c r="BQ103" s="246"/>
      <c r="BR103" s="188"/>
      <c r="BS103" s="188"/>
      <c r="BT103" s="188"/>
    </row>
    <row r="104" spans="2:72" s="92" customFormat="1" ht="22.5" customHeight="1" x14ac:dyDescent="0.2">
      <c r="J104" s="245"/>
      <c r="K104" s="231"/>
      <c r="L104" s="231"/>
      <c r="M104" s="231"/>
      <c r="N104" s="231"/>
      <c r="O104" s="231"/>
      <c r="P104" s="231"/>
      <c r="Q104" s="231"/>
      <c r="R104" s="245"/>
      <c r="S104" s="231"/>
      <c r="T104" s="231"/>
      <c r="U104" s="231"/>
      <c r="V104" s="231"/>
      <c r="W104" s="231"/>
      <c r="X104" s="231"/>
      <c r="Y104" s="231"/>
      <c r="Z104" s="245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1"/>
      <c r="AK104" s="245"/>
      <c r="AL104" s="231"/>
      <c r="AM104" s="231"/>
      <c r="AN104" s="231"/>
      <c r="AO104" s="231"/>
      <c r="AP104" s="231"/>
      <c r="AQ104" s="231"/>
      <c r="AR104" s="231"/>
      <c r="AS104" s="245"/>
      <c r="AT104" s="247"/>
      <c r="AU104" s="247"/>
      <c r="AV104" s="247"/>
      <c r="AW104" s="247"/>
      <c r="AX104" s="247"/>
      <c r="AY104" s="247"/>
      <c r="AZ104" s="247"/>
      <c r="BA104" s="244"/>
      <c r="BB104" s="248"/>
      <c r="BC104" s="244"/>
      <c r="BD104" s="244"/>
      <c r="BE104" s="244"/>
      <c r="BF104" s="244"/>
      <c r="BG104" s="244"/>
      <c r="BH104" s="244"/>
      <c r="BI104" s="244"/>
      <c r="BJ104" s="154"/>
      <c r="BK104" s="245"/>
      <c r="BL104" s="250"/>
      <c r="BM104" s="250"/>
      <c r="BN104" s="250"/>
      <c r="BO104" s="250"/>
      <c r="BP104" s="250"/>
      <c r="BQ104" s="250"/>
      <c r="BR104" s="188"/>
      <c r="BS104" s="188"/>
      <c r="BT104" s="188"/>
    </row>
    <row r="105" spans="2:72" s="92" customFormat="1" ht="22.5" customHeight="1" x14ac:dyDescent="0.2">
      <c r="J105" s="245"/>
      <c r="K105" s="231"/>
      <c r="L105" s="231"/>
      <c r="M105" s="231"/>
      <c r="N105" s="231"/>
      <c r="O105" s="231"/>
      <c r="P105" s="231"/>
      <c r="Q105" s="231"/>
      <c r="R105" s="245"/>
      <c r="S105" s="231"/>
      <c r="T105" s="231"/>
      <c r="U105" s="231"/>
      <c r="V105" s="231"/>
      <c r="W105" s="231"/>
      <c r="X105" s="231"/>
      <c r="Y105" s="231"/>
      <c r="Z105" s="245"/>
      <c r="AA105" s="231"/>
      <c r="AB105" s="231"/>
      <c r="AC105" s="231"/>
      <c r="AD105" s="231"/>
      <c r="AE105" s="231"/>
      <c r="AF105" s="231"/>
      <c r="AG105" s="231"/>
      <c r="AH105" s="231"/>
      <c r="AI105" s="231"/>
      <c r="AJ105" s="231"/>
      <c r="AK105" s="245"/>
      <c r="AL105" s="231"/>
      <c r="AM105" s="231"/>
      <c r="AN105" s="231"/>
      <c r="AO105" s="231"/>
      <c r="AP105" s="231"/>
      <c r="AQ105" s="231"/>
      <c r="AR105" s="231"/>
      <c r="AS105" s="245"/>
      <c r="AT105" s="247"/>
      <c r="AU105" s="247"/>
      <c r="AV105" s="247"/>
      <c r="AW105" s="247"/>
      <c r="AX105" s="247"/>
      <c r="AY105" s="247"/>
      <c r="AZ105" s="247"/>
      <c r="BA105" s="244"/>
      <c r="BB105" s="249"/>
      <c r="BC105" s="244"/>
      <c r="BD105" s="244"/>
      <c r="BE105" s="244"/>
      <c r="BF105" s="244"/>
      <c r="BG105" s="244"/>
      <c r="BH105" s="244"/>
      <c r="BI105" s="244"/>
      <c r="BJ105" s="247"/>
      <c r="BK105" s="245"/>
      <c r="BL105" s="246"/>
      <c r="BM105" s="246"/>
      <c r="BN105" s="246"/>
      <c r="BO105" s="246"/>
      <c r="BP105" s="246"/>
      <c r="BQ105" s="246"/>
      <c r="BR105" s="188"/>
      <c r="BS105" s="188"/>
      <c r="BT105" s="188"/>
    </row>
    <row r="106" spans="2:72" s="92" customFormat="1" ht="22.5" customHeight="1" x14ac:dyDescent="0.2">
      <c r="J106" s="245"/>
      <c r="K106" s="231"/>
      <c r="L106" s="231"/>
      <c r="M106" s="231"/>
      <c r="N106" s="231"/>
      <c r="O106" s="231"/>
      <c r="P106" s="231"/>
      <c r="Q106" s="231"/>
      <c r="R106" s="245"/>
      <c r="S106" s="231"/>
      <c r="T106" s="231"/>
      <c r="U106" s="231"/>
      <c r="V106" s="231"/>
      <c r="W106" s="231"/>
      <c r="X106" s="231"/>
      <c r="Y106" s="231"/>
      <c r="Z106" s="245"/>
      <c r="AA106" s="231"/>
      <c r="AB106" s="231"/>
      <c r="AC106" s="231"/>
      <c r="AD106" s="231"/>
      <c r="AE106" s="231"/>
      <c r="AF106" s="231"/>
      <c r="AG106" s="231"/>
      <c r="AH106" s="231"/>
      <c r="AI106" s="231"/>
      <c r="AJ106" s="231"/>
      <c r="AK106" s="245"/>
      <c r="AL106" s="231"/>
      <c r="AM106" s="231"/>
      <c r="AN106" s="231"/>
      <c r="AO106" s="231"/>
      <c r="AP106" s="231"/>
      <c r="AQ106" s="231"/>
      <c r="AR106" s="231"/>
      <c r="AS106" s="245"/>
      <c r="AT106" s="244"/>
      <c r="AU106" s="244"/>
      <c r="AV106" s="244"/>
      <c r="AW106" s="244"/>
      <c r="AX106" s="244"/>
      <c r="AY106" s="244"/>
      <c r="AZ106" s="244"/>
      <c r="BA106" s="244"/>
      <c r="BB106" s="249"/>
      <c r="BC106" s="244"/>
      <c r="BD106" s="244"/>
      <c r="BE106" s="244"/>
      <c r="BF106" s="244"/>
      <c r="BG106" s="244"/>
      <c r="BH106" s="244"/>
      <c r="BI106" s="244"/>
      <c r="BJ106" s="247"/>
      <c r="BK106" s="248"/>
      <c r="BL106" s="247"/>
      <c r="BM106" s="247"/>
      <c r="BN106" s="247"/>
      <c r="BO106" s="247"/>
      <c r="BP106" s="247"/>
      <c r="BQ106" s="247"/>
      <c r="BR106" s="188"/>
      <c r="BS106" s="188"/>
      <c r="BT106" s="188"/>
    </row>
    <row r="107" spans="2:72" s="92" customFormat="1" ht="22.5" customHeight="1" x14ac:dyDescent="0.2">
      <c r="J107" s="245"/>
      <c r="K107" s="231"/>
      <c r="L107" s="231"/>
      <c r="M107" s="231"/>
      <c r="N107" s="231"/>
      <c r="O107" s="231"/>
      <c r="P107" s="231"/>
      <c r="Q107" s="231"/>
      <c r="R107" s="245"/>
      <c r="S107" s="231"/>
      <c r="T107" s="231"/>
      <c r="U107" s="231"/>
      <c r="V107" s="231"/>
      <c r="W107" s="231"/>
      <c r="X107" s="231"/>
      <c r="Y107" s="231"/>
      <c r="Z107" s="245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45"/>
      <c r="AL107" s="231"/>
      <c r="AM107" s="231"/>
      <c r="AN107" s="231"/>
      <c r="AO107" s="231"/>
      <c r="AP107" s="231"/>
      <c r="AQ107" s="231"/>
      <c r="AR107" s="231"/>
      <c r="AS107" s="245"/>
      <c r="AT107" s="244"/>
      <c r="AU107" s="244"/>
      <c r="AV107" s="244"/>
      <c r="AW107" s="244"/>
      <c r="AX107" s="244"/>
      <c r="AY107" s="244"/>
      <c r="AZ107" s="244"/>
      <c r="BA107" s="244"/>
      <c r="BB107" s="249"/>
      <c r="BC107" s="244"/>
      <c r="BD107" s="244"/>
      <c r="BE107" s="244"/>
      <c r="BF107" s="244"/>
      <c r="BG107" s="244"/>
      <c r="BH107" s="244"/>
      <c r="BI107" s="244"/>
      <c r="BJ107" s="244"/>
      <c r="BK107" s="248"/>
      <c r="BL107" s="247"/>
      <c r="BM107" s="247"/>
      <c r="BN107" s="247"/>
      <c r="BO107" s="247"/>
      <c r="BP107" s="247"/>
      <c r="BQ107" s="247"/>
      <c r="BR107" s="188"/>
      <c r="BS107" s="188"/>
      <c r="BT107" s="188"/>
    </row>
    <row r="108" spans="2:72" s="92" customFormat="1" ht="22.5" customHeight="1" x14ac:dyDescent="0.2">
      <c r="J108" s="245"/>
      <c r="K108" s="231"/>
      <c r="L108" s="231"/>
      <c r="M108" s="231"/>
      <c r="N108" s="231"/>
      <c r="O108" s="231"/>
      <c r="P108" s="231"/>
      <c r="Q108" s="231"/>
      <c r="R108" s="245"/>
      <c r="S108" s="231"/>
      <c r="T108" s="231"/>
      <c r="U108" s="231"/>
      <c r="V108" s="231"/>
      <c r="W108" s="231"/>
      <c r="X108" s="231"/>
      <c r="Y108" s="231"/>
      <c r="Z108" s="245"/>
      <c r="AA108" s="231"/>
      <c r="AB108" s="231"/>
      <c r="AC108" s="231"/>
      <c r="AD108" s="231"/>
      <c r="AE108" s="231"/>
      <c r="AF108" s="231"/>
      <c r="AG108" s="231"/>
      <c r="AH108" s="231"/>
      <c r="AI108" s="231"/>
      <c r="AJ108" s="231"/>
      <c r="AK108" s="245"/>
      <c r="AL108" s="231"/>
      <c r="AM108" s="231"/>
      <c r="AN108" s="231"/>
      <c r="AO108" s="231"/>
      <c r="AP108" s="231"/>
      <c r="AQ108" s="231"/>
      <c r="AR108" s="231"/>
      <c r="AS108" s="245"/>
      <c r="AT108" s="244"/>
      <c r="AU108" s="244"/>
      <c r="AV108" s="244"/>
      <c r="AW108" s="244"/>
      <c r="AX108" s="244"/>
      <c r="AY108" s="244"/>
      <c r="AZ108" s="244"/>
      <c r="BA108" s="244"/>
      <c r="BB108" s="249"/>
      <c r="BC108" s="244"/>
      <c r="BD108" s="244"/>
      <c r="BE108" s="244"/>
      <c r="BF108" s="244"/>
      <c r="BG108" s="244"/>
      <c r="BH108" s="244"/>
      <c r="BI108" s="244"/>
      <c r="BJ108" s="244"/>
      <c r="BK108" s="249"/>
      <c r="BL108" s="247"/>
      <c r="BM108" s="247"/>
      <c r="BN108" s="247"/>
      <c r="BO108" s="247"/>
      <c r="BP108" s="247"/>
      <c r="BQ108" s="247"/>
      <c r="BR108" s="188"/>
      <c r="BS108" s="188"/>
      <c r="BT108" s="188"/>
    </row>
    <row r="109" spans="2:72" s="92" customFormat="1" ht="22.5" customHeight="1" x14ac:dyDescent="0.2">
      <c r="E109" s="8"/>
      <c r="F109" s="8"/>
      <c r="G109" s="8"/>
      <c r="H109" s="34"/>
      <c r="I109" s="8"/>
      <c r="J109" s="245"/>
      <c r="K109" s="231"/>
      <c r="L109" s="231"/>
      <c r="M109" s="231"/>
      <c r="N109" s="231"/>
      <c r="O109" s="231"/>
      <c r="P109" s="231"/>
      <c r="Q109" s="231"/>
      <c r="R109" s="245"/>
      <c r="S109" s="231"/>
      <c r="T109" s="231"/>
      <c r="U109" s="231"/>
      <c r="V109" s="231"/>
      <c r="W109" s="231"/>
      <c r="X109" s="231"/>
      <c r="Y109" s="231"/>
      <c r="Z109" s="245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45"/>
      <c r="AL109" s="231"/>
      <c r="AM109" s="231"/>
      <c r="AN109" s="231"/>
      <c r="AO109" s="231"/>
      <c r="AP109" s="231"/>
      <c r="AQ109" s="231"/>
      <c r="AR109" s="231"/>
      <c r="AS109" s="245"/>
      <c r="AT109" s="244"/>
      <c r="AU109" s="244"/>
      <c r="AV109" s="244"/>
      <c r="AW109" s="244"/>
      <c r="AX109" s="244"/>
      <c r="AY109" s="244"/>
      <c r="AZ109" s="244"/>
      <c r="BA109" s="244"/>
      <c r="BB109" s="249"/>
      <c r="BC109" s="244"/>
      <c r="BD109" s="244"/>
      <c r="BE109" s="244"/>
      <c r="BF109" s="244"/>
      <c r="BG109" s="244"/>
      <c r="BH109" s="244"/>
      <c r="BI109" s="244"/>
      <c r="BJ109" s="244"/>
      <c r="BK109" s="249"/>
      <c r="BL109" s="247"/>
      <c r="BM109" s="247"/>
      <c r="BN109" s="247"/>
      <c r="BO109" s="247"/>
      <c r="BP109" s="247"/>
      <c r="BQ109" s="247"/>
      <c r="BR109" s="188"/>
      <c r="BS109" s="188"/>
      <c r="BT109" s="188"/>
    </row>
    <row r="110" spans="2:72" s="92" customFormat="1" ht="22.5" customHeight="1" x14ac:dyDescent="0.2">
      <c r="B110" s="190"/>
      <c r="H110" s="190"/>
      <c r="J110" s="245"/>
      <c r="K110" s="231"/>
      <c r="L110" s="231"/>
      <c r="M110" s="231"/>
      <c r="N110" s="231"/>
      <c r="O110" s="231"/>
      <c r="P110" s="231"/>
      <c r="Q110" s="231"/>
      <c r="R110" s="245"/>
      <c r="S110" s="231"/>
      <c r="T110" s="231"/>
      <c r="U110" s="231"/>
      <c r="V110" s="231"/>
      <c r="W110" s="231"/>
      <c r="X110" s="231"/>
      <c r="Y110" s="231"/>
      <c r="Z110" s="245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43"/>
      <c r="AL110" s="231"/>
      <c r="AM110" s="231"/>
      <c r="AN110" s="231"/>
      <c r="AO110" s="231"/>
      <c r="AP110" s="246"/>
      <c r="AQ110" s="231"/>
      <c r="AR110" s="231"/>
      <c r="AS110" s="245"/>
      <c r="AT110" s="244"/>
      <c r="AU110" s="244"/>
      <c r="AV110" s="244"/>
      <c r="AW110" s="244"/>
      <c r="AX110" s="244"/>
      <c r="AY110" s="244"/>
      <c r="AZ110" s="244"/>
      <c r="BA110" s="246"/>
      <c r="BB110" s="249"/>
      <c r="BC110" s="246"/>
      <c r="BD110" s="246"/>
      <c r="BE110" s="246"/>
      <c r="BF110" s="246"/>
      <c r="BG110" s="246"/>
      <c r="BH110" s="246"/>
      <c r="BI110" s="246"/>
      <c r="BJ110" s="244"/>
      <c r="BK110" s="249"/>
      <c r="BL110" s="247"/>
      <c r="BM110" s="247"/>
      <c r="BN110" s="247"/>
      <c r="BO110" s="247"/>
      <c r="BP110" s="247"/>
      <c r="BQ110" s="247"/>
      <c r="BR110" s="188"/>
      <c r="BS110" s="188"/>
      <c r="BT110" s="188"/>
    </row>
    <row r="111" spans="2:72" ht="22.5" customHeight="1" x14ac:dyDescent="0.2">
      <c r="AT111" s="244"/>
      <c r="AU111" s="244"/>
      <c r="AV111" s="244"/>
      <c r="AW111" s="244"/>
      <c r="AX111" s="244"/>
      <c r="AY111" s="244"/>
      <c r="AZ111" s="244"/>
      <c r="BA111" s="246"/>
      <c r="BB111" s="249"/>
      <c r="BC111" s="246"/>
      <c r="BD111" s="246"/>
      <c r="BE111" s="246"/>
      <c r="BF111" s="246"/>
      <c r="BG111" s="246"/>
      <c r="BH111" s="246"/>
      <c r="BI111" s="246"/>
      <c r="BJ111" s="244"/>
      <c r="BK111" s="249"/>
      <c r="BL111" s="247"/>
      <c r="BM111" s="247"/>
      <c r="BN111" s="247"/>
      <c r="BO111" s="247"/>
      <c r="BP111" s="247"/>
      <c r="BQ111" s="247"/>
      <c r="BR111" s="34"/>
      <c r="BS111" s="34"/>
      <c r="BT111" s="34"/>
    </row>
    <row r="112" spans="2:72" s="188" customFormat="1" ht="22.5" customHeight="1" x14ac:dyDescent="0.15">
      <c r="B112" s="34"/>
      <c r="H112" s="34"/>
      <c r="J112" s="248"/>
      <c r="K112" s="247"/>
      <c r="L112" s="247"/>
      <c r="M112" s="247"/>
      <c r="N112" s="247"/>
      <c r="O112" s="247"/>
      <c r="P112" s="247"/>
      <c r="Q112" s="247"/>
      <c r="R112" s="248"/>
      <c r="S112" s="247"/>
      <c r="T112" s="247"/>
      <c r="U112" s="247"/>
      <c r="V112" s="247"/>
      <c r="W112" s="247"/>
      <c r="X112" s="247"/>
      <c r="Y112" s="247"/>
      <c r="Z112" s="248"/>
      <c r="AA112" s="247"/>
      <c r="AB112" s="247"/>
      <c r="AC112" s="247"/>
      <c r="AD112" s="247"/>
      <c r="AE112" s="247"/>
      <c r="AF112" s="247"/>
      <c r="AG112" s="247"/>
      <c r="AH112" s="247"/>
      <c r="AI112" s="247"/>
      <c r="AJ112" s="247"/>
      <c r="AK112" s="248"/>
      <c r="AL112" s="247"/>
      <c r="AM112" s="247"/>
      <c r="AN112" s="247"/>
      <c r="AO112" s="247"/>
      <c r="AP112" s="247"/>
      <c r="AQ112" s="247"/>
      <c r="AR112" s="247"/>
      <c r="AS112" s="248"/>
      <c r="AT112" s="246"/>
      <c r="AU112" s="246"/>
      <c r="AV112" s="246"/>
      <c r="AW112" s="246"/>
      <c r="AX112" s="246"/>
      <c r="AY112" s="246"/>
      <c r="AZ112" s="246"/>
      <c r="BA112" s="246"/>
      <c r="BB112" s="249"/>
      <c r="BC112" s="246"/>
      <c r="BD112" s="246"/>
      <c r="BE112" s="246"/>
      <c r="BF112" s="246"/>
      <c r="BG112" s="246"/>
      <c r="BH112" s="246"/>
      <c r="BI112" s="246"/>
      <c r="BJ112" s="244"/>
      <c r="BK112" s="249"/>
      <c r="BL112" s="247"/>
      <c r="BM112" s="247"/>
      <c r="BN112" s="247"/>
      <c r="BO112" s="247"/>
      <c r="BP112" s="247"/>
      <c r="BQ112" s="247"/>
      <c r="BR112" s="34"/>
      <c r="BS112" s="34"/>
      <c r="BT112" s="34"/>
    </row>
    <row r="113" spans="2:72" s="188" customFormat="1" ht="22.5" customHeight="1" x14ac:dyDescent="0.15">
      <c r="B113" s="34"/>
      <c r="D113" s="194"/>
      <c r="E113" s="194"/>
      <c r="F113" s="194"/>
      <c r="G113" s="194"/>
      <c r="H113" s="190"/>
      <c r="I113" s="194"/>
      <c r="J113" s="248"/>
      <c r="K113" s="247"/>
      <c r="L113" s="247"/>
      <c r="M113" s="247"/>
      <c r="N113" s="247"/>
      <c r="O113" s="247"/>
      <c r="P113" s="247"/>
      <c r="Q113" s="247"/>
      <c r="R113" s="248"/>
      <c r="S113" s="247"/>
      <c r="T113" s="247"/>
      <c r="U113" s="247"/>
      <c r="V113" s="247"/>
      <c r="W113" s="247"/>
      <c r="X113" s="247"/>
      <c r="Y113" s="247"/>
      <c r="Z113" s="248"/>
      <c r="AA113" s="247"/>
      <c r="AB113" s="247"/>
      <c r="AC113" s="247"/>
      <c r="AD113" s="247"/>
      <c r="AE113" s="247"/>
      <c r="AF113" s="247"/>
      <c r="AG113" s="247"/>
      <c r="AH113" s="247"/>
      <c r="AI113" s="247"/>
      <c r="AJ113" s="247"/>
      <c r="AK113" s="248"/>
      <c r="AL113" s="247"/>
      <c r="AM113" s="247"/>
      <c r="AN113" s="247"/>
      <c r="AO113" s="247"/>
      <c r="AP113" s="247"/>
      <c r="AQ113" s="247"/>
      <c r="AR113" s="247"/>
      <c r="AS113" s="248"/>
      <c r="AT113" s="246"/>
      <c r="AU113" s="246"/>
      <c r="AV113" s="246"/>
      <c r="AW113" s="246"/>
      <c r="AX113" s="246"/>
      <c r="AY113" s="246"/>
      <c r="AZ113" s="246"/>
      <c r="BA113" s="246"/>
      <c r="BB113" s="249"/>
      <c r="BC113" s="246"/>
      <c r="BD113" s="246"/>
      <c r="BE113" s="246"/>
      <c r="BF113" s="246"/>
      <c r="BG113" s="246"/>
      <c r="BH113" s="246"/>
      <c r="BI113" s="246"/>
      <c r="BJ113" s="246"/>
      <c r="BK113" s="249"/>
      <c r="BL113" s="247"/>
      <c r="BM113" s="247"/>
      <c r="BN113" s="247"/>
      <c r="BO113" s="247"/>
      <c r="BP113" s="247"/>
      <c r="BQ113" s="247"/>
      <c r="BR113" s="34"/>
      <c r="BS113" s="34"/>
      <c r="BT113" s="34"/>
    </row>
    <row r="114" spans="2:72" s="34" customFormat="1" ht="22.5" customHeight="1" x14ac:dyDescent="0.15">
      <c r="J114" s="249"/>
      <c r="K114" s="244"/>
      <c r="L114" s="244"/>
      <c r="M114" s="244"/>
      <c r="N114" s="244"/>
      <c r="O114" s="244"/>
      <c r="P114" s="244"/>
      <c r="Q114" s="244"/>
      <c r="R114" s="249"/>
      <c r="S114" s="244"/>
      <c r="T114" s="244"/>
      <c r="U114" s="244"/>
      <c r="V114" s="244"/>
      <c r="W114" s="244"/>
      <c r="X114" s="244"/>
      <c r="Y114" s="244"/>
      <c r="Z114" s="249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9"/>
      <c r="AL114" s="244"/>
      <c r="AM114" s="244"/>
      <c r="AN114" s="244"/>
      <c r="AO114" s="244"/>
      <c r="AP114" s="244"/>
      <c r="AQ114" s="244"/>
      <c r="AR114" s="244"/>
      <c r="AS114" s="249"/>
      <c r="AT114" s="246"/>
      <c r="AU114" s="246"/>
      <c r="AV114" s="246"/>
      <c r="AW114" s="246"/>
      <c r="AX114" s="246"/>
      <c r="AY114" s="246"/>
      <c r="AZ114" s="246"/>
      <c r="BA114" s="250"/>
      <c r="BB114" s="249"/>
      <c r="BC114" s="250"/>
      <c r="BD114" s="250"/>
      <c r="BE114" s="250"/>
      <c r="BF114" s="250"/>
      <c r="BG114" s="250"/>
      <c r="BH114" s="250"/>
      <c r="BI114" s="250"/>
      <c r="BJ114" s="246"/>
      <c r="BK114" s="249"/>
      <c r="BL114" s="247"/>
      <c r="BM114" s="247"/>
      <c r="BN114" s="247"/>
      <c r="BO114" s="247"/>
      <c r="BP114" s="247"/>
      <c r="BQ114" s="247"/>
    </row>
    <row r="115" spans="2:72" s="34" customFormat="1" ht="22.5" customHeight="1" x14ac:dyDescent="0.15">
      <c r="J115" s="249"/>
      <c r="K115" s="244"/>
      <c r="L115" s="244"/>
      <c r="M115" s="244"/>
      <c r="N115" s="244"/>
      <c r="O115" s="244"/>
      <c r="P115" s="244"/>
      <c r="Q115" s="244"/>
      <c r="R115" s="249"/>
      <c r="S115" s="244"/>
      <c r="T115" s="244"/>
      <c r="U115" s="244"/>
      <c r="V115" s="244"/>
      <c r="W115" s="244"/>
      <c r="X115" s="244"/>
      <c r="Y115" s="244"/>
      <c r="Z115" s="249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9"/>
      <c r="AL115" s="244"/>
      <c r="AM115" s="244"/>
      <c r="AN115" s="244"/>
      <c r="AO115" s="244"/>
      <c r="AP115" s="244"/>
      <c r="AQ115" s="244"/>
      <c r="AR115" s="244"/>
      <c r="AS115" s="249"/>
      <c r="AT115" s="246"/>
      <c r="AU115" s="246"/>
      <c r="AV115" s="246"/>
      <c r="AW115" s="246"/>
      <c r="AX115" s="246"/>
      <c r="AY115" s="246"/>
      <c r="AZ115" s="246"/>
      <c r="BA115" s="246"/>
      <c r="BB115" s="251"/>
      <c r="BC115" s="246"/>
      <c r="BD115" s="246"/>
      <c r="BE115" s="246"/>
      <c r="BF115" s="246"/>
      <c r="BG115" s="246"/>
      <c r="BH115" s="246"/>
      <c r="BI115" s="246"/>
      <c r="BJ115" s="246"/>
      <c r="BK115" s="249"/>
      <c r="BL115" s="244"/>
      <c r="BM115" s="244"/>
      <c r="BN115" s="244"/>
      <c r="BO115" s="244"/>
      <c r="BP115" s="244"/>
      <c r="BQ115" s="244"/>
    </row>
    <row r="116" spans="2:72" s="34" customFormat="1" ht="22.5" customHeight="1" x14ac:dyDescent="0.15">
      <c r="J116" s="249"/>
      <c r="K116" s="244"/>
      <c r="L116" s="244"/>
      <c r="M116" s="244"/>
      <c r="N116" s="244"/>
      <c r="O116" s="244"/>
      <c r="P116" s="244"/>
      <c r="Q116" s="244"/>
      <c r="R116" s="249"/>
      <c r="S116" s="244"/>
      <c r="T116" s="244"/>
      <c r="U116" s="244"/>
      <c r="V116" s="244"/>
      <c r="W116" s="244"/>
      <c r="X116" s="244"/>
      <c r="Y116" s="244"/>
      <c r="Z116" s="249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9"/>
      <c r="AL116" s="244"/>
      <c r="AM116" s="244"/>
      <c r="AN116" s="244"/>
      <c r="AO116" s="244"/>
      <c r="AP116" s="244"/>
      <c r="AQ116" s="244"/>
      <c r="AR116" s="244"/>
      <c r="AS116" s="249"/>
      <c r="AT116" s="250"/>
      <c r="AU116" s="250"/>
      <c r="AV116" s="250"/>
      <c r="AW116" s="250"/>
      <c r="AX116" s="250"/>
      <c r="AY116" s="250"/>
      <c r="AZ116" s="250"/>
      <c r="BA116" s="247"/>
      <c r="BB116" s="249"/>
      <c r="BC116" s="247"/>
      <c r="BD116" s="247"/>
      <c r="BE116" s="247"/>
      <c r="BF116" s="247"/>
      <c r="BG116" s="247"/>
      <c r="BH116" s="247"/>
      <c r="BI116" s="247"/>
      <c r="BJ116" s="246"/>
      <c r="BK116" s="249"/>
      <c r="BL116" s="244"/>
      <c r="BM116" s="244"/>
      <c r="BN116" s="244"/>
      <c r="BO116" s="244"/>
      <c r="BP116" s="244"/>
      <c r="BQ116" s="244"/>
    </row>
    <row r="117" spans="2:72" s="34" customFormat="1" ht="22.5" customHeight="1" x14ac:dyDescent="0.15">
      <c r="J117" s="249"/>
      <c r="K117" s="244"/>
      <c r="L117" s="244"/>
      <c r="M117" s="244"/>
      <c r="N117" s="244"/>
      <c r="O117" s="244"/>
      <c r="P117" s="244"/>
      <c r="Q117" s="244"/>
      <c r="R117" s="249"/>
      <c r="S117" s="244"/>
      <c r="T117" s="244"/>
      <c r="U117" s="244"/>
      <c r="V117" s="244"/>
      <c r="W117" s="244"/>
      <c r="X117" s="244"/>
      <c r="Y117" s="244"/>
      <c r="Z117" s="249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9"/>
      <c r="AL117" s="244"/>
      <c r="AM117" s="244"/>
      <c r="AN117" s="244"/>
      <c r="AO117" s="244"/>
      <c r="AP117" s="244"/>
      <c r="AQ117" s="244"/>
      <c r="AR117" s="244"/>
      <c r="AS117" s="249"/>
      <c r="AT117" s="246"/>
      <c r="AU117" s="246"/>
      <c r="AV117" s="246"/>
      <c r="AW117" s="246"/>
      <c r="AX117" s="246"/>
      <c r="AY117" s="246"/>
      <c r="AZ117" s="246"/>
      <c r="BA117" s="247"/>
      <c r="BB117" s="248"/>
      <c r="BC117" s="247"/>
      <c r="BD117" s="247"/>
      <c r="BE117" s="247"/>
      <c r="BF117" s="247"/>
      <c r="BG117" s="247"/>
      <c r="BH117" s="247"/>
      <c r="BI117" s="247"/>
      <c r="BJ117" s="250"/>
      <c r="BK117" s="249"/>
      <c r="BL117" s="244"/>
      <c r="BM117" s="244"/>
      <c r="BN117" s="244"/>
      <c r="BO117" s="244"/>
      <c r="BP117" s="244"/>
      <c r="BQ117" s="244"/>
    </row>
    <row r="118" spans="2:72" s="34" customFormat="1" ht="22.5" customHeight="1" x14ac:dyDescent="0.15">
      <c r="J118" s="249"/>
      <c r="K118" s="244"/>
      <c r="L118" s="244"/>
      <c r="M118" s="244"/>
      <c r="N118" s="244"/>
      <c r="O118" s="244"/>
      <c r="P118" s="244"/>
      <c r="Q118" s="244"/>
      <c r="R118" s="249"/>
      <c r="S118" s="244"/>
      <c r="T118" s="244"/>
      <c r="U118" s="244"/>
      <c r="V118" s="244"/>
      <c r="W118" s="244"/>
      <c r="X118" s="244"/>
      <c r="Y118" s="244"/>
      <c r="Z118" s="249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9"/>
      <c r="AL118" s="244"/>
      <c r="AM118" s="244"/>
      <c r="AN118" s="244"/>
      <c r="AO118" s="244"/>
      <c r="AP118" s="244"/>
      <c r="AQ118" s="244"/>
      <c r="AR118" s="244"/>
      <c r="AS118" s="249"/>
      <c r="AT118" s="247"/>
      <c r="AU118" s="247"/>
      <c r="AV118" s="247"/>
      <c r="AW118" s="247"/>
      <c r="AX118" s="247"/>
      <c r="AY118" s="247"/>
      <c r="AZ118" s="247"/>
      <c r="BA118" s="247"/>
      <c r="BB118" s="248"/>
      <c r="BC118" s="247"/>
      <c r="BD118" s="247"/>
      <c r="BE118" s="247"/>
      <c r="BF118" s="247"/>
      <c r="BG118" s="247"/>
      <c r="BH118" s="247"/>
      <c r="BI118" s="247"/>
      <c r="BJ118" s="246"/>
      <c r="BK118" s="251"/>
      <c r="BL118" s="244"/>
      <c r="BM118" s="244"/>
      <c r="BN118" s="244"/>
      <c r="BO118" s="244"/>
      <c r="BP118" s="244"/>
      <c r="BQ118" s="244"/>
    </row>
    <row r="119" spans="2:72" s="34" customFormat="1" ht="22.5" customHeight="1" x14ac:dyDescent="0.15">
      <c r="J119" s="249"/>
      <c r="K119" s="244"/>
      <c r="L119" s="244"/>
      <c r="M119" s="244"/>
      <c r="N119" s="244"/>
      <c r="O119" s="244"/>
      <c r="P119" s="244"/>
      <c r="Q119" s="244"/>
      <c r="R119" s="249"/>
      <c r="S119" s="244"/>
      <c r="T119" s="244"/>
      <c r="U119" s="244"/>
      <c r="V119" s="244"/>
      <c r="W119" s="244"/>
      <c r="X119" s="244"/>
      <c r="Y119" s="244"/>
      <c r="Z119" s="249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9"/>
      <c r="AL119" s="244"/>
      <c r="AM119" s="244"/>
      <c r="AN119" s="244"/>
      <c r="AO119" s="244"/>
      <c r="AP119" s="244"/>
      <c r="AQ119" s="244"/>
      <c r="AR119" s="244"/>
      <c r="AS119" s="249"/>
      <c r="AT119" s="247"/>
      <c r="AU119" s="247"/>
      <c r="AV119" s="247"/>
      <c r="AW119" s="247"/>
      <c r="AX119" s="247"/>
      <c r="AY119" s="247"/>
      <c r="AZ119" s="247"/>
      <c r="BA119" s="247"/>
      <c r="BB119" s="248"/>
      <c r="BC119" s="247"/>
      <c r="BD119" s="247"/>
      <c r="BE119" s="247"/>
      <c r="BF119" s="247"/>
      <c r="BG119" s="247"/>
      <c r="BH119" s="247"/>
      <c r="BI119" s="247"/>
      <c r="BJ119" s="247"/>
      <c r="BK119" s="249"/>
      <c r="BL119" s="244"/>
      <c r="BM119" s="244"/>
      <c r="BN119" s="244"/>
      <c r="BO119" s="244"/>
      <c r="BP119" s="244"/>
      <c r="BQ119" s="244"/>
    </row>
    <row r="120" spans="2:72" s="190" customFormat="1" ht="22.5" customHeight="1" x14ac:dyDescent="0.15">
      <c r="J120" s="249"/>
      <c r="K120" s="246"/>
      <c r="L120" s="246"/>
      <c r="M120" s="246"/>
      <c r="N120" s="246"/>
      <c r="O120" s="246"/>
      <c r="P120" s="246"/>
      <c r="Q120" s="246"/>
      <c r="R120" s="249"/>
      <c r="S120" s="246"/>
      <c r="T120" s="246"/>
      <c r="U120" s="246"/>
      <c r="V120" s="246"/>
      <c r="W120" s="246"/>
      <c r="X120" s="246"/>
      <c r="Y120" s="246"/>
      <c r="Z120" s="249"/>
      <c r="AA120" s="246"/>
      <c r="AB120" s="246"/>
      <c r="AC120" s="246"/>
      <c r="AD120" s="246"/>
      <c r="AE120" s="246"/>
      <c r="AF120" s="246"/>
      <c r="AG120" s="246"/>
      <c r="AH120" s="246"/>
      <c r="AI120" s="246"/>
      <c r="AJ120" s="246"/>
      <c r="AK120" s="249"/>
      <c r="AL120" s="246"/>
      <c r="AM120" s="246"/>
      <c r="AN120" s="246"/>
      <c r="AO120" s="246"/>
      <c r="AP120" s="246"/>
      <c r="AQ120" s="246"/>
      <c r="AR120" s="246"/>
      <c r="AS120" s="249"/>
      <c r="AT120" s="247"/>
      <c r="AU120" s="247"/>
      <c r="AV120" s="247"/>
      <c r="AW120" s="247"/>
      <c r="AX120" s="247"/>
      <c r="AY120" s="247"/>
      <c r="AZ120" s="247"/>
      <c r="BA120" s="247"/>
      <c r="BB120" s="248"/>
      <c r="BC120" s="247"/>
      <c r="BD120" s="247"/>
      <c r="BE120" s="247"/>
      <c r="BF120" s="247"/>
      <c r="BG120" s="247"/>
      <c r="BH120" s="247"/>
      <c r="BI120" s="247"/>
      <c r="BJ120" s="247"/>
      <c r="BK120" s="248"/>
      <c r="BL120" s="244"/>
      <c r="BM120" s="244"/>
      <c r="BN120" s="244"/>
      <c r="BO120" s="244"/>
      <c r="BP120" s="244"/>
      <c r="BQ120" s="244"/>
      <c r="BR120" s="34"/>
      <c r="BS120" s="34"/>
      <c r="BT120" s="34"/>
    </row>
    <row r="121" spans="2:72" s="190" customFormat="1" ht="22.5" customHeight="1" x14ac:dyDescent="0.15">
      <c r="J121" s="249"/>
      <c r="K121" s="246"/>
      <c r="L121" s="246"/>
      <c r="M121" s="246"/>
      <c r="N121" s="246"/>
      <c r="O121" s="246"/>
      <c r="P121" s="246"/>
      <c r="Q121" s="246"/>
      <c r="R121" s="243"/>
      <c r="S121" s="246"/>
      <c r="T121" s="246"/>
      <c r="U121" s="246"/>
      <c r="V121" s="246"/>
      <c r="W121" s="246"/>
      <c r="X121" s="246"/>
      <c r="Y121" s="246"/>
      <c r="Z121" s="249"/>
      <c r="AA121" s="246"/>
      <c r="AB121" s="246"/>
      <c r="AC121" s="246"/>
      <c r="AD121" s="246"/>
      <c r="AE121" s="246"/>
      <c r="AF121" s="246"/>
      <c r="AG121" s="246"/>
      <c r="AH121" s="246"/>
      <c r="AI121" s="246"/>
      <c r="AJ121" s="246"/>
      <c r="AK121" s="249"/>
      <c r="AL121" s="246"/>
      <c r="AM121" s="246"/>
      <c r="AN121" s="246"/>
      <c r="AO121" s="246"/>
      <c r="AP121" s="246"/>
      <c r="AQ121" s="246"/>
      <c r="AR121" s="246"/>
      <c r="AS121" s="249"/>
      <c r="AT121" s="247"/>
      <c r="AU121" s="247"/>
      <c r="AV121" s="247"/>
      <c r="AW121" s="247"/>
      <c r="AX121" s="247"/>
      <c r="AY121" s="247"/>
      <c r="AZ121" s="247"/>
      <c r="BA121" s="247"/>
      <c r="BB121" s="248"/>
      <c r="BC121" s="247"/>
      <c r="BD121" s="247"/>
      <c r="BE121" s="247"/>
      <c r="BF121" s="247"/>
      <c r="BG121" s="247"/>
      <c r="BH121" s="247"/>
      <c r="BI121" s="247"/>
      <c r="BJ121" s="247"/>
      <c r="BK121" s="248"/>
      <c r="BL121" s="244"/>
      <c r="BM121" s="244"/>
      <c r="BN121" s="244"/>
      <c r="BO121" s="244"/>
      <c r="BP121" s="244"/>
      <c r="BQ121" s="244"/>
      <c r="BR121" s="34"/>
      <c r="BS121" s="34"/>
      <c r="BT121" s="34"/>
    </row>
    <row r="122" spans="2:72" s="190" customFormat="1" ht="22.5" customHeight="1" x14ac:dyDescent="0.15">
      <c r="J122" s="249"/>
      <c r="K122" s="246"/>
      <c r="L122" s="246"/>
      <c r="M122" s="246"/>
      <c r="N122" s="246"/>
      <c r="O122" s="246"/>
      <c r="P122" s="246"/>
      <c r="Q122" s="246"/>
      <c r="R122" s="243"/>
      <c r="S122" s="246"/>
      <c r="T122" s="246"/>
      <c r="U122" s="246"/>
      <c r="V122" s="246"/>
      <c r="W122" s="246"/>
      <c r="X122" s="246"/>
      <c r="Y122" s="246"/>
      <c r="Z122" s="249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9"/>
      <c r="AL122" s="246"/>
      <c r="AM122" s="246"/>
      <c r="AN122" s="246"/>
      <c r="AO122" s="246"/>
      <c r="AP122" s="246"/>
      <c r="AQ122" s="246"/>
      <c r="AR122" s="246"/>
      <c r="AS122" s="249"/>
      <c r="AT122" s="247"/>
      <c r="AU122" s="247"/>
      <c r="AV122" s="247"/>
      <c r="AW122" s="247"/>
      <c r="AX122" s="247"/>
      <c r="AY122" s="247"/>
      <c r="AZ122" s="247"/>
      <c r="BA122" s="247"/>
      <c r="BB122" s="248"/>
      <c r="BC122" s="247"/>
      <c r="BD122" s="247"/>
      <c r="BE122" s="247"/>
      <c r="BF122" s="247"/>
      <c r="BG122" s="247"/>
      <c r="BH122" s="247"/>
      <c r="BI122" s="247"/>
      <c r="BJ122" s="247"/>
      <c r="BK122" s="248"/>
      <c r="BL122" s="244"/>
      <c r="BM122" s="244"/>
      <c r="BN122" s="244"/>
      <c r="BO122" s="244"/>
      <c r="BP122" s="244"/>
      <c r="BQ122" s="244"/>
      <c r="BR122" s="34"/>
      <c r="BS122" s="34"/>
      <c r="BT122" s="34"/>
    </row>
    <row r="123" spans="2:72" s="190" customFormat="1" ht="22.5" customHeight="1" x14ac:dyDescent="0.15">
      <c r="J123" s="249"/>
      <c r="K123" s="246"/>
      <c r="L123" s="246"/>
      <c r="M123" s="246"/>
      <c r="N123" s="246"/>
      <c r="O123" s="246"/>
      <c r="P123" s="246"/>
      <c r="Q123" s="246"/>
      <c r="R123" s="243"/>
      <c r="S123" s="246"/>
      <c r="T123" s="246"/>
      <c r="U123" s="246"/>
      <c r="V123" s="246"/>
      <c r="W123" s="246"/>
      <c r="X123" s="246"/>
      <c r="Y123" s="246"/>
      <c r="Z123" s="249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9"/>
      <c r="AL123" s="246"/>
      <c r="AM123" s="246"/>
      <c r="AN123" s="246"/>
      <c r="AO123" s="246"/>
      <c r="AP123" s="246"/>
      <c r="AQ123" s="246"/>
      <c r="AR123" s="246"/>
      <c r="AS123" s="249"/>
      <c r="AT123" s="247"/>
      <c r="AU123" s="247"/>
      <c r="AV123" s="247"/>
      <c r="AW123" s="247"/>
      <c r="AX123" s="247"/>
      <c r="AY123" s="247"/>
      <c r="AZ123" s="247"/>
      <c r="BA123" s="247"/>
      <c r="BB123" s="248"/>
      <c r="BC123" s="247"/>
      <c r="BD123" s="247"/>
      <c r="BE123" s="247"/>
      <c r="BF123" s="247"/>
      <c r="BG123" s="247"/>
      <c r="BH123" s="247"/>
      <c r="BI123" s="247"/>
      <c r="BJ123" s="247"/>
      <c r="BK123" s="248"/>
      <c r="BL123" s="244"/>
      <c r="BM123" s="244"/>
      <c r="BN123" s="244"/>
      <c r="BO123" s="244"/>
      <c r="BP123" s="244"/>
      <c r="BQ123" s="244"/>
      <c r="BR123" s="34"/>
      <c r="BS123" s="34"/>
      <c r="BT123" s="34"/>
    </row>
    <row r="124" spans="2:72" s="191" customFormat="1" ht="22.5" customHeight="1" x14ac:dyDescent="0.15">
      <c r="J124" s="251"/>
      <c r="K124" s="250"/>
      <c r="L124" s="250"/>
      <c r="M124" s="250"/>
      <c r="N124" s="250"/>
      <c r="O124" s="250"/>
      <c r="P124" s="250"/>
      <c r="Q124" s="250"/>
      <c r="R124" s="242"/>
      <c r="S124" s="250"/>
      <c r="T124" s="250"/>
      <c r="U124" s="250"/>
      <c r="V124" s="250"/>
      <c r="W124" s="250"/>
      <c r="X124" s="250"/>
      <c r="Y124" s="250"/>
      <c r="Z124" s="251"/>
      <c r="AA124" s="250"/>
      <c r="AB124" s="250"/>
      <c r="AC124" s="250"/>
      <c r="AD124" s="250"/>
      <c r="AE124" s="250"/>
      <c r="AF124" s="250"/>
      <c r="AG124" s="250"/>
      <c r="AH124" s="250"/>
      <c r="AI124" s="250"/>
      <c r="AJ124" s="250"/>
      <c r="AK124" s="251"/>
      <c r="AL124" s="250"/>
      <c r="AM124" s="250"/>
      <c r="AN124" s="250"/>
      <c r="AO124" s="250"/>
      <c r="AP124" s="250"/>
      <c r="AQ124" s="250"/>
      <c r="AR124" s="250"/>
      <c r="AS124" s="251"/>
      <c r="AT124" s="247"/>
      <c r="AU124" s="247"/>
      <c r="AV124" s="247"/>
      <c r="AW124" s="247"/>
      <c r="AX124" s="247"/>
      <c r="AY124" s="247"/>
      <c r="AZ124" s="247"/>
      <c r="BA124" s="247"/>
      <c r="BB124" s="248"/>
      <c r="BC124" s="247"/>
      <c r="BD124" s="247"/>
      <c r="BE124" s="247"/>
      <c r="BF124" s="247"/>
      <c r="BG124" s="247"/>
      <c r="BH124" s="247"/>
      <c r="BI124" s="247"/>
      <c r="BJ124" s="247"/>
      <c r="BK124" s="248"/>
      <c r="BL124" s="244"/>
      <c r="BM124" s="244"/>
      <c r="BN124" s="244"/>
      <c r="BO124" s="244"/>
      <c r="BP124" s="244"/>
      <c r="BQ124" s="244"/>
      <c r="BR124" s="34"/>
      <c r="BS124" s="34"/>
      <c r="BT124" s="34"/>
    </row>
    <row r="125" spans="2:72" s="190" customFormat="1" ht="22.5" customHeight="1" x14ac:dyDescent="0.15">
      <c r="J125" s="249"/>
      <c r="K125" s="246"/>
      <c r="L125" s="246"/>
      <c r="M125" s="246"/>
      <c r="N125" s="246"/>
      <c r="O125" s="246"/>
      <c r="P125" s="246"/>
      <c r="Q125" s="246"/>
      <c r="R125" s="243"/>
      <c r="S125" s="246"/>
      <c r="T125" s="246"/>
      <c r="U125" s="246"/>
      <c r="V125" s="246"/>
      <c r="W125" s="246"/>
      <c r="X125" s="246"/>
      <c r="Y125" s="246"/>
      <c r="Z125" s="249"/>
      <c r="AA125" s="246"/>
      <c r="AB125" s="246"/>
      <c r="AC125" s="246"/>
      <c r="AD125" s="246"/>
      <c r="AE125" s="246"/>
      <c r="AF125" s="246"/>
      <c r="AG125" s="246"/>
      <c r="AH125" s="246"/>
      <c r="AI125" s="246"/>
      <c r="AJ125" s="246"/>
      <c r="AK125" s="249"/>
      <c r="AL125" s="246"/>
      <c r="AM125" s="246"/>
      <c r="AN125" s="246"/>
      <c r="AO125" s="246"/>
      <c r="AP125" s="246"/>
      <c r="AQ125" s="246"/>
      <c r="AR125" s="246"/>
      <c r="AS125" s="249"/>
      <c r="AT125" s="247"/>
      <c r="AU125" s="247"/>
      <c r="AV125" s="247"/>
      <c r="AW125" s="247"/>
      <c r="AX125" s="247"/>
      <c r="AY125" s="247"/>
      <c r="AZ125" s="247"/>
      <c r="BA125" s="244"/>
      <c r="BB125" s="248"/>
      <c r="BC125" s="244"/>
      <c r="BD125" s="244"/>
      <c r="BE125" s="244"/>
      <c r="BF125" s="244"/>
      <c r="BG125" s="244"/>
      <c r="BH125" s="244"/>
      <c r="BI125" s="244"/>
      <c r="BJ125" s="247"/>
      <c r="BK125" s="248"/>
      <c r="BL125" s="244"/>
      <c r="BM125" s="244"/>
      <c r="BN125" s="244"/>
      <c r="BO125" s="244"/>
      <c r="BP125" s="244"/>
      <c r="BQ125" s="244"/>
      <c r="BR125" s="34"/>
      <c r="BS125" s="34"/>
      <c r="BT125" s="34"/>
    </row>
    <row r="126" spans="2:72" s="188" customFormat="1" ht="22.5" customHeight="1" x14ac:dyDescent="0.15">
      <c r="B126" s="34"/>
      <c r="H126" s="34"/>
      <c r="J126" s="248"/>
      <c r="K126" s="247"/>
      <c r="L126" s="247"/>
      <c r="M126" s="247"/>
      <c r="N126" s="247"/>
      <c r="O126" s="247"/>
      <c r="P126" s="247"/>
      <c r="Q126" s="247"/>
      <c r="R126" s="243"/>
      <c r="S126" s="247"/>
      <c r="T126" s="247"/>
      <c r="U126" s="247"/>
      <c r="V126" s="247"/>
      <c r="W126" s="244"/>
      <c r="X126" s="247"/>
      <c r="Y126" s="247"/>
      <c r="Z126" s="248"/>
      <c r="AA126" s="247"/>
      <c r="AB126" s="247"/>
      <c r="AC126" s="247"/>
      <c r="AD126" s="247"/>
      <c r="AE126" s="247"/>
      <c r="AF126" s="247"/>
      <c r="AG126" s="247"/>
      <c r="AH126" s="247"/>
      <c r="AI126" s="247"/>
      <c r="AJ126" s="247"/>
      <c r="AK126" s="248"/>
      <c r="AL126" s="247"/>
      <c r="AM126" s="247"/>
      <c r="AN126" s="247"/>
      <c r="AO126" s="247"/>
      <c r="AP126" s="247"/>
      <c r="AQ126" s="247"/>
      <c r="AR126" s="247"/>
      <c r="AS126" s="248"/>
      <c r="AT126" s="247"/>
      <c r="AU126" s="247"/>
      <c r="AV126" s="247"/>
      <c r="AW126" s="247"/>
      <c r="AX126" s="247"/>
      <c r="AY126" s="247"/>
      <c r="AZ126" s="247"/>
      <c r="BA126" s="244"/>
      <c r="BB126" s="249"/>
      <c r="BC126" s="244"/>
      <c r="BD126" s="244"/>
      <c r="BE126" s="244"/>
      <c r="BF126" s="244"/>
      <c r="BG126" s="244"/>
      <c r="BH126" s="244"/>
      <c r="BI126" s="244"/>
      <c r="BJ126" s="247"/>
      <c r="BK126" s="248"/>
      <c r="BL126" s="244"/>
      <c r="BM126" s="244"/>
      <c r="BN126" s="244"/>
      <c r="BO126" s="244"/>
      <c r="BP126" s="244"/>
      <c r="BQ126" s="244"/>
      <c r="BR126" s="34"/>
      <c r="BS126" s="34"/>
      <c r="BT126" s="34"/>
    </row>
    <row r="127" spans="2:72" s="188" customFormat="1" ht="22.5" customHeight="1" x14ac:dyDescent="0.15">
      <c r="B127" s="34"/>
      <c r="H127" s="34"/>
      <c r="J127" s="248"/>
      <c r="K127" s="247"/>
      <c r="L127" s="247"/>
      <c r="M127" s="247"/>
      <c r="N127" s="247"/>
      <c r="O127" s="247"/>
      <c r="P127" s="247"/>
      <c r="Q127" s="252"/>
      <c r="R127" s="235"/>
      <c r="S127" s="253"/>
      <c r="T127" s="247"/>
      <c r="U127" s="247"/>
      <c r="V127" s="247"/>
      <c r="W127" s="244"/>
      <c r="X127" s="247"/>
      <c r="Y127" s="247"/>
      <c r="Z127" s="248"/>
      <c r="AA127" s="247"/>
      <c r="AB127" s="247"/>
      <c r="AC127" s="247"/>
      <c r="AD127" s="247"/>
      <c r="AE127" s="247"/>
      <c r="AF127" s="247"/>
      <c r="AG127" s="247"/>
      <c r="AH127" s="247"/>
      <c r="AI127" s="247"/>
      <c r="AJ127" s="247"/>
      <c r="AK127" s="248"/>
      <c r="AL127" s="247"/>
      <c r="AM127" s="247"/>
      <c r="AN127" s="247"/>
      <c r="AO127" s="247"/>
      <c r="AP127" s="247"/>
      <c r="AQ127" s="247"/>
      <c r="AR127" s="247"/>
      <c r="AS127" s="248"/>
      <c r="AT127" s="244"/>
      <c r="AU127" s="244"/>
      <c r="AV127" s="244"/>
      <c r="AW127" s="244"/>
      <c r="AX127" s="244"/>
      <c r="AY127" s="244"/>
      <c r="AZ127" s="244"/>
      <c r="BA127" s="244"/>
      <c r="BB127" s="249"/>
      <c r="BC127" s="244"/>
      <c r="BD127" s="244"/>
      <c r="BE127" s="244"/>
      <c r="BF127" s="244"/>
      <c r="BG127" s="244"/>
      <c r="BH127" s="244"/>
      <c r="BI127" s="244"/>
      <c r="BJ127" s="247"/>
      <c r="BK127" s="248"/>
      <c r="BL127" s="244"/>
      <c r="BM127" s="244"/>
      <c r="BN127" s="244"/>
      <c r="BO127" s="244"/>
      <c r="BP127" s="244"/>
      <c r="BQ127" s="244"/>
      <c r="BR127" s="34"/>
      <c r="BS127" s="34"/>
      <c r="BT127" s="34"/>
    </row>
    <row r="128" spans="2:72" s="188" customFormat="1" ht="22.5" customHeight="1" x14ac:dyDescent="0.15">
      <c r="B128" s="34"/>
      <c r="H128" s="34"/>
      <c r="J128" s="248"/>
      <c r="K128" s="247"/>
      <c r="L128" s="247"/>
      <c r="M128" s="247"/>
      <c r="N128" s="247"/>
      <c r="O128" s="247"/>
      <c r="P128" s="247"/>
      <c r="Q128" s="252"/>
      <c r="R128" s="235"/>
      <c r="S128" s="253"/>
      <c r="T128" s="247"/>
      <c r="U128" s="247"/>
      <c r="V128" s="247"/>
      <c r="W128" s="244"/>
      <c r="X128" s="247"/>
      <c r="Y128" s="247"/>
      <c r="Z128" s="248"/>
      <c r="AA128" s="247"/>
      <c r="AB128" s="247"/>
      <c r="AC128" s="247"/>
      <c r="AD128" s="247"/>
      <c r="AE128" s="247"/>
      <c r="AF128" s="247"/>
      <c r="AG128" s="247"/>
      <c r="AH128" s="247"/>
      <c r="AI128" s="247"/>
      <c r="AJ128" s="247"/>
      <c r="AK128" s="248"/>
      <c r="AL128" s="247"/>
      <c r="AM128" s="247"/>
      <c r="AN128" s="247"/>
      <c r="AO128" s="247"/>
      <c r="AP128" s="247"/>
      <c r="AQ128" s="247"/>
      <c r="AR128" s="247"/>
      <c r="AS128" s="248"/>
      <c r="AT128" s="244"/>
      <c r="AU128" s="244"/>
      <c r="AV128" s="244"/>
      <c r="AW128" s="244"/>
      <c r="AX128" s="244"/>
      <c r="AY128" s="244"/>
      <c r="AZ128" s="244"/>
      <c r="BA128" s="244"/>
      <c r="BB128" s="249"/>
      <c r="BC128" s="244"/>
      <c r="BD128" s="244"/>
      <c r="BE128" s="244"/>
      <c r="BF128" s="244"/>
      <c r="BG128" s="244"/>
      <c r="BH128" s="244"/>
      <c r="BI128" s="244"/>
      <c r="BJ128" s="244"/>
      <c r="BK128" s="248"/>
      <c r="BL128" s="244"/>
      <c r="BM128" s="244"/>
      <c r="BN128" s="244"/>
      <c r="BO128" s="244"/>
      <c r="BP128" s="244"/>
      <c r="BQ128" s="244"/>
      <c r="BR128" s="79"/>
      <c r="BS128" s="79"/>
      <c r="BT128" s="79"/>
    </row>
    <row r="129" spans="1:72" s="188" customFormat="1" ht="22.5" customHeight="1" x14ac:dyDescent="0.15">
      <c r="B129" s="34"/>
      <c r="H129" s="34"/>
      <c r="J129" s="248"/>
      <c r="K129" s="247"/>
      <c r="L129" s="247"/>
      <c r="M129" s="247"/>
      <c r="N129" s="247"/>
      <c r="O129" s="247"/>
      <c r="P129" s="247"/>
      <c r="Q129" s="252"/>
      <c r="R129" s="235"/>
      <c r="S129" s="253"/>
      <c r="T129" s="247"/>
      <c r="U129" s="247"/>
      <c r="V129" s="247"/>
      <c r="W129" s="244"/>
      <c r="X129" s="247"/>
      <c r="Y129" s="247"/>
      <c r="Z129" s="248"/>
      <c r="AA129" s="247"/>
      <c r="AB129" s="247"/>
      <c r="AC129" s="247"/>
      <c r="AD129" s="247"/>
      <c r="AE129" s="247"/>
      <c r="AF129" s="247"/>
      <c r="AG129" s="247"/>
      <c r="AH129" s="247"/>
      <c r="AI129" s="247"/>
      <c r="AJ129" s="247"/>
      <c r="AK129" s="248"/>
      <c r="AL129" s="247"/>
      <c r="AM129" s="247"/>
      <c r="AN129" s="247"/>
      <c r="AO129" s="247"/>
      <c r="AP129" s="247"/>
      <c r="AQ129" s="247"/>
      <c r="AR129" s="247"/>
      <c r="AS129" s="248"/>
      <c r="AT129" s="244"/>
      <c r="AU129" s="244"/>
      <c r="AV129" s="244"/>
      <c r="AW129" s="244"/>
      <c r="AX129" s="244"/>
      <c r="AY129" s="244"/>
      <c r="AZ129" s="244"/>
      <c r="BA129" s="244"/>
      <c r="BB129" s="249"/>
      <c r="BC129" s="244"/>
      <c r="BD129" s="244"/>
      <c r="BE129" s="244"/>
      <c r="BF129" s="244"/>
      <c r="BG129" s="244"/>
      <c r="BH129" s="244"/>
      <c r="BI129" s="244"/>
      <c r="BJ129" s="244"/>
      <c r="BK129" s="249"/>
      <c r="BL129" s="244"/>
      <c r="BM129" s="244"/>
      <c r="BN129" s="244"/>
      <c r="BO129" s="244"/>
      <c r="BP129" s="244"/>
      <c r="BQ129" s="244"/>
      <c r="BR129" s="79"/>
      <c r="BS129" s="79"/>
      <c r="BT129" s="79"/>
    </row>
    <row r="130" spans="1:72" s="188" customFormat="1" ht="22.5" customHeight="1" x14ac:dyDescent="0.15">
      <c r="B130" s="34"/>
      <c r="H130" s="34"/>
      <c r="J130" s="248"/>
      <c r="K130" s="247"/>
      <c r="L130" s="247"/>
      <c r="M130" s="247"/>
      <c r="N130" s="247"/>
      <c r="O130" s="247"/>
      <c r="P130" s="247"/>
      <c r="Q130" s="252"/>
      <c r="R130" s="235"/>
      <c r="S130" s="253"/>
      <c r="T130" s="252"/>
      <c r="U130" s="252"/>
      <c r="V130" s="252"/>
      <c r="W130" s="229"/>
      <c r="X130" s="252"/>
      <c r="Y130" s="247"/>
      <c r="Z130" s="248"/>
      <c r="AA130" s="247"/>
      <c r="AB130" s="247"/>
      <c r="AC130" s="247"/>
      <c r="AD130" s="247"/>
      <c r="AE130" s="247"/>
      <c r="AF130" s="247"/>
      <c r="AG130" s="247"/>
      <c r="AH130" s="247"/>
      <c r="AI130" s="247"/>
      <c r="AJ130" s="247"/>
      <c r="AK130" s="248"/>
      <c r="AL130" s="247"/>
      <c r="AM130" s="247"/>
      <c r="AN130" s="247"/>
      <c r="AO130" s="247"/>
      <c r="AP130" s="247"/>
      <c r="AQ130" s="247"/>
      <c r="AR130" s="247"/>
      <c r="AS130" s="248"/>
      <c r="AT130" s="244"/>
      <c r="AU130" s="244"/>
      <c r="AV130" s="244"/>
      <c r="AW130" s="244"/>
      <c r="AX130" s="244"/>
      <c r="AY130" s="244"/>
      <c r="AZ130" s="244"/>
      <c r="BA130" s="244"/>
      <c r="BB130" s="249"/>
      <c r="BC130" s="244"/>
      <c r="BD130" s="244"/>
      <c r="BE130" s="244"/>
      <c r="BF130" s="244"/>
      <c r="BG130" s="244"/>
      <c r="BH130" s="244"/>
      <c r="BI130" s="244"/>
      <c r="BJ130" s="244"/>
      <c r="BK130" s="249"/>
      <c r="BL130" s="244"/>
      <c r="BM130" s="244"/>
      <c r="BN130" s="244"/>
      <c r="BO130" s="244"/>
      <c r="BP130" s="244"/>
      <c r="BQ130" s="244"/>
      <c r="BR130" s="79"/>
      <c r="BS130" s="79"/>
      <c r="BT130" s="79"/>
    </row>
    <row r="131" spans="1:72" s="188" customFormat="1" ht="22.5" customHeight="1" x14ac:dyDescent="0.15">
      <c r="B131" s="34"/>
      <c r="H131" s="34"/>
      <c r="J131" s="248"/>
      <c r="K131" s="247"/>
      <c r="L131" s="247"/>
      <c r="M131" s="247"/>
      <c r="N131" s="247"/>
      <c r="O131" s="247"/>
      <c r="P131" s="247"/>
      <c r="Q131" s="247"/>
      <c r="R131" s="243"/>
      <c r="S131" s="247"/>
      <c r="T131" s="247"/>
      <c r="U131" s="247"/>
      <c r="V131" s="247"/>
      <c r="W131" s="244"/>
      <c r="X131" s="247"/>
      <c r="Y131" s="247"/>
      <c r="Z131" s="248"/>
      <c r="AA131" s="247"/>
      <c r="AB131" s="247"/>
      <c r="AC131" s="247"/>
      <c r="AD131" s="247"/>
      <c r="AE131" s="247"/>
      <c r="AF131" s="247"/>
      <c r="AG131" s="247"/>
      <c r="AH131" s="247"/>
      <c r="AI131" s="247"/>
      <c r="AJ131" s="247"/>
      <c r="AK131" s="248"/>
      <c r="AL131" s="247"/>
      <c r="AM131" s="247"/>
      <c r="AN131" s="247"/>
      <c r="AO131" s="247"/>
      <c r="AP131" s="247"/>
      <c r="AQ131" s="247"/>
      <c r="AR131" s="247"/>
      <c r="AS131" s="248"/>
      <c r="AT131" s="244"/>
      <c r="AU131" s="244"/>
      <c r="AV131" s="244"/>
      <c r="AW131" s="244"/>
      <c r="AX131" s="244"/>
      <c r="AY131" s="244"/>
      <c r="AZ131" s="244"/>
      <c r="BA131" s="244"/>
      <c r="BB131" s="249"/>
      <c r="BC131" s="244"/>
      <c r="BD131" s="244"/>
      <c r="BE131" s="244"/>
      <c r="BF131" s="244"/>
      <c r="BG131" s="244"/>
      <c r="BH131" s="244"/>
      <c r="BI131" s="244"/>
      <c r="BJ131" s="244"/>
      <c r="BK131" s="249"/>
      <c r="BL131" s="244"/>
      <c r="BM131" s="244"/>
      <c r="BN131" s="244"/>
      <c r="BO131" s="244"/>
      <c r="BP131" s="244"/>
      <c r="BQ131" s="244"/>
      <c r="BR131" s="79"/>
      <c r="BS131" s="79"/>
      <c r="BT131" s="79"/>
    </row>
    <row r="132" spans="1:72" s="188" customFormat="1" ht="22.5" customHeight="1" x14ac:dyDescent="0.15">
      <c r="A132" s="189"/>
      <c r="B132" s="34"/>
      <c r="H132" s="34"/>
      <c r="J132" s="248"/>
      <c r="K132" s="247"/>
      <c r="L132" s="247"/>
      <c r="M132" s="247"/>
      <c r="N132" s="247"/>
      <c r="O132" s="247"/>
      <c r="P132" s="247"/>
      <c r="Q132" s="247"/>
      <c r="R132" s="243"/>
      <c r="S132" s="247"/>
      <c r="T132" s="247"/>
      <c r="U132" s="247"/>
      <c r="V132" s="247"/>
      <c r="W132" s="244"/>
      <c r="X132" s="247"/>
      <c r="Y132" s="247"/>
      <c r="Z132" s="248"/>
      <c r="AA132" s="247"/>
      <c r="AB132" s="247"/>
      <c r="AC132" s="247"/>
      <c r="AD132" s="247"/>
      <c r="AE132" s="247"/>
      <c r="AF132" s="247"/>
      <c r="AG132" s="247"/>
      <c r="AH132" s="247"/>
      <c r="AI132" s="247"/>
      <c r="AJ132" s="247"/>
      <c r="AK132" s="248"/>
      <c r="AL132" s="247"/>
      <c r="AM132" s="247"/>
      <c r="AN132" s="247"/>
      <c r="AO132" s="247"/>
      <c r="AP132" s="247"/>
      <c r="AQ132" s="247"/>
      <c r="AR132" s="247"/>
      <c r="AS132" s="248"/>
      <c r="AT132" s="244"/>
      <c r="AU132" s="244"/>
      <c r="AV132" s="244"/>
      <c r="AW132" s="244"/>
      <c r="AX132" s="244"/>
      <c r="AY132" s="244"/>
      <c r="AZ132" s="244"/>
      <c r="BA132" s="244"/>
      <c r="BB132" s="249"/>
      <c r="BC132" s="244"/>
      <c r="BD132" s="244"/>
      <c r="BE132" s="244"/>
      <c r="BF132" s="244"/>
      <c r="BG132" s="244"/>
      <c r="BH132" s="244"/>
      <c r="BI132" s="244"/>
      <c r="BJ132" s="244"/>
      <c r="BK132" s="249"/>
      <c r="BL132" s="254"/>
      <c r="BM132" s="254"/>
      <c r="BN132" s="254"/>
      <c r="BO132" s="254"/>
      <c r="BP132" s="254"/>
      <c r="BQ132" s="254"/>
      <c r="BR132" s="79"/>
      <c r="BS132" s="79"/>
      <c r="BT132" s="79"/>
    </row>
    <row r="133" spans="1:72" s="188" customFormat="1" ht="22.5" customHeight="1" x14ac:dyDescent="0.15">
      <c r="B133" s="34"/>
      <c r="H133" s="34"/>
      <c r="J133" s="248"/>
      <c r="K133" s="247"/>
      <c r="L133" s="247"/>
      <c r="M133" s="247"/>
      <c r="N133" s="247"/>
      <c r="O133" s="247"/>
      <c r="P133" s="247"/>
      <c r="Q133" s="247"/>
      <c r="R133" s="243"/>
      <c r="S133" s="247"/>
      <c r="T133" s="247"/>
      <c r="U133" s="247"/>
      <c r="V133" s="247"/>
      <c r="W133" s="244"/>
      <c r="X133" s="247"/>
      <c r="Y133" s="247"/>
      <c r="Z133" s="248"/>
      <c r="AA133" s="247"/>
      <c r="AB133" s="247"/>
      <c r="AC133" s="247"/>
      <c r="AD133" s="247"/>
      <c r="AE133" s="247"/>
      <c r="AF133" s="247"/>
      <c r="AG133" s="247"/>
      <c r="AH133" s="247"/>
      <c r="AI133" s="247"/>
      <c r="AJ133" s="247"/>
      <c r="AK133" s="248"/>
      <c r="AL133" s="247"/>
      <c r="AM133" s="247"/>
      <c r="AN133" s="247"/>
      <c r="AO133" s="247"/>
      <c r="AP133" s="247"/>
      <c r="AQ133" s="247"/>
      <c r="AR133" s="247"/>
      <c r="AS133" s="248"/>
      <c r="AT133" s="244"/>
      <c r="AU133" s="244"/>
      <c r="AV133" s="244"/>
      <c r="AW133" s="244"/>
      <c r="AX133" s="244"/>
      <c r="AY133" s="244"/>
      <c r="AZ133" s="244"/>
      <c r="BA133" s="244"/>
      <c r="BB133" s="249"/>
      <c r="BC133" s="244"/>
      <c r="BD133" s="244"/>
      <c r="BE133" s="244"/>
      <c r="BF133" s="244"/>
      <c r="BG133" s="244"/>
      <c r="BH133" s="244"/>
      <c r="BI133" s="244"/>
      <c r="BJ133" s="244"/>
      <c r="BK133" s="249"/>
      <c r="BL133" s="254"/>
      <c r="BM133" s="254"/>
      <c r="BN133" s="254"/>
      <c r="BO133" s="254"/>
      <c r="BP133" s="254"/>
      <c r="BQ133" s="254"/>
      <c r="BR133" s="79"/>
      <c r="BS133" s="79"/>
      <c r="BT133" s="79"/>
    </row>
    <row r="134" spans="1:72" s="188" customFormat="1" ht="22.5" customHeight="1" x14ac:dyDescent="0.15">
      <c r="B134" s="34"/>
      <c r="H134" s="34"/>
      <c r="J134" s="248"/>
      <c r="K134" s="247"/>
      <c r="L134" s="247"/>
      <c r="M134" s="247"/>
      <c r="N134" s="247"/>
      <c r="O134" s="247"/>
      <c r="P134" s="247"/>
      <c r="Q134" s="247"/>
      <c r="R134" s="243"/>
      <c r="S134" s="247"/>
      <c r="T134" s="247"/>
      <c r="U134" s="247"/>
      <c r="V134" s="247"/>
      <c r="W134" s="244"/>
      <c r="X134" s="247"/>
      <c r="Y134" s="247"/>
      <c r="Z134" s="248"/>
      <c r="AA134" s="247"/>
      <c r="AB134" s="247"/>
      <c r="AC134" s="247"/>
      <c r="AD134" s="247"/>
      <c r="AE134" s="247"/>
      <c r="AF134" s="247"/>
      <c r="AG134" s="247"/>
      <c r="AH134" s="247"/>
      <c r="AI134" s="247"/>
      <c r="AJ134" s="247"/>
      <c r="AK134" s="248"/>
      <c r="AL134" s="247"/>
      <c r="AM134" s="247"/>
      <c r="AN134" s="247"/>
      <c r="AO134" s="247"/>
      <c r="AP134" s="247"/>
      <c r="AQ134" s="247"/>
      <c r="AR134" s="247"/>
      <c r="AS134" s="248"/>
      <c r="AT134" s="244"/>
      <c r="AU134" s="244"/>
      <c r="AV134" s="244"/>
      <c r="AW134" s="244"/>
      <c r="AX134" s="244"/>
      <c r="AY134" s="244"/>
      <c r="AZ134" s="244"/>
      <c r="BA134" s="244"/>
      <c r="BB134" s="249"/>
      <c r="BC134" s="244"/>
      <c r="BD134" s="244"/>
      <c r="BE134" s="244"/>
      <c r="BF134" s="244"/>
      <c r="BG134" s="244"/>
      <c r="BH134" s="244"/>
      <c r="BI134" s="244"/>
      <c r="BJ134" s="244"/>
      <c r="BK134" s="249"/>
      <c r="BL134" s="254"/>
      <c r="BM134" s="254"/>
      <c r="BN134" s="254"/>
      <c r="BO134" s="254"/>
      <c r="BP134" s="254"/>
      <c r="BQ134" s="254"/>
      <c r="BR134" s="79"/>
      <c r="BS134" s="79"/>
      <c r="BT134" s="79"/>
    </row>
    <row r="135" spans="1:72" s="34" customFormat="1" ht="22.5" customHeight="1" x14ac:dyDescent="0.15">
      <c r="J135" s="249"/>
      <c r="K135" s="244"/>
      <c r="L135" s="244"/>
      <c r="M135" s="244"/>
      <c r="N135" s="244"/>
      <c r="O135" s="244"/>
      <c r="P135" s="244"/>
      <c r="Q135" s="244"/>
      <c r="R135" s="243"/>
      <c r="S135" s="244"/>
      <c r="T135" s="244"/>
      <c r="U135" s="244"/>
      <c r="V135" s="244"/>
      <c r="W135" s="244"/>
      <c r="X135" s="244"/>
      <c r="Y135" s="244"/>
      <c r="Z135" s="249"/>
      <c r="AA135" s="244"/>
      <c r="AB135" s="244"/>
      <c r="AC135" s="244"/>
      <c r="AD135" s="244"/>
      <c r="AE135" s="244"/>
      <c r="AF135" s="244"/>
      <c r="AG135" s="244"/>
      <c r="AH135" s="244"/>
      <c r="AI135" s="244"/>
      <c r="AJ135" s="244"/>
      <c r="AK135" s="249"/>
      <c r="AL135" s="244"/>
      <c r="AM135" s="244"/>
      <c r="AN135" s="244"/>
      <c r="AO135" s="244"/>
      <c r="AP135" s="244"/>
      <c r="AQ135" s="244"/>
      <c r="AR135" s="244"/>
      <c r="AS135" s="249"/>
      <c r="AT135" s="244"/>
      <c r="AU135" s="244"/>
      <c r="AV135" s="244"/>
      <c r="AW135" s="244"/>
      <c r="AX135" s="244"/>
      <c r="AY135" s="244"/>
      <c r="AZ135" s="244"/>
      <c r="BA135" s="244"/>
      <c r="BB135" s="249"/>
      <c r="BC135" s="244"/>
      <c r="BD135" s="244"/>
      <c r="BE135" s="244"/>
      <c r="BF135" s="244"/>
      <c r="BG135" s="244"/>
      <c r="BH135" s="244"/>
      <c r="BI135" s="244"/>
      <c r="BJ135" s="244"/>
      <c r="BK135" s="249"/>
      <c r="BL135" s="254"/>
      <c r="BM135" s="254"/>
      <c r="BN135" s="254"/>
      <c r="BO135" s="254"/>
      <c r="BP135" s="254"/>
      <c r="BQ135" s="254"/>
      <c r="BR135" s="79"/>
      <c r="BS135" s="79"/>
      <c r="BT135" s="79"/>
    </row>
    <row r="136" spans="1:72" s="34" customFormat="1" ht="22.5" customHeight="1" x14ac:dyDescent="0.15">
      <c r="J136" s="249"/>
      <c r="K136" s="244"/>
      <c r="L136" s="244"/>
      <c r="M136" s="244"/>
      <c r="N136" s="244"/>
      <c r="O136" s="244"/>
      <c r="P136" s="244"/>
      <c r="Q136" s="244"/>
      <c r="R136" s="243"/>
      <c r="S136" s="244"/>
      <c r="T136" s="244"/>
      <c r="U136" s="244"/>
      <c r="V136" s="244"/>
      <c r="W136" s="244"/>
      <c r="X136" s="244"/>
      <c r="Y136" s="244"/>
      <c r="Z136" s="249"/>
      <c r="AA136" s="244"/>
      <c r="AB136" s="244"/>
      <c r="AC136" s="244"/>
      <c r="AD136" s="244"/>
      <c r="AE136" s="244"/>
      <c r="AF136" s="244"/>
      <c r="AG136" s="244"/>
      <c r="AH136" s="244"/>
      <c r="AI136" s="244"/>
      <c r="AJ136" s="244"/>
      <c r="AK136" s="249"/>
      <c r="AL136" s="244"/>
      <c r="AM136" s="244"/>
      <c r="AN136" s="244"/>
      <c r="AO136" s="244"/>
      <c r="AP136" s="244"/>
      <c r="AQ136" s="244"/>
      <c r="AR136" s="244"/>
      <c r="AS136" s="249"/>
      <c r="AT136" s="244"/>
      <c r="AU136" s="244"/>
      <c r="AV136" s="244"/>
      <c r="AW136" s="244"/>
      <c r="AX136" s="244"/>
      <c r="AY136" s="244"/>
      <c r="AZ136" s="244"/>
      <c r="BA136" s="244"/>
      <c r="BB136" s="249"/>
      <c r="BC136" s="244"/>
      <c r="BD136" s="244"/>
      <c r="BE136" s="244"/>
      <c r="BF136" s="244"/>
      <c r="BG136" s="244"/>
      <c r="BH136" s="244"/>
      <c r="BI136" s="244"/>
      <c r="BJ136" s="244"/>
      <c r="BK136" s="249"/>
      <c r="BL136" s="254"/>
      <c r="BM136" s="254"/>
      <c r="BN136" s="254"/>
      <c r="BO136" s="254"/>
      <c r="BP136" s="254"/>
      <c r="BQ136" s="254"/>
      <c r="BR136" s="79"/>
      <c r="BS136" s="79"/>
      <c r="BT136" s="79"/>
    </row>
    <row r="137" spans="1:72" s="34" customFormat="1" ht="22.5" customHeight="1" x14ac:dyDescent="0.15">
      <c r="J137" s="249"/>
      <c r="K137" s="244"/>
      <c r="L137" s="244"/>
      <c r="M137" s="244"/>
      <c r="N137" s="244"/>
      <c r="O137" s="244"/>
      <c r="P137" s="244"/>
      <c r="Q137" s="244"/>
      <c r="R137" s="243"/>
      <c r="S137" s="244"/>
      <c r="T137" s="244"/>
      <c r="U137" s="244"/>
      <c r="V137" s="244"/>
      <c r="W137" s="244"/>
      <c r="X137" s="244"/>
      <c r="Y137" s="244"/>
      <c r="Z137" s="249"/>
      <c r="AA137" s="244"/>
      <c r="AB137" s="244"/>
      <c r="AC137" s="244"/>
      <c r="AD137" s="244"/>
      <c r="AE137" s="244"/>
      <c r="AF137" s="244"/>
      <c r="AG137" s="244"/>
      <c r="AH137" s="244"/>
      <c r="AI137" s="244"/>
      <c r="AJ137" s="244"/>
      <c r="AK137" s="249"/>
      <c r="AL137" s="244"/>
      <c r="AM137" s="244"/>
      <c r="AN137" s="244"/>
      <c r="AO137" s="244"/>
      <c r="AP137" s="244"/>
      <c r="AQ137" s="244"/>
      <c r="AR137" s="244"/>
      <c r="AS137" s="249"/>
      <c r="AT137" s="244"/>
      <c r="AU137" s="244"/>
      <c r="AV137" s="244"/>
      <c r="AW137" s="244"/>
      <c r="AX137" s="244"/>
      <c r="AY137" s="244"/>
      <c r="AZ137" s="244"/>
      <c r="BA137" s="244"/>
      <c r="BB137" s="249"/>
      <c r="BC137" s="244"/>
      <c r="BD137" s="244"/>
      <c r="BE137" s="244"/>
      <c r="BF137" s="244"/>
      <c r="BG137" s="244"/>
      <c r="BH137" s="244"/>
      <c r="BI137" s="244"/>
      <c r="BJ137" s="244"/>
      <c r="BK137" s="249"/>
      <c r="BL137" s="254"/>
      <c r="BM137" s="254"/>
      <c r="BN137" s="254"/>
      <c r="BO137" s="254"/>
      <c r="BP137" s="254"/>
      <c r="BQ137" s="254"/>
      <c r="BR137" s="79"/>
      <c r="BS137" s="79"/>
      <c r="BT137" s="79"/>
    </row>
    <row r="138" spans="1:72" s="34" customFormat="1" ht="22.5" customHeight="1" x14ac:dyDescent="0.15">
      <c r="A138" s="187"/>
      <c r="J138" s="249"/>
      <c r="K138" s="244"/>
      <c r="L138" s="244"/>
      <c r="M138" s="244"/>
      <c r="N138" s="244"/>
      <c r="O138" s="244"/>
      <c r="P138" s="244"/>
      <c r="Q138" s="244"/>
      <c r="R138" s="243"/>
      <c r="S138" s="244"/>
      <c r="T138" s="244"/>
      <c r="U138" s="244"/>
      <c r="V138" s="244"/>
      <c r="W138" s="244"/>
      <c r="X138" s="244"/>
      <c r="Y138" s="244"/>
      <c r="Z138" s="249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9"/>
      <c r="AL138" s="244"/>
      <c r="AM138" s="244"/>
      <c r="AN138" s="244"/>
      <c r="AO138" s="244"/>
      <c r="AP138" s="244"/>
      <c r="AQ138" s="244"/>
      <c r="AR138" s="244"/>
      <c r="AS138" s="249"/>
      <c r="AT138" s="244"/>
      <c r="AU138" s="244"/>
      <c r="AV138" s="244"/>
      <c r="AW138" s="244"/>
      <c r="AX138" s="244"/>
      <c r="AY138" s="244"/>
      <c r="AZ138" s="244"/>
      <c r="BA138" s="244"/>
      <c r="BB138" s="249"/>
      <c r="BC138" s="244"/>
      <c r="BD138" s="244"/>
      <c r="BE138" s="244"/>
      <c r="BF138" s="244"/>
      <c r="BG138" s="244"/>
      <c r="BH138" s="244"/>
      <c r="BI138" s="244"/>
      <c r="BJ138" s="244"/>
      <c r="BK138" s="249"/>
      <c r="BL138" s="254"/>
      <c r="BM138" s="254"/>
      <c r="BN138" s="254"/>
      <c r="BO138" s="254"/>
      <c r="BP138" s="254"/>
      <c r="BQ138" s="254"/>
      <c r="BR138" s="79"/>
      <c r="BS138" s="79"/>
      <c r="BT138" s="79"/>
    </row>
    <row r="139" spans="1:72" s="34" customFormat="1" ht="22.5" customHeight="1" x14ac:dyDescent="0.15">
      <c r="J139" s="249"/>
      <c r="K139" s="244"/>
      <c r="L139" s="244"/>
      <c r="M139" s="244"/>
      <c r="N139" s="244"/>
      <c r="O139" s="244"/>
      <c r="P139" s="244"/>
      <c r="Q139" s="244"/>
      <c r="R139" s="243"/>
      <c r="S139" s="244"/>
      <c r="T139" s="244"/>
      <c r="U139" s="244"/>
      <c r="V139" s="244"/>
      <c r="W139" s="244"/>
      <c r="X139" s="244"/>
      <c r="Y139" s="244"/>
      <c r="Z139" s="249"/>
      <c r="AA139" s="244"/>
      <c r="AB139" s="244"/>
      <c r="AC139" s="244"/>
      <c r="AD139" s="244"/>
      <c r="AE139" s="244"/>
      <c r="AF139" s="244"/>
      <c r="AG139" s="244"/>
      <c r="AH139" s="244"/>
      <c r="AI139" s="244"/>
      <c r="AJ139" s="244"/>
      <c r="AK139" s="249"/>
      <c r="AL139" s="244"/>
      <c r="AM139" s="244"/>
      <c r="AN139" s="244"/>
      <c r="AO139" s="244"/>
      <c r="AP139" s="244"/>
      <c r="AQ139" s="244"/>
      <c r="AR139" s="244"/>
      <c r="AS139" s="249"/>
      <c r="AT139" s="244"/>
      <c r="AU139" s="244"/>
      <c r="AV139" s="244"/>
      <c r="AW139" s="244"/>
      <c r="AX139" s="244"/>
      <c r="AY139" s="244"/>
      <c r="AZ139" s="244"/>
      <c r="BA139" s="244"/>
      <c r="BB139" s="249"/>
      <c r="BC139" s="244"/>
      <c r="BD139" s="244"/>
      <c r="BE139" s="244"/>
      <c r="BF139" s="244"/>
      <c r="BG139" s="244"/>
      <c r="BH139" s="244"/>
      <c r="BI139" s="244"/>
      <c r="BJ139" s="244"/>
      <c r="BK139" s="249"/>
      <c r="BL139" s="254"/>
      <c r="BM139" s="254"/>
      <c r="BN139" s="254"/>
      <c r="BO139" s="254"/>
      <c r="BP139" s="254"/>
      <c r="BQ139" s="254"/>
      <c r="BR139" s="148"/>
      <c r="BS139" s="148"/>
      <c r="BT139" s="148"/>
    </row>
    <row r="140" spans="1:72" s="34" customFormat="1" ht="22.5" customHeight="1" x14ac:dyDescent="0.15">
      <c r="J140" s="249"/>
      <c r="K140" s="244"/>
      <c r="L140" s="244"/>
      <c r="M140" s="244"/>
      <c r="N140" s="244"/>
      <c r="O140" s="244"/>
      <c r="P140" s="244"/>
      <c r="Q140" s="244"/>
      <c r="R140" s="243"/>
      <c r="S140" s="244"/>
      <c r="T140" s="244"/>
      <c r="U140" s="244"/>
      <c r="V140" s="244"/>
      <c r="W140" s="244"/>
      <c r="X140" s="244"/>
      <c r="Y140" s="244"/>
      <c r="Z140" s="249"/>
      <c r="AA140" s="244"/>
      <c r="AB140" s="244"/>
      <c r="AC140" s="244"/>
      <c r="AD140" s="244"/>
      <c r="AE140" s="244"/>
      <c r="AF140" s="244"/>
      <c r="AG140" s="244"/>
      <c r="AH140" s="244"/>
      <c r="AI140" s="244"/>
      <c r="AJ140" s="244"/>
      <c r="AK140" s="249"/>
      <c r="AL140" s="244"/>
      <c r="AM140" s="244"/>
      <c r="AN140" s="244"/>
      <c r="AO140" s="244"/>
      <c r="AP140" s="244"/>
      <c r="AQ140" s="244"/>
      <c r="AR140" s="244"/>
      <c r="AS140" s="249"/>
      <c r="AT140" s="244"/>
      <c r="AU140" s="244"/>
      <c r="AV140" s="244"/>
      <c r="AW140" s="244"/>
      <c r="AX140" s="244"/>
      <c r="AY140" s="244"/>
      <c r="AZ140" s="244"/>
      <c r="BA140" s="244"/>
      <c r="BB140" s="249"/>
      <c r="BC140" s="244"/>
      <c r="BD140" s="244"/>
      <c r="BE140" s="244"/>
      <c r="BF140" s="244"/>
      <c r="BG140" s="244"/>
      <c r="BH140" s="244"/>
      <c r="BI140" s="244"/>
      <c r="BJ140" s="244"/>
      <c r="BK140" s="249"/>
      <c r="BL140" s="254"/>
      <c r="BM140" s="254"/>
      <c r="BN140" s="254"/>
      <c r="BO140" s="254"/>
      <c r="BP140" s="254"/>
      <c r="BQ140" s="254"/>
      <c r="BR140" s="79"/>
      <c r="BS140" s="79"/>
      <c r="BT140" s="79"/>
    </row>
    <row r="141" spans="1:72" s="34" customFormat="1" ht="22.5" customHeight="1" x14ac:dyDescent="0.15">
      <c r="J141" s="249"/>
      <c r="K141" s="244"/>
      <c r="L141" s="244"/>
      <c r="M141" s="244"/>
      <c r="N141" s="244"/>
      <c r="O141" s="244"/>
      <c r="P141" s="244"/>
      <c r="Q141" s="244"/>
      <c r="R141" s="243"/>
      <c r="S141" s="244"/>
      <c r="T141" s="244"/>
      <c r="U141" s="244"/>
      <c r="V141" s="244"/>
      <c r="W141" s="244"/>
      <c r="X141" s="244"/>
      <c r="Y141" s="244"/>
      <c r="Z141" s="249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9"/>
      <c r="AL141" s="244"/>
      <c r="AM141" s="244"/>
      <c r="AN141" s="244"/>
      <c r="AO141" s="244"/>
      <c r="AP141" s="244"/>
      <c r="AQ141" s="244"/>
      <c r="AR141" s="244"/>
      <c r="AS141" s="249"/>
      <c r="AT141" s="244"/>
      <c r="AU141" s="244"/>
      <c r="AV141" s="244"/>
      <c r="AW141" s="244"/>
      <c r="AX141" s="244"/>
      <c r="AY141" s="244"/>
      <c r="AZ141" s="244"/>
      <c r="BA141" s="244"/>
      <c r="BB141" s="249"/>
      <c r="BC141" s="244"/>
      <c r="BD141" s="244"/>
      <c r="BE141" s="244"/>
      <c r="BF141" s="244"/>
      <c r="BG141" s="244"/>
      <c r="BH141" s="244"/>
      <c r="BI141" s="244"/>
      <c r="BJ141" s="244"/>
      <c r="BK141" s="249"/>
      <c r="BL141" s="254"/>
      <c r="BM141" s="254"/>
      <c r="BN141" s="254"/>
      <c r="BO141" s="254"/>
      <c r="BP141" s="254"/>
      <c r="BQ141" s="254"/>
      <c r="BR141" s="148"/>
      <c r="BS141" s="148"/>
      <c r="BT141" s="148"/>
    </row>
    <row r="142" spans="1:72" s="34" customFormat="1" ht="22.5" customHeight="1" x14ac:dyDescent="0.15">
      <c r="J142" s="249"/>
      <c r="K142" s="244"/>
      <c r="L142" s="244"/>
      <c r="M142" s="244"/>
      <c r="N142" s="244"/>
      <c r="O142" s="244"/>
      <c r="P142" s="244"/>
      <c r="Q142" s="244"/>
      <c r="R142" s="243"/>
      <c r="S142" s="244"/>
      <c r="T142" s="244"/>
      <c r="U142" s="244"/>
      <c r="V142" s="244"/>
      <c r="W142" s="244"/>
      <c r="X142" s="244"/>
      <c r="Y142" s="244"/>
      <c r="Z142" s="249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9"/>
      <c r="AL142" s="244"/>
      <c r="AM142" s="244"/>
      <c r="AN142" s="244"/>
      <c r="AO142" s="244"/>
      <c r="AP142" s="244"/>
      <c r="AQ142" s="244"/>
      <c r="AR142" s="244"/>
      <c r="AS142" s="249"/>
      <c r="AT142" s="244"/>
      <c r="AU142" s="244"/>
      <c r="AV142" s="244"/>
      <c r="AW142" s="244"/>
      <c r="AX142" s="244"/>
      <c r="AY142" s="244"/>
      <c r="AZ142" s="244"/>
      <c r="BA142" s="254"/>
      <c r="BB142" s="249"/>
      <c r="BC142" s="254"/>
      <c r="BD142" s="254"/>
      <c r="BE142" s="254"/>
      <c r="BF142" s="254"/>
      <c r="BG142" s="254"/>
      <c r="BH142" s="254"/>
      <c r="BI142" s="254"/>
      <c r="BJ142" s="244"/>
      <c r="BK142" s="249"/>
      <c r="BL142" s="254"/>
      <c r="BM142" s="254"/>
      <c r="BN142" s="254"/>
      <c r="BO142" s="254"/>
      <c r="BP142" s="254"/>
      <c r="BQ142" s="254"/>
      <c r="BR142" s="79"/>
      <c r="BS142" s="79"/>
      <c r="BT142" s="79"/>
    </row>
    <row r="143" spans="1:72" s="34" customFormat="1" ht="22.5" customHeight="1" x14ac:dyDescent="0.15">
      <c r="A143" s="104"/>
      <c r="B143" s="1661"/>
      <c r="C143" s="1661"/>
      <c r="D143" s="1662"/>
      <c r="E143" s="105"/>
      <c r="F143" s="1662"/>
      <c r="G143" s="1662"/>
      <c r="H143" s="1662"/>
      <c r="I143" s="1662"/>
      <c r="J143" s="249"/>
      <c r="K143" s="244"/>
      <c r="L143" s="244"/>
      <c r="M143" s="244"/>
      <c r="N143" s="244"/>
      <c r="O143" s="244"/>
      <c r="P143" s="244"/>
      <c r="Q143" s="244"/>
      <c r="R143" s="243"/>
      <c r="S143" s="244"/>
      <c r="T143" s="244"/>
      <c r="U143" s="244"/>
      <c r="V143" s="244"/>
      <c r="W143" s="244"/>
      <c r="X143" s="244"/>
      <c r="Y143" s="244"/>
      <c r="Z143" s="249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9"/>
      <c r="AL143" s="244"/>
      <c r="AM143" s="244"/>
      <c r="AN143" s="244"/>
      <c r="AO143" s="244"/>
      <c r="AP143" s="244"/>
      <c r="AQ143" s="244"/>
      <c r="AR143" s="244"/>
      <c r="AS143" s="249"/>
      <c r="AT143" s="244"/>
      <c r="AU143" s="244"/>
      <c r="AV143" s="244"/>
      <c r="AW143" s="244"/>
      <c r="AX143" s="244"/>
      <c r="AY143" s="244"/>
      <c r="AZ143" s="244"/>
      <c r="BA143" s="254"/>
      <c r="BB143" s="255"/>
      <c r="BC143" s="254"/>
      <c r="BD143" s="254"/>
      <c r="BE143" s="254"/>
      <c r="BF143" s="254"/>
      <c r="BG143" s="254"/>
      <c r="BH143" s="254"/>
      <c r="BI143" s="254"/>
      <c r="BJ143" s="244"/>
      <c r="BK143" s="249"/>
      <c r="BL143" s="256"/>
      <c r="BM143" s="256"/>
      <c r="BN143" s="256"/>
      <c r="BO143" s="256"/>
      <c r="BP143" s="256"/>
      <c r="BQ143" s="256"/>
      <c r="BR143" s="79"/>
      <c r="BS143" s="79"/>
      <c r="BT143" s="79"/>
    </row>
    <row r="144" spans="1:72" s="34" customFormat="1" ht="22.5" customHeight="1" x14ac:dyDescent="0.15">
      <c r="A144" s="104"/>
      <c r="B144" s="1661"/>
      <c r="C144" s="1661"/>
      <c r="D144" s="1662"/>
      <c r="E144" s="105"/>
      <c r="F144" s="1662"/>
      <c r="G144" s="1662"/>
      <c r="H144" s="1662"/>
      <c r="I144" s="1662"/>
      <c r="J144" s="249"/>
      <c r="K144" s="244"/>
      <c r="L144" s="244"/>
      <c r="M144" s="244"/>
      <c r="N144" s="244"/>
      <c r="O144" s="244"/>
      <c r="P144" s="244"/>
      <c r="Q144" s="244"/>
      <c r="R144" s="243"/>
      <c r="S144" s="244"/>
      <c r="T144" s="244"/>
      <c r="U144" s="244"/>
      <c r="V144" s="244"/>
      <c r="W144" s="244"/>
      <c r="X144" s="244"/>
      <c r="Y144" s="244"/>
      <c r="Z144" s="249"/>
      <c r="AA144" s="244"/>
      <c r="AB144" s="244"/>
      <c r="AC144" s="244"/>
      <c r="AD144" s="244"/>
      <c r="AE144" s="244"/>
      <c r="AF144" s="244"/>
      <c r="AG144" s="244"/>
      <c r="AH144" s="244"/>
      <c r="AI144" s="244"/>
      <c r="AJ144" s="244"/>
      <c r="AK144" s="249"/>
      <c r="AL144" s="244"/>
      <c r="AM144" s="244"/>
      <c r="AN144" s="244"/>
      <c r="AO144" s="244"/>
      <c r="AP144" s="244"/>
      <c r="AQ144" s="244"/>
      <c r="AR144" s="244"/>
      <c r="AS144" s="249"/>
      <c r="AT144" s="254"/>
      <c r="AU144" s="254"/>
      <c r="AV144" s="254"/>
      <c r="AW144" s="254"/>
      <c r="AX144" s="254"/>
      <c r="AY144" s="254"/>
      <c r="AZ144" s="254"/>
      <c r="BA144" s="254"/>
      <c r="BB144" s="255"/>
      <c r="BC144" s="254"/>
      <c r="BD144" s="254"/>
      <c r="BE144" s="254"/>
      <c r="BF144" s="254"/>
      <c r="BG144" s="254"/>
      <c r="BH144" s="254"/>
      <c r="BI144" s="254"/>
      <c r="BJ144" s="244"/>
      <c r="BK144" s="249"/>
      <c r="BL144" s="254"/>
      <c r="BM144" s="254"/>
      <c r="BN144" s="254"/>
      <c r="BO144" s="254"/>
      <c r="BP144" s="254"/>
      <c r="BQ144" s="254"/>
      <c r="BR144" s="79"/>
      <c r="BS144" s="79"/>
      <c r="BT144" s="79"/>
    </row>
    <row r="145" spans="1:72" s="34" customFormat="1" ht="22.5" customHeight="1" x14ac:dyDescent="0.15">
      <c r="A145" s="104"/>
      <c r="B145" s="1661"/>
      <c r="C145" s="1661"/>
      <c r="D145" s="1662"/>
      <c r="E145" s="105"/>
      <c r="F145" s="1662"/>
      <c r="G145" s="1662"/>
      <c r="H145" s="1662"/>
      <c r="I145" s="1662"/>
      <c r="J145" s="249"/>
      <c r="K145" s="244"/>
      <c r="L145" s="244"/>
      <c r="M145" s="244"/>
      <c r="N145" s="244"/>
      <c r="O145" s="244"/>
      <c r="P145" s="244"/>
      <c r="Q145" s="244"/>
      <c r="R145" s="243"/>
      <c r="S145" s="244"/>
      <c r="T145" s="244"/>
      <c r="U145" s="244"/>
      <c r="V145" s="244"/>
      <c r="W145" s="244"/>
      <c r="X145" s="244"/>
      <c r="Y145" s="244"/>
      <c r="Z145" s="249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9"/>
      <c r="AL145" s="244"/>
      <c r="AM145" s="244"/>
      <c r="AN145" s="244"/>
      <c r="AO145" s="244"/>
      <c r="AP145" s="244"/>
      <c r="AQ145" s="244"/>
      <c r="AR145" s="244"/>
      <c r="AS145" s="249"/>
      <c r="AT145" s="254"/>
      <c r="AU145" s="254"/>
      <c r="AV145" s="254"/>
      <c r="AW145" s="254"/>
      <c r="AX145" s="254"/>
      <c r="AY145" s="254"/>
      <c r="AZ145" s="254"/>
      <c r="BA145" s="254"/>
      <c r="BB145" s="255"/>
      <c r="BC145" s="254"/>
      <c r="BD145" s="254"/>
      <c r="BE145" s="254"/>
      <c r="BF145" s="254"/>
      <c r="BG145" s="254"/>
      <c r="BH145" s="254"/>
      <c r="BI145" s="254"/>
      <c r="BJ145" s="254"/>
      <c r="BK145" s="249"/>
      <c r="BL145" s="256"/>
      <c r="BM145" s="256"/>
      <c r="BN145" s="256"/>
      <c r="BO145" s="256"/>
      <c r="BP145" s="256"/>
      <c r="BQ145" s="256"/>
      <c r="BR145" s="79"/>
      <c r="BS145" s="79"/>
      <c r="BT145" s="79"/>
    </row>
    <row r="146" spans="1:72" s="34" customFormat="1" ht="22.5" customHeight="1" x14ac:dyDescent="0.2">
      <c r="A146" s="104"/>
      <c r="B146" s="1661"/>
      <c r="C146" s="1661"/>
      <c r="D146" s="1662"/>
      <c r="E146" s="105"/>
      <c r="F146" s="1662"/>
      <c r="G146" s="1662"/>
      <c r="H146" s="1662"/>
      <c r="I146" s="1662"/>
      <c r="J146" s="249"/>
      <c r="K146" s="244"/>
      <c r="L146" s="244"/>
      <c r="M146" s="244"/>
      <c r="N146" s="244"/>
      <c r="O146" s="244"/>
      <c r="P146" s="244"/>
      <c r="Q146" s="244"/>
      <c r="R146" s="243"/>
      <c r="S146" s="244"/>
      <c r="T146" s="244"/>
      <c r="U146" s="244"/>
      <c r="V146" s="244"/>
      <c r="W146" s="244"/>
      <c r="X146" s="244"/>
      <c r="Y146" s="244"/>
      <c r="Z146" s="249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9"/>
      <c r="AL146" s="244"/>
      <c r="AM146" s="244"/>
      <c r="AN146" s="244"/>
      <c r="AO146" s="244"/>
      <c r="AP146" s="244"/>
      <c r="AQ146" s="244"/>
      <c r="AR146" s="244"/>
      <c r="AS146" s="249"/>
      <c r="AT146" s="254"/>
      <c r="AU146" s="254"/>
      <c r="AV146" s="254"/>
      <c r="AW146" s="254"/>
      <c r="AX146" s="254"/>
      <c r="AY146" s="254"/>
      <c r="AZ146" s="254"/>
      <c r="BA146" s="254"/>
      <c r="BB146" s="255"/>
      <c r="BC146" s="254"/>
      <c r="BD146" s="254"/>
      <c r="BE146" s="254"/>
      <c r="BF146" s="254"/>
      <c r="BG146" s="254"/>
      <c r="BH146" s="254"/>
      <c r="BI146" s="254"/>
      <c r="BJ146" s="254"/>
      <c r="BK146" s="255"/>
      <c r="BL146" s="254"/>
      <c r="BM146" s="254"/>
      <c r="BN146" s="254"/>
      <c r="BO146" s="254"/>
      <c r="BP146" s="254"/>
      <c r="BQ146" s="254"/>
      <c r="BR146" s="8"/>
      <c r="BS146" s="8"/>
      <c r="BT146" s="8"/>
    </row>
    <row r="147" spans="1:72" s="34" customFormat="1" ht="22.5" customHeight="1" x14ac:dyDescent="0.2">
      <c r="A147" s="104"/>
      <c r="B147" s="1661"/>
      <c r="C147" s="1661"/>
      <c r="D147" s="1662"/>
      <c r="E147" s="105"/>
      <c r="F147" s="1662"/>
      <c r="G147" s="1662"/>
      <c r="H147" s="1662"/>
      <c r="I147" s="1662"/>
      <c r="J147" s="249"/>
      <c r="K147" s="244"/>
      <c r="L147" s="244"/>
      <c r="M147" s="244"/>
      <c r="N147" s="244"/>
      <c r="O147" s="244"/>
      <c r="P147" s="244"/>
      <c r="Q147" s="244"/>
      <c r="R147" s="243"/>
      <c r="S147" s="244"/>
      <c r="T147" s="244"/>
      <c r="U147" s="244"/>
      <c r="V147" s="244"/>
      <c r="W147" s="244"/>
      <c r="X147" s="244"/>
      <c r="Y147" s="244"/>
      <c r="Z147" s="249"/>
      <c r="AA147" s="244"/>
      <c r="AB147" s="244"/>
      <c r="AC147" s="244"/>
      <c r="AD147" s="244"/>
      <c r="AE147" s="244"/>
      <c r="AF147" s="244"/>
      <c r="AG147" s="244"/>
      <c r="AH147" s="244"/>
      <c r="AI147" s="244"/>
      <c r="AJ147" s="244"/>
      <c r="AK147" s="249"/>
      <c r="AL147" s="244"/>
      <c r="AM147" s="244"/>
      <c r="AN147" s="244"/>
      <c r="AO147" s="244"/>
      <c r="AP147" s="244"/>
      <c r="AQ147" s="244"/>
      <c r="AR147" s="244"/>
      <c r="AS147" s="249"/>
      <c r="AT147" s="254"/>
      <c r="AU147" s="254"/>
      <c r="AV147" s="254"/>
      <c r="AW147" s="254"/>
      <c r="AX147" s="254"/>
      <c r="AY147" s="254"/>
      <c r="AZ147" s="254"/>
      <c r="BA147" s="254"/>
      <c r="BB147" s="255"/>
      <c r="BC147" s="254"/>
      <c r="BD147" s="254"/>
      <c r="BE147" s="254"/>
      <c r="BF147" s="254"/>
      <c r="BG147" s="254"/>
      <c r="BH147" s="254"/>
      <c r="BI147" s="254"/>
      <c r="BJ147" s="254"/>
      <c r="BK147" s="255"/>
      <c r="BL147" s="254"/>
      <c r="BM147" s="254"/>
      <c r="BN147" s="254"/>
      <c r="BO147" s="254"/>
      <c r="BP147" s="254"/>
      <c r="BQ147" s="254"/>
      <c r="BR147" s="8"/>
      <c r="BS147" s="8"/>
      <c r="BT147" s="8"/>
    </row>
    <row r="148" spans="1:72" s="34" customFormat="1" ht="22.5" customHeight="1" x14ac:dyDescent="0.2">
      <c r="A148" s="104"/>
      <c r="B148" s="1661"/>
      <c r="C148" s="1661"/>
      <c r="D148" s="1662"/>
      <c r="E148" s="105"/>
      <c r="F148" s="1662"/>
      <c r="G148" s="1662"/>
      <c r="H148" s="1662"/>
      <c r="I148" s="1662"/>
      <c r="J148" s="249"/>
      <c r="K148" s="244"/>
      <c r="L148" s="244"/>
      <c r="M148" s="244"/>
      <c r="N148" s="244"/>
      <c r="O148" s="244"/>
      <c r="P148" s="244"/>
      <c r="Q148" s="244"/>
      <c r="R148" s="243"/>
      <c r="S148" s="244"/>
      <c r="T148" s="244"/>
      <c r="U148" s="244"/>
      <c r="V148" s="244"/>
      <c r="W148" s="244"/>
      <c r="X148" s="244"/>
      <c r="Y148" s="244"/>
      <c r="Z148" s="249"/>
      <c r="AA148" s="244"/>
      <c r="AB148" s="244"/>
      <c r="AC148" s="244"/>
      <c r="AD148" s="244"/>
      <c r="AE148" s="244"/>
      <c r="AF148" s="244"/>
      <c r="AG148" s="244"/>
      <c r="AH148" s="244"/>
      <c r="AI148" s="244"/>
      <c r="AJ148" s="244"/>
      <c r="AK148" s="249"/>
      <c r="AL148" s="244"/>
      <c r="AM148" s="244"/>
      <c r="AN148" s="244"/>
      <c r="AO148" s="244"/>
      <c r="AP148" s="244"/>
      <c r="AQ148" s="244"/>
      <c r="AR148" s="244"/>
      <c r="AS148" s="249"/>
      <c r="AT148" s="254"/>
      <c r="AU148" s="254"/>
      <c r="AV148" s="254"/>
      <c r="AW148" s="254"/>
      <c r="AX148" s="254"/>
      <c r="AY148" s="254"/>
      <c r="AZ148" s="254"/>
      <c r="BA148" s="254"/>
      <c r="BB148" s="255"/>
      <c r="BC148" s="254"/>
      <c r="BD148" s="254"/>
      <c r="BE148" s="254"/>
      <c r="BF148" s="254"/>
      <c r="BG148" s="254"/>
      <c r="BH148" s="254"/>
      <c r="BI148" s="254"/>
      <c r="BJ148" s="254"/>
      <c r="BK148" s="255"/>
      <c r="BL148" s="254"/>
      <c r="BM148" s="254"/>
      <c r="BN148" s="254"/>
      <c r="BO148" s="254"/>
      <c r="BP148" s="254"/>
      <c r="BQ148" s="254"/>
      <c r="BR148" s="8"/>
      <c r="BS148" s="8"/>
      <c r="BT148" s="8"/>
    </row>
    <row r="149" spans="1:72" s="34" customFormat="1" ht="22.5" customHeight="1" x14ac:dyDescent="0.2">
      <c r="A149" s="104"/>
      <c r="B149" s="1661"/>
      <c r="C149" s="1661"/>
      <c r="D149" s="1662"/>
      <c r="E149" s="105"/>
      <c r="F149" s="1662"/>
      <c r="G149" s="1662"/>
      <c r="H149" s="1662"/>
      <c r="I149" s="1662"/>
      <c r="J149" s="249"/>
      <c r="K149" s="244"/>
      <c r="L149" s="244"/>
      <c r="M149" s="244"/>
      <c r="N149" s="244"/>
      <c r="O149" s="244"/>
      <c r="P149" s="244"/>
      <c r="Q149" s="244"/>
      <c r="R149" s="243"/>
      <c r="S149" s="244"/>
      <c r="T149" s="244"/>
      <c r="U149" s="244"/>
      <c r="V149" s="244"/>
      <c r="W149" s="244"/>
      <c r="X149" s="244"/>
      <c r="Y149" s="244"/>
      <c r="Z149" s="249"/>
      <c r="AA149" s="244"/>
      <c r="AB149" s="244"/>
      <c r="AC149" s="244"/>
      <c r="AD149" s="244"/>
      <c r="AE149" s="244"/>
      <c r="AF149" s="244"/>
      <c r="AG149" s="244"/>
      <c r="AH149" s="244"/>
      <c r="AI149" s="244"/>
      <c r="AJ149" s="244"/>
      <c r="AK149" s="249"/>
      <c r="AL149" s="244"/>
      <c r="AM149" s="244"/>
      <c r="AN149" s="244"/>
      <c r="AO149" s="244"/>
      <c r="AP149" s="244"/>
      <c r="AQ149" s="244"/>
      <c r="AR149" s="244"/>
      <c r="AS149" s="249"/>
      <c r="AT149" s="254"/>
      <c r="AU149" s="254"/>
      <c r="AV149" s="254"/>
      <c r="AW149" s="254"/>
      <c r="AX149" s="254"/>
      <c r="AY149" s="254"/>
      <c r="AZ149" s="254"/>
      <c r="BA149" s="254"/>
      <c r="BB149" s="255"/>
      <c r="BC149" s="254"/>
      <c r="BD149" s="254"/>
      <c r="BE149" s="254"/>
      <c r="BF149" s="254"/>
      <c r="BG149" s="254"/>
      <c r="BH149" s="254"/>
      <c r="BI149" s="254"/>
      <c r="BJ149" s="254"/>
      <c r="BK149" s="255"/>
      <c r="BL149" s="254"/>
      <c r="BM149" s="254"/>
      <c r="BN149" s="254"/>
      <c r="BO149" s="254"/>
      <c r="BP149" s="254"/>
      <c r="BQ149" s="254"/>
      <c r="BR149" s="8"/>
      <c r="BS149" s="8"/>
      <c r="BT149" s="8"/>
    </row>
    <row r="150" spans="1:72" s="34" customFormat="1" ht="22.5" customHeight="1" x14ac:dyDescent="0.2">
      <c r="A150" s="104"/>
      <c r="B150" s="1661"/>
      <c r="C150" s="1661"/>
      <c r="D150" s="1662"/>
      <c r="E150" s="105"/>
      <c r="F150" s="1662"/>
      <c r="G150" s="1662"/>
      <c r="H150" s="1662"/>
      <c r="I150" s="1662"/>
      <c r="J150" s="249"/>
      <c r="K150" s="244"/>
      <c r="L150" s="244"/>
      <c r="M150" s="244"/>
      <c r="N150" s="244"/>
      <c r="O150" s="244"/>
      <c r="P150" s="244"/>
      <c r="Q150" s="244"/>
      <c r="R150" s="243"/>
      <c r="S150" s="244"/>
      <c r="T150" s="244"/>
      <c r="U150" s="244"/>
      <c r="V150" s="244"/>
      <c r="W150" s="244"/>
      <c r="X150" s="244"/>
      <c r="Y150" s="244"/>
      <c r="Z150" s="249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9"/>
      <c r="AL150" s="244"/>
      <c r="AM150" s="244"/>
      <c r="AN150" s="244"/>
      <c r="AO150" s="244"/>
      <c r="AP150" s="244"/>
      <c r="AQ150" s="244"/>
      <c r="AR150" s="244"/>
      <c r="AS150" s="249"/>
      <c r="AT150" s="254"/>
      <c r="AU150" s="254"/>
      <c r="AV150" s="254"/>
      <c r="AW150" s="254"/>
      <c r="AX150" s="254"/>
      <c r="AY150" s="254"/>
      <c r="AZ150" s="254"/>
      <c r="BA150" s="254"/>
      <c r="BB150" s="255"/>
      <c r="BC150" s="254"/>
      <c r="BD150" s="254"/>
      <c r="BE150" s="254"/>
      <c r="BF150" s="254"/>
      <c r="BG150" s="254"/>
      <c r="BH150" s="254"/>
      <c r="BI150" s="254"/>
      <c r="BJ150" s="254"/>
      <c r="BK150" s="255"/>
      <c r="BL150" s="154"/>
      <c r="BM150" s="154"/>
      <c r="BN150" s="154"/>
      <c r="BO150" s="154"/>
      <c r="BP150" s="154"/>
      <c r="BQ150" s="154"/>
      <c r="BR150" s="28"/>
      <c r="BS150" s="28"/>
      <c r="BT150" s="28"/>
    </row>
    <row r="151" spans="1:72" s="34" customFormat="1" ht="22.5" customHeight="1" x14ac:dyDescent="0.2">
      <c r="A151" s="104"/>
      <c r="B151" s="1661"/>
      <c r="C151" s="1661"/>
      <c r="D151" s="1662"/>
      <c r="E151" s="105"/>
      <c r="F151" s="1662"/>
      <c r="G151" s="1662"/>
      <c r="H151" s="1662"/>
      <c r="I151" s="1662"/>
      <c r="J151" s="249"/>
      <c r="K151" s="244"/>
      <c r="L151" s="244"/>
      <c r="M151" s="244"/>
      <c r="N151" s="244"/>
      <c r="O151" s="244"/>
      <c r="P151" s="244"/>
      <c r="Q151" s="244"/>
      <c r="R151" s="243"/>
      <c r="S151" s="244"/>
      <c r="T151" s="244"/>
      <c r="U151" s="244"/>
      <c r="V151" s="244"/>
      <c r="W151" s="244"/>
      <c r="X151" s="244"/>
      <c r="Y151" s="244"/>
      <c r="Z151" s="249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9"/>
      <c r="AL151" s="244"/>
      <c r="AM151" s="244"/>
      <c r="AN151" s="244"/>
      <c r="AO151" s="244"/>
      <c r="AP151" s="244"/>
      <c r="AQ151" s="244"/>
      <c r="AR151" s="244"/>
      <c r="AS151" s="249"/>
      <c r="AT151" s="254"/>
      <c r="AU151" s="254"/>
      <c r="AV151" s="254"/>
      <c r="AW151" s="254"/>
      <c r="AX151" s="254"/>
      <c r="AY151" s="254"/>
      <c r="AZ151" s="254"/>
      <c r="BA151" s="254"/>
      <c r="BB151" s="255"/>
      <c r="BC151" s="254"/>
      <c r="BD151" s="254"/>
      <c r="BE151" s="254"/>
      <c r="BF151" s="254"/>
      <c r="BG151" s="254"/>
      <c r="BH151" s="254"/>
      <c r="BI151" s="254"/>
      <c r="BJ151" s="254"/>
      <c r="BK151" s="255"/>
      <c r="BL151" s="154"/>
      <c r="BM151" s="154"/>
      <c r="BN151" s="154"/>
      <c r="BO151" s="154"/>
      <c r="BP151" s="154"/>
      <c r="BQ151" s="154"/>
      <c r="BR151" s="28"/>
      <c r="BS151" s="28"/>
      <c r="BT151" s="28"/>
    </row>
    <row r="152" spans="1:72" s="79" customFormat="1" ht="22.5" customHeight="1" x14ac:dyDescent="0.2">
      <c r="A152" s="147"/>
      <c r="B152" s="1661"/>
      <c r="C152" s="143"/>
      <c r="D152" s="145"/>
      <c r="E152" s="146"/>
      <c r="F152" s="145"/>
      <c r="G152" s="145"/>
      <c r="H152" s="1662"/>
      <c r="I152" s="145"/>
      <c r="J152" s="255"/>
      <c r="K152" s="254"/>
      <c r="L152" s="254"/>
      <c r="M152" s="254"/>
      <c r="N152" s="254"/>
      <c r="O152" s="254"/>
      <c r="P152" s="254"/>
      <c r="Q152" s="254"/>
      <c r="R152" s="243"/>
      <c r="S152" s="254"/>
      <c r="T152" s="254"/>
      <c r="U152" s="254"/>
      <c r="V152" s="254"/>
      <c r="W152" s="244"/>
      <c r="X152" s="254"/>
      <c r="Y152" s="254"/>
      <c r="Z152" s="255"/>
      <c r="AA152" s="254"/>
      <c r="AB152" s="254"/>
      <c r="AC152" s="254"/>
      <c r="AD152" s="254"/>
      <c r="AE152" s="254"/>
      <c r="AF152" s="254"/>
      <c r="AG152" s="254"/>
      <c r="AH152" s="254"/>
      <c r="AI152" s="254"/>
      <c r="AJ152" s="254"/>
      <c r="AK152" s="255"/>
      <c r="AL152" s="254"/>
      <c r="AM152" s="254"/>
      <c r="AN152" s="254"/>
      <c r="AO152" s="254"/>
      <c r="AP152" s="254"/>
      <c r="AQ152" s="254"/>
      <c r="AR152" s="254"/>
      <c r="AS152" s="255"/>
      <c r="AT152" s="254"/>
      <c r="AU152" s="254"/>
      <c r="AV152" s="254"/>
      <c r="AW152" s="254"/>
      <c r="AX152" s="254"/>
      <c r="AY152" s="254"/>
      <c r="AZ152" s="254"/>
      <c r="BA152" s="254"/>
      <c r="BB152" s="255"/>
      <c r="BC152" s="254"/>
      <c r="BD152" s="254"/>
      <c r="BE152" s="254"/>
      <c r="BF152" s="254"/>
      <c r="BG152" s="254"/>
      <c r="BH152" s="254"/>
      <c r="BI152" s="254"/>
      <c r="BJ152" s="254"/>
      <c r="BK152" s="255"/>
      <c r="BL152" s="154"/>
      <c r="BM152" s="154"/>
      <c r="BN152" s="154"/>
      <c r="BO152" s="154"/>
      <c r="BP152" s="154"/>
      <c r="BQ152" s="154"/>
      <c r="BR152" s="28"/>
      <c r="BS152" s="28"/>
      <c r="BT152" s="28"/>
    </row>
    <row r="153" spans="1:72" s="79" customFormat="1" ht="22.5" customHeight="1" x14ac:dyDescent="0.2">
      <c r="A153" s="147"/>
      <c r="B153" s="1661"/>
      <c r="C153" s="143"/>
      <c r="D153" s="145"/>
      <c r="E153" s="146"/>
      <c r="F153" s="145"/>
      <c r="G153" s="145"/>
      <c r="H153" s="1662"/>
      <c r="I153" s="145"/>
      <c r="J153" s="255"/>
      <c r="K153" s="254"/>
      <c r="L153" s="254"/>
      <c r="M153" s="254"/>
      <c r="N153" s="254"/>
      <c r="O153" s="254"/>
      <c r="P153" s="254"/>
      <c r="Q153" s="254"/>
      <c r="R153" s="243"/>
      <c r="S153" s="254"/>
      <c r="T153" s="254"/>
      <c r="U153" s="254"/>
      <c r="V153" s="254"/>
      <c r="W153" s="244"/>
      <c r="X153" s="254"/>
      <c r="Y153" s="254"/>
      <c r="Z153" s="255"/>
      <c r="AA153" s="254"/>
      <c r="AB153" s="254"/>
      <c r="AC153" s="254"/>
      <c r="AD153" s="254"/>
      <c r="AE153" s="254"/>
      <c r="AF153" s="254"/>
      <c r="AG153" s="254"/>
      <c r="AH153" s="254"/>
      <c r="AI153" s="254"/>
      <c r="AJ153" s="254"/>
      <c r="AK153" s="255"/>
      <c r="AL153" s="254"/>
      <c r="AM153" s="254"/>
      <c r="AN153" s="254"/>
      <c r="AO153" s="254"/>
      <c r="AP153" s="254"/>
      <c r="AQ153" s="254"/>
      <c r="AR153" s="254"/>
      <c r="AS153" s="255"/>
      <c r="AT153" s="254"/>
      <c r="AU153" s="254"/>
      <c r="AV153" s="254"/>
      <c r="AW153" s="254"/>
      <c r="AX153" s="254"/>
      <c r="AY153" s="254"/>
      <c r="AZ153" s="254"/>
      <c r="BA153" s="256"/>
      <c r="BB153" s="255"/>
      <c r="BC153" s="256"/>
      <c r="BD153" s="256"/>
      <c r="BE153" s="256"/>
      <c r="BF153" s="256"/>
      <c r="BG153" s="256"/>
      <c r="BH153" s="256"/>
      <c r="BI153" s="256"/>
      <c r="BJ153" s="254"/>
      <c r="BK153" s="255"/>
      <c r="BL153" s="154"/>
      <c r="BM153" s="154"/>
      <c r="BN153" s="154"/>
      <c r="BO153" s="154"/>
      <c r="BP153" s="154"/>
      <c r="BQ153" s="154"/>
      <c r="BR153" s="28"/>
      <c r="BS153" s="28"/>
      <c r="BT153" s="28"/>
    </row>
    <row r="154" spans="1:72" s="79" customFormat="1" ht="22.5" customHeight="1" x14ac:dyDescent="0.15">
      <c r="A154" s="147"/>
      <c r="B154" s="1661"/>
      <c r="C154" s="143"/>
      <c r="D154" s="145"/>
      <c r="E154" s="146"/>
      <c r="F154" s="145"/>
      <c r="G154" s="145"/>
      <c r="H154" s="1662"/>
      <c r="I154" s="145"/>
      <c r="J154" s="255"/>
      <c r="K154" s="254"/>
      <c r="L154" s="254"/>
      <c r="M154" s="254"/>
      <c r="N154" s="254"/>
      <c r="O154" s="254"/>
      <c r="P154" s="254"/>
      <c r="Q154" s="254"/>
      <c r="R154" s="243"/>
      <c r="S154" s="254"/>
      <c r="T154" s="254"/>
      <c r="U154" s="254"/>
      <c r="V154" s="254"/>
      <c r="W154" s="244"/>
      <c r="X154" s="254"/>
      <c r="Y154" s="254"/>
      <c r="Z154" s="255"/>
      <c r="AA154" s="254"/>
      <c r="AB154" s="254"/>
      <c r="AC154" s="254"/>
      <c r="AD154" s="254"/>
      <c r="AE154" s="254"/>
      <c r="AF154" s="254"/>
      <c r="AG154" s="254"/>
      <c r="AH154" s="254"/>
      <c r="AI154" s="254"/>
      <c r="AJ154" s="254"/>
      <c r="AK154" s="255"/>
      <c r="AL154" s="254"/>
      <c r="AM154" s="254"/>
      <c r="AN154" s="254"/>
      <c r="AO154" s="254"/>
      <c r="AP154" s="254"/>
      <c r="AQ154" s="254"/>
      <c r="AR154" s="254"/>
      <c r="AS154" s="255"/>
      <c r="AT154" s="254"/>
      <c r="AU154" s="254"/>
      <c r="AV154" s="254"/>
      <c r="AW154" s="254"/>
      <c r="AX154" s="254"/>
      <c r="AY154" s="254"/>
      <c r="AZ154" s="254"/>
      <c r="BA154" s="254"/>
      <c r="BB154" s="257"/>
      <c r="BC154" s="254"/>
      <c r="BD154" s="254"/>
      <c r="BE154" s="254"/>
      <c r="BF154" s="254"/>
      <c r="BG154" s="254"/>
      <c r="BH154" s="254"/>
      <c r="BI154" s="254"/>
      <c r="BJ154" s="254"/>
      <c r="BK154" s="255"/>
      <c r="BL154" s="208"/>
      <c r="BM154" s="208"/>
      <c r="BN154" s="208"/>
      <c r="BO154" s="208"/>
      <c r="BP154" s="208"/>
      <c r="BQ154" s="208"/>
      <c r="BR154" s="28"/>
      <c r="BS154" s="28"/>
      <c r="BT154" s="28"/>
    </row>
    <row r="155" spans="1:72" s="79" customFormat="1" ht="22.5" customHeight="1" x14ac:dyDescent="0.15">
      <c r="A155" s="147"/>
      <c r="B155" s="1661"/>
      <c r="C155" s="143"/>
      <c r="D155" s="145"/>
      <c r="E155" s="146"/>
      <c r="F155" s="145"/>
      <c r="G155" s="145"/>
      <c r="H155" s="1662"/>
      <c r="I155" s="145"/>
      <c r="J155" s="255"/>
      <c r="K155" s="254"/>
      <c r="L155" s="254"/>
      <c r="M155" s="254"/>
      <c r="N155" s="254"/>
      <c r="O155" s="254"/>
      <c r="P155" s="254"/>
      <c r="Q155" s="254"/>
      <c r="R155" s="243"/>
      <c r="S155" s="254"/>
      <c r="T155" s="254"/>
      <c r="U155" s="254"/>
      <c r="V155" s="254"/>
      <c r="W155" s="244"/>
      <c r="X155" s="254"/>
      <c r="Y155" s="254"/>
      <c r="Z155" s="255"/>
      <c r="AA155" s="254"/>
      <c r="AB155" s="254"/>
      <c r="AC155" s="254"/>
      <c r="AD155" s="254"/>
      <c r="AE155" s="254"/>
      <c r="AF155" s="254"/>
      <c r="AG155" s="254"/>
      <c r="AH155" s="254"/>
      <c r="AI155" s="254"/>
      <c r="AJ155" s="254"/>
      <c r="AK155" s="255"/>
      <c r="AL155" s="254"/>
      <c r="AM155" s="254"/>
      <c r="AN155" s="254"/>
      <c r="AO155" s="254"/>
      <c r="AP155" s="254"/>
      <c r="AQ155" s="254"/>
      <c r="AR155" s="254"/>
      <c r="AS155" s="255"/>
      <c r="AT155" s="256"/>
      <c r="AU155" s="256"/>
      <c r="AV155" s="256"/>
      <c r="AW155" s="256"/>
      <c r="AX155" s="256"/>
      <c r="AY155" s="256"/>
      <c r="AZ155" s="256"/>
      <c r="BA155" s="256"/>
      <c r="BB155" s="255"/>
      <c r="BC155" s="256"/>
      <c r="BD155" s="256"/>
      <c r="BE155" s="256"/>
      <c r="BF155" s="256"/>
      <c r="BG155" s="256"/>
      <c r="BH155" s="256"/>
      <c r="BI155" s="256"/>
      <c r="BJ155" s="254"/>
      <c r="BK155" s="255"/>
      <c r="BL155" s="208"/>
      <c r="BM155" s="208"/>
      <c r="BN155" s="208"/>
      <c r="BO155" s="208"/>
      <c r="BP155" s="208"/>
      <c r="BQ155" s="208"/>
      <c r="BR155" s="28"/>
      <c r="BS155" s="28"/>
      <c r="BT155" s="28"/>
    </row>
    <row r="156" spans="1:72" s="79" customFormat="1" ht="22.5" customHeight="1" x14ac:dyDescent="0.15">
      <c r="A156" s="147"/>
      <c r="B156" s="1661"/>
      <c r="C156" s="143"/>
      <c r="D156" s="145"/>
      <c r="E156" s="146"/>
      <c r="F156" s="145"/>
      <c r="G156" s="145"/>
      <c r="H156" s="1662"/>
      <c r="I156" s="145"/>
      <c r="J156" s="255"/>
      <c r="K156" s="254"/>
      <c r="L156" s="254"/>
      <c r="M156" s="254"/>
      <c r="N156" s="254"/>
      <c r="O156" s="254"/>
      <c r="P156" s="254"/>
      <c r="Q156" s="254"/>
      <c r="R156" s="243"/>
      <c r="S156" s="254"/>
      <c r="T156" s="254"/>
      <c r="U156" s="254"/>
      <c r="V156" s="254"/>
      <c r="W156" s="244"/>
      <c r="X156" s="254"/>
      <c r="Y156" s="254"/>
      <c r="Z156" s="255"/>
      <c r="AA156" s="254"/>
      <c r="AB156" s="254"/>
      <c r="AC156" s="254"/>
      <c r="AD156" s="254"/>
      <c r="AE156" s="254"/>
      <c r="AF156" s="254"/>
      <c r="AG156" s="254"/>
      <c r="AH156" s="254"/>
      <c r="AI156" s="254"/>
      <c r="AJ156" s="254"/>
      <c r="AK156" s="255"/>
      <c r="AL156" s="254"/>
      <c r="AM156" s="254"/>
      <c r="AN156" s="254"/>
      <c r="AO156" s="254"/>
      <c r="AP156" s="254"/>
      <c r="AQ156" s="254"/>
      <c r="AR156" s="254"/>
      <c r="AS156" s="255"/>
      <c r="AT156" s="254"/>
      <c r="AU156" s="254"/>
      <c r="AV156" s="254"/>
      <c r="AW156" s="254"/>
      <c r="AX156" s="254"/>
      <c r="AY156" s="254"/>
      <c r="AZ156" s="254"/>
      <c r="BA156" s="254"/>
      <c r="BB156" s="257"/>
      <c r="BC156" s="254"/>
      <c r="BD156" s="254"/>
      <c r="BE156" s="254"/>
      <c r="BF156" s="254"/>
      <c r="BG156" s="254"/>
      <c r="BH156" s="254"/>
      <c r="BI156" s="254"/>
      <c r="BJ156" s="256"/>
      <c r="BK156" s="255"/>
      <c r="BL156" s="208"/>
      <c r="BM156" s="208"/>
      <c r="BN156" s="208"/>
      <c r="BO156" s="208"/>
      <c r="BP156" s="208"/>
      <c r="BQ156" s="208"/>
      <c r="BR156" s="28"/>
      <c r="BS156" s="28"/>
      <c r="BT156" s="28"/>
    </row>
    <row r="157" spans="1:72" s="79" customFormat="1" ht="22.5" customHeight="1" x14ac:dyDescent="0.15">
      <c r="A157" s="147"/>
      <c r="B157" s="34"/>
      <c r="H157" s="34"/>
      <c r="J157" s="255"/>
      <c r="K157" s="254"/>
      <c r="L157" s="254"/>
      <c r="M157" s="254"/>
      <c r="N157" s="254"/>
      <c r="O157" s="254"/>
      <c r="P157" s="254"/>
      <c r="Q157" s="254"/>
      <c r="R157" s="243"/>
      <c r="S157" s="254"/>
      <c r="T157" s="254"/>
      <c r="U157" s="254"/>
      <c r="V157" s="254"/>
      <c r="W157" s="244"/>
      <c r="X157" s="254"/>
      <c r="Y157" s="254"/>
      <c r="Z157" s="255"/>
      <c r="AA157" s="254"/>
      <c r="AB157" s="254"/>
      <c r="AC157" s="254"/>
      <c r="AD157" s="254"/>
      <c r="AE157" s="254"/>
      <c r="AF157" s="254"/>
      <c r="AG157" s="254"/>
      <c r="AH157" s="254"/>
      <c r="AI157" s="254"/>
      <c r="AJ157" s="254"/>
      <c r="AK157" s="255"/>
      <c r="AL157" s="254"/>
      <c r="AM157" s="254"/>
      <c r="AN157" s="254"/>
      <c r="AO157" s="254"/>
      <c r="AP157" s="254"/>
      <c r="AQ157" s="254"/>
      <c r="AR157" s="254"/>
      <c r="AS157" s="255"/>
      <c r="AT157" s="256"/>
      <c r="AU157" s="256"/>
      <c r="AV157" s="256"/>
      <c r="AW157" s="256"/>
      <c r="AX157" s="256"/>
      <c r="AY157" s="256"/>
      <c r="AZ157" s="256"/>
      <c r="BA157" s="254"/>
      <c r="BB157" s="255"/>
      <c r="BC157" s="254"/>
      <c r="BD157" s="254"/>
      <c r="BE157" s="254"/>
      <c r="BF157" s="254"/>
      <c r="BG157" s="254"/>
      <c r="BH157" s="254"/>
      <c r="BI157" s="254"/>
      <c r="BJ157" s="254"/>
      <c r="BK157" s="257"/>
      <c r="BL157" s="208"/>
      <c r="BM157" s="208"/>
      <c r="BN157" s="208"/>
      <c r="BO157" s="208"/>
      <c r="BP157" s="208"/>
      <c r="BQ157" s="208"/>
      <c r="BR157" s="28"/>
      <c r="BS157" s="28"/>
      <c r="BT157" s="28"/>
    </row>
    <row r="158" spans="1:72" s="79" customFormat="1" ht="22.5" customHeight="1" x14ac:dyDescent="0.15">
      <c r="B158" s="34"/>
      <c r="H158" s="34"/>
      <c r="J158" s="255"/>
      <c r="K158" s="254"/>
      <c r="L158" s="254"/>
      <c r="M158" s="254"/>
      <c r="N158" s="254"/>
      <c r="O158" s="254"/>
      <c r="P158" s="254"/>
      <c r="Q158" s="254"/>
      <c r="R158" s="243"/>
      <c r="S158" s="254"/>
      <c r="T158" s="254"/>
      <c r="U158" s="254"/>
      <c r="V158" s="254"/>
      <c r="W158" s="244"/>
      <c r="X158" s="254"/>
      <c r="Y158" s="254"/>
      <c r="Z158" s="255"/>
      <c r="AA158" s="254"/>
      <c r="AB158" s="254"/>
      <c r="AC158" s="254"/>
      <c r="AD158" s="254"/>
      <c r="AE158" s="254"/>
      <c r="AF158" s="254"/>
      <c r="AG158" s="254"/>
      <c r="AH158" s="254"/>
      <c r="AI158" s="254"/>
      <c r="AJ158" s="254"/>
      <c r="AK158" s="255"/>
      <c r="AL158" s="254"/>
      <c r="AM158" s="254"/>
      <c r="AN158" s="254"/>
      <c r="AO158" s="254"/>
      <c r="AP158" s="254"/>
      <c r="AQ158" s="254"/>
      <c r="AR158" s="254"/>
      <c r="AS158" s="255"/>
      <c r="AT158" s="254"/>
      <c r="AU158" s="254"/>
      <c r="AV158" s="254"/>
      <c r="AW158" s="254"/>
      <c r="AX158" s="254"/>
      <c r="AY158" s="254"/>
      <c r="AZ158" s="254"/>
      <c r="BA158" s="254"/>
      <c r="BB158" s="255"/>
      <c r="BC158" s="254"/>
      <c r="BD158" s="254"/>
      <c r="BE158" s="254"/>
      <c r="BF158" s="254"/>
      <c r="BG158" s="254"/>
      <c r="BH158" s="254"/>
      <c r="BI158" s="254"/>
      <c r="BJ158" s="256"/>
      <c r="BK158" s="255"/>
      <c r="BL158" s="208"/>
      <c r="BM158" s="208"/>
      <c r="BN158" s="208"/>
      <c r="BO158" s="208"/>
      <c r="BP158" s="208"/>
      <c r="BQ158" s="208"/>
      <c r="BR158" s="28"/>
      <c r="BS158" s="28"/>
      <c r="BT158" s="28"/>
    </row>
    <row r="159" spans="1:72" s="79" customFormat="1" ht="22.5" customHeight="1" x14ac:dyDescent="0.15">
      <c r="A159" s="147"/>
      <c r="B159" s="34"/>
      <c r="H159" s="34"/>
      <c r="J159" s="255"/>
      <c r="K159" s="254"/>
      <c r="L159" s="254"/>
      <c r="M159" s="254"/>
      <c r="N159" s="254"/>
      <c r="O159" s="254"/>
      <c r="P159" s="254"/>
      <c r="Q159" s="254"/>
      <c r="R159" s="243"/>
      <c r="S159" s="254"/>
      <c r="T159" s="254"/>
      <c r="U159" s="254"/>
      <c r="V159" s="254"/>
      <c r="W159" s="244"/>
      <c r="X159" s="254"/>
      <c r="Y159" s="254"/>
      <c r="Z159" s="255"/>
      <c r="AA159" s="254"/>
      <c r="AB159" s="254"/>
      <c r="AC159" s="254"/>
      <c r="AD159" s="254"/>
      <c r="AE159" s="254"/>
      <c r="AF159" s="254"/>
      <c r="AG159" s="254"/>
      <c r="AH159" s="254"/>
      <c r="AI159" s="254"/>
      <c r="AJ159" s="254"/>
      <c r="AK159" s="255"/>
      <c r="AL159" s="254"/>
      <c r="AM159" s="254"/>
      <c r="AN159" s="254"/>
      <c r="AO159" s="254"/>
      <c r="AP159" s="254"/>
      <c r="AQ159" s="254"/>
      <c r="AR159" s="254"/>
      <c r="AS159" s="255"/>
      <c r="AT159" s="254"/>
      <c r="AU159" s="254"/>
      <c r="AV159" s="254"/>
      <c r="AW159" s="254"/>
      <c r="AX159" s="254"/>
      <c r="AY159" s="254"/>
      <c r="AZ159" s="254"/>
      <c r="BA159" s="254"/>
      <c r="BB159" s="255"/>
      <c r="BC159" s="254"/>
      <c r="BD159" s="254"/>
      <c r="BE159" s="254"/>
      <c r="BF159" s="254"/>
      <c r="BG159" s="254"/>
      <c r="BH159" s="254"/>
      <c r="BI159" s="254"/>
      <c r="BJ159" s="254"/>
      <c r="BK159" s="257"/>
      <c r="BL159" s="208"/>
      <c r="BM159" s="208"/>
      <c r="BN159" s="208"/>
      <c r="BO159" s="208"/>
      <c r="BP159" s="208"/>
      <c r="BQ159" s="208"/>
      <c r="BR159" s="28"/>
      <c r="BS159" s="28"/>
      <c r="BT159" s="28"/>
    </row>
    <row r="160" spans="1:72" s="79" customFormat="1" ht="22.5" customHeight="1" x14ac:dyDescent="0.2">
      <c r="A160" s="147"/>
      <c r="B160" s="34"/>
      <c r="H160" s="34"/>
      <c r="J160" s="255"/>
      <c r="K160" s="254"/>
      <c r="L160" s="254"/>
      <c r="M160" s="254"/>
      <c r="N160" s="254"/>
      <c r="O160" s="254"/>
      <c r="P160" s="254"/>
      <c r="Q160" s="254"/>
      <c r="R160" s="243"/>
      <c r="S160" s="254"/>
      <c r="T160" s="254"/>
      <c r="U160" s="254"/>
      <c r="V160" s="254"/>
      <c r="W160" s="244"/>
      <c r="X160" s="254"/>
      <c r="Y160" s="254"/>
      <c r="Z160" s="255"/>
      <c r="AA160" s="254"/>
      <c r="AB160" s="254"/>
      <c r="AC160" s="254"/>
      <c r="AD160" s="254"/>
      <c r="AE160" s="254"/>
      <c r="AF160" s="254"/>
      <c r="AG160" s="254"/>
      <c r="AH160" s="254"/>
      <c r="AI160" s="254"/>
      <c r="AJ160" s="254"/>
      <c r="AK160" s="255"/>
      <c r="AL160" s="254"/>
      <c r="AM160" s="254"/>
      <c r="AN160" s="254"/>
      <c r="AO160" s="254"/>
      <c r="AP160" s="254"/>
      <c r="AQ160" s="254"/>
      <c r="AR160" s="254"/>
      <c r="AS160" s="255"/>
      <c r="AT160" s="254"/>
      <c r="AU160" s="254"/>
      <c r="AV160" s="254"/>
      <c r="AW160" s="254"/>
      <c r="AX160" s="254"/>
      <c r="AY160" s="254"/>
      <c r="AZ160" s="254"/>
      <c r="BA160" s="154"/>
      <c r="BB160" s="255"/>
      <c r="BC160" s="154"/>
      <c r="BD160" s="154"/>
      <c r="BE160" s="154"/>
      <c r="BF160" s="154"/>
      <c r="BG160" s="154"/>
      <c r="BH160" s="154"/>
      <c r="BI160" s="154"/>
      <c r="BJ160" s="254"/>
      <c r="BK160" s="255"/>
      <c r="BL160" s="208"/>
      <c r="BM160" s="208"/>
      <c r="BN160" s="208"/>
      <c r="BO160" s="208"/>
      <c r="BP160" s="208"/>
      <c r="BQ160" s="208"/>
      <c r="BR160" s="28"/>
      <c r="BS160" s="28"/>
      <c r="BT160" s="28"/>
    </row>
    <row r="161" spans="1:72" s="79" customFormat="1" ht="22.5" customHeight="1" x14ac:dyDescent="0.2">
      <c r="A161" s="148"/>
      <c r="B161" s="34"/>
      <c r="H161" s="34"/>
      <c r="J161" s="255"/>
      <c r="K161" s="254"/>
      <c r="L161" s="254"/>
      <c r="M161" s="254"/>
      <c r="N161" s="254"/>
      <c r="O161" s="254"/>
      <c r="P161" s="254"/>
      <c r="Q161" s="254"/>
      <c r="R161" s="243"/>
      <c r="S161" s="254"/>
      <c r="T161" s="254"/>
      <c r="U161" s="254"/>
      <c r="V161" s="254"/>
      <c r="W161" s="244"/>
      <c r="X161" s="254"/>
      <c r="Y161" s="254"/>
      <c r="Z161" s="255"/>
      <c r="AA161" s="254"/>
      <c r="AB161" s="254"/>
      <c r="AC161" s="254"/>
      <c r="AD161" s="254"/>
      <c r="AE161" s="254"/>
      <c r="AF161" s="254"/>
      <c r="AG161" s="254"/>
      <c r="AH161" s="254"/>
      <c r="AI161" s="254"/>
      <c r="AJ161" s="254"/>
      <c r="AK161" s="255"/>
      <c r="AL161" s="254"/>
      <c r="AM161" s="254"/>
      <c r="AN161" s="254"/>
      <c r="AO161" s="254"/>
      <c r="AP161" s="254"/>
      <c r="AQ161" s="254"/>
      <c r="AR161" s="254"/>
      <c r="AS161" s="255"/>
      <c r="AT161" s="254"/>
      <c r="AU161" s="254"/>
      <c r="AV161" s="254"/>
      <c r="AW161" s="254"/>
      <c r="AX161" s="254"/>
      <c r="AY161" s="254"/>
      <c r="AZ161" s="254"/>
      <c r="BA161" s="154"/>
      <c r="BB161" s="245"/>
      <c r="BC161" s="154"/>
      <c r="BD161" s="154"/>
      <c r="BE161" s="154"/>
      <c r="BF161" s="154"/>
      <c r="BG161" s="154"/>
      <c r="BH161" s="154"/>
      <c r="BI161" s="154"/>
      <c r="BJ161" s="254"/>
      <c r="BK161" s="255"/>
      <c r="BL161" s="208"/>
      <c r="BM161" s="208"/>
      <c r="BN161" s="208"/>
      <c r="BO161" s="208"/>
      <c r="BP161" s="208"/>
      <c r="BQ161" s="208"/>
      <c r="BR161" s="13"/>
      <c r="BS161" s="13"/>
      <c r="BT161" s="13"/>
    </row>
    <row r="162" spans="1:72" s="79" customFormat="1" ht="22.5" customHeight="1" x14ac:dyDescent="0.2">
      <c r="A162" s="148"/>
      <c r="B162" s="34"/>
      <c r="H162" s="34"/>
      <c r="J162" s="255"/>
      <c r="K162" s="254"/>
      <c r="L162" s="254"/>
      <c r="M162" s="254"/>
      <c r="N162" s="254"/>
      <c r="O162" s="254"/>
      <c r="P162" s="254"/>
      <c r="Q162" s="254"/>
      <c r="R162" s="243"/>
      <c r="S162" s="254"/>
      <c r="T162" s="254"/>
      <c r="U162" s="254"/>
      <c r="V162" s="254"/>
      <c r="W162" s="244"/>
      <c r="X162" s="254"/>
      <c r="Y162" s="254"/>
      <c r="Z162" s="255"/>
      <c r="AA162" s="254"/>
      <c r="AB162" s="254"/>
      <c r="AC162" s="254"/>
      <c r="AD162" s="254"/>
      <c r="AE162" s="254"/>
      <c r="AF162" s="254"/>
      <c r="AG162" s="254"/>
      <c r="AH162" s="254"/>
      <c r="AI162" s="254"/>
      <c r="AJ162" s="254"/>
      <c r="AK162" s="255"/>
      <c r="AL162" s="254"/>
      <c r="AM162" s="254"/>
      <c r="AN162" s="254"/>
      <c r="AO162" s="254"/>
      <c r="AP162" s="254"/>
      <c r="AQ162" s="254"/>
      <c r="AR162" s="254"/>
      <c r="AS162" s="255"/>
      <c r="AT162" s="154"/>
      <c r="AU162" s="154"/>
      <c r="AV162" s="154"/>
      <c r="AW162" s="154"/>
      <c r="AX162" s="154"/>
      <c r="AY162" s="154"/>
      <c r="AZ162" s="154"/>
      <c r="BA162" s="154"/>
      <c r="BB162" s="245"/>
      <c r="BC162" s="154"/>
      <c r="BD162" s="154"/>
      <c r="BE162" s="154"/>
      <c r="BF162" s="154"/>
      <c r="BG162" s="154"/>
      <c r="BH162" s="154"/>
      <c r="BI162" s="154"/>
      <c r="BJ162" s="254"/>
      <c r="BK162" s="255"/>
      <c r="BL162" s="208"/>
      <c r="BM162" s="208"/>
      <c r="BN162" s="208"/>
      <c r="BO162" s="208"/>
      <c r="BP162" s="208"/>
      <c r="BQ162" s="208"/>
      <c r="BR162" s="13"/>
      <c r="BS162" s="13"/>
      <c r="BT162" s="13"/>
    </row>
    <row r="163" spans="1:72" s="148" customFormat="1" ht="22.5" customHeight="1" x14ac:dyDescent="0.2">
      <c r="B163" s="38"/>
      <c r="H163" s="38"/>
      <c r="J163" s="257"/>
      <c r="K163" s="256"/>
      <c r="L163" s="256"/>
      <c r="M163" s="256"/>
      <c r="N163" s="256"/>
      <c r="O163" s="256"/>
      <c r="P163" s="256"/>
      <c r="Q163" s="256"/>
      <c r="R163" s="242"/>
      <c r="S163" s="256"/>
      <c r="T163" s="256"/>
      <c r="U163" s="256"/>
      <c r="V163" s="256"/>
      <c r="W163" s="258"/>
      <c r="X163" s="256"/>
      <c r="Y163" s="256"/>
      <c r="Z163" s="257"/>
      <c r="AA163" s="256"/>
      <c r="AB163" s="256"/>
      <c r="AC163" s="256"/>
      <c r="AD163" s="256"/>
      <c r="AE163" s="256"/>
      <c r="AF163" s="256"/>
      <c r="AG163" s="256"/>
      <c r="AH163" s="256"/>
      <c r="AI163" s="256"/>
      <c r="AJ163" s="256"/>
      <c r="AK163" s="257"/>
      <c r="AL163" s="256"/>
      <c r="AM163" s="256"/>
      <c r="AN163" s="256"/>
      <c r="AO163" s="256"/>
      <c r="AP163" s="256"/>
      <c r="AQ163" s="256"/>
      <c r="AR163" s="256"/>
      <c r="AS163" s="257"/>
      <c r="AT163" s="154"/>
      <c r="AU163" s="154"/>
      <c r="AV163" s="154"/>
      <c r="AW163" s="154"/>
      <c r="AX163" s="154"/>
      <c r="AY163" s="154"/>
      <c r="AZ163" s="154"/>
      <c r="BA163" s="154"/>
      <c r="BB163" s="245"/>
      <c r="BC163" s="154"/>
      <c r="BD163" s="154"/>
      <c r="BE163" s="154"/>
      <c r="BF163" s="154"/>
      <c r="BG163" s="154"/>
      <c r="BH163" s="154"/>
      <c r="BI163" s="154"/>
      <c r="BJ163" s="154"/>
      <c r="BK163" s="255"/>
      <c r="BL163" s="208"/>
      <c r="BM163" s="208"/>
      <c r="BN163" s="208"/>
      <c r="BO163" s="208"/>
      <c r="BP163" s="208"/>
      <c r="BQ163" s="208"/>
      <c r="BR163" s="13"/>
      <c r="BS163" s="13"/>
      <c r="BT163" s="13"/>
    </row>
    <row r="164" spans="1:72" s="79" customFormat="1" ht="22.5" customHeight="1" x14ac:dyDescent="0.2">
      <c r="B164" s="34"/>
      <c r="H164" s="34"/>
      <c r="J164" s="255"/>
      <c r="K164" s="254"/>
      <c r="L164" s="254"/>
      <c r="M164" s="254"/>
      <c r="N164" s="254"/>
      <c r="O164" s="254"/>
      <c r="P164" s="254"/>
      <c r="Q164" s="254"/>
      <c r="R164" s="243"/>
      <c r="S164" s="254"/>
      <c r="T164" s="254"/>
      <c r="U164" s="254"/>
      <c r="V164" s="254"/>
      <c r="W164" s="244"/>
      <c r="X164" s="254"/>
      <c r="Y164" s="254"/>
      <c r="Z164" s="255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5"/>
      <c r="AL164" s="254"/>
      <c r="AM164" s="254"/>
      <c r="AN164" s="254"/>
      <c r="AO164" s="254"/>
      <c r="AP164" s="254"/>
      <c r="AQ164" s="254"/>
      <c r="AR164" s="254"/>
      <c r="AS164" s="255"/>
      <c r="AT164" s="154"/>
      <c r="AU164" s="154"/>
      <c r="AV164" s="154"/>
      <c r="AW164" s="154"/>
      <c r="AX164" s="154"/>
      <c r="AY164" s="154"/>
      <c r="AZ164" s="154"/>
      <c r="BA164" s="208"/>
      <c r="BB164" s="245"/>
      <c r="BC164" s="208"/>
      <c r="BD164" s="208"/>
      <c r="BE164" s="208"/>
      <c r="BF164" s="208"/>
      <c r="BG164" s="208"/>
      <c r="BH164" s="208"/>
      <c r="BI164" s="208"/>
      <c r="BJ164" s="154"/>
      <c r="BK164" s="245"/>
      <c r="BL164" s="208"/>
      <c r="BM164" s="208"/>
      <c r="BN164" s="208"/>
      <c r="BO164" s="208"/>
      <c r="BP164" s="208"/>
      <c r="BQ164" s="208"/>
      <c r="BR164" s="34"/>
      <c r="BS164" s="34"/>
      <c r="BT164" s="34"/>
    </row>
    <row r="165" spans="1:72" s="148" customFormat="1" ht="22.5" customHeight="1" x14ac:dyDescent="0.2">
      <c r="B165" s="38"/>
      <c r="H165" s="38"/>
      <c r="J165" s="257"/>
      <c r="K165" s="256"/>
      <c r="L165" s="256"/>
      <c r="M165" s="256"/>
      <c r="N165" s="256"/>
      <c r="O165" s="256"/>
      <c r="P165" s="256"/>
      <c r="Q165" s="256"/>
      <c r="R165" s="242"/>
      <c r="S165" s="256"/>
      <c r="T165" s="256"/>
      <c r="U165" s="256"/>
      <c r="V165" s="256"/>
      <c r="W165" s="258"/>
      <c r="X165" s="256"/>
      <c r="Y165" s="256"/>
      <c r="Z165" s="257"/>
      <c r="AA165" s="256"/>
      <c r="AB165" s="256"/>
      <c r="AC165" s="256"/>
      <c r="AD165" s="256"/>
      <c r="AE165" s="256"/>
      <c r="AF165" s="256"/>
      <c r="AG165" s="256"/>
      <c r="AH165" s="256"/>
      <c r="AI165" s="256"/>
      <c r="AJ165" s="256"/>
      <c r="AK165" s="257"/>
      <c r="AL165" s="256"/>
      <c r="AM165" s="256"/>
      <c r="AN165" s="256"/>
      <c r="AO165" s="256"/>
      <c r="AP165" s="256"/>
      <c r="AQ165" s="256"/>
      <c r="AR165" s="256"/>
      <c r="AS165" s="257"/>
      <c r="AT165" s="154"/>
      <c r="AU165" s="154"/>
      <c r="AV165" s="154"/>
      <c r="AW165" s="154"/>
      <c r="AX165" s="154"/>
      <c r="AY165" s="154"/>
      <c r="AZ165" s="154"/>
      <c r="BA165" s="208"/>
      <c r="BB165" s="243"/>
      <c r="BC165" s="208"/>
      <c r="BD165" s="208"/>
      <c r="BE165" s="208"/>
      <c r="BF165" s="208"/>
      <c r="BG165" s="208"/>
      <c r="BH165" s="208"/>
      <c r="BI165" s="208"/>
      <c r="BJ165" s="154"/>
      <c r="BK165" s="245"/>
      <c r="BL165" s="264"/>
      <c r="BM165" s="264"/>
      <c r="BN165" s="264"/>
      <c r="BO165" s="264"/>
      <c r="BP165" s="264"/>
      <c r="BQ165" s="264"/>
      <c r="BR165" s="34"/>
      <c r="BS165" s="34"/>
      <c r="BT165" s="34"/>
    </row>
    <row r="166" spans="1:72" s="79" customFormat="1" ht="22.5" customHeight="1" x14ac:dyDescent="0.2">
      <c r="B166" s="34"/>
      <c r="H166" s="34"/>
      <c r="J166" s="255"/>
      <c r="K166" s="254"/>
      <c r="L166" s="254"/>
      <c r="M166" s="254"/>
      <c r="N166" s="254"/>
      <c r="O166" s="254"/>
      <c r="P166" s="254"/>
      <c r="Q166" s="254"/>
      <c r="R166" s="243"/>
      <c r="S166" s="254"/>
      <c r="T166" s="254"/>
      <c r="U166" s="254"/>
      <c r="V166" s="254"/>
      <c r="W166" s="244"/>
      <c r="X166" s="254"/>
      <c r="Y166" s="254"/>
      <c r="Z166" s="255"/>
      <c r="AA166" s="254"/>
      <c r="AB166" s="254"/>
      <c r="AC166" s="254"/>
      <c r="AD166" s="254"/>
      <c r="AE166" s="254"/>
      <c r="AF166" s="254"/>
      <c r="AG166" s="254"/>
      <c r="AH166" s="254"/>
      <c r="AI166" s="254"/>
      <c r="AJ166" s="254"/>
      <c r="AK166" s="255"/>
      <c r="AL166" s="254"/>
      <c r="AM166" s="254"/>
      <c r="AN166" s="254"/>
      <c r="AO166" s="254"/>
      <c r="AP166" s="254"/>
      <c r="AQ166" s="254"/>
      <c r="AR166" s="254"/>
      <c r="AS166" s="255"/>
      <c r="AT166" s="208"/>
      <c r="AU166" s="208"/>
      <c r="AV166" s="208"/>
      <c r="AW166" s="208"/>
      <c r="AX166" s="208"/>
      <c r="AY166" s="208"/>
      <c r="AZ166" s="208"/>
      <c r="BA166" s="208"/>
      <c r="BB166" s="243"/>
      <c r="BC166" s="208"/>
      <c r="BD166" s="208"/>
      <c r="BE166" s="208"/>
      <c r="BF166" s="208"/>
      <c r="BG166" s="208"/>
      <c r="BH166" s="208"/>
      <c r="BI166" s="208"/>
      <c r="BJ166" s="154"/>
      <c r="BK166" s="245"/>
      <c r="BL166" s="264"/>
      <c r="BM166" s="264"/>
      <c r="BN166" s="264"/>
      <c r="BO166" s="264"/>
      <c r="BP166" s="264"/>
      <c r="BQ166" s="264"/>
      <c r="BR166" s="34"/>
      <c r="BS166" s="34"/>
      <c r="BT166" s="34"/>
    </row>
    <row r="167" spans="1:72" s="79" customFormat="1" ht="22.5" customHeight="1" x14ac:dyDescent="0.2">
      <c r="B167" s="34"/>
      <c r="D167" s="33"/>
      <c r="E167" s="33"/>
      <c r="H167" s="34"/>
      <c r="J167" s="255"/>
      <c r="K167" s="254"/>
      <c r="L167" s="254"/>
      <c r="M167" s="254"/>
      <c r="N167" s="254"/>
      <c r="O167" s="254"/>
      <c r="P167" s="254"/>
      <c r="Q167" s="254"/>
      <c r="R167" s="243"/>
      <c r="S167" s="254"/>
      <c r="T167" s="254"/>
      <c r="U167" s="254"/>
      <c r="V167" s="254"/>
      <c r="W167" s="244"/>
      <c r="X167" s="254"/>
      <c r="Y167" s="254"/>
      <c r="Z167" s="255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5"/>
      <c r="AL167" s="254"/>
      <c r="AM167" s="254"/>
      <c r="AN167" s="254"/>
      <c r="AO167" s="254"/>
      <c r="AP167" s="254"/>
      <c r="AQ167" s="254"/>
      <c r="AR167" s="254"/>
      <c r="AS167" s="255"/>
      <c r="AT167" s="208"/>
      <c r="AU167" s="208"/>
      <c r="AV167" s="208"/>
      <c r="AW167" s="208"/>
      <c r="AX167" s="208"/>
      <c r="AY167" s="208"/>
      <c r="AZ167" s="208"/>
      <c r="BA167" s="208"/>
      <c r="BB167" s="243"/>
      <c r="BC167" s="208"/>
      <c r="BD167" s="208"/>
      <c r="BE167" s="208"/>
      <c r="BF167" s="208"/>
      <c r="BG167" s="208"/>
      <c r="BH167" s="208"/>
      <c r="BI167" s="208"/>
      <c r="BJ167" s="208"/>
      <c r="BK167" s="245"/>
      <c r="BL167" s="264"/>
      <c r="BM167" s="264"/>
      <c r="BN167" s="264"/>
      <c r="BO167" s="264"/>
      <c r="BP167" s="264"/>
      <c r="BQ167" s="264"/>
      <c r="BR167" s="34"/>
      <c r="BS167" s="34"/>
      <c r="BT167" s="34"/>
    </row>
    <row r="168" spans="1:72" s="79" customFormat="1" ht="22.5" customHeight="1" x14ac:dyDescent="0.15">
      <c r="A168" s="148"/>
      <c r="B168" s="34"/>
      <c r="H168" s="34"/>
      <c r="J168" s="255"/>
      <c r="K168" s="254"/>
      <c r="L168" s="254"/>
      <c r="M168" s="254"/>
      <c r="N168" s="254"/>
      <c r="O168" s="254"/>
      <c r="P168" s="254"/>
      <c r="Q168" s="254"/>
      <c r="R168" s="243"/>
      <c r="S168" s="254"/>
      <c r="T168" s="254"/>
      <c r="U168" s="254"/>
      <c r="V168" s="254"/>
      <c r="W168" s="244"/>
      <c r="X168" s="254"/>
      <c r="Y168" s="254"/>
      <c r="Z168" s="255"/>
      <c r="AA168" s="254"/>
      <c r="AB168" s="254"/>
      <c r="AC168" s="254"/>
      <c r="AD168" s="254"/>
      <c r="AE168" s="254"/>
      <c r="AF168" s="254"/>
      <c r="AG168" s="254"/>
      <c r="AH168" s="254"/>
      <c r="AI168" s="254"/>
      <c r="AJ168" s="254"/>
      <c r="AK168" s="255"/>
      <c r="AL168" s="254"/>
      <c r="AM168" s="254"/>
      <c r="AN168" s="254"/>
      <c r="AO168" s="254"/>
      <c r="AP168" s="254"/>
      <c r="AQ168" s="254"/>
      <c r="AR168" s="254"/>
      <c r="AS168" s="255"/>
      <c r="AT168" s="208"/>
      <c r="AU168" s="208"/>
      <c r="AV168" s="208"/>
      <c r="AW168" s="208"/>
      <c r="AX168" s="208"/>
      <c r="AY168" s="208"/>
      <c r="AZ168" s="208"/>
      <c r="BA168" s="208"/>
      <c r="BB168" s="243"/>
      <c r="BC168" s="208"/>
      <c r="BD168" s="208"/>
      <c r="BE168" s="208"/>
      <c r="BF168" s="208"/>
      <c r="BG168" s="208"/>
      <c r="BH168" s="208"/>
      <c r="BI168" s="208"/>
      <c r="BJ168" s="208"/>
      <c r="BK168" s="243"/>
      <c r="BL168" s="244"/>
      <c r="BM168" s="244"/>
      <c r="BN168" s="244"/>
      <c r="BO168" s="244"/>
      <c r="BP168" s="244"/>
      <c r="BQ168" s="244"/>
      <c r="BR168" s="34"/>
      <c r="BS168" s="34"/>
      <c r="BT168" s="34"/>
    </row>
    <row r="169" spans="1:72" s="79" customFormat="1" ht="22.5" customHeight="1" x14ac:dyDescent="0.15">
      <c r="B169" s="34"/>
      <c r="H169" s="34"/>
      <c r="J169" s="255"/>
      <c r="K169" s="254"/>
      <c r="L169" s="254"/>
      <c r="M169" s="254"/>
      <c r="N169" s="254"/>
      <c r="O169" s="254"/>
      <c r="P169" s="254"/>
      <c r="Q169" s="254"/>
      <c r="R169" s="243"/>
      <c r="S169" s="254"/>
      <c r="T169" s="254"/>
      <c r="U169" s="254"/>
      <c r="V169" s="254"/>
      <c r="W169" s="244"/>
      <c r="X169" s="254"/>
      <c r="Y169" s="254"/>
      <c r="Z169" s="255"/>
      <c r="AA169" s="254"/>
      <c r="AB169" s="254"/>
      <c r="AC169" s="254"/>
      <c r="AD169" s="254"/>
      <c r="AE169" s="254"/>
      <c r="AF169" s="254"/>
      <c r="AG169" s="254"/>
      <c r="AH169" s="254"/>
      <c r="AI169" s="254"/>
      <c r="AJ169" s="254"/>
      <c r="AK169" s="255"/>
      <c r="AL169" s="254"/>
      <c r="AM169" s="254"/>
      <c r="AN169" s="254"/>
      <c r="AO169" s="254"/>
      <c r="AP169" s="254"/>
      <c r="AQ169" s="254"/>
      <c r="AR169" s="254"/>
      <c r="AS169" s="255"/>
      <c r="AT169" s="208"/>
      <c r="AU169" s="208"/>
      <c r="AV169" s="208"/>
      <c r="AW169" s="208"/>
      <c r="AX169" s="208"/>
      <c r="AY169" s="208"/>
      <c r="AZ169" s="208"/>
      <c r="BA169" s="208"/>
      <c r="BB169" s="243"/>
      <c r="BC169" s="208"/>
      <c r="BD169" s="208"/>
      <c r="BE169" s="208"/>
      <c r="BF169" s="208"/>
      <c r="BG169" s="208"/>
      <c r="BH169" s="208"/>
      <c r="BI169" s="208"/>
      <c r="BJ169" s="208"/>
      <c r="BK169" s="243"/>
      <c r="BL169" s="244"/>
      <c r="BM169" s="244"/>
      <c r="BN169" s="244"/>
      <c r="BO169" s="244"/>
      <c r="BP169" s="244"/>
      <c r="BQ169" s="244"/>
      <c r="BR169" s="34"/>
      <c r="BS169" s="34"/>
      <c r="BT169" s="34"/>
    </row>
    <row r="170" spans="1:72" ht="22.5" customHeight="1" x14ac:dyDescent="0.2">
      <c r="AT170" s="208"/>
      <c r="AU170" s="208"/>
      <c r="AV170" s="208"/>
      <c r="AW170" s="208"/>
      <c r="AX170" s="208"/>
      <c r="AY170" s="208"/>
      <c r="AZ170" s="208"/>
      <c r="BA170" s="208"/>
      <c r="BB170" s="243"/>
      <c r="BC170" s="208"/>
      <c r="BD170" s="208"/>
      <c r="BE170" s="208"/>
      <c r="BF170" s="208"/>
      <c r="BG170" s="208"/>
      <c r="BH170" s="208"/>
      <c r="BI170" s="208"/>
      <c r="BJ170" s="208"/>
      <c r="BK170" s="243"/>
      <c r="BL170" s="244"/>
      <c r="BM170" s="244"/>
      <c r="BN170" s="244"/>
      <c r="BO170" s="244"/>
      <c r="BP170" s="244"/>
      <c r="BQ170" s="244"/>
      <c r="BR170" s="34"/>
      <c r="BS170" s="34"/>
      <c r="BT170" s="34"/>
    </row>
    <row r="171" spans="1:72" ht="22.5" customHeight="1" x14ac:dyDescent="0.2">
      <c r="AT171" s="208"/>
      <c r="AU171" s="208"/>
      <c r="AV171" s="208"/>
      <c r="AW171" s="208"/>
      <c r="AX171" s="208"/>
      <c r="AY171" s="208"/>
      <c r="AZ171" s="208"/>
      <c r="BA171" s="208"/>
      <c r="BB171" s="243"/>
      <c r="BC171" s="208"/>
      <c r="BD171" s="208"/>
      <c r="BE171" s="208"/>
      <c r="BF171" s="208"/>
      <c r="BG171" s="208"/>
      <c r="BH171" s="208"/>
      <c r="BI171" s="208"/>
      <c r="BJ171" s="208"/>
      <c r="BK171" s="243"/>
      <c r="BL171" s="244"/>
      <c r="BM171" s="244"/>
      <c r="BN171" s="244"/>
      <c r="BO171" s="244"/>
      <c r="BP171" s="244"/>
      <c r="BQ171" s="244"/>
      <c r="BR171" s="34"/>
      <c r="BS171" s="34"/>
      <c r="BT171" s="34"/>
    </row>
    <row r="172" spans="1:72" ht="22.5" customHeight="1" x14ac:dyDescent="0.2">
      <c r="AT172" s="208"/>
      <c r="AU172" s="208"/>
      <c r="AV172" s="208"/>
      <c r="AW172" s="208"/>
      <c r="AX172" s="208"/>
      <c r="AY172" s="208"/>
      <c r="AZ172" s="208"/>
      <c r="BA172" s="208"/>
      <c r="BB172" s="243"/>
      <c r="BC172" s="208"/>
      <c r="BD172" s="208"/>
      <c r="BE172" s="208"/>
      <c r="BF172" s="208"/>
      <c r="BG172" s="208"/>
      <c r="BH172" s="208"/>
      <c r="BI172" s="208"/>
      <c r="BJ172" s="208"/>
      <c r="BK172" s="243"/>
      <c r="BL172" s="244"/>
      <c r="BM172" s="244"/>
      <c r="BN172" s="244"/>
      <c r="BO172" s="244"/>
      <c r="BP172" s="244"/>
      <c r="BQ172" s="244"/>
      <c r="BR172" s="34"/>
      <c r="BS172" s="34"/>
      <c r="BT172" s="34"/>
    </row>
    <row r="173" spans="1:72" ht="22.5" customHeight="1" x14ac:dyDescent="0.2">
      <c r="Q173" s="228"/>
      <c r="R173" s="259"/>
      <c r="S173" s="990"/>
      <c r="AT173" s="208"/>
      <c r="AU173" s="208"/>
      <c r="AV173" s="208"/>
      <c r="AW173" s="208"/>
      <c r="AX173" s="208"/>
      <c r="AY173" s="208"/>
      <c r="AZ173" s="208"/>
      <c r="BA173" s="208"/>
      <c r="BB173" s="243"/>
      <c r="BC173" s="208"/>
      <c r="BD173" s="208"/>
      <c r="BE173" s="208"/>
      <c r="BF173" s="208"/>
      <c r="BG173" s="208"/>
      <c r="BH173" s="208"/>
      <c r="BI173" s="208"/>
      <c r="BJ173" s="208"/>
      <c r="BK173" s="243"/>
      <c r="BL173" s="244"/>
      <c r="BM173" s="244"/>
      <c r="BN173" s="244"/>
      <c r="BO173" s="244"/>
      <c r="BP173" s="244"/>
      <c r="BQ173" s="244"/>
      <c r="BR173" s="34"/>
      <c r="BS173" s="34"/>
      <c r="BT173" s="34"/>
    </row>
    <row r="174" spans="1:72" s="28" customFormat="1" ht="22.5" customHeight="1" x14ac:dyDescent="0.15">
      <c r="B174" s="34"/>
      <c r="H174" s="34"/>
      <c r="J174" s="243"/>
      <c r="K174" s="208"/>
      <c r="L174" s="208"/>
      <c r="M174" s="208"/>
      <c r="N174" s="208"/>
      <c r="O174" s="208"/>
      <c r="P174" s="208"/>
      <c r="Q174" s="240"/>
      <c r="R174" s="243"/>
      <c r="S174" s="208"/>
      <c r="T174" s="208"/>
      <c r="U174" s="208"/>
      <c r="V174" s="208"/>
      <c r="W174" s="244"/>
      <c r="X174" s="208"/>
      <c r="Y174" s="208"/>
      <c r="Z174" s="243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243"/>
      <c r="AL174" s="208"/>
      <c r="AM174" s="208"/>
      <c r="AN174" s="208"/>
      <c r="AO174" s="208"/>
      <c r="AP174" s="208"/>
      <c r="AQ174" s="208"/>
      <c r="AR174" s="208"/>
      <c r="AS174" s="243"/>
      <c r="AT174" s="208"/>
      <c r="AU174" s="208"/>
      <c r="AV174" s="208"/>
      <c r="AW174" s="208"/>
      <c r="AX174" s="208"/>
      <c r="AY174" s="208"/>
      <c r="AZ174" s="208"/>
      <c r="BA174" s="208"/>
      <c r="BB174" s="243"/>
      <c r="BC174" s="208"/>
      <c r="BD174" s="208"/>
      <c r="BE174" s="208"/>
      <c r="BF174" s="208"/>
      <c r="BG174" s="208"/>
      <c r="BH174" s="208"/>
      <c r="BI174" s="208"/>
      <c r="BJ174" s="208"/>
      <c r="BK174" s="243"/>
      <c r="BL174" s="244"/>
      <c r="BM174" s="244"/>
      <c r="BN174" s="244"/>
      <c r="BO174" s="244"/>
      <c r="BP174" s="244"/>
      <c r="BQ174" s="244"/>
      <c r="BR174" s="34"/>
      <c r="BS174" s="34"/>
      <c r="BT174" s="34"/>
    </row>
    <row r="175" spans="1:72" s="28" customFormat="1" ht="22.5" customHeight="1" x14ac:dyDescent="0.15">
      <c r="B175" s="34"/>
      <c r="H175" s="34"/>
      <c r="J175" s="243"/>
      <c r="K175" s="208"/>
      <c r="L175" s="208"/>
      <c r="M175" s="208"/>
      <c r="N175" s="208"/>
      <c r="O175" s="208"/>
      <c r="P175" s="208"/>
      <c r="Q175" s="240"/>
      <c r="R175" s="259"/>
      <c r="S175" s="233"/>
      <c r="T175" s="1666"/>
      <c r="U175" s="260"/>
      <c r="V175" s="1666"/>
      <c r="W175" s="229"/>
      <c r="X175" s="1666"/>
      <c r="Y175" s="162"/>
      <c r="Z175" s="242"/>
      <c r="AA175" s="162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243"/>
      <c r="AL175" s="208"/>
      <c r="AM175" s="208"/>
      <c r="AN175" s="208"/>
      <c r="AO175" s="208"/>
      <c r="AP175" s="208"/>
      <c r="AQ175" s="208"/>
      <c r="AR175" s="208"/>
      <c r="AS175" s="243"/>
      <c r="AT175" s="208"/>
      <c r="AU175" s="208"/>
      <c r="AV175" s="208"/>
      <c r="AW175" s="208"/>
      <c r="AX175" s="208"/>
      <c r="AY175" s="208"/>
      <c r="AZ175" s="208"/>
      <c r="BA175" s="264"/>
      <c r="BB175" s="243"/>
      <c r="BC175" s="264"/>
      <c r="BD175" s="264"/>
      <c r="BE175" s="264"/>
      <c r="BF175" s="264"/>
      <c r="BG175" s="264"/>
      <c r="BH175" s="264"/>
      <c r="BI175" s="264"/>
      <c r="BJ175" s="208"/>
      <c r="BK175" s="243"/>
      <c r="BL175" s="244"/>
      <c r="BM175" s="244"/>
      <c r="BN175" s="244"/>
      <c r="BO175" s="244"/>
      <c r="BP175" s="244"/>
      <c r="BQ175" s="244"/>
      <c r="BR175" s="34"/>
      <c r="BS175" s="34"/>
      <c r="BT175" s="34"/>
    </row>
    <row r="176" spans="1:72" s="28" customFormat="1" ht="22.5" customHeight="1" x14ac:dyDescent="0.15">
      <c r="B176" s="34"/>
      <c r="H176" s="34"/>
      <c r="J176" s="243"/>
      <c r="K176" s="208"/>
      <c r="L176" s="208"/>
      <c r="M176" s="208"/>
      <c r="N176" s="208"/>
      <c r="O176" s="208"/>
      <c r="P176" s="208"/>
      <c r="Q176" s="240"/>
      <c r="R176" s="261"/>
      <c r="S176" s="233"/>
      <c r="T176" s="162"/>
      <c r="U176" s="162"/>
      <c r="V176" s="162"/>
      <c r="W176" s="258"/>
      <c r="X176" s="162"/>
      <c r="Y176" s="162"/>
      <c r="Z176" s="242"/>
      <c r="AA176" s="162"/>
      <c r="AB176" s="208"/>
      <c r="AC176" s="208"/>
      <c r="AD176" s="208"/>
      <c r="AE176" s="208"/>
      <c r="AF176" s="208"/>
      <c r="AG176" s="208"/>
      <c r="AH176" s="208"/>
      <c r="AI176" s="208"/>
      <c r="AJ176" s="208"/>
      <c r="AK176" s="243"/>
      <c r="AL176" s="208"/>
      <c r="AM176" s="208"/>
      <c r="AN176" s="208"/>
      <c r="AO176" s="208"/>
      <c r="AP176" s="208"/>
      <c r="AQ176" s="208"/>
      <c r="AR176" s="208"/>
      <c r="AS176" s="243"/>
      <c r="AT176" s="208"/>
      <c r="AU176" s="208"/>
      <c r="AV176" s="208"/>
      <c r="AW176" s="208"/>
      <c r="AX176" s="208"/>
      <c r="AY176" s="208"/>
      <c r="AZ176" s="208"/>
      <c r="BA176" s="264"/>
      <c r="BB176" s="265"/>
      <c r="BC176" s="264"/>
      <c r="BD176" s="264"/>
      <c r="BE176" s="264"/>
      <c r="BF176" s="264"/>
      <c r="BG176" s="264"/>
      <c r="BH176" s="264"/>
      <c r="BI176" s="264"/>
      <c r="BJ176" s="208"/>
      <c r="BK176" s="243"/>
      <c r="BL176" s="244"/>
      <c r="BM176" s="244"/>
      <c r="BN176" s="244"/>
      <c r="BO176" s="244"/>
      <c r="BP176" s="244"/>
      <c r="BQ176" s="244"/>
      <c r="BR176" s="34"/>
      <c r="BS176" s="34"/>
      <c r="BT176" s="34"/>
    </row>
    <row r="177" spans="2:72" s="28" customFormat="1" ht="22.5" customHeight="1" x14ac:dyDescent="0.2">
      <c r="B177" s="34"/>
      <c r="H177" s="34"/>
      <c r="J177" s="243"/>
      <c r="K177" s="208"/>
      <c r="L177" s="208"/>
      <c r="M177" s="208"/>
      <c r="N177" s="208"/>
      <c r="O177" s="208"/>
      <c r="P177" s="208"/>
      <c r="Q177" s="240"/>
      <c r="R177" s="259"/>
      <c r="S177" s="233"/>
      <c r="T177" s="1666"/>
      <c r="U177" s="260"/>
      <c r="V177" s="1666"/>
      <c r="W177" s="229"/>
      <c r="X177" s="1666"/>
      <c r="Y177" s="162"/>
      <c r="Z177" s="242"/>
      <c r="AA177" s="162"/>
      <c r="AB177" s="208"/>
      <c r="AC177" s="208"/>
      <c r="AD177" s="208"/>
      <c r="AE177" s="208"/>
      <c r="AF177" s="208"/>
      <c r="AG177" s="208"/>
      <c r="AH177" s="208"/>
      <c r="AI177" s="208"/>
      <c r="AJ177" s="208"/>
      <c r="AK177" s="243"/>
      <c r="AL177" s="208"/>
      <c r="AM177" s="208"/>
      <c r="AN177" s="208"/>
      <c r="AO177" s="208"/>
      <c r="AP177" s="208"/>
      <c r="AQ177" s="208"/>
      <c r="AR177" s="208"/>
      <c r="AS177" s="243"/>
      <c r="AT177" s="264"/>
      <c r="AU177" s="264"/>
      <c r="AV177" s="264"/>
      <c r="AW177" s="264"/>
      <c r="AX177" s="264"/>
      <c r="AY177" s="264"/>
      <c r="AZ177" s="264"/>
      <c r="BA177" s="264"/>
      <c r="BB177" s="265"/>
      <c r="BC177" s="264"/>
      <c r="BD177" s="264"/>
      <c r="BE177" s="264"/>
      <c r="BF177" s="264"/>
      <c r="BG177" s="264"/>
      <c r="BH177" s="264"/>
      <c r="BI177" s="264"/>
      <c r="BJ177" s="208"/>
      <c r="BK177" s="243"/>
      <c r="BL177" s="244"/>
      <c r="BM177" s="244"/>
      <c r="BN177" s="244"/>
      <c r="BO177" s="244"/>
      <c r="BP177" s="244"/>
      <c r="BQ177" s="244"/>
      <c r="BR177" s="8"/>
      <c r="BS177" s="8"/>
      <c r="BT177" s="8"/>
    </row>
    <row r="178" spans="2:72" s="28" customFormat="1" ht="22.5" customHeight="1" x14ac:dyDescent="0.2">
      <c r="B178" s="34"/>
      <c r="H178" s="34"/>
      <c r="J178" s="243"/>
      <c r="K178" s="208"/>
      <c r="L178" s="208"/>
      <c r="M178" s="208"/>
      <c r="N178" s="208"/>
      <c r="O178" s="208"/>
      <c r="P178" s="208"/>
      <c r="Q178" s="162"/>
      <c r="R178" s="242"/>
      <c r="S178" s="162"/>
      <c r="T178" s="162"/>
      <c r="U178" s="162"/>
      <c r="V178" s="162"/>
      <c r="W178" s="258"/>
      <c r="X178" s="162"/>
      <c r="Y178" s="162"/>
      <c r="Z178" s="242"/>
      <c r="AA178" s="162"/>
      <c r="AB178" s="208"/>
      <c r="AC178" s="208"/>
      <c r="AD178" s="208"/>
      <c r="AE178" s="208"/>
      <c r="AF178" s="208"/>
      <c r="AG178" s="208"/>
      <c r="AH178" s="208"/>
      <c r="AI178" s="208"/>
      <c r="AJ178" s="208"/>
      <c r="AK178" s="243"/>
      <c r="AL178" s="208"/>
      <c r="AM178" s="208"/>
      <c r="AN178" s="208"/>
      <c r="AO178" s="208"/>
      <c r="AP178" s="208"/>
      <c r="AQ178" s="208"/>
      <c r="AR178" s="208"/>
      <c r="AS178" s="243"/>
      <c r="AT178" s="264"/>
      <c r="AU178" s="264"/>
      <c r="AV178" s="264"/>
      <c r="AW178" s="264"/>
      <c r="AX178" s="264"/>
      <c r="AY178" s="264"/>
      <c r="AZ178" s="264"/>
      <c r="BA178" s="244"/>
      <c r="BB178" s="265"/>
      <c r="BC178" s="244"/>
      <c r="BD178" s="244"/>
      <c r="BE178" s="244"/>
      <c r="BF178" s="244"/>
      <c r="BG178" s="244"/>
      <c r="BH178" s="244"/>
      <c r="BI178" s="244"/>
      <c r="BJ178" s="264"/>
      <c r="BK178" s="243"/>
      <c r="BL178" s="244"/>
      <c r="BM178" s="244"/>
      <c r="BN178" s="244"/>
      <c r="BO178" s="244"/>
      <c r="BP178" s="244"/>
      <c r="BQ178" s="244"/>
      <c r="BR178" s="8"/>
      <c r="BS178" s="8"/>
      <c r="BT178" s="8"/>
    </row>
    <row r="179" spans="2:72" s="28" customFormat="1" ht="22.5" customHeight="1" x14ac:dyDescent="0.2">
      <c r="B179" s="34"/>
      <c r="H179" s="34"/>
      <c r="J179" s="243"/>
      <c r="K179" s="208"/>
      <c r="L179" s="208"/>
      <c r="M179" s="208"/>
      <c r="N179" s="208"/>
      <c r="O179" s="208"/>
      <c r="P179" s="208"/>
      <c r="Q179" s="208"/>
      <c r="R179" s="243"/>
      <c r="S179" s="208"/>
      <c r="T179" s="208"/>
      <c r="U179" s="208"/>
      <c r="V179" s="208"/>
      <c r="W179" s="244"/>
      <c r="X179" s="208"/>
      <c r="Y179" s="208"/>
      <c r="Z179" s="243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  <c r="AK179" s="243"/>
      <c r="AL179" s="208"/>
      <c r="AM179" s="208"/>
      <c r="AN179" s="208"/>
      <c r="AO179" s="208"/>
      <c r="AP179" s="208"/>
      <c r="AQ179" s="208"/>
      <c r="AR179" s="208"/>
      <c r="AS179" s="243"/>
      <c r="AT179" s="264"/>
      <c r="AU179" s="264"/>
      <c r="AV179" s="264"/>
      <c r="AW179" s="264"/>
      <c r="AX179" s="264"/>
      <c r="AY179" s="264"/>
      <c r="AZ179" s="264"/>
      <c r="BA179" s="244"/>
      <c r="BB179" s="249"/>
      <c r="BC179" s="244"/>
      <c r="BD179" s="244"/>
      <c r="BE179" s="244"/>
      <c r="BF179" s="244"/>
      <c r="BG179" s="244"/>
      <c r="BH179" s="244"/>
      <c r="BI179" s="244"/>
      <c r="BJ179" s="264"/>
      <c r="BK179" s="265"/>
      <c r="BL179" s="244"/>
      <c r="BM179" s="244"/>
      <c r="BN179" s="244"/>
      <c r="BO179" s="244"/>
      <c r="BP179" s="244"/>
      <c r="BQ179" s="244"/>
      <c r="BR179" s="8"/>
      <c r="BS179" s="8"/>
      <c r="BT179" s="8"/>
    </row>
    <row r="180" spans="2:72" s="28" customFormat="1" ht="22.5" customHeight="1" x14ac:dyDescent="0.2">
      <c r="B180" s="34"/>
      <c r="H180" s="34"/>
      <c r="J180" s="243"/>
      <c r="K180" s="208"/>
      <c r="L180" s="208"/>
      <c r="M180" s="208"/>
      <c r="N180" s="208"/>
      <c r="O180" s="208"/>
      <c r="P180" s="208"/>
      <c r="Q180" s="208"/>
      <c r="R180" s="243"/>
      <c r="S180" s="208"/>
      <c r="T180" s="208"/>
      <c r="U180" s="208"/>
      <c r="V180" s="208"/>
      <c r="W180" s="244"/>
      <c r="X180" s="208"/>
      <c r="Y180" s="208"/>
      <c r="Z180" s="243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43"/>
      <c r="AL180" s="208"/>
      <c r="AM180" s="208"/>
      <c r="AN180" s="208"/>
      <c r="AO180" s="208"/>
      <c r="AP180" s="208"/>
      <c r="AQ180" s="208"/>
      <c r="AR180" s="208"/>
      <c r="AS180" s="243"/>
      <c r="AT180" s="244"/>
      <c r="AU180" s="244"/>
      <c r="AV180" s="244"/>
      <c r="AW180" s="244"/>
      <c r="AX180" s="244"/>
      <c r="AY180" s="244"/>
      <c r="AZ180" s="244"/>
      <c r="BA180" s="244"/>
      <c r="BB180" s="249"/>
      <c r="BC180" s="244"/>
      <c r="BD180" s="244"/>
      <c r="BE180" s="244"/>
      <c r="BF180" s="244"/>
      <c r="BG180" s="244"/>
      <c r="BH180" s="244"/>
      <c r="BI180" s="244"/>
      <c r="BJ180" s="264"/>
      <c r="BK180" s="265"/>
      <c r="BL180" s="244"/>
      <c r="BM180" s="244"/>
      <c r="BN180" s="244"/>
      <c r="BO180" s="244"/>
      <c r="BP180" s="244"/>
      <c r="BQ180" s="244"/>
      <c r="BR180" s="8"/>
      <c r="BS180" s="8"/>
      <c r="BT180" s="8"/>
    </row>
    <row r="181" spans="2:72" s="28" customFormat="1" ht="22.5" customHeight="1" x14ac:dyDescent="0.2">
      <c r="B181" s="34"/>
      <c r="H181" s="34"/>
      <c r="J181" s="243"/>
      <c r="K181" s="208"/>
      <c r="L181" s="208"/>
      <c r="M181" s="208"/>
      <c r="N181" s="208"/>
      <c r="O181" s="208"/>
      <c r="P181" s="208"/>
      <c r="Q181" s="208"/>
      <c r="R181" s="243"/>
      <c r="S181" s="208"/>
      <c r="T181" s="208"/>
      <c r="U181" s="208"/>
      <c r="V181" s="208"/>
      <c r="W181" s="244"/>
      <c r="X181" s="208"/>
      <c r="Y181" s="208"/>
      <c r="Z181" s="243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43"/>
      <c r="AL181" s="208"/>
      <c r="AM181" s="208"/>
      <c r="AN181" s="208"/>
      <c r="AO181" s="208"/>
      <c r="AP181" s="208"/>
      <c r="AQ181" s="208"/>
      <c r="AR181" s="208"/>
      <c r="AS181" s="243"/>
      <c r="AT181" s="244"/>
      <c r="AU181" s="244"/>
      <c r="AV181" s="244"/>
      <c r="AW181" s="244"/>
      <c r="AX181" s="244"/>
      <c r="AY181" s="244"/>
      <c r="AZ181" s="244"/>
      <c r="BA181" s="244"/>
      <c r="BB181" s="249"/>
      <c r="BC181" s="244"/>
      <c r="BD181" s="244"/>
      <c r="BE181" s="244"/>
      <c r="BF181" s="244"/>
      <c r="BG181" s="244"/>
      <c r="BH181" s="244"/>
      <c r="BI181" s="244"/>
      <c r="BJ181" s="244"/>
      <c r="BK181" s="265"/>
      <c r="BL181" s="154"/>
      <c r="BM181" s="154"/>
      <c r="BN181" s="154"/>
      <c r="BO181" s="154"/>
      <c r="BP181" s="154"/>
      <c r="BQ181" s="154"/>
      <c r="BR181" s="8"/>
      <c r="BS181" s="8"/>
      <c r="BT181" s="8"/>
    </row>
    <row r="182" spans="2:72" s="28" customFormat="1" ht="22.5" customHeight="1" x14ac:dyDescent="0.2">
      <c r="B182" s="34"/>
      <c r="H182" s="34"/>
      <c r="J182" s="243"/>
      <c r="K182" s="208"/>
      <c r="L182" s="208"/>
      <c r="M182" s="208"/>
      <c r="N182" s="208"/>
      <c r="O182" s="208"/>
      <c r="P182" s="208"/>
      <c r="Q182" s="208"/>
      <c r="R182" s="243"/>
      <c r="S182" s="208"/>
      <c r="T182" s="208"/>
      <c r="U182" s="208"/>
      <c r="V182" s="208"/>
      <c r="W182" s="244"/>
      <c r="X182" s="208"/>
      <c r="Y182" s="208"/>
      <c r="Z182" s="243"/>
      <c r="AA182" s="208"/>
      <c r="AB182" s="208"/>
      <c r="AC182" s="208"/>
      <c r="AD182" s="208"/>
      <c r="AE182" s="208"/>
      <c r="AF182" s="208"/>
      <c r="AG182" s="208"/>
      <c r="AH182" s="208"/>
      <c r="AI182" s="208"/>
      <c r="AJ182" s="208"/>
      <c r="AK182" s="243"/>
      <c r="AL182" s="208"/>
      <c r="AM182" s="208"/>
      <c r="AN182" s="208"/>
      <c r="AO182" s="208"/>
      <c r="AP182" s="208"/>
      <c r="AQ182" s="208"/>
      <c r="AR182" s="208"/>
      <c r="AS182" s="243"/>
      <c r="AT182" s="244"/>
      <c r="AU182" s="244"/>
      <c r="AV182" s="244"/>
      <c r="AW182" s="244"/>
      <c r="AX182" s="244"/>
      <c r="AY182" s="244"/>
      <c r="AZ182" s="244"/>
      <c r="BA182" s="244"/>
      <c r="BB182" s="249"/>
      <c r="BC182" s="244"/>
      <c r="BD182" s="244"/>
      <c r="BE182" s="244"/>
      <c r="BF182" s="244"/>
      <c r="BG182" s="244"/>
      <c r="BH182" s="244"/>
      <c r="BI182" s="244"/>
      <c r="BJ182" s="244"/>
      <c r="BK182" s="249"/>
      <c r="BL182" s="154"/>
      <c r="BM182" s="154"/>
      <c r="BN182" s="154"/>
      <c r="BO182" s="154"/>
      <c r="BP182" s="154"/>
      <c r="BQ182" s="154"/>
      <c r="BR182" s="8"/>
      <c r="BS182" s="8"/>
      <c r="BT182" s="8"/>
    </row>
    <row r="183" spans="2:72" s="28" customFormat="1" ht="22.5" customHeight="1" x14ac:dyDescent="0.2">
      <c r="B183" s="34"/>
      <c r="H183" s="34"/>
      <c r="J183" s="243"/>
      <c r="K183" s="208"/>
      <c r="L183" s="208"/>
      <c r="M183" s="208"/>
      <c r="N183" s="208"/>
      <c r="O183" s="208"/>
      <c r="P183" s="208"/>
      <c r="Q183" s="208"/>
      <c r="R183" s="243"/>
      <c r="S183" s="208"/>
      <c r="T183" s="208"/>
      <c r="U183" s="208"/>
      <c r="V183" s="208"/>
      <c r="W183" s="244"/>
      <c r="X183" s="208"/>
      <c r="Y183" s="208"/>
      <c r="Z183" s="243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43"/>
      <c r="AL183" s="208"/>
      <c r="AM183" s="208"/>
      <c r="AN183" s="208"/>
      <c r="AO183" s="208"/>
      <c r="AP183" s="208"/>
      <c r="AQ183" s="208"/>
      <c r="AR183" s="208"/>
      <c r="AS183" s="243"/>
      <c r="AT183" s="244"/>
      <c r="AU183" s="244"/>
      <c r="AV183" s="244"/>
      <c r="AW183" s="244"/>
      <c r="AX183" s="244"/>
      <c r="AY183" s="244"/>
      <c r="AZ183" s="244"/>
      <c r="BA183" s="244"/>
      <c r="BB183" s="249"/>
      <c r="BC183" s="244"/>
      <c r="BD183" s="244"/>
      <c r="BE183" s="244"/>
      <c r="BF183" s="244"/>
      <c r="BG183" s="244"/>
      <c r="BH183" s="244"/>
      <c r="BI183" s="244"/>
      <c r="BJ183" s="244"/>
      <c r="BK183" s="249"/>
      <c r="BL183" s="154"/>
      <c r="BM183" s="154"/>
      <c r="BN183" s="154"/>
      <c r="BO183" s="154"/>
      <c r="BP183" s="154"/>
      <c r="BQ183" s="154"/>
      <c r="BR183" s="8"/>
      <c r="BS183" s="8"/>
      <c r="BT183" s="8"/>
    </row>
    <row r="184" spans="2:72" s="28" customFormat="1" ht="22.5" customHeight="1" x14ac:dyDescent="0.2">
      <c r="B184" s="34"/>
      <c r="H184" s="34"/>
      <c r="J184" s="243"/>
      <c r="K184" s="208"/>
      <c r="L184" s="208"/>
      <c r="M184" s="208"/>
      <c r="N184" s="208"/>
      <c r="O184" s="208"/>
      <c r="P184" s="208"/>
      <c r="Q184" s="162"/>
      <c r="R184" s="243"/>
      <c r="S184" s="233"/>
      <c r="T184" s="262"/>
      <c r="U184" s="263"/>
      <c r="V184" s="262"/>
      <c r="W184" s="229"/>
      <c r="X184" s="1666"/>
      <c r="Y184" s="208"/>
      <c r="Z184" s="243"/>
      <c r="AA184" s="208"/>
      <c r="AB184" s="208"/>
      <c r="AC184" s="208"/>
      <c r="AD184" s="208"/>
      <c r="AE184" s="208"/>
      <c r="AF184" s="208"/>
      <c r="AG184" s="208"/>
      <c r="AH184" s="208"/>
      <c r="AI184" s="208"/>
      <c r="AJ184" s="208"/>
      <c r="AK184" s="243"/>
      <c r="AL184" s="208"/>
      <c r="AM184" s="208"/>
      <c r="AN184" s="208"/>
      <c r="AO184" s="208"/>
      <c r="AP184" s="208"/>
      <c r="AQ184" s="208"/>
      <c r="AR184" s="208"/>
      <c r="AS184" s="243"/>
      <c r="AT184" s="244"/>
      <c r="AU184" s="244"/>
      <c r="AV184" s="244"/>
      <c r="AW184" s="244"/>
      <c r="AX184" s="244"/>
      <c r="AY184" s="244"/>
      <c r="AZ184" s="244"/>
      <c r="BA184" s="244"/>
      <c r="BB184" s="249"/>
      <c r="BC184" s="244"/>
      <c r="BD184" s="244"/>
      <c r="BE184" s="244"/>
      <c r="BF184" s="244"/>
      <c r="BG184" s="244"/>
      <c r="BH184" s="244"/>
      <c r="BI184" s="244"/>
      <c r="BJ184" s="244"/>
      <c r="BK184" s="249"/>
      <c r="BL184" s="154"/>
      <c r="BM184" s="154"/>
      <c r="BN184" s="154"/>
      <c r="BO184" s="154"/>
      <c r="BP184" s="154"/>
      <c r="BQ184" s="154"/>
      <c r="BR184" s="8"/>
      <c r="BS184" s="8"/>
      <c r="BT184" s="8"/>
    </row>
    <row r="185" spans="2:72" s="13" customFormat="1" ht="22.5" customHeight="1" x14ac:dyDescent="0.2">
      <c r="B185" s="34"/>
      <c r="H185" s="34"/>
      <c r="J185" s="265"/>
      <c r="K185" s="264"/>
      <c r="L185" s="264"/>
      <c r="M185" s="264"/>
      <c r="N185" s="264"/>
      <c r="O185" s="264"/>
      <c r="P185" s="264"/>
      <c r="Q185" s="264"/>
      <c r="R185" s="243"/>
      <c r="S185" s="264"/>
      <c r="T185" s="264"/>
      <c r="U185" s="264"/>
      <c r="V185" s="264"/>
      <c r="W185" s="244"/>
      <c r="X185" s="264"/>
      <c r="Y185" s="264"/>
      <c r="Z185" s="265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64"/>
      <c r="AK185" s="265"/>
      <c r="AL185" s="264"/>
      <c r="AM185" s="264"/>
      <c r="AN185" s="264"/>
      <c r="AO185" s="264"/>
      <c r="AP185" s="264"/>
      <c r="AQ185" s="264"/>
      <c r="AR185" s="264"/>
      <c r="AS185" s="265"/>
      <c r="AT185" s="244"/>
      <c r="AU185" s="244"/>
      <c r="AV185" s="244"/>
      <c r="AW185" s="244"/>
      <c r="AX185" s="244"/>
      <c r="AY185" s="244"/>
      <c r="AZ185" s="244"/>
      <c r="BA185" s="244"/>
      <c r="BB185" s="249"/>
      <c r="BC185" s="244"/>
      <c r="BD185" s="244"/>
      <c r="BE185" s="244"/>
      <c r="BF185" s="244"/>
      <c r="BG185" s="244"/>
      <c r="BH185" s="244"/>
      <c r="BI185" s="244"/>
      <c r="BJ185" s="244"/>
      <c r="BK185" s="249"/>
      <c r="BL185" s="154"/>
      <c r="BM185" s="154"/>
      <c r="BN185" s="154"/>
      <c r="BO185" s="154"/>
      <c r="BP185" s="154"/>
      <c r="BQ185" s="154"/>
      <c r="BR185" s="8"/>
      <c r="BS185" s="8"/>
      <c r="BT185" s="8"/>
    </row>
    <row r="186" spans="2:72" s="13" customFormat="1" ht="22.5" customHeight="1" x14ac:dyDescent="0.2">
      <c r="B186" s="34"/>
      <c r="H186" s="34"/>
      <c r="J186" s="265"/>
      <c r="K186" s="264"/>
      <c r="L186" s="264"/>
      <c r="M186" s="264"/>
      <c r="N186" s="264"/>
      <c r="O186" s="264"/>
      <c r="P186" s="264"/>
      <c r="Q186" s="264"/>
      <c r="R186" s="243"/>
      <c r="S186" s="264"/>
      <c r="T186" s="264"/>
      <c r="U186" s="264"/>
      <c r="V186" s="264"/>
      <c r="W186" s="244"/>
      <c r="X186" s="264"/>
      <c r="Y186" s="264"/>
      <c r="Z186" s="265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5"/>
      <c r="AL186" s="264"/>
      <c r="AM186" s="264"/>
      <c r="AN186" s="264"/>
      <c r="AO186" s="264"/>
      <c r="AP186" s="264"/>
      <c r="AQ186" s="264"/>
      <c r="AR186" s="264"/>
      <c r="AS186" s="265"/>
      <c r="AT186" s="244"/>
      <c r="AU186" s="244"/>
      <c r="AV186" s="244"/>
      <c r="AW186" s="244"/>
      <c r="AX186" s="244"/>
      <c r="AY186" s="244"/>
      <c r="AZ186" s="244"/>
      <c r="BA186" s="244"/>
      <c r="BB186" s="249"/>
      <c r="BC186" s="244"/>
      <c r="BD186" s="244"/>
      <c r="BE186" s="244"/>
      <c r="BF186" s="244"/>
      <c r="BG186" s="244"/>
      <c r="BH186" s="244"/>
      <c r="BI186" s="244"/>
      <c r="BJ186" s="244"/>
      <c r="BK186" s="249"/>
      <c r="BL186" s="154"/>
      <c r="BM186" s="154"/>
      <c r="BN186" s="154"/>
      <c r="BO186" s="154"/>
      <c r="BP186" s="154"/>
      <c r="BQ186" s="154"/>
      <c r="BR186" s="8"/>
      <c r="BS186" s="8"/>
      <c r="BT186" s="8"/>
    </row>
    <row r="187" spans="2:72" s="13" customFormat="1" ht="22.5" customHeight="1" x14ac:dyDescent="0.2">
      <c r="B187" s="34"/>
      <c r="H187" s="34"/>
      <c r="J187" s="265"/>
      <c r="K187" s="264"/>
      <c r="L187" s="264"/>
      <c r="M187" s="264"/>
      <c r="N187" s="264"/>
      <c r="O187" s="264"/>
      <c r="P187" s="264"/>
      <c r="Q187" s="264"/>
      <c r="R187" s="243"/>
      <c r="S187" s="264"/>
      <c r="T187" s="264"/>
      <c r="U187" s="264"/>
      <c r="V187" s="264"/>
      <c r="W187" s="244"/>
      <c r="X187" s="264"/>
      <c r="Y187" s="264"/>
      <c r="Z187" s="265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64"/>
      <c r="AK187" s="265"/>
      <c r="AL187" s="264"/>
      <c r="AM187" s="264"/>
      <c r="AN187" s="264"/>
      <c r="AO187" s="264"/>
      <c r="AP187" s="264"/>
      <c r="AQ187" s="264"/>
      <c r="AR187" s="264"/>
      <c r="AS187" s="265"/>
      <c r="AT187" s="244"/>
      <c r="AU187" s="244"/>
      <c r="AV187" s="244"/>
      <c r="AW187" s="244"/>
      <c r="AX187" s="244"/>
      <c r="AY187" s="244"/>
      <c r="AZ187" s="244"/>
      <c r="BA187" s="244"/>
      <c r="BB187" s="249"/>
      <c r="BC187" s="244"/>
      <c r="BD187" s="244"/>
      <c r="BE187" s="244"/>
      <c r="BF187" s="244"/>
      <c r="BG187" s="244"/>
      <c r="BH187" s="244"/>
      <c r="BI187" s="244"/>
      <c r="BJ187" s="244"/>
      <c r="BK187" s="249"/>
      <c r="BL187" s="154"/>
      <c r="BM187" s="154"/>
      <c r="BN187" s="154"/>
      <c r="BO187" s="154"/>
      <c r="BP187" s="154"/>
      <c r="BQ187" s="154"/>
      <c r="BR187" s="8"/>
      <c r="BS187" s="8"/>
      <c r="BT187" s="8"/>
    </row>
    <row r="188" spans="2:72" s="34" customFormat="1" ht="22.5" customHeight="1" x14ac:dyDescent="0.2">
      <c r="J188" s="249"/>
      <c r="K188" s="244"/>
      <c r="L188" s="244"/>
      <c r="M188" s="244"/>
      <c r="N188" s="244"/>
      <c r="O188" s="244"/>
      <c r="P188" s="244"/>
      <c r="Q188" s="244"/>
      <c r="R188" s="243"/>
      <c r="S188" s="244"/>
      <c r="T188" s="244"/>
      <c r="U188" s="244"/>
      <c r="V188" s="244"/>
      <c r="W188" s="244"/>
      <c r="X188" s="244"/>
      <c r="Y188" s="244"/>
      <c r="Z188" s="249"/>
      <c r="AA188" s="244"/>
      <c r="AB188" s="244"/>
      <c r="AC188" s="244"/>
      <c r="AD188" s="244"/>
      <c r="AE188" s="244"/>
      <c r="AF188" s="244"/>
      <c r="AG188" s="244"/>
      <c r="AH188" s="244"/>
      <c r="AI188" s="244"/>
      <c r="AJ188" s="244"/>
      <c r="AK188" s="249"/>
      <c r="AL188" s="244"/>
      <c r="AM188" s="244"/>
      <c r="AN188" s="244"/>
      <c r="AO188" s="244"/>
      <c r="AP188" s="244"/>
      <c r="AQ188" s="244"/>
      <c r="AR188" s="244"/>
      <c r="AS188" s="249"/>
      <c r="AT188" s="244"/>
      <c r="AU188" s="244"/>
      <c r="AV188" s="244"/>
      <c r="AW188" s="244"/>
      <c r="AX188" s="244"/>
      <c r="AY188" s="244"/>
      <c r="AZ188" s="244"/>
      <c r="BA188" s="244"/>
      <c r="BB188" s="249"/>
      <c r="BC188" s="244"/>
      <c r="BD188" s="244"/>
      <c r="BE188" s="244"/>
      <c r="BF188" s="244"/>
      <c r="BG188" s="244"/>
      <c r="BH188" s="244"/>
      <c r="BI188" s="244"/>
      <c r="BJ188" s="244"/>
      <c r="BK188" s="249"/>
      <c r="BL188" s="154"/>
      <c r="BM188" s="154"/>
      <c r="BN188" s="154"/>
      <c r="BO188" s="154"/>
      <c r="BP188" s="154"/>
      <c r="BQ188" s="154"/>
      <c r="BR188" s="8"/>
      <c r="BS188" s="8"/>
      <c r="BT188" s="8"/>
    </row>
    <row r="189" spans="2:72" s="34" customFormat="1" ht="22.5" customHeight="1" x14ac:dyDescent="0.2">
      <c r="J189" s="249"/>
      <c r="K189" s="244"/>
      <c r="L189" s="244"/>
      <c r="M189" s="244"/>
      <c r="N189" s="244"/>
      <c r="O189" s="244"/>
      <c r="P189" s="244"/>
      <c r="Q189" s="244"/>
      <c r="R189" s="243"/>
      <c r="S189" s="244"/>
      <c r="T189" s="244"/>
      <c r="U189" s="244"/>
      <c r="V189" s="244"/>
      <c r="W189" s="244"/>
      <c r="X189" s="244"/>
      <c r="Y189" s="244"/>
      <c r="Z189" s="249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9"/>
      <c r="AL189" s="244"/>
      <c r="AM189" s="244"/>
      <c r="AN189" s="244"/>
      <c r="AO189" s="244"/>
      <c r="AP189" s="244"/>
      <c r="AQ189" s="244"/>
      <c r="AR189" s="244"/>
      <c r="AS189" s="249"/>
      <c r="AT189" s="244"/>
      <c r="AU189" s="244"/>
      <c r="AV189" s="244"/>
      <c r="AW189" s="244"/>
      <c r="AX189" s="244"/>
      <c r="AY189" s="244"/>
      <c r="AZ189" s="244"/>
      <c r="BA189" s="244"/>
      <c r="BB189" s="249"/>
      <c r="BC189" s="244"/>
      <c r="BD189" s="244"/>
      <c r="BE189" s="244"/>
      <c r="BF189" s="244"/>
      <c r="BG189" s="244"/>
      <c r="BH189" s="244"/>
      <c r="BI189" s="244"/>
      <c r="BJ189" s="244"/>
      <c r="BK189" s="249"/>
      <c r="BL189" s="154"/>
      <c r="BM189" s="154"/>
      <c r="BN189" s="154"/>
      <c r="BO189" s="154"/>
      <c r="BP189" s="154"/>
      <c r="BQ189" s="154"/>
      <c r="BR189" s="8"/>
      <c r="BS189" s="8"/>
      <c r="BT189" s="8"/>
    </row>
    <row r="190" spans="2:72" s="34" customFormat="1" ht="22.5" customHeight="1" x14ac:dyDescent="0.2">
      <c r="J190" s="249"/>
      <c r="K190" s="244"/>
      <c r="L190" s="244"/>
      <c r="M190" s="244"/>
      <c r="N190" s="244"/>
      <c r="O190" s="244"/>
      <c r="P190" s="244"/>
      <c r="Q190" s="244"/>
      <c r="R190" s="243"/>
      <c r="S190" s="244"/>
      <c r="T190" s="244"/>
      <c r="U190" s="244"/>
      <c r="V190" s="244"/>
      <c r="W190" s="244"/>
      <c r="X190" s="244"/>
      <c r="Y190" s="244"/>
      <c r="Z190" s="249"/>
      <c r="AA190" s="244"/>
      <c r="AB190" s="244"/>
      <c r="AC190" s="244"/>
      <c r="AD190" s="244"/>
      <c r="AE190" s="244"/>
      <c r="AF190" s="244"/>
      <c r="AG190" s="244"/>
      <c r="AH190" s="244"/>
      <c r="AI190" s="244"/>
      <c r="AJ190" s="244"/>
      <c r="AK190" s="249"/>
      <c r="AL190" s="244"/>
      <c r="AM190" s="244"/>
      <c r="AN190" s="244"/>
      <c r="AO190" s="244"/>
      <c r="AP190" s="244"/>
      <c r="AQ190" s="244"/>
      <c r="AR190" s="244"/>
      <c r="AS190" s="249"/>
      <c r="AT190" s="244"/>
      <c r="AU190" s="244"/>
      <c r="AV190" s="244"/>
      <c r="AW190" s="244"/>
      <c r="AX190" s="244"/>
      <c r="AY190" s="244"/>
      <c r="AZ190" s="244"/>
      <c r="BA190" s="244"/>
      <c r="BB190" s="249"/>
      <c r="BC190" s="244"/>
      <c r="BD190" s="244"/>
      <c r="BE190" s="244"/>
      <c r="BF190" s="244"/>
      <c r="BG190" s="244"/>
      <c r="BH190" s="244"/>
      <c r="BI190" s="244"/>
      <c r="BJ190" s="244"/>
      <c r="BK190" s="249"/>
      <c r="BL190" s="154"/>
      <c r="BM190" s="154"/>
      <c r="BN190" s="154"/>
      <c r="BO190" s="154"/>
      <c r="BP190" s="154"/>
      <c r="BQ190" s="154"/>
      <c r="BR190" s="8"/>
      <c r="BS190" s="8"/>
      <c r="BT190" s="8"/>
    </row>
    <row r="191" spans="2:72" s="34" customFormat="1" ht="22.5" customHeight="1" x14ac:dyDescent="0.2">
      <c r="J191" s="249"/>
      <c r="K191" s="244"/>
      <c r="L191" s="244"/>
      <c r="M191" s="244"/>
      <c r="N191" s="244"/>
      <c r="O191" s="244"/>
      <c r="P191" s="244"/>
      <c r="Q191" s="244"/>
      <c r="R191" s="243"/>
      <c r="S191" s="244"/>
      <c r="T191" s="244"/>
      <c r="U191" s="244"/>
      <c r="V191" s="244"/>
      <c r="W191" s="244"/>
      <c r="X191" s="244"/>
      <c r="Y191" s="244"/>
      <c r="Z191" s="249"/>
      <c r="AA191" s="244"/>
      <c r="AB191" s="244"/>
      <c r="AC191" s="244"/>
      <c r="AD191" s="244"/>
      <c r="AE191" s="244"/>
      <c r="AF191" s="244"/>
      <c r="AG191" s="244"/>
      <c r="AH191" s="244"/>
      <c r="AI191" s="244"/>
      <c r="AJ191" s="244"/>
      <c r="AK191" s="249"/>
      <c r="AL191" s="244"/>
      <c r="AM191" s="244"/>
      <c r="AN191" s="244"/>
      <c r="AO191" s="244"/>
      <c r="AP191" s="244"/>
      <c r="AQ191" s="244"/>
      <c r="AR191" s="244"/>
      <c r="AS191" s="249"/>
      <c r="AT191" s="244"/>
      <c r="AU191" s="244"/>
      <c r="AV191" s="244"/>
      <c r="AW191" s="244"/>
      <c r="AX191" s="244"/>
      <c r="AY191" s="244"/>
      <c r="AZ191" s="244"/>
      <c r="BA191" s="154"/>
      <c r="BB191" s="249"/>
      <c r="BC191" s="154"/>
      <c r="BD191" s="154"/>
      <c r="BE191" s="154"/>
      <c r="BF191" s="154"/>
      <c r="BG191" s="154"/>
      <c r="BH191" s="154"/>
      <c r="BI191" s="154"/>
      <c r="BJ191" s="244"/>
      <c r="BK191" s="249"/>
      <c r="BL191" s="154"/>
      <c r="BM191" s="154"/>
      <c r="BN191" s="154"/>
      <c r="BO191" s="154"/>
      <c r="BP191" s="154"/>
      <c r="BQ191" s="154"/>
      <c r="BR191" s="8"/>
      <c r="BS191" s="8"/>
      <c r="BT191" s="8"/>
    </row>
    <row r="192" spans="2:72" s="34" customFormat="1" ht="22.5" customHeight="1" x14ac:dyDescent="0.2">
      <c r="J192" s="249"/>
      <c r="K192" s="244"/>
      <c r="L192" s="244"/>
      <c r="M192" s="244"/>
      <c r="N192" s="244"/>
      <c r="O192" s="244"/>
      <c r="P192" s="244"/>
      <c r="Q192" s="244"/>
      <c r="R192" s="243"/>
      <c r="S192" s="244"/>
      <c r="T192" s="244"/>
      <c r="U192" s="244"/>
      <c r="V192" s="244"/>
      <c r="W192" s="244"/>
      <c r="X192" s="244"/>
      <c r="Y192" s="244"/>
      <c r="Z192" s="249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  <c r="AK192" s="249"/>
      <c r="AL192" s="244"/>
      <c r="AM192" s="244"/>
      <c r="AN192" s="244"/>
      <c r="AO192" s="244"/>
      <c r="AP192" s="244"/>
      <c r="AQ192" s="244"/>
      <c r="AR192" s="244"/>
      <c r="AS192" s="249"/>
      <c r="AT192" s="244"/>
      <c r="AU192" s="244"/>
      <c r="AV192" s="244"/>
      <c r="AW192" s="244"/>
      <c r="AX192" s="244"/>
      <c r="AY192" s="244"/>
      <c r="AZ192" s="244"/>
      <c r="BA192" s="154"/>
      <c r="BB192" s="245"/>
      <c r="BC192" s="154"/>
      <c r="BD192" s="154"/>
      <c r="BE192" s="154"/>
      <c r="BF192" s="154"/>
      <c r="BG192" s="154"/>
      <c r="BH192" s="154"/>
      <c r="BI192" s="154"/>
      <c r="BJ192" s="244"/>
      <c r="BK192" s="249"/>
      <c r="BL192" s="154"/>
      <c r="BM192" s="154"/>
      <c r="BN192" s="154"/>
      <c r="BO192" s="154"/>
      <c r="BP192" s="154"/>
      <c r="BQ192" s="154"/>
      <c r="BR192" s="8"/>
      <c r="BS192" s="8"/>
      <c r="BT192" s="8"/>
    </row>
    <row r="193" spans="1:72" s="34" customFormat="1" ht="22.5" customHeight="1" x14ac:dyDescent="0.2">
      <c r="J193" s="249"/>
      <c r="K193" s="244"/>
      <c r="L193" s="244"/>
      <c r="M193" s="244"/>
      <c r="N193" s="244"/>
      <c r="O193" s="244"/>
      <c r="P193" s="244"/>
      <c r="Q193" s="244"/>
      <c r="R193" s="243"/>
      <c r="S193" s="244"/>
      <c r="T193" s="244"/>
      <c r="U193" s="244"/>
      <c r="V193" s="244"/>
      <c r="W193" s="244"/>
      <c r="X193" s="244"/>
      <c r="Y193" s="244"/>
      <c r="Z193" s="249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  <c r="AK193" s="249"/>
      <c r="AL193" s="244"/>
      <c r="AM193" s="244"/>
      <c r="AN193" s="244"/>
      <c r="AO193" s="244"/>
      <c r="AP193" s="244"/>
      <c r="AQ193" s="244"/>
      <c r="AR193" s="244"/>
      <c r="AS193" s="249"/>
      <c r="AT193" s="154"/>
      <c r="AU193" s="154"/>
      <c r="AV193" s="154"/>
      <c r="AW193" s="154"/>
      <c r="AX193" s="154"/>
      <c r="AY193" s="154"/>
      <c r="AZ193" s="154"/>
      <c r="BA193" s="154"/>
      <c r="BB193" s="245"/>
      <c r="BC193" s="154"/>
      <c r="BD193" s="154"/>
      <c r="BE193" s="154"/>
      <c r="BF193" s="154"/>
      <c r="BG193" s="154"/>
      <c r="BH193" s="154"/>
      <c r="BI193" s="154"/>
      <c r="BJ193" s="244"/>
      <c r="BK193" s="249"/>
      <c r="BL193" s="154"/>
      <c r="BM193" s="154"/>
      <c r="BN193" s="154"/>
      <c r="BO193" s="154"/>
      <c r="BP193" s="154"/>
      <c r="BQ193" s="154"/>
      <c r="BR193" s="8"/>
      <c r="BS193" s="8"/>
      <c r="BT193" s="8"/>
    </row>
    <row r="194" spans="1:72" s="34" customFormat="1" ht="22.5" customHeight="1" x14ac:dyDescent="0.2">
      <c r="J194" s="249"/>
      <c r="K194" s="244"/>
      <c r="L194" s="244"/>
      <c r="M194" s="244"/>
      <c r="N194" s="244"/>
      <c r="O194" s="244"/>
      <c r="P194" s="244"/>
      <c r="Q194" s="244"/>
      <c r="R194" s="243"/>
      <c r="S194" s="244"/>
      <c r="T194" s="244"/>
      <c r="U194" s="244"/>
      <c r="V194" s="244"/>
      <c r="W194" s="244"/>
      <c r="X194" s="244"/>
      <c r="Y194" s="244"/>
      <c r="Z194" s="249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  <c r="AK194" s="249"/>
      <c r="AL194" s="244"/>
      <c r="AM194" s="244"/>
      <c r="AN194" s="244"/>
      <c r="AO194" s="244"/>
      <c r="AP194" s="244"/>
      <c r="AQ194" s="244"/>
      <c r="AR194" s="244"/>
      <c r="AS194" s="249"/>
      <c r="AT194" s="154"/>
      <c r="AU194" s="154"/>
      <c r="AV194" s="154"/>
      <c r="AW194" s="154"/>
      <c r="AX194" s="154"/>
      <c r="AY194" s="154"/>
      <c r="AZ194" s="154"/>
      <c r="BA194" s="154"/>
      <c r="BB194" s="245"/>
      <c r="BC194" s="154"/>
      <c r="BD194" s="154"/>
      <c r="BE194" s="154"/>
      <c r="BF194" s="154"/>
      <c r="BG194" s="154"/>
      <c r="BH194" s="154"/>
      <c r="BI194" s="154"/>
      <c r="BJ194" s="154"/>
      <c r="BK194" s="249"/>
      <c r="BL194" s="154"/>
      <c r="BM194" s="154"/>
      <c r="BN194" s="154"/>
      <c r="BO194" s="154"/>
      <c r="BP194" s="154"/>
      <c r="BQ194" s="154"/>
      <c r="BR194" s="8"/>
      <c r="BS194" s="8"/>
      <c r="BT194" s="8"/>
    </row>
    <row r="195" spans="1:72" s="34" customFormat="1" ht="22.5" customHeight="1" x14ac:dyDescent="0.2">
      <c r="J195" s="249"/>
      <c r="K195" s="244"/>
      <c r="L195" s="244"/>
      <c r="M195" s="244"/>
      <c r="N195" s="244"/>
      <c r="O195" s="244"/>
      <c r="P195" s="244"/>
      <c r="Q195" s="244"/>
      <c r="R195" s="243"/>
      <c r="S195" s="244"/>
      <c r="T195" s="244"/>
      <c r="U195" s="244"/>
      <c r="V195" s="244"/>
      <c r="W195" s="244"/>
      <c r="X195" s="244"/>
      <c r="Y195" s="244"/>
      <c r="Z195" s="249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9"/>
      <c r="AL195" s="244"/>
      <c r="AM195" s="244"/>
      <c r="AN195" s="244"/>
      <c r="AO195" s="244"/>
      <c r="AP195" s="244"/>
      <c r="AQ195" s="244"/>
      <c r="AR195" s="244"/>
      <c r="AS195" s="249"/>
      <c r="AT195" s="154"/>
      <c r="AU195" s="154"/>
      <c r="AV195" s="154"/>
      <c r="AW195" s="154"/>
      <c r="AX195" s="154"/>
      <c r="AY195" s="154"/>
      <c r="AZ195" s="154"/>
      <c r="BA195" s="154"/>
      <c r="BB195" s="245"/>
      <c r="BC195" s="154"/>
      <c r="BD195" s="154"/>
      <c r="BE195" s="154"/>
      <c r="BF195" s="154"/>
      <c r="BG195" s="154"/>
      <c r="BH195" s="154"/>
      <c r="BI195" s="154"/>
      <c r="BJ195" s="154"/>
      <c r="BK195" s="245"/>
      <c r="BL195" s="154"/>
      <c r="BM195" s="154"/>
      <c r="BN195" s="154"/>
      <c r="BO195" s="154"/>
      <c r="BP195" s="154"/>
      <c r="BQ195" s="154"/>
      <c r="BR195" s="8"/>
      <c r="BS195" s="8"/>
      <c r="BT195" s="8"/>
    </row>
    <row r="196" spans="1:72" s="34" customFormat="1" ht="22.5" customHeight="1" x14ac:dyDescent="0.2">
      <c r="A196" s="104"/>
      <c r="J196" s="249"/>
      <c r="K196" s="244"/>
      <c r="L196" s="244"/>
      <c r="M196" s="244"/>
      <c r="N196" s="244"/>
      <c r="O196" s="244"/>
      <c r="P196" s="244"/>
      <c r="Q196" s="258"/>
      <c r="R196" s="243"/>
      <c r="S196" s="1663"/>
      <c r="T196" s="266"/>
      <c r="U196" s="267"/>
      <c r="V196" s="266"/>
      <c r="W196" s="229"/>
      <c r="X196" s="229"/>
      <c r="Y196" s="244"/>
      <c r="Z196" s="249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9"/>
      <c r="AL196" s="244"/>
      <c r="AM196" s="244"/>
      <c r="AN196" s="244"/>
      <c r="AO196" s="244"/>
      <c r="AP196" s="244"/>
      <c r="AQ196" s="244"/>
      <c r="AR196" s="244"/>
      <c r="AS196" s="249"/>
      <c r="AT196" s="154"/>
      <c r="AU196" s="154"/>
      <c r="AV196" s="154"/>
      <c r="AW196" s="154"/>
      <c r="AX196" s="154"/>
      <c r="AY196" s="154"/>
      <c r="AZ196" s="154"/>
      <c r="BA196" s="154"/>
      <c r="BB196" s="245"/>
      <c r="BC196" s="154"/>
      <c r="BD196" s="154"/>
      <c r="BE196" s="154"/>
      <c r="BF196" s="154"/>
      <c r="BG196" s="154"/>
      <c r="BH196" s="154"/>
      <c r="BI196" s="154"/>
      <c r="BJ196" s="154"/>
      <c r="BK196" s="245"/>
      <c r="BL196" s="154"/>
      <c r="BM196" s="154"/>
      <c r="BN196" s="154"/>
      <c r="BO196" s="154"/>
      <c r="BP196" s="154"/>
      <c r="BQ196" s="154"/>
      <c r="BR196" s="8"/>
      <c r="BS196" s="8"/>
      <c r="BT196" s="8"/>
    </row>
    <row r="197" spans="1:72" s="34" customFormat="1" ht="22.5" customHeight="1" x14ac:dyDescent="0.2">
      <c r="A197" s="104"/>
      <c r="J197" s="249"/>
      <c r="K197" s="244"/>
      <c r="L197" s="244"/>
      <c r="M197" s="244"/>
      <c r="N197" s="244"/>
      <c r="O197" s="244"/>
      <c r="P197" s="244"/>
      <c r="Q197" s="258"/>
      <c r="R197" s="243"/>
      <c r="S197" s="1663"/>
      <c r="T197" s="266"/>
      <c r="U197" s="267"/>
      <c r="V197" s="266"/>
      <c r="W197" s="229"/>
      <c r="X197" s="229"/>
      <c r="Y197" s="244"/>
      <c r="Z197" s="249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9"/>
      <c r="AL197" s="244"/>
      <c r="AM197" s="244"/>
      <c r="AN197" s="244"/>
      <c r="AO197" s="244"/>
      <c r="AP197" s="244"/>
      <c r="AQ197" s="244"/>
      <c r="AR197" s="244"/>
      <c r="AS197" s="249"/>
      <c r="AT197" s="154"/>
      <c r="AU197" s="154"/>
      <c r="AV197" s="154"/>
      <c r="AW197" s="154"/>
      <c r="AX197" s="154"/>
      <c r="AY197" s="154"/>
      <c r="AZ197" s="154"/>
      <c r="BA197" s="154"/>
      <c r="BB197" s="245"/>
      <c r="BC197" s="154"/>
      <c r="BD197" s="154"/>
      <c r="BE197" s="154"/>
      <c r="BF197" s="154"/>
      <c r="BG197" s="154"/>
      <c r="BH197" s="154"/>
      <c r="BI197" s="154"/>
      <c r="BJ197" s="154"/>
      <c r="BK197" s="245"/>
      <c r="BL197" s="154"/>
      <c r="BM197" s="154"/>
      <c r="BN197" s="154"/>
      <c r="BO197" s="154"/>
      <c r="BP197" s="154"/>
      <c r="BQ197" s="154"/>
      <c r="BR197" s="8"/>
      <c r="BS197" s="8"/>
      <c r="BT197" s="8"/>
    </row>
    <row r="198" spans="1:72" s="34" customFormat="1" ht="22.5" customHeight="1" x14ac:dyDescent="0.2">
      <c r="A198" s="104"/>
      <c r="B198" s="104"/>
      <c r="C198" s="1661"/>
      <c r="D198" s="1662"/>
      <c r="E198" s="105"/>
      <c r="F198" s="1662"/>
      <c r="G198" s="1662"/>
      <c r="H198" s="1662"/>
      <c r="I198" s="1662"/>
      <c r="J198" s="249"/>
      <c r="K198" s="244"/>
      <c r="L198" s="244"/>
      <c r="M198" s="244"/>
      <c r="N198" s="244"/>
      <c r="O198" s="244"/>
      <c r="P198" s="244"/>
      <c r="Q198" s="258"/>
      <c r="R198" s="243"/>
      <c r="S198" s="1663"/>
      <c r="T198" s="266"/>
      <c r="U198" s="267"/>
      <c r="V198" s="266"/>
      <c r="W198" s="229"/>
      <c r="X198" s="229"/>
      <c r="Y198" s="244"/>
      <c r="Z198" s="249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  <c r="AK198" s="249"/>
      <c r="AL198" s="244"/>
      <c r="AM198" s="244"/>
      <c r="AN198" s="244"/>
      <c r="AO198" s="244"/>
      <c r="AP198" s="244"/>
      <c r="AQ198" s="244"/>
      <c r="AR198" s="244"/>
      <c r="AS198" s="249"/>
      <c r="AT198" s="154"/>
      <c r="AU198" s="154"/>
      <c r="AV198" s="154"/>
      <c r="AW198" s="154"/>
      <c r="AX198" s="154"/>
      <c r="AY198" s="154"/>
      <c r="AZ198" s="154"/>
      <c r="BA198" s="154"/>
      <c r="BB198" s="245"/>
      <c r="BC198" s="154"/>
      <c r="BD198" s="154"/>
      <c r="BE198" s="154"/>
      <c r="BF198" s="154"/>
      <c r="BG198" s="154"/>
      <c r="BH198" s="154"/>
      <c r="BI198" s="154"/>
      <c r="BJ198" s="154"/>
      <c r="BK198" s="245"/>
      <c r="BL198" s="154"/>
      <c r="BM198" s="154"/>
      <c r="BN198" s="154"/>
      <c r="BO198" s="154"/>
      <c r="BP198" s="154"/>
      <c r="BQ198" s="154"/>
      <c r="BR198" s="8"/>
      <c r="BS198" s="8"/>
      <c r="BT198" s="8"/>
    </row>
    <row r="199" spans="1:72" s="34" customFormat="1" ht="22.5" customHeight="1" x14ac:dyDescent="0.2">
      <c r="A199" s="104"/>
      <c r="B199" s="104"/>
      <c r="C199" s="1661"/>
      <c r="D199" s="1662"/>
      <c r="E199" s="105"/>
      <c r="F199" s="1662"/>
      <c r="G199" s="1662"/>
      <c r="H199" s="1662"/>
      <c r="I199" s="1662"/>
      <c r="J199" s="249"/>
      <c r="K199" s="244"/>
      <c r="L199" s="244"/>
      <c r="M199" s="244"/>
      <c r="N199" s="244"/>
      <c r="O199" s="244"/>
      <c r="P199" s="244"/>
      <c r="Q199" s="258"/>
      <c r="R199" s="243"/>
      <c r="S199" s="1663"/>
      <c r="T199" s="266"/>
      <c r="U199" s="267"/>
      <c r="V199" s="266"/>
      <c r="W199" s="229"/>
      <c r="X199" s="229"/>
      <c r="Y199" s="244"/>
      <c r="Z199" s="249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9"/>
      <c r="AL199" s="244"/>
      <c r="AM199" s="244"/>
      <c r="AN199" s="244"/>
      <c r="AO199" s="244"/>
      <c r="AP199" s="244"/>
      <c r="AQ199" s="244"/>
      <c r="AR199" s="244"/>
      <c r="AS199" s="249"/>
      <c r="AT199" s="154"/>
      <c r="AU199" s="154"/>
      <c r="AV199" s="154"/>
      <c r="AW199" s="154"/>
      <c r="AX199" s="154"/>
      <c r="AY199" s="154"/>
      <c r="AZ199" s="154"/>
      <c r="BA199" s="154"/>
      <c r="BB199" s="245"/>
      <c r="BC199" s="154"/>
      <c r="BD199" s="154"/>
      <c r="BE199" s="154"/>
      <c r="BF199" s="154"/>
      <c r="BG199" s="154"/>
      <c r="BH199" s="154"/>
      <c r="BI199" s="154"/>
      <c r="BJ199" s="154"/>
      <c r="BK199" s="245"/>
      <c r="BL199" s="154"/>
      <c r="BM199" s="154"/>
      <c r="BN199" s="154"/>
      <c r="BO199" s="154"/>
      <c r="BP199" s="154"/>
      <c r="BQ199" s="154"/>
      <c r="BR199" s="8"/>
      <c r="BS199" s="8"/>
      <c r="BT199" s="8"/>
    </row>
    <row r="200" spans="1:72" s="34" customFormat="1" ht="22.5" customHeight="1" x14ac:dyDescent="0.2">
      <c r="A200" s="104"/>
      <c r="B200" s="104"/>
      <c r="C200" s="1661"/>
      <c r="D200" s="1662"/>
      <c r="E200" s="105"/>
      <c r="F200" s="1662"/>
      <c r="G200" s="1662"/>
      <c r="H200" s="1662"/>
      <c r="I200" s="1662"/>
      <c r="J200" s="249"/>
      <c r="K200" s="244"/>
      <c r="L200" s="244"/>
      <c r="M200" s="244"/>
      <c r="N200" s="244"/>
      <c r="O200" s="244"/>
      <c r="P200" s="244"/>
      <c r="Q200" s="258"/>
      <c r="R200" s="243"/>
      <c r="S200" s="1663"/>
      <c r="T200" s="266"/>
      <c r="U200" s="267"/>
      <c r="V200" s="266"/>
      <c r="W200" s="229"/>
      <c r="X200" s="229"/>
      <c r="Y200" s="244"/>
      <c r="Z200" s="249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9"/>
      <c r="AL200" s="244"/>
      <c r="AM200" s="244"/>
      <c r="AN200" s="244"/>
      <c r="AO200" s="244"/>
      <c r="AP200" s="244"/>
      <c r="AQ200" s="244"/>
      <c r="AR200" s="244"/>
      <c r="AS200" s="249"/>
      <c r="AT200" s="154"/>
      <c r="AU200" s="154"/>
      <c r="AV200" s="154"/>
      <c r="AW200" s="154"/>
      <c r="AX200" s="154"/>
      <c r="AY200" s="154"/>
      <c r="AZ200" s="154"/>
      <c r="BA200" s="154"/>
      <c r="BB200" s="245"/>
      <c r="BC200" s="154"/>
      <c r="BD200" s="154"/>
      <c r="BE200" s="154"/>
      <c r="BF200" s="154"/>
      <c r="BG200" s="154"/>
      <c r="BH200" s="154"/>
      <c r="BI200" s="154"/>
      <c r="BJ200" s="154"/>
      <c r="BK200" s="245"/>
      <c r="BL200" s="154"/>
      <c r="BM200" s="154"/>
      <c r="BN200" s="154"/>
      <c r="BO200" s="154"/>
      <c r="BP200" s="154"/>
      <c r="BQ200" s="154"/>
      <c r="BR200" s="8"/>
      <c r="BS200" s="8"/>
      <c r="BT200" s="8"/>
    </row>
    <row r="201" spans="1:72" ht="22.5" customHeight="1" x14ac:dyDescent="0.2"/>
    <row r="202" spans="1:72" ht="22.5" customHeight="1" x14ac:dyDescent="0.2"/>
    <row r="203" spans="1:72" ht="22.5" customHeight="1" x14ac:dyDescent="0.2"/>
    <row r="204" spans="1:72" ht="22.5" customHeight="1" x14ac:dyDescent="0.2"/>
    <row r="205" spans="1:72" ht="22.5" customHeight="1" x14ac:dyDescent="0.2"/>
    <row r="206" spans="1:72" ht="22.5" customHeight="1" x14ac:dyDescent="0.2"/>
    <row r="207" spans="1:72" ht="22.5" customHeight="1" x14ac:dyDescent="0.2"/>
    <row r="208" spans="1:72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</sheetData>
  <customSheetViews>
    <customSheetView guid="{A374FC54-96E3-45F0-9C12-8450400C12DF}" scale="160" topLeftCell="BC1">
      <pane ySplit="4" topLeftCell="A8" activePane="bottomLeft" state="frozen"/>
      <selection pane="bottomLeft" activeCell="BJ18" sqref="BJ18"/>
      <colBreaks count="3" manualBreakCount="3">
        <brk id="9" max="1048575" man="1"/>
        <brk id="18" max="1048575" man="1"/>
        <brk id="54" max="1048575" man="1"/>
      </colBreaks>
      <pageMargins left="0.62992125984252001" right="0.511811023622047" top="0.39370078740157499" bottom="0.511811023622047" header="0.25" footer="0"/>
      <pageSetup paperSize="132" scale="99" firstPageNumber="56" orientation="portrait" useFirstPageNumber="1" r:id="rId1"/>
      <headerFooter alignWithMargins="0">
        <oddFooter>&amp;C&amp;"Times New Roman,Regular"&amp;8&amp;P</oddFooter>
      </headerFooter>
    </customSheetView>
  </customSheetViews>
  <mergeCells count="85">
    <mergeCell ref="X3:X4"/>
    <mergeCell ref="Y3:Y4"/>
    <mergeCell ref="AG3:AG4"/>
    <mergeCell ref="AP3:AP4"/>
    <mergeCell ref="AF3:AF4"/>
    <mergeCell ref="AV3:AV4"/>
    <mergeCell ref="AY3:AY4"/>
    <mergeCell ref="AQ3:AQ4"/>
    <mergeCell ref="AH3:AH4"/>
    <mergeCell ref="AI3:AI4"/>
    <mergeCell ref="AJ3:AJ4"/>
    <mergeCell ref="AB1:AF1"/>
    <mergeCell ref="K3:K4"/>
    <mergeCell ref="W1:AA1"/>
    <mergeCell ref="U3:U4"/>
    <mergeCell ref="V3:V4"/>
    <mergeCell ref="T3:T4"/>
    <mergeCell ref="AE3:AE4"/>
    <mergeCell ref="O3:O4"/>
    <mergeCell ref="P3:P4"/>
    <mergeCell ref="Q3:Q4"/>
    <mergeCell ref="L3:L4"/>
    <mergeCell ref="M3:M4"/>
    <mergeCell ref="N3:N4"/>
    <mergeCell ref="R3:R4"/>
    <mergeCell ref="S3:S4"/>
    <mergeCell ref="W3:W4"/>
    <mergeCell ref="A1:I1"/>
    <mergeCell ref="J1:N1"/>
    <mergeCell ref="P1:R1"/>
    <mergeCell ref="A3:A4"/>
    <mergeCell ref="B3:B4"/>
    <mergeCell ref="C3:C4"/>
    <mergeCell ref="D3:D4"/>
    <mergeCell ref="E3:E4"/>
    <mergeCell ref="H3:H4"/>
    <mergeCell ref="I3:I4"/>
    <mergeCell ref="G3:G4"/>
    <mergeCell ref="J3:J4"/>
    <mergeCell ref="F3:F4"/>
    <mergeCell ref="BR1:BT1"/>
    <mergeCell ref="AP1:AS1"/>
    <mergeCell ref="AT1:AX1"/>
    <mergeCell ref="BL1:BP1"/>
    <mergeCell ref="BG1:BJ1"/>
    <mergeCell ref="AY1:BB1"/>
    <mergeCell ref="BT3:BT4"/>
    <mergeCell ref="BQ3:BQ4"/>
    <mergeCell ref="BP3:BP4"/>
    <mergeCell ref="BR3:BR4"/>
    <mergeCell ref="BS3:BS4"/>
    <mergeCell ref="BO3:BO4"/>
    <mergeCell ref="BG3:BG4"/>
    <mergeCell ref="A5:E5"/>
    <mergeCell ref="BL3:BL4"/>
    <mergeCell ref="AS3:AS4"/>
    <mergeCell ref="AT3:AT4"/>
    <mergeCell ref="AU3:AU4"/>
    <mergeCell ref="AX3:AX4"/>
    <mergeCell ref="AW3:AW4"/>
    <mergeCell ref="Z3:Z4"/>
    <mergeCell ref="AA3:AA4"/>
    <mergeCell ref="AB3:AB4"/>
    <mergeCell ref="AC3:AC4"/>
    <mergeCell ref="AD3:AD4"/>
    <mergeCell ref="AZ3:AZ4"/>
    <mergeCell ref="BB3:BB4"/>
    <mergeCell ref="AI1:AJ1"/>
    <mergeCell ref="AR3:AR4"/>
    <mergeCell ref="AM3:AM4"/>
    <mergeCell ref="AK3:AK4"/>
    <mergeCell ref="AO3:AO4"/>
    <mergeCell ref="AN3:AN4"/>
    <mergeCell ref="AL3:AL4"/>
    <mergeCell ref="BM3:BM4"/>
    <mergeCell ref="BN3:BN4"/>
    <mergeCell ref="BD3:BD4"/>
    <mergeCell ref="BC3:BC4"/>
    <mergeCell ref="BA3:BA4"/>
    <mergeCell ref="BJ3:BJ4"/>
    <mergeCell ref="BK3:BK4"/>
    <mergeCell ref="BE3:BE4"/>
    <mergeCell ref="BF3:BF4"/>
    <mergeCell ref="BH3:BH4"/>
    <mergeCell ref="BI3:BI4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  <colBreaks count="7" manualBreakCount="7">
    <brk id="9" max="1048575" man="1"/>
    <brk id="18" max="1048575" man="1"/>
    <brk id="27" max="1048575" man="1"/>
    <brk id="36" max="1048575" man="1"/>
    <brk id="45" max="1048575" man="1"/>
    <brk id="54" max="1048575" man="1"/>
    <brk id="63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57"/>
  <sheetViews>
    <sheetView zoomScaleSheetLayoutView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9.140625" defaultRowHeight="12.75" x14ac:dyDescent="0.25"/>
  <cols>
    <col min="1" max="1" width="2.28515625" style="395" customWidth="1"/>
    <col min="2" max="2" width="3" style="8" customWidth="1"/>
    <col min="3" max="3" width="2.85546875" style="827" customWidth="1"/>
    <col min="4" max="4" width="33.42578125" style="8" customWidth="1"/>
    <col min="5" max="5" width="7.28515625" style="8" customWidth="1"/>
    <col min="6" max="6" width="7.140625" style="8" customWidth="1"/>
    <col min="7" max="7" width="7" style="8" customWidth="1"/>
    <col min="8" max="8" width="7.28515625" style="8" customWidth="1"/>
    <col min="9" max="9" width="7.5703125" style="8" customWidth="1"/>
    <col min="10" max="10" width="6.85546875" style="8" customWidth="1"/>
    <col min="11" max="12" width="6.7109375" style="8" customWidth="1"/>
    <col min="13" max="13" width="6.85546875" style="8" customWidth="1"/>
    <col min="14" max="14" width="6.7109375" style="8" customWidth="1"/>
    <col min="15" max="15" width="7.28515625" style="8" customWidth="1"/>
    <col min="16" max="16" width="6.85546875" style="8" customWidth="1"/>
    <col min="17" max="17" width="6.7109375" style="8" customWidth="1"/>
    <col min="18" max="18" width="6.140625" style="8" customWidth="1"/>
    <col min="19" max="21" width="7.85546875" style="8" customWidth="1"/>
    <col min="22" max="22" width="6.85546875" style="8" customWidth="1"/>
    <col min="23" max="16384" width="9.140625" style="8"/>
  </cols>
  <sheetData>
    <row r="1" spans="1:23" s="324" customFormat="1" ht="14.25" customHeight="1" x14ac:dyDescent="0.25">
      <c r="A1" s="2782" t="s">
        <v>1523</v>
      </c>
      <c r="B1" s="2782"/>
      <c r="C1" s="2782"/>
      <c r="D1" s="2782"/>
      <c r="E1" s="2782"/>
      <c r="F1" s="2782"/>
      <c r="G1" s="2782"/>
      <c r="H1" s="2782"/>
      <c r="I1" s="2782"/>
      <c r="J1" s="2781" t="s">
        <v>1522</v>
      </c>
      <c r="K1" s="2781"/>
      <c r="L1" s="2781"/>
      <c r="M1" s="2781"/>
      <c r="N1" s="2781"/>
      <c r="O1" s="2781"/>
      <c r="P1" s="2781"/>
      <c r="Q1" s="2781"/>
      <c r="R1" s="2781"/>
      <c r="S1" s="974"/>
      <c r="T1" s="2783" t="s">
        <v>1525</v>
      </c>
      <c r="U1" s="2783"/>
      <c r="V1" s="2783"/>
    </row>
    <row r="2" spans="1:23" s="76" customFormat="1" ht="48" customHeight="1" x14ac:dyDescent="0.2">
      <c r="A2" s="2784" t="s">
        <v>25</v>
      </c>
      <c r="B2" s="2785"/>
      <c r="C2" s="2785"/>
      <c r="D2" s="2786"/>
      <c r="E2" s="825" t="s">
        <v>860</v>
      </c>
      <c r="F2" s="825" t="s">
        <v>861</v>
      </c>
      <c r="G2" s="825" t="s">
        <v>1774</v>
      </c>
      <c r="H2" s="825" t="s">
        <v>1773</v>
      </c>
      <c r="I2" s="825" t="s">
        <v>862</v>
      </c>
      <c r="J2" s="825" t="s">
        <v>863</v>
      </c>
      <c r="K2" s="825" t="s">
        <v>853</v>
      </c>
      <c r="L2" s="825" t="s">
        <v>864</v>
      </c>
      <c r="M2" s="825" t="s">
        <v>865</v>
      </c>
      <c r="N2" s="825" t="s">
        <v>866</v>
      </c>
      <c r="O2" s="973" t="s">
        <v>867</v>
      </c>
      <c r="P2" s="825" t="s">
        <v>1109</v>
      </c>
      <c r="Q2" s="755" t="s">
        <v>1520</v>
      </c>
      <c r="R2" s="825" t="s">
        <v>1521</v>
      </c>
      <c r="S2" s="973" t="s">
        <v>1537</v>
      </c>
      <c r="T2" s="825" t="s">
        <v>2012</v>
      </c>
      <c r="U2" s="1427" t="s">
        <v>2738</v>
      </c>
      <c r="V2" s="1206" t="s">
        <v>2267</v>
      </c>
    </row>
    <row r="3" spans="1:23" s="76" customFormat="1" ht="10.5" customHeight="1" x14ac:dyDescent="0.2">
      <c r="A3" s="2787"/>
      <c r="B3" s="2788"/>
      <c r="C3" s="2788"/>
      <c r="D3" s="2789"/>
      <c r="E3" s="825">
        <v>1</v>
      </c>
      <c r="F3" s="825">
        <v>2</v>
      </c>
      <c r="G3" s="825">
        <v>3</v>
      </c>
      <c r="H3" s="825">
        <v>4</v>
      </c>
      <c r="I3" s="825">
        <v>5</v>
      </c>
      <c r="J3" s="825">
        <v>6</v>
      </c>
      <c r="K3" s="825">
        <v>7</v>
      </c>
      <c r="L3" s="825">
        <v>8</v>
      </c>
      <c r="M3" s="825">
        <v>9</v>
      </c>
      <c r="N3" s="825">
        <v>10</v>
      </c>
      <c r="O3" s="825">
        <v>11</v>
      </c>
      <c r="P3" s="825">
        <v>12</v>
      </c>
      <c r="Q3" s="825">
        <v>13</v>
      </c>
      <c r="R3" s="825">
        <v>14</v>
      </c>
      <c r="S3" s="973">
        <v>15</v>
      </c>
      <c r="T3" s="825">
        <v>16</v>
      </c>
      <c r="U3" s="825">
        <v>17</v>
      </c>
      <c r="V3" s="825">
        <v>18</v>
      </c>
      <c r="W3" s="65"/>
    </row>
    <row r="4" spans="1:23" s="46" customFormat="1" ht="13.5" customHeight="1" x14ac:dyDescent="0.2">
      <c r="A4" s="388" t="s">
        <v>82</v>
      </c>
      <c r="B4" s="2754" t="s">
        <v>83</v>
      </c>
      <c r="C4" s="2754"/>
      <c r="D4" s="2754"/>
      <c r="E4" s="447">
        <v>6</v>
      </c>
      <c r="F4" s="447">
        <v>6</v>
      </c>
      <c r="G4" s="447">
        <v>6</v>
      </c>
      <c r="H4" s="447">
        <v>5</v>
      </c>
      <c r="I4" s="447">
        <v>5</v>
      </c>
      <c r="J4" s="447">
        <v>5</v>
      </c>
      <c r="K4" s="447">
        <v>5</v>
      </c>
      <c r="L4" s="447">
        <v>5</v>
      </c>
      <c r="M4" s="447">
        <v>5</v>
      </c>
      <c r="N4" s="447">
        <v>5</v>
      </c>
      <c r="O4" s="447">
        <v>5</v>
      </c>
      <c r="P4" s="447">
        <v>5</v>
      </c>
      <c r="Q4" s="447">
        <v>5</v>
      </c>
      <c r="R4" s="447">
        <v>5</v>
      </c>
      <c r="S4" s="447">
        <v>5</v>
      </c>
      <c r="T4" s="447">
        <v>4</v>
      </c>
      <c r="U4" s="447">
        <v>4</v>
      </c>
      <c r="V4" s="447">
        <v>4</v>
      </c>
    </row>
    <row r="5" spans="1:23" s="359" customFormat="1" ht="13.5" customHeight="1" x14ac:dyDescent="0.2">
      <c r="A5" s="389" t="s">
        <v>499</v>
      </c>
      <c r="B5" s="2771" t="s">
        <v>854</v>
      </c>
      <c r="C5" s="2771"/>
      <c r="D5" s="2771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8"/>
      <c r="U5" s="448"/>
      <c r="V5" s="448"/>
    </row>
    <row r="6" spans="1:23" s="359" customFormat="1" ht="12" x14ac:dyDescent="0.2">
      <c r="A6" s="2754" t="s">
        <v>921</v>
      </c>
      <c r="B6" s="2754"/>
      <c r="C6" s="2754"/>
      <c r="D6" s="2754"/>
      <c r="E6" s="447"/>
      <c r="F6" s="447"/>
      <c r="G6" s="447"/>
      <c r="H6" s="447"/>
      <c r="I6" s="447"/>
      <c r="J6" s="447"/>
      <c r="K6" s="447"/>
      <c r="L6" s="447"/>
      <c r="M6" s="447"/>
      <c r="N6" s="447"/>
      <c r="O6" s="447"/>
      <c r="P6" s="447"/>
      <c r="Q6" s="447"/>
      <c r="R6" s="447"/>
      <c r="S6" s="447"/>
      <c r="T6" s="447"/>
      <c r="U6" s="447"/>
      <c r="V6" s="447"/>
    </row>
    <row r="7" spans="1:23" s="359" customFormat="1" ht="12" customHeight="1" x14ac:dyDescent="0.2">
      <c r="A7" s="391"/>
      <c r="B7" s="2762" t="s">
        <v>840</v>
      </c>
      <c r="C7" s="2762"/>
      <c r="D7" s="2762"/>
      <c r="E7" s="232">
        <v>8.5</v>
      </c>
      <c r="F7" s="232">
        <v>8.5</v>
      </c>
      <c r="G7" s="232">
        <v>8.5</v>
      </c>
      <c r="H7" s="232">
        <v>8.5</v>
      </c>
      <c r="I7" s="232">
        <v>7.5</v>
      </c>
      <c r="J7" s="232">
        <v>7.5</v>
      </c>
      <c r="K7" s="232">
        <v>7.5</v>
      </c>
      <c r="L7" s="232">
        <v>7.5</v>
      </c>
      <c r="M7" s="232">
        <v>7.5</v>
      </c>
      <c r="N7" s="232">
        <v>7.5</v>
      </c>
      <c r="O7" s="232">
        <v>7.5</v>
      </c>
      <c r="P7" s="232">
        <v>7.5</v>
      </c>
      <c r="Q7" s="232">
        <v>7.5</v>
      </c>
      <c r="R7" s="232">
        <v>5</v>
      </c>
      <c r="S7" s="232">
        <v>7.5</v>
      </c>
      <c r="T7" s="232">
        <v>7.5</v>
      </c>
      <c r="U7" s="232">
        <v>7.5</v>
      </c>
      <c r="V7" s="232">
        <v>7.5</v>
      </c>
    </row>
    <row r="8" spans="1:23" s="360" customFormat="1" ht="13.5" customHeight="1" x14ac:dyDescent="0.2">
      <c r="A8" s="399"/>
      <c r="B8" s="2774" t="s">
        <v>850</v>
      </c>
      <c r="C8" s="2774"/>
      <c r="D8" s="2774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</row>
    <row r="9" spans="1:23" s="359" customFormat="1" ht="12.75" customHeight="1" x14ac:dyDescent="0.2">
      <c r="A9" s="391"/>
      <c r="B9" s="362"/>
      <c r="C9" s="2766" t="s">
        <v>849</v>
      </c>
      <c r="D9" s="2766"/>
      <c r="E9" s="232">
        <v>10.5</v>
      </c>
      <c r="F9" s="232">
        <v>10.5</v>
      </c>
      <c r="G9" s="232">
        <v>10.5</v>
      </c>
      <c r="H9" s="232">
        <v>10.5</v>
      </c>
      <c r="I9" s="232">
        <v>9.5</v>
      </c>
      <c r="J9" s="232">
        <v>9.5</v>
      </c>
      <c r="K9" s="232">
        <v>9.5</v>
      </c>
      <c r="L9" s="232">
        <v>9.5</v>
      </c>
      <c r="M9" s="232">
        <v>9.5</v>
      </c>
      <c r="N9" s="232">
        <v>9.5</v>
      </c>
      <c r="O9" s="232">
        <v>10.4</v>
      </c>
      <c r="P9" s="232">
        <v>10.4</v>
      </c>
      <c r="Q9" s="232">
        <v>10.4</v>
      </c>
      <c r="R9" s="232">
        <v>5</v>
      </c>
      <c r="S9" s="232">
        <v>10.199999999999999</v>
      </c>
      <c r="T9" s="232">
        <v>10.199999999999999</v>
      </c>
      <c r="U9" s="232">
        <v>10.199999999999999</v>
      </c>
      <c r="V9" s="232">
        <v>10.199999999999999</v>
      </c>
    </row>
    <row r="10" spans="1:23" s="359" customFormat="1" ht="12.75" customHeight="1" x14ac:dyDescent="0.2">
      <c r="A10" s="390"/>
      <c r="B10" s="367"/>
      <c r="C10" s="2767" t="s">
        <v>848</v>
      </c>
      <c r="D10" s="2767"/>
      <c r="E10" s="299">
        <v>11.5</v>
      </c>
      <c r="F10" s="299">
        <v>11.5</v>
      </c>
      <c r="G10" s="299">
        <v>11.5</v>
      </c>
      <c r="H10" s="299">
        <v>11.5</v>
      </c>
      <c r="I10" s="299">
        <v>10.5</v>
      </c>
      <c r="J10" s="299">
        <v>10.5</v>
      </c>
      <c r="K10" s="299">
        <v>10.5</v>
      </c>
      <c r="L10" s="299">
        <v>10.5</v>
      </c>
      <c r="M10" s="299">
        <v>10.5</v>
      </c>
      <c r="N10" s="299">
        <v>10.5</v>
      </c>
      <c r="O10" s="299">
        <v>11.4</v>
      </c>
      <c r="P10" s="299">
        <v>11.4</v>
      </c>
      <c r="Q10" s="299">
        <v>11.4</v>
      </c>
      <c r="R10" s="299">
        <v>5.5</v>
      </c>
      <c r="S10" s="299">
        <v>10.7</v>
      </c>
      <c r="T10" s="299">
        <v>10.7</v>
      </c>
      <c r="U10" s="299">
        <v>10.7</v>
      </c>
      <c r="V10" s="299">
        <v>10.7</v>
      </c>
    </row>
    <row r="11" spans="1:23" s="359" customFormat="1" ht="12.75" customHeight="1" x14ac:dyDescent="0.2">
      <c r="A11" s="391"/>
      <c r="B11" s="362"/>
      <c r="C11" s="2766" t="s">
        <v>847</v>
      </c>
      <c r="D11" s="2766"/>
      <c r="E11" s="232">
        <v>12.5</v>
      </c>
      <c r="F11" s="232">
        <v>12.5</v>
      </c>
      <c r="G11" s="232">
        <v>12.5</v>
      </c>
      <c r="H11" s="232">
        <v>12.5</v>
      </c>
      <c r="I11" s="232">
        <v>11.5</v>
      </c>
      <c r="J11" s="232">
        <v>11.5</v>
      </c>
      <c r="K11" s="232">
        <v>11.5</v>
      </c>
      <c r="L11" s="232">
        <v>11.5</v>
      </c>
      <c r="M11" s="232">
        <v>11.5</v>
      </c>
      <c r="N11" s="232">
        <v>11.5</v>
      </c>
      <c r="O11" s="232" t="s">
        <v>2013</v>
      </c>
      <c r="P11" s="232" t="s">
        <v>2013</v>
      </c>
      <c r="Q11" s="232" t="s">
        <v>2023</v>
      </c>
      <c r="R11" s="232" t="s">
        <v>2024</v>
      </c>
      <c r="S11" s="232" t="s">
        <v>2023</v>
      </c>
      <c r="T11" s="232" t="s">
        <v>2023</v>
      </c>
      <c r="U11" s="232" t="s">
        <v>2023</v>
      </c>
      <c r="V11" s="232" t="s">
        <v>2023</v>
      </c>
    </row>
    <row r="12" spans="1:23" s="360" customFormat="1" ht="12.75" customHeight="1" x14ac:dyDescent="0.2">
      <c r="A12" s="399"/>
      <c r="B12" s="2774" t="s">
        <v>843</v>
      </c>
      <c r="C12" s="2774"/>
      <c r="D12" s="2774"/>
      <c r="E12" s="449"/>
      <c r="F12" s="449"/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</row>
    <row r="13" spans="1:23" s="359" customFormat="1" ht="12.75" customHeight="1" x14ac:dyDescent="0.2">
      <c r="A13" s="391"/>
      <c r="B13" s="362"/>
      <c r="C13" s="2762" t="s">
        <v>849</v>
      </c>
      <c r="D13" s="2762"/>
      <c r="E13" s="232">
        <v>9.5</v>
      </c>
      <c r="F13" s="232">
        <v>9.5</v>
      </c>
      <c r="G13" s="232">
        <v>9.5</v>
      </c>
      <c r="H13" s="232">
        <v>9.5</v>
      </c>
      <c r="I13" s="232">
        <v>8.5</v>
      </c>
      <c r="J13" s="232">
        <v>8.5</v>
      </c>
      <c r="K13" s="232">
        <v>8.5</v>
      </c>
      <c r="L13" s="232">
        <v>8.5</v>
      </c>
      <c r="M13" s="232">
        <v>8.5</v>
      </c>
      <c r="N13" s="232">
        <v>8.5</v>
      </c>
      <c r="O13" s="232">
        <v>10</v>
      </c>
      <c r="P13" s="232">
        <v>10</v>
      </c>
      <c r="Q13" s="232">
        <v>10</v>
      </c>
      <c r="R13" s="232">
        <v>4</v>
      </c>
      <c r="S13" s="232">
        <v>9</v>
      </c>
      <c r="T13" s="232">
        <v>9</v>
      </c>
      <c r="U13" s="232">
        <v>9</v>
      </c>
      <c r="V13" s="232">
        <v>9</v>
      </c>
    </row>
    <row r="14" spans="1:23" s="359" customFormat="1" ht="12.75" customHeight="1" x14ac:dyDescent="0.2">
      <c r="A14" s="390"/>
      <c r="B14" s="367"/>
      <c r="C14" s="2772" t="s">
        <v>848</v>
      </c>
      <c r="D14" s="2772"/>
      <c r="E14" s="299">
        <v>10</v>
      </c>
      <c r="F14" s="299">
        <v>10</v>
      </c>
      <c r="G14" s="299">
        <v>10</v>
      </c>
      <c r="H14" s="299">
        <v>10</v>
      </c>
      <c r="I14" s="299">
        <v>9</v>
      </c>
      <c r="J14" s="299">
        <v>9</v>
      </c>
      <c r="K14" s="299">
        <v>9</v>
      </c>
      <c r="L14" s="299">
        <v>9</v>
      </c>
      <c r="M14" s="299">
        <v>9</v>
      </c>
      <c r="N14" s="299">
        <v>9</v>
      </c>
      <c r="O14" s="299">
        <v>10.5</v>
      </c>
      <c r="P14" s="299">
        <v>10.5</v>
      </c>
      <c r="Q14" s="299">
        <v>10.5</v>
      </c>
      <c r="R14" s="299">
        <v>4.5</v>
      </c>
      <c r="S14" s="299">
        <v>9.5</v>
      </c>
      <c r="T14" s="299">
        <v>9.5</v>
      </c>
      <c r="U14" s="299">
        <v>9.5</v>
      </c>
      <c r="V14" s="299">
        <v>9.5</v>
      </c>
    </row>
    <row r="15" spans="1:23" s="359" customFormat="1" ht="12.75" customHeight="1" x14ac:dyDescent="0.2">
      <c r="A15" s="391"/>
      <c r="B15" s="362"/>
      <c r="C15" s="2762" t="s">
        <v>847</v>
      </c>
      <c r="D15" s="2762"/>
      <c r="E15" s="232">
        <v>10.5</v>
      </c>
      <c r="F15" s="232">
        <v>10.5</v>
      </c>
      <c r="G15" s="232">
        <v>10.5</v>
      </c>
      <c r="H15" s="232">
        <v>10.5</v>
      </c>
      <c r="I15" s="232">
        <v>9.5</v>
      </c>
      <c r="J15" s="232">
        <v>9.5</v>
      </c>
      <c r="K15" s="232">
        <v>9.5</v>
      </c>
      <c r="L15" s="232">
        <v>9.5</v>
      </c>
      <c r="M15" s="232">
        <v>9.5</v>
      </c>
      <c r="N15" s="232">
        <v>9.5</v>
      </c>
      <c r="O15" s="232">
        <v>11</v>
      </c>
      <c r="P15" s="232">
        <v>11</v>
      </c>
      <c r="Q15" s="232">
        <v>11</v>
      </c>
      <c r="R15" s="232">
        <v>5</v>
      </c>
      <c r="S15" s="232">
        <v>10</v>
      </c>
      <c r="T15" s="232">
        <v>10</v>
      </c>
      <c r="U15" s="232">
        <v>10</v>
      </c>
      <c r="V15" s="232">
        <v>10</v>
      </c>
    </row>
    <row r="16" spans="1:23" s="359" customFormat="1" ht="13.5" customHeight="1" x14ac:dyDescent="0.2">
      <c r="A16" s="2791" t="s">
        <v>922</v>
      </c>
      <c r="B16" s="2791"/>
      <c r="C16" s="2791"/>
      <c r="D16" s="2791"/>
      <c r="E16" s="271"/>
      <c r="F16" s="271"/>
      <c r="G16" s="271"/>
      <c r="H16" s="271"/>
      <c r="I16" s="271"/>
      <c r="J16" s="271"/>
      <c r="K16" s="271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</row>
    <row r="17" spans="1:22" s="359" customFormat="1" ht="12" customHeight="1" x14ac:dyDescent="0.2">
      <c r="A17" s="393"/>
      <c r="B17" s="2770" t="s">
        <v>855</v>
      </c>
      <c r="C17" s="2770"/>
      <c r="D17" s="2770"/>
      <c r="E17" s="215">
        <v>13.5</v>
      </c>
      <c r="F17" s="215">
        <v>12</v>
      </c>
      <c r="G17" s="215">
        <v>12</v>
      </c>
      <c r="H17" s="215">
        <v>12</v>
      </c>
      <c r="I17" s="215">
        <v>12</v>
      </c>
      <c r="J17" s="215">
        <v>11.5</v>
      </c>
      <c r="K17" s="215">
        <v>11.5</v>
      </c>
      <c r="L17" s="215">
        <v>10</v>
      </c>
      <c r="M17" s="237">
        <v>10</v>
      </c>
      <c r="N17" s="237">
        <v>10</v>
      </c>
      <c r="O17" s="237" t="s">
        <v>2014</v>
      </c>
      <c r="P17" s="237" t="s">
        <v>2014</v>
      </c>
      <c r="Q17" s="237" t="s">
        <v>2025</v>
      </c>
      <c r="R17" s="237" t="s">
        <v>2025</v>
      </c>
      <c r="S17" s="237" t="s">
        <v>2025</v>
      </c>
      <c r="T17" s="237" t="s">
        <v>2025</v>
      </c>
      <c r="U17" s="237" t="s">
        <v>2025</v>
      </c>
      <c r="V17" s="237" t="s">
        <v>2025</v>
      </c>
    </row>
    <row r="18" spans="1:22" s="359" customFormat="1" ht="12" customHeight="1" x14ac:dyDescent="0.2">
      <c r="A18" s="392"/>
      <c r="B18" s="2768" t="s">
        <v>856</v>
      </c>
      <c r="C18" s="2768"/>
      <c r="D18" s="2768"/>
      <c r="E18" s="271">
        <v>14.5</v>
      </c>
      <c r="F18" s="271">
        <v>12.5</v>
      </c>
      <c r="G18" s="271">
        <v>12.5</v>
      </c>
      <c r="H18" s="271">
        <v>12.5</v>
      </c>
      <c r="I18" s="271">
        <v>12.5</v>
      </c>
      <c r="J18" s="271">
        <v>12</v>
      </c>
      <c r="K18" s="271">
        <v>12</v>
      </c>
      <c r="L18" s="271">
        <v>10.5</v>
      </c>
      <c r="M18" s="276">
        <v>10.5</v>
      </c>
      <c r="N18" s="276">
        <v>10.5</v>
      </c>
      <c r="O18" s="276" t="s">
        <v>2015</v>
      </c>
      <c r="P18" s="271" t="s">
        <v>2015</v>
      </c>
      <c r="Q18" s="271" t="s">
        <v>2026</v>
      </c>
      <c r="R18" s="271" t="s">
        <v>2026</v>
      </c>
      <c r="S18" s="271" t="s">
        <v>2026</v>
      </c>
      <c r="T18" s="271" t="s">
        <v>2026</v>
      </c>
      <c r="U18" s="271" t="s">
        <v>2026</v>
      </c>
      <c r="V18" s="271" t="s">
        <v>2026</v>
      </c>
    </row>
    <row r="19" spans="1:22" s="359" customFormat="1" ht="12" customHeight="1" x14ac:dyDescent="0.2">
      <c r="A19" s="393"/>
      <c r="B19" s="2790" t="s">
        <v>857</v>
      </c>
      <c r="C19" s="2790"/>
      <c r="D19" s="2790"/>
      <c r="E19" s="450" t="s">
        <v>576</v>
      </c>
      <c r="F19" s="450" t="s">
        <v>576</v>
      </c>
      <c r="G19" s="450" t="s">
        <v>576</v>
      </c>
      <c r="H19" s="450" t="s">
        <v>576</v>
      </c>
      <c r="I19" s="450" t="s">
        <v>576</v>
      </c>
      <c r="J19" s="450">
        <v>12.5</v>
      </c>
      <c r="K19" s="339">
        <v>12.5</v>
      </c>
      <c r="L19" s="215">
        <v>12.5</v>
      </c>
      <c r="M19" s="215">
        <v>11</v>
      </c>
      <c r="N19" s="237">
        <v>11</v>
      </c>
      <c r="O19" s="237" t="s">
        <v>2015</v>
      </c>
      <c r="P19" s="237" t="s">
        <v>2015</v>
      </c>
      <c r="Q19" s="237" t="s">
        <v>2027</v>
      </c>
      <c r="R19" s="237" t="s">
        <v>2027</v>
      </c>
      <c r="S19" s="237" t="s">
        <v>2027</v>
      </c>
      <c r="T19" s="237" t="s">
        <v>2027</v>
      </c>
      <c r="U19" s="237" t="s">
        <v>2027</v>
      </c>
      <c r="V19" s="237" t="s">
        <v>2027</v>
      </c>
    </row>
    <row r="20" spans="1:22" s="359" customFormat="1" ht="12.75" customHeight="1" x14ac:dyDescent="0.2">
      <c r="A20" s="392"/>
      <c r="B20" s="2793" t="s">
        <v>858</v>
      </c>
      <c r="C20" s="2793"/>
      <c r="D20" s="2793"/>
      <c r="E20" s="451" t="s">
        <v>576</v>
      </c>
      <c r="F20" s="451" t="s">
        <v>576</v>
      </c>
      <c r="G20" s="451" t="s">
        <v>576</v>
      </c>
      <c r="H20" s="451" t="s">
        <v>576</v>
      </c>
      <c r="I20" s="451" t="s">
        <v>576</v>
      </c>
      <c r="J20" s="451" t="s">
        <v>576</v>
      </c>
      <c r="K20" s="451" t="s">
        <v>576</v>
      </c>
      <c r="L20" s="451" t="s">
        <v>576</v>
      </c>
      <c r="M20" s="451">
        <v>11.04</v>
      </c>
      <c r="N20" s="276">
        <v>11.04</v>
      </c>
      <c r="O20" s="276" t="s">
        <v>2016</v>
      </c>
      <c r="P20" s="275" t="s">
        <v>2016</v>
      </c>
      <c r="Q20" s="275" t="s">
        <v>2028</v>
      </c>
      <c r="R20" s="275" t="s">
        <v>2028</v>
      </c>
      <c r="S20" s="275" t="s">
        <v>2028</v>
      </c>
      <c r="T20" s="275" t="s">
        <v>2028</v>
      </c>
      <c r="U20" s="275" t="s">
        <v>2028</v>
      </c>
      <c r="V20" s="275" t="s">
        <v>2028</v>
      </c>
    </row>
    <row r="21" spans="1:22" s="359" customFormat="1" ht="12.75" customHeight="1" x14ac:dyDescent="0.2">
      <c r="A21" s="2792" t="s">
        <v>1324</v>
      </c>
      <c r="B21" s="2792"/>
      <c r="C21" s="2792"/>
      <c r="D21" s="2792"/>
      <c r="E21" s="157"/>
      <c r="F21" s="157"/>
      <c r="G21" s="157"/>
      <c r="H21" s="396"/>
      <c r="I21" s="396"/>
      <c r="J21" s="396"/>
      <c r="K21" s="396"/>
      <c r="L21" s="396"/>
      <c r="M21" s="396"/>
      <c r="N21" s="396"/>
      <c r="O21" s="396"/>
      <c r="P21" s="396"/>
      <c r="Q21" s="396"/>
      <c r="R21" s="396"/>
      <c r="S21" s="396"/>
      <c r="T21" s="396"/>
      <c r="U21" s="396"/>
      <c r="V21" s="396"/>
    </row>
    <row r="22" spans="1:22" s="359" customFormat="1" ht="12.75" customHeight="1" x14ac:dyDescent="0.2">
      <c r="A22" s="392"/>
      <c r="B22" s="369"/>
      <c r="C22" s="2758" t="s">
        <v>834</v>
      </c>
      <c r="D22" s="2758"/>
      <c r="E22" s="387" t="s">
        <v>833</v>
      </c>
      <c r="F22" s="387" t="s">
        <v>833</v>
      </c>
      <c r="G22" s="387" t="s">
        <v>833</v>
      </c>
      <c r="H22" s="387" t="s">
        <v>833</v>
      </c>
      <c r="I22" s="387" t="s">
        <v>833</v>
      </c>
      <c r="J22" s="387" t="s">
        <v>833</v>
      </c>
      <c r="K22" s="387" t="s">
        <v>833</v>
      </c>
      <c r="L22" s="387" t="s">
        <v>833</v>
      </c>
      <c r="M22" s="387" t="s">
        <v>833</v>
      </c>
      <c r="N22" s="387" t="s">
        <v>833</v>
      </c>
      <c r="O22" s="387" t="s">
        <v>833</v>
      </c>
      <c r="P22" s="387" t="s">
        <v>833</v>
      </c>
      <c r="Q22" s="387" t="s">
        <v>833</v>
      </c>
      <c r="R22" s="387" t="s">
        <v>833</v>
      </c>
      <c r="S22" s="387" t="s">
        <v>833</v>
      </c>
      <c r="T22" s="387" t="s">
        <v>833</v>
      </c>
      <c r="U22" s="387" t="s">
        <v>833</v>
      </c>
      <c r="V22" s="387" t="s">
        <v>833</v>
      </c>
    </row>
    <row r="23" spans="1:22" s="359" customFormat="1" ht="12.75" customHeight="1" x14ac:dyDescent="0.2">
      <c r="A23" s="393"/>
      <c r="B23" s="157"/>
      <c r="C23" s="2759" t="s">
        <v>835</v>
      </c>
      <c r="D23" s="2759"/>
      <c r="E23" s="409">
        <v>9</v>
      </c>
      <c r="F23" s="409">
        <v>9</v>
      </c>
      <c r="G23" s="409">
        <v>9</v>
      </c>
      <c r="H23" s="409">
        <v>9</v>
      </c>
      <c r="I23" s="409">
        <v>9</v>
      </c>
      <c r="J23" s="409">
        <v>9</v>
      </c>
      <c r="K23" s="409">
        <v>9</v>
      </c>
      <c r="L23" s="409">
        <v>9</v>
      </c>
      <c r="M23" s="409">
        <v>7.5</v>
      </c>
      <c r="N23" s="409">
        <v>8.5</v>
      </c>
      <c r="O23" s="409">
        <v>8.5</v>
      </c>
      <c r="P23" s="409">
        <v>8.6999999999999993</v>
      </c>
      <c r="Q23" s="409">
        <v>8.6999999999999993</v>
      </c>
      <c r="R23" s="409">
        <v>8.6999999999999993</v>
      </c>
      <c r="S23" s="409">
        <v>8.6999999999999993</v>
      </c>
      <c r="T23" s="409">
        <v>8.6999999999999993</v>
      </c>
      <c r="U23" s="409">
        <v>8.6999999999999993</v>
      </c>
      <c r="V23" s="409">
        <v>8.6999999999999993</v>
      </c>
    </row>
    <row r="24" spans="1:22" s="359" customFormat="1" ht="12.75" customHeight="1" x14ac:dyDescent="0.2">
      <c r="A24" s="392"/>
      <c r="B24" s="369"/>
      <c r="C24" s="2758" t="s">
        <v>836</v>
      </c>
      <c r="D24" s="2758"/>
      <c r="E24" s="283">
        <v>10</v>
      </c>
      <c r="F24" s="283">
        <v>10</v>
      </c>
      <c r="G24" s="283">
        <v>10</v>
      </c>
      <c r="H24" s="283">
        <v>10</v>
      </c>
      <c r="I24" s="283">
        <v>10</v>
      </c>
      <c r="J24" s="283">
        <v>10</v>
      </c>
      <c r="K24" s="283">
        <v>10</v>
      </c>
      <c r="L24" s="283">
        <v>10</v>
      </c>
      <c r="M24" s="283">
        <v>8.25</v>
      </c>
      <c r="N24" s="283">
        <v>9.25</v>
      </c>
      <c r="O24" s="283">
        <v>9.25</v>
      </c>
      <c r="P24" s="283">
        <v>9.4499999999999993</v>
      </c>
      <c r="Q24" s="283">
        <v>9.4499999999999993</v>
      </c>
      <c r="R24" s="283">
        <v>9.4499999999999993</v>
      </c>
      <c r="S24" s="283">
        <v>9.4499999999999993</v>
      </c>
      <c r="T24" s="283">
        <v>9.4499999999999993</v>
      </c>
      <c r="U24" s="283">
        <v>9.4499999999999993</v>
      </c>
      <c r="V24" s="283">
        <v>9.4499999999999993</v>
      </c>
    </row>
    <row r="25" spans="1:22" s="359" customFormat="1" ht="12.75" customHeight="1" x14ac:dyDescent="0.2">
      <c r="A25" s="393"/>
      <c r="B25" s="157"/>
      <c r="C25" s="2759" t="s">
        <v>837</v>
      </c>
      <c r="D25" s="2759"/>
      <c r="E25" s="409">
        <v>11</v>
      </c>
      <c r="F25" s="409">
        <v>11</v>
      </c>
      <c r="G25" s="409">
        <v>11</v>
      </c>
      <c r="H25" s="409">
        <v>11</v>
      </c>
      <c r="I25" s="409">
        <v>11</v>
      </c>
      <c r="J25" s="409">
        <v>11</v>
      </c>
      <c r="K25" s="409">
        <v>11</v>
      </c>
      <c r="L25" s="409">
        <v>11</v>
      </c>
      <c r="M25" s="409">
        <v>9</v>
      </c>
      <c r="N25" s="409">
        <v>10</v>
      </c>
      <c r="O25" s="409">
        <v>10</v>
      </c>
      <c r="P25" s="409">
        <v>10.199999999999999</v>
      </c>
      <c r="Q25" s="409">
        <v>10.199999999999999</v>
      </c>
      <c r="R25" s="409">
        <v>10.199999999999999</v>
      </c>
      <c r="S25" s="409">
        <v>10.199999999999999</v>
      </c>
      <c r="T25" s="409">
        <v>10.199999999999999</v>
      </c>
      <c r="U25" s="409">
        <v>10.199999999999999</v>
      </c>
      <c r="V25" s="409">
        <v>10.199999999999999</v>
      </c>
    </row>
    <row r="26" spans="1:22" s="359" customFormat="1" ht="12.75" customHeight="1" x14ac:dyDescent="0.2">
      <c r="A26" s="392"/>
      <c r="B26" s="369"/>
      <c r="C26" s="2760" t="s">
        <v>838</v>
      </c>
      <c r="D26" s="2760"/>
      <c r="E26" s="281">
        <v>12</v>
      </c>
      <c r="F26" s="281">
        <v>12</v>
      </c>
      <c r="G26" s="281">
        <v>12</v>
      </c>
      <c r="H26" s="281">
        <v>12</v>
      </c>
      <c r="I26" s="281">
        <v>12</v>
      </c>
      <c r="J26" s="281">
        <v>12</v>
      </c>
      <c r="K26" s="281">
        <v>12</v>
      </c>
      <c r="L26" s="281">
        <v>12</v>
      </c>
      <c r="M26" s="281">
        <v>10.5</v>
      </c>
      <c r="N26" s="281">
        <v>11</v>
      </c>
      <c r="O26" s="281">
        <v>11</v>
      </c>
      <c r="P26" s="281">
        <v>11.2</v>
      </c>
      <c r="Q26" s="281">
        <v>11.2</v>
      </c>
      <c r="R26" s="281">
        <v>11.2</v>
      </c>
      <c r="S26" s="281">
        <v>11.2</v>
      </c>
      <c r="T26" s="281">
        <v>11.2</v>
      </c>
      <c r="U26" s="281">
        <v>11.2</v>
      </c>
      <c r="V26" s="281">
        <v>11.2</v>
      </c>
    </row>
    <row r="27" spans="1:22" s="365" customFormat="1" ht="12.75" customHeight="1" x14ac:dyDescent="0.2">
      <c r="A27" s="393"/>
      <c r="B27" s="158"/>
      <c r="C27" s="2761" t="s">
        <v>839</v>
      </c>
      <c r="D27" s="2761"/>
      <c r="E27" s="25">
        <v>12</v>
      </c>
      <c r="F27" s="25">
        <v>12</v>
      </c>
      <c r="G27" s="25">
        <v>12</v>
      </c>
      <c r="H27" s="25">
        <v>12</v>
      </c>
      <c r="I27" s="25">
        <v>12</v>
      </c>
      <c r="J27" s="25">
        <v>12</v>
      </c>
      <c r="K27" s="25">
        <v>12</v>
      </c>
      <c r="L27" s="25">
        <v>12</v>
      </c>
      <c r="M27" s="25">
        <v>10.5</v>
      </c>
      <c r="N27" s="25" t="s">
        <v>2017</v>
      </c>
      <c r="O27" s="25" t="s">
        <v>2017</v>
      </c>
      <c r="P27" s="25" t="s">
        <v>2029</v>
      </c>
      <c r="Q27" s="25" t="s">
        <v>2029</v>
      </c>
      <c r="R27" s="25" t="s">
        <v>2029</v>
      </c>
      <c r="S27" s="25" t="s">
        <v>2029</v>
      </c>
      <c r="T27" s="25" t="s">
        <v>2029</v>
      </c>
      <c r="U27" s="25" t="s">
        <v>2029</v>
      </c>
      <c r="V27" s="25" t="s">
        <v>2029</v>
      </c>
    </row>
    <row r="28" spans="1:22" s="359" customFormat="1" x14ac:dyDescent="0.25">
      <c r="A28" s="2773" t="s">
        <v>1325</v>
      </c>
      <c r="B28" s="2773"/>
      <c r="C28" s="2773"/>
      <c r="D28" s="2773"/>
      <c r="E28" s="366"/>
      <c r="F28" s="366"/>
      <c r="G28" s="366"/>
      <c r="H28" s="366"/>
      <c r="I28" s="366"/>
      <c r="J28" s="366"/>
      <c r="K28" s="366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8"/>
    </row>
    <row r="29" spans="1:22" s="359" customFormat="1" ht="12.75" customHeight="1" x14ac:dyDescent="0.15">
      <c r="A29" s="391"/>
      <c r="B29" s="362"/>
      <c r="C29" s="2776" t="s">
        <v>844</v>
      </c>
      <c r="D29" s="2776"/>
      <c r="E29" s="232" t="s">
        <v>576</v>
      </c>
      <c r="F29" s="232" t="s">
        <v>576</v>
      </c>
      <c r="G29" s="1026" t="s">
        <v>831</v>
      </c>
      <c r="H29" s="397" t="s">
        <v>831</v>
      </c>
      <c r="I29" s="397" t="s">
        <v>831</v>
      </c>
      <c r="J29" s="397" t="s">
        <v>831</v>
      </c>
      <c r="K29" s="397" t="s">
        <v>831</v>
      </c>
      <c r="L29" s="397" t="s">
        <v>831</v>
      </c>
      <c r="M29" s="397" t="s">
        <v>831</v>
      </c>
      <c r="N29" s="397" t="s">
        <v>831</v>
      </c>
      <c r="O29" s="397" t="s">
        <v>831</v>
      </c>
      <c r="P29" s="397" t="s">
        <v>831</v>
      </c>
      <c r="Q29" s="397" t="s">
        <v>831</v>
      </c>
      <c r="R29" s="397" t="s">
        <v>831</v>
      </c>
      <c r="S29" s="397" t="s">
        <v>831</v>
      </c>
      <c r="T29" s="397" t="s">
        <v>831</v>
      </c>
      <c r="U29" s="397" t="s">
        <v>831</v>
      </c>
      <c r="V29" s="397" t="s">
        <v>831</v>
      </c>
    </row>
    <row r="30" spans="1:22" s="359" customFormat="1" ht="12.75" customHeight="1" x14ac:dyDescent="0.2">
      <c r="A30" s="390"/>
      <c r="B30" s="367"/>
      <c r="C30" s="2758" t="s">
        <v>845</v>
      </c>
      <c r="D30" s="2758"/>
      <c r="E30" s="299" t="s">
        <v>576</v>
      </c>
      <c r="F30" s="299" t="s">
        <v>576</v>
      </c>
      <c r="G30" s="299">
        <v>6.5</v>
      </c>
      <c r="H30" s="283">
        <v>6.5</v>
      </c>
      <c r="I30" s="283">
        <v>6.5</v>
      </c>
      <c r="J30" s="283">
        <v>6.5</v>
      </c>
      <c r="K30" s="283">
        <v>6.5</v>
      </c>
      <c r="L30" s="283">
        <v>6.5</v>
      </c>
      <c r="M30" s="283">
        <v>6.5</v>
      </c>
      <c r="N30" s="283">
        <v>6.5</v>
      </c>
      <c r="O30" s="283">
        <v>6.5</v>
      </c>
      <c r="P30" s="283">
        <v>6.5</v>
      </c>
      <c r="Q30" s="283">
        <v>6.5</v>
      </c>
      <c r="R30" s="283">
        <v>6.5</v>
      </c>
      <c r="S30" s="283">
        <v>6.5</v>
      </c>
      <c r="T30" s="283">
        <v>6.5</v>
      </c>
      <c r="U30" s="283">
        <v>4.5</v>
      </c>
      <c r="V30" s="283">
        <v>6.5</v>
      </c>
    </row>
    <row r="31" spans="1:22" s="359" customFormat="1" ht="12.75" customHeight="1" x14ac:dyDescent="0.2">
      <c r="A31" s="391"/>
      <c r="B31" s="362"/>
      <c r="C31" s="2759" t="s">
        <v>846</v>
      </c>
      <c r="D31" s="2759"/>
      <c r="E31" s="232" t="s">
        <v>576</v>
      </c>
      <c r="F31" s="232" t="s">
        <v>576</v>
      </c>
      <c r="G31" s="232">
        <v>7</v>
      </c>
      <c r="H31" s="409">
        <v>7</v>
      </c>
      <c r="I31" s="409">
        <v>7</v>
      </c>
      <c r="J31" s="409">
        <v>7</v>
      </c>
      <c r="K31" s="409">
        <v>7</v>
      </c>
      <c r="L31" s="409">
        <v>7</v>
      </c>
      <c r="M31" s="409">
        <v>7</v>
      </c>
      <c r="N31" s="409">
        <v>7</v>
      </c>
      <c r="O31" s="409">
        <v>7</v>
      </c>
      <c r="P31" s="409">
        <v>7</v>
      </c>
      <c r="Q31" s="409">
        <v>7</v>
      </c>
      <c r="R31" s="409">
        <v>7</v>
      </c>
      <c r="S31" s="409">
        <v>7</v>
      </c>
      <c r="T31" s="409">
        <v>7</v>
      </c>
      <c r="U31" s="409">
        <v>5</v>
      </c>
      <c r="V31" s="409">
        <v>7</v>
      </c>
    </row>
    <row r="32" spans="1:22" s="359" customFormat="1" ht="12" customHeight="1" x14ac:dyDescent="0.2">
      <c r="A32" s="390"/>
      <c r="B32" s="367"/>
      <c r="C32" s="2769" t="s">
        <v>859</v>
      </c>
      <c r="D32" s="2769"/>
      <c r="E32" s="299" t="s">
        <v>576</v>
      </c>
      <c r="F32" s="299" t="s">
        <v>576</v>
      </c>
      <c r="G32" s="299">
        <v>7.5</v>
      </c>
      <c r="H32" s="283">
        <v>7.5</v>
      </c>
      <c r="I32" s="283">
        <v>7.5</v>
      </c>
      <c r="J32" s="283">
        <v>7.5</v>
      </c>
      <c r="K32" s="283">
        <v>7.5</v>
      </c>
      <c r="L32" s="283">
        <v>7.5</v>
      </c>
      <c r="M32" s="283">
        <v>7.5</v>
      </c>
      <c r="N32" s="283">
        <v>7.5</v>
      </c>
      <c r="O32" s="283">
        <v>7.5</v>
      </c>
      <c r="P32" s="283">
        <v>7.5</v>
      </c>
      <c r="Q32" s="283">
        <v>7.5</v>
      </c>
      <c r="R32" s="283">
        <v>7.5</v>
      </c>
      <c r="S32" s="283">
        <v>7.5</v>
      </c>
      <c r="T32" s="283">
        <v>7.5</v>
      </c>
      <c r="U32" s="283">
        <v>5.5</v>
      </c>
      <c r="V32" s="283">
        <v>7.5</v>
      </c>
    </row>
    <row r="33" spans="1:22" s="157" customFormat="1" ht="12.75" customHeight="1" x14ac:dyDescent="0.25">
      <c r="A33" s="2780" t="s">
        <v>1326</v>
      </c>
      <c r="B33" s="2780"/>
      <c r="C33" s="2780"/>
      <c r="D33" s="2780"/>
      <c r="H33" s="396"/>
      <c r="I33" s="396"/>
      <c r="J33" s="396"/>
      <c r="K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96"/>
    </row>
    <row r="34" spans="1:22" s="157" customFormat="1" ht="12.75" customHeight="1" x14ac:dyDescent="0.25">
      <c r="A34" s="394"/>
      <c r="B34" s="369"/>
      <c r="C34" s="2769" t="s">
        <v>844</v>
      </c>
      <c r="D34" s="2769"/>
      <c r="E34" s="299" t="s">
        <v>576</v>
      </c>
      <c r="F34" s="299" t="s">
        <v>576</v>
      </c>
      <c r="G34" s="1027" t="s">
        <v>832</v>
      </c>
      <c r="H34" s="386" t="s">
        <v>832</v>
      </c>
      <c r="I34" s="386" t="s">
        <v>832</v>
      </c>
      <c r="J34" s="386" t="s">
        <v>832</v>
      </c>
      <c r="K34" s="386" t="s">
        <v>832</v>
      </c>
      <c r="L34" s="386" t="s">
        <v>832</v>
      </c>
      <c r="M34" s="386" t="s">
        <v>832</v>
      </c>
      <c r="N34" s="386" t="s">
        <v>832</v>
      </c>
      <c r="O34" s="386" t="s">
        <v>832</v>
      </c>
      <c r="P34" s="386" t="s">
        <v>832</v>
      </c>
      <c r="Q34" s="386" t="s">
        <v>832</v>
      </c>
      <c r="R34" s="386" t="s">
        <v>832</v>
      </c>
      <c r="S34" s="386" t="s">
        <v>832</v>
      </c>
      <c r="T34" s="386" t="s">
        <v>832</v>
      </c>
      <c r="U34" s="386" t="s">
        <v>832</v>
      </c>
      <c r="V34" s="386" t="s">
        <v>832</v>
      </c>
    </row>
    <row r="35" spans="1:22" s="157" customFormat="1" ht="12.75" customHeight="1" x14ac:dyDescent="0.25">
      <c r="A35" s="398"/>
      <c r="C35" s="2759" t="s">
        <v>845</v>
      </c>
      <c r="D35" s="2759"/>
      <c r="E35" s="232" t="s">
        <v>576</v>
      </c>
      <c r="F35" s="232" t="s">
        <v>576</v>
      </c>
      <c r="G35" s="232">
        <v>5.5</v>
      </c>
      <c r="H35" s="409">
        <v>5.5</v>
      </c>
      <c r="I35" s="409">
        <v>5.5</v>
      </c>
      <c r="J35" s="409">
        <v>5.5</v>
      </c>
      <c r="K35" s="409">
        <v>5.5</v>
      </c>
      <c r="L35" s="409">
        <v>5.5</v>
      </c>
      <c r="M35" s="409">
        <v>5.5</v>
      </c>
      <c r="N35" s="409">
        <v>5.5</v>
      </c>
      <c r="O35" s="409">
        <v>5.5</v>
      </c>
      <c r="P35" s="409">
        <v>5.5</v>
      </c>
      <c r="Q35" s="409">
        <v>5.5</v>
      </c>
      <c r="R35" s="409">
        <v>5.5</v>
      </c>
      <c r="S35" s="409">
        <v>5.5</v>
      </c>
      <c r="T35" s="409">
        <v>5.5</v>
      </c>
      <c r="U35" s="409">
        <v>4</v>
      </c>
      <c r="V35" s="409">
        <v>5.5</v>
      </c>
    </row>
    <row r="36" spans="1:22" s="157" customFormat="1" ht="12.75" customHeight="1" x14ac:dyDescent="0.25">
      <c r="A36" s="394"/>
      <c r="B36" s="369"/>
      <c r="C36" s="2758" t="s">
        <v>846</v>
      </c>
      <c r="D36" s="2758"/>
      <c r="E36" s="299" t="s">
        <v>576</v>
      </c>
      <c r="F36" s="299" t="s">
        <v>576</v>
      </c>
      <c r="G36" s="299">
        <v>6</v>
      </c>
      <c r="H36" s="283">
        <v>6</v>
      </c>
      <c r="I36" s="283">
        <v>6</v>
      </c>
      <c r="J36" s="283">
        <v>6</v>
      </c>
      <c r="K36" s="283">
        <v>6</v>
      </c>
      <c r="L36" s="283">
        <v>6</v>
      </c>
      <c r="M36" s="283">
        <v>6</v>
      </c>
      <c r="N36" s="283">
        <v>6</v>
      </c>
      <c r="O36" s="283">
        <v>6</v>
      </c>
      <c r="P36" s="283">
        <v>6</v>
      </c>
      <c r="Q36" s="283">
        <v>6</v>
      </c>
      <c r="R36" s="283">
        <v>6</v>
      </c>
      <c r="S36" s="283">
        <v>6</v>
      </c>
      <c r="T36" s="283">
        <v>6</v>
      </c>
      <c r="U36" s="283">
        <v>4.5</v>
      </c>
      <c r="V36" s="283">
        <v>6</v>
      </c>
    </row>
    <row r="37" spans="1:22" s="157" customFormat="1" ht="12.75" customHeight="1" x14ac:dyDescent="0.25">
      <c r="A37" s="398"/>
      <c r="C37" s="2765" t="s">
        <v>859</v>
      </c>
      <c r="D37" s="2765"/>
      <c r="E37" s="232" t="s">
        <v>576</v>
      </c>
      <c r="F37" s="232" t="s">
        <v>576</v>
      </c>
      <c r="G37" s="232">
        <v>6.5</v>
      </c>
      <c r="H37" s="409">
        <v>6.5</v>
      </c>
      <c r="I37" s="409">
        <v>6.5</v>
      </c>
      <c r="J37" s="409">
        <v>6.5</v>
      </c>
      <c r="K37" s="409">
        <v>6.5</v>
      </c>
      <c r="L37" s="409">
        <v>6.5</v>
      </c>
      <c r="M37" s="409">
        <v>6.5</v>
      </c>
      <c r="N37" s="409">
        <v>6.5</v>
      </c>
      <c r="O37" s="409">
        <v>6.5</v>
      </c>
      <c r="P37" s="409">
        <v>6.5</v>
      </c>
      <c r="Q37" s="409">
        <v>6.5</v>
      </c>
      <c r="R37" s="409">
        <v>6.5</v>
      </c>
      <c r="S37" s="409">
        <v>6.5</v>
      </c>
      <c r="T37" s="409">
        <v>6.5</v>
      </c>
      <c r="U37" s="409">
        <v>5</v>
      </c>
      <c r="V37" s="409">
        <v>6.5</v>
      </c>
    </row>
    <row r="38" spans="1:22" s="157" customFormat="1" ht="22.5" customHeight="1" x14ac:dyDescent="0.2">
      <c r="A38" s="401" t="s">
        <v>84</v>
      </c>
      <c r="B38" s="2778" t="s">
        <v>868</v>
      </c>
      <c r="C38" s="2778"/>
      <c r="D38" s="2778"/>
      <c r="E38" s="400"/>
      <c r="F38" s="400"/>
      <c r="G38" s="400"/>
      <c r="H38" s="400"/>
      <c r="I38" s="400"/>
      <c r="J38" s="400"/>
      <c r="K38" s="400"/>
      <c r="L38" s="402"/>
      <c r="M38" s="402"/>
      <c r="N38" s="402"/>
      <c r="O38" s="402"/>
      <c r="P38" s="402"/>
      <c r="Q38" s="402"/>
      <c r="R38" s="402"/>
      <c r="S38" s="402"/>
      <c r="T38" s="402"/>
      <c r="U38" s="402"/>
      <c r="V38" s="402"/>
    </row>
    <row r="39" spans="1:22" s="157" customFormat="1" ht="13.5" customHeight="1" x14ac:dyDescent="0.2">
      <c r="A39" s="391"/>
      <c r="B39" s="2764" t="s">
        <v>841</v>
      </c>
      <c r="C39" s="2764"/>
      <c r="D39" s="2764"/>
      <c r="E39" s="361"/>
      <c r="F39" s="361"/>
      <c r="G39" s="361"/>
      <c r="H39" s="361"/>
      <c r="I39" s="361"/>
      <c r="J39" s="361"/>
      <c r="K39" s="361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</row>
    <row r="40" spans="1:22" s="157" customFormat="1" ht="13.5" customHeight="1" x14ac:dyDescent="0.2">
      <c r="A40" s="390"/>
      <c r="B40" s="367"/>
      <c r="C40" s="2779" t="s">
        <v>280</v>
      </c>
      <c r="D40" s="2779"/>
      <c r="E40" s="299">
        <v>13</v>
      </c>
      <c r="F40" s="299">
        <v>13</v>
      </c>
      <c r="G40" s="299">
        <v>13</v>
      </c>
      <c r="H40" s="299">
        <v>13</v>
      </c>
      <c r="I40" s="299">
        <v>13</v>
      </c>
      <c r="J40" s="299">
        <v>13</v>
      </c>
      <c r="K40" s="299">
        <v>12</v>
      </c>
      <c r="L40" s="273">
        <v>12</v>
      </c>
      <c r="M40" s="273">
        <v>12</v>
      </c>
      <c r="N40" s="273">
        <v>12</v>
      </c>
      <c r="O40" s="273">
        <v>12</v>
      </c>
      <c r="P40" s="273">
        <v>12</v>
      </c>
      <c r="Q40" s="273">
        <v>12</v>
      </c>
      <c r="R40" s="273">
        <v>12</v>
      </c>
      <c r="S40" s="273">
        <v>12</v>
      </c>
      <c r="T40" s="273">
        <v>12</v>
      </c>
      <c r="U40" s="273">
        <v>12</v>
      </c>
      <c r="V40" s="273">
        <v>12</v>
      </c>
    </row>
    <row r="41" spans="1:22" s="157" customFormat="1" ht="13.5" customHeight="1" x14ac:dyDescent="0.2">
      <c r="A41" s="391"/>
      <c r="B41" s="362"/>
      <c r="C41" s="2777" t="s">
        <v>279</v>
      </c>
      <c r="D41" s="2777"/>
      <c r="E41" s="232">
        <v>15</v>
      </c>
      <c r="F41" s="232">
        <v>15</v>
      </c>
      <c r="G41" s="232">
        <v>15</v>
      </c>
      <c r="H41" s="232">
        <v>15</v>
      </c>
      <c r="I41" s="232">
        <v>15</v>
      </c>
      <c r="J41" s="232">
        <v>15</v>
      </c>
      <c r="K41" s="232">
        <v>12</v>
      </c>
      <c r="L41" s="217">
        <v>12</v>
      </c>
      <c r="M41" s="217">
        <v>12</v>
      </c>
      <c r="N41" s="217">
        <v>12</v>
      </c>
      <c r="O41" s="217">
        <v>12</v>
      </c>
      <c r="P41" s="217">
        <v>12</v>
      </c>
      <c r="Q41" s="217">
        <v>12</v>
      </c>
      <c r="R41" s="217">
        <v>12</v>
      </c>
      <c r="S41" s="217">
        <v>12</v>
      </c>
      <c r="T41" s="217">
        <v>12</v>
      </c>
      <c r="U41" s="217">
        <v>12</v>
      </c>
      <c r="V41" s="217">
        <v>12</v>
      </c>
    </row>
    <row r="42" spans="1:22" s="157" customFormat="1" ht="13.5" customHeight="1" thickBot="1" x14ac:dyDescent="0.25">
      <c r="A42" s="403"/>
      <c r="B42" s="2775" t="s">
        <v>842</v>
      </c>
      <c r="C42" s="2775"/>
      <c r="D42" s="2775"/>
      <c r="E42" s="317">
        <v>10</v>
      </c>
      <c r="F42" s="317">
        <v>10</v>
      </c>
      <c r="G42" s="317">
        <v>10</v>
      </c>
      <c r="H42" s="317">
        <v>10</v>
      </c>
      <c r="I42" s="317">
        <v>10</v>
      </c>
      <c r="J42" s="317">
        <v>10</v>
      </c>
      <c r="K42" s="317">
        <v>10</v>
      </c>
      <c r="L42" s="445">
        <v>10</v>
      </c>
      <c r="M42" s="445">
        <v>10</v>
      </c>
      <c r="N42" s="445">
        <v>10</v>
      </c>
      <c r="O42" s="445">
        <v>10</v>
      </c>
      <c r="P42" s="445">
        <v>10</v>
      </c>
      <c r="Q42" s="445">
        <v>10</v>
      </c>
      <c r="R42" s="445">
        <v>10</v>
      </c>
      <c r="S42" s="445">
        <v>10</v>
      </c>
      <c r="T42" s="445">
        <v>10</v>
      </c>
      <c r="U42" s="445">
        <v>10</v>
      </c>
      <c r="V42" s="445">
        <v>10</v>
      </c>
    </row>
    <row r="43" spans="1:22" s="158" customFormat="1" ht="10.5" customHeight="1" x14ac:dyDescent="0.2">
      <c r="A43" s="404" t="s">
        <v>30</v>
      </c>
      <c r="B43" s="265"/>
      <c r="C43" s="2763" t="s">
        <v>1363</v>
      </c>
      <c r="D43" s="2763"/>
      <c r="E43" s="828"/>
      <c r="F43" s="828"/>
      <c r="G43" s="828"/>
      <c r="K43" s="408" t="s">
        <v>2018</v>
      </c>
      <c r="L43" s="264"/>
      <c r="M43" s="406"/>
      <c r="N43" s="364"/>
      <c r="O43" s="364"/>
      <c r="P43" s="364"/>
      <c r="Q43" s="364"/>
      <c r="R43" s="364"/>
      <c r="S43" s="364"/>
      <c r="T43" s="364"/>
      <c r="U43" s="364"/>
      <c r="V43" s="364"/>
    </row>
    <row r="44" spans="1:22" s="264" customFormat="1" ht="9.75" customHeight="1" x14ac:dyDescent="0.15">
      <c r="A44" s="404"/>
      <c r="B44" s="265"/>
      <c r="C44" s="2763" t="s">
        <v>1327</v>
      </c>
      <c r="D44" s="2763"/>
      <c r="E44" s="2763"/>
      <c r="F44" s="2763"/>
      <c r="G44" s="2763"/>
      <c r="K44" s="408" t="s">
        <v>2019</v>
      </c>
      <c r="L44" s="126"/>
      <c r="M44" s="126"/>
      <c r="N44" s="406"/>
    </row>
    <row r="45" spans="1:22" s="264" customFormat="1" ht="9.75" customHeight="1" x14ac:dyDescent="0.15">
      <c r="A45" s="405"/>
      <c r="B45" s="265"/>
      <c r="C45" s="2763" t="s">
        <v>1364</v>
      </c>
      <c r="D45" s="2763"/>
      <c r="E45" s="406"/>
      <c r="F45" s="406"/>
      <c r="G45" s="406"/>
      <c r="K45" s="408" t="s">
        <v>2020</v>
      </c>
    </row>
    <row r="46" spans="1:22" s="264" customFormat="1" ht="9.75" customHeight="1" x14ac:dyDescent="0.15">
      <c r="A46" s="405"/>
      <c r="B46" s="265"/>
      <c r="C46" s="975"/>
      <c r="D46" s="126" t="s">
        <v>450</v>
      </c>
      <c r="F46" s="406"/>
      <c r="G46" s="406"/>
      <c r="H46" s="406"/>
      <c r="K46" s="408" t="s">
        <v>2021</v>
      </c>
    </row>
    <row r="47" spans="1:22" s="13" customFormat="1" ht="9.75" customHeight="1" x14ac:dyDescent="0.15">
      <c r="A47" s="563"/>
      <c r="D47" s="126"/>
      <c r="E47" s="264"/>
      <c r="F47" s="126"/>
      <c r="G47" s="126"/>
      <c r="H47" s="126"/>
      <c r="K47" s="408" t="s">
        <v>2022</v>
      </c>
    </row>
    <row r="48" spans="1:22" s="13" customFormat="1" ht="9.75" customHeight="1" x14ac:dyDescent="0.15">
      <c r="A48" s="407"/>
      <c r="E48" s="126"/>
      <c r="F48" s="126"/>
      <c r="G48" s="126"/>
      <c r="H48" s="126"/>
    </row>
    <row r="54" spans="2:8" x14ac:dyDescent="0.25">
      <c r="B54" s="377"/>
      <c r="C54" s="380"/>
      <c r="D54" s="381"/>
      <c r="E54" s="375"/>
      <c r="F54" s="376"/>
      <c r="G54" s="375"/>
      <c r="H54" s="375"/>
    </row>
    <row r="55" spans="2:8" x14ac:dyDescent="0.25">
      <c r="B55" s="382"/>
      <c r="C55" s="380"/>
      <c r="D55" s="383"/>
      <c r="E55" s="375"/>
      <c r="F55" s="376"/>
      <c r="G55" s="384"/>
      <c r="H55" s="384"/>
    </row>
    <row r="56" spans="2:8" x14ac:dyDescent="0.25">
      <c r="B56" s="385"/>
      <c r="C56" s="385"/>
      <c r="D56" s="379"/>
      <c r="E56" s="385"/>
      <c r="F56" s="385"/>
      <c r="G56" s="385"/>
      <c r="H56" s="385"/>
    </row>
    <row r="57" spans="2:8" x14ac:dyDescent="0.25">
      <c r="B57" s="378"/>
      <c r="C57" s="385"/>
      <c r="D57" s="379"/>
      <c r="E57" s="385"/>
      <c r="F57" s="385"/>
      <c r="G57" s="385"/>
      <c r="H57" s="385"/>
    </row>
  </sheetData>
  <customSheetViews>
    <customSheetView guid="{A374FC54-96E3-45F0-9C12-8450400C12DF}" scale="130">
      <pane xSplit="4" ySplit="3" topLeftCell="L34" activePane="bottomRight" state="frozen"/>
      <selection pane="bottomRight" activeCell="H49" sqref="H49"/>
      <pageMargins left="0.511811023622047" right="0.511811023622047" top="0.511811023622047" bottom="0.511811023622047" header="0" footer="0.43307086614173201"/>
      <pageSetup paperSize="132" firstPageNumber="64" orientation="portrait" useFirstPageNumber="1" r:id="rId1"/>
      <headerFooter alignWithMargins="0">
        <oddFooter>&amp;C&amp;"Times New Roman,Regular"&amp;8&amp;P</oddFooter>
      </headerFooter>
    </customSheetView>
  </customSheetViews>
  <mergeCells count="46">
    <mergeCell ref="J1:R1"/>
    <mergeCell ref="A1:I1"/>
    <mergeCell ref="T1:V1"/>
    <mergeCell ref="C22:D22"/>
    <mergeCell ref="A6:D6"/>
    <mergeCell ref="A2:D3"/>
    <mergeCell ref="B19:D19"/>
    <mergeCell ref="C11:D11"/>
    <mergeCell ref="B12:D12"/>
    <mergeCell ref="A16:D16"/>
    <mergeCell ref="A21:D21"/>
    <mergeCell ref="B20:D20"/>
    <mergeCell ref="C44:G44"/>
    <mergeCell ref="B42:D42"/>
    <mergeCell ref="C29:D29"/>
    <mergeCell ref="C30:D30"/>
    <mergeCell ref="C31:D31"/>
    <mergeCell ref="C36:D36"/>
    <mergeCell ref="C34:D34"/>
    <mergeCell ref="C35:D35"/>
    <mergeCell ref="C41:D41"/>
    <mergeCell ref="B38:D38"/>
    <mergeCell ref="C43:D43"/>
    <mergeCell ref="C40:D40"/>
    <mergeCell ref="A33:D33"/>
    <mergeCell ref="C45:D45"/>
    <mergeCell ref="B39:D39"/>
    <mergeCell ref="C37:D37"/>
    <mergeCell ref="B4:D4"/>
    <mergeCell ref="C9:D9"/>
    <mergeCell ref="C10:D10"/>
    <mergeCell ref="B18:D18"/>
    <mergeCell ref="C32:D32"/>
    <mergeCell ref="B17:D17"/>
    <mergeCell ref="B5:D5"/>
    <mergeCell ref="C13:D13"/>
    <mergeCell ref="C23:D23"/>
    <mergeCell ref="C14:D14"/>
    <mergeCell ref="C15:D15"/>
    <mergeCell ref="A28:D28"/>
    <mergeCell ref="B8:D8"/>
    <mergeCell ref="C24:D24"/>
    <mergeCell ref="C25:D25"/>
    <mergeCell ref="C26:D26"/>
    <mergeCell ref="C27:D27"/>
    <mergeCell ref="B7:D7"/>
  </mergeCells>
  <phoneticPr fontId="0" type="noConversion"/>
  <pageMargins left="0.62992125984252001" right="0.511811023622047" top="0.31496062992126" bottom="2.5590551E-2" header="0" footer="6.4960630000000005E-2"/>
  <pageSetup paperSize="448" scale="87" orientation="portrait" r:id="rId2"/>
  <headerFooter differentFirst="1" alignWithMargins="0">
    <oddFooter>&amp;C&amp;"Times New Roman,Regular"&amp;8&amp;P</oddFooter>
  </headerFooter>
  <colBreaks count="1" manualBreakCount="1">
    <brk id="9" max="48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BO50"/>
  <sheetViews>
    <sheetView zoomScale="120" zoomScaleNormal="120" workbookViewId="0"/>
  </sheetViews>
  <sheetFormatPr defaultColWidth="9.140625" defaultRowHeight="11.25" x14ac:dyDescent="0.2"/>
  <cols>
    <col min="1" max="1" width="3.42578125" style="8" customWidth="1"/>
    <col min="2" max="2" width="16.28515625" style="13" customWidth="1"/>
    <col min="3" max="3" width="7.7109375" style="8" customWidth="1"/>
    <col min="4" max="4" width="7.28515625" style="8" customWidth="1"/>
    <col min="5" max="5" width="7.140625" style="8" customWidth="1"/>
    <col min="6" max="7" width="7.42578125" style="8" customWidth="1"/>
    <col min="8" max="8" width="6.42578125" style="8" customWidth="1"/>
    <col min="9" max="9" width="6.5703125" style="8" customWidth="1"/>
    <col min="10" max="10" width="8.140625" style="8" customWidth="1"/>
    <col min="11" max="11" width="6.28515625" style="8" customWidth="1"/>
    <col min="12" max="12" width="7.7109375" style="8" customWidth="1"/>
    <col min="13" max="13" width="7.85546875" style="8" customWidth="1"/>
    <col min="14" max="14" width="7.5703125" style="8" customWidth="1"/>
    <col min="15" max="15" width="7.7109375" style="8" customWidth="1"/>
    <col min="16" max="16" width="6.42578125" style="8" customWidth="1"/>
    <col min="17" max="17" width="7" style="8" customWidth="1"/>
    <col min="18" max="18" width="6.5703125" style="8" customWidth="1"/>
    <col min="19" max="19" width="5.42578125" style="8" customWidth="1"/>
    <col min="20" max="20" width="16.5703125" style="13" customWidth="1"/>
    <col min="21" max="21" width="4.140625" style="8" customWidth="1"/>
    <col min="22" max="22" width="15.85546875" style="13" customWidth="1"/>
    <col min="23" max="23" width="10.42578125" style="8" customWidth="1"/>
    <col min="24" max="24" width="8.42578125" style="154" customWidth="1"/>
    <col min="25" max="25" width="10.42578125" style="8" customWidth="1"/>
    <col min="26" max="26" width="9.85546875" style="8" customWidth="1"/>
    <col min="27" max="28" width="9.7109375" style="8" customWidth="1"/>
    <col min="29" max="29" width="10" style="8" customWidth="1"/>
    <col min="30" max="30" width="8.85546875" style="8" customWidth="1"/>
    <col min="31" max="31" width="11" style="8" customWidth="1"/>
    <col min="32" max="32" width="9.28515625" style="8" customWidth="1"/>
    <col min="33" max="33" width="8.42578125" style="8" customWidth="1"/>
    <col min="34" max="34" width="9" style="8" customWidth="1"/>
    <col min="35" max="35" width="4" style="8" customWidth="1"/>
    <col min="36" max="36" width="18.5703125" style="13" customWidth="1"/>
    <col min="37" max="37" width="2.85546875" style="8" customWidth="1"/>
    <col min="38" max="38" width="16" style="13" customWidth="1"/>
    <col min="39" max="39" width="8.42578125" style="8" customWidth="1"/>
    <col min="40" max="40" width="8.28515625" style="8" customWidth="1"/>
    <col min="41" max="41" width="8.85546875" style="8" customWidth="1"/>
    <col min="42" max="42" width="9.28515625" style="8" customWidth="1"/>
    <col min="43" max="43" width="8.5703125" style="8" customWidth="1"/>
    <col min="44" max="44" width="8.140625" style="8" customWidth="1"/>
    <col min="45" max="45" width="7.85546875" style="8" customWidth="1"/>
    <col min="46" max="46" width="8.5703125" style="8" customWidth="1"/>
    <col min="47" max="47" width="8.7109375" style="8" customWidth="1"/>
    <col min="48" max="48" width="8.28515625" style="8" customWidth="1"/>
    <col min="49" max="49" width="8.7109375" style="8" customWidth="1"/>
    <col min="50" max="50" width="8.28515625" style="8" customWidth="1"/>
    <col min="51" max="51" width="7.7109375" style="8" customWidth="1"/>
    <col min="52" max="52" width="9.7109375" style="8" customWidth="1"/>
    <col min="53" max="53" width="2.85546875" style="8" customWidth="1"/>
    <col min="54" max="54" width="16.140625" style="13" customWidth="1"/>
    <col min="55" max="55" width="3" style="8" customWidth="1"/>
    <col min="56" max="56" width="18" style="13" customWidth="1"/>
    <col min="57" max="57" width="13.28515625" style="8" customWidth="1"/>
    <col min="58" max="58" width="14.28515625" style="8" customWidth="1"/>
    <col min="59" max="59" width="14.42578125" style="8" customWidth="1"/>
    <col min="60" max="61" width="13" style="8" customWidth="1"/>
    <col min="62" max="62" width="12.7109375" style="8" customWidth="1"/>
    <col min="63" max="63" width="12.85546875" style="8" customWidth="1"/>
    <col min="64" max="64" width="10.140625" style="8" customWidth="1"/>
    <col min="65" max="65" width="10.85546875" style="8" customWidth="1"/>
    <col min="66" max="66" width="3" style="8" customWidth="1"/>
    <col min="67" max="67" width="16.7109375" style="13" customWidth="1"/>
    <col min="68" max="16384" width="9.140625" style="8"/>
  </cols>
  <sheetData>
    <row r="1" spans="1:67" s="2" customFormat="1" ht="13.5" customHeight="1" x14ac:dyDescent="0.2">
      <c r="A1" s="2" t="s">
        <v>1776</v>
      </c>
      <c r="B1" s="2321" t="s">
        <v>797</v>
      </c>
      <c r="C1" s="2321"/>
      <c r="D1" s="2321"/>
      <c r="E1" s="2321"/>
      <c r="F1" s="2321"/>
      <c r="G1" s="2321"/>
      <c r="H1" s="2321"/>
      <c r="I1" s="2321"/>
      <c r="J1" s="2321"/>
      <c r="K1" s="2814" t="s">
        <v>2984</v>
      </c>
      <c r="L1" s="2814"/>
      <c r="M1" s="2814"/>
      <c r="N1" s="2814"/>
      <c r="O1" s="2814"/>
      <c r="P1" s="2814"/>
      <c r="Q1" s="2814"/>
      <c r="R1" s="814"/>
      <c r="S1" s="997" t="s">
        <v>1067</v>
      </c>
      <c r="T1" s="997"/>
      <c r="U1" s="2321" t="s">
        <v>1790</v>
      </c>
      <c r="V1" s="2321"/>
      <c r="W1" s="2321"/>
      <c r="X1" s="2321"/>
      <c r="Y1" s="2321"/>
      <c r="Z1" s="2321"/>
      <c r="AA1" s="2321"/>
      <c r="AB1" s="2321"/>
      <c r="AC1" s="2814" t="s">
        <v>2984</v>
      </c>
      <c r="AD1" s="2814"/>
      <c r="AE1" s="2814"/>
      <c r="AF1" s="2814"/>
      <c r="AG1" s="2814"/>
      <c r="AH1" s="2814"/>
      <c r="AI1" s="2815" t="s">
        <v>1067</v>
      </c>
      <c r="AJ1" s="2815"/>
      <c r="AK1" s="2816" t="s">
        <v>2459</v>
      </c>
      <c r="AL1" s="2816"/>
      <c r="AM1" s="2816"/>
      <c r="AN1" s="2816"/>
      <c r="AO1" s="2816"/>
      <c r="AP1" s="2816"/>
      <c r="AQ1" s="2816"/>
      <c r="AR1" s="2816"/>
      <c r="AS1" s="2816"/>
      <c r="AT1" s="2818" t="s">
        <v>2984</v>
      </c>
      <c r="AU1" s="2818"/>
      <c r="AV1" s="2818"/>
      <c r="AW1" s="2818"/>
      <c r="AX1" s="2818"/>
      <c r="AY1" s="2818"/>
      <c r="AZ1" s="1670"/>
      <c r="BA1" s="2817" t="s">
        <v>1067</v>
      </c>
      <c r="BB1" s="2817"/>
      <c r="BD1" s="710"/>
      <c r="BE1" s="2321" t="s">
        <v>797</v>
      </c>
      <c r="BF1" s="2321"/>
      <c r="BG1" s="2321"/>
      <c r="BH1" s="2321"/>
      <c r="BI1" s="2818" t="s">
        <v>2985</v>
      </c>
      <c r="BJ1" s="2818"/>
      <c r="BK1" s="2818"/>
      <c r="BL1" s="2818"/>
      <c r="BM1" s="1670"/>
      <c r="BN1" s="2815" t="s">
        <v>1068</v>
      </c>
      <c r="BO1" s="2815"/>
    </row>
    <row r="2" spans="1:67" ht="11.25" customHeight="1" x14ac:dyDescent="0.2">
      <c r="C2" s="711"/>
      <c r="D2" s="711"/>
      <c r="E2" s="711"/>
      <c r="F2" s="711"/>
      <c r="G2" s="711"/>
      <c r="H2" s="711"/>
      <c r="I2" s="711"/>
      <c r="J2" s="711"/>
      <c r="K2" s="711"/>
      <c r="L2" s="2808"/>
      <c r="M2" s="2808"/>
      <c r="N2" s="712"/>
      <c r="O2" s="712"/>
      <c r="P2" s="712"/>
      <c r="Q2" s="712"/>
      <c r="S2" s="1397"/>
      <c r="T2" s="1597" t="s">
        <v>500</v>
      </c>
      <c r="Y2" s="2812"/>
      <c r="Z2" s="2812"/>
      <c r="AA2" s="1669"/>
      <c r="AB2" s="1669"/>
      <c r="AC2" s="1669"/>
      <c r="AD2" s="1669"/>
      <c r="AE2" s="1669"/>
      <c r="AF2" s="1669"/>
      <c r="AG2" s="712"/>
      <c r="AI2" s="1397"/>
      <c r="AJ2" s="1597" t="s">
        <v>500</v>
      </c>
      <c r="AK2" s="1397"/>
      <c r="AL2" s="1597"/>
      <c r="AM2" s="711"/>
      <c r="AN2" s="711"/>
      <c r="AO2" s="1671"/>
      <c r="AP2" s="1669"/>
      <c r="AQ2" s="1669"/>
      <c r="AR2" s="1669"/>
      <c r="AS2" s="1669"/>
      <c r="AT2" s="1669"/>
      <c r="AU2" s="1669"/>
      <c r="AV2" s="1669"/>
      <c r="AW2" s="712"/>
      <c r="AX2" s="712"/>
      <c r="AY2" s="712"/>
      <c r="AZ2" s="712"/>
      <c r="BA2" s="1397"/>
      <c r="BB2" s="1597" t="s">
        <v>500</v>
      </c>
      <c r="BE2" s="711"/>
      <c r="BF2" s="711"/>
      <c r="BG2" s="2819"/>
      <c r="BH2" s="2819"/>
      <c r="BI2" s="2808"/>
      <c r="BJ2" s="2808"/>
      <c r="BK2" s="2808"/>
      <c r="BL2" s="712"/>
      <c r="BM2" s="712"/>
      <c r="BN2" s="1397"/>
      <c r="BO2" s="1597" t="s">
        <v>500</v>
      </c>
    </row>
    <row r="3" spans="1:67" s="713" customFormat="1" ht="13.5" customHeight="1" x14ac:dyDescent="0.2">
      <c r="A3" s="2803" t="s">
        <v>141</v>
      </c>
      <c r="B3" s="2804"/>
      <c r="C3" s="2809" t="s">
        <v>97</v>
      </c>
      <c r="D3" s="2810"/>
      <c r="E3" s="2810"/>
      <c r="F3" s="2810"/>
      <c r="G3" s="2810"/>
      <c r="H3" s="2811"/>
      <c r="I3" s="2800" t="s">
        <v>1988</v>
      </c>
      <c r="J3" s="2801"/>
      <c r="K3" s="2802"/>
      <c r="L3" s="2809" t="s">
        <v>143</v>
      </c>
      <c r="M3" s="2810"/>
      <c r="N3" s="2810"/>
      <c r="O3" s="2810"/>
      <c r="P3" s="2810"/>
      <c r="Q3" s="2810"/>
      <c r="R3" s="2811"/>
      <c r="S3" s="2803" t="s">
        <v>141</v>
      </c>
      <c r="T3" s="2804"/>
      <c r="U3" s="2803" t="s">
        <v>141</v>
      </c>
      <c r="V3" s="2804"/>
      <c r="W3" s="2809" t="s">
        <v>593</v>
      </c>
      <c r="X3" s="2810"/>
      <c r="Y3" s="2810"/>
      <c r="Z3" s="2810"/>
      <c r="AA3" s="2810"/>
      <c r="AB3" s="2810"/>
      <c r="AC3" s="2810"/>
      <c r="AD3" s="2810"/>
      <c r="AE3" s="2810"/>
      <c r="AF3" s="2810"/>
      <c r="AG3" s="2810"/>
      <c r="AH3" s="2811"/>
      <c r="AI3" s="2803" t="s">
        <v>141</v>
      </c>
      <c r="AJ3" s="2804"/>
      <c r="AK3" s="2821" t="s">
        <v>141</v>
      </c>
      <c r="AL3" s="2822"/>
      <c r="AM3" s="2809" t="s">
        <v>593</v>
      </c>
      <c r="AN3" s="2810"/>
      <c r="AO3" s="2810"/>
      <c r="AP3" s="2810"/>
      <c r="AQ3" s="2810"/>
      <c r="AR3" s="2810"/>
      <c r="AS3" s="2810"/>
      <c r="AT3" s="2810"/>
      <c r="AU3" s="2810"/>
      <c r="AV3" s="2810"/>
      <c r="AW3" s="2810"/>
      <c r="AX3" s="2810"/>
      <c r="AY3" s="2810"/>
      <c r="AZ3" s="2811"/>
      <c r="BA3" s="2820" t="s">
        <v>141</v>
      </c>
      <c r="BB3" s="2804"/>
      <c r="BC3" s="2803" t="s">
        <v>141</v>
      </c>
      <c r="BD3" s="2804"/>
      <c r="BE3" s="2809" t="s">
        <v>594</v>
      </c>
      <c r="BF3" s="2810"/>
      <c r="BG3" s="2810"/>
      <c r="BH3" s="2810"/>
      <c r="BI3" s="2810"/>
      <c r="BJ3" s="2810"/>
      <c r="BK3" s="2810"/>
      <c r="BL3" s="2810"/>
      <c r="BM3" s="2811"/>
      <c r="BN3" s="2803" t="s">
        <v>141</v>
      </c>
      <c r="BO3" s="2804"/>
    </row>
    <row r="4" spans="1:67" s="231" customFormat="1" ht="24" customHeight="1" x14ac:dyDescent="0.2">
      <c r="A4" s="2805"/>
      <c r="B4" s="2806"/>
      <c r="C4" s="1657" t="s">
        <v>1432</v>
      </c>
      <c r="D4" s="1657" t="s">
        <v>1433</v>
      </c>
      <c r="E4" s="1657" t="s">
        <v>1434</v>
      </c>
      <c r="F4" s="1657" t="s">
        <v>1435</v>
      </c>
      <c r="G4" s="1657" t="s">
        <v>1436</v>
      </c>
      <c r="H4" s="1657" t="s">
        <v>454</v>
      </c>
      <c r="I4" s="1657" t="s">
        <v>1297</v>
      </c>
      <c r="J4" s="1658" t="s">
        <v>144</v>
      </c>
      <c r="K4" s="1657" t="s">
        <v>1777</v>
      </c>
      <c r="L4" s="1657" t="s">
        <v>1437</v>
      </c>
      <c r="M4" s="1657" t="s">
        <v>2356</v>
      </c>
      <c r="N4" s="1657" t="s">
        <v>1438</v>
      </c>
      <c r="O4" s="1657" t="s">
        <v>1439</v>
      </c>
      <c r="P4" s="1657" t="s">
        <v>1440</v>
      </c>
      <c r="Q4" s="1657" t="s">
        <v>1441</v>
      </c>
      <c r="R4" s="1657" t="s">
        <v>1442</v>
      </c>
      <c r="S4" s="2805"/>
      <c r="T4" s="2806"/>
      <c r="U4" s="2805"/>
      <c r="V4" s="2806"/>
      <c r="W4" s="1657" t="s">
        <v>1443</v>
      </c>
      <c r="X4" s="1657" t="s">
        <v>164</v>
      </c>
      <c r="Y4" s="1657" t="s">
        <v>1444</v>
      </c>
      <c r="Z4" s="1657" t="s">
        <v>1445</v>
      </c>
      <c r="AA4" s="1657" t="s">
        <v>165</v>
      </c>
      <c r="AB4" s="1657" t="s">
        <v>1446</v>
      </c>
      <c r="AC4" s="1657" t="s">
        <v>1447</v>
      </c>
      <c r="AD4" s="1657" t="s">
        <v>1448</v>
      </c>
      <c r="AE4" s="1657" t="s">
        <v>1449</v>
      </c>
      <c r="AF4" s="1657" t="s">
        <v>1477</v>
      </c>
      <c r="AG4" s="1657" t="s">
        <v>1450</v>
      </c>
      <c r="AH4" s="1657" t="s">
        <v>1451</v>
      </c>
      <c r="AI4" s="2805"/>
      <c r="AJ4" s="2806"/>
      <c r="AK4" s="2823"/>
      <c r="AL4" s="2824"/>
      <c r="AM4" s="1659" t="s">
        <v>1452</v>
      </c>
      <c r="AN4" s="1659" t="s">
        <v>1453</v>
      </c>
      <c r="AO4" s="1659" t="s">
        <v>1454</v>
      </c>
      <c r="AP4" s="1659" t="s">
        <v>1455</v>
      </c>
      <c r="AQ4" s="1659" t="s">
        <v>1456</v>
      </c>
      <c r="AR4" s="1659" t="s">
        <v>1457</v>
      </c>
      <c r="AS4" s="1659" t="s">
        <v>2434</v>
      </c>
      <c r="AT4" s="1659" t="s">
        <v>1458</v>
      </c>
      <c r="AU4" s="1659" t="s">
        <v>1459</v>
      </c>
      <c r="AV4" s="1659" t="s">
        <v>166</v>
      </c>
      <c r="AW4" s="1659" t="s">
        <v>1460</v>
      </c>
      <c r="AX4" s="1659" t="s">
        <v>1461</v>
      </c>
      <c r="AY4" s="1659" t="s">
        <v>1778</v>
      </c>
      <c r="AZ4" s="1659" t="s">
        <v>2054</v>
      </c>
      <c r="BA4" s="2805"/>
      <c r="BB4" s="2806"/>
      <c r="BC4" s="2805"/>
      <c r="BD4" s="2806"/>
      <c r="BE4" s="1667" t="s">
        <v>1462</v>
      </c>
      <c r="BF4" s="1657" t="s">
        <v>1463</v>
      </c>
      <c r="BG4" s="1667" t="s">
        <v>1464</v>
      </c>
      <c r="BH4" s="685" t="s">
        <v>1328</v>
      </c>
      <c r="BI4" s="1657" t="s">
        <v>1465</v>
      </c>
      <c r="BJ4" s="1657" t="s">
        <v>1466</v>
      </c>
      <c r="BK4" s="1657" t="s">
        <v>167</v>
      </c>
      <c r="BL4" s="1657" t="s">
        <v>595</v>
      </c>
      <c r="BM4" s="1657" t="s">
        <v>1989</v>
      </c>
      <c r="BN4" s="2805"/>
      <c r="BO4" s="2806"/>
    </row>
    <row r="5" spans="1:67" s="92" customFormat="1" ht="10.5" customHeight="1" x14ac:dyDescent="0.2">
      <c r="A5" s="2807"/>
      <c r="B5" s="2351"/>
      <c r="C5" s="1667">
        <v>1</v>
      </c>
      <c r="D5" s="1567">
        <v>2</v>
      </c>
      <c r="E5" s="1667">
        <v>3</v>
      </c>
      <c r="F5" s="1567">
        <v>4</v>
      </c>
      <c r="G5" s="1667">
        <v>5</v>
      </c>
      <c r="H5" s="1667">
        <v>6</v>
      </c>
      <c r="I5" s="813">
        <v>7</v>
      </c>
      <c r="J5" s="813">
        <v>8</v>
      </c>
      <c r="K5" s="1667">
        <v>9</v>
      </c>
      <c r="L5" s="669">
        <v>10</v>
      </c>
      <c r="M5" s="1567">
        <v>11</v>
      </c>
      <c r="N5" s="1667">
        <v>12</v>
      </c>
      <c r="O5" s="1567">
        <v>13</v>
      </c>
      <c r="P5" s="1667">
        <v>14</v>
      </c>
      <c r="Q5" s="1567">
        <v>15</v>
      </c>
      <c r="R5" s="1667">
        <v>16</v>
      </c>
      <c r="S5" s="2807"/>
      <c r="T5" s="2351"/>
      <c r="U5" s="2807"/>
      <c r="V5" s="2351"/>
      <c r="W5" s="1667">
        <v>17</v>
      </c>
      <c r="X5" s="1568">
        <v>18</v>
      </c>
      <c r="Y5" s="1667">
        <v>19</v>
      </c>
      <c r="Z5" s="1667">
        <v>20</v>
      </c>
      <c r="AA5" s="1667">
        <v>21</v>
      </c>
      <c r="AB5" s="1667">
        <v>22</v>
      </c>
      <c r="AC5" s="1567">
        <v>23</v>
      </c>
      <c r="AD5" s="1667">
        <v>24</v>
      </c>
      <c r="AE5" s="1667">
        <v>25</v>
      </c>
      <c r="AF5" s="1667">
        <v>26</v>
      </c>
      <c r="AG5" s="654">
        <v>27</v>
      </c>
      <c r="AH5" s="1667">
        <v>28</v>
      </c>
      <c r="AI5" s="2807"/>
      <c r="AJ5" s="2351"/>
      <c r="AK5" s="2825"/>
      <c r="AL5" s="2826"/>
      <c r="AM5" s="1567">
        <v>29</v>
      </c>
      <c r="AN5" s="1667">
        <v>30</v>
      </c>
      <c r="AO5" s="1567">
        <v>31</v>
      </c>
      <c r="AP5" s="1567">
        <v>32</v>
      </c>
      <c r="AQ5" s="1667">
        <v>33</v>
      </c>
      <c r="AR5" s="1567">
        <v>34</v>
      </c>
      <c r="AS5" s="1567">
        <v>35</v>
      </c>
      <c r="AT5" s="1667">
        <v>36</v>
      </c>
      <c r="AU5" s="1567">
        <v>37</v>
      </c>
      <c r="AV5" s="1667">
        <v>38</v>
      </c>
      <c r="AW5" s="1667">
        <v>39</v>
      </c>
      <c r="AX5" s="1667">
        <v>40</v>
      </c>
      <c r="AY5" s="1398">
        <v>41</v>
      </c>
      <c r="AZ5" s="1667">
        <v>42</v>
      </c>
      <c r="BA5" s="2807"/>
      <c r="BB5" s="2351"/>
      <c r="BC5" s="2807"/>
      <c r="BD5" s="2351"/>
      <c r="BE5" s="669">
        <v>43</v>
      </c>
      <c r="BF5" s="1567">
        <v>44</v>
      </c>
      <c r="BG5" s="727">
        <v>45</v>
      </c>
      <c r="BH5" s="1567">
        <v>46</v>
      </c>
      <c r="BI5" s="669">
        <v>47</v>
      </c>
      <c r="BJ5" s="1567">
        <v>48</v>
      </c>
      <c r="BK5" s="669">
        <v>49</v>
      </c>
      <c r="BL5" s="1567">
        <v>50</v>
      </c>
      <c r="BM5" s="1667">
        <v>51</v>
      </c>
      <c r="BN5" s="2807"/>
      <c r="BO5" s="2351"/>
    </row>
    <row r="6" spans="1:67" s="1665" customFormat="1" ht="11.45" customHeight="1" x14ac:dyDescent="0.2">
      <c r="A6" s="2714" t="s">
        <v>26</v>
      </c>
      <c r="B6" s="2714"/>
      <c r="C6" s="1569" t="s">
        <v>2879</v>
      </c>
      <c r="D6" s="1569" t="s">
        <v>2880</v>
      </c>
      <c r="E6" s="1569" t="s">
        <v>2881</v>
      </c>
      <c r="F6" s="1569" t="s">
        <v>1406</v>
      </c>
      <c r="G6" s="1569" t="s">
        <v>2485</v>
      </c>
      <c r="H6" s="1569" t="s">
        <v>2882</v>
      </c>
      <c r="I6" s="1569" t="s">
        <v>2883</v>
      </c>
      <c r="J6" s="1569" t="s">
        <v>2880</v>
      </c>
      <c r="K6" s="1569" t="s">
        <v>2918</v>
      </c>
      <c r="L6" s="1569" t="s">
        <v>2986</v>
      </c>
      <c r="M6" s="1569" t="s">
        <v>2854</v>
      </c>
      <c r="N6" s="1569" t="s">
        <v>2884</v>
      </c>
      <c r="O6" s="1569" t="s">
        <v>2885</v>
      </c>
      <c r="P6" s="1569" t="s">
        <v>2885</v>
      </c>
      <c r="Q6" s="1569" t="s">
        <v>2886</v>
      </c>
      <c r="R6" s="1569" t="s">
        <v>2887</v>
      </c>
      <c r="S6" s="2714" t="s">
        <v>26</v>
      </c>
      <c r="T6" s="2714"/>
      <c r="U6" s="2795" t="s">
        <v>26</v>
      </c>
      <c r="V6" s="2795"/>
      <c r="W6" s="1569" t="s">
        <v>2565</v>
      </c>
      <c r="X6" s="1569" t="s">
        <v>2076</v>
      </c>
      <c r="Y6" s="1569" t="s">
        <v>2855</v>
      </c>
      <c r="Z6" s="1569" t="s">
        <v>2072</v>
      </c>
      <c r="AA6" s="1569" t="s">
        <v>2073</v>
      </c>
      <c r="AB6" s="1569" t="s">
        <v>2856</v>
      </c>
      <c r="AC6" s="1569" t="s">
        <v>2074</v>
      </c>
      <c r="AD6" s="1569" t="s">
        <v>2663</v>
      </c>
      <c r="AE6" s="1569" t="s">
        <v>2255</v>
      </c>
      <c r="AF6" s="1569" t="s">
        <v>2987</v>
      </c>
      <c r="AG6" s="1569" t="s">
        <v>2988</v>
      </c>
      <c r="AH6" s="1569" t="s">
        <v>2491</v>
      </c>
      <c r="AI6" s="2714" t="s">
        <v>26</v>
      </c>
      <c r="AJ6" s="2714"/>
      <c r="AK6" s="2714" t="s">
        <v>26</v>
      </c>
      <c r="AL6" s="2714"/>
      <c r="AM6" s="1569" t="s">
        <v>2951</v>
      </c>
      <c r="AN6" s="1569" t="s">
        <v>2731</v>
      </c>
      <c r="AO6" s="1569" t="s">
        <v>2796</v>
      </c>
      <c r="AP6" s="1569" t="s">
        <v>2989</v>
      </c>
      <c r="AQ6" s="1569" t="s">
        <v>2446</v>
      </c>
      <c r="AR6" s="1569" t="s">
        <v>2781</v>
      </c>
      <c r="AS6" s="1569" t="s">
        <v>2257</v>
      </c>
      <c r="AT6" s="1569" t="s">
        <v>2990</v>
      </c>
      <c r="AU6" s="1569" t="s">
        <v>2952</v>
      </c>
      <c r="AV6" s="1569" t="s">
        <v>2991</v>
      </c>
      <c r="AW6" s="1569" t="s">
        <v>2645</v>
      </c>
      <c r="AX6" s="1569" t="s">
        <v>2797</v>
      </c>
      <c r="AY6" s="1569" t="s">
        <v>2605</v>
      </c>
      <c r="AZ6" s="1569" t="s">
        <v>2675</v>
      </c>
      <c r="BA6" s="2795" t="s">
        <v>26</v>
      </c>
      <c r="BB6" s="2795"/>
      <c r="BC6" s="2795" t="s">
        <v>26</v>
      </c>
      <c r="BD6" s="2795"/>
      <c r="BE6" s="1569" t="s">
        <v>2857</v>
      </c>
      <c r="BF6" s="1569" t="s">
        <v>2732</v>
      </c>
      <c r="BG6" s="1569" t="s">
        <v>2495</v>
      </c>
      <c r="BH6" s="1569" t="s">
        <v>2921</v>
      </c>
      <c r="BI6" s="1569" t="s">
        <v>2883</v>
      </c>
      <c r="BJ6" s="1569" t="s">
        <v>2930</v>
      </c>
      <c r="BK6" s="1569" t="s">
        <v>2931</v>
      </c>
      <c r="BL6" s="1569" t="s">
        <v>2566</v>
      </c>
      <c r="BM6" s="1569" t="s">
        <v>2858</v>
      </c>
      <c r="BN6" s="2795" t="s">
        <v>26</v>
      </c>
      <c r="BO6" s="2795"/>
    </row>
    <row r="7" spans="1:67" ht="11.45" customHeight="1" x14ac:dyDescent="0.2">
      <c r="A7" s="2796" t="s">
        <v>790</v>
      </c>
      <c r="B7" s="2813"/>
      <c r="C7" s="1570"/>
      <c r="D7" s="1570"/>
      <c r="E7" s="1570"/>
      <c r="F7" s="1570"/>
      <c r="G7" s="1570"/>
      <c r="H7" s="1570"/>
      <c r="I7" s="1570"/>
      <c r="J7" s="1570"/>
      <c r="K7" s="1570"/>
      <c r="L7" s="1570"/>
      <c r="M7" s="1570"/>
      <c r="N7" s="1570"/>
      <c r="O7" s="1570"/>
      <c r="P7" s="1570"/>
      <c r="Q7" s="1570"/>
      <c r="R7" s="1570"/>
      <c r="S7" s="2796" t="s">
        <v>790</v>
      </c>
      <c r="T7" s="2796"/>
      <c r="U7" s="2796" t="s">
        <v>790</v>
      </c>
      <c r="V7" s="2813"/>
      <c r="W7" s="1570"/>
      <c r="X7" s="1570"/>
      <c r="Y7" s="1570"/>
      <c r="Z7" s="1570"/>
      <c r="AA7" s="1570"/>
      <c r="AB7" s="1570"/>
      <c r="AC7" s="1570"/>
      <c r="AD7" s="1570"/>
      <c r="AE7" s="1570"/>
      <c r="AF7" s="1570"/>
      <c r="AG7" s="1570"/>
      <c r="AH7" s="1570"/>
      <c r="AI7" s="2796" t="s">
        <v>790</v>
      </c>
      <c r="AJ7" s="2796"/>
      <c r="AK7" s="2796" t="s">
        <v>790</v>
      </c>
      <c r="AL7" s="2796"/>
      <c r="AM7" s="1570"/>
      <c r="AN7" s="1570"/>
      <c r="AO7" s="1570"/>
      <c r="AP7" s="1570"/>
      <c r="AQ7" s="1570"/>
      <c r="AR7" s="1570"/>
      <c r="AS7" s="1570"/>
      <c r="AT7" s="1570"/>
      <c r="AU7" s="1570"/>
      <c r="AV7" s="1570"/>
      <c r="AW7" s="1570"/>
      <c r="AX7" s="1570"/>
      <c r="AY7" s="1570"/>
      <c r="AZ7" s="1570"/>
      <c r="BA7" s="2796" t="s">
        <v>790</v>
      </c>
      <c r="BB7" s="2813"/>
      <c r="BC7" s="2796" t="s">
        <v>790</v>
      </c>
      <c r="BD7" s="2813"/>
      <c r="BE7" s="1570"/>
      <c r="BF7" s="1570"/>
      <c r="BG7" s="1570"/>
      <c r="BH7" s="1570"/>
      <c r="BI7" s="1570"/>
      <c r="BJ7" s="1570"/>
      <c r="BK7" s="1570"/>
      <c r="BL7" s="1570"/>
      <c r="BM7" s="1570"/>
      <c r="BN7" s="2796" t="s">
        <v>790</v>
      </c>
      <c r="BO7" s="2813"/>
    </row>
    <row r="8" spans="1:67" ht="11.45" customHeight="1" x14ac:dyDescent="0.2">
      <c r="A8" s="670" t="s">
        <v>299</v>
      </c>
      <c r="B8" s="1256" t="s">
        <v>781</v>
      </c>
      <c r="C8" s="1569" t="s">
        <v>2901</v>
      </c>
      <c r="D8" s="1569" t="s">
        <v>2883</v>
      </c>
      <c r="E8" s="1569" t="s">
        <v>2890</v>
      </c>
      <c r="F8" s="1569" t="s">
        <v>2897</v>
      </c>
      <c r="G8" s="1569" t="s">
        <v>2486</v>
      </c>
      <c r="H8" s="1569" t="s">
        <v>2895</v>
      </c>
      <c r="I8" s="1569" t="s">
        <v>2992</v>
      </c>
      <c r="J8" s="1569" t="s">
        <v>2883</v>
      </c>
      <c r="K8" s="1569" t="s">
        <v>2918</v>
      </c>
      <c r="L8" s="1569" t="s">
        <v>2993</v>
      </c>
      <c r="M8" s="1569" t="s">
        <v>2254</v>
      </c>
      <c r="N8" s="1569" t="s">
        <v>2902</v>
      </c>
      <c r="O8" s="1569" t="s">
        <v>2897</v>
      </c>
      <c r="P8" s="1569" t="s">
        <v>2880</v>
      </c>
      <c r="Q8" s="1569" t="s">
        <v>2903</v>
      </c>
      <c r="R8" s="1569" t="s">
        <v>2994</v>
      </c>
      <c r="S8" s="1003" t="s">
        <v>299</v>
      </c>
      <c r="T8" s="1256" t="s">
        <v>2049</v>
      </c>
      <c r="U8" s="670" t="s">
        <v>299</v>
      </c>
      <c r="V8" s="1256" t="s">
        <v>781</v>
      </c>
      <c r="W8" s="1569" t="s">
        <v>2885</v>
      </c>
      <c r="X8" s="1569" t="s">
        <v>2885</v>
      </c>
      <c r="Y8" s="1569" t="s">
        <v>2880</v>
      </c>
      <c r="Z8" s="1569" t="s">
        <v>2887</v>
      </c>
      <c r="AA8" s="1569" t="s">
        <v>2880</v>
      </c>
      <c r="AB8" s="1569" t="s">
        <v>2887</v>
      </c>
      <c r="AC8" s="1569" t="s">
        <v>2905</v>
      </c>
      <c r="AD8" s="1569" t="s">
        <v>2895</v>
      </c>
      <c r="AE8" s="1569" t="s">
        <v>2075</v>
      </c>
      <c r="AF8" s="1569" t="s">
        <v>2989</v>
      </c>
      <c r="AG8" s="1569" t="s">
        <v>2894</v>
      </c>
      <c r="AH8" s="1569" t="s">
        <v>2890</v>
      </c>
      <c r="AI8" s="670" t="s">
        <v>299</v>
      </c>
      <c r="AJ8" s="1256" t="s">
        <v>781</v>
      </c>
      <c r="AK8" s="670" t="s">
        <v>299</v>
      </c>
      <c r="AL8" s="1256" t="s">
        <v>781</v>
      </c>
      <c r="AM8" s="1569" t="s">
        <v>2995</v>
      </c>
      <c r="AN8" s="1569" t="s">
        <v>2892</v>
      </c>
      <c r="AO8" s="1569" t="s">
        <v>2880</v>
      </c>
      <c r="AP8" s="1569" t="s">
        <v>2257</v>
      </c>
      <c r="AQ8" s="1569" t="s">
        <v>2886</v>
      </c>
      <c r="AR8" s="1569" t="s">
        <v>2890</v>
      </c>
      <c r="AS8" s="1569" t="s">
        <v>2882</v>
      </c>
      <c r="AT8" s="1569" t="s">
        <v>2996</v>
      </c>
      <c r="AU8" s="1569" t="s">
        <v>2887</v>
      </c>
      <c r="AV8" s="1569" t="s">
        <v>2631</v>
      </c>
      <c r="AW8" s="1569" t="s">
        <v>2895</v>
      </c>
      <c r="AX8" s="1569" t="s">
        <v>2895</v>
      </c>
      <c r="AY8" s="1569" t="s">
        <v>2880</v>
      </c>
      <c r="AZ8" s="1569" t="s">
        <v>2880</v>
      </c>
      <c r="BA8" s="670" t="s">
        <v>299</v>
      </c>
      <c r="BB8" s="1256" t="s">
        <v>781</v>
      </c>
      <c r="BC8" s="670" t="s">
        <v>299</v>
      </c>
      <c r="BD8" s="1256" t="s">
        <v>781</v>
      </c>
      <c r="BE8" s="1569" t="s">
        <v>2887</v>
      </c>
      <c r="BF8" s="1569" t="s">
        <v>2933</v>
      </c>
      <c r="BG8" s="1569" t="s">
        <v>2895</v>
      </c>
      <c r="BH8" s="1569" t="s">
        <v>2905</v>
      </c>
      <c r="BI8" s="1569" t="s">
        <v>2921</v>
      </c>
      <c r="BJ8" s="1569" t="s">
        <v>2887</v>
      </c>
      <c r="BK8" s="1569" t="s">
        <v>2920</v>
      </c>
      <c r="BL8" s="1569" t="s">
        <v>2919</v>
      </c>
      <c r="BM8" s="1569" t="s">
        <v>2753</v>
      </c>
      <c r="BN8" s="670" t="s">
        <v>299</v>
      </c>
      <c r="BO8" s="1256" t="s">
        <v>781</v>
      </c>
    </row>
    <row r="9" spans="1:67" ht="11.45" customHeight="1" x14ac:dyDescent="0.2">
      <c r="A9" s="671" t="s">
        <v>464</v>
      </c>
      <c r="B9" s="672" t="s">
        <v>782</v>
      </c>
      <c r="C9" s="1570" t="s">
        <v>2888</v>
      </c>
      <c r="D9" s="1570" t="s">
        <v>2889</v>
      </c>
      <c r="E9" s="1570" t="s">
        <v>2881</v>
      </c>
      <c r="F9" s="1570" t="s">
        <v>2887</v>
      </c>
      <c r="G9" s="1570" t="s">
        <v>2486</v>
      </c>
      <c r="H9" s="1570" t="s">
        <v>2890</v>
      </c>
      <c r="I9" s="1570" t="s">
        <v>1863</v>
      </c>
      <c r="J9" s="1570" t="s">
        <v>2880</v>
      </c>
      <c r="K9" s="1570" t="s">
        <v>2918</v>
      </c>
      <c r="L9" s="1570" t="s">
        <v>2993</v>
      </c>
      <c r="M9" s="1570" t="s">
        <v>2250</v>
      </c>
      <c r="N9" s="1570" t="s">
        <v>2891</v>
      </c>
      <c r="O9" s="1570" t="s">
        <v>2892</v>
      </c>
      <c r="P9" s="1570" t="s">
        <v>2885</v>
      </c>
      <c r="Q9" s="1570" t="s">
        <v>2883</v>
      </c>
      <c r="R9" s="1570" t="s">
        <v>2820</v>
      </c>
      <c r="S9" s="1004" t="s">
        <v>464</v>
      </c>
      <c r="T9" s="672" t="s">
        <v>2050</v>
      </c>
      <c r="U9" s="671" t="s">
        <v>464</v>
      </c>
      <c r="V9" s="672" t="s">
        <v>782</v>
      </c>
      <c r="W9" s="1570" t="s">
        <v>2919</v>
      </c>
      <c r="X9" s="1570" t="s">
        <v>2885</v>
      </c>
      <c r="Y9" s="1570" t="s">
        <v>2885</v>
      </c>
      <c r="Z9" s="1570" t="s">
        <v>2919</v>
      </c>
      <c r="AA9" s="1570" t="s">
        <v>2885</v>
      </c>
      <c r="AB9" s="1570" t="s">
        <v>2920</v>
      </c>
      <c r="AC9" s="1570" t="s">
        <v>2905</v>
      </c>
      <c r="AD9" s="1570" t="s">
        <v>2885</v>
      </c>
      <c r="AE9" s="1570" t="s">
        <v>2075</v>
      </c>
      <c r="AF9" s="1570" t="s">
        <v>2885</v>
      </c>
      <c r="AG9" s="1570" t="s">
        <v>2921</v>
      </c>
      <c r="AH9" s="1570" t="s">
        <v>2887</v>
      </c>
      <c r="AI9" s="671" t="s">
        <v>464</v>
      </c>
      <c r="AJ9" s="672" t="s">
        <v>782</v>
      </c>
      <c r="AK9" s="671" t="s">
        <v>464</v>
      </c>
      <c r="AL9" s="672" t="s">
        <v>782</v>
      </c>
      <c r="AM9" s="1570" t="s">
        <v>2880</v>
      </c>
      <c r="AN9" s="1570" t="s">
        <v>2921</v>
      </c>
      <c r="AO9" s="1570" t="s">
        <v>2935</v>
      </c>
      <c r="AP9" s="1570" t="s">
        <v>2448</v>
      </c>
      <c r="AQ9" s="1570" t="s">
        <v>2887</v>
      </c>
      <c r="AR9" s="1570" t="s">
        <v>2887</v>
      </c>
      <c r="AS9" s="1570" t="s">
        <v>2997</v>
      </c>
      <c r="AT9" s="1570" t="s">
        <v>2998</v>
      </c>
      <c r="AU9" s="1570" t="s">
        <v>2933</v>
      </c>
      <c r="AV9" s="1570" t="s">
        <v>2627</v>
      </c>
      <c r="AW9" s="1570" t="s">
        <v>2921</v>
      </c>
      <c r="AX9" s="1570" t="s">
        <v>2885</v>
      </c>
      <c r="AY9" s="1570" t="s">
        <v>2885</v>
      </c>
      <c r="AZ9" s="1570" t="s">
        <v>2887</v>
      </c>
      <c r="BA9" s="671" t="s">
        <v>464</v>
      </c>
      <c r="BB9" s="672" t="s">
        <v>782</v>
      </c>
      <c r="BC9" s="671" t="s">
        <v>464</v>
      </c>
      <c r="BD9" s="672" t="s">
        <v>782</v>
      </c>
      <c r="BE9" s="1570" t="s">
        <v>2921</v>
      </c>
      <c r="BF9" s="1570" t="s">
        <v>2932</v>
      </c>
      <c r="BG9" s="1570" t="s">
        <v>2933</v>
      </c>
      <c r="BH9" s="1570" t="s">
        <v>2890</v>
      </c>
      <c r="BI9" s="1570" t="s">
        <v>2934</v>
      </c>
      <c r="BJ9" s="1570" t="s">
        <v>2932</v>
      </c>
      <c r="BK9" s="1570" t="s">
        <v>2920</v>
      </c>
      <c r="BL9" s="1570" t="s">
        <v>2932</v>
      </c>
      <c r="BM9" s="1570" t="s">
        <v>2074</v>
      </c>
      <c r="BN9" s="671" t="s">
        <v>464</v>
      </c>
      <c r="BO9" s="672" t="s">
        <v>782</v>
      </c>
    </row>
    <row r="10" spans="1:67" ht="11.45" customHeight="1" x14ac:dyDescent="0.2">
      <c r="A10" s="670" t="s">
        <v>291</v>
      </c>
      <c r="B10" s="1256" t="s">
        <v>783</v>
      </c>
      <c r="C10" s="1569" t="s">
        <v>2896</v>
      </c>
      <c r="D10" s="1569" t="s">
        <v>2897</v>
      </c>
      <c r="E10" s="1569" t="s">
        <v>2884</v>
      </c>
      <c r="F10" s="1569" t="s">
        <v>2884</v>
      </c>
      <c r="G10" s="1569" t="s">
        <v>2486</v>
      </c>
      <c r="H10" s="1569" t="s">
        <v>2883</v>
      </c>
      <c r="I10" s="1569" t="s">
        <v>2295</v>
      </c>
      <c r="J10" s="1569" t="s">
        <v>2883</v>
      </c>
      <c r="K10" s="1569" t="s">
        <v>2918</v>
      </c>
      <c r="L10" s="1569" t="s">
        <v>2993</v>
      </c>
      <c r="M10" s="1569" t="s">
        <v>2252</v>
      </c>
      <c r="N10" s="1569" t="s">
        <v>2894</v>
      </c>
      <c r="O10" s="1569" t="s">
        <v>2881</v>
      </c>
      <c r="P10" s="1569" t="s">
        <v>2880</v>
      </c>
      <c r="Q10" s="1569" t="s">
        <v>2898</v>
      </c>
      <c r="R10" s="1569" t="s">
        <v>2821</v>
      </c>
      <c r="S10" s="1005" t="s">
        <v>291</v>
      </c>
      <c r="T10" s="1256" t="s">
        <v>2051</v>
      </c>
      <c r="U10" s="670" t="s">
        <v>291</v>
      </c>
      <c r="V10" s="1256" t="s">
        <v>783</v>
      </c>
      <c r="W10" s="1569" t="s">
        <v>2885</v>
      </c>
      <c r="X10" s="1569" t="s">
        <v>2885</v>
      </c>
      <c r="Y10" s="1569" t="s">
        <v>2887</v>
      </c>
      <c r="Z10" s="1569" t="s">
        <v>2885</v>
      </c>
      <c r="AA10" s="1569" t="s">
        <v>2880</v>
      </c>
      <c r="AB10" s="1569" t="s">
        <v>2885</v>
      </c>
      <c r="AC10" s="1569" t="s">
        <v>2999</v>
      </c>
      <c r="AD10" s="1569" t="s">
        <v>2885</v>
      </c>
      <c r="AE10" s="1569" t="s">
        <v>2516</v>
      </c>
      <c r="AF10" s="1569" t="s">
        <v>2989</v>
      </c>
      <c r="AG10" s="1569" t="s">
        <v>2887</v>
      </c>
      <c r="AH10" s="1569" t="s">
        <v>2884</v>
      </c>
      <c r="AI10" s="670" t="s">
        <v>291</v>
      </c>
      <c r="AJ10" s="1256" t="s">
        <v>783</v>
      </c>
      <c r="AK10" s="670" t="s">
        <v>291</v>
      </c>
      <c r="AL10" s="1256" t="s">
        <v>783</v>
      </c>
      <c r="AM10" s="1569" t="s">
        <v>2897</v>
      </c>
      <c r="AN10" s="1569" t="s">
        <v>2933</v>
      </c>
      <c r="AO10" s="1569" t="s">
        <v>2933</v>
      </c>
      <c r="AP10" s="1569" t="s">
        <v>1784</v>
      </c>
      <c r="AQ10" s="1569" t="s">
        <v>2884</v>
      </c>
      <c r="AR10" s="1569" t="s">
        <v>2894</v>
      </c>
      <c r="AS10" s="1569" t="s">
        <v>2890</v>
      </c>
      <c r="AT10" s="1569" t="s">
        <v>3000</v>
      </c>
      <c r="AU10" s="1569" t="s">
        <v>2922</v>
      </c>
      <c r="AV10" s="1569" t="s">
        <v>2629</v>
      </c>
      <c r="AW10" s="1569" t="s">
        <v>2880</v>
      </c>
      <c r="AX10" s="1569" t="s">
        <v>2373</v>
      </c>
      <c r="AY10" s="1569" t="s">
        <v>2887</v>
      </c>
      <c r="AZ10" s="1569" t="s">
        <v>2887</v>
      </c>
      <c r="BA10" s="670" t="s">
        <v>291</v>
      </c>
      <c r="BB10" s="1256" t="s">
        <v>783</v>
      </c>
      <c r="BC10" s="670" t="s">
        <v>291</v>
      </c>
      <c r="BD10" s="1256" t="s">
        <v>783</v>
      </c>
      <c r="BE10" s="1569" t="s">
        <v>2933</v>
      </c>
      <c r="BF10" s="1569" t="s">
        <v>2920</v>
      </c>
      <c r="BG10" s="1569" t="s">
        <v>2885</v>
      </c>
      <c r="BH10" s="1569" t="s">
        <v>2905</v>
      </c>
      <c r="BI10" s="1569" t="s">
        <v>2938</v>
      </c>
      <c r="BJ10" s="1569" t="s">
        <v>2932</v>
      </c>
      <c r="BK10" s="1569" t="s">
        <v>2920</v>
      </c>
      <c r="BL10" s="1569" t="s">
        <v>2939</v>
      </c>
      <c r="BM10" s="1569" t="s">
        <v>2374</v>
      </c>
      <c r="BN10" s="670" t="s">
        <v>291</v>
      </c>
      <c r="BO10" s="1256" t="s">
        <v>783</v>
      </c>
    </row>
    <row r="11" spans="1:67" ht="11.45" customHeight="1" x14ac:dyDescent="0.2">
      <c r="A11" s="671" t="s">
        <v>292</v>
      </c>
      <c r="B11" s="672" t="s">
        <v>784</v>
      </c>
      <c r="C11" s="1570" t="s">
        <v>2899</v>
      </c>
      <c r="D11" s="1570" t="s">
        <v>3001</v>
      </c>
      <c r="E11" s="1570" t="s">
        <v>2894</v>
      </c>
      <c r="F11" s="1570" t="s">
        <v>2894</v>
      </c>
      <c r="G11" s="1570" t="s">
        <v>2486</v>
      </c>
      <c r="H11" s="1570" t="s">
        <v>2882</v>
      </c>
      <c r="I11" s="1570" t="s">
        <v>2895</v>
      </c>
      <c r="J11" s="1570" t="s">
        <v>2883</v>
      </c>
      <c r="K11" s="1570" t="s">
        <v>2918</v>
      </c>
      <c r="L11" s="1570" t="s">
        <v>2993</v>
      </c>
      <c r="M11" s="1570" t="s">
        <v>2253</v>
      </c>
      <c r="N11" s="1570" t="s">
        <v>2890</v>
      </c>
      <c r="O11" s="1570" t="s">
        <v>2884</v>
      </c>
      <c r="P11" s="1570" t="s">
        <v>2880</v>
      </c>
      <c r="Q11" s="1570" t="s">
        <v>2900</v>
      </c>
      <c r="R11" s="1570" t="s">
        <v>2822</v>
      </c>
      <c r="S11" s="1004" t="s">
        <v>292</v>
      </c>
      <c r="T11" s="672" t="s">
        <v>784</v>
      </c>
      <c r="U11" s="671" t="s">
        <v>292</v>
      </c>
      <c r="V11" s="672" t="s">
        <v>784</v>
      </c>
      <c r="W11" s="1570" t="s">
        <v>2885</v>
      </c>
      <c r="X11" s="1570" t="s">
        <v>2885</v>
      </c>
      <c r="Y11" s="1570" t="s">
        <v>2881</v>
      </c>
      <c r="Z11" s="1570" t="s">
        <v>2892</v>
      </c>
      <c r="AA11" s="1570" t="s">
        <v>2880</v>
      </c>
      <c r="AB11" s="1570" t="s">
        <v>2885</v>
      </c>
      <c r="AC11" s="1570" t="s">
        <v>2999</v>
      </c>
      <c r="AD11" s="1570" t="s">
        <v>2885</v>
      </c>
      <c r="AE11" s="1570" t="s">
        <v>2075</v>
      </c>
      <c r="AF11" s="1570" t="s">
        <v>2989</v>
      </c>
      <c r="AG11" s="1570" t="s">
        <v>2880</v>
      </c>
      <c r="AH11" s="1570" t="s">
        <v>2894</v>
      </c>
      <c r="AI11" s="671" t="s">
        <v>292</v>
      </c>
      <c r="AJ11" s="672" t="s">
        <v>784</v>
      </c>
      <c r="AK11" s="671" t="s">
        <v>292</v>
      </c>
      <c r="AL11" s="672" t="s">
        <v>784</v>
      </c>
      <c r="AM11" s="1570" t="s">
        <v>2895</v>
      </c>
      <c r="AN11" s="1570" t="s">
        <v>2885</v>
      </c>
      <c r="AO11" s="1570" t="s">
        <v>2919</v>
      </c>
      <c r="AP11" s="1570" t="s">
        <v>2951</v>
      </c>
      <c r="AQ11" s="1570" t="s">
        <v>2890</v>
      </c>
      <c r="AR11" s="1570" t="s">
        <v>2890</v>
      </c>
      <c r="AS11" s="1570" t="s">
        <v>2882</v>
      </c>
      <c r="AT11" s="1570" t="s">
        <v>3002</v>
      </c>
      <c r="AU11" s="1570" t="s">
        <v>2885</v>
      </c>
      <c r="AV11" s="1570" t="s">
        <v>2630</v>
      </c>
      <c r="AW11" s="1570" t="s">
        <v>2890</v>
      </c>
      <c r="AX11" s="1570" t="s">
        <v>2493</v>
      </c>
      <c r="AY11" s="1570" t="s">
        <v>2881</v>
      </c>
      <c r="AZ11" s="1570" t="s">
        <v>2881</v>
      </c>
      <c r="BA11" s="671" t="s">
        <v>292</v>
      </c>
      <c r="BB11" s="672" t="s">
        <v>784</v>
      </c>
      <c r="BC11" s="671" t="s">
        <v>292</v>
      </c>
      <c r="BD11" s="672" t="s">
        <v>784</v>
      </c>
      <c r="BE11" s="1570" t="s">
        <v>2919</v>
      </c>
      <c r="BF11" s="1570" t="s">
        <v>2930</v>
      </c>
      <c r="BG11" s="1570" t="s">
        <v>2936</v>
      </c>
      <c r="BH11" s="1570" t="s">
        <v>2905</v>
      </c>
      <c r="BI11" s="1570" t="s">
        <v>2920</v>
      </c>
      <c r="BJ11" s="1570" t="s">
        <v>2933</v>
      </c>
      <c r="BK11" s="1570" t="s">
        <v>2920</v>
      </c>
      <c r="BL11" s="1570" t="s">
        <v>2940</v>
      </c>
      <c r="BM11" s="1570" t="s">
        <v>2374</v>
      </c>
      <c r="BN11" s="671" t="s">
        <v>292</v>
      </c>
      <c r="BO11" s="672" t="s">
        <v>784</v>
      </c>
    </row>
    <row r="12" spans="1:67" ht="11.45" customHeight="1" x14ac:dyDescent="0.2">
      <c r="A12" s="670" t="s">
        <v>297</v>
      </c>
      <c r="B12" s="1256" t="s">
        <v>1252</v>
      </c>
      <c r="C12" s="1569" t="s">
        <v>2893</v>
      </c>
      <c r="D12" s="1569" t="s">
        <v>2894</v>
      </c>
      <c r="E12" s="1569" t="s">
        <v>2880</v>
      </c>
      <c r="F12" s="1569" t="s">
        <v>2989</v>
      </c>
      <c r="G12" s="1569" t="s">
        <v>2486</v>
      </c>
      <c r="H12" s="1569" t="s">
        <v>2886</v>
      </c>
      <c r="I12" s="1569" t="s">
        <v>2883</v>
      </c>
      <c r="J12" s="1569" t="s">
        <v>2890</v>
      </c>
      <c r="K12" s="1569" t="s">
        <v>2918</v>
      </c>
      <c r="L12" s="1569" t="s">
        <v>2993</v>
      </c>
      <c r="M12" s="1569" t="s">
        <v>2251</v>
      </c>
      <c r="N12" s="1569" t="s">
        <v>2881</v>
      </c>
      <c r="O12" s="1569" t="s">
        <v>2892</v>
      </c>
      <c r="P12" s="1569" t="s">
        <v>2885</v>
      </c>
      <c r="Q12" s="1569" t="s">
        <v>2895</v>
      </c>
      <c r="R12" s="1569" t="s">
        <v>2880</v>
      </c>
      <c r="S12" s="1005" t="s">
        <v>297</v>
      </c>
      <c r="T12" s="1256" t="s">
        <v>1252</v>
      </c>
      <c r="U12" s="670" t="s">
        <v>297</v>
      </c>
      <c r="V12" s="1256" t="s">
        <v>1252</v>
      </c>
      <c r="W12" s="1569" t="s">
        <v>2885</v>
      </c>
      <c r="X12" s="1569" t="s">
        <v>2885</v>
      </c>
      <c r="Y12" s="1569" t="s">
        <v>2892</v>
      </c>
      <c r="Z12" s="1569" t="s">
        <v>2922</v>
      </c>
      <c r="AA12" s="1569" t="s">
        <v>2880</v>
      </c>
      <c r="AB12" s="1569" t="s">
        <v>2953</v>
      </c>
      <c r="AC12" s="1569" t="s">
        <v>2999</v>
      </c>
      <c r="AD12" s="1569" t="s">
        <v>2885</v>
      </c>
      <c r="AE12" s="1569" t="s">
        <v>2075</v>
      </c>
      <c r="AF12" s="1569" t="s">
        <v>2989</v>
      </c>
      <c r="AG12" s="1569" t="s">
        <v>2919</v>
      </c>
      <c r="AH12" s="1569" t="s">
        <v>2880</v>
      </c>
      <c r="AI12" s="670" t="s">
        <v>297</v>
      </c>
      <c r="AJ12" s="1256" t="s">
        <v>1252</v>
      </c>
      <c r="AK12" s="670" t="s">
        <v>297</v>
      </c>
      <c r="AL12" s="1256" t="s">
        <v>1252</v>
      </c>
      <c r="AM12" s="1569" t="s">
        <v>2894</v>
      </c>
      <c r="AN12" s="1569" t="s">
        <v>3003</v>
      </c>
      <c r="AO12" s="1569" t="s">
        <v>2930</v>
      </c>
      <c r="AP12" s="1569" t="s">
        <v>2259</v>
      </c>
      <c r="AQ12" s="1569" t="s">
        <v>2884</v>
      </c>
      <c r="AR12" s="1569" t="s">
        <v>2880</v>
      </c>
      <c r="AS12" s="1569" t="s">
        <v>2880</v>
      </c>
      <c r="AT12" s="1569" t="s">
        <v>3004</v>
      </c>
      <c r="AU12" s="1569" t="s">
        <v>2919</v>
      </c>
      <c r="AV12" s="1569" t="s">
        <v>2628</v>
      </c>
      <c r="AW12" s="1569" t="s">
        <v>2885</v>
      </c>
      <c r="AX12" s="1569" t="s">
        <v>2823</v>
      </c>
      <c r="AY12" s="1569" t="s">
        <v>2892</v>
      </c>
      <c r="AZ12" s="1569" t="s">
        <v>2887</v>
      </c>
      <c r="BA12" s="670" t="s">
        <v>297</v>
      </c>
      <c r="BB12" s="1256" t="s">
        <v>1252</v>
      </c>
      <c r="BC12" s="670" t="s">
        <v>297</v>
      </c>
      <c r="BD12" s="1256" t="s">
        <v>1252</v>
      </c>
      <c r="BE12" s="1569" t="s">
        <v>2921</v>
      </c>
      <c r="BF12" s="1569" t="s">
        <v>2935</v>
      </c>
      <c r="BG12" s="1569" t="s">
        <v>2922</v>
      </c>
      <c r="BH12" s="1569" t="s">
        <v>2936</v>
      </c>
      <c r="BI12" s="1569" t="s">
        <v>2937</v>
      </c>
      <c r="BJ12" s="1569" t="s">
        <v>2932</v>
      </c>
      <c r="BK12" s="1569" t="s">
        <v>2920</v>
      </c>
      <c r="BL12" s="1569" t="s">
        <v>2935</v>
      </c>
      <c r="BM12" s="1569" t="s">
        <v>2372</v>
      </c>
      <c r="BN12" s="670" t="s">
        <v>297</v>
      </c>
      <c r="BO12" s="1256" t="s">
        <v>1252</v>
      </c>
    </row>
    <row r="13" spans="1:67" ht="11.45" customHeight="1" x14ac:dyDescent="0.2">
      <c r="A13" s="2794" t="s">
        <v>27</v>
      </c>
      <c r="B13" s="2794"/>
      <c r="C13" s="1571"/>
      <c r="D13" s="1571"/>
      <c r="E13" s="1571"/>
      <c r="F13" s="1571"/>
      <c r="G13" s="1571"/>
      <c r="H13" s="1571"/>
      <c r="I13" s="1571"/>
      <c r="J13" s="1571"/>
      <c r="K13" s="1571"/>
      <c r="L13" s="1571"/>
      <c r="M13" s="1571"/>
      <c r="N13" s="1571"/>
      <c r="O13" s="1571"/>
      <c r="P13" s="1571"/>
      <c r="Q13" s="1571"/>
      <c r="R13" s="1571"/>
      <c r="S13" s="2794" t="s">
        <v>27</v>
      </c>
      <c r="T13" s="2794"/>
      <c r="U13" s="2794" t="s">
        <v>27</v>
      </c>
      <c r="V13" s="2794"/>
      <c r="W13" s="1571"/>
      <c r="X13" s="1571"/>
      <c r="Y13" s="1571"/>
      <c r="Z13" s="1571"/>
      <c r="AA13" s="1571"/>
      <c r="AB13" s="1571"/>
      <c r="AC13" s="1571"/>
      <c r="AD13" s="1571"/>
      <c r="AE13" s="1571"/>
      <c r="AF13" s="1571"/>
      <c r="AG13" s="1571"/>
      <c r="AH13" s="1571"/>
      <c r="AI13" s="2794" t="s">
        <v>27</v>
      </c>
      <c r="AJ13" s="2794"/>
      <c r="AK13" s="2794" t="s">
        <v>27</v>
      </c>
      <c r="AL13" s="2794"/>
      <c r="AM13" s="1571"/>
      <c r="AN13" s="1571"/>
      <c r="AO13" s="1571"/>
      <c r="AP13" s="1571"/>
      <c r="AQ13" s="1571"/>
      <c r="AR13" s="1571"/>
      <c r="AS13" s="1571"/>
      <c r="AT13" s="1571"/>
      <c r="AU13" s="1571"/>
      <c r="AV13" s="1571"/>
      <c r="AW13" s="1571"/>
      <c r="AX13" s="1571"/>
      <c r="AY13" s="1571"/>
      <c r="AZ13" s="1571"/>
      <c r="BA13" s="2794" t="s">
        <v>27</v>
      </c>
      <c r="BB13" s="2794"/>
      <c r="BC13" s="2794" t="s">
        <v>27</v>
      </c>
      <c r="BD13" s="2794"/>
      <c r="BE13" s="1571"/>
      <c r="BF13" s="1571"/>
      <c r="BG13" s="1571"/>
      <c r="BH13" s="1571"/>
      <c r="BI13" s="1571"/>
      <c r="BJ13" s="1571"/>
      <c r="BK13" s="1571"/>
      <c r="BL13" s="1571"/>
      <c r="BM13" s="1571"/>
      <c r="BN13" s="2794" t="s">
        <v>27</v>
      </c>
      <c r="BO13" s="2794"/>
    </row>
    <row r="14" spans="1:67" ht="11.45" customHeight="1" x14ac:dyDescent="0.2">
      <c r="A14" s="670" t="s">
        <v>299</v>
      </c>
      <c r="B14" s="1256" t="s">
        <v>785</v>
      </c>
      <c r="C14" s="1569" t="s">
        <v>2916</v>
      </c>
      <c r="D14" s="1569" t="s">
        <v>2917</v>
      </c>
      <c r="E14" s="1569" t="s">
        <v>2918</v>
      </c>
      <c r="F14" s="1569" t="s">
        <v>2915</v>
      </c>
      <c r="G14" s="1569" t="s">
        <v>2489</v>
      </c>
      <c r="H14" s="1569" t="s">
        <v>2918</v>
      </c>
      <c r="I14" s="1569" t="s">
        <v>3005</v>
      </c>
      <c r="J14" s="1569" t="s">
        <v>3006</v>
      </c>
      <c r="K14" s="1569" t="s">
        <v>2918</v>
      </c>
      <c r="L14" s="1569" t="s">
        <v>3007</v>
      </c>
      <c r="M14" s="1569" t="s">
        <v>2108</v>
      </c>
      <c r="N14" s="1569" t="s">
        <v>2918</v>
      </c>
      <c r="O14" s="1569" t="s">
        <v>2915</v>
      </c>
      <c r="P14" s="1569" t="s">
        <v>2862</v>
      </c>
      <c r="Q14" s="1569" t="s">
        <v>2824</v>
      </c>
      <c r="R14" s="1569" t="s">
        <v>3008</v>
      </c>
      <c r="S14" s="1005" t="s">
        <v>299</v>
      </c>
      <c r="T14" s="1256" t="s">
        <v>785</v>
      </c>
      <c r="U14" s="670" t="s">
        <v>299</v>
      </c>
      <c r="V14" s="1256" t="s">
        <v>785</v>
      </c>
      <c r="W14" s="1569" t="s">
        <v>3009</v>
      </c>
      <c r="X14" s="1569" t="s">
        <v>2912</v>
      </c>
      <c r="Y14" s="1569" t="s">
        <v>3010</v>
      </c>
      <c r="Z14" s="1569" t="s">
        <v>2487</v>
      </c>
      <c r="AA14" s="1569" t="s">
        <v>2918</v>
      </c>
      <c r="AB14" s="1569" t="s">
        <v>2664</v>
      </c>
      <c r="AC14" s="1569" t="s">
        <v>2929</v>
      </c>
      <c r="AD14" s="1569" t="s">
        <v>3005</v>
      </c>
      <c r="AE14" s="1569" t="s">
        <v>2755</v>
      </c>
      <c r="AF14" s="1569" t="s">
        <v>3005</v>
      </c>
      <c r="AG14" s="1569" t="s">
        <v>3011</v>
      </c>
      <c r="AH14" s="1569" t="s">
        <v>3005</v>
      </c>
      <c r="AI14" s="670" t="s">
        <v>299</v>
      </c>
      <c r="AJ14" s="1256" t="s">
        <v>785</v>
      </c>
      <c r="AK14" s="670" t="s">
        <v>299</v>
      </c>
      <c r="AL14" s="1256" t="s">
        <v>785</v>
      </c>
      <c r="AM14" s="1569" t="s">
        <v>2256</v>
      </c>
      <c r="AN14" s="1569" t="s">
        <v>2958</v>
      </c>
      <c r="AO14" s="1569" t="s">
        <v>1172</v>
      </c>
      <c r="AP14" s="1569" t="s">
        <v>3011</v>
      </c>
      <c r="AQ14" s="1569" t="s">
        <v>3005</v>
      </c>
      <c r="AR14" s="1569" t="s">
        <v>2962</v>
      </c>
      <c r="AS14" s="1569" t="s">
        <v>2918</v>
      </c>
      <c r="AT14" s="1569" t="s">
        <v>2903</v>
      </c>
      <c r="AU14" s="1569" t="s">
        <v>2532</v>
      </c>
      <c r="AV14" s="1569" t="s">
        <v>3012</v>
      </c>
      <c r="AW14" s="1569" t="s">
        <v>3005</v>
      </c>
      <c r="AX14" s="1569" t="s">
        <v>2754</v>
      </c>
      <c r="AY14" s="1569" t="s">
        <v>3013</v>
      </c>
      <c r="AZ14" s="1569" t="s">
        <v>2825</v>
      </c>
      <c r="BA14" s="670" t="s">
        <v>299</v>
      </c>
      <c r="BB14" s="1256" t="s">
        <v>785</v>
      </c>
      <c r="BC14" s="670" t="s">
        <v>299</v>
      </c>
      <c r="BD14" s="1256" t="s">
        <v>785</v>
      </c>
      <c r="BE14" s="1569" t="s">
        <v>2942</v>
      </c>
      <c r="BF14" s="1569" t="s">
        <v>3014</v>
      </c>
      <c r="BG14" s="1569" t="s">
        <v>3015</v>
      </c>
      <c r="BH14" s="1569" t="s">
        <v>2915</v>
      </c>
      <c r="BI14" s="1569" t="s">
        <v>2995</v>
      </c>
      <c r="BJ14" s="1569" t="s">
        <v>3005</v>
      </c>
      <c r="BK14" s="1569" t="s">
        <v>1784</v>
      </c>
      <c r="BL14" s="1569" t="s">
        <v>2377</v>
      </c>
      <c r="BM14" s="1569" t="s">
        <v>2823</v>
      </c>
      <c r="BN14" s="670" t="s">
        <v>299</v>
      </c>
      <c r="BO14" s="1256" t="s">
        <v>785</v>
      </c>
    </row>
    <row r="15" spans="1:67" ht="11.45" customHeight="1" x14ac:dyDescent="0.2">
      <c r="A15" s="671" t="s">
        <v>464</v>
      </c>
      <c r="B15" s="672" t="s">
        <v>786</v>
      </c>
      <c r="C15" s="1570" t="s">
        <v>2916</v>
      </c>
      <c r="D15" s="1570" t="s">
        <v>2900</v>
      </c>
      <c r="E15" s="1570" t="s">
        <v>2918</v>
      </c>
      <c r="F15" s="1570" t="s">
        <v>2912</v>
      </c>
      <c r="G15" s="1570" t="s">
        <v>2449</v>
      </c>
      <c r="H15" s="1570" t="s">
        <v>2918</v>
      </c>
      <c r="I15" s="1570" t="s">
        <v>3016</v>
      </c>
      <c r="J15" s="1570" t="s">
        <v>2915</v>
      </c>
      <c r="K15" s="1570" t="s">
        <v>2918</v>
      </c>
      <c r="L15" s="1570" t="s">
        <v>3017</v>
      </c>
      <c r="M15" s="1570" t="s">
        <v>2108</v>
      </c>
      <c r="N15" s="1570" t="s">
        <v>2908</v>
      </c>
      <c r="O15" s="1570" t="s">
        <v>2915</v>
      </c>
      <c r="P15" s="1570" t="s">
        <v>2862</v>
      </c>
      <c r="Q15" s="1570" t="s">
        <v>2824</v>
      </c>
      <c r="R15" s="1570" t="s">
        <v>2900</v>
      </c>
      <c r="S15" s="1004" t="s">
        <v>464</v>
      </c>
      <c r="T15" s="672" t="s">
        <v>786</v>
      </c>
      <c r="U15" s="671" t="s">
        <v>464</v>
      </c>
      <c r="V15" s="672" t="s">
        <v>786</v>
      </c>
      <c r="W15" s="1570" t="s">
        <v>3009</v>
      </c>
      <c r="X15" s="1570" t="s">
        <v>2912</v>
      </c>
      <c r="Y15" s="1570" t="s">
        <v>3018</v>
      </c>
      <c r="Z15" s="1570" t="s">
        <v>2487</v>
      </c>
      <c r="AA15" s="1570" t="s">
        <v>2918</v>
      </c>
      <c r="AB15" s="1570" t="s">
        <v>2664</v>
      </c>
      <c r="AC15" s="1570" t="s">
        <v>2929</v>
      </c>
      <c r="AD15" s="1570" t="s">
        <v>3005</v>
      </c>
      <c r="AE15" s="1570" t="s">
        <v>2755</v>
      </c>
      <c r="AF15" s="1570" t="s">
        <v>2918</v>
      </c>
      <c r="AG15" s="1570" t="s">
        <v>3013</v>
      </c>
      <c r="AH15" s="1570" t="s">
        <v>3005</v>
      </c>
      <c r="AI15" s="671" t="s">
        <v>464</v>
      </c>
      <c r="AJ15" s="672" t="s">
        <v>786</v>
      </c>
      <c r="AK15" s="671" t="s">
        <v>464</v>
      </c>
      <c r="AL15" s="672" t="s">
        <v>786</v>
      </c>
      <c r="AM15" s="1570" t="s">
        <v>2256</v>
      </c>
      <c r="AN15" s="1570" t="s">
        <v>2958</v>
      </c>
      <c r="AO15" s="1570" t="s">
        <v>2798</v>
      </c>
      <c r="AP15" s="1570" t="s">
        <v>3019</v>
      </c>
      <c r="AQ15" s="1570" t="s">
        <v>3005</v>
      </c>
      <c r="AR15" s="1570" t="s">
        <v>2836</v>
      </c>
      <c r="AS15" s="1570" t="s">
        <v>2918</v>
      </c>
      <c r="AT15" s="1570" t="s">
        <v>2903</v>
      </c>
      <c r="AU15" s="1570" t="s">
        <v>2532</v>
      </c>
      <c r="AV15" s="1570" t="s">
        <v>3020</v>
      </c>
      <c r="AW15" s="1570" t="s">
        <v>3005</v>
      </c>
      <c r="AX15" s="1570" t="s">
        <v>2268</v>
      </c>
      <c r="AY15" s="1570" t="s">
        <v>3013</v>
      </c>
      <c r="AZ15" s="1570" t="s">
        <v>2825</v>
      </c>
      <c r="BA15" s="671" t="s">
        <v>464</v>
      </c>
      <c r="BB15" s="672" t="s">
        <v>786</v>
      </c>
      <c r="BC15" s="671" t="s">
        <v>464</v>
      </c>
      <c r="BD15" s="672" t="s">
        <v>786</v>
      </c>
      <c r="BE15" s="1570" t="s">
        <v>2826</v>
      </c>
      <c r="BF15" s="1570" t="s">
        <v>2153</v>
      </c>
      <c r="BG15" s="1570" t="s">
        <v>2517</v>
      </c>
      <c r="BH15" s="1570" t="s">
        <v>2905</v>
      </c>
      <c r="BI15" s="1570" t="s">
        <v>2895</v>
      </c>
      <c r="BJ15" s="1570" t="s">
        <v>3005</v>
      </c>
      <c r="BK15" s="1570" t="s">
        <v>2259</v>
      </c>
      <c r="BL15" s="1570" t="s">
        <v>2377</v>
      </c>
      <c r="BM15" s="1570" t="s">
        <v>2823</v>
      </c>
      <c r="BN15" s="671" t="s">
        <v>464</v>
      </c>
      <c r="BO15" s="672" t="s">
        <v>786</v>
      </c>
    </row>
    <row r="16" spans="1:67" ht="11.45" customHeight="1" x14ac:dyDescent="0.2">
      <c r="A16" s="670" t="s">
        <v>291</v>
      </c>
      <c r="B16" s="1256" t="s">
        <v>787</v>
      </c>
      <c r="C16" s="1569" t="s">
        <v>2904</v>
      </c>
      <c r="D16" s="1569" t="s">
        <v>2900</v>
      </c>
      <c r="E16" s="1569" t="s">
        <v>2905</v>
      </c>
      <c r="F16" s="1569" t="s">
        <v>2906</v>
      </c>
      <c r="G16" s="1569" t="s">
        <v>2375</v>
      </c>
      <c r="H16" s="1569" t="s">
        <v>2900</v>
      </c>
      <c r="I16" s="1569" t="s">
        <v>2905</v>
      </c>
      <c r="J16" s="1569" t="s">
        <v>2906</v>
      </c>
      <c r="K16" s="1569" t="s">
        <v>3005</v>
      </c>
      <c r="L16" s="1569" t="s">
        <v>3021</v>
      </c>
      <c r="M16" s="1569" t="s">
        <v>2514</v>
      </c>
      <c r="N16" s="1569" t="s">
        <v>2908</v>
      </c>
      <c r="O16" s="1569" t="s">
        <v>2900</v>
      </c>
      <c r="P16" s="1569" t="s">
        <v>2859</v>
      </c>
      <c r="Q16" s="1569" t="s">
        <v>2827</v>
      </c>
      <c r="R16" s="1569" t="s">
        <v>2898</v>
      </c>
      <c r="S16" s="1005" t="s">
        <v>291</v>
      </c>
      <c r="T16" s="1256" t="s">
        <v>787</v>
      </c>
      <c r="U16" s="670" t="s">
        <v>291</v>
      </c>
      <c r="V16" s="1256" t="s">
        <v>787</v>
      </c>
      <c r="W16" s="1569" t="s">
        <v>2828</v>
      </c>
      <c r="X16" s="1569" t="s">
        <v>2912</v>
      </c>
      <c r="Y16" s="1569" t="s">
        <v>3022</v>
      </c>
      <c r="Z16" s="1569" t="s">
        <v>2829</v>
      </c>
      <c r="AA16" s="1569" t="s">
        <v>2903</v>
      </c>
      <c r="AB16" s="1569" t="s">
        <v>3023</v>
      </c>
      <c r="AC16" s="1569" t="s">
        <v>2923</v>
      </c>
      <c r="AD16" s="1569" t="s">
        <v>3024</v>
      </c>
      <c r="AE16" s="1569" t="s">
        <v>2755</v>
      </c>
      <c r="AF16" s="1569" t="s">
        <v>2924</v>
      </c>
      <c r="AG16" s="1569" t="s">
        <v>1298</v>
      </c>
      <c r="AH16" s="1569" t="s">
        <v>2954</v>
      </c>
      <c r="AI16" s="670" t="s">
        <v>291</v>
      </c>
      <c r="AJ16" s="1256" t="s">
        <v>787</v>
      </c>
      <c r="AK16" s="670" t="s">
        <v>291</v>
      </c>
      <c r="AL16" s="1256" t="s">
        <v>787</v>
      </c>
      <c r="AM16" s="1569" t="s">
        <v>2492</v>
      </c>
      <c r="AN16" s="1569" t="s">
        <v>2795</v>
      </c>
      <c r="AO16" s="1569" t="s">
        <v>2268</v>
      </c>
      <c r="AP16" s="1569" t="s">
        <v>2955</v>
      </c>
      <c r="AQ16" s="1569" t="s">
        <v>3025</v>
      </c>
      <c r="AR16" s="1569" t="s">
        <v>2830</v>
      </c>
      <c r="AS16" s="1569" t="s">
        <v>2825</v>
      </c>
      <c r="AT16" s="1569" t="s">
        <v>3026</v>
      </c>
      <c r="AU16" s="1569" t="s">
        <v>2531</v>
      </c>
      <c r="AV16" s="1569" t="s">
        <v>3027</v>
      </c>
      <c r="AW16" s="1569" t="s">
        <v>2591</v>
      </c>
      <c r="AX16" s="1569" t="s">
        <v>2376</v>
      </c>
      <c r="AY16" s="1569" t="s">
        <v>2956</v>
      </c>
      <c r="AZ16" s="1569" t="s">
        <v>2825</v>
      </c>
      <c r="BA16" s="670" t="s">
        <v>291</v>
      </c>
      <c r="BB16" s="1256" t="s">
        <v>787</v>
      </c>
      <c r="BC16" s="670" t="s">
        <v>291</v>
      </c>
      <c r="BD16" s="1256" t="s">
        <v>787</v>
      </c>
      <c r="BE16" s="1569" t="s">
        <v>2831</v>
      </c>
      <c r="BF16" s="1569" t="s">
        <v>2757</v>
      </c>
      <c r="BG16" s="1569" t="s">
        <v>2782</v>
      </c>
      <c r="BH16" s="1569" t="s">
        <v>2905</v>
      </c>
      <c r="BI16" s="1569" t="s">
        <v>3028</v>
      </c>
      <c r="BJ16" s="1569" t="s">
        <v>2900</v>
      </c>
      <c r="BK16" s="1569" t="s">
        <v>2860</v>
      </c>
      <c r="BL16" s="1569" t="s">
        <v>2783</v>
      </c>
      <c r="BM16" s="1569" t="s">
        <v>3029</v>
      </c>
      <c r="BN16" s="670" t="s">
        <v>291</v>
      </c>
      <c r="BO16" s="1256" t="s">
        <v>787</v>
      </c>
    </row>
    <row r="17" spans="1:67" ht="11.45" customHeight="1" x14ac:dyDescent="0.2">
      <c r="A17" s="671" t="s">
        <v>292</v>
      </c>
      <c r="B17" s="672" t="s">
        <v>788</v>
      </c>
      <c r="C17" s="1570" t="s">
        <v>2910</v>
      </c>
      <c r="D17" s="1570" t="s">
        <v>2911</v>
      </c>
      <c r="E17" s="1570" t="s">
        <v>2905</v>
      </c>
      <c r="F17" s="1570" t="s">
        <v>2900</v>
      </c>
      <c r="G17" s="1570" t="s">
        <v>2487</v>
      </c>
      <c r="H17" s="1570" t="s">
        <v>2912</v>
      </c>
      <c r="I17" s="1570" t="s">
        <v>2900</v>
      </c>
      <c r="J17" s="1570" t="s">
        <v>2900</v>
      </c>
      <c r="K17" s="1570" t="s">
        <v>2918</v>
      </c>
      <c r="L17" s="1570" t="s">
        <v>3030</v>
      </c>
      <c r="M17" s="1570" t="s">
        <v>2530</v>
      </c>
      <c r="N17" s="1570" t="s">
        <v>2908</v>
      </c>
      <c r="O17" s="1570" t="s">
        <v>2912</v>
      </c>
      <c r="P17" s="1570" t="s">
        <v>2396</v>
      </c>
      <c r="Q17" s="1570" t="s">
        <v>2733</v>
      </c>
      <c r="R17" s="1570" t="s">
        <v>2906</v>
      </c>
      <c r="S17" s="1004" t="s">
        <v>292</v>
      </c>
      <c r="T17" s="672" t="s">
        <v>788</v>
      </c>
      <c r="U17" s="671" t="s">
        <v>292</v>
      </c>
      <c r="V17" s="672" t="s">
        <v>788</v>
      </c>
      <c r="W17" s="1570" t="s">
        <v>2832</v>
      </c>
      <c r="X17" s="1570" t="s">
        <v>2915</v>
      </c>
      <c r="Y17" s="1570" t="s">
        <v>3031</v>
      </c>
      <c r="Z17" s="1570" t="s">
        <v>2833</v>
      </c>
      <c r="AA17" s="1570" t="s">
        <v>2925</v>
      </c>
      <c r="AB17" s="1570" t="s">
        <v>3032</v>
      </c>
      <c r="AC17" s="1570" t="s">
        <v>2926</v>
      </c>
      <c r="AD17" s="1570" t="s">
        <v>3033</v>
      </c>
      <c r="AE17" s="1570" t="s">
        <v>2927</v>
      </c>
      <c r="AF17" s="1570" t="s">
        <v>2915</v>
      </c>
      <c r="AG17" s="1570" t="s">
        <v>2900</v>
      </c>
      <c r="AH17" s="1570" t="s">
        <v>3034</v>
      </c>
      <c r="AI17" s="671" t="s">
        <v>292</v>
      </c>
      <c r="AJ17" s="672" t="s">
        <v>788</v>
      </c>
      <c r="AK17" s="671" t="s">
        <v>292</v>
      </c>
      <c r="AL17" s="672" t="s">
        <v>788</v>
      </c>
      <c r="AM17" s="1570" t="s">
        <v>2957</v>
      </c>
      <c r="AN17" s="1570" t="s">
        <v>2958</v>
      </c>
      <c r="AO17" s="1570" t="s">
        <v>2907</v>
      </c>
      <c r="AP17" s="1570" t="s">
        <v>2959</v>
      </c>
      <c r="AQ17" s="1570" t="s">
        <v>3035</v>
      </c>
      <c r="AR17" s="1570" t="s">
        <v>2881</v>
      </c>
      <c r="AS17" s="1570" t="s">
        <v>3036</v>
      </c>
      <c r="AT17" s="1570" t="s">
        <v>3037</v>
      </c>
      <c r="AU17" s="1570" t="s">
        <v>1298</v>
      </c>
      <c r="AV17" s="1570" t="s">
        <v>3038</v>
      </c>
      <c r="AW17" s="1570" t="s">
        <v>3008</v>
      </c>
      <c r="AX17" s="1570" t="s">
        <v>2494</v>
      </c>
      <c r="AY17" s="1570" t="s">
        <v>2913</v>
      </c>
      <c r="AZ17" s="1570" t="s">
        <v>2825</v>
      </c>
      <c r="BA17" s="671" t="s">
        <v>292</v>
      </c>
      <c r="BB17" s="672" t="s">
        <v>788</v>
      </c>
      <c r="BC17" s="671" t="s">
        <v>292</v>
      </c>
      <c r="BD17" s="672" t="s">
        <v>788</v>
      </c>
      <c r="BE17" s="1570" t="s">
        <v>2834</v>
      </c>
      <c r="BF17" s="1570" t="s">
        <v>2734</v>
      </c>
      <c r="BG17" s="1570" t="s">
        <v>3039</v>
      </c>
      <c r="BH17" s="1570" t="s">
        <v>2900</v>
      </c>
      <c r="BI17" s="1570" t="s">
        <v>3028</v>
      </c>
      <c r="BJ17" s="1570" t="s">
        <v>2898</v>
      </c>
      <c r="BK17" s="1570" t="s">
        <v>2781</v>
      </c>
      <c r="BL17" s="1570" t="s">
        <v>2784</v>
      </c>
      <c r="BM17" s="1570" t="s">
        <v>2933</v>
      </c>
      <c r="BN17" s="671" t="s">
        <v>292</v>
      </c>
      <c r="BO17" s="672" t="s">
        <v>788</v>
      </c>
    </row>
    <row r="18" spans="1:67" ht="11.45" customHeight="1" x14ac:dyDescent="0.2">
      <c r="A18" s="670" t="s">
        <v>297</v>
      </c>
      <c r="B18" s="1256" t="s">
        <v>789</v>
      </c>
      <c r="C18" s="1569" t="s">
        <v>2914</v>
      </c>
      <c r="D18" s="1569" t="s">
        <v>2900</v>
      </c>
      <c r="E18" s="1569" t="s">
        <v>2905</v>
      </c>
      <c r="F18" s="1569" t="s">
        <v>2912</v>
      </c>
      <c r="G18" s="1569" t="s">
        <v>2488</v>
      </c>
      <c r="H18" s="1569" t="s">
        <v>2915</v>
      </c>
      <c r="I18" s="1569" t="s">
        <v>2912</v>
      </c>
      <c r="J18" s="1569" t="s">
        <v>3040</v>
      </c>
      <c r="K18" s="1569" t="s">
        <v>2882</v>
      </c>
      <c r="L18" s="1569" t="s">
        <v>3041</v>
      </c>
      <c r="M18" s="1569" t="s">
        <v>2515</v>
      </c>
      <c r="N18" s="1569" t="s">
        <v>2908</v>
      </c>
      <c r="O18" s="1569" t="s">
        <v>2915</v>
      </c>
      <c r="P18" s="1569" t="s">
        <v>2862</v>
      </c>
      <c r="Q18" s="1569" t="s">
        <v>2824</v>
      </c>
      <c r="R18" s="1569" t="s">
        <v>3042</v>
      </c>
      <c r="S18" s="1005" t="s">
        <v>297</v>
      </c>
      <c r="T18" s="1256" t="s">
        <v>789</v>
      </c>
      <c r="U18" s="670" t="s">
        <v>297</v>
      </c>
      <c r="V18" s="1256" t="s">
        <v>789</v>
      </c>
      <c r="W18" s="1569" t="s">
        <v>3043</v>
      </c>
      <c r="X18" s="1569" t="s">
        <v>2909</v>
      </c>
      <c r="Y18" s="1569" t="s">
        <v>3044</v>
      </c>
      <c r="Z18" s="1569" t="s">
        <v>2835</v>
      </c>
      <c r="AA18" s="1569" t="s">
        <v>2928</v>
      </c>
      <c r="AB18" s="1569" t="s">
        <v>3039</v>
      </c>
      <c r="AC18" s="1569" t="s">
        <v>2929</v>
      </c>
      <c r="AD18" s="1569" t="s">
        <v>2882</v>
      </c>
      <c r="AE18" s="1569" t="s">
        <v>2755</v>
      </c>
      <c r="AF18" s="1569" t="s">
        <v>2913</v>
      </c>
      <c r="AG18" s="1569" t="s">
        <v>2913</v>
      </c>
      <c r="AH18" s="1569" t="s">
        <v>3034</v>
      </c>
      <c r="AI18" s="670" t="s">
        <v>297</v>
      </c>
      <c r="AJ18" s="1256" t="s">
        <v>789</v>
      </c>
      <c r="AK18" s="670" t="s">
        <v>297</v>
      </c>
      <c r="AL18" s="1256" t="s">
        <v>789</v>
      </c>
      <c r="AM18" s="1569" t="s">
        <v>2960</v>
      </c>
      <c r="AN18" s="1569" t="s">
        <v>2958</v>
      </c>
      <c r="AO18" s="1569" t="s">
        <v>3045</v>
      </c>
      <c r="AP18" s="1569" t="s">
        <v>2756</v>
      </c>
      <c r="AQ18" s="1569" t="s">
        <v>3046</v>
      </c>
      <c r="AR18" s="1569" t="s">
        <v>2961</v>
      </c>
      <c r="AS18" s="1569" t="s">
        <v>2928</v>
      </c>
      <c r="AT18" s="1569" t="s">
        <v>3047</v>
      </c>
      <c r="AU18" s="1569" t="s">
        <v>2532</v>
      </c>
      <c r="AV18" s="1569" t="s">
        <v>3048</v>
      </c>
      <c r="AW18" s="1569" t="s">
        <v>3046</v>
      </c>
      <c r="AX18" s="1569" t="s">
        <v>2758</v>
      </c>
      <c r="AY18" s="1569" t="s">
        <v>2905</v>
      </c>
      <c r="AZ18" s="1569" t="s">
        <v>2825</v>
      </c>
      <c r="BA18" s="670" t="s">
        <v>297</v>
      </c>
      <c r="BB18" s="1256" t="s">
        <v>789</v>
      </c>
      <c r="BC18" s="670" t="s">
        <v>297</v>
      </c>
      <c r="BD18" s="1256" t="s">
        <v>789</v>
      </c>
      <c r="BE18" s="1569" t="s">
        <v>2837</v>
      </c>
      <c r="BF18" s="1569" t="s">
        <v>3049</v>
      </c>
      <c r="BG18" s="1569" t="s">
        <v>2517</v>
      </c>
      <c r="BH18" s="1569" t="s">
        <v>3050</v>
      </c>
      <c r="BI18" s="1569" t="s">
        <v>2496</v>
      </c>
      <c r="BJ18" s="1569" t="s">
        <v>2941</v>
      </c>
      <c r="BK18" s="1569" t="s">
        <v>2258</v>
      </c>
      <c r="BL18" s="1569" t="s">
        <v>2784</v>
      </c>
      <c r="BM18" s="1569" t="s">
        <v>2922</v>
      </c>
      <c r="BN18" s="670" t="s">
        <v>297</v>
      </c>
      <c r="BO18" s="1256" t="s">
        <v>789</v>
      </c>
    </row>
    <row r="19" spans="1:67" ht="11.45" customHeight="1" x14ac:dyDescent="0.2">
      <c r="A19" s="2794" t="s">
        <v>146</v>
      </c>
      <c r="B19" s="2794"/>
      <c r="C19" s="1572"/>
      <c r="D19" s="1572"/>
      <c r="E19" s="1572"/>
      <c r="F19" s="1572"/>
      <c r="G19" s="1572"/>
      <c r="H19" s="1572"/>
      <c r="I19" s="1572"/>
      <c r="J19" s="1572"/>
      <c r="K19" s="1572"/>
      <c r="L19" s="1572"/>
      <c r="M19" s="1572"/>
      <c r="N19" s="1572"/>
      <c r="O19" s="1572"/>
      <c r="P19" s="1572" t="s">
        <v>132</v>
      </c>
      <c r="Q19" s="1572"/>
      <c r="R19" s="1572"/>
      <c r="S19" s="2794" t="s">
        <v>146</v>
      </c>
      <c r="T19" s="2794"/>
      <c r="U19" s="2794" t="s">
        <v>146</v>
      </c>
      <c r="V19" s="2794"/>
      <c r="W19" s="1572"/>
      <c r="X19" s="1572"/>
      <c r="Y19" s="1572"/>
      <c r="Z19" s="1572"/>
      <c r="AA19" s="1572"/>
      <c r="AB19" s="1572"/>
      <c r="AC19" s="1572"/>
      <c r="AD19" s="1572"/>
      <c r="AE19" s="1572"/>
      <c r="AF19" s="1572"/>
      <c r="AG19" s="1572"/>
      <c r="AH19" s="1572"/>
      <c r="AI19" s="2794" t="s">
        <v>146</v>
      </c>
      <c r="AJ19" s="2794"/>
      <c r="AK19" s="2794" t="s">
        <v>146</v>
      </c>
      <c r="AL19" s="2794"/>
      <c r="AM19" s="1572"/>
      <c r="AN19" s="1572"/>
      <c r="AO19" s="1572"/>
      <c r="AP19" s="1572"/>
      <c r="AQ19" s="1572"/>
      <c r="AR19" s="1572"/>
      <c r="AS19" s="1572"/>
      <c r="AT19" s="1572"/>
      <c r="AU19" s="1572"/>
      <c r="AV19" s="1572"/>
      <c r="AW19" s="1572"/>
      <c r="AX19" s="1572"/>
      <c r="AY19" s="1572"/>
      <c r="AZ19" s="1572"/>
      <c r="BA19" s="2794" t="s">
        <v>146</v>
      </c>
      <c r="BB19" s="2794"/>
      <c r="BC19" s="2794" t="s">
        <v>146</v>
      </c>
      <c r="BD19" s="2794"/>
      <c r="BE19" s="1572"/>
      <c r="BF19" s="1572"/>
      <c r="BG19" s="1572"/>
      <c r="BH19" s="1572"/>
      <c r="BI19" s="1572"/>
      <c r="BJ19" s="1572"/>
      <c r="BK19" s="1572"/>
      <c r="BL19" s="1572"/>
      <c r="BM19" s="1572"/>
      <c r="BN19" s="2794" t="s">
        <v>146</v>
      </c>
      <c r="BO19" s="2794"/>
    </row>
    <row r="20" spans="1:67" ht="11.45" customHeight="1" x14ac:dyDescent="0.2">
      <c r="A20" s="2795" t="s">
        <v>147</v>
      </c>
      <c r="B20" s="2795"/>
      <c r="C20" s="1573"/>
      <c r="D20" s="1573"/>
      <c r="E20" s="1573"/>
      <c r="F20" s="1573"/>
      <c r="G20" s="1573"/>
      <c r="H20" s="1573"/>
      <c r="I20" s="1573"/>
      <c r="J20" s="1573"/>
      <c r="K20" s="1573"/>
      <c r="L20" s="1573"/>
      <c r="M20" s="1573"/>
      <c r="N20" s="1573"/>
      <c r="O20" s="1573"/>
      <c r="P20" s="1573"/>
      <c r="Q20" s="1573"/>
      <c r="R20" s="1573"/>
      <c r="S20" s="2795" t="s">
        <v>147</v>
      </c>
      <c r="T20" s="2795"/>
      <c r="U20" s="2795" t="s">
        <v>147</v>
      </c>
      <c r="V20" s="2795"/>
      <c r="W20" s="1573"/>
      <c r="X20" s="1573"/>
      <c r="Y20" s="1573"/>
      <c r="Z20" s="1573"/>
      <c r="AA20" s="1573"/>
      <c r="AB20" s="1573"/>
      <c r="AC20" s="1573"/>
      <c r="AD20" s="1573"/>
      <c r="AE20" s="1573"/>
      <c r="AF20" s="1573"/>
      <c r="AG20" s="1573"/>
      <c r="AH20" s="1573"/>
      <c r="AI20" s="2795" t="s">
        <v>147</v>
      </c>
      <c r="AJ20" s="2795"/>
      <c r="AK20" s="2795" t="s">
        <v>147</v>
      </c>
      <c r="AL20" s="2795"/>
      <c r="AM20" s="1573"/>
      <c r="AN20" s="1573"/>
      <c r="AO20" s="1573"/>
      <c r="AP20" s="1573"/>
      <c r="AQ20" s="1573"/>
      <c r="AR20" s="1573"/>
      <c r="AS20" s="1573"/>
      <c r="AT20" s="1573"/>
      <c r="AU20" s="1573"/>
      <c r="AV20" s="1573"/>
      <c r="AW20" s="1573"/>
      <c r="AX20" s="1573"/>
      <c r="AY20" s="1573"/>
      <c r="AZ20" s="1573"/>
      <c r="BA20" s="2795" t="s">
        <v>147</v>
      </c>
      <c r="BB20" s="2795"/>
      <c r="BC20" s="2795" t="s">
        <v>147</v>
      </c>
      <c r="BD20" s="2795"/>
      <c r="BE20" s="1573"/>
      <c r="BF20" s="1573"/>
      <c r="BG20" s="1573"/>
      <c r="BH20" s="1573"/>
      <c r="BI20" s="1573"/>
      <c r="BJ20" s="1573"/>
      <c r="BK20" s="1573"/>
      <c r="BL20" s="1573"/>
      <c r="BM20" s="1573"/>
      <c r="BN20" s="2795" t="s">
        <v>147</v>
      </c>
      <c r="BO20" s="2795"/>
    </row>
    <row r="21" spans="1:67" ht="11.45" customHeight="1" x14ac:dyDescent="0.2">
      <c r="A21" s="673"/>
      <c r="B21" s="301" t="s">
        <v>148</v>
      </c>
      <c r="C21" s="1572" t="s">
        <v>2606</v>
      </c>
      <c r="D21" s="1572">
        <v>12.4</v>
      </c>
      <c r="E21" s="1572" t="s">
        <v>2646</v>
      </c>
      <c r="F21" s="1572" t="s">
        <v>2963</v>
      </c>
      <c r="G21" s="1572" t="s">
        <v>2518</v>
      </c>
      <c r="H21" s="1572" t="s">
        <v>2705</v>
      </c>
      <c r="I21" s="1572">
        <v>12.5</v>
      </c>
      <c r="J21" s="1572" t="s">
        <v>2759</v>
      </c>
      <c r="K21" s="1572" t="s">
        <v>52</v>
      </c>
      <c r="L21" s="1572" t="s">
        <v>2648</v>
      </c>
      <c r="M21" s="1572" t="s">
        <v>2435</v>
      </c>
      <c r="N21" s="1572">
        <v>14.5</v>
      </c>
      <c r="O21" s="1572" t="s">
        <v>2521</v>
      </c>
      <c r="P21" s="1572">
        <v>13.5</v>
      </c>
      <c r="Q21" s="1572" t="s">
        <v>2435</v>
      </c>
      <c r="R21" s="1572" t="s">
        <v>2435</v>
      </c>
      <c r="S21" s="998"/>
      <c r="T21" s="301" t="s">
        <v>148</v>
      </c>
      <c r="U21" s="626"/>
      <c r="V21" s="301" t="s">
        <v>148</v>
      </c>
      <c r="W21" s="1572" t="s">
        <v>2437</v>
      </c>
      <c r="X21" s="1572" t="s">
        <v>2442</v>
      </c>
      <c r="Y21" s="1572" t="s">
        <v>2444</v>
      </c>
      <c r="Z21" s="1572" t="s">
        <v>2438</v>
      </c>
      <c r="AA21" s="1572" t="s">
        <v>2647</v>
      </c>
      <c r="AB21" s="1572" t="s">
        <v>2437</v>
      </c>
      <c r="AC21" s="1572" t="s">
        <v>2452</v>
      </c>
      <c r="AD21" s="1572" t="s">
        <v>2439</v>
      </c>
      <c r="AE21" s="1572" t="s">
        <v>2788</v>
      </c>
      <c r="AF21" s="1572" t="s">
        <v>2523</v>
      </c>
      <c r="AG21" s="1572" t="s">
        <v>2676</v>
      </c>
      <c r="AH21" s="1572">
        <v>13.5</v>
      </c>
      <c r="AI21" s="626"/>
      <c r="AJ21" s="301" t="s">
        <v>148</v>
      </c>
      <c r="AK21" s="626"/>
      <c r="AL21" s="301" t="s">
        <v>148</v>
      </c>
      <c r="AM21" s="1572" t="s">
        <v>2435</v>
      </c>
      <c r="AN21" s="1572">
        <v>13</v>
      </c>
      <c r="AO21" s="1572" t="s">
        <v>2435</v>
      </c>
      <c r="AP21" s="1572" t="s">
        <v>2440</v>
      </c>
      <c r="AQ21" s="1572" t="s">
        <v>2439</v>
      </c>
      <c r="AR21" s="1572" t="s">
        <v>2626</v>
      </c>
      <c r="AS21" s="1572" t="s">
        <v>2443</v>
      </c>
      <c r="AT21" s="1572" t="s">
        <v>2676</v>
      </c>
      <c r="AU21" s="1572" t="s">
        <v>2523</v>
      </c>
      <c r="AV21" s="1572" t="s">
        <v>2437</v>
      </c>
      <c r="AW21" s="1572" t="s">
        <v>2438</v>
      </c>
      <c r="AX21" s="1572" t="s">
        <v>2438</v>
      </c>
      <c r="AY21" s="1572" t="s">
        <v>2439</v>
      </c>
      <c r="AZ21" s="1572" t="s">
        <v>2435</v>
      </c>
      <c r="BA21" s="626"/>
      <c r="BB21" s="301" t="s">
        <v>148</v>
      </c>
      <c r="BC21" s="626"/>
      <c r="BD21" s="301" t="s">
        <v>148</v>
      </c>
      <c r="BE21" s="1572" t="s">
        <v>2438</v>
      </c>
      <c r="BF21" s="1572" t="s">
        <v>2449</v>
      </c>
      <c r="BG21" s="1572" t="s">
        <v>2677</v>
      </c>
      <c r="BH21" s="1572" t="s">
        <v>2863</v>
      </c>
      <c r="BI21" s="1572" t="s">
        <v>1298</v>
      </c>
      <c r="BJ21" s="1572" t="s">
        <v>2861</v>
      </c>
      <c r="BK21" s="1572" t="s">
        <v>2490</v>
      </c>
      <c r="BL21" s="1572" t="s">
        <v>2449</v>
      </c>
      <c r="BM21" s="1572" t="s">
        <v>2964</v>
      </c>
      <c r="BN21" s="626"/>
      <c r="BO21" s="301" t="s">
        <v>148</v>
      </c>
    </row>
    <row r="22" spans="1:67" ht="11.45" customHeight="1" x14ac:dyDescent="0.2">
      <c r="A22" s="28"/>
      <c r="B22" s="674" t="s">
        <v>149</v>
      </c>
      <c r="C22" s="1574" t="s">
        <v>52</v>
      </c>
      <c r="D22" s="1574" t="s">
        <v>52</v>
      </c>
      <c r="E22" s="1574" t="s">
        <v>52</v>
      </c>
      <c r="F22" s="1574" t="s">
        <v>52</v>
      </c>
      <c r="G22" s="1574" t="s">
        <v>52</v>
      </c>
      <c r="H22" s="1574" t="s">
        <v>52</v>
      </c>
      <c r="I22" s="1574" t="s">
        <v>52</v>
      </c>
      <c r="J22" s="1574" t="s">
        <v>52</v>
      </c>
      <c r="K22" s="1574" t="s">
        <v>52</v>
      </c>
      <c r="L22" s="1574" t="s">
        <v>52</v>
      </c>
      <c r="M22" s="1574" t="s">
        <v>52</v>
      </c>
      <c r="N22" s="1574" t="s">
        <v>52</v>
      </c>
      <c r="O22" s="1574" t="s">
        <v>2438</v>
      </c>
      <c r="P22" s="1574" t="s">
        <v>52</v>
      </c>
      <c r="Q22" s="1574" t="s">
        <v>52</v>
      </c>
      <c r="R22" s="1574" t="s">
        <v>52</v>
      </c>
      <c r="S22" s="999"/>
      <c r="T22" s="674" t="s">
        <v>149</v>
      </c>
      <c r="V22" s="674" t="s">
        <v>149</v>
      </c>
      <c r="W22" s="1574" t="s">
        <v>52</v>
      </c>
      <c r="X22" s="1574" t="s">
        <v>52</v>
      </c>
      <c r="Y22" s="1574" t="s">
        <v>52</v>
      </c>
      <c r="Z22" s="1574" t="s">
        <v>52</v>
      </c>
      <c r="AA22" s="1574" t="s">
        <v>52</v>
      </c>
      <c r="AB22" s="1574" t="s">
        <v>2445</v>
      </c>
      <c r="AC22" s="1574" t="s">
        <v>2452</v>
      </c>
      <c r="AD22" s="1574" t="s">
        <v>52</v>
      </c>
      <c r="AE22" s="1574" t="s">
        <v>52</v>
      </c>
      <c r="AF22" s="1574" t="s">
        <v>2523</v>
      </c>
      <c r="AG22" s="1574" t="s">
        <v>52</v>
      </c>
      <c r="AH22" s="1574" t="s">
        <v>52</v>
      </c>
      <c r="AJ22" s="674" t="s">
        <v>149</v>
      </c>
      <c r="AL22" s="674" t="s">
        <v>149</v>
      </c>
      <c r="AM22" s="1574" t="s">
        <v>52</v>
      </c>
      <c r="AN22" s="1574" t="s">
        <v>52</v>
      </c>
      <c r="AO22" s="1574" t="s">
        <v>52</v>
      </c>
      <c r="AP22" s="1574" t="s">
        <v>52</v>
      </c>
      <c r="AQ22" s="1574" t="s">
        <v>52</v>
      </c>
      <c r="AR22" s="1574" t="s">
        <v>52</v>
      </c>
      <c r="AS22" s="1574"/>
      <c r="AT22" s="1574" t="s">
        <v>52</v>
      </c>
      <c r="AU22" s="1574" t="s">
        <v>52</v>
      </c>
      <c r="AV22" s="1574" t="s">
        <v>52</v>
      </c>
      <c r="AW22" s="1574" t="s">
        <v>52</v>
      </c>
      <c r="AX22" s="1574" t="s">
        <v>52</v>
      </c>
      <c r="AY22" s="1574" t="s">
        <v>52</v>
      </c>
      <c r="AZ22" s="1574" t="s">
        <v>52</v>
      </c>
      <c r="BB22" s="674" t="s">
        <v>149</v>
      </c>
      <c r="BD22" s="674" t="s">
        <v>149</v>
      </c>
      <c r="BE22" s="1574" t="s">
        <v>52</v>
      </c>
      <c r="BF22" s="1574" t="s">
        <v>52</v>
      </c>
      <c r="BG22" s="1574" t="s">
        <v>52</v>
      </c>
      <c r="BH22" s="1574" t="s">
        <v>52</v>
      </c>
      <c r="BI22" s="1574" t="s">
        <v>52</v>
      </c>
      <c r="BJ22" s="1574" t="s">
        <v>52</v>
      </c>
      <c r="BK22" s="1574" t="s">
        <v>52</v>
      </c>
      <c r="BL22" s="1574" t="s">
        <v>52</v>
      </c>
      <c r="BM22" s="1574" t="s">
        <v>52</v>
      </c>
      <c r="BO22" s="674" t="s">
        <v>149</v>
      </c>
    </row>
    <row r="23" spans="1:67" ht="22.5" customHeight="1" x14ac:dyDescent="0.2">
      <c r="A23" s="2794" t="s">
        <v>155</v>
      </c>
      <c r="B23" s="2794"/>
      <c r="C23" s="1572"/>
      <c r="D23" s="1572"/>
      <c r="E23" s="1572"/>
      <c r="F23" s="1572"/>
      <c r="G23" s="1572"/>
      <c r="H23" s="1572"/>
      <c r="I23" s="1572"/>
      <c r="J23" s="1572"/>
      <c r="K23" s="1572"/>
      <c r="L23" s="1572"/>
      <c r="M23" s="1572"/>
      <c r="N23" s="1572"/>
      <c r="O23" s="1572"/>
      <c r="P23" s="1572"/>
      <c r="Q23" s="1572"/>
      <c r="R23" s="1572"/>
      <c r="S23" s="2794" t="s">
        <v>155</v>
      </c>
      <c r="T23" s="2794"/>
      <c r="U23" s="2794" t="s">
        <v>155</v>
      </c>
      <c r="V23" s="2794"/>
      <c r="W23" s="1572"/>
      <c r="X23" s="1572"/>
      <c r="Y23" s="1572"/>
      <c r="Z23" s="1572"/>
      <c r="AA23" s="1572"/>
      <c r="AB23" s="1572"/>
      <c r="AC23" s="1572"/>
      <c r="AD23" s="1572"/>
      <c r="AE23" s="1572"/>
      <c r="AF23" s="1572"/>
      <c r="AG23" s="1572"/>
      <c r="AH23" s="1572"/>
      <c r="AI23" s="2794" t="s">
        <v>155</v>
      </c>
      <c r="AJ23" s="2794"/>
      <c r="AK23" s="2794" t="s">
        <v>155</v>
      </c>
      <c r="AL23" s="2794"/>
      <c r="AM23" s="1572"/>
      <c r="AN23" s="1572"/>
      <c r="AO23" s="1572"/>
      <c r="AP23" s="1572"/>
      <c r="AQ23" s="1572"/>
      <c r="AR23" s="1572"/>
      <c r="AS23" s="1572"/>
      <c r="AT23" s="1572"/>
      <c r="AU23" s="1572"/>
      <c r="AV23" s="1572"/>
      <c r="AW23" s="1572"/>
      <c r="AX23" s="1572"/>
      <c r="AY23" s="1572"/>
      <c r="AZ23" s="1572"/>
      <c r="BA23" s="2794" t="s">
        <v>155</v>
      </c>
      <c r="BB23" s="2794"/>
      <c r="BC23" s="2794" t="s">
        <v>155</v>
      </c>
      <c r="BD23" s="2794"/>
      <c r="BE23" s="1572"/>
      <c r="BF23" s="1572"/>
      <c r="BG23" s="1572"/>
      <c r="BH23" s="1572"/>
      <c r="BI23" s="1572"/>
      <c r="BJ23" s="1572"/>
      <c r="BK23" s="1572"/>
      <c r="BL23" s="1572"/>
      <c r="BM23" s="1572"/>
      <c r="BN23" s="2794" t="s">
        <v>155</v>
      </c>
      <c r="BO23" s="2794"/>
    </row>
    <row r="24" spans="1:67" ht="11.45" customHeight="1" x14ac:dyDescent="0.2">
      <c r="B24" s="674" t="s">
        <v>148</v>
      </c>
      <c r="C24" s="1573">
        <v>13.25</v>
      </c>
      <c r="D24" s="1573">
        <v>13.4</v>
      </c>
      <c r="E24" s="1573">
        <v>9</v>
      </c>
      <c r="F24" s="1573">
        <v>13.5</v>
      </c>
      <c r="G24" s="1573" t="s">
        <v>2519</v>
      </c>
      <c r="H24" s="1573">
        <v>13.4</v>
      </c>
      <c r="I24" s="1573" t="s">
        <v>52</v>
      </c>
      <c r="J24" s="1573" t="s">
        <v>52</v>
      </c>
      <c r="K24" s="1573" t="s">
        <v>52</v>
      </c>
      <c r="L24" s="1573" t="s">
        <v>2435</v>
      </c>
      <c r="M24" s="1573" t="s">
        <v>2436</v>
      </c>
      <c r="N24" s="1573" t="s">
        <v>2447</v>
      </c>
      <c r="O24" s="1573" t="s">
        <v>2436</v>
      </c>
      <c r="P24" s="1573">
        <v>14.5</v>
      </c>
      <c r="Q24" s="1573" t="s">
        <v>2436</v>
      </c>
      <c r="R24" s="1573" t="s">
        <v>2436</v>
      </c>
      <c r="S24" s="999"/>
      <c r="T24" s="674" t="s">
        <v>148</v>
      </c>
      <c r="V24" s="674" t="s">
        <v>148</v>
      </c>
      <c r="W24" s="1573" t="s">
        <v>2435</v>
      </c>
      <c r="X24" s="1573" t="s">
        <v>2649</v>
      </c>
      <c r="Y24" s="1573" t="s">
        <v>3051</v>
      </c>
      <c r="Z24" s="1573" t="s">
        <v>52</v>
      </c>
      <c r="AA24" s="1573" t="s">
        <v>2500</v>
      </c>
      <c r="AB24" s="1573" t="s">
        <v>2435</v>
      </c>
      <c r="AC24" s="1573" t="s">
        <v>2437</v>
      </c>
      <c r="AD24" s="1573" t="s">
        <v>2593</v>
      </c>
      <c r="AE24" s="1573" t="s">
        <v>2786</v>
      </c>
      <c r="AF24" s="1573" t="s">
        <v>2436</v>
      </c>
      <c r="AG24" s="1573" t="s">
        <v>2442</v>
      </c>
      <c r="AH24" s="1573" t="s">
        <v>2447</v>
      </c>
      <c r="AJ24" s="674" t="s">
        <v>148</v>
      </c>
      <c r="AL24" s="674" t="s">
        <v>148</v>
      </c>
      <c r="AM24" s="1573" t="s">
        <v>2436</v>
      </c>
      <c r="AN24" s="1573" t="s">
        <v>2439</v>
      </c>
      <c r="AO24" s="1573" t="s">
        <v>2438</v>
      </c>
      <c r="AP24" s="1573" t="s">
        <v>2624</v>
      </c>
      <c r="AQ24" s="1573" t="s">
        <v>2439</v>
      </c>
      <c r="AR24" s="1573" t="s">
        <v>2838</v>
      </c>
      <c r="AS24" s="1573" t="s">
        <v>2785</v>
      </c>
      <c r="AT24" s="1573" t="s">
        <v>2442</v>
      </c>
      <c r="AU24" s="1573" t="s">
        <v>2435</v>
      </c>
      <c r="AV24" s="1573" t="s">
        <v>2865</v>
      </c>
      <c r="AW24" s="1573" t="s">
        <v>2436</v>
      </c>
      <c r="AX24" s="1573" t="s">
        <v>2435</v>
      </c>
      <c r="AY24" s="1573" t="s">
        <v>2447</v>
      </c>
      <c r="AZ24" s="1573" t="s">
        <v>2799</v>
      </c>
      <c r="BB24" s="674" t="s">
        <v>148</v>
      </c>
      <c r="BD24" s="674" t="s">
        <v>148</v>
      </c>
      <c r="BE24" s="1573" t="s">
        <v>2440</v>
      </c>
      <c r="BF24" s="1573" t="s">
        <v>2437</v>
      </c>
      <c r="BG24" s="1573" t="s">
        <v>2439</v>
      </c>
      <c r="BH24" s="1573" t="s">
        <v>2866</v>
      </c>
      <c r="BI24" s="1573" t="s">
        <v>52</v>
      </c>
      <c r="BJ24" s="1573" t="s">
        <v>2445</v>
      </c>
      <c r="BK24" s="1573" t="s">
        <v>2452</v>
      </c>
      <c r="BL24" s="1573" t="s">
        <v>2437</v>
      </c>
      <c r="BM24" s="1573">
        <v>12.5</v>
      </c>
      <c r="BO24" s="674" t="s">
        <v>148</v>
      </c>
    </row>
    <row r="25" spans="1:67" ht="11.45" customHeight="1" x14ac:dyDescent="0.2">
      <c r="A25" s="626"/>
      <c r="B25" s="301" t="s">
        <v>149</v>
      </c>
      <c r="C25" s="1572" t="s">
        <v>52</v>
      </c>
      <c r="D25" s="1572" t="s">
        <v>52</v>
      </c>
      <c r="E25" s="1572" t="s">
        <v>52</v>
      </c>
      <c r="F25" s="1572" t="s">
        <v>52</v>
      </c>
      <c r="G25" s="1572" t="s">
        <v>52</v>
      </c>
      <c r="H25" s="1572" t="s">
        <v>52</v>
      </c>
      <c r="I25" s="1572">
        <v>13.75</v>
      </c>
      <c r="J25" s="1572" t="s">
        <v>52</v>
      </c>
      <c r="K25" s="1572" t="s">
        <v>52</v>
      </c>
      <c r="L25" s="1572" t="s">
        <v>52</v>
      </c>
      <c r="M25" s="1572" t="s">
        <v>2436</v>
      </c>
      <c r="N25" s="1572" t="s">
        <v>2447</v>
      </c>
      <c r="O25" s="1572" t="s">
        <v>2436</v>
      </c>
      <c r="P25" s="1572" t="s">
        <v>52</v>
      </c>
      <c r="Q25" s="1572" t="s">
        <v>2436</v>
      </c>
      <c r="R25" s="1572" t="s">
        <v>52</v>
      </c>
      <c r="S25" s="998"/>
      <c r="T25" s="301" t="s">
        <v>149</v>
      </c>
      <c r="U25" s="626"/>
      <c r="V25" s="301" t="s">
        <v>149</v>
      </c>
      <c r="W25" s="1572" t="s">
        <v>52</v>
      </c>
      <c r="X25" s="1572" t="s">
        <v>52</v>
      </c>
      <c r="Y25" s="1572" t="s">
        <v>52</v>
      </c>
      <c r="Z25" s="1572" t="s">
        <v>2436</v>
      </c>
      <c r="AA25" s="1572" t="s">
        <v>52</v>
      </c>
      <c r="AB25" s="1572" t="s">
        <v>2965</v>
      </c>
      <c r="AC25" s="1572" t="s">
        <v>2437</v>
      </c>
      <c r="AD25" s="1572" t="s">
        <v>2594</v>
      </c>
      <c r="AE25" s="1572" t="s">
        <v>2786</v>
      </c>
      <c r="AF25" s="1572" t="s">
        <v>52</v>
      </c>
      <c r="AG25" s="1572" t="s">
        <v>2442</v>
      </c>
      <c r="AH25" s="1572" t="s">
        <v>52</v>
      </c>
      <c r="AI25" s="626"/>
      <c r="AJ25" s="301" t="s">
        <v>149</v>
      </c>
      <c r="AK25" s="626"/>
      <c r="AL25" s="301" t="s">
        <v>149</v>
      </c>
      <c r="AM25" s="1572" t="s">
        <v>2436</v>
      </c>
      <c r="AN25" s="1572" t="s">
        <v>52</v>
      </c>
      <c r="AO25" s="1572" t="s">
        <v>2443</v>
      </c>
      <c r="AP25" s="1572" t="s">
        <v>52</v>
      </c>
      <c r="AQ25" s="1572" t="s">
        <v>52</v>
      </c>
      <c r="AR25" s="1572" t="s">
        <v>52</v>
      </c>
      <c r="AS25" s="1572" t="s">
        <v>2501</v>
      </c>
      <c r="AT25" s="1572" t="s">
        <v>52</v>
      </c>
      <c r="AU25" s="1572" t="s">
        <v>52</v>
      </c>
      <c r="AV25" s="1572" t="s">
        <v>52</v>
      </c>
      <c r="AW25" s="1572" t="s">
        <v>52</v>
      </c>
      <c r="AX25" s="1572" t="s">
        <v>52</v>
      </c>
      <c r="AY25" s="1572" t="s">
        <v>52</v>
      </c>
      <c r="AZ25" s="1572" t="s">
        <v>52</v>
      </c>
      <c r="BA25" s="626"/>
      <c r="BB25" s="301" t="s">
        <v>149</v>
      </c>
      <c r="BC25" s="626"/>
      <c r="BD25" s="301" t="s">
        <v>149</v>
      </c>
      <c r="BE25" s="1572" t="s">
        <v>52</v>
      </c>
      <c r="BF25" s="1572" t="s">
        <v>2435</v>
      </c>
      <c r="BG25" s="1572" t="s">
        <v>52</v>
      </c>
      <c r="BH25" s="1572" t="s">
        <v>52</v>
      </c>
      <c r="BI25" s="1572" t="s">
        <v>52</v>
      </c>
      <c r="BJ25" s="1572" t="s">
        <v>52</v>
      </c>
      <c r="BK25" s="1572" t="s">
        <v>52</v>
      </c>
      <c r="BL25" s="1572" t="s">
        <v>52</v>
      </c>
      <c r="BM25" s="1572" t="s">
        <v>52</v>
      </c>
      <c r="BN25" s="626"/>
      <c r="BO25" s="301" t="s">
        <v>149</v>
      </c>
    </row>
    <row r="26" spans="1:67" ht="12.75" customHeight="1" x14ac:dyDescent="0.2">
      <c r="A26" s="2795" t="s">
        <v>28</v>
      </c>
      <c r="B26" s="2795"/>
      <c r="C26" s="1573"/>
      <c r="D26" s="1573"/>
      <c r="E26" s="1573"/>
      <c r="F26" s="1573"/>
      <c r="G26" s="1573"/>
      <c r="H26" s="1573"/>
      <c r="I26" s="1573"/>
      <c r="J26" s="1573"/>
      <c r="K26" s="1573"/>
      <c r="L26" s="1573"/>
      <c r="M26" s="1573"/>
      <c r="N26" s="1573"/>
      <c r="O26" s="1573"/>
      <c r="P26" s="1573"/>
      <c r="Q26" s="1573"/>
      <c r="R26" s="1573"/>
      <c r="S26" s="2795" t="s">
        <v>28</v>
      </c>
      <c r="T26" s="2795"/>
      <c r="U26" s="2795" t="s">
        <v>28</v>
      </c>
      <c r="V26" s="2795"/>
      <c r="W26" s="1573"/>
      <c r="X26" s="1573"/>
      <c r="Y26" s="1573"/>
      <c r="Z26" s="1573"/>
      <c r="AA26" s="1573"/>
      <c r="AB26" s="1573"/>
      <c r="AC26" s="1573"/>
      <c r="AD26" s="1573"/>
      <c r="AE26" s="1573"/>
      <c r="AF26" s="1573"/>
      <c r="AG26" s="1573"/>
      <c r="AH26" s="1573"/>
      <c r="AI26" s="2795" t="s">
        <v>28</v>
      </c>
      <c r="AJ26" s="2795"/>
      <c r="AK26" s="2795" t="s">
        <v>28</v>
      </c>
      <c r="AL26" s="2795"/>
      <c r="AM26" s="1573"/>
      <c r="AN26" s="1573"/>
      <c r="AO26" s="1573"/>
      <c r="AP26" s="1573"/>
      <c r="AQ26" s="1573"/>
      <c r="AR26" s="1573"/>
      <c r="AS26" s="1573"/>
      <c r="AT26" s="1573"/>
      <c r="AU26" s="1573"/>
      <c r="AV26" s="1573"/>
      <c r="AW26" s="1573"/>
      <c r="AX26" s="1573"/>
      <c r="AY26" s="1573"/>
      <c r="AZ26" s="1573"/>
      <c r="BA26" s="2795" t="s">
        <v>28</v>
      </c>
      <c r="BB26" s="2795"/>
      <c r="BC26" s="2795" t="s">
        <v>28</v>
      </c>
      <c r="BD26" s="2795"/>
      <c r="BE26" s="1573"/>
      <c r="BF26" s="1573"/>
      <c r="BG26" s="1573"/>
      <c r="BH26" s="1573"/>
      <c r="BI26" s="1573"/>
      <c r="BJ26" s="1573"/>
      <c r="BK26" s="1573"/>
      <c r="BL26" s="1573"/>
      <c r="BM26" s="1573"/>
      <c r="BN26" s="2795" t="s">
        <v>28</v>
      </c>
      <c r="BO26" s="2795"/>
    </row>
    <row r="27" spans="1:67" ht="11.45" customHeight="1" x14ac:dyDescent="0.2">
      <c r="A27" s="626"/>
      <c r="B27" s="301" t="s">
        <v>148</v>
      </c>
      <c r="C27" s="1572">
        <v>13.25</v>
      </c>
      <c r="D27" s="1572">
        <v>13.4</v>
      </c>
      <c r="E27" s="1572">
        <v>9</v>
      </c>
      <c r="F27" s="1572">
        <v>13.25</v>
      </c>
      <c r="G27" s="1572" t="s">
        <v>2519</v>
      </c>
      <c r="H27" s="1572">
        <v>13.4</v>
      </c>
      <c r="I27" s="1572" t="s">
        <v>52</v>
      </c>
      <c r="J27" s="1572" t="s">
        <v>2760</v>
      </c>
      <c r="K27" s="1572" t="s">
        <v>52</v>
      </c>
      <c r="L27" s="1572" t="s">
        <v>2706</v>
      </c>
      <c r="M27" s="1572" t="s">
        <v>2436</v>
      </c>
      <c r="N27" s="1572" t="s">
        <v>2567</v>
      </c>
      <c r="O27" s="1572" t="s">
        <v>2436</v>
      </c>
      <c r="P27" s="1572">
        <v>14.5</v>
      </c>
      <c r="Q27" s="1572" t="s">
        <v>2436</v>
      </c>
      <c r="R27" s="1572" t="s">
        <v>2436</v>
      </c>
      <c r="S27" s="998"/>
      <c r="T27" s="301" t="s">
        <v>148</v>
      </c>
      <c r="U27" s="626"/>
      <c r="V27" s="301" t="s">
        <v>148</v>
      </c>
      <c r="W27" s="1572" t="s">
        <v>2435</v>
      </c>
      <c r="X27" s="1572">
        <v>14.5</v>
      </c>
      <c r="Y27" s="1572" t="s">
        <v>2440</v>
      </c>
      <c r="Z27" s="1572" t="s">
        <v>2436</v>
      </c>
      <c r="AA27" s="1572" t="s">
        <v>2443</v>
      </c>
      <c r="AB27" s="1572" t="s">
        <v>2965</v>
      </c>
      <c r="AC27" s="1572" t="s">
        <v>2437</v>
      </c>
      <c r="AD27" s="1572" t="s">
        <v>2594</v>
      </c>
      <c r="AE27" s="1572" t="s">
        <v>2786</v>
      </c>
      <c r="AF27" s="1572" t="s">
        <v>2800</v>
      </c>
      <c r="AG27" s="1572" t="s">
        <v>2442</v>
      </c>
      <c r="AH27" s="1572" t="s">
        <v>2499</v>
      </c>
      <c r="AI27" s="626"/>
      <c r="AJ27" s="301" t="s">
        <v>148</v>
      </c>
      <c r="AK27" s="626"/>
      <c r="AL27" s="301" t="s">
        <v>148</v>
      </c>
      <c r="AM27" s="1572" t="s">
        <v>2436</v>
      </c>
      <c r="AN27" s="1572" t="s">
        <v>2439</v>
      </c>
      <c r="AO27" s="1572" t="s">
        <v>2443</v>
      </c>
      <c r="AP27" s="1572" t="s">
        <v>2625</v>
      </c>
      <c r="AQ27" s="1572" t="s">
        <v>2443</v>
      </c>
      <c r="AR27" s="1572" t="s">
        <v>2761</v>
      </c>
      <c r="AS27" s="1572" t="s">
        <v>2443</v>
      </c>
      <c r="AT27" s="1572" t="s">
        <v>2442</v>
      </c>
      <c r="AU27" s="1572" t="s">
        <v>2595</v>
      </c>
      <c r="AV27" s="1572" t="s">
        <v>2439</v>
      </c>
      <c r="AW27" s="1572" t="s">
        <v>2436</v>
      </c>
      <c r="AX27" s="1572" t="s">
        <v>52</v>
      </c>
      <c r="AY27" s="1572" t="s">
        <v>2447</v>
      </c>
      <c r="AZ27" s="1572" t="s">
        <v>2439</v>
      </c>
      <c r="BA27" s="626"/>
      <c r="BB27" s="301" t="s">
        <v>148</v>
      </c>
      <c r="BC27" s="626"/>
      <c r="BD27" s="301" t="s">
        <v>148</v>
      </c>
      <c r="BE27" s="1572" t="s">
        <v>2451</v>
      </c>
      <c r="BF27" s="1572" t="s">
        <v>2526</v>
      </c>
      <c r="BG27" s="1572" t="s">
        <v>2438</v>
      </c>
      <c r="BH27" s="1572" t="s">
        <v>2866</v>
      </c>
      <c r="BI27" s="1572">
        <v>8</v>
      </c>
      <c r="BJ27" s="1572" t="s">
        <v>52</v>
      </c>
      <c r="BK27" s="1572" t="s">
        <v>2452</v>
      </c>
      <c r="BL27" s="1572" t="s">
        <v>2492</v>
      </c>
      <c r="BM27" s="1572" t="s">
        <v>2450</v>
      </c>
      <c r="BN27" s="626"/>
      <c r="BO27" s="301" t="s">
        <v>148</v>
      </c>
    </row>
    <row r="28" spans="1:67" ht="11.45" customHeight="1" x14ac:dyDescent="0.2">
      <c r="B28" s="674" t="s">
        <v>149</v>
      </c>
      <c r="C28" s="1573" t="s">
        <v>52</v>
      </c>
      <c r="D28" s="1573" t="s">
        <v>52</v>
      </c>
      <c r="E28" s="1573" t="s">
        <v>52</v>
      </c>
      <c r="F28" s="1573" t="s">
        <v>52</v>
      </c>
      <c r="G28" s="1573" t="s">
        <v>52</v>
      </c>
      <c r="H28" s="1573" t="s">
        <v>52</v>
      </c>
      <c r="I28" s="1573">
        <v>13.75</v>
      </c>
      <c r="J28" s="1573" t="s">
        <v>52</v>
      </c>
      <c r="K28" s="1573" t="s">
        <v>52</v>
      </c>
      <c r="L28" s="1573" t="s">
        <v>52</v>
      </c>
      <c r="M28" s="1573" t="s">
        <v>2436</v>
      </c>
      <c r="N28" s="1573" t="s">
        <v>2567</v>
      </c>
      <c r="O28" s="1573" t="s">
        <v>52</v>
      </c>
      <c r="P28" s="1573" t="s">
        <v>52</v>
      </c>
      <c r="Q28" s="1573" t="s">
        <v>2436</v>
      </c>
      <c r="R28" s="1573" t="s">
        <v>52</v>
      </c>
      <c r="S28" s="999"/>
      <c r="T28" s="674" t="s">
        <v>149</v>
      </c>
      <c r="V28" s="674" t="s">
        <v>149</v>
      </c>
      <c r="W28" s="1573" t="s">
        <v>52</v>
      </c>
      <c r="X28" s="1573" t="s">
        <v>52</v>
      </c>
      <c r="Y28" s="1573" t="s">
        <v>52</v>
      </c>
      <c r="Z28" s="1573" t="s">
        <v>52</v>
      </c>
      <c r="AA28" s="1573" t="s">
        <v>52</v>
      </c>
      <c r="AB28" s="1573" t="s">
        <v>2965</v>
      </c>
      <c r="AC28" s="1573" t="s">
        <v>52</v>
      </c>
      <c r="AD28" s="1573" t="s">
        <v>52</v>
      </c>
      <c r="AE28" s="1573" t="s">
        <v>2787</v>
      </c>
      <c r="AF28" s="1573" t="s">
        <v>52</v>
      </c>
      <c r="AG28" s="1573" t="s">
        <v>2442</v>
      </c>
      <c r="AH28" s="1573" t="s">
        <v>52</v>
      </c>
      <c r="AJ28" s="674" t="s">
        <v>149</v>
      </c>
      <c r="AL28" s="674" t="s">
        <v>149</v>
      </c>
      <c r="AM28" s="1573" t="s">
        <v>2436</v>
      </c>
      <c r="AN28" s="1573" t="s">
        <v>52</v>
      </c>
      <c r="AO28" s="1573" t="s">
        <v>52</v>
      </c>
      <c r="AP28" s="1573" t="s">
        <v>52</v>
      </c>
      <c r="AQ28" s="1573" t="s">
        <v>52</v>
      </c>
      <c r="AR28" s="1573" t="s">
        <v>52</v>
      </c>
      <c r="AS28" s="1573"/>
      <c r="AT28" s="1573" t="s">
        <v>52</v>
      </c>
      <c r="AU28" s="1573" t="s">
        <v>52</v>
      </c>
      <c r="AV28" s="1573" t="s">
        <v>52</v>
      </c>
      <c r="AW28" s="1573" t="s">
        <v>52</v>
      </c>
      <c r="AX28" s="1573" t="s">
        <v>52</v>
      </c>
      <c r="AY28" s="1573" t="s">
        <v>52</v>
      </c>
      <c r="AZ28" s="1573" t="s">
        <v>52</v>
      </c>
      <c r="BB28" s="674" t="s">
        <v>149</v>
      </c>
      <c r="BD28" s="674" t="s">
        <v>149</v>
      </c>
      <c r="BE28" s="1573" t="s">
        <v>52</v>
      </c>
      <c r="BF28" s="1573" t="s">
        <v>2526</v>
      </c>
      <c r="BG28" s="1573" t="s">
        <v>52</v>
      </c>
      <c r="BH28" s="1573" t="s">
        <v>52</v>
      </c>
      <c r="BI28" s="1573" t="s">
        <v>52</v>
      </c>
      <c r="BJ28" s="1573" t="s">
        <v>52</v>
      </c>
      <c r="BK28" s="1573" t="s">
        <v>52</v>
      </c>
      <c r="BL28" s="1573" t="s">
        <v>52</v>
      </c>
      <c r="BM28" s="1573" t="s">
        <v>52</v>
      </c>
      <c r="BO28" s="674" t="s">
        <v>149</v>
      </c>
    </row>
    <row r="29" spans="1:67" ht="21" customHeight="1" x14ac:dyDescent="0.2">
      <c r="A29" s="2799" t="s">
        <v>159</v>
      </c>
      <c r="B29" s="2799"/>
      <c r="C29" s="1572"/>
      <c r="D29" s="1572"/>
      <c r="E29" s="1572"/>
      <c r="F29" s="1572"/>
      <c r="G29" s="1572"/>
      <c r="H29" s="1572"/>
      <c r="I29" s="1572"/>
      <c r="J29" s="1572"/>
      <c r="K29" s="1572"/>
      <c r="L29" s="1572"/>
      <c r="M29" s="1572"/>
      <c r="N29" s="1572"/>
      <c r="O29" s="1572"/>
      <c r="P29" s="1572"/>
      <c r="Q29" s="1572"/>
      <c r="R29" s="1572"/>
      <c r="S29" s="2794" t="s">
        <v>159</v>
      </c>
      <c r="T29" s="2794"/>
      <c r="U29" s="2794" t="s">
        <v>159</v>
      </c>
      <c r="V29" s="2794"/>
      <c r="W29" s="1572"/>
      <c r="X29" s="1572"/>
      <c r="Y29" s="1572"/>
      <c r="Z29" s="1572"/>
      <c r="AA29" s="1572"/>
      <c r="AB29" s="1572"/>
      <c r="AC29" s="1572"/>
      <c r="AD29" s="1572"/>
      <c r="AE29" s="1572"/>
      <c r="AF29" s="1572"/>
      <c r="AG29" s="1572"/>
      <c r="AH29" s="1572"/>
      <c r="AI29" s="2794" t="s">
        <v>159</v>
      </c>
      <c r="AJ29" s="2794"/>
      <c r="AK29" s="2794" t="s">
        <v>159</v>
      </c>
      <c r="AL29" s="2794"/>
      <c r="AM29" s="1572"/>
      <c r="AN29" s="1572"/>
      <c r="AO29" s="1572"/>
      <c r="AP29" s="1572"/>
      <c r="AQ29" s="1572"/>
      <c r="AR29" s="1572"/>
      <c r="AS29" s="1572"/>
      <c r="AT29" s="1572"/>
      <c r="AU29" s="1572"/>
      <c r="AV29" s="1572"/>
      <c r="AW29" s="1572"/>
      <c r="AX29" s="1572"/>
      <c r="AY29" s="1572"/>
      <c r="AZ29" s="1572"/>
      <c r="BA29" s="2794" t="s">
        <v>159</v>
      </c>
      <c r="BB29" s="2794"/>
      <c r="BC29" s="2794" t="s">
        <v>159</v>
      </c>
      <c r="BD29" s="2794"/>
      <c r="BE29" s="1572"/>
      <c r="BF29" s="1572"/>
      <c r="BG29" s="1572"/>
      <c r="BH29" s="1572"/>
      <c r="BI29" s="1572"/>
      <c r="BJ29" s="1572"/>
      <c r="BK29" s="1572"/>
      <c r="BL29" s="1572"/>
      <c r="BM29" s="1572"/>
      <c r="BN29" s="2794" t="s">
        <v>159</v>
      </c>
      <c r="BO29" s="2794"/>
    </row>
    <row r="30" spans="1:67" s="714" customFormat="1" ht="18.75" customHeight="1" x14ac:dyDescent="0.15">
      <c r="A30" s="675" t="s">
        <v>299</v>
      </c>
      <c r="B30" s="676" t="s">
        <v>590</v>
      </c>
      <c r="C30" s="1573"/>
      <c r="D30" s="1573"/>
      <c r="E30" s="1573"/>
      <c r="F30" s="1573"/>
      <c r="G30" s="1573"/>
      <c r="H30" s="1573"/>
      <c r="I30" s="1573"/>
      <c r="J30" s="1573"/>
      <c r="K30" s="1573"/>
      <c r="L30" s="1573"/>
      <c r="M30" s="1573"/>
      <c r="N30" s="1573"/>
      <c r="O30" s="1573"/>
      <c r="P30" s="1573"/>
      <c r="Q30" s="1573"/>
      <c r="R30" s="1573"/>
      <c r="S30" s="675" t="s">
        <v>299</v>
      </c>
      <c r="T30" s="1001" t="s">
        <v>590</v>
      </c>
      <c r="U30" s="675" t="s">
        <v>299</v>
      </c>
      <c r="V30" s="677" t="s">
        <v>590</v>
      </c>
      <c r="W30" s="1573"/>
      <c r="X30" s="1573"/>
      <c r="Y30" s="1573"/>
      <c r="Z30" s="1573"/>
      <c r="AA30" s="1573"/>
      <c r="AB30" s="1573"/>
      <c r="AC30" s="1573"/>
      <c r="AD30" s="1573"/>
      <c r="AE30" s="1573"/>
      <c r="AF30" s="1573"/>
      <c r="AG30" s="1573"/>
      <c r="AH30" s="1573"/>
      <c r="AI30" s="675" t="s">
        <v>299</v>
      </c>
      <c r="AJ30" s="677" t="s">
        <v>590</v>
      </c>
      <c r="AK30" s="675" t="s">
        <v>299</v>
      </c>
      <c r="AL30" s="677" t="s">
        <v>590</v>
      </c>
      <c r="AM30" s="1573"/>
      <c r="AN30" s="1573"/>
      <c r="AO30" s="1573"/>
      <c r="AP30" s="1573"/>
      <c r="AQ30" s="1573"/>
      <c r="AR30" s="1573"/>
      <c r="AS30" s="1573"/>
      <c r="AT30" s="1573"/>
      <c r="AU30" s="1573"/>
      <c r="AV30" s="1573"/>
      <c r="AW30" s="1573"/>
      <c r="AX30" s="1573"/>
      <c r="AY30" s="1573"/>
      <c r="AZ30" s="1573"/>
      <c r="BA30" s="675" t="s">
        <v>299</v>
      </c>
      <c r="BB30" s="677" t="s">
        <v>590</v>
      </c>
      <c r="BC30" s="675" t="s">
        <v>299</v>
      </c>
      <c r="BD30" s="677" t="s">
        <v>590</v>
      </c>
      <c r="BE30" s="1573"/>
      <c r="BF30" s="1573"/>
      <c r="BG30" s="1573"/>
      <c r="BH30" s="1573"/>
      <c r="BI30" s="1573"/>
      <c r="BJ30" s="1573"/>
      <c r="BK30" s="1573"/>
      <c r="BL30" s="1573"/>
      <c r="BM30" s="1573"/>
      <c r="BN30" s="675" t="s">
        <v>299</v>
      </c>
      <c r="BO30" s="677" t="s">
        <v>590</v>
      </c>
    </row>
    <row r="31" spans="1:67" ht="11.45" customHeight="1" x14ac:dyDescent="0.2">
      <c r="A31" s="678"/>
      <c r="B31" s="301" t="s">
        <v>156</v>
      </c>
      <c r="C31" s="1572">
        <v>13.25</v>
      </c>
      <c r="D31" s="1572">
        <v>13.4</v>
      </c>
      <c r="E31" s="1572">
        <v>9</v>
      </c>
      <c r="F31" s="1572">
        <v>13.5</v>
      </c>
      <c r="G31" s="1572" t="s">
        <v>2519</v>
      </c>
      <c r="H31" s="1572">
        <v>13.4</v>
      </c>
      <c r="I31" s="1572" t="s">
        <v>52</v>
      </c>
      <c r="J31" s="1572" t="s">
        <v>52</v>
      </c>
      <c r="K31" s="1572" t="s">
        <v>52</v>
      </c>
      <c r="L31" s="1572" t="s">
        <v>2522</v>
      </c>
      <c r="M31" s="1572" t="s">
        <v>2436</v>
      </c>
      <c r="N31" s="1572" t="s">
        <v>2447</v>
      </c>
      <c r="O31" s="1572" t="s">
        <v>2436</v>
      </c>
      <c r="P31" s="1572">
        <v>14.5</v>
      </c>
      <c r="Q31" s="1572" t="s">
        <v>2867</v>
      </c>
      <c r="R31" s="1572" t="s">
        <v>2436</v>
      </c>
      <c r="S31" s="1002"/>
      <c r="T31" s="301" t="s">
        <v>148</v>
      </c>
      <c r="U31" s="678"/>
      <c r="V31" s="301" t="s">
        <v>148</v>
      </c>
      <c r="W31" s="1572" t="s">
        <v>2435</v>
      </c>
      <c r="X31" s="1572" t="s">
        <v>2649</v>
      </c>
      <c r="Y31" s="1572" t="s">
        <v>3051</v>
      </c>
      <c r="Z31" s="1572" t="s">
        <v>2436</v>
      </c>
      <c r="AA31" s="1572" t="s">
        <v>2500</v>
      </c>
      <c r="AB31" s="1572" t="s">
        <v>2435</v>
      </c>
      <c r="AC31" s="1572" t="s">
        <v>2437</v>
      </c>
      <c r="AD31" s="1572" t="s">
        <v>2594</v>
      </c>
      <c r="AE31" s="1572" t="s">
        <v>2786</v>
      </c>
      <c r="AF31" s="1572" t="s">
        <v>2436</v>
      </c>
      <c r="AG31" s="1572" t="s">
        <v>2442</v>
      </c>
      <c r="AH31" s="1572" t="s">
        <v>2447</v>
      </c>
      <c r="AI31" s="678"/>
      <c r="AJ31" s="301" t="s">
        <v>148</v>
      </c>
      <c r="AK31" s="678"/>
      <c r="AL31" s="301" t="s">
        <v>148</v>
      </c>
      <c r="AM31" s="1572" t="s">
        <v>2436</v>
      </c>
      <c r="AN31" s="1572" t="s">
        <v>2439</v>
      </c>
      <c r="AO31" s="1572" t="s">
        <v>2438</v>
      </c>
      <c r="AP31" s="1572" t="s">
        <v>2626</v>
      </c>
      <c r="AQ31" s="1572" t="s">
        <v>2439</v>
      </c>
      <c r="AR31" s="1572" t="s">
        <v>2762</v>
      </c>
      <c r="AS31" s="1572" t="s">
        <v>2443</v>
      </c>
      <c r="AT31" s="1572" t="s">
        <v>2442</v>
      </c>
      <c r="AU31" s="1572" t="s">
        <v>2439</v>
      </c>
      <c r="AV31" s="1572" t="s">
        <v>2648</v>
      </c>
      <c r="AW31" s="1572" t="s">
        <v>2443</v>
      </c>
      <c r="AX31" s="1572" t="s">
        <v>52</v>
      </c>
      <c r="AY31" s="1572" t="s">
        <v>2447</v>
      </c>
      <c r="AZ31" s="1572" t="s">
        <v>2868</v>
      </c>
      <c r="BA31" s="678"/>
      <c r="BB31" s="301" t="s">
        <v>148</v>
      </c>
      <c r="BC31" s="678"/>
      <c r="BD31" s="301" t="s">
        <v>148</v>
      </c>
      <c r="BE31" s="1572" t="s">
        <v>2440</v>
      </c>
      <c r="BF31" s="1572" t="s">
        <v>2864</v>
      </c>
      <c r="BG31" s="1572" t="s">
        <v>2522</v>
      </c>
      <c r="BH31" s="1572" t="s">
        <v>2866</v>
      </c>
      <c r="BI31" s="1572">
        <v>9</v>
      </c>
      <c r="BJ31" s="1572" t="s">
        <v>2445</v>
      </c>
      <c r="BK31" s="1572" t="s">
        <v>2492</v>
      </c>
      <c r="BL31" s="1572" t="s">
        <v>2437</v>
      </c>
      <c r="BM31" s="1572">
        <v>14</v>
      </c>
      <c r="BN31" s="678"/>
      <c r="BO31" s="301" t="s">
        <v>148</v>
      </c>
    </row>
    <row r="32" spans="1:67" ht="11.45" customHeight="1" x14ac:dyDescent="0.2">
      <c r="A32" s="675"/>
      <c r="B32" s="674" t="s">
        <v>157</v>
      </c>
      <c r="C32" s="1573" t="s">
        <v>52</v>
      </c>
      <c r="D32" s="1573" t="s">
        <v>52</v>
      </c>
      <c r="E32" s="1573" t="s">
        <v>52</v>
      </c>
      <c r="F32" s="1573" t="s">
        <v>52</v>
      </c>
      <c r="G32" s="1573" t="s">
        <v>52</v>
      </c>
      <c r="H32" s="1573" t="s">
        <v>52</v>
      </c>
      <c r="I32" s="1573">
        <v>13.75</v>
      </c>
      <c r="J32" s="1573" t="s">
        <v>52</v>
      </c>
      <c r="K32" s="1573" t="s">
        <v>52</v>
      </c>
      <c r="L32" s="1573" t="s">
        <v>52</v>
      </c>
      <c r="M32" s="1573" t="s">
        <v>2436</v>
      </c>
      <c r="N32" s="1573" t="s">
        <v>2447</v>
      </c>
      <c r="O32" s="1573" t="s">
        <v>2436</v>
      </c>
      <c r="P32" s="1573" t="s">
        <v>52</v>
      </c>
      <c r="Q32" s="1573" t="s">
        <v>2867</v>
      </c>
      <c r="R32" s="1573" t="s">
        <v>52</v>
      </c>
      <c r="S32" s="1000"/>
      <c r="T32" s="674" t="s">
        <v>149</v>
      </c>
      <c r="U32" s="675"/>
      <c r="V32" s="674" t="s">
        <v>149</v>
      </c>
      <c r="W32" s="1573" t="s">
        <v>52</v>
      </c>
      <c r="X32" s="1573" t="s">
        <v>52</v>
      </c>
      <c r="Y32" s="1573" t="s">
        <v>52</v>
      </c>
      <c r="Z32" s="1573" t="s">
        <v>52</v>
      </c>
      <c r="AA32" s="1573" t="s">
        <v>52</v>
      </c>
      <c r="AB32" s="1573" t="s">
        <v>2438</v>
      </c>
      <c r="AC32" s="1573" t="s">
        <v>2437</v>
      </c>
      <c r="AD32" s="1573" t="s">
        <v>52</v>
      </c>
      <c r="AE32" s="1573" t="s">
        <v>2786</v>
      </c>
      <c r="AF32" s="1573" t="s">
        <v>52</v>
      </c>
      <c r="AG32" s="1573" t="s">
        <v>52</v>
      </c>
      <c r="AH32" s="1573" t="s">
        <v>52</v>
      </c>
      <c r="AI32" s="675"/>
      <c r="AJ32" s="674" t="s">
        <v>149</v>
      </c>
      <c r="AK32" s="675"/>
      <c r="AL32" s="674" t="s">
        <v>149</v>
      </c>
      <c r="AM32" s="1573" t="s">
        <v>52</v>
      </c>
      <c r="AN32" s="1573" t="s">
        <v>52</v>
      </c>
      <c r="AO32" s="1573" t="s">
        <v>2443</v>
      </c>
      <c r="AP32" s="1573" t="s">
        <v>52</v>
      </c>
      <c r="AQ32" s="1573" t="s">
        <v>52</v>
      </c>
      <c r="AR32" s="1573" t="s">
        <v>52</v>
      </c>
      <c r="AS32" s="1573"/>
      <c r="AT32" s="1573" t="s">
        <v>52</v>
      </c>
      <c r="AU32" s="1573" t="s">
        <v>52</v>
      </c>
      <c r="AV32" s="1573" t="s">
        <v>52</v>
      </c>
      <c r="AW32" s="1573" t="s">
        <v>52</v>
      </c>
      <c r="AX32" s="1573" t="s">
        <v>52</v>
      </c>
      <c r="AY32" s="1573" t="s">
        <v>52</v>
      </c>
      <c r="AZ32" s="1573" t="s">
        <v>52</v>
      </c>
      <c r="BA32" s="675"/>
      <c r="BB32" s="674" t="s">
        <v>149</v>
      </c>
      <c r="BC32" s="675"/>
      <c r="BD32" s="674" t="s">
        <v>149</v>
      </c>
      <c r="BE32" s="1573" t="s">
        <v>52</v>
      </c>
      <c r="BF32" s="1573" t="s">
        <v>2452</v>
      </c>
      <c r="BG32" s="1573" t="s">
        <v>52</v>
      </c>
      <c r="BH32" s="1573" t="s">
        <v>52</v>
      </c>
      <c r="BI32" s="1573" t="s">
        <v>52</v>
      </c>
      <c r="BJ32" s="1573" t="s">
        <v>2445</v>
      </c>
      <c r="BK32" s="1573" t="s">
        <v>52</v>
      </c>
      <c r="BL32" s="1573" t="s">
        <v>52</v>
      </c>
      <c r="BM32" s="1573" t="s">
        <v>52</v>
      </c>
      <c r="BN32" s="675"/>
      <c r="BO32" s="674" t="s">
        <v>149</v>
      </c>
    </row>
    <row r="33" spans="1:67" ht="21" customHeight="1" x14ac:dyDescent="0.2">
      <c r="A33" s="678" t="s">
        <v>464</v>
      </c>
      <c r="B33" s="1668" t="s">
        <v>591</v>
      </c>
      <c r="C33" s="1572"/>
      <c r="D33" s="1572"/>
      <c r="E33" s="1572"/>
      <c r="F33" s="1572"/>
      <c r="G33" s="1572"/>
      <c r="H33" s="1572"/>
      <c r="I33" s="1572"/>
      <c r="J33" s="1572"/>
      <c r="K33" s="1572"/>
      <c r="L33" s="1572"/>
      <c r="M33" s="1572"/>
      <c r="N33" s="1572"/>
      <c r="O33" s="1572"/>
      <c r="P33" s="1572"/>
      <c r="Q33" s="1572"/>
      <c r="R33" s="1572"/>
      <c r="S33" s="678" t="s">
        <v>464</v>
      </c>
      <c r="T33" s="1668" t="s">
        <v>591</v>
      </c>
      <c r="U33" s="678" t="s">
        <v>464</v>
      </c>
      <c r="V33" s="1668" t="s">
        <v>591</v>
      </c>
      <c r="W33" s="1572"/>
      <c r="X33" s="1572"/>
      <c r="Y33" s="1572"/>
      <c r="Z33" s="1572"/>
      <c r="AA33" s="1572"/>
      <c r="AB33" s="1572"/>
      <c r="AC33" s="1572"/>
      <c r="AD33" s="1572"/>
      <c r="AE33" s="1572"/>
      <c r="AF33" s="1572"/>
      <c r="AG33" s="1572"/>
      <c r="AH33" s="1572"/>
      <c r="AI33" s="678" t="s">
        <v>464</v>
      </c>
      <c r="AJ33" s="1668" t="s">
        <v>591</v>
      </c>
      <c r="AK33" s="678" t="s">
        <v>464</v>
      </c>
      <c r="AL33" s="1668" t="s">
        <v>591</v>
      </c>
      <c r="AM33" s="1572"/>
      <c r="AN33" s="1572"/>
      <c r="AO33" s="1572"/>
      <c r="AP33" s="1572"/>
      <c r="AQ33" s="1572"/>
      <c r="AR33" s="1572"/>
      <c r="AS33" s="1572"/>
      <c r="AT33" s="1572"/>
      <c r="AU33" s="1572"/>
      <c r="AV33" s="1572"/>
      <c r="AW33" s="1572"/>
      <c r="AX33" s="1572"/>
      <c r="AY33" s="1572"/>
      <c r="AZ33" s="1572"/>
      <c r="BA33" s="678" t="s">
        <v>464</v>
      </c>
      <c r="BB33" s="1668" t="s">
        <v>591</v>
      </c>
      <c r="BC33" s="678" t="s">
        <v>464</v>
      </c>
      <c r="BD33" s="1668" t="s">
        <v>591</v>
      </c>
      <c r="BE33" s="1572"/>
      <c r="BF33" s="1572"/>
      <c r="BG33" s="1572"/>
      <c r="BH33" s="1572"/>
      <c r="BI33" s="1572"/>
      <c r="BJ33" s="1572"/>
      <c r="BK33" s="1572"/>
      <c r="BL33" s="1572"/>
      <c r="BM33" s="1572"/>
      <c r="BN33" s="678" t="s">
        <v>464</v>
      </c>
      <c r="BO33" s="1668" t="s">
        <v>591</v>
      </c>
    </row>
    <row r="34" spans="1:67" ht="11.45" customHeight="1" x14ac:dyDescent="0.2">
      <c r="B34" s="674" t="s">
        <v>156</v>
      </c>
      <c r="C34" s="1574">
        <v>13.25</v>
      </c>
      <c r="D34" s="1574">
        <v>13.4</v>
      </c>
      <c r="E34" s="1574">
        <v>9</v>
      </c>
      <c r="F34" s="1574">
        <v>13.25</v>
      </c>
      <c r="G34" s="1574" t="s">
        <v>2519</v>
      </c>
      <c r="H34" s="1574">
        <v>13.4</v>
      </c>
      <c r="I34" s="1574" t="s">
        <v>52</v>
      </c>
      <c r="J34" s="1574" t="s">
        <v>2760</v>
      </c>
      <c r="K34" s="1574" t="s">
        <v>52</v>
      </c>
      <c r="L34" s="1574" t="s">
        <v>2706</v>
      </c>
      <c r="M34" s="1574" t="s">
        <v>2436</v>
      </c>
      <c r="N34" s="1574" t="s">
        <v>2567</v>
      </c>
      <c r="O34" s="1574" t="s">
        <v>2439</v>
      </c>
      <c r="P34" s="1574">
        <v>14.5</v>
      </c>
      <c r="Q34" s="1574" t="s">
        <v>2436</v>
      </c>
      <c r="R34" s="1574" t="s">
        <v>2436</v>
      </c>
      <c r="S34" s="999"/>
      <c r="T34" s="674" t="s">
        <v>148</v>
      </c>
      <c r="V34" s="674" t="s">
        <v>148</v>
      </c>
      <c r="W34" s="1574" t="s">
        <v>2435</v>
      </c>
      <c r="X34" s="1574">
        <v>14.75</v>
      </c>
      <c r="Y34" s="1574" t="s">
        <v>2440</v>
      </c>
      <c r="Z34" s="1574" t="s">
        <v>2436</v>
      </c>
      <c r="AA34" s="1574" t="s">
        <v>2500</v>
      </c>
      <c r="AB34" s="1573" t="s">
        <v>2438</v>
      </c>
      <c r="AC34" s="1574" t="s">
        <v>2437</v>
      </c>
      <c r="AD34" s="1574" t="s">
        <v>2499</v>
      </c>
      <c r="AE34" s="1574" t="s">
        <v>2787</v>
      </c>
      <c r="AF34" s="1574" t="s">
        <v>2800</v>
      </c>
      <c r="AG34" s="1574" t="s">
        <v>2442</v>
      </c>
      <c r="AH34" s="1574" t="s">
        <v>2499</v>
      </c>
      <c r="AJ34" s="674" t="s">
        <v>148</v>
      </c>
      <c r="AL34" s="674" t="s">
        <v>148</v>
      </c>
      <c r="AM34" s="1574" t="s">
        <v>2436</v>
      </c>
      <c r="AN34" s="1574" t="s">
        <v>2439</v>
      </c>
      <c r="AO34" s="1574" t="s">
        <v>2443</v>
      </c>
      <c r="AP34" s="1574" t="s">
        <v>2625</v>
      </c>
      <c r="AQ34" s="1574" t="s">
        <v>2443</v>
      </c>
      <c r="AR34" s="1574" t="s">
        <v>2763</v>
      </c>
      <c r="AS34" s="1574" t="s">
        <v>2764</v>
      </c>
      <c r="AT34" s="1574" t="s">
        <v>2966</v>
      </c>
      <c r="AU34" s="1574" t="s">
        <v>2439</v>
      </c>
      <c r="AV34" s="1574" t="s">
        <v>2439</v>
      </c>
      <c r="AW34" s="1574" t="s">
        <v>2443</v>
      </c>
      <c r="AX34" s="1574" t="s">
        <v>3052</v>
      </c>
      <c r="AY34" s="1574" t="s">
        <v>2447</v>
      </c>
      <c r="AZ34" s="1574" t="s">
        <v>2436</v>
      </c>
      <c r="BB34" s="674" t="s">
        <v>148</v>
      </c>
      <c r="BD34" s="674" t="s">
        <v>148</v>
      </c>
      <c r="BE34" s="1574" t="s">
        <v>2451</v>
      </c>
      <c r="BF34" s="1574" t="s">
        <v>2486</v>
      </c>
      <c r="BG34" s="1574" t="s">
        <v>2437</v>
      </c>
      <c r="BH34" s="1574" t="s">
        <v>2866</v>
      </c>
      <c r="BI34" s="1574">
        <v>9</v>
      </c>
      <c r="BJ34" s="1574" t="s">
        <v>52</v>
      </c>
      <c r="BK34" s="1574" t="s">
        <v>2492</v>
      </c>
      <c r="BL34" s="1574" t="s">
        <v>2492</v>
      </c>
      <c r="BM34" s="1574" t="s">
        <v>52</v>
      </c>
      <c r="BO34" s="674" t="s">
        <v>148</v>
      </c>
    </row>
    <row r="35" spans="1:67" ht="11.45" customHeight="1" x14ac:dyDescent="0.2">
      <c r="A35" s="626"/>
      <c r="B35" s="301" t="s">
        <v>157</v>
      </c>
      <c r="C35" s="1572" t="s">
        <v>52</v>
      </c>
      <c r="D35" s="1572" t="s">
        <v>52</v>
      </c>
      <c r="E35" s="1572" t="s">
        <v>52</v>
      </c>
      <c r="F35" s="1572" t="s">
        <v>52</v>
      </c>
      <c r="G35" s="1572" t="s">
        <v>52</v>
      </c>
      <c r="H35" s="1572" t="s">
        <v>52</v>
      </c>
      <c r="I35" s="1572">
        <v>13.75</v>
      </c>
      <c r="J35" s="1572" t="s">
        <v>52</v>
      </c>
      <c r="K35" s="1572" t="s">
        <v>52</v>
      </c>
      <c r="L35" s="1572" t="s">
        <v>52</v>
      </c>
      <c r="M35" s="1572" t="s">
        <v>2436</v>
      </c>
      <c r="N35" s="1572" t="s">
        <v>2447</v>
      </c>
      <c r="O35" s="1572" t="s">
        <v>52</v>
      </c>
      <c r="P35" s="1572" t="s">
        <v>52</v>
      </c>
      <c r="Q35" s="1572" t="s">
        <v>2436</v>
      </c>
      <c r="R35" s="1572" t="s">
        <v>52</v>
      </c>
      <c r="S35" s="998"/>
      <c r="T35" s="301" t="s">
        <v>149</v>
      </c>
      <c r="U35" s="626"/>
      <c r="V35" s="301" t="s">
        <v>149</v>
      </c>
      <c r="W35" s="1572" t="s">
        <v>52</v>
      </c>
      <c r="X35" s="1572" t="s">
        <v>52</v>
      </c>
      <c r="Y35" s="1572" t="s">
        <v>52</v>
      </c>
      <c r="Z35" s="1572" t="s">
        <v>52</v>
      </c>
      <c r="AA35" s="1572" t="s">
        <v>52</v>
      </c>
      <c r="AB35" s="1572" t="s">
        <v>52</v>
      </c>
      <c r="AC35" s="1572" t="s">
        <v>52</v>
      </c>
      <c r="AD35" s="1572" t="s">
        <v>52</v>
      </c>
      <c r="AE35" s="1572" t="s">
        <v>2787</v>
      </c>
      <c r="AF35" s="1572" t="s">
        <v>52</v>
      </c>
      <c r="AG35" s="1572" t="s">
        <v>2442</v>
      </c>
      <c r="AH35" s="1572" t="s">
        <v>52</v>
      </c>
      <c r="AI35" s="626"/>
      <c r="AJ35" s="301" t="s">
        <v>149</v>
      </c>
      <c r="AK35" s="626"/>
      <c r="AL35" s="301" t="s">
        <v>149</v>
      </c>
      <c r="AM35" s="1572" t="s">
        <v>52</v>
      </c>
      <c r="AN35" s="1572" t="s">
        <v>52</v>
      </c>
      <c r="AO35" s="1572" t="s">
        <v>52</v>
      </c>
      <c r="AP35" s="1572" t="s">
        <v>52</v>
      </c>
      <c r="AQ35" s="1572" t="s">
        <v>52</v>
      </c>
      <c r="AR35" s="1572" t="s">
        <v>52</v>
      </c>
      <c r="AS35" s="1572"/>
      <c r="AT35" s="1572" t="s">
        <v>52</v>
      </c>
      <c r="AU35" s="1572" t="s">
        <v>52</v>
      </c>
      <c r="AV35" s="1572" t="s">
        <v>52</v>
      </c>
      <c r="AW35" s="1572" t="s">
        <v>52</v>
      </c>
      <c r="AX35" s="1572" t="s">
        <v>52</v>
      </c>
      <c r="AY35" s="1572" t="s">
        <v>52</v>
      </c>
      <c r="AZ35" s="1572" t="s">
        <v>52</v>
      </c>
      <c r="BA35" s="626"/>
      <c r="BB35" s="301" t="s">
        <v>149</v>
      </c>
      <c r="BC35" s="626"/>
      <c r="BD35" s="301" t="s">
        <v>149</v>
      </c>
      <c r="BE35" s="1572" t="s">
        <v>52</v>
      </c>
      <c r="BF35" s="1572" t="s">
        <v>2486</v>
      </c>
      <c r="BG35" s="1572" t="s">
        <v>52</v>
      </c>
      <c r="BH35" s="1572" t="s">
        <v>52</v>
      </c>
      <c r="BI35" s="1572" t="s">
        <v>52</v>
      </c>
      <c r="BJ35" s="1572" t="s">
        <v>52</v>
      </c>
      <c r="BK35" s="1572" t="s">
        <v>52</v>
      </c>
      <c r="BL35" s="1572" t="s">
        <v>52</v>
      </c>
      <c r="BM35" s="1572" t="s">
        <v>52</v>
      </c>
      <c r="BN35" s="626"/>
      <c r="BO35" s="301" t="s">
        <v>149</v>
      </c>
    </row>
    <row r="36" spans="1:67" ht="11.45" customHeight="1" x14ac:dyDescent="0.2">
      <c r="A36" s="2795" t="s">
        <v>88</v>
      </c>
      <c r="B36" s="2795"/>
      <c r="C36" s="1573">
        <v>12.25</v>
      </c>
      <c r="D36" s="1573">
        <v>12.4</v>
      </c>
      <c r="E36" s="1573">
        <v>9</v>
      </c>
      <c r="F36" s="1573" t="s">
        <v>2678</v>
      </c>
      <c r="G36" s="1573" t="s">
        <v>2498</v>
      </c>
      <c r="H36" s="1573" t="s">
        <v>2707</v>
      </c>
      <c r="I36" s="1573">
        <v>12.5</v>
      </c>
      <c r="J36" s="1573" t="s">
        <v>52</v>
      </c>
      <c r="K36" s="1573" t="s">
        <v>52</v>
      </c>
      <c r="L36" s="1573" t="s">
        <v>2437</v>
      </c>
      <c r="M36" s="1573" t="s">
        <v>2435</v>
      </c>
      <c r="N36" s="1573">
        <v>14.5</v>
      </c>
      <c r="O36" s="1573" t="s">
        <v>2435</v>
      </c>
      <c r="P36" s="1573">
        <v>13.5</v>
      </c>
      <c r="Q36" s="1573" t="s">
        <v>2435</v>
      </c>
      <c r="R36" s="1573" t="s">
        <v>2435</v>
      </c>
      <c r="S36" s="2795" t="s">
        <v>88</v>
      </c>
      <c r="T36" s="2795"/>
      <c r="U36" s="2795" t="s">
        <v>88</v>
      </c>
      <c r="V36" s="2795"/>
      <c r="W36" s="1573" t="s">
        <v>2437</v>
      </c>
      <c r="X36" s="1573">
        <v>13.5</v>
      </c>
      <c r="Y36" s="1573" t="s">
        <v>2444</v>
      </c>
      <c r="Z36" s="1573" t="s">
        <v>2438</v>
      </c>
      <c r="AA36" s="1573" t="s">
        <v>2500</v>
      </c>
      <c r="AB36" s="1573" t="s">
        <v>2492</v>
      </c>
      <c r="AC36" s="1573" t="s">
        <v>2452</v>
      </c>
      <c r="AD36" s="1573" t="s">
        <v>2439</v>
      </c>
      <c r="AE36" s="1573" t="s">
        <v>2788</v>
      </c>
      <c r="AF36" s="1573" t="s">
        <v>2436</v>
      </c>
      <c r="AG36" s="1573" t="s">
        <v>2498</v>
      </c>
      <c r="AH36" s="1573" t="s">
        <v>2439</v>
      </c>
      <c r="AI36" s="2795" t="s">
        <v>88</v>
      </c>
      <c r="AJ36" s="2795"/>
      <c r="AK36" s="2795" t="s">
        <v>88</v>
      </c>
      <c r="AL36" s="2795"/>
      <c r="AM36" s="1573" t="s">
        <v>2435</v>
      </c>
      <c r="AN36" s="1573">
        <v>13.5</v>
      </c>
      <c r="AO36" s="1573" t="s">
        <v>2438</v>
      </c>
      <c r="AP36" s="1573" t="s">
        <v>2503</v>
      </c>
      <c r="AQ36" s="1573" t="s">
        <v>2438</v>
      </c>
      <c r="AR36" s="1573" t="s">
        <v>2625</v>
      </c>
      <c r="AS36" s="1573" t="s">
        <v>2443</v>
      </c>
      <c r="AT36" s="1573" t="s">
        <v>2533</v>
      </c>
      <c r="AU36" s="1573" t="s">
        <v>2435</v>
      </c>
      <c r="AV36" s="1573" t="s">
        <v>2437</v>
      </c>
      <c r="AW36" s="1573" t="s">
        <v>2438</v>
      </c>
      <c r="AX36" s="1573" t="s">
        <v>52</v>
      </c>
      <c r="AY36" s="1573" t="s">
        <v>2439</v>
      </c>
      <c r="AZ36" s="1573" t="s">
        <v>2801</v>
      </c>
      <c r="BA36" s="2795" t="s">
        <v>88</v>
      </c>
      <c r="BB36" s="2795"/>
      <c r="BC36" s="2795" t="s">
        <v>88</v>
      </c>
      <c r="BD36" s="2795"/>
      <c r="BE36" s="1573" t="s">
        <v>2438</v>
      </c>
      <c r="BF36" s="1573">
        <v>7</v>
      </c>
      <c r="BG36" s="1573" t="s">
        <v>2445</v>
      </c>
      <c r="BH36" s="1573" t="s">
        <v>2866</v>
      </c>
      <c r="BI36" s="1573">
        <v>9</v>
      </c>
      <c r="BJ36" s="1573" t="s">
        <v>52</v>
      </c>
      <c r="BK36" s="1573" t="s">
        <v>2490</v>
      </c>
      <c r="BL36" s="1573" t="s">
        <v>2437</v>
      </c>
      <c r="BM36" s="1573" t="s">
        <v>52</v>
      </c>
      <c r="BN36" s="2795" t="s">
        <v>88</v>
      </c>
      <c r="BO36" s="2795"/>
    </row>
    <row r="37" spans="1:67" ht="11.45" customHeight="1" x14ac:dyDescent="0.2">
      <c r="A37" s="2794" t="s">
        <v>160</v>
      </c>
      <c r="B37" s="2794"/>
      <c r="C37" s="1572"/>
      <c r="D37" s="1572"/>
      <c r="E37" s="1572"/>
      <c r="F37" s="1572"/>
      <c r="G37" s="1572"/>
      <c r="H37" s="1572"/>
      <c r="I37" s="1572"/>
      <c r="J37" s="1572"/>
      <c r="K37" s="1572"/>
      <c r="L37" s="1572"/>
      <c r="M37" s="1572"/>
      <c r="N37" s="1572"/>
      <c r="O37" s="1572"/>
      <c r="P37" s="1572"/>
      <c r="Q37" s="1572"/>
      <c r="R37" s="1572"/>
      <c r="S37" s="2794" t="s">
        <v>160</v>
      </c>
      <c r="T37" s="2794"/>
      <c r="U37" s="2794" t="s">
        <v>160</v>
      </c>
      <c r="V37" s="2794"/>
      <c r="W37" s="1572"/>
      <c r="X37" s="1572"/>
      <c r="Y37" s="1572"/>
      <c r="Z37" s="1572"/>
      <c r="AA37" s="1572"/>
      <c r="AB37" s="1572"/>
      <c r="AC37" s="1572"/>
      <c r="AD37" s="1572"/>
      <c r="AE37" s="1572"/>
      <c r="AF37" s="1572"/>
      <c r="AG37" s="1572"/>
      <c r="AH37" s="1572"/>
      <c r="AI37" s="2794" t="s">
        <v>160</v>
      </c>
      <c r="AJ37" s="2794"/>
      <c r="AK37" s="2794" t="s">
        <v>160</v>
      </c>
      <c r="AL37" s="2794"/>
      <c r="AM37" s="1572"/>
      <c r="AN37" s="1572"/>
      <c r="AO37" s="1572"/>
      <c r="AP37" s="1572"/>
      <c r="AQ37" s="1572"/>
      <c r="AR37" s="1572"/>
      <c r="AS37" s="1572"/>
      <c r="AT37" s="1572"/>
      <c r="AU37" s="1572"/>
      <c r="AV37" s="1572"/>
      <c r="AW37" s="1572"/>
      <c r="AX37" s="1572"/>
      <c r="AY37" s="1572"/>
      <c r="AZ37" s="1572"/>
      <c r="BA37" s="2794" t="s">
        <v>160</v>
      </c>
      <c r="BB37" s="2794"/>
      <c r="BC37" s="2794" t="s">
        <v>160</v>
      </c>
      <c r="BD37" s="2794"/>
      <c r="BE37" s="1572"/>
      <c r="BF37" s="1572"/>
      <c r="BG37" s="1572"/>
      <c r="BH37" s="1572"/>
      <c r="BI37" s="1572"/>
      <c r="BJ37" s="1572"/>
      <c r="BK37" s="1572"/>
      <c r="BL37" s="1572"/>
      <c r="BM37" s="1572"/>
      <c r="BN37" s="2794" t="s">
        <v>160</v>
      </c>
      <c r="BO37" s="2794"/>
    </row>
    <row r="38" spans="1:67" ht="11.45" customHeight="1" x14ac:dyDescent="0.2">
      <c r="B38" s="674" t="s">
        <v>148</v>
      </c>
      <c r="C38" s="94">
        <v>13.25</v>
      </c>
      <c r="D38" s="94">
        <v>13.4</v>
      </c>
      <c r="E38" s="94" t="s">
        <v>2798</v>
      </c>
      <c r="F38" s="94" t="s">
        <v>2967</v>
      </c>
      <c r="G38" s="94" t="s">
        <v>2519</v>
      </c>
      <c r="H38" s="94">
        <v>13.4</v>
      </c>
      <c r="I38" s="94">
        <v>13.75</v>
      </c>
      <c r="J38" s="94" t="s">
        <v>2760</v>
      </c>
      <c r="K38" s="94" t="s">
        <v>52</v>
      </c>
      <c r="L38" s="94" t="s">
        <v>2439</v>
      </c>
      <c r="M38" s="94" t="s">
        <v>2436</v>
      </c>
      <c r="N38" s="94" t="s">
        <v>2447</v>
      </c>
      <c r="O38" s="94" t="s">
        <v>2436</v>
      </c>
      <c r="P38" s="94">
        <v>14.5</v>
      </c>
      <c r="Q38" s="94" t="s">
        <v>2436</v>
      </c>
      <c r="R38" s="94" t="s">
        <v>2436</v>
      </c>
      <c r="S38" s="999"/>
      <c r="T38" s="674" t="s">
        <v>148</v>
      </c>
      <c r="V38" s="674" t="s">
        <v>148</v>
      </c>
      <c r="W38" s="94" t="s">
        <v>2435</v>
      </c>
      <c r="X38" s="94">
        <v>15</v>
      </c>
      <c r="Y38" s="94" t="s">
        <v>2525</v>
      </c>
      <c r="Z38" s="94" t="s">
        <v>52</v>
      </c>
      <c r="AA38" s="94" t="s">
        <v>2502</v>
      </c>
      <c r="AB38" s="94" t="s">
        <v>2435</v>
      </c>
      <c r="AC38" s="94" t="s">
        <v>2437</v>
      </c>
      <c r="AD38" s="94" t="s">
        <v>2594</v>
      </c>
      <c r="AE38" s="94" t="s">
        <v>2443</v>
      </c>
      <c r="AF38" s="94" t="s">
        <v>2436</v>
      </c>
      <c r="AG38" s="94" t="s">
        <v>2442</v>
      </c>
      <c r="AH38" s="94" t="s">
        <v>2447</v>
      </c>
      <c r="AJ38" s="674" t="s">
        <v>148</v>
      </c>
      <c r="AL38" s="674" t="s">
        <v>148</v>
      </c>
      <c r="AM38" s="94" t="s">
        <v>2436</v>
      </c>
      <c r="AN38" s="94" t="s">
        <v>2439</v>
      </c>
      <c r="AO38" s="94" t="s">
        <v>2438</v>
      </c>
      <c r="AP38" s="94" t="s">
        <v>2503</v>
      </c>
      <c r="AQ38" s="94" t="s">
        <v>2439</v>
      </c>
      <c r="AR38" s="94" t="s">
        <v>2763</v>
      </c>
      <c r="AS38" s="94" t="s">
        <v>2764</v>
      </c>
      <c r="AT38" s="94" t="s">
        <v>2436</v>
      </c>
      <c r="AU38" s="94" t="s">
        <v>2439</v>
      </c>
      <c r="AV38" s="94" t="s">
        <v>2435</v>
      </c>
      <c r="AW38" s="94" t="s">
        <v>2443</v>
      </c>
      <c r="AX38" s="94" t="s">
        <v>52</v>
      </c>
      <c r="AY38" s="94" t="s">
        <v>2447</v>
      </c>
      <c r="AZ38" s="94" t="s">
        <v>2967</v>
      </c>
      <c r="BB38" s="674" t="s">
        <v>148</v>
      </c>
      <c r="BD38" s="674" t="s">
        <v>148</v>
      </c>
      <c r="BE38" s="94" t="s">
        <v>2439</v>
      </c>
      <c r="BF38" s="94" t="s">
        <v>2452</v>
      </c>
      <c r="BG38" s="94" t="s">
        <v>2435</v>
      </c>
      <c r="BH38" s="94" t="s">
        <v>2866</v>
      </c>
      <c r="BI38" s="94">
        <v>9</v>
      </c>
      <c r="BJ38" s="94" t="s">
        <v>2492</v>
      </c>
      <c r="BK38" s="94" t="s">
        <v>2490</v>
      </c>
      <c r="BL38" s="94" t="s">
        <v>52</v>
      </c>
      <c r="BM38" s="94" t="s">
        <v>52</v>
      </c>
      <c r="BO38" s="674" t="s">
        <v>148</v>
      </c>
    </row>
    <row r="39" spans="1:67" ht="11.45" customHeight="1" x14ac:dyDescent="0.2">
      <c r="A39" s="626"/>
      <c r="B39" s="301" t="s">
        <v>149</v>
      </c>
      <c r="C39" s="1572" t="s">
        <v>52</v>
      </c>
      <c r="D39" s="1572" t="s">
        <v>52</v>
      </c>
      <c r="E39" s="1572" t="s">
        <v>52</v>
      </c>
      <c r="F39" s="1572" t="s">
        <v>52</v>
      </c>
      <c r="G39" s="1572" t="s">
        <v>52</v>
      </c>
      <c r="H39" s="1572" t="s">
        <v>52</v>
      </c>
      <c r="I39" s="1572" t="s">
        <v>52</v>
      </c>
      <c r="J39" s="1572" t="s">
        <v>52</v>
      </c>
      <c r="K39" s="1572" t="s">
        <v>52</v>
      </c>
      <c r="L39" s="1572" t="s">
        <v>2439</v>
      </c>
      <c r="M39" s="1572" t="s">
        <v>2436</v>
      </c>
      <c r="N39" s="1572" t="s">
        <v>2447</v>
      </c>
      <c r="O39" s="1572" t="s">
        <v>2436</v>
      </c>
      <c r="P39" s="1572" t="s">
        <v>52</v>
      </c>
      <c r="Q39" s="1572" t="s">
        <v>2436</v>
      </c>
      <c r="R39" s="1572" t="s">
        <v>52</v>
      </c>
      <c r="S39" s="998"/>
      <c r="T39" s="301" t="s">
        <v>149</v>
      </c>
      <c r="U39" s="626"/>
      <c r="V39" s="301" t="s">
        <v>149</v>
      </c>
      <c r="W39" s="1572" t="s">
        <v>52</v>
      </c>
      <c r="X39" s="1572" t="s">
        <v>52</v>
      </c>
      <c r="Y39" s="1572" t="s">
        <v>52</v>
      </c>
      <c r="Z39" s="1572" t="s">
        <v>2436</v>
      </c>
      <c r="AA39" s="1572" t="s">
        <v>52</v>
      </c>
      <c r="AB39" s="1572" t="s">
        <v>2445</v>
      </c>
      <c r="AC39" s="1572" t="s">
        <v>52</v>
      </c>
      <c r="AD39" s="1572" t="s">
        <v>52</v>
      </c>
      <c r="AE39" s="1572" t="s">
        <v>52</v>
      </c>
      <c r="AF39" s="1572" t="s">
        <v>52</v>
      </c>
      <c r="AG39" s="1572" t="s">
        <v>2442</v>
      </c>
      <c r="AH39" s="1572" t="s">
        <v>52</v>
      </c>
      <c r="AI39" s="626"/>
      <c r="AJ39" s="301" t="s">
        <v>149</v>
      </c>
      <c r="AK39" s="626"/>
      <c r="AL39" s="301" t="s">
        <v>149</v>
      </c>
      <c r="AM39" s="1572" t="s">
        <v>52</v>
      </c>
      <c r="AN39" s="1572" t="s">
        <v>52</v>
      </c>
      <c r="AO39" s="1572" t="s">
        <v>52</v>
      </c>
      <c r="AP39" s="1572" t="s">
        <v>52</v>
      </c>
      <c r="AQ39" s="1572" t="s">
        <v>52</v>
      </c>
      <c r="AR39" s="1572" t="s">
        <v>2839</v>
      </c>
      <c r="AS39" s="1572"/>
      <c r="AT39" s="1572" t="s">
        <v>52</v>
      </c>
      <c r="AU39" s="1572" t="s">
        <v>52</v>
      </c>
      <c r="AV39" s="1572" t="s">
        <v>52</v>
      </c>
      <c r="AW39" s="1572" t="s">
        <v>52</v>
      </c>
      <c r="AX39" s="1572" t="s">
        <v>52</v>
      </c>
      <c r="AY39" s="1572" t="s">
        <v>2447</v>
      </c>
      <c r="AZ39" s="1572" t="s">
        <v>52</v>
      </c>
      <c r="BA39" s="626"/>
      <c r="BB39" s="301" t="s">
        <v>149</v>
      </c>
      <c r="BC39" s="626"/>
      <c r="BD39" s="301" t="s">
        <v>149</v>
      </c>
      <c r="BE39" s="1572" t="s">
        <v>52</v>
      </c>
      <c r="BF39" s="1572" t="s">
        <v>2437</v>
      </c>
      <c r="BG39" s="1572" t="s">
        <v>52</v>
      </c>
      <c r="BH39" s="1572" t="s">
        <v>52</v>
      </c>
      <c r="BI39" s="1572" t="s">
        <v>52</v>
      </c>
      <c r="BJ39" s="1572" t="s">
        <v>2492</v>
      </c>
      <c r="BK39" s="1572" t="s">
        <v>52</v>
      </c>
      <c r="BL39" s="1572" t="s">
        <v>52</v>
      </c>
      <c r="BM39" s="1572" t="s">
        <v>52</v>
      </c>
      <c r="BN39" s="626"/>
      <c r="BO39" s="301" t="s">
        <v>149</v>
      </c>
    </row>
    <row r="40" spans="1:67" ht="11.45" customHeight="1" x14ac:dyDescent="0.2">
      <c r="A40" s="2795" t="s">
        <v>161</v>
      </c>
      <c r="B40" s="2795"/>
      <c r="C40" s="1573"/>
      <c r="D40" s="1573"/>
      <c r="E40" s="1573"/>
      <c r="F40" s="1573"/>
      <c r="G40" s="1573"/>
      <c r="H40" s="1573"/>
      <c r="I40" s="1573"/>
      <c r="J40" s="1573"/>
      <c r="K40" s="1573"/>
      <c r="L40" s="1573"/>
      <c r="M40" s="1573"/>
      <c r="N40" s="1573"/>
      <c r="O40" s="1573"/>
      <c r="P40" s="1573"/>
      <c r="Q40" s="1573"/>
      <c r="R40" s="1573"/>
      <c r="S40" s="2795" t="s">
        <v>161</v>
      </c>
      <c r="T40" s="2795"/>
      <c r="U40" s="2795" t="s">
        <v>161</v>
      </c>
      <c r="V40" s="2795"/>
      <c r="W40" s="1573"/>
      <c r="X40" s="1573"/>
      <c r="Y40" s="1573"/>
      <c r="Z40" s="1573"/>
      <c r="AA40" s="1573"/>
      <c r="AB40" s="1573"/>
      <c r="AC40" s="1573"/>
      <c r="AD40" s="1573"/>
      <c r="AE40" s="1573"/>
      <c r="AF40" s="1573"/>
      <c r="AG40" s="1573"/>
      <c r="AH40" s="1573"/>
      <c r="AI40" s="2795" t="s">
        <v>161</v>
      </c>
      <c r="AJ40" s="2795"/>
      <c r="AK40" s="2795" t="s">
        <v>161</v>
      </c>
      <c r="AL40" s="2795"/>
      <c r="AM40" s="1573"/>
      <c r="AN40" s="1573"/>
      <c r="AO40" s="1573"/>
      <c r="AP40" s="1573"/>
      <c r="AQ40" s="1573"/>
      <c r="AR40" s="1573"/>
      <c r="AS40" s="1573"/>
      <c r="AT40" s="1573"/>
      <c r="AU40" s="1573"/>
      <c r="AV40" s="1573"/>
      <c r="AW40" s="1573"/>
      <c r="AX40" s="1573"/>
      <c r="AY40" s="1573"/>
      <c r="AZ40" s="1573"/>
      <c r="BA40" s="2795" t="s">
        <v>161</v>
      </c>
      <c r="BB40" s="2795"/>
      <c r="BC40" s="2795" t="s">
        <v>161</v>
      </c>
      <c r="BD40" s="2795"/>
      <c r="BE40" s="1573"/>
      <c r="BF40" s="1573"/>
      <c r="BG40" s="1573"/>
      <c r="BH40" s="1573" t="s">
        <v>621</v>
      </c>
      <c r="BI40" s="1573"/>
      <c r="BJ40" s="1573"/>
      <c r="BK40" s="1573"/>
      <c r="BL40" s="1573"/>
      <c r="BM40" s="1573"/>
      <c r="BN40" s="2795" t="s">
        <v>161</v>
      </c>
      <c r="BO40" s="2795"/>
    </row>
    <row r="41" spans="1:67" ht="11.45" customHeight="1" x14ac:dyDescent="0.2">
      <c r="A41" s="626"/>
      <c r="B41" s="301" t="s">
        <v>148</v>
      </c>
      <c r="C41" s="1575" t="s">
        <v>3053</v>
      </c>
      <c r="D41" s="1575">
        <v>13.4</v>
      </c>
      <c r="E41" s="1575">
        <v>9</v>
      </c>
      <c r="F41" s="1575" t="s">
        <v>2968</v>
      </c>
      <c r="G41" s="1575" t="s">
        <v>2519</v>
      </c>
      <c r="H41" s="1575">
        <v>13.4</v>
      </c>
      <c r="I41" s="1575" t="s">
        <v>52</v>
      </c>
      <c r="J41" s="1575" t="s">
        <v>52</v>
      </c>
      <c r="K41" s="1575" t="s">
        <v>52</v>
      </c>
      <c r="L41" s="1575" t="s">
        <v>2439</v>
      </c>
      <c r="M41" s="1575" t="s">
        <v>2520</v>
      </c>
      <c r="N41" s="1575" t="s">
        <v>2443</v>
      </c>
      <c r="O41" s="1575" t="s">
        <v>2969</v>
      </c>
      <c r="P41" s="1575">
        <v>14.5</v>
      </c>
      <c r="Q41" s="1575" t="s">
        <v>2592</v>
      </c>
      <c r="R41" s="1575" t="s">
        <v>2439</v>
      </c>
      <c r="S41" s="998"/>
      <c r="T41" s="301" t="s">
        <v>148</v>
      </c>
      <c r="U41" s="626"/>
      <c r="V41" s="301" t="s">
        <v>148</v>
      </c>
      <c r="W41" s="1575" t="s">
        <v>2970</v>
      </c>
      <c r="X41" s="1575" t="s">
        <v>2650</v>
      </c>
      <c r="Y41" s="1575" t="s">
        <v>3054</v>
      </c>
      <c r="Z41" s="1575" t="s">
        <v>2802</v>
      </c>
      <c r="AA41" s="1575" t="s">
        <v>2443</v>
      </c>
      <c r="AB41" s="1575" t="s">
        <v>2435</v>
      </c>
      <c r="AC41" s="1575" t="s">
        <v>2437</v>
      </c>
      <c r="AD41" s="1575" t="s">
        <v>2436</v>
      </c>
      <c r="AE41" s="1575" t="s">
        <v>2786</v>
      </c>
      <c r="AF41" s="1575" t="s">
        <v>2803</v>
      </c>
      <c r="AG41" s="1575" t="s">
        <v>2442</v>
      </c>
      <c r="AH41" s="1575" t="s">
        <v>2447</v>
      </c>
      <c r="AI41" s="626"/>
      <c r="AJ41" s="301" t="s">
        <v>148</v>
      </c>
      <c r="AK41" s="626"/>
      <c r="AL41" s="301" t="s">
        <v>148</v>
      </c>
      <c r="AM41" s="1575" t="s">
        <v>2436</v>
      </c>
      <c r="AN41" s="1575" t="s">
        <v>2439</v>
      </c>
      <c r="AO41" s="1575" t="s">
        <v>3055</v>
      </c>
      <c r="AP41" s="1575" t="s">
        <v>2503</v>
      </c>
      <c r="AQ41" s="1575" t="s">
        <v>2533</v>
      </c>
      <c r="AR41" s="1575" t="s">
        <v>2443</v>
      </c>
      <c r="AS41" s="1575" t="s">
        <v>2443</v>
      </c>
      <c r="AT41" s="1575" t="s">
        <v>2632</v>
      </c>
      <c r="AU41" s="1575">
        <v>12</v>
      </c>
      <c r="AV41" s="1575" t="s">
        <v>2435</v>
      </c>
      <c r="AW41" s="1575" t="s">
        <v>2435</v>
      </c>
      <c r="AX41" s="1575" t="s">
        <v>3056</v>
      </c>
      <c r="AY41" s="1575" t="s">
        <v>2447</v>
      </c>
      <c r="AZ41" s="1575" t="s">
        <v>2735</v>
      </c>
      <c r="BA41" s="626"/>
      <c r="BB41" s="301" t="s">
        <v>148</v>
      </c>
      <c r="BC41" s="626"/>
      <c r="BD41" s="301" t="s">
        <v>148</v>
      </c>
      <c r="BE41" s="1575" t="s">
        <v>2435</v>
      </c>
      <c r="BF41" s="1575" t="s">
        <v>2535</v>
      </c>
      <c r="BG41" s="1575" t="s">
        <v>2438</v>
      </c>
      <c r="BH41" s="1575" t="s">
        <v>2866</v>
      </c>
      <c r="BI41" s="1575">
        <v>9</v>
      </c>
      <c r="BJ41" s="1575" t="s">
        <v>52</v>
      </c>
      <c r="BK41" s="1575" t="s">
        <v>2452</v>
      </c>
      <c r="BL41" s="1575" t="s">
        <v>2438</v>
      </c>
      <c r="BM41" s="1575" t="s">
        <v>52</v>
      </c>
      <c r="BN41" s="626"/>
      <c r="BO41" s="301" t="s">
        <v>148</v>
      </c>
    </row>
    <row r="42" spans="1:67" ht="11.45" customHeight="1" x14ac:dyDescent="0.2">
      <c r="B42" s="674" t="s">
        <v>149</v>
      </c>
      <c r="C42" s="94" t="s">
        <v>52</v>
      </c>
      <c r="D42" s="94">
        <v>13.4</v>
      </c>
      <c r="E42" s="94" t="s">
        <v>52</v>
      </c>
      <c r="F42" s="94" t="s">
        <v>52</v>
      </c>
      <c r="G42" s="94" t="s">
        <v>52</v>
      </c>
      <c r="H42" s="94" t="s">
        <v>52</v>
      </c>
      <c r="I42" s="94" t="s">
        <v>52</v>
      </c>
      <c r="J42" s="94" t="s">
        <v>52</v>
      </c>
      <c r="K42" s="94" t="s">
        <v>52</v>
      </c>
      <c r="L42" s="94" t="s">
        <v>2452</v>
      </c>
      <c r="M42" s="94" t="s">
        <v>52</v>
      </c>
      <c r="N42" s="94" t="s">
        <v>52</v>
      </c>
      <c r="O42" s="94" t="s">
        <v>2965</v>
      </c>
      <c r="P42" s="94" t="s">
        <v>52</v>
      </c>
      <c r="Q42" s="94" t="s">
        <v>52</v>
      </c>
      <c r="R42" s="94" t="s">
        <v>52</v>
      </c>
      <c r="S42" s="999"/>
      <c r="T42" s="674" t="s">
        <v>149</v>
      </c>
      <c r="V42" s="674" t="s">
        <v>149</v>
      </c>
      <c r="W42" s="94" t="s">
        <v>52</v>
      </c>
      <c r="X42" s="94" t="s">
        <v>52</v>
      </c>
      <c r="Y42" s="94" t="s">
        <v>52</v>
      </c>
      <c r="Z42" s="94" t="s">
        <v>52</v>
      </c>
      <c r="AA42" s="94" t="s">
        <v>52</v>
      </c>
      <c r="AB42" s="94" t="s">
        <v>2445</v>
      </c>
      <c r="AC42" s="94" t="s">
        <v>52</v>
      </c>
      <c r="AD42" s="94" t="s">
        <v>52</v>
      </c>
      <c r="AE42" s="94" t="s">
        <v>52</v>
      </c>
      <c r="AF42" s="94" t="s">
        <v>52</v>
      </c>
      <c r="AG42" s="94" t="s">
        <v>2442</v>
      </c>
      <c r="AH42" s="94" t="s">
        <v>52</v>
      </c>
      <c r="AJ42" s="674" t="s">
        <v>149</v>
      </c>
      <c r="AL42" s="674" t="s">
        <v>149</v>
      </c>
      <c r="AM42" s="94" t="s">
        <v>2436</v>
      </c>
      <c r="AN42" s="94" t="s">
        <v>2623</v>
      </c>
      <c r="AO42" s="94" t="s">
        <v>2624</v>
      </c>
      <c r="AP42" s="94" t="s">
        <v>52</v>
      </c>
      <c r="AQ42" s="94" t="s">
        <v>52</v>
      </c>
      <c r="AR42" s="94" t="s">
        <v>52</v>
      </c>
      <c r="AS42" s="94"/>
      <c r="AT42" s="94" t="s">
        <v>52</v>
      </c>
      <c r="AU42" s="94" t="s">
        <v>52</v>
      </c>
      <c r="AV42" s="94" t="s">
        <v>52</v>
      </c>
      <c r="AW42" s="94" t="s">
        <v>52</v>
      </c>
      <c r="AX42" s="94" t="s">
        <v>52</v>
      </c>
      <c r="AY42" s="94" t="s">
        <v>2439</v>
      </c>
      <c r="AZ42" s="94" t="s">
        <v>52</v>
      </c>
      <c r="BB42" s="674" t="s">
        <v>149</v>
      </c>
      <c r="BD42" s="674" t="s">
        <v>149</v>
      </c>
      <c r="BE42" s="94" t="s">
        <v>52</v>
      </c>
      <c r="BF42" s="94" t="s">
        <v>52</v>
      </c>
      <c r="BG42" s="94" t="s">
        <v>52</v>
      </c>
      <c r="BH42" s="94" t="s">
        <v>52</v>
      </c>
      <c r="BI42" s="94" t="s">
        <v>52</v>
      </c>
      <c r="BJ42" s="94" t="s">
        <v>52</v>
      </c>
      <c r="BK42" s="94" t="s">
        <v>52</v>
      </c>
      <c r="BL42" s="94" t="s">
        <v>52</v>
      </c>
      <c r="BM42" s="94"/>
      <c r="BO42" s="674" t="s">
        <v>149</v>
      </c>
    </row>
    <row r="43" spans="1:67" ht="11.45" customHeight="1" x14ac:dyDescent="0.2">
      <c r="A43" s="2794" t="s">
        <v>162</v>
      </c>
      <c r="B43" s="2794"/>
      <c r="C43" s="1572"/>
      <c r="D43" s="1572"/>
      <c r="E43" s="1572"/>
      <c r="F43" s="1572"/>
      <c r="G43" s="1572"/>
      <c r="H43" s="1572"/>
      <c r="I43" s="1572"/>
      <c r="J43" s="1572"/>
      <c r="K43" s="1572"/>
      <c r="L43" s="1572"/>
      <c r="M43" s="1572"/>
      <c r="N43" s="1572"/>
      <c r="O43" s="1572"/>
      <c r="P43" s="1572"/>
      <c r="Q43" s="1572"/>
      <c r="R43" s="1572"/>
      <c r="S43" s="2794" t="s">
        <v>162</v>
      </c>
      <c r="T43" s="2794"/>
      <c r="U43" s="2794" t="s">
        <v>162</v>
      </c>
      <c r="V43" s="2794"/>
      <c r="W43" s="1572"/>
      <c r="X43" s="1572"/>
      <c r="Y43" s="1572"/>
      <c r="Z43" s="1572"/>
      <c r="AA43" s="1572"/>
      <c r="AB43" s="1572"/>
      <c r="AC43" s="1572"/>
      <c r="AD43" s="1572"/>
      <c r="AE43" s="1572"/>
      <c r="AF43" s="1572"/>
      <c r="AG43" s="1572"/>
      <c r="AH43" s="1572"/>
      <c r="AI43" s="2794" t="s">
        <v>162</v>
      </c>
      <c r="AJ43" s="2794"/>
      <c r="AK43" s="2794" t="s">
        <v>162</v>
      </c>
      <c r="AL43" s="2794"/>
      <c r="AM43" s="1572"/>
      <c r="AN43" s="1572"/>
      <c r="AO43" s="1572"/>
      <c r="AP43" s="1572"/>
      <c r="AQ43" s="1572"/>
      <c r="AR43" s="1572"/>
      <c r="AS43" s="1572"/>
      <c r="AT43" s="1572"/>
      <c r="AU43" s="1572"/>
      <c r="AV43" s="1572"/>
      <c r="AW43" s="1572"/>
      <c r="AX43" s="1572"/>
      <c r="AY43" s="1572"/>
      <c r="AZ43" s="1572"/>
      <c r="BA43" s="2794" t="s">
        <v>162</v>
      </c>
      <c r="BB43" s="2794"/>
      <c r="BC43" s="2794" t="s">
        <v>162</v>
      </c>
      <c r="BD43" s="2794"/>
      <c r="BE43" s="1572"/>
      <c r="BF43" s="1572"/>
      <c r="BG43" s="1572"/>
      <c r="BH43" s="1572"/>
      <c r="BI43" s="1572"/>
      <c r="BJ43" s="1572"/>
      <c r="BK43" s="1572"/>
      <c r="BL43" s="1572"/>
      <c r="BM43" s="1572"/>
      <c r="BN43" s="2794" t="s">
        <v>162</v>
      </c>
      <c r="BO43" s="2794"/>
    </row>
    <row r="44" spans="1:67" s="13" customFormat="1" ht="11.45" customHeight="1" x14ac:dyDescent="0.2">
      <c r="A44" s="8"/>
      <c r="B44" s="674" t="s">
        <v>148</v>
      </c>
      <c r="C44" s="1574">
        <v>12</v>
      </c>
      <c r="D44" s="1574">
        <v>12.7</v>
      </c>
      <c r="E44" s="1574">
        <v>9</v>
      </c>
      <c r="F44" s="1574">
        <v>13.5</v>
      </c>
      <c r="G44" s="1574" t="s">
        <v>2519</v>
      </c>
      <c r="H44" s="1574" t="s">
        <v>52</v>
      </c>
      <c r="I44" s="1574">
        <v>13.75</v>
      </c>
      <c r="J44" s="1574">
        <v>13</v>
      </c>
      <c r="K44" s="1574" t="s">
        <v>52</v>
      </c>
      <c r="L44" s="1574" t="s">
        <v>2971</v>
      </c>
      <c r="M44" s="1574" t="s">
        <v>2436</v>
      </c>
      <c r="N44" s="1574" t="s">
        <v>2443</v>
      </c>
      <c r="O44" s="1574" t="s">
        <v>2439</v>
      </c>
      <c r="P44" s="1574">
        <v>15</v>
      </c>
      <c r="Q44" s="1574" t="s">
        <v>2436</v>
      </c>
      <c r="R44" s="1574" t="s">
        <v>3057</v>
      </c>
      <c r="S44" s="999"/>
      <c r="T44" s="674" t="s">
        <v>148</v>
      </c>
      <c r="U44" s="8"/>
      <c r="V44" s="674" t="s">
        <v>148</v>
      </c>
      <c r="W44" s="1574" t="s">
        <v>2972</v>
      </c>
      <c r="X44" s="1574" t="s">
        <v>2519</v>
      </c>
      <c r="Y44" s="1574" t="s">
        <v>2569</v>
      </c>
      <c r="Z44" s="1574" t="s">
        <v>2435</v>
      </c>
      <c r="AA44" s="1574" t="s">
        <v>2500</v>
      </c>
      <c r="AB44" s="1574" t="s">
        <v>2445</v>
      </c>
      <c r="AC44" s="1574" t="s">
        <v>2437</v>
      </c>
      <c r="AD44" s="1574" t="s">
        <v>2500</v>
      </c>
      <c r="AE44" s="1574" t="s">
        <v>2789</v>
      </c>
      <c r="AF44" s="1574" t="s">
        <v>2524</v>
      </c>
      <c r="AG44" s="1574" t="s">
        <v>2442</v>
      </c>
      <c r="AH44" s="1574" t="s">
        <v>2447</v>
      </c>
      <c r="AI44" s="8"/>
      <c r="AJ44" s="674" t="s">
        <v>148</v>
      </c>
      <c r="AK44" s="8"/>
      <c r="AL44" s="674" t="s">
        <v>148</v>
      </c>
      <c r="AM44" s="1574" t="s">
        <v>2436</v>
      </c>
      <c r="AN44" s="1574" t="s">
        <v>2533</v>
      </c>
      <c r="AO44" s="1574" t="s">
        <v>3058</v>
      </c>
      <c r="AP44" s="1574" t="s">
        <v>2625</v>
      </c>
      <c r="AQ44" s="1574" t="s">
        <v>2735</v>
      </c>
      <c r="AR44" s="1574">
        <v>25</v>
      </c>
      <c r="AS44" s="1574" t="s">
        <v>2436</v>
      </c>
      <c r="AT44" s="1574" t="s">
        <v>2442</v>
      </c>
      <c r="AU44" s="1574" t="s">
        <v>2442</v>
      </c>
      <c r="AV44" s="1574" t="s">
        <v>2840</v>
      </c>
      <c r="AW44" s="1574" t="s">
        <v>2447</v>
      </c>
      <c r="AX44" s="1574" t="s">
        <v>3056</v>
      </c>
      <c r="AY44" s="1574" t="s">
        <v>2447</v>
      </c>
      <c r="AZ44" s="1574" t="s">
        <v>2804</v>
      </c>
      <c r="BA44" s="8"/>
      <c r="BB44" s="674" t="s">
        <v>148</v>
      </c>
      <c r="BC44" s="8"/>
      <c r="BD44" s="674" t="s">
        <v>148</v>
      </c>
      <c r="BE44" s="1574" t="s">
        <v>2451</v>
      </c>
      <c r="BF44" s="1574" t="s">
        <v>2445</v>
      </c>
      <c r="BG44" s="1574" t="s">
        <v>2973</v>
      </c>
      <c r="BH44" s="1574" t="s">
        <v>52</v>
      </c>
      <c r="BI44" s="1574">
        <v>6.75</v>
      </c>
      <c r="BJ44" s="1574" t="s">
        <v>52</v>
      </c>
      <c r="BK44" s="1574" t="s">
        <v>2452</v>
      </c>
      <c r="BL44" s="1574" t="s">
        <v>2504</v>
      </c>
      <c r="BM44" s="1574" t="s">
        <v>52</v>
      </c>
      <c r="BN44" s="8"/>
      <c r="BO44" s="674" t="s">
        <v>148</v>
      </c>
    </row>
    <row r="45" spans="1:67" ht="11.45" customHeight="1" x14ac:dyDescent="0.2">
      <c r="A45" s="626"/>
      <c r="B45" s="301" t="s">
        <v>149</v>
      </c>
      <c r="C45" s="1572" t="s">
        <v>52</v>
      </c>
      <c r="D45" s="1572" t="s">
        <v>52</v>
      </c>
      <c r="E45" s="1572" t="s">
        <v>52</v>
      </c>
      <c r="F45" s="1572" t="s">
        <v>52</v>
      </c>
      <c r="G45" s="1572" t="s">
        <v>52</v>
      </c>
      <c r="H45" s="1572">
        <v>13.5</v>
      </c>
      <c r="I45" s="1572" t="s">
        <v>52</v>
      </c>
      <c r="J45" s="1572" t="s">
        <v>52</v>
      </c>
      <c r="K45" s="1572" t="s">
        <v>52</v>
      </c>
      <c r="L45" s="1572" t="s">
        <v>2974</v>
      </c>
      <c r="M45" s="1572" t="s">
        <v>2436</v>
      </c>
      <c r="N45" s="1572" t="s">
        <v>52</v>
      </c>
      <c r="O45" s="1572" t="s">
        <v>2439</v>
      </c>
      <c r="P45" s="1572" t="s">
        <v>52</v>
      </c>
      <c r="Q45" s="1572" t="s">
        <v>52</v>
      </c>
      <c r="R45" s="1572" t="s">
        <v>52</v>
      </c>
      <c r="S45" s="998"/>
      <c r="T45" s="301" t="s">
        <v>149</v>
      </c>
      <c r="U45" s="626"/>
      <c r="V45" s="301" t="s">
        <v>149</v>
      </c>
      <c r="W45" s="1572" t="s">
        <v>52</v>
      </c>
      <c r="X45" s="1572" t="s">
        <v>52</v>
      </c>
      <c r="Y45" s="1572" t="s">
        <v>52</v>
      </c>
      <c r="Z45" s="1572" t="s">
        <v>52</v>
      </c>
      <c r="AA45" s="1572" t="s">
        <v>52</v>
      </c>
      <c r="AB45" s="1572" t="s">
        <v>2437</v>
      </c>
      <c r="AC45" s="1572" t="s">
        <v>52</v>
      </c>
      <c r="AD45" s="1572" t="s">
        <v>52</v>
      </c>
      <c r="AE45" s="1572" t="s">
        <v>52</v>
      </c>
      <c r="AF45" s="1572" t="s">
        <v>52</v>
      </c>
      <c r="AG45" s="1572" t="s">
        <v>2442</v>
      </c>
      <c r="AH45" s="1572" t="s">
        <v>52</v>
      </c>
      <c r="AI45" s="626"/>
      <c r="AJ45" s="301" t="s">
        <v>149</v>
      </c>
      <c r="AK45" s="626"/>
      <c r="AL45" s="301" t="s">
        <v>149</v>
      </c>
      <c r="AM45" s="1572" t="s">
        <v>52</v>
      </c>
      <c r="AN45" s="1572" t="s">
        <v>52</v>
      </c>
      <c r="AO45" s="1572" t="s">
        <v>52</v>
      </c>
      <c r="AP45" s="1572" t="s">
        <v>52</v>
      </c>
      <c r="AQ45" s="1572" t="s">
        <v>52</v>
      </c>
      <c r="AR45" s="1572" t="s">
        <v>2975</v>
      </c>
      <c r="AS45" s="1572"/>
      <c r="AT45" s="1572" t="s">
        <v>52</v>
      </c>
      <c r="AU45" s="1572" t="s">
        <v>52</v>
      </c>
      <c r="AV45" s="1572" t="s">
        <v>52</v>
      </c>
      <c r="AW45" s="1572" t="s">
        <v>52</v>
      </c>
      <c r="AX45" s="1572" t="s">
        <v>52</v>
      </c>
      <c r="AY45" s="1572" t="s">
        <v>52</v>
      </c>
      <c r="AZ45" s="1572" t="s">
        <v>52</v>
      </c>
      <c r="BA45" s="626"/>
      <c r="BB45" s="301" t="s">
        <v>149</v>
      </c>
      <c r="BC45" s="626"/>
      <c r="BD45" s="301" t="s">
        <v>149</v>
      </c>
      <c r="BE45" s="1572" t="s">
        <v>52</v>
      </c>
      <c r="BF45" s="1572" t="s">
        <v>2445</v>
      </c>
      <c r="BG45" s="1572" t="s">
        <v>52</v>
      </c>
      <c r="BH45" s="1572" t="s">
        <v>52</v>
      </c>
      <c r="BI45" s="1572" t="s">
        <v>52</v>
      </c>
      <c r="BJ45" s="1572" t="s">
        <v>52</v>
      </c>
      <c r="BK45" s="1572" t="s">
        <v>52</v>
      </c>
      <c r="BL45" s="1572" t="s">
        <v>52</v>
      </c>
      <c r="BM45" s="1572" t="s">
        <v>52</v>
      </c>
      <c r="BN45" s="626"/>
      <c r="BO45" s="301" t="s">
        <v>149</v>
      </c>
    </row>
    <row r="46" spans="1:67" ht="11.45" customHeight="1" x14ac:dyDescent="0.2">
      <c r="A46" s="2795" t="s">
        <v>163</v>
      </c>
      <c r="B46" s="2795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795" t="s">
        <v>163</v>
      </c>
      <c r="T46" s="2795"/>
      <c r="U46" s="2795" t="s">
        <v>163</v>
      </c>
      <c r="V46" s="2795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795" t="s">
        <v>163</v>
      </c>
      <c r="AJ46" s="2795"/>
      <c r="AK46" s="2795" t="s">
        <v>163</v>
      </c>
      <c r="AL46" s="2795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795" t="s">
        <v>163</v>
      </c>
      <c r="BB46" s="2795"/>
      <c r="BC46" s="2795" t="s">
        <v>163</v>
      </c>
      <c r="BD46" s="2795"/>
      <c r="BE46" s="28"/>
      <c r="BF46" s="28"/>
      <c r="BG46" s="28"/>
      <c r="BH46" s="28"/>
      <c r="BI46" s="28"/>
      <c r="BJ46" s="28"/>
      <c r="BK46" s="28"/>
      <c r="BL46" s="28"/>
      <c r="BM46" s="28"/>
      <c r="BN46" s="2795" t="s">
        <v>163</v>
      </c>
      <c r="BO46" s="2795"/>
    </row>
    <row r="47" spans="1:67" s="9" customFormat="1" ht="11.45" customHeight="1" x14ac:dyDescent="0.2">
      <c r="A47" s="285"/>
      <c r="B47" s="301" t="s">
        <v>148</v>
      </c>
      <c r="C47" s="1572" t="s">
        <v>52</v>
      </c>
      <c r="D47" s="1572">
        <v>13.4</v>
      </c>
      <c r="E47" s="1572">
        <v>9</v>
      </c>
      <c r="F47" s="1572" t="s">
        <v>2805</v>
      </c>
      <c r="G47" s="1572" t="s">
        <v>2519</v>
      </c>
      <c r="H47" s="1572">
        <v>13.4</v>
      </c>
      <c r="I47" s="1572" t="s">
        <v>52</v>
      </c>
      <c r="J47" s="1572" t="s">
        <v>52</v>
      </c>
      <c r="K47" s="1572" t="s">
        <v>52</v>
      </c>
      <c r="L47" s="1572" t="s">
        <v>2622</v>
      </c>
      <c r="M47" s="1572" t="s">
        <v>2436</v>
      </c>
      <c r="N47" s="1572" t="s">
        <v>2447</v>
      </c>
      <c r="O47" s="1572" t="s">
        <v>2439</v>
      </c>
      <c r="P47" s="1572">
        <v>14.5</v>
      </c>
      <c r="Q47" s="1572" t="s">
        <v>2436</v>
      </c>
      <c r="R47" s="1572" t="s">
        <v>2436</v>
      </c>
      <c r="S47" s="372"/>
      <c r="T47" s="301" t="s">
        <v>148</v>
      </c>
      <c r="U47" s="285"/>
      <c r="V47" s="301" t="s">
        <v>148</v>
      </c>
      <c r="W47" s="1572" t="s">
        <v>2841</v>
      </c>
      <c r="X47" s="1572" t="s">
        <v>2568</v>
      </c>
      <c r="Y47" s="1572" t="s">
        <v>2525</v>
      </c>
      <c r="Z47" s="1572" t="s">
        <v>2436</v>
      </c>
      <c r="AA47" s="1572" t="s">
        <v>1172</v>
      </c>
      <c r="AB47" s="1572" t="s">
        <v>2869</v>
      </c>
      <c r="AC47" s="1572" t="s">
        <v>2452</v>
      </c>
      <c r="AD47" s="1572" t="s">
        <v>2436</v>
      </c>
      <c r="AE47" s="1572" t="s">
        <v>2624</v>
      </c>
      <c r="AF47" s="1572" t="s">
        <v>2436</v>
      </c>
      <c r="AG47" s="1572" t="s">
        <v>2442</v>
      </c>
      <c r="AH47" s="1572" t="s">
        <v>2534</v>
      </c>
      <c r="AI47" s="285"/>
      <c r="AJ47" s="301" t="s">
        <v>148</v>
      </c>
      <c r="AK47" s="285"/>
      <c r="AL47" s="301" t="s">
        <v>148</v>
      </c>
      <c r="AM47" s="1572" t="s">
        <v>2436</v>
      </c>
      <c r="AN47" s="1572" t="s">
        <v>2439</v>
      </c>
      <c r="AO47" s="1572" t="s">
        <v>2441</v>
      </c>
      <c r="AP47" s="1572" t="s">
        <v>2624</v>
      </c>
      <c r="AQ47" s="1572" t="s">
        <v>2439</v>
      </c>
      <c r="AR47" s="1572" t="s">
        <v>2625</v>
      </c>
      <c r="AS47" s="1572" t="s">
        <v>2501</v>
      </c>
      <c r="AT47" s="1572" t="s">
        <v>2442</v>
      </c>
      <c r="AU47" s="1572" t="s">
        <v>2439</v>
      </c>
      <c r="AV47" s="1575" t="s">
        <v>2435</v>
      </c>
      <c r="AW47" s="1572" t="s">
        <v>2443</v>
      </c>
      <c r="AX47" s="1572" t="s">
        <v>3059</v>
      </c>
      <c r="AY47" s="1572" t="s">
        <v>2447</v>
      </c>
      <c r="AZ47" s="1572" t="s">
        <v>2447</v>
      </c>
      <c r="BA47" s="285"/>
      <c r="BB47" s="301" t="s">
        <v>148</v>
      </c>
      <c r="BC47" s="285"/>
      <c r="BD47" s="301" t="s">
        <v>148</v>
      </c>
      <c r="BE47" s="1572" t="s">
        <v>52</v>
      </c>
      <c r="BF47" s="1572" t="s">
        <v>2976</v>
      </c>
      <c r="BG47" s="1572" t="s">
        <v>2436</v>
      </c>
      <c r="BH47" s="1572" t="s">
        <v>2866</v>
      </c>
      <c r="BI47" s="1572" t="s">
        <v>52</v>
      </c>
      <c r="BJ47" s="1572" t="s">
        <v>2452</v>
      </c>
      <c r="BK47" s="1572" t="s">
        <v>52</v>
      </c>
      <c r="BL47" s="1572" t="s">
        <v>2497</v>
      </c>
      <c r="BM47" s="1572" t="s">
        <v>52</v>
      </c>
      <c r="BN47" s="285"/>
      <c r="BO47" s="301" t="s">
        <v>148</v>
      </c>
    </row>
    <row r="48" spans="1:67" s="231" customFormat="1" ht="11.45" customHeight="1" thickBot="1" x14ac:dyDescent="0.25">
      <c r="A48" s="465"/>
      <c r="B48" s="668" t="s">
        <v>149</v>
      </c>
      <c r="C48" s="1576">
        <v>13.25</v>
      </c>
      <c r="D48" s="1576" t="s">
        <v>52</v>
      </c>
      <c r="E48" s="1576" t="s">
        <v>52</v>
      </c>
      <c r="F48" s="1576" t="s">
        <v>52</v>
      </c>
      <c r="G48" s="1576" t="s">
        <v>52</v>
      </c>
      <c r="H48" s="1576" t="s">
        <v>52</v>
      </c>
      <c r="I48" s="1576" t="s">
        <v>2694</v>
      </c>
      <c r="J48" s="1576" t="s">
        <v>52</v>
      </c>
      <c r="K48" s="1576" t="s">
        <v>1298</v>
      </c>
      <c r="L48" s="1577" t="s">
        <v>2533</v>
      </c>
      <c r="M48" s="1576" t="s">
        <v>2436</v>
      </c>
      <c r="N48" s="1576" t="s">
        <v>2447</v>
      </c>
      <c r="O48" s="1576" t="s">
        <v>52</v>
      </c>
      <c r="P48" s="1576" t="s">
        <v>52</v>
      </c>
      <c r="Q48" s="1576" t="s">
        <v>52</v>
      </c>
      <c r="R48" s="1576" t="s">
        <v>52</v>
      </c>
      <c r="S48" s="986"/>
      <c r="T48" s="668" t="s">
        <v>149</v>
      </c>
      <c r="U48" s="465"/>
      <c r="V48" s="668" t="s">
        <v>149</v>
      </c>
      <c r="W48" s="1576" t="s">
        <v>52</v>
      </c>
      <c r="X48" s="1576" t="s">
        <v>52</v>
      </c>
      <c r="Y48" s="1576" t="s">
        <v>52</v>
      </c>
      <c r="Z48" s="1576" t="s">
        <v>52</v>
      </c>
      <c r="AA48" s="1576" t="s">
        <v>52</v>
      </c>
      <c r="AB48" s="1576" t="s">
        <v>52</v>
      </c>
      <c r="AC48" s="1576" t="s">
        <v>2437</v>
      </c>
      <c r="AD48" s="1576" t="s">
        <v>2595</v>
      </c>
      <c r="AE48" s="1576" t="s">
        <v>52</v>
      </c>
      <c r="AF48" s="1576" t="s">
        <v>52</v>
      </c>
      <c r="AG48" s="1576" t="s">
        <v>2442</v>
      </c>
      <c r="AH48" s="1576" t="s">
        <v>52</v>
      </c>
      <c r="AI48" s="465"/>
      <c r="AJ48" s="668" t="s">
        <v>149</v>
      </c>
      <c r="AK48" s="465"/>
      <c r="AL48" s="668" t="s">
        <v>149</v>
      </c>
      <c r="AM48" s="1576" t="s">
        <v>52</v>
      </c>
      <c r="AN48" s="1576" t="s">
        <v>52</v>
      </c>
      <c r="AO48" s="1576" t="s">
        <v>2435</v>
      </c>
      <c r="AP48" s="1576" t="s">
        <v>52</v>
      </c>
      <c r="AQ48" s="1576" t="s">
        <v>52</v>
      </c>
      <c r="AR48" s="1576" t="s">
        <v>52</v>
      </c>
      <c r="AS48" s="1576" t="s">
        <v>2764</v>
      </c>
      <c r="AT48" s="1576" t="s">
        <v>52</v>
      </c>
      <c r="AU48" s="1576" t="s">
        <v>52</v>
      </c>
      <c r="AV48" s="1576" t="s">
        <v>52</v>
      </c>
      <c r="AW48" s="1576" t="s">
        <v>2436</v>
      </c>
      <c r="AX48" s="1576" t="s">
        <v>52</v>
      </c>
      <c r="AY48" s="1576" t="s">
        <v>52</v>
      </c>
      <c r="AZ48" s="1576" t="s">
        <v>52</v>
      </c>
      <c r="BA48" s="465"/>
      <c r="BB48" s="668" t="s">
        <v>149</v>
      </c>
      <c r="BC48" s="465"/>
      <c r="BD48" s="668" t="s">
        <v>149</v>
      </c>
      <c r="BE48" s="1576" t="s">
        <v>52</v>
      </c>
      <c r="BF48" s="1576" t="s">
        <v>2448</v>
      </c>
      <c r="BG48" s="1576" t="s">
        <v>52</v>
      </c>
      <c r="BH48" s="1576" t="s">
        <v>52</v>
      </c>
      <c r="BI48" s="1576" t="s">
        <v>52</v>
      </c>
      <c r="BJ48" s="1576" t="s">
        <v>2437</v>
      </c>
      <c r="BK48" s="1576" t="s">
        <v>52</v>
      </c>
      <c r="BL48" s="1576" t="s">
        <v>52</v>
      </c>
      <c r="BM48" s="1576" t="s">
        <v>52</v>
      </c>
      <c r="BN48" s="465"/>
      <c r="BO48" s="668" t="s">
        <v>149</v>
      </c>
    </row>
    <row r="49" spans="1:67" ht="10.5" customHeight="1" x14ac:dyDescent="0.2">
      <c r="A49" s="2797" t="s">
        <v>2266</v>
      </c>
      <c r="B49" s="2797"/>
      <c r="C49" s="2797"/>
      <c r="D49" s="2797"/>
      <c r="E49" s="2797"/>
      <c r="F49" s="2798" t="s">
        <v>2202</v>
      </c>
      <c r="G49" s="2798"/>
      <c r="H49" s="1257"/>
      <c r="I49" s="1257"/>
      <c r="J49" s="1257"/>
      <c r="K49" s="1256"/>
      <c r="L49" s="1672"/>
      <c r="M49" s="1672"/>
      <c r="N49" s="1672"/>
      <c r="O49" s="1672"/>
      <c r="P49" s="1672"/>
      <c r="Q49" s="1672"/>
      <c r="R49" s="1672"/>
      <c r="S49" s="1672"/>
      <c r="T49" s="1672"/>
      <c r="U49" s="2797" t="s">
        <v>2266</v>
      </c>
      <c r="V49" s="2797"/>
      <c r="W49" s="2797"/>
      <c r="X49" s="2797"/>
      <c r="Y49" s="2797"/>
      <c r="Z49" s="680"/>
      <c r="AA49" s="681"/>
      <c r="AB49" s="681"/>
      <c r="AC49" s="681"/>
      <c r="AD49" s="681"/>
      <c r="AE49" s="681"/>
      <c r="AF49" s="681"/>
      <c r="AG49" s="681"/>
      <c r="AH49" s="681"/>
      <c r="AK49" s="2827" t="s">
        <v>2266</v>
      </c>
      <c r="AL49" s="2827"/>
      <c r="AM49" s="2827"/>
      <c r="AN49" s="2827"/>
      <c r="AS49" s="1655"/>
      <c r="BC49" s="2797" t="s">
        <v>2266</v>
      </c>
      <c r="BD49" s="2797"/>
      <c r="BE49" s="2797"/>
      <c r="BF49" s="2797"/>
      <c r="BG49" s="2797"/>
    </row>
    <row r="50" spans="1:67" ht="12" customHeight="1" x14ac:dyDescent="0.2">
      <c r="B50" s="13" t="s">
        <v>152</v>
      </c>
      <c r="F50" s="1180"/>
      <c r="G50" s="1180"/>
      <c r="H50" s="52"/>
      <c r="V50" s="13" t="s">
        <v>152</v>
      </c>
      <c r="W50" s="23"/>
      <c r="X50" s="160"/>
      <c r="Y50" s="23"/>
      <c r="Z50" s="23"/>
      <c r="AB50" s="23"/>
      <c r="AC50" s="23"/>
      <c r="AD50" s="23"/>
      <c r="AE50" s="23"/>
      <c r="AF50" s="23"/>
      <c r="AG50" s="23"/>
      <c r="AH50" s="23"/>
      <c r="AL50" s="13" t="s">
        <v>152</v>
      </c>
      <c r="AM50" s="23"/>
      <c r="AN50" s="23"/>
      <c r="BD50" s="13" t="s">
        <v>152</v>
      </c>
      <c r="BE50" s="23"/>
      <c r="BF50" s="23"/>
      <c r="BG50" s="23"/>
      <c r="BO50" s="13" t="s">
        <v>621</v>
      </c>
    </row>
  </sheetData>
  <customSheetViews>
    <customSheetView guid="{A374FC54-96E3-45F0-9C12-8450400C12DF}" scale="170" topLeftCell="BF10">
      <pane xSplit="3.6026490066225163" topLeftCell="G1"/>
      <selection activeCell="BL21" sqref="BL21"/>
      <pageMargins left="0.511811023622047" right="0.511811023622047" top="0.511811023622047" bottom="0.511811023622047" header="0" footer="0.43307086614173201"/>
      <pageSetup paperSize="132" firstPageNumber="66" orientation="portrait" useFirstPageNumber="1" r:id="rId1"/>
      <headerFooter>
        <oddFooter>&amp;C&amp;"Times New Roman,Regular"&amp;8&amp;P</oddFooter>
      </headerFooter>
    </customSheetView>
  </customSheetViews>
  <mergeCells count="138">
    <mergeCell ref="BC13:BD13"/>
    <mergeCell ref="AK49:AN49"/>
    <mergeCell ref="AK46:AL46"/>
    <mergeCell ref="BA37:BB37"/>
    <mergeCell ref="BC37:BD37"/>
    <mergeCell ref="BN37:BO37"/>
    <mergeCell ref="BA40:BB40"/>
    <mergeCell ref="BC40:BD40"/>
    <mergeCell ref="BN40:BO40"/>
    <mergeCell ref="BA43:BB43"/>
    <mergeCell ref="BC43:BD43"/>
    <mergeCell ref="BN43:BO43"/>
    <mergeCell ref="BA46:BB46"/>
    <mergeCell ref="BC46:BD46"/>
    <mergeCell ref="BN46:BO46"/>
    <mergeCell ref="BC49:BG49"/>
    <mergeCell ref="AK43:AL43"/>
    <mergeCell ref="BA29:BB29"/>
    <mergeCell ref="BC29:BD29"/>
    <mergeCell ref="BN29:BO29"/>
    <mergeCell ref="BA36:BB36"/>
    <mergeCell ref="BC36:BD36"/>
    <mergeCell ref="BN36:BO36"/>
    <mergeCell ref="BC19:BD19"/>
    <mergeCell ref="AK1:AS1"/>
    <mergeCell ref="S13:T13"/>
    <mergeCell ref="BA1:BB1"/>
    <mergeCell ref="BE1:BH1"/>
    <mergeCell ref="AK6:AL6"/>
    <mergeCell ref="BA6:BB6"/>
    <mergeCell ref="BC6:BD6"/>
    <mergeCell ref="BN13:BO13"/>
    <mergeCell ref="BI1:BL1"/>
    <mergeCell ref="BN1:BO1"/>
    <mergeCell ref="BG2:BH2"/>
    <mergeCell ref="BI2:BK2"/>
    <mergeCell ref="AM3:AZ3"/>
    <mergeCell ref="BA3:BB5"/>
    <mergeCell ref="BC3:BD5"/>
    <mergeCell ref="BE3:BM3"/>
    <mergeCell ref="BN3:BO5"/>
    <mergeCell ref="AT1:AY1"/>
    <mergeCell ref="AK3:AL5"/>
    <mergeCell ref="BN6:BO6"/>
    <mergeCell ref="BA7:BB7"/>
    <mergeCell ref="BC7:BD7"/>
    <mergeCell ref="BN7:BO7"/>
    <mergeCell ref="BA13:BB13"/>
    <mergeCell ref="A6:B6"/>
    <mergeCell ref="L3:R3"/>
    <mergeCell ref="A3:B5"/>
    <mergeCell ref="C3:H3"/>
    <mergeCell ref="K1:Q1"/>
    <mergeCell ref="AI1:AJ1"/>
    <mergeCell ref="S6:T6"/>
    <mergeCell ref="U3:V5"/>
    <mergeCell ref="AC1:AH1"/>
    <mergeCell ref="A13:B13"/>
    <mergeCell ref="I3:K3"/>
    <mergeCell ref="S7:T7"/>
    <mergeCell ref="S3:T5"/>
    <mergeCell ref="B1:J1"/>
    <mergeCell ref="L2:M2"/>
    <mergeCell ref="U23:V23"/>
    <mergeCell ref="U20:V20"/>
    <mergeCell ref="AI20:AJ20"/>
    <mergeCell ref="AI6:AJ6"/>
    <mergeCell ref="U19:V19"/>
    <mergeCell ref="U6:V6"/>
    <mergeCell ref="W3:AH3"/>
    <mergeCell ref="AI3:AJ5"/>
    <mergeCell ref="Y2:Z2"/>
    <mergeCell ref="U1:AB1"/>
    <mergeCell ref="U7:V7"/>
    <mergeCell ref="A19:B19"/>
    <mergeCell ref="S19:T19"/>
    <mergeCell ref="S20:T20"/>
    <mergeCell ref="A23:B23"/>
    <mergeCell ref="A20:B20"/>
    <mergeCell ref="S23:T23"/>
    <mergeCell ref="A7:B7"/>
    <mergeCell ref="U26:V26"/>
    <mergeCell ref="U29:V29"/>
    <mergeCell ref="U36:V36"/>
    <mergeCell ref="U43:V43"/>
    <mergeCell ref="U46:V46"/>
    <mergeCell ref="U49:Y49"/>
    <mergeCell ref="A36:B36"/>
    <mergeCell ref="A43:B43"/>
    <mergeCell ref="S43:T43"/>
    <mergeCell ref="A46:B46"/>
    <mergeCell ref="S46:T46"/>
    <mergeCell ref="S40:T40"/>
    <mergeCell ref="S37:T37"/>
    <mergeCell ref="A40:B40"/>
    <mergeCell ref="A37:B37"/>
    <mergeCell ref="A49:E49"/>
    <mergeCell ref="F49:G49"/>
    <mergeCell ref="A26:B26"/>
    <mergeCell ref="S26:T26"/>
    <mergeCell ref="A29:B29"/>
    <mergeCell ref="S36:T36"/>
    <mergeCell ref="S29:T29"/>
    <mergeCell ref="AI46:AJ46"/>
    <mergeCell ref="AI7:AJ7"/>
    <mergeCell ref="AI23:AJ23"/>
    <mergeCell ref="AK37:AL37"/>
    <mergeCell ref="AI19:AJ19"/>
    <mergeCell ref="AK26:AL26"/>
    <mergeCell ref="AK29:AL29"/>
    <mergeCell ref="AK13:AL13"/>
    <mergeCell ref="U13:V13"/>
    <mergeCell ref="AI40:AJ40"/>
    <mergeCell ref="AK23:AL23"/>
    <mergeCell ref="AI37:AJ37"/>
    <mergeCell ref="AK40:AL40"/>
    <mergeCell ref="AK19:AL19"/>
    <mergeCell ref="AI13:AJ13"/>
    <mergeCell ref="AK7:AL7"/>
    <mergeCell ref="AI36:AJ36"/>
    <mergeCell ref="AI43:AJ43"/>
    <mergeCell ref="AK20:AL20"/>
    <mergeCell ref="AI26:AJ26"/>
    <mergeCell ref="AI29:AJ29"/>
    <mergeCell ref="U37:V37"/>
    <mergeCell ref="U40:V40"/>
    <mergeCell ref="AK36:AL36"/>
    <mergeCell ref="BN19:BO19"/>
    <mergeCell ref="BA20:BB20"/>
    <mergeCell ref="BC20:BD20"/>
    <mergeCell ref="BN20:BO20"/>
    <mergeCell ref="BA23:BB23"/>
    <mergeCell ref="BC23:BD23"/>
    <mergeCell ref="BN23:BO23"/>
    <mergeCell ref="BA26:BB26"/>
    <mergeCell ref="BC26:BD26"/>
    <mergeCell ref="BN26:BO26"/>
    <mergeCell ref="BA19:BB19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T59"/>
  <sheetViews>
    <sheetView zoomScale="130" zoomScaleNormal="130" workbookViewId="0">
      <pane xSplit="3" ySplit="3" topLeftCell="D49" activePane="bottomRight" state="frozen"/>
      <selection activeCell="BU10" sqref="BU10"/>
      <selection pane="topRight" activeCell="BU10" sqref="BU10"/>
      <selection pane="bottomLeft" activeCell="BU10" sqref="BU10"/>
      <selection pane="bottomRight" activeCell="P13" sqref="P13"/>
    </sheetView>
  </sheetViews>
  <sheetFormatPr defaultColWidth="9.140625" defaultRowHeight="12.75" x14ac:dyDescent="0.2"/>
  <cols>
    <col min="1" max="1" width="1.85546875" style="2" customWidth="1"/>
    <col min="2" max="2" width="2.5703125" style="2" customWidth="1"/>
    <col min="3" max="3" width="29.28515625" style="2" customWidth="1"/>
    <col min="4" max="6" width="4.42578125" style="2" customWidth="1"/>
    <col min="7" max="7" width="4.7109375" style="774" customWidth="1"/>
    <col min="8" max="8" width="4.42578125" style="2" customWidth="1"/>
    <col min="9" max="9" width="3.85546875" style="2" customWidth="1"/>
    <col min="10" max="10" width="5.140625" style="2" customWidth="1"/>
    <col min="11" max="11" width="4.42578125" style="2" customWidth="1"/>
    <col min="12" max="12" width="4.85546875" style="2" customWidth="1"/>
    <col min="13" max="13" width="4.5703125" style="2" customWidth="1"/>
    <col min="14" max="16384" width="9.140625" style="2"/>
  </cols>
  <sheetData>
    <row r="1" spans="1:20" s="16" customFormat="1" ht="15" customHeight="1" x14ac:dyDescent="0.2">
      <c r="A1" s="2828" t="s">
        <v>2870</v>
      </c>
      <c r="B1" s="2828"/>
      <c r="C1" s="2828"/>
      <c r="D1" s="2828"/>
      <c r="E1" s="2828"/>
      <c r="F1" s="2828"/>
      <c r="G1" s="2828"/>
      <c r="H1" s="2828"/>
      <c r="I1" s="2828"/>
      <c r="K1" s="2829" t="s">
        <v>1069</v>
      </c>
      <c r="L1" s="2829"/>
      <c r="M1" s="2829"/>
    </row>
    <row r="2" spans="1:20" s="5" customFormat="1" ht="11.25" customHeight="1" x14ac:dyDescent="0.2">
      <c r="B2" s="892"/>
      <c r="C2" s="892"/>
      <c r="D2" s="892"/>
      <c r="E2" s="892"/>
      <c r="F2" s="892"/>
      <c r="G2" s="868"/>
      <c r="H2" s="1498"/>
      <c r="I2" s="1498"/>
      <c r="K2" s="2832" t="s">
        <v>500</v>
      </c>
      <c r="L2" s="2832"/>
      <c r="M2" s="2832"/>
    </row>
    <row r="3" spans="1:20" s="359" customFormat="1" ht="60" customHeight="1" x14ac:dyDescent="0.2">
      <c r="A3" s="2288" t="s">
        <v>564</v>
      </c>
      <c r="B3" s="2288"/>
      <c r="C3" s="2288"/>
      <c r="D3" s="1496" t="s">
        <v>1344</v>
      </c>
      <c r="E3" s="1496" t="s">
        <v>1289</v>
      </c>
      <c r="F3" s="1496" t="s">
        <v>96</v>
      </c>
      <c r="G3" s="1496" t="s">
        <v>1345</v>
      </c>
      <c r="H3" s="1496" t="s">
        <v>1346</v>
      </c>
      <c r="I3" s="1496" t="s">
        <v>1347</v>
      </c>
      <c r="J3" s="1496" t="s">
        <v>1348</v>
      </c>
      <c r="K3" s="1496" t="s">
        <v>1349</v>
      </c>
      <c r="L3" s="1496" t="s">
        <v>2043</v>
      </c>
      <c r="M3" s="1496" t="s">
        <v>2044</v>
      </c>
    </row>
    <row r="4" spans="1:20" s="1501" customFormat="1" ht="9.9499999999999993" customHeight="1" x14ac:dyDescent="0.15">
      <c r="A4" s="149" t="s">
        <v>578</v>
      </c>
      <c r="B4" s="2834" t="s">
        <v>607</v>
      </c>
      <c r="C4" s="2834"/>
      <c r="D4" s="1007">
        <v>3.5</v>
      </c>
      <c r="E4" s="1007">
        <v>2.94</v>
      </c>
      <c r="F4" s="994">
        <v>3</v>
      </c>
      <c r="G4" s="995">
        <v>2</v>
      </c>
      <c r="H4" s="1007">
        <v>2.2599999999999998</v>
      </c>
      <c r="I4" s="1007">
        <v>2.37</v>
      </c>
      <c r="J4" s="1007">
        <v>3.79</v>
      </c>
      <c r="K4" s="994">
        <v>6.09</v>
      </c>
      <c r="L4" s="994">
        <v>2</v>
      </c>
      <c r="M4" s="994">
        <v>3</v>
      </c>
      <c r="O4" s="993"/>
      <c r="Q4" s="993"/>
      <c r="R4" s="993"/>
      <c r="S4" s="993"/>
      <c r="T4" s="993"/>
    </row>
    <row r="5" spans="1:20" s="28" customFormat="1" ht="9.9499999999999993" customHeight="1" x14ac:dyDescent="0.15">
      <c r="A5" s="1008" t="s">
        <v>579</v>
      </c>
      <c r="B5" s="2831" t="s">
        <v>608</v>
      </c>
      <c r="C5" s="2831"/>
      <c r="D5" s="735"/>
      <c r="E5" s="735"/>
      <c r="F5" s="1009"/>
      <c r="G5" s="1009"/>
      <c r="H5" s="735"/>
      <c r="I5" s="735"/>
      <c r="J5" s="735"/>
      <c r="K5" s="1009"/>
      <c r="L5" s="1009"/>
      <c r="M5" s="1009"/>
      <c r="N5" s="1501"/>
      <c r="O5" s="993"/>
      <c r="Q5" s="993"/>
      <c r="R5" s="993"/>
      <c r="S5" s="993"/>
      <c r="T5" s="993"/>
    </row>
    <row r="6" spans="1:20" s="28" customFormat="1" ht="9.9499999999999993" customHeight="1" x14ac:dyDescent="0.15">
      <c r="A6" s="149"/>
      <c r="B6" s="226" t="s">
        <v>609</v>
      </c>
      <c r="C6" s="63" t="s">
        <v>610</v>
      </c>
      <c r="D6" s="1007">
        <v>11</v>
      </c>
      <c r="E6" s="1007">
        <v>8.4499999999999993</v>
      </c>
      <c r="F6" s="994">
        <v>12.25</v>
      </c>
      <c r="G6" s="994">
        <v>6</v>
      </c>
      <c r="H6" s="1007">
        <v>6.08</v>
      </c>
      <c r="I6" s="1007">
        <v>8.64</v>
      </c>
      <c r="J6" s="1007">
        <v>5.78</v>
      </c>
      <c r="K6" s="994">
        <v>6.9</v>
      </c>
      <c r="L6" s="994" t="s">
        <v>288</v>
      </c>
      <c r="M6" s="994">
        <v>10.5</v>
      </c>
      <c r="N6" s="1501"/>
      <c r="O6" s="993"/>
      <c r="Q6" s="993"/>
      <c r="R6" s="993"/>
      <c r="S6" s="993"/>
      <c r="T6" s="993"/>
    </row>
    <row r="7" spans="1:20" s="28" customFormat="1" ht="9.9499999999999993" customHeight="1" x14ac:dyDescent="0.15">
      <c r="A7" s="1008"/>
      <c r="B7" s="1500" t="s">
        <v>611</v>
      </c>
      <c r="C7" s="1006" t="s">
        <v>612</v>
      </c>
      <c r="D7" s="735">
        <v>10.7</v>
      </c>
      <c r="E7" s="735">
        <v>8.09</v>
      </c>
      <c r="F7" s="1009">
        <v>11.75</v>
      </c>
      <c r="G7" s="1009">
        <v>6</v>
      </c>
      <c r="H7" s="735">
        <v>5.99</v>
      </c>
      <c r="I7" s="735">
        <v>9.33</v>
      </c>
      <c r="J7" s="735">
        <v>5.78</v>
      </c>
      <c r="K7" s="1009">
        <v>9.08</v>
      </c>
      <c r="L7" s="1009">
        <v>6.3299999999999992</v>
      </c>
      <c r="M7" s="1009">
        <v>10.5</v>
      </c>
      <c r="N7" s="1501"/>
      <c r="O7" s="993"/>
      <c r="Q7" s="993"/>
      <c r="R7" s="993"/>
      <c r="S7" s="993"/>
      <c r="T7" s="993"/>
    </row>
    <row r="8" spans="1:20" s="28" customFormat="1" ht="9.9499999999999993" customHeight="1" x14ac:dyDescent="0.15">
      <c r="A8" s="149"/>
      <c r="B8" s="226" t="s">
        <v>613</v>
      </c>
      <c r="C8" s="63" t="s">
        <v>79</v>
      </c>
      <c r="D8" s="1007">
        <v>10.5</v>
      </c>
      <c r="E8" s="1007">
        <v>7.35</v>
      </c>
      <c r="F8" s="994">
        <v>11.5</v>
      </c>
      <c r="G8" s="994">
        <v>8</v>
      </c>
      <c r="H8" s="1007">
        <v>5.73</v>
      </c>
      <c r="I8" s="1007">
        <v>9.91</v>
      </c>
      <c r="J8" s="1007">
        <v>5.78</v>
      </c>
      <c r="K8" s="994">
        <v>9.7100000000000009</v>
      </c>
      <c r="L8" s="994">
        <v>8.85</v>
      </c>
      <c r="M8" s="994">
        <v>10.5</v>
      </c>
      <c r="N8" s="1501"/>
      <c r="O8" s="993"/>
      <c r="Q8" s="993"/>
      <c r="R8" s="993"/>
      <c r="S8" s="993"/>
      <c r="T8" s="993"/>
    </row>
    <row r="9" spans="1:20" s="28" customFormat="1" ht="9.9499999999999993" customHeight="1" x14ac:dyDescent="0.15">
      <c r="A9" s="1008"/>
      <c r="B9" s="1500" t="s">
        <v>614</v>
      </c>
      <c r="C9" s="1006" t="s">
        <v>615</v>
      </c>
      <c r="D9" s="735">
        <v>10.3</v>
      </c>
      <c r="E9" s="735">
        <v>6.98</v>
      </c>
      <c r="F9" s="1009">
        <v>9.25</v>
      </c>
      <c r="G9" s="1009">
        <v>7.0000000000000009</v>
      </c>
      <c r="H9" s="735">
        <v>5.56</v>
      </c>
      <c r="I9" s="735">
        <v>10.220000000000001</v>
      </c>
      <c r="J9" s="735">
        <v>5.54</v>
      </c>
      <c r="K9" s="1009">
        <v>9.4499999999999993</v>
      </c>
      <c r="L9" s="1009">
        <v>8.75</v>
      </c>
      <c r="M9" s="1009">
        <v>10.25</v>
      </c>
      <c r="N9" s="1501"/>
      <c r="O9" s="993"/>
      <c r="Q9" s="993"/>
      <c r="R9" s="993"/>
      <c r="S9" s="993"/>
      <c r="T9" s="993"/>
    </row>
    <row r="10" spans="1:20" s="28" customFormat="1" ht="9.9499999999999993" customHeight="1" x14ac:dyDescent="0.15">
      <c r="A10" s="149"/>
      <c r="B10" s="226" t="s">
        <v>616</v>
      </c>
      <c r="C10" s="63" t="s">
        <v>617</v>
      </c>
      <c r="D10" s="1007">
        <v>10</v>
      </c>
      <c r="E10" s="1007">
        <v>6.62</v>
      </c>
      <c r="F10" s="994">
        <v>9</v>
      </c>
      <c r="G10" s="994">
        <v>7.5</v>
      </c>
      <c r="H10" s="1007">
        <v>5.13</v>
      </c>
      <c r="I10" s="1007">
        <v>9.56</v>
      </c>
      <c r="J10" s="1007">
        <v>5.3</v>
      </c>
      <c r="K10" s="994">
        <v>8.08</v>
      </c>
      <c r="L10" s="994">
        <v>8.5</v>
      </c>
      <c r="M10" s="994">
        <v>9.75</v>
      </c>
      <c r="N10" s="1501"/>
      <c r="O10" s="993"/>
      <c r="Q10" s="993"/>
      <c r="R10" s="993"/>
      <c r="S10" s="993"/>
      <c r="T10" s="993"/>
    </row>
    <row r="11" spans="1:20" s="28" customFormat="1" ht="9.9499999999999993" customHeight="1" x14ac:dyDescent="0.15">
      <c r="A11" s="1008"/>
      <c r="B11" s="1500" t="s">
        <v>298</v>
      </c>
      <c r="C11" s="1006" t="s">
        <v>78</v>
      </c>
      <c r="D11" s="735">
        <v>6</v>
      </c>
      <c r="E11" s="735">
        <v>5.15</v>
      </c>
      <c r="F11" s="1009">
        <v>5</v>
      </c>
      <c r="G11" s="1009">
        <v>5</v>
      </c>
      <c r="H11" s="735">
        <v>4.5999999999999996</v>
      </c>
      <c r="I11" s="735">
        <v>8.9</v>
      </c>
      <c r="J11" s="735">
        <v>5</v>
      </c>
      <c r="K11" s="1009">
        <v>6.63</v>
      </c>
      <c r="L11" s="1009">
        <v>4</v>
      </c>
      <c r="M11" s="1009">
        <v>6</v>
      </c>
      <c r="N11" s="1501"/>
      <c r="O11" s="993"/>
      <c r="Q11" s="993"/>
      <c r="R11" s="993"/>
      <c r="S11" s="993"/>
      <c r="T11" s="993"/>
    </row>
    <row r="12" spans="1:20" s="150" customFormat="1" ht="10.5" customHeight="1" x14ac:dyDescent="0.15">
      <c r="A12" s="149" t="s">
        <v>580</v>
      </c>
      <c r="B12" s="2834" t="s">
        <v>618</v>
      </c>
      <c r="C12" s="2834"/>
      <c r="D12" s="579" t="s">
        <v>288</v>
      </c>
      <c r="E12" s="1007" t="s">
        <v>288</v>
      </c>
      <c r="F12" s="994" t="s">
        <v>288</v>
      </c>
      <c r="G12" s="1007" t="s">
        <v>288</v>
      </c>
      <c r="H12" s="1007" t="s">
        <v>288</v>
      </c>
      <c r="I12" s="1007" t="s">
        <v>288</v>
      </c>
      <c r="J12" s="1007" t="s">
        <v>288</v>
      </c>
      <c r="K12" s="994" t="s">
        <v>288</v>
      </c>
      <c r="L12" s="994" t="s">
        <v>288</v>
      </c>
      <c r="M12" s="995" t="s">
        <v>288</v>
      </c>
      <c r="N12" s="1501"/>
      <c r="O12" s="993"/>
      <c r="Q12" s="993"/>
      <c r="R12" s="993"/>
      <c r="S12" s="993"/>
      <c r="T12" s="993"/>
    </row>
    <row r="13" spans="1:20" s="28" customFormat="1" ht="9.9499999999999993" customHeight="1" x14ac:dyDescent="0.15">
      <c r="A13" s="1010"/>
      <c r="B13" s="1500" t="s">
        <v>609</v>
      </c>
      <c r="C13" s="1500" t="s">
        <v>619</v>
      </c>
      <c r="D13" s="735" t="s">
        <v>288</v>
      </c>
      <c r="E13" s="735">
        <v>8.4499999999999993</v>
      </c>
      <c r="F13" s="1009" t="s">
        <v>288</v>
      </c>
      <c r="G13" s="1009">
        <v>7.0000000000000009</v>
      </c>
      <c r="H13" s="735" t="s">
        <v>288</v>
      </c>
      <c r="I13" s="735">
        <v>10.11</v>
      </c>
      <c r="J13" s="1009" t="s">
        <v>288</v>
      </c>
      <c r="K13" s="1009" t="s">
        <v>288</v>
      </c>
      <c r="L13" s="1009" t="s">
        <v>288</v>
      </c>
      <c r="M13" s="1009" t="s">
        <v>288</v>
      </c>
      <c r="N13" s="1501"/>
      <c r="O13" s="993"/>
      <c r="Q13" s="993"/>
      <c r="R13" s="993"/>
      <c r="S13" s="993"/>
      <c r="T13" s="993"/>
    </row>
    <row r="14" spans="1:20" s="28" customFormat="1" ht="9.9499999999999993" customHeight="1" x14ac:dyDescent="0.15">
      <c r="A14" s="1011"/>
      <c r="B14" s="226" t="s">
        <v>611</v>
      </c>
      <c r="C14" s="226" t="s">
        <v>620</v>
      </c>
      <c r="D14" s="1007" t="s">
        <v>288</v>
      </c>
      <c r="E14" s="1007">
        <v>8.4499999999999993</v>
      </c>
      <c r="F14" s="994" t="s">
        <v>288</v>
      </c>
      <c r="G14" s="994" t="s">
        <v>288</v>
      </c>
      <c r="H14" s="1007" t="s">
        <v>288</v>
      </c>
      <c r="I14" s="1007" t="s">
        <v>288</v>
      </c>
      <c r="J14" s="1007" t="s">
        <v>288</v>
      </c>
      <c r="K14" s="994" t="s">
        <v>288</v>
      </c>
      <c r="L14" s="994" t="s">
        <v>288</v>
      </c>
      <c r="M14" s="994" t="s">
        <v>288</v>
      </c>
      <c r="N14" s="1501"/>
      <c r="O14" s="993"/>
      <c r="Q14" s="993"/>
      <c r="R14" s="993"/>
      <c r="S14" s="993"/>
      <c r="T14" s="993"/>
    </row>
    <row r="15" spans="1:20" s="28" customFormat="1" ht="9.9499999999999993" customHeight="1" x14ac:dyDescent="0.15">
      <c r="A15" s="1010"/>
      <c r="B15" s="1500" t="s">
        <v>613</v>
      </c>
      <c r="C15" s="1500" t="s">
        <v>233</v>
      </c>
      <c r="D15" s="735" t="s">
        <v>288</v>
      </c>
      <c r="E15" s="735">
        <v>8.4499999999999993</v>
      </c>
      <c r="F15" s="1009" t="s">
        <v>288</v>
      </c>
      <c r="G15" s="1009" t="s">
        <v>288</v>
      </c>
      <c r="H15" s="735">
        <v>6.78</v>
      </c>
      <c r="I15" s="735" t="s">
        <v>288</v>
      </c>
      <c r="J15" s="1009" t="s">
        <v>288</v>
      </c>
      <c r="K15" s="1009">
        <v>10.119999999999999</v>
      </c>
      <c r="L15" s="1009" t="s">
        <v>288</v>
      </c>
      <c r="M15" s="1009" t="s">
        <v>288</v>
      </c>
      <c r="N15" s="1501"/>
      <c r="O15" s="993"/>
      <c r="Q15" s="993"/>
      <c r="R15" s="993"/>
      <c r="S15" s="993"/>
      <c r="T15" s="993"/>
    </row>
    <row r="16" spans="1:20" s="28" customFormat="1" ht="9.9499999999999993" customHeight="1" x14ac:dyDescent="0.15">
      <c r="A16" s="328"/>
      <c r="B16" s="2777" t="s">
        <v>872</v>
      </c>
      <c r="C16" s="2777"/>
      <c r="D16" s="579" t="s">
        <v>288</v>
      </c>
      <c r="E16" s="995" t="s">
        <v>288</v>
      </c>
      <c r="F16" s="995" t="s">
        <v>288</v>
      </c>
      <c r="G16" s="995" t="s">
        <v>288</v>
      </c>
      <c r="H16" s="579" t="s">
        <v>288</v>
      </c>
      <c r="I16" s="579" t="s">
        <v>288</v>
      </c>
      <c r="J16" s="995" t="s">
        <v>288</v>
      </c>
      <c r="K16" s="995" t="s">
        <v>288</v>
      </c>
      <c r="L16" s="995" t="s">
        <v>288</v>
      </c>
      <c r="M16" s="995" t="s">
        <v>288</v>
      </c>
      <c r="N16" s="1501"/>
      <c r="O16" s="993"/>
      <c r="Q16" s="993"/>
      <c r="R16" s="993"/>
      <c r="S16" s="993"/>
      <c r="T16" s="993"/>
    </row>
    <row r="17" spans="1:20" s="28" customFormat="1" ht="9.9499999999999993" customHeight="1" x14ac:dyDescent="0.15">
      <c r="A17" s="1010"/>
      <c r="B17" s="303" t="s">
        <v>299</v>
      </c>
      <c r="C17" s="1500" t="s">
        <v>610</v>
      </c>
      <c r="D17" s="735" t="s">
        <v>288</v>
      </c>
      <c r="E17" s="735">
        <v>8.4499999999999993</v>
      </c>
      <c r="F17" s="1009" t="s">
        <v>288</v>
      </c>
      <c r="G17" s="1009" t="s">
        <v>288</v>
      </c>
      <c r="H17" s="735" t="s">
        <v>288</v>
      </c>
      <c r="I17" s="735" t="s">
        <v>288</v>
      </c>
      <c r="J17" s="1009" t="s">
        <v>288</v>
      </c>
      <c r="K17" s="1009" t="s">
        <v>288</v>
      </c>
      <c r="L17" s="1009" t="s">
        <v>288</v>
      </c>
      <c r="M17" s="1009">
        <v>10</v>
      </c>
      <c r="N17" s="1501"/>
      <c r="O17" s="993"/>
      <c r="Q17" s="993"/>
      <c r="R17" s="993"/>
      <c r="S17" s="993"/>
      <c r="T17" s="993"/>
    </row>
    <row r="18" spans="1:20" s="28" customFormat="1" ht="9.9499999999999993" customHeight="1" x14ac:dyDescent="0.15">
      <c r="A18" s="1011"/>
      <c r="B18" s="557" t="s">
        <v>464</v>
      </c>
      <c r="C18" s="226" t="s">
        <v>98</v>
      </c>
      <c r="D18" s="1007">
        <v>7.1</v>
      </c>
      <c r="E18" s="1007">
        <v>8.4499999999999993</v>
      </c>
      <c r="F18" s="994" t="s">
        <v>288</v>
      </c>
      <c r="G18" s="994" t="s">
        <v>288</v>
      </c>
      <c r="H18" s="1007" t="s">
        <v>288</v>
      </c>
      <c r="I18" s="1007" t="s">
        <v>288</v>
      </c>
      <c r="J18" s="995" t="s">
        <v>288</v>
      </c>
      <c r="K18" s="994" t="s">
        <v>288</v>
      </c>
      <c r="L18" s="994" t="s">
        <v>288</v>
      </c>
      <c r="M18" s="994">
        <v>10</v>
      </c>
      <c r="N18" s="1501"/>
      <c r="O18" s="993"/>
      <c r="Q18" s="993"/>
      <c r="R18" s="993"/>
      <c r="S18" s="993"/>
      <c r="T18" s="993"/>
    </row>
    <row r="19" spans="1:20" s="28" customFormat="1" ht="9.9499999999999993" customHeight="1" x14ac:dyDescent="0.15">
      <c r="A19" s="1010"/>
      <c r="B19" s="303" t="s">
        <v>291</v>
      </c>
      <c r="C19" s="1500" t="s">
        <v>99</v>
      </c>
      <c r="D19" s="735">
        <v>7.5</v>
      </c>
      <c r="E19" s="735">
        <v>8.4499999999999993</v>
      </c>
      <c r="F19" s="1009" t="s">
        <v>288</v>
      </c>
      <c r="G19" s="1009" t="s">
        <v>288</v>
      </c>
      <c r="H19" s="735" t="s">
        <v>288</v>
      </c>
      <c r="I19" s="735" t="s">
        <v>288</v>
      </c>
      <c r="J19" s="1009" t="s">
        <v>288</v>
      </c>
      <c r="K19" s="1009" t="s">
        <v>288</v>
      </c>
      <c r="L19" s="1009" t="s">
        <v>288</v>
      </c>
      <c r="M19" s="1009">
        <v>10</v>
      </c>
      <c r="N19" s="1501"/>
      <c r="O19" s="993"/>
      <c r="Q19" s="993"/>
      <c r="R19" s="993"/>
      <c r="S19" s="993"/>
      <c r="T19" s="993"/>
    </row>
    <row r="20" spans="1:20" s="28" customFormat="1" ht="9.9499999999999993" customHeight="1" x14ac:dyDescent="0.15">
      <c r="A20" s="1011"/>
      <c r="B20" s="63" t="s">
        <v>351</v>
      </c>
      <c r="C20" s="63" t="s">
        <v>352</v>
      </c>
      <c r="D20" s="994" t="s">
        <v>288</v>
      </c>
      <c r="E20" s="994" t="s">
        <v>288</v>
      </c>
      <c r="F20" s="994" t="s">
        <v>288</v>
      </c>
      <c r="G20" s="994" t="s">
        <v>288</v>
      </c>
      <c r="H20" s="994" t="s">
        <v>288</v>
      </c>
      <c r="I20" s="994" t="s">
        <v>288</v>
      </c>
      <c r="J20" s="995" t="s">
        <v>288</v>
      </c>
      <c r="K20" s="994" t="s">
        <v>288</v>
      </c>
      <c r="L20" s="994" t="s">
        <v>288</v>
      </c>
      <c r="M20" s="994" t="s">
        <v>288</v>
      </c>
      <c r="N20" s="1501"/>
      <c r="O20" s="993"/>
      <c r="Q20" s="993"/>
      <c r="R20" s="993"/>
      <c r="S20" s="993"/>
      <c r="T20" s="993"/>
    </row>
    <row r="21" spans="1:20" s="28" customFormat="1" ht="9.9499999999999993" customHeight="1" x14ac:dyDescent="0.15">
      <c r="A21" s="1010"/>
      <c r="B21" s="303" t="s">
        <v>299</v>
      </c>
      <c r="C21" s="1500" t="s">
        <v>100</v>
      </c>
      <c r="D21" s="1009">
        <v>12.5</v>
      </c>
      <c r="E21" s="735">
        <v>8.4499999999999993</v>
      </c>
      <c r="F21" s="1009" t="s">
        <v>288</v>
      </c>
      <c r="G21" s="1009" t="s">
        <v>288</v>
      </c>
      <c r="H21" s="735">
        <v>7.91</v>
      </c>
      <c r="I21" s="735">
        <v>10.83</v>
      </c>
      <c r="J21" s="735" t="s">
        <v>288</v>
      </c>
      <c r="K21" s="1009">
        <v>8.65</v>
      </c>
      <c r="L21" s="1009">
        <v>13.389999999999999</v>
      </c>
      <c r="M21" s="1009">
        <v>13.950000000000001</v>
      </c>
      <c r="N21" s="1501"/>
      <c r="O21" s="993"/>
      <c r="Q21" s="993"/>
      <c r="R21" s="993"/>
      <c r="S21" s="993"/>
      <c r="T21" s="993"/>
    </row>
    <row r="22" spans="1:20" s="28" customFormat="1" ht="9.9499999999999993" customHeight="1" x14ac:dyDescent="0.15">
      <c r="A22" s="1011"/>
      <c r="B22" s="557" t="s">
        <v>464</v>
      </c>
      <c r="C22" s="226" t="s">
        <v>101</v>
      </c>
      <c r="D22" s="994" t="s">
        <v>288</v>
      </c>
      <c r="E22" s="1007">
        <v>8.4499999999999993</v>
      </c>
      <c r="F22" s="994" t="s">
        <v>288</v>
      </c>
      <c r="G22" s="994" t="s">
        <v>288</v>
      </c>
      <c r="H22" s="1007">
        <v>8.43</v>
      </c>
      <c r="I22" s="1007" t="s">
        <v>288</v>
      </c>
      <c r="J22" s="1007" t="s">
        <v>288</v>
      </c>
      <c r="K22" s="994">
        <v>7.98</v>
      </c>
      <c r="L22" s="994" t="s">
        <v>288</v>
      </c>
      <c r="M22" s="994" t="s">
        <v>288</v>
      </c>
      <c r="N22" s="1501"/>
      <c r="O22" s="993"/>
      <c r="Q22" s="993"/>
      <c r="R22" s="993"/>
      <c r="S22" s="993"/>
      <c r="T22" s="993"/>
    </row>
    <row r="23" spans="1:20" s="28" customFormat="1" ht="9.9499999999999993" customHeight="1" x14ac:dyDescent="0.15">
      <c r="A23" s="1010"/>
      <c r="B23" s="1500" t="s">
        <v>353</v>
      </c>
      <c r="C23" s="1006" t="s">
        <v>354</v>
      </c>
      <c r="D23" s="1009" t="s">
        <v>288</v>
      </c>
      <c r="E23" s="1009"/>
      <c r="F23" s="1009" t="s">
        <v>288</v>
      </c>
      <c r="G23" s="1009" t="s">
        <v>288</v>
      </c>
      <c r="H23" s="735" t="s">
        <v>288</v>
      </c>
      <c r="I23" s="735" t="s">
        <v>288</v>
      </c>
      <c r="J23" s="735" t="s">
        <v>288</v>
      </c>
      <c r="K23" s="1009" t="s">
        <v>288</v>
      </c>
      <c r="L23" s="1009" t="s">
        <v>288</v>
      </c>
      <c r="M23" s="1009" t="s">
        <v>288</v>
      </c>
      <c r="N23" s="1501"/>
      <c r="O23" s="993"/>
      <c r="Q23" s="993"/>
      <c r="R23" s="993"/>
      <c r="S23" s="993"/>
      <c r="T23" s="993"/>
    </row>
    <row r="24" spans="1:20" s="28" customFormat="1" ht="9.9499999999999993" customHeight="1" x14ac:dyDescent="0.15">
      <c r="A24" s="1011"/>
      <c r="B24" s="557" t="s">
        <v>343</v>
      </c>
      <c r="C24" s="63" t="s">
        <v>342</v>
      </c>
      <c r="D24" s="994" t="s">
        <v>288</v>
      </c>
      <c r="E24" s="1007">
        <v>8.4499999999999993</v>
      </c>
      <c r="F24" s="994" t="s">
        <v>288</v>
      </c>
      <c r="G24" s="994" t="s">
        <v>288</v>
      </c>
      <c r="H24" s="1007">
        <v>8.6</v>
      </c>
      <c r="I24" s="1007">
        <v>8.6499999999999986</v>
      </c>
      <c r="J24" s="1007">
        <v>8.07</v>
      </c>
      <c r="K24" s="994">
        <v>8.59</v>
      </c>
      <c r="L24" s="994">
        <v>11.5</v>
      </c>
      <c r="M24" s="994">
        <v>10</v>
      </c>
      <c r="N24" s="1501"/>
      <c r="O24" s="993"/>
      <c r="Q24" s="993"/>
      <c r="R24" s="993"/>
      <c r="S24" s="993"/>
      <c r="T24" s="993"/>
    </row>
    <row r="25" spans="1:20" s="28" customFormat="1" ht="10.5" customHeight="1" x14ac:dyDescent="0.15">
      <c r="A25" s="1010"/>
      <c r="B25" s="303" t="s">
        <v>344</v>
      </c>
      <c r="C25" s="1006" t="s">
        <v>345</v>
      </c>
      <c r="D25" s="1009" t="s">
        <v>288</v>
      </c>
      <c r="E25" s="735">
        <v>8.4499999999999993</v>
      </c>
      <c r="F25" s="1009" t="s">
        <v>288</v>
      </c>
      <c r="G25" s="1009" t="s">
        <v>288</v>
      </c>
      <c r="H25" s="735">
        <v>8.77</v>
      </c>
      <c r="I25" s="735" t="s">
        <v>288</v>
      </c>
      <c r="J25" s="735">
        <v>8.1300000000000008</v>
      </c>
      <c r="K25" s="1009" t="s">
        <v>288</v>
      </c>
      <c r="L25" s="1009">
        <v>12.25</v>
      </c>
      <c r="M25" s="1009">
        <v>10</v>
      </c>
      <c r="N25" s="1501"/>
      <c r="O25" s="993"/>
      <c r="Q25" s="993"/>
      <c r="R25" s="993"/>
      <c r="S25" s="993"/>
      <c r="T25" s="993"/>
    </row>
    <row r="26" spans="1:20" s="28" customFormat="1" ht="9.9499999999999993" customHeight="1" x14ac:dyDescent="0.15">
      <c r="A26" s="1011"/>
      <c r="B26" s="557" t="s">
        <v>289</v>
      </c>
      <c r="C26" s="63" t="s">
        <v>346</v>
      </c>
      <c r="D26" s="994" t="s">
        <v>288</v>
      </c>
      <c r="E26" s="1007">
        <v>8.4499999999999993</v>
      </c>
      <c r="F26" s="994" t="s">
        <v>288</v>
      </c>
      <c r="G26" s="994" t="s">
        <v>288</v>
      </c>
      <c r="H26" s="1007">
        <v>9.4700000000000006</v>
      </c>
      <c r="I26" s="1007" t="s">
        <v>288</v>
      </c>
      <c r="J26" s="1007" t="s">
        <v>288</v>
      </c>
      <c r="K26" s="994" t="s">
        <v>288</v>
      </c>
      <c r="L26" s="994" t="s">
        <v>288</v>
      </c>
      <c r="M26" s="994" t="s">
        <v>288</v>
      </c>
      <c r="N26" s="1501"/>
      <c r="O26" s="993"/>
      <c r="Q26" s="993"/>
      <c r="R26" s="993"/>
      <c r="S26" s="993"/>
      <c r="T26" s="993"/>
    </row>
    <row r="27" spans="1:20" s="28" customFormat="1" ht="9.9499999999999993" customHeight="1" x14ac:dyDescent="0.15">
      <c r="A27" s="1010"/>
      <c r="B27" s="303" t="s">
        <v>290</v>
      </c>
      <c r="C27" s="1006" t="s">
        <v>347</v>
      </c>
      <c r="D27" s="1009" t="s">
        <v>288</v>
      </c>
      <c r="E27" s="735" t="s">
        <v>288</v>
      </c>
      <c r="F27" s="1009" t="s">
        <v>288</v>
      </c>
      <c r="G27" s="1009" t="s">
        <v>288</v>
      </c>
      <c r="H27" s="735">
        <v>9.73</v>
      </c>
      <c r="I27" s="735" t="s">
        <v>288</v>
      </c>
      <c r="J27" s="735" t="s">
        <v>288</v>
      </c>
      <c r="K27" s="1009" t="s">
        <v>288</v>
      </c>
      <c r="L27" s="1009" t="s">
        <v>288</v>
      </c>
      <c r="M27" s="1009" t="s">
        <v>288</v>
      </c>
      <c r="N27" s="1501"/>
      <c r="O27" s="993"/>
      <c r="Q27" s="993"/>
      <c r="R27" s="993"/>
      <c r="S27" s="993"/>
      <c r="T27" s="993"/>
    </row>
    <row r="28" spans="1:20" s="28" customFormat="1" ht="10.5" customHeight="1" x14ac:dyDescent="0.15">
      <c r="A28" s="1011"/>
      <c r="B28" s="226" t="s">
        <v>340</v>
      </c>
      <c r="C28" s="1012" t="s">
        <v>341</v>
      </c>
      <c r="D28" s="994" t="s">
        <v>288</v>
      </c>
      <c r="E28" s="994" t="s">
        <v>288</v>
      </c>
      <c r="F28" s="995" t="s">
        <v>288</v>
      </c>
      <c r="G28" s="994" t="s">
        <v>288</v>
      </c>
      <c r="H28" s="1007" t="s">
        <v>288</v>
      </c>
      <c r="I28" s="1007" t="s">
        <v>288</v>
      </c>
      <c r="J28" s="1007" t="s">
        <v>288</v>
      </c>
      <c r="K28" s="994" t="s">
        <v>288</v>
      </c>
      <c r="L28" s="994" t="s">
        <v>288</v>
      </c>
      <c r="M28" s="994" t="s">
        <v>288</v>
      </c>
      <c r="N28" s="1501"/>
      <c r="O28" s="993"/>
      <c r="Q28" s="993"/>
      <c r="R28" s="993"/>
      <c r="S28" s="993"/>
      <c r="T28" s="993"/>
    </row>
    <row r="29" spans="1:20" s="28" customFormat="1" ht="9.9499999999999993" customHeight="1" x14ac:dyDescent="0.15">
      <c r="A29" s="1010"/>
      <c r="B29" s="303" t="s">
        <v>299</v>
      </c>
      <c r="C29" s="791" t="s">
        <v>610</v>
      </c>
      <c r="D29" s="1009">
        <v>6.5</v>
      </c>
      <c r="E29" s="1009">
        <v>8.4499999999999993</v>
      </c>
      <c r="F29" s="1009">
        <v>8.75</v>
      </c>
      <c r="G29" s="1009" t="s">
        <v>288</v>
      </c>
      <c r="H29" s="735" t="s">
        <v>288</v>
      </c>
      <c r="I29" s="735" t="s">
        <v>288</v>
      </c>
      <c r="J29" s="735">
        <v>7.77</v>
      </c>
      <c r="K29" s="1009" t="s">
        <v>288</v>
      </c>
      <c r="L29" s="1009" t="s">
        <v>288</v>
      </c>
      <c r="M29" s="1009">
        <v>13</v>
      </c>
      <c r="N29" s="1501"/>
      <c r="O29" s="993"/>
      <c r="Q29" s="993"/>
      <c r="R29" s="993"/>
      <c r="S29" s="993"/>
      <c r="T29" s="993"/>
    </row>
    <row r="30" spans="1:20" s="208" customFormat="1" ht="9.9499999999999993" customHeight="1" x14ac:dyDescent="0.15">
      <c r="A30" s="328"/>
      <c r="B30" s="239" t="s">
        <v>344</v>
      </c>
      <c r="C30" s="238" t="s">
        <v>98</v>
      </c>
      <c r="D30" s="579">
        <v>7</v>
      </c>
      <c r="E30" s="579">
        <v>8.4499999999999993</v>
      </c>
      <c r="F30" s="995">
        <v>9</v>
      </c>
      <c r="G30" s="995" t="s">
        <v>288</v>
      </c>
      <c r="H30" s="579" t="s">
        <v>288</v>
      </c>
      <c r="I30" s="579" t="s">
        <v>288</v>
      </c>
      <c r="J30" s="579">
        <v>7.89</v>
      </c>
      <c r="K30" s="995" t="s">
        <v>288</v>
      </c>
      <c r="L30" s="995" t="s">
        <v>288</v>
      </c>
      <c r="M30" s="995">
        <v>13</v>
      </c>
      <c r="N30" s="1501"/>
      <c r="O30" s="993"/>
      <c r="Q30" s="993"/>
      <c r="R30" s="993"/>
      <c r="S30" s="993"/>
      <c r="T30" s="993"/>
    </row>
    <row r="31" spans="1:20" s="208" customFormat="1" ht="9.9499999999999993" customHeight="1" x14ac:dyDescent="0.15">
      <c r="A31" s="1010"/>
      <c r="B31" s="303" t="s">
        <v>289</v>
      </c>
      <c r="C31" s="1006" t="s">
        <v>99</v>
      </c>
      <c r="D31" s="735" t="s">
        <v>288</v>
      </c>
      <c r="E31" s="735" t="s">
        <v>288</v>
      </c>
      <c r="F31" s="1009">
        <v>8.4</v>
      </c>
      <c r="G31" s="1009" t="s">
        <v>288</v>
      </c>
      <c r="H31" s="735" t="s">
        <v>288</v>
      </c>
      <c r="I31" s="735" t="s">
        <v>288</v>
      </c>
      <c r="J31" s="735">
        <v>7.71</v>
      </c>
      <c r="K31" s="1009" t="s">
        <v>288</v>
      </c>
      <c r="L31" s="1009" t="s">
        <v>288</v>
      </c>
      <c r="M31" s="1009">
        <v>13</v>
      </c>
      <c r="N31" s="1501"/>
      <c r="O31" s="993"/>
      <c r="Q31" s="993"/>
      <c r="R31" s="993"/>
      <c r="S31" s="993"/>
      <c r="T31" s="993"/>
    </row>
    <row r="32" spans="1:20" s="208" customFormat="1" ht="9.9499999999999993" customHeight="1" x14ac:dyDescent="0.15">
      <c r="A32" s="328"/>
      <c r="B32" s="239" t="s">
        <v>290</v>
      </c>
      <c r="C32" s="238" t="s">
        <v>348</v>
      </c>
      <c r="D32" s="579">
        <v>7.5</v>
      </c>
      <c r="E32" s="579" t="s">
        <v>288</v>
      </c>
      <c r="F32" s="995">
        <v>9.25</v>
      </c>
      <c r="G32" s="995" t="s">
        <v>288</v>
      </c>
      <c r="H32" s="579" t="s">
        <v>288</v>
      </c>
      <c r="I32" s="579">
        <v>6.81</v>
      </c>
      <c r="J32" s="579">
        <v>7.71</v>
      </c>
      <c r="K32" s="995">
        <v>9.44</v>
      </c>
      <c r="L32" s="995" t="s">
        <v>288</v>
      </c>
      <c r="M32" s="995">
        <v>13</v>
      </c>
      <c r="N32" s="1501"/>
      <c r="O32" s="993"/>
      <c r="Q32" s="993"/>
      <c r="R32" s="993"/>
      <c r="S32" s="993"/>
      <c r="T32" s="993"/>
    </row>
    <row r="33" spans="1:20" s="208" customFormat="1" ht="9.9499999999999993" customHeight="1" x14ac:dyDescent="0.15">
      <c r="A33" s="1010"/>
      <c r="B33" s="303" t="s">
        <v>2045</v>
      </c>
      <c r="C33" s="1006" t="s">
        <v>342</v>
      </c>
      <c r="D33" s="1009" t="s">
        <v>288</v>
      </c>
      <c r="E33" s="735" t="s">
        <v>288</v>
      </c>
      <c r="F33" s="1009">
        <v>8.75</v>
      </c>
      <c r="G33" s="1009" t="s">
        <v>288</v>
      </c>
      <c r="H33" s="735" t="s">
        <v>288</v>
      </c>
      <c r="I33" s="735" t="s">
        <v>288</v>
      </c>
      <c r="J33" s="735">
        <v>7.65</v>
      </c>
      <c r="K33" s="1009" t="s">
        <v>288</v>
      </c>
      <c r="L33" s="1009" t="s">
        <v>288</v>
      </c>
      <c r="M33" s="1009" t="s">
        <v>288</v>
      </c>
      <c r="N33" s="1501"/>
      <c r="O33" s="993"/>
      <c r="Q33" s="993"/>
      <c r="R33" s="993"/>
      <c r="S33" s="993"/>
      <c r="T33" s="993"/>
    </row>
    <row r="34" spans="1:20" s="208" customFormat="1" ht="9.9499999999999993" customHeight="1" x14ac:dyDescent="0.15">
      <c r="A34" s="328"/>
      <c r="B34" s="1499" t="s">
        <v>350</v>
      </c>
      <c r="C34" s="238" t="s">
        <v>726</v>
      </c>
      <c r="D34" s="995">
        <v>7.7</v>
      </c>
      <c r="E34" s="995">
        <v>8.4499999999999993</v>
      </c>
      <c r="F34" s="995">
        <v>8.75</v>
      </c>
      <c r="G34" s="995" t="s">
        <v>288</v>
      </c>
      <c r="H34" s="579">
        <v>8.89</v>
      </c>
      <c r="I34" s="579" t="s">
        <v>288</v>
      </c>
      <c r="J34" s="579" t="s">
        <v>52</v>
      </c>
      <c r="K34" s="995">
        <v>9.44</v>
      </c>
      <c r="L34" s="995" t="s">
        <v>288</v>
      </c>
      <c r="M34" s="995" t="s">
        <v>288</v>
      </c>
      <c r="N34" s="1501"/>
      <c r="O34" s="993"/>
      <c r="Q34" s="993"/>
      <c r="R34" s="993"/>
      <c r="S34" s="993"/>
      <c r="T34" s="993"/>
    </row>
    <row r="35" spans="1:20" s="208" customFormat="1" ht="10.5" customHeight="1" x14ac:dyDescent="0.15">
      <c r="A35" s="1010"/>
      <c r="B35" s="1500" t="s">
        <v>299</v>
      </c>
      <c r="C35" s="1500" t="s">
        <v>102</v>
      </c>
      <c r="D35" s="1009" t="s">
        <v>288</v>
      </c>
      <c r="E35" s="1009" t="s">
        <v>288</v>
      </c>
      <c r="F35" s="1009" t="s">
        <v>288</v>
      </c>
      <c r="G35" s="1009" t="s">
        <v>288</v>
      </c>
      <c r="H35" s="735" t="s">
        <v>288</v>
      </c>
      <c r="I35" s="735" t="s">
        <v>288</v>
      </c>
      <c r="J35" s="735" t="s">
        <v>288</v>
      </c>
      <c r="K35" s="1009" t="s">
        <v>288</v>
      </c>
      <c r="L35" s="1009" t="s">
        <v>288</v>
      </c>
      <c r="M35" s="1009" t="s">
        <v>288</v>
      </c>
      <c r="N35" s="1501"/>
      <c r="O35" s="993"/>
      <c r="Q35" s="993"/>
      <c r="R35" s="993"/>
      <c r="S35" s="993"/>
      <c r="T35" s="993"/>
    </row>
    <row r="36" spans="1:20" s="208" customFormat="1" ht="9.9499999999999993" customHeight="1" x14ac:dyDescent="0.15">
      <c r="A36" s="328"/>
      <c r="B36" s="1499" t="s">
        <v>300</v>
      </c>
      <c r="C36" s="1499" t="s">
        <v>103</v>
      </c>
      <c r="D36" s="995" t="s">
        <v>288</v>
      </c>
      <c r="E36" s="995" t="s">
        <v>288</v>
      </c>
      <c r="F36" s="995">
        <v>4</v>
      </c>
      <c r="G36" s="995" t="s">
        <v>288</v>
      </c>
      <c r="H36" s="579" t="s">
        <v>288</v>
      </c>
      <c r="I36" s="579" t="s">
        <v>288</v>
      </c>
      <c r="J36" s="579">
        <v>7.41</v>
      </c>
      <c r="K36" s="995" t="s">
        <v>288</v>
      </c>
      <c r="L36" s="995">
        <v>4.5</v>
      </c>
      <c r="M36" s="995" t="s">
        <v>288</v>
      </c>
      <c r="N36" s="1501"/>
      <c r="O36" s="993"/>
      <c r="Q36" s="993"/>
      <c r="R36" s="993"/>
      <c r="S36" s="993"/>
      <c r="T36" s="993"/>
    </row>
    <row r="37" spans="1:20" s="208" customFormat="1" ht="9.9499999999999993" customHeight="1" x14ac:dyDescent="0.15">
      <c r="A37" s="1010"/>
      <c r="B37" s="1500" t="s">
        <v>301</v>
      </c>
      <c r="C37" s="1500" t="s">
        <v>104</v>
      </c>
      <c r="D37" s="1009" t="s">
        <v>288</v>
      </c>
      <c r="E37" s="1009" t="s">
        <v>288</v>
      </c>
      <c r="F37" s="1009" t="s">
        <v>288</v>
      </c>
      <c r="G37" s="1009" t="s">
        <v>288</v>
      </c>
      <c r="H37" s="735" t="s">
        <v>288</v>
      </c>
      <c r="I37" s="735" t="s">
        <v>288</v>
      </c>
      <c r="J37" s="735">
        <v>7.05</v>
      </c>
      <c r="K37" s="1009" t="s">
        <v>288</v>
      </c>
      <c r="L37" s="1009" t="s">
        <v>288</v>
      </c>
      <c r="M37" s="1009" t="s">
        <v>288</v>
      </c>
      <c r="N37" s="1501"/>
      <c r="O37" s="993"/>
      <c r="Q37" s="993"/>
      <c r="R37" s="993"/>
      <c r="S37" s="993"/>
      <c r="T37" s="993"/>
    </row>
    <row r="38" spans="1:20" s="208" customFormat="1" ht="9.9499999999999993" customHeight="1" x14ac:dyDescent="0.15">
      <c r="A38" s="328"/>
      <c r="B38" s="1499" t="s">
        <v>302</v>
      </c>
      <c r="C38" s="1499" t="s">
        <v>105</v>
      </c>
      <c r="D38" s="995" t="s">
        <v>288</v>
      </c>
      <c r="E38" s="995" t="s">
        <v>288</v>
      </c>
      <c r="F38" s="995" t="s">
        <v>288</v>
      </c>
      <c r="G38" s="995" t="s">
        <v>288</v>
      </c>
      <c r="H38" s="579" t="s">
        <v>288</v>
      </c>
      <c r="I38" s="579" t="s">
        <v>288</v>
      </c>
      <c r="J38" s="579" t="s">
        <v>288</v>
      </c>
      <c r="K38" s="995" t="s">
        <v>288</v>
      </c>
      <c r="L38" s="995">
        <v>5</v>
      </c>
      <c r="M38" s="995" t="s">
        <v>288</v>
      </c>
      <c r="N38" s="1501"/>
      <c r="O38" s="993"/>
      <c r="Q38" s="993"/>
      <c r="R38" s="993"/>
      <c r="S38" s="993"/>
      <c r="T38" s="993"/>
    </row>
    <row r="39" spans="1:20" s="208" customFormat="1" ht="9.9499999999999993" customHeight="1" x14ac:dyDescent="0.15">
      <c r="A39" s="1010"/>
      <c r="B39" s="1500" t="s">
        <v>303</v>
      </c>
      <c r="C39" s="1500" t="s">
        <v>106</v>
      </c>
      <c r="D39" s="1009" t="s">
        <v>288</v>
      </c>
      <c r="E39" s="735">
        <v>8.4499999999999993</v>
      </c>
      <c r="F39" s="1009" t="s">
        <v>288</v>
      </c>
      <c r="G39" s="1009" t="s">
        <v>288</v>
      </c>
      <c r="H39" s="735">
        <v>7.57</v>
      </c>
      <c r="I39" s="735">
        <v>5.8000000000000007</v>
      </c>
      <c r="J39" s="735" t="s">
        <v>288</v>
      </c>
      <c r="K39" s="1009" t="s">
        <v>288</v>
      </c>
      <c r="L39" s="1009" t="s">
        <v>288</v>
      </c>
      <c r="M39" s="1009">
        <v>10</v>
      </c>
      <c r="N39" s="1501"/>
      <c r="O39" s="993"/>
      <c r="Q39" s="993"/>
      <c r="R39" s="993"/>
      <c r="S39" s="993"/>
      <c r="T39" s="993"/>
    </row>
    <row r="40" spans="1:20" s="208" customFormat="1" ht="9.9499999999999993" customHeight="1" x14ac:dyDescent="0.15">
      <c r="A40" s="328"/>
      <c r="B40" s="1499" t="s">
        <v>304</v>
      </c>
      <c r="C40" s="1499" t="s">
        <v>107</v>
      </c>
      <c r="D40" s="995" t="s">
        <v>288</v>
      </c>
      <c r="E40" s="995" t="s">
        <v>288</v>
      </c>
      <c r="F40" s="995" t="s">
        <v>288</v>
      </c>
      <c r="G40" s="995" t="s">
        <v>288</v>
      </c>
      <c r="H40" s="579" t="s">
        <v>288</v>
      </c>
      <c r="I40" s="579" t="s">
        <v>288</v>
      </c>
      <c r="J40" s="579" t="s">
        <v>288</v>
      </c>
      <c r="K40" s="995" t="s">
        <v>288</v>
      </c>
      <c r="L40" s="995" t="s">
        <v>288</v>
      </c>
      <c r="M40" s="995" t="s">
        <v>288</v>
      </c>
      <c r="N40" s="1501"/>
      <c r="O40" s="993"/>
      <c r="Q40" s="993"/>
      <c r="R40" s="993"/>
      <c r="S40" s="993"/>
      <c r="T40" s="993"/>
    </row>
    <row r="41" spans="1:20" s="208" customFormat="1" ht="9.9499999999999993" customHeight="1" x14ac:dyDescent="0.15">
      <c r="A41" s="1010"/>
      <c r="B41" s="1500" t="s">
        <v>305</v>
      </c>
      <c r="C41" s="1500" t="s">
        <v>108</v>
      </c>
      <c r="D41" s="1009">
        <v>8</v>
      </c>
      <c r="E41" s="1009" t="s">
        <v>288</v>
      </c>
      <c r="F41" s="1009">
        <v>6.5</v>
      </c>
      <c r="G41" s="1009" t="s">
        <v>288</v>
      </c>
      <c r="H41" s="735">
        <v>8.77</v>
      </c>
      <c r="I41" s="735" t="s">
        <v>288</v>
      </c>
      <c r="J41" s="735">
        <v>6.63</v>
      </c>
      <c r="K41" s="1009" t="s">
        <v>288</v>
      </c>
      <c r="L41" s="1009" t="s">
        <v>288</v>
      </c>
      <c r="M41" s="1009" t="s">
        <v>288</v>
      </c>
      <c r="N41" s="1501"/>
      <c r="O41" s="993"/>
      <c r="P41" s="262"/>
      <c r="Q41" s="993"/>
      <c r="R41" s="993"/>
      <c r="S41" s="993"/>
      <c r="T41" s="993"/>
    </row>
    <row r="42" spans="1:20" s="208" customFormat="1" ht="9.9499999999999993" customHeight="1" x14ac:dyDescent="0.15">
      <c r="A42" s="1499"/>
      <c r="B42" s="1499" t="s">
        <v>306</v>
      </c>
      <c r="C42" s="1499" t="s">
        <v>109</v>
      </c>
      <c r="D42" s="995" t="s">
        <v>288</v>
      </c>
      <c r="E42" s="995" t="s">
        <v>288</v>
      </c>
      <c r="F42" s="995">
        <v>5</v>
      </c>
      <c r="G42" s="995" t="s">
        <v>288</v>
      </c>
      <c r="H42" s="579" t="s">
        <v>288</v>
      </c>
      <c r="I42" s="579" t="s">
        <v>288</v>
      </c>
      <c r="J42" s="579" t="s">
        <v>288</v>
      </c>
      <c r="K42" s="995" t="s">
        <v>288</v>
      </c>
      <c r="L42" s="995" t="s">
        <v>288</v>
      </c>
      <c r="M42" s="995" t="s">
        <v>288</v>
      </c>
      <c r="N42" s="1501"/>
      <c r="O42" s="993"/>
      <c r="Q42" s="993"/>
      <c r="R42" s="993"/>
      <c r="S42" s="993"/>
      <c r="T42" s="993"/>
    </row>
    <row r="43" spans="1:20" s="208" customFormat="1" ht="9.9499999999999993" customHeight="1" x14ac:dyDescent="0.15">
      <c r="A43" s="1500"/>
      <c r="B43" s="1500" t="s">
        <v>451</v>
      </c>
      <c r="C43" s="1500" t="s">
        <v>452</v>
      </c>
      <c r="D43" s="735">
        <v>7.5</v>
      </c>
      <c r="E43" s="735">
        <v>8.4499999999999993</v>
      </c>
      <c r="F43" s="1009">
        <v>6.5</v>
      </c>
      <c r="G43" s="1009" t="s">
        <v>288</v>
      </c>
      <c r="H43" s="735" t="s">
        <v>288</v>
      </c>
      <c r="I43" s="735">
        <v>6.54</v>
      </c>
      <c r="J43" s="735">
        <v>7.71</v>
      </c>
      <c r="K43" s="1009" t="s">
        <v>288</v>
      </c>
      <c r="L43" s="1009">
        <v>13</v>
      </c>
      <c r="M43" s="1009">
        <v>10</v>
      </c>
      <c r="N43" s="1501"/>
      <c r="O43" s="993"/>
      <c r="Q43" s="993"/>
      <c r="R43" s="993"/>
      <c r="S43" s="993"/>
      <c r="T43" s="993"/>
    </row>
    <row r="44" spans="1:20" s="208" customFormat="1" ht="9.9499999999999993" customHeight="1" x14ac:dyDescent="0.15">
      <c r="A44" s="1499"/>
      <c r="B44" s="1499" t="s">
        <v>453</v>
      </c>
      <c r="C44" s="1499" t="s">
        <v>455</v>
      </c>
      <c r="D44" s="579">
        <v>7</v>
      </c>
      <c r="E44" s="579">
        <v>8.4499999999999993</v>
      </c>
      <c r="F44" s="995">
        <v>6.25</v>
      </c>
      <c r="G44" s="995" t="s">
        <v>288</v>
      </c>
      <c r="H44" s="579" t="s">
        <v>288</v>
      </c>
      <c r="I44" s="579">
        <v>7.3</v>
      </c>
      <c r="J44" s="579">
        <v>7.89</v>
      </c>
      <c r="K44" s="995" t="s">
        <v>288</v>
      </c>
      <c r="L44" s="995">
        <v>11</v>
      </c>
      <c r="M44" s="995">
        <v>10</v>
      </c>
      <c r="N44" s="1501"/>
      <c r="O44" s="993"/>
      <c r="Q44" s="993"/>
      <c r="R44" s="993"/>
      <c r="S44" s="993"/>
      <c r="T44" s="993"/>
    </row>
    <row r="45" spans="1:20" s="208" customFormat="1" ht="9.9499999999999993" customHeight="1" x14ac:dyDescent="0.15">
      <c r="A45" s="1500"/>
      <c r="B45" s="1500" t="s">
        <v>456</v>
      </c>
      <c r="C45" s="996" t="s">
        <v>1818</v>
      </c>
      <c r="D45" s="735" t="s">
        <v>288</v>
      </c>
      <c r="E45" s="735" t="s">
        <v>288</v>
      </c>
      <c r="F45" s="735" t="s">
        <v>288</v>
      </c>
      <c r="G45" s="1009" t="s">
        <v>288</v>
      </c>
      <c r="H45" s="735" t="s">
        <v>288</v>
      </c>
      <c r="I45" s="735">
        <v>7.4300000000000006</v>
      </c>
      <c r="J45" s="735" t="s">
        <v>288</v>
      </c>
      <c r="K45" s="1009">
        <v>9.31</v>
      </c>
      <c r="L45" s="1009">
        <v>13</v>
      </c>
      <c r="M45" s="1009" t="s">
        <v>288</v>
      </c>
      <c r="N45" s="1501"/>
      <c r="O45" s="993"/>
      <c r="Q45" s="993"/>
      <c r="R45" s="993"/>
      <c r="S45" s="993"/>
      <c r="T45" s="993"/>
    </row>
    <row r="46" spans="1:20" s="208" customFormat="1" ht="9.9499999999999993" customHeight="1" x14ac:dyDescent="0.15">
      <c r="A46" s="1499"/>
      <c r="B46" s="1499" t="s">
        <v>457</v>
      </c>
      <c r="C46" s="329" t="s">
        <v>727</v>
      </c>
      <c r="D46" s="579">
        <v>12</v>
      </c>
      <c r="E46" s="579">
        <v>8.4499999999999993</v>
      </c>
      <c r="F46" s="995">
        <v>12.6</v>
      </c>
      <c r="G46" s="995" t="s">
        <v>288</v>
      </c>
      <c r="H46" s="579" t="s">
        <v>288</v>
      </c>
      <c r="I46" s="579" t="s">
        <v>288</v>
      </c>
      <c r="J46" s="579">
        <v>6.93</v>
      </c>
      <c r="K46" s="995">
        <v>9.56</v>
      </c>
      <c r="L46" s="995">
        <v>11.5</v>
      </c>
      <c r="M46" s="995" t="s">
        <v>288</v>
      </c>
      <c r="N46" s="1501"/>
      <c r="O46" s="993"/>
      <c r="Q46" s="993"/>
      <c r="R46" s="993"/>
      <c r="S46" s="993"/>
      <c r="T46" s="993"/>
    </row>
    <row r="47" spans="1:20" s="208" customFormat="1" ht="9.9499999999999993" customHeight="1" x14ac:dyDescent="0.15">
      <c r="A47" s="1500"/>
      <c r="B47" s="1500" t="s">
        <v>272</v>
      </c>
      <c r="C47" s="996" t="s">
        <v>728</v>
      </c>
      <c r="D47" s="735">
        <v>11</v>
      </c>
      <c r="E47" s="735">
        <v>8.4499999999999993</v>
      </c>
      <c r="F47" s="639">
        <v>12</v>
      </c>
      <c r="G47" s="639" t="s">
        <v>288</v>
      </c>
      <c r="H47" s="735">
        <v>7.91</v>
      </c>
      <c r="I47" s="735" t="s">
        <v>288</v>
      </c>
      <c r="J47" s="735">
        <v>6.93</v>
      </c>
      <c r="K47" s="639">
        <v>9.56</v>
      </c>
      <c r="L47" s="639">
        <v>10.75</v>
      </c>
      <c r="M47" s="639">
        <v>13.34</v>
      </c>
      <c r="N47" s="1501"/>
      <c r="O47" s="993"/>
      <c r="Q47" s="993"/>
      <c r="R47" s="993"/>
      <c r="S47" s="993"/>
      <c r="T47" s="993"/>
    </row>
    <row r="48" spans="1:20" s="208" customFormat="1" ht="9.9499999999999993" customHeight="1" x14ac:dyDescent="0.15">
      <c r="A48" s="1499"/>
      <c r="B48" s="1499" t="s">
        <v>297</v>
      </c>
      <c r="C48" s="1499" t="s">
        <v>273</v>
      </c>
      <c r="D48" s="995">
        <v>7</v>
      </c>
      <c r="E48" s="579">
        <v>8.4499999999999993</v>
      </c>
      <c r="F48" s="995">
        <v>8.75</v>
      </c>
      <c r="G48" s="995" t="s">
        <v>288</v>
      </c>
      <c r="H48" s="579">
        <v>9.2525000000000013</v>
      </c>
      <c r="I48" s="579">
        <v>7.0900000000000007</v>
      </c>
      <c r="J48" s="579">
        <v>7.71</v>
      </c>
      <c r="K48" s="995">
        <v>9.5299999999999994</v>
      </c>
      <c r="L48" s="995" t="s">
        <v>288</v>
      </c>
      <c r="M48" s="995" t="s">
        <v>288</v>
      </c>
      <c r="N48" s="1501"/>
      <c r="O48" s="993"/>
      <c r="Q48" s="993"/>
      <c r="R48" s="993"/>
      <c r="S48" s="993"/>
      <c r="T48" s="993"/>
    </row>
    <row r="49" spans="1:20" s="208" customFormat="1" ht="9.9499999999999993" customHeight="1" x14ac:dyDescent="0.15">
      <c r="A49" s="1500"/>
      <c r="B49" s="1500" t="s">
        <v>2046</v>
      </c>
      <c r="C49" s="1500" t="s">
        <v>2047</v>
      </c>
      <c r="D49" s="1009">
        <v>3</v>
      </c>
      <c r="E49" s="735" t="s">
        <v>288</v>
      </c>
      <c r="F49" s="1009">
        <v>5</v>
      </c>
      <c r="G49" s="994">
        <v>2.25</v>
      </c>
      <c r="H49" s="735">
        <v>2.2599999999999998</v>
      </c>
      <c r="I49" s="735" t="s">
        <v>288</v>
      </c>
      <c r="J49" s="735">
        <v>3.73</v>
      </c>
      <c r="K49" s="1009" t="s">
        <v>288</v>
      </c>
      <c r="L49" s="1009">
        <v>3</v>
      </c>
      <c r="M49" s="1009">
        <v>2.5</v>
      </c>
      <c r="N49" s="1501"/>
      <c r="O49" s="993"/>
      <c r="Q49" s="993"/>
      <c r="R49" s="993"/>
      <c r="S49" s="993"/>
      <c r="T49" s="993"/>
    </row>
    <row r="50" spans="1:20" s="243" customFormat="1" ht="9.9499999999999993" customHeight="1" x14ac:dyDescent="0.15">
      <c r="A50" s="1013" t="s">
        <v>581</v>
      </c>
      <c r="B50" s="2830" t="s">
        <v>53</v>
      </c>
      <c r="C50" s="2830"/>
      <c r="D50" s="995" t="s">
        <v>288</v>
      </c>
      <c r="E50" s="579">
        <v>3.68</v>
      </c>
      <c r="F50" s="995" t="s">
        <v>288</v>
      </c>
      <c r="G50" s="995" t="s">
        <v>288</v>
      </c>
      <c r="H50" s="579" t="s">
        <v>288</v>
      </c>
      <c r="I50" s="579">
        <v>8.3000000000000007</v>
      </c>
      <c r="J50" s="579" t="s">
        <v>288</v>
      </c>
      <c r="K50" s="995">
        <v>7.55</v>
      </c>
      <c r="L50" s="995">
        <v>2</v>
      </c>
      <c r="M50" s="995" t="s">
        <v>288</v>
      </c>
      <c r="N50" s="1501"/>
      <c r="O50" s="993"/>
      <c r="Q50" s="993"/>
      <c r="R50" s="993"/>
      <c r="S50" s="993"/>
      <c r="T50" s="993"/>
    </row>
    <row r="51" spans="1:20" s="208" customFormat="1" ht="9.9499999999999993" customHeight="1" x14ac:dyDescent="0.15">
      <c r="A51" s="1008" t="s">
        <v>582</v>
      </c>
      <c r="B51" s="2831" t="s">
        <v>54</v>
      </c>
      <c r="C51" s="2831"/>
      <c r="D51" s="1009" t="s">
        <v>288</v>
      </c>
      <c r="E51" s="1009" t="s">
        <v>288</v>
      </c>
      <c r="F51" s="1009" t="s">
        <v>288</v>
      </c>
      <c r="G51" s="1009">
        <v>0</v>
      </c>
      <c r="H51" s="735" t="s">
        <v>288</v>
      </c>
      <c r="I51" s="735" t="s">
        <v>288</v>
      </c>
      <c r="J51" s="735" t="s">
        <v>288</v>
      </c>
      <c r="K51" s="1009" t="s">
        <v>288</v>
      </c>
      <c r="L51" s="1009" t="s">
        <v>288</v>
      </c>
      <c r="M51" s="1009" t="s">
        <v>288</v>
      </c>
      <c r="N51" s="1501"/>
      <c r="O51" s="993"/>
      <c r="Q51" s="993"/>
      <c r="R51" s="993"/>
      <c r="S51" s="993"/>
      <c r="T51" s="993"/>
    </row>
    <row r="52" spans="1:20" s="208" customFormat="1" ht="11.25" customHeight="1" x14ac:dyDescent="0.15">
      <c r="A52" s="328"/>
      <c r="B52" s="1499" t="s">
        <v>609</v>
      </c>
      <c r="C52" s="1499" t="s">
        <v>234</v>
      </c>
      <c r="D52" s="995" t="s">
        <v>288</v>
      </c>
      <c r="E52" s="995" t="s">
        <v>288</v>
      </c>
      <c r="F52" s="995" t="s">
        <v>288</v>
      </c>
      <c r="G52" s="995">
        <v>0</v>
      </c>
      <c r="H52" s="579" t="s">
        <v>288</v>
      </c>
      <c r="I52" s="579" t="s">
        <v>288</v>
      </c>
      <c r="J52" s="579" t="s">
        <v>288</v>
      </c>
      <c r="K52" s="995" t="s">
        <v>288</v>
      </c>
      <c r="L52" s="995" t="s">
        <v>288</v>
      </c>
      <c r="M52" s="995" t="s">
        <v>288</v>
      </c>
      <c r="N52" s="1501"/>
      <c r="O52" s="993"/>
      <c r="Q52" s="993"/>
      <c r="R52" s="993"/>
      <c r="S52" s="993"/>
      <c r="T52" s="993"/>
    </row>
    <row r="53" spans="1:20" s="208" customFormat="1" ht="9.9499999999999993" customHeight="1" x14ac:dyDescent="0.15">
      <c r="A53" s="1010"/>
      <c r="B53" s="1500"/>
      <c r="C53" s="1500" t="s">
        <v>357</v>
      </c>
      <c r="D53" s="735">
        <v>7.5</v>
      </c>
      <c r="E53" s="735">
        <v>8.4499999999999993</v>
      </c>
      <c r="F53" s="1009">
        <v>6.5</v>
      </c>
      <c r="G53" s="1009">
        <v>5</v>
      </c>
      <c r="H53" s="735">
        <v>8.6950000000000021</v>
      </c>
      <c r="I53" s="735" t="s">
        <v>288</v>
      </c>
      <c r="J53" s="735" t="s">
        <v>288</v>
      </c>
      <c r="K53" s="1009">
        <v>10.07</v>
      </c>
      <c r="L53" s="1009">
        <v>13</v>
      </c>
      <c r="M53" s="1009">
        <v>10</v>
      </c>
      <c r="N53" s="1501"/>
      <c r="O53" s="993"/>
      <c r="P53" s="1497"/>
      <c r="Q53" s="993"/>
      <c r="R53" s="993"/>
      <c r="S53" s="993"/>
      <c r="T53" s="993"/>
    </row>
    <row r="54" spans="1:20" s="208" customFormat="1" ht="9.9499999999999993" customHeight="1" x14ac:dyDescent="0.15">
      <c r="A54" s="328"/>
      <c r="B54" s="1499"/>
      <c r="C54" s="1499" t="s">
        <v>355</v>
      </c>
      <c r="D54" s="579">
        <v>8</v>
      </c>
      <c r="E54" s="579">
        <v>8.4499999999999993</v>
      </c>
      <c r="F54" s="995">
        <v>6.5</v>
      </c>
      <c r="G54" s="995" t="s">
        <v>288</v>
      </c>
      <c r="H54" s="579" t="s">
        <v>288</v>
      </c>
      <c r="I54" s="579" t="s">
        <v>288</v>
      </c>
      <c r="J54" s="579" t="s">
        <v>288</v>
      </c>
      <c r="K54" s="995" t="s">
        <v>288</v>
      </c>
      <c r="L54" s="995" t="s">
        <v>288</v>
      </c>
      <c r="M54" s="995">
        <v>10</v>
      </c>
      <c r="N54" s="1501"/>
      <c r="O54" s="993"/>
      <c r="Q54" s="993"/>
      <c r="R54" s="993"/>
      <c r="S54" s="993"/>
      <c r="T54" s="993"/>
    </row>
    <row r="55" spans="1:20" s="208" customFormat="1" ht="9.9499999999999993" customHeight="1" x14ac:dyDescent="0.15">
      <c r="A55" s="1010"/>
      <c r="B55" s="1500"/>
      <c r="C55" s="1500" t="s">
        <v>356</v>
      </c>
      <c r="D55" s="1009" t="s">
        <v>288</v>
      </c>
      <c r="E55" s="735">
        <v>8.4499999999999993</v>
      </c>
      <c r="F55" s="1009" t="s">
        <v>288</v>
      </c>
      <c r="G55" s="1009" t="s">
        <v>288</v>
      </c>
      <c r="H55" s="735" t="s">
        <v>288</v>
      </c>
      <c r="I55" s="735" t="s">
        <v>288</v>
      </c>
      <c r="J55" s="735" t="s">
        <v>288</v>
      </c>
      <c r="K55" s="1009" t="s">
        <v>288</v>
      </c>
      <c r="L55" s="1009" t="s">
        <v>288</v>
      </c>
      <c r="M55" s="1009" t="s">
        <v>288</v>
      </c>
      <c r="N55" s="1501"/>
      <c r="O55" s="993"/>
      <c r="Q55" s="993"/>
      <c r="R55" s="993"/>
      <c r="S55" s="993"/>
      <c r="T55" s="993"/>
    </row>
    <row r="56" spans="1:20" s="208" customFormat="1" ht="10.5" customHeight="1" x14ac:dyDescent="0.15">
      <c r="A56" s="328"/>
      <c r="B56" s="1499" t="s">
        <v>611</v>
      </c>
      <c r="C56" s="1499" t="s">
        <v>358</v>
      </c>
      <c r="D56" s="995" t="s">
        <v>288</v>
      </c>
      <c r="E56" s="579">
        <v>8.4499999999999993</v>
      </c>
      <c r="F56" s="995" t="s">
        <v>288</v>
      </c>
      <c r="G56" s="995" t="s">
        <v>288</v>
      </c>
      <c r="H56" s="579" t="s">
        <v>288</v>
      </c>
      <c r="I56" s="579">
        <v>5.75</v>
      </c>
      <c r="J56" s="579">
        <v>6.62</v>
      </c>
      <c r="K56" s="995" t="s">
        <v>288</v>
      </c>
      <c r="L56" s="995">
        <v>11</v>
      </c>
      <c r="M56" s="995" t="s">
        <v>288</v>
      </c>
      <c r="N56" s="1501"/>
      <c r="O56" s="993"/>
      <c r="Q56" s="993"/>
      <c r="R56" s="993"/>
      <c r="S56" s="993"/>
      <c r="T56" s="993"/>
    </row>
    <row r="57" spans="1:20" s="441" customFormat="1" ht="10.5" customHeight="1" thickBot="1" x14ac:dyDescent="0.2">
      <c r="A57" s="843"/>
      <c r="B57" s="844" t="s">
        <v>613</v>
      </c>
      <c r="C57" s="844" t="s">
        <v>55</v>
      </c>
      <c r="D57" s="801">
        <v>10</v>
      </c>
      <c r="E57" s="801">
        <v>8.4499999999999993</v>
      </c>
      <c r="F57" s="983">
        <v>11</v>
      </c>
      <c r="G57" s="983" t="s">
        <v>288</v>
      </c>
      <c r="H57" s="801">
        <v>9.82</v>
      </c>
      <c r="I57" s="801" t="s">
        <v>288</v>
      </c>
      <c r="J57" s="801">
        <v>7.17</v>
      </c>
      <c r="K57" s="983" t="s">
        <v>288</v>
      </c>
      <c r="L57" s="983">
        <v>6.25</v>
      </c>
      <c r="M57" s="983" t="s">
        <v>288</v>
      </c>
      <c r="N57" s="1501"/>
      <c r="O57" s="993"/>
      <c r="Q57" s="993"/>
      <c r="R57" s="993"/>
      <c r="S57" s="993"/>
      <c r="T57" s="993"/>
    </row>
    <row r="58" spans="1:20" s="28" customFormat="1" ht="9.75" customHeight="1" x14ac:dyDescent="0.15">
      <c r="A58" s="2659" t="s">
        <v>1213</v>
      </c>
      <c r="B58" s="2833"/>
      <c r="C58" s="2833"/>
      <c r="D58" s="2833"/>
      <c r="E58" s="103"/>
      <c r="F58" s="103"/>
      <c r="G58" s="773"/>
      <c r="H58" s="103"/>
      <c r="I58" s="103"/>
      <c r="J58" s="103"/>
      <c r="S58" s="993"/>
    </row>
    <row r="59" spans="1:20" s="8" customFormat="1" ht="9" customHeight="1" x14ac:dyDescent="0.2">
      <c r="A59" s="9"/>
      <c r="C59" s="50" t="s">
        <v>359</v>
      </c>
      <c r="D59" s="793"/>
      <c r="E59" s="793"/>
      <c r="F59" s="793"/>
      <c r="G59" s="204"/>
      <c r="H59" s="793"/>
      <c r="I59" s="793"/>
      <c r="J59" s="793"/>
    </row>
  </sheetData>
  <customSheetViews>
    <customSheetView guid="{A374FC54-96E3-45F0-9C12-8450400C12DF}" scale="150">
      <pane xSplit="3" ySplit="3" topLeftCell="D22" activePane="bottomRight" state="frozen"/>
      <selection pane="bottomRight" activeCell="O27" sqref="O27"/>
      <pageMargins left="0.47" right="0.314" top="0.52" bottom="0.157" header="0.18" footer="0.39300000000000002"/>
      <pageSetup paperSize="132" firstPageNumber="74" orientation="portrait" useFirstPageNumber="1" r:id="rId1"/>
      <headerFooter>
        <oddFooter>&amp;C&amp;"Times New Roman,Regular"&amp;8&amp;P</oddFooter>
      </headerFooter>
    </customSheetView>
  </customSheetViews>
  <mergeCells count="11">
    <mergeCell ref="A58:D58"/>
    <mergeCell ref="B16:C16"/>
    <mergeCell ref="B12:C12"/>
    <mergeCell ref="B5:C5"/>
    <mergeCell ref="A3:C3"/>
    <mergeCell ref="B4:C4"/>
    <mergeCell ref="A1:I1"/>
    <mergeCell ref="K1:M1"/>
    <mergeCell ref="B50:C50"/>
    <mergeCell ref="B51:C51"/>
    <mergeCell ref="K2:M2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103"/>
  <sheetViews>
    <sheetView workbookViewId="0">
      <pane xSplit="1" ySplit="5" topLeftCell="B56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P1" sqref="P1:W1"/>
    </sheetView>
  </sheetViews>
  <sheetFormatPr defaultColWidth="10.42578125" defaultRowHeight="11.25" x14ac:dyDescent="0.2"/>
  <cols>
    <col min="1" max="2" width="10.42578125" style="16"/>
    <col min="3" max="14" width="10.42578125" style="8"/>
    <col min="15" max="15" width="10.42578125" style="16"/>
    <col min="16" max="27" width="10.42578125" style="8"/>
    <col min="28" max="28" width="10.42578125" style="16"/>
    <col min="29" max="16384" width="10.42578125" style="8"/>
  </cols>
  <sheetData>
    <row r="1" spans="1:40" s="19" customFormat="1" ht="35.25" customHeight="1" x14ac:dyDescent="0.2">
      <c r="C1" s="2836" t="s">
        <v>57</v>
      </c>
      <c r="D1" s="2836"/>
      <c r="E1" s="2836"/>
      <c r="F1" s="2836"/>
      <c r="G1" s="2836"/>
      <c r="H1" s="2836"/>
      <c r="I1" s="2836"/>
      <c r="J1" s="2836"/>
      <c r="K1" s="1403"/>
      <c r="L1" s="2840" t="s">
        <v>592</v>
      </c>
      <c r="M1" s="2840"/>
      <c r="N1" s="2840"/>
      <c r="P1" s="2836" t="s">
        <v>17</v>
      </c>
      <c r="Q1" s="2836"/>
      <c r="R1" s="2836"/>
      <c r="S1" s="2836"/>
      <c r="T1" s="2836"/>
      <c r="U1" s="2836"/>
      <c r="V1" s="2836"/>
      <c r="W1" s="2836"/>
      <c r="X1" s="1403"/>
      <c r="Y1" s="2840" t="s">
        <v>592</v>
      </c>
      <c r="Z1" s="2840"/>
      <c r="AA1" s="2840"/>
      <c r="AC1" s="2836" t="s">
        <v>18</v>
      </c>
      <c r="AD1" s="2836"/>
      <c r="AE1" s="2836"/>
      <c r="AF1" s="2836"/>
      <c r="AG1" s="2836"/>
      <c r="AH1" s="2836"/>
      <c r="AI1" s="2836"/>
      <c r="AJ1" s="2836"/>
      <c r="AK1" s="1403"/>
      <c r="AL1" s="2840" t="s">
        <v>596</v>
      </c>
      <c r="AM1" s="2840"/>
      <c r="AN1" s="2840"/>
    </row>
    <row r="2" spans="1:40" s="19" customFormat="1" ht="12" customHeight="1" x14ac:dyDescent="0.2">
      <c r="C2" s="90"/>
      <c r="D2" s="90"/>
      <c r="E2" s="90"/>
      <c r="F2" s="90"/>
      <c r="G2" s="90"/>
      <c r="H2" s="90"/>
      <c r="I2" s="90"/>
      <c r="J2" s="90"/>
      <c r="K2" s="90"/>
      <c r="L2" s="2671" t="s">
        <v>500</v>
      </c>
      <c r="M2" s="2671"/>
      <c r="N2" s="2671"/>
      <c r="O2" s="71"/>
      <c r="P2" s="71"/>
      <c r="Q2" s="71"/>
      <c r="R2" s="71"/>
      <c r="S2" s="71"/>
      <c r="T2" s="71"/>
      <c r="U2" s="71"/>
      <c r="V2" s="71"/>
      <c r="W2" s="71"/>
      <c r="X2" s="71"/>
      <c r="Y2" s="2837" t="s">
        <v>500</v>
      </c>
      <c r="Z2" s="2837"/>
      <c r="AA2" s="2837"/>
      <c r="AL2" s="2837" t="s">
        <v>500</v>
      </c>
      <c r="AM2" s="2837"/>
      <c r="AN2" s="2837"/>
    </row>
    <row r="3" spans="1:40" ht="12.75" customHeight="1" x14ac:dyDescent="0.2">
      <c r="A3" s="2678" t="s">
        <v>474</v>
      </c>
      <c r="B3" s="2678" t="s">
        <v>3067</v>
      </c>
      <c r="C3" s="2678" t="s">
        <v>1800</v>
      </c>
      <c r="D3" s="2678"/>
      <c r="E3" s="2678"/>
      <c r="F3" s="2678"/>
      <c r="G3" s="2678"/>
      <c r="H3" s="2678"/>
      <c r="I3" s="2678"/>
      <c r="J3" s="2678"/>
      <c r="K3" s="2678"/>
      <c r="L3" s="2678"/>
      <c r="M3" s="2678"/>
      <c r="N3" s="2678"/>
      <c r="O3" s="2678" t="s">
        <v>474</v>
      </c>
      <c r="P3" s="2678" t="s">
        <v>501</v>
      </c>
      <c r="Q3" s="2678"/>
      <c r="R3" s="2678"/>
      <c r="S3" s="2678"/>
      <c r="T3" s="2678"/>
      <c r="U3" s="2678"/>
      <c r="V3" s="2678"/>
      <c r="W3" s="2678"/>
      <c r="X3" s="2678"/>
      <c r="Y3" s="2678"/>
      <c r="Z3" s="2678"/>
      <c r="AA3" s="2678"/>
      <c r="AB3" s="2678" t="s">
        <v>474</v>
      </c>
      <c r="AC3" s="2678" t="s">
        <v>501</v>
      </c>
      <c r="AD3" s="2678"/>
      <c r="AE3" s="2678"/>
      <c r="AF3" s="2678"/>
      <c r="AG3" s="2678"/>
      <c r="AH3" s="2678"/>
      <c r="AI3" s="2678"/>
      <c r="AJ3" s="2678"/>
      <c r="AK3" s="2678"/>
      <c r="AL3" s="2678"/>
      <c r="AM3" s="2678"/>
      <c r="AN3" s="2678"/>
    </row>
    <row r="4" spans="1:40" s="17" customFormat="1" ht="12.6" customHeight="1" x14ac:dyDescent="0.2">
      <c r="A4" s="2678"/>
      <c r="B4" s="2678"/>
      <c r="C4" s="2678" t="s">
        <v>78</v>
      </c>
      <c r="D4" s="2678"/>
      <c r="E4" s="2678"/>
      <c r="F4" s="2678" t="s">
        <v>617</v>
      </c>
      <c r="G4" s="2678"/>
      <c r="H4" s="2678"/>
      <c r="I4" s="2678" t="s">
        <v>615</v>
      </c>
      <c r="J4" s="2678"/>
      <c r="K4" s="2678"/>
      <c r="L4" s="2678" t="s">
        <v>79</v>
      </c>
      <c r="M4" s="2678"/>
      <c r="N4" s="2678"/>
      <c r="O4" s="2678"/>
      <c r="P4" s="2678" t="s">
        <v>78</v>
      </c>
      <c r="Q4" s="2678"/>
      <c r="R4" s="2678"/>
      <c r="S4" s="2678" t="s">
        <v>617</v>
      </c>
      <c r="T4" s="2678"/>
      <c r="U4" s="2678"/>
      <c r="V4" s="2678" t="s">
        <v>615</v>
      </c>
      <c r="W4" s="2678"/>
      <c r="X4" s="2678"/>
      <c r="Y4" s="2678" t="s">
        <v>79</v>
      </c>
      <c r="Z4" s="2678"/>
      <c r="AA4" s="2678"/>
      <c r="AB4" s="2678"/>
      <c r="AC4" s="2678" t="s">
        <v>78</v>
      </c>
      <c r="AD4" s="2678"/>
      <c r="AE4" s="2678"/>
      <c r="AF4" s="2678" t="s">
        <v>617</v>
      </c>
      <c r="AG4" s="2678"/>
      <c r="AH4" s="2678"/>
      <c r="AI4" s="2678" t="s">
        <v>615</v>
      </c>
      <c r="AJ4" s="2678"/>
      <c r="AK4" s="2678"/>
      <c r="AL4" s="2678" t="s">
        <v>79</v>
      </c>
      <c r="AM4" s="2678"/>
      <c r="AN4" s="2678"/>
    </row>
    <row r="5" spans="1:40" s="17" customFormat="1" ht="24.75" customHeight="1" x14ac:dyDescent="0.2">
      <c r="A5" s="2678"/>
      <c r="B5" s="2678"/>
      <c r="C5" s="1730" t="s">
        <v>527</v>
      </c>
      <c r="D5" s="1730" t="s">
        <v>80</v>
      </c>
      <c r="E5" s="1723" t="s">
        <v>624</v>
      </c>
      <c r="F5" s="1730" t="s">
        <v>527</v>
      </c>
      <c r="G5" s="1730" t="s">
        <v>80</v>
      </c>
      <c r="H5" s="1723" t="s">
        <v>624</v>
      </c>
      <c r="I5" s="1730" t="s">
        <v>527</v>
      </c>
      <c r="J5" s="1730" t="s">
        <v>80</v>
      </c>
      <c r="K5" s="1723" t="s">
        <v>624</v>
      </c>
      <c r="L5" s="1730" t="s">
        <v>527</v>
      </c>
      <c r="M5" s="1730" t="s">
        <v>80</v>
      </c>
      <c r="N5" s="1723" t="s">
        <v>624</v>
      </c>
      <c r="O5" s="2678"/>
      <c r="P5" s="1730" t="s">
        <v>527</v>
      </c>
      <c r="Q5" s="1730" t="s">
        <v>80</v>
      </c>
      <c r="R5" s="1723" t="s">
        <v>624</v>
      </c>
      <c r="S5" s="1730" t="s">
        <v>527</v>
      </c>
      <c r="T5" s="1730" t="s">
        <v>80</v>
      </c>
      <c r="U5" s="1723" t="s">
        <v>624</v>
      </c>
      <c r="V5" s="1730" t="s">
        <v>527</v>
      </c>
      <c r="W5" s="1730" t="s">
        <v>80</v>
      </c>
      <c r="X5" s="1723" t="s">
        <v>624</v>
      </c>
      <c r="Y5" s="1730" t="s">
        <v>527</v>
      </c>
      <c r="Z5" s="1730" t="s">
        <v>80</v>
      </c>
      <c r="AA5" s="1723" t="s">
        <v>624</v>
      </c>
      <c r="AB5" s="2678"/>
      <c r="AC5" s="1730" t="s">
        <v>527</v>
      </c>
      <c r="AD5" s="1730" t="s">
        <v>80</v>
      </c>
      <c r="AE5" s="1723" t="s">
        <v>624</v>
      </c>
      <c r="AF5" s="1730" t="s">
        <v>527</v>
      </c>
      <c r="AG5" s="1730" t="s">
        <v>80</v>
      </c>
      <c r="AH5" s="1723" t="s">
        <v>624</v>
      </c>
      <c r="AI5" s="1730" t="s">
        <v>527</v>
      </c>
      <c r="AJ5" s="1730" t="s">
        <v>80</v>
      </c>
      <c r="AK5" s="1723" t="s">
        <v>624</v>
      </c>
      <c r="AL5" s="1730" t="s">
        <v>527</v>
      </c>
      <c r="AM5" s="1730" t="s">
        <v>80</v>
      </c>
      <c r="AN5" s="1723" t="s">
        <v>624</v>
      </c>
    </row>
    <row r="6" spans="1:40" s="17" customFormat="1" ht="24.75" customHeight="1" x14ac:dyDescent="0.2">
      <c r="A6" s="1730"/>
      <c r="B6" s="1730"/>
      <c r="C6" s="1730">
        <v>1</v>
      </c>
      <c r="D6" s="1730">
        <v>2</v>
      </c>
      <c r="E6" s="1723">
        <v>3</v>
      </c>
      <c r="F6" s="1730">
        <v>4</v>
      </c>
      <c r="G6" s="1730">
        <v>5</v>
      </c>
      <c r="H6" s="1723">
        <v>6</v>
      </c>
      <c r="I6" s="1730">
        <v>7</v>
      </c>
      <c r="J6" s="1730">
        <v>8</v>
      </c>
      <c r="K6" s="1723">
        <v>9</v>
      </c>
      <c r="L6" s="1730">
        <v>11</v>
      </c>
      <c r="M6" s="1730">
        <v>12</v>
      </c>
      <c r="N6" s="1723">
        <v>13</v>
      </c>
      <c r="O6" s="1730"/>
      <c r="P6" s="1730">
        <v>15</v>
      </c>
      <c r="Q6" s="1730">
        <v>16</v>
      </c>
      <c r="R6" s="1723">
        <v>17</v>
      </c>
      <c r="S6" s="1730">
        <v>18</v>
      </c>
      <c r="T6" s="1730">
        <v>19</v>
      </c>
      <c r="U6" s="1723">
        <v>20</v>
      </c>
      <c r="V6" s="1730">
        <v>21</v>
      </c>
      <c r="W6" s="1730">
        <v>22</v>
      </c>
      <c r="X6" s="1723">
        <v>23</v>
      </c>
      <c r="Y6" s="1730">
        <v>24</v>
      </c>
      <c r="Z6" s="1730">
        <v>25</v>
      </c>
      <c r="AA6" s="1723">
        <v>26</v>
      </c>
      <c r="AB6" s="1730"/>
      <c r="AC6" s="1730">
        <v>27</v>
      </c>
      <c r="AD6" s="1730">
        <v>28</v>
      </c>
      <c r="AE6" s="1723">
        <v>29</v>
      </c>
      <c r="AF6" s="1730">
        <v>30</v>
      </c>
      <c r="AG6" s="1730">
        <v>31</v>
      </c>
      <c r="AH6" s="1723">
        <v>32</v>
      </c>
      <c r="AI6" s="1730">
        <v>33</v>
      </c>
      <c r="AJ6" s="1730">
        <v>34</v>
      </c>
      <c r="AK6" s="1723">
        <v>35</v>
      </c>
      <c r="AL6" s="1730">
        <v>36</v>
      </c>
      <c r="AM6" s="1730">
        <v>37</v>
      </c>
      <c r="AN6" s="1723">
        <v>38</v>
      </c>
    </row>
    <row r="7" spans="1:40" s="245" customFormat="1" ht="12" customHeight="1" x14ac:dyDescent="0.2">
      <c r="A7" s="990" t="s">
        <v>81</v>
      </c>
      <c r="B7" s="990"/>
      <c r="C7" s="14">
        <v>0.16083333333333336</v>
      </c>
      <c r="D7" s="14">
        <v>0.2116666666666667</v>
      </c>
      <c r="E7" s="25">
        <v>0.13750000000000001</v>
      </c>
      <c r="F7" s="14">
        <v>0.33083333333333337</v>
      </c>
      <c r="G7" s="14">
        <v>0.33</v>
      </c>
      <c r="H7" s="25">
        <v>0.33916666666666667</v>
      </c>
      <c r="I7" s="14">
        <v>0.55583333333333329</v>
      </c>
      <c r="J7" s="14">
        <v>0.45</v>
      </c>
      <c r="K7" s="25">
        <v>0.6166666666666667</v>
      </c>
      <c r="L7" s="14">
        <v>0.89</v>
      </c>
      <c r="M7" s="14">
        <v>0.69666666666666666</v>
      </c>
      <c r="N7" s="25">
        <v>0.76916666666666655</v>
      </c>
      <c r="O7" s="990" t="s">
        <v>81</v>
      </c>
      <c r="P7" s="14">
        <v>0.19583333333333333</v>
      </c>
      <c r="Q7" s="14">
        <v>0.46083333333333337</v>
      </c>
      <c r="R7" s="25">
        <v>0.27500000000000002</v>
      </c>
      <c r="S7" s="14">
        <v>0.25</v>
      </c>
      <c r="T7" s="14">
        <v>0.5575</v>
      </c>
      <c r="U7" s="25">
        <v>0.41833333333333328</v>
      </c>
      <c r="V7" s="14">
        <v>0.40416666666666673</v>
      </c>
      <c r="W7" s="14">
        <v>0.60250000000000015</v>
      </c>
      <c r="X7" s="25">
        <v>0.52750000000000019</v>
      </c>
      <c r="Y7" s="14">
        <v>0.79083333333333339</v>
      </c>
      <c r="Z7" s="14">
        <v>0.78749999999999998</v>
      </c>
      <c r="AA7" s="25">
        <v>0.70083333333333331</v>
      </c>
      <c r="AB7" s="990" t="s">
        <v>81</v>
      </c>
      <c r="AC7" s="14">
        <v>0.64916666666666656</v>
      </c>
      <c r="AD7" s="14">
        <v>0.12583333333333338</v>
      </c>
      <c r="AE7" s="25">
        <v>0.17166666666666666</v>
      </c>
      <c r="AF7" s="14">
        <v>0.80083333333333329</v>
      </c>
      <c r="AG7" s="14">
        <v>0.2383333333333334</v>
      </c>
      <c r="AH7" s="25">
        <v>0.30416666666666675</v>
      </c>
      <c r="AI7" s="14">
        <v>0.65083333333333337</v>
      </c>
      <c r="AJ7" s="14">
        <v>0.34916666666666668</v>
      </c>
      <c r="AK7" s="25">
        <v>0.44</v>
      </c>
      <c r="AL7" s="14">
        <v>0.81333333333333346</v>
      </c>
      <c r="AM7" s="14">
        <v>0.51416666666666677</v>
      </c>
      <c r="AN7" s="25">
        <v>0.57583333333333331</v>
      </c>
    </row>
    <row r="8" spans="1:40" s="245" customFormat="1" ht="12" customHeight="1" x14ac:dyDescent="0.2">
      <c r="A8" s="290" t="s">
        <v>189</v>
      </c>
      <c r="B8" s="290"/>
      <c r="C8" s="300">
        <v>0.16791666666666663</v>
      </c>
      <c r="D8" s="300">
        <v>0.24756944444444443</v>
      </c>
      <c r="E8" s="281">
        <v>0.43798611111111113</v>
      </c>
      <c r="F8" s="300">
        <v>0.33444444444444449</v>
      </c>
      <c r="G8" s="300">
        <v>0.39881944444444439</v>
      </c>
      <c r="H8" s="281">
        <v>0.64472222222222209</v>
      </c>
      <c r="I8" s="300">
        <v>0.50624999999999998</v>
      </c>
      <c r="J8" s="300">
        <v>0.66923611111111114</v>
      </c>
      <c r="K8" s="281">
        <v>0.94277777777777783</v>
      </c>
      <c r="L8" s="300">
        <v>0.73374999999999979</v>
      </c>
      <c r="M8" s="300">
        <v>0.93069444444444438</v>
      </c>
      <c r="N8" s="281">
        <v>1.0635416666666668</v>
      </c>
      <c r="O8" s="290" t="s">
        <v>189</v>
      </c>
      <c r="P8" s="300">
        <v>0.14000000000000004</v>
      </c>
      <c r="Q8" s="300">
        <v>0.29643229166666668</v>
      </c>
      <c r="R8" s="281">
        <v>0.40145833333333342</v>
      </c>
      <c r="S8" s="300">
        <v>0.19358333333333333</v>
      </c>
      <c r="T8" s="300">
        <v>0.41849999999999993</v>
      </c>
      <c r="U8" s="281">
        <v>0.53516666666666668</v>
      </c>
      <c r="V8" s="300">
        <v>0.28266666666666668</v>
      </c>
      <c r="W8" s="300">
        <v>0.55945833333333328</v>
      </c>
      <c r="X8" s="281">
        <v>0.64966666666666673</v>
      </c>
      <c r="Y8" s="300">
        <v>0.5678333333333333</v>
      </c>
      <c r="Z8" s="300">
        <v>0.83166666666666655</v>
      </c>
      <c r="AA8" s="281">
        <v>0.87583333333333313</v>
      </c>
      <c r="AB8" s="290" t="s">
        <v>189</v>
      </c>
      <c r="AC8" s="300">
        <v>0.75583333333333336</v>
      </c>
      <c r="AD8" s="300">
        <v>0.28083333333333332</v>
      </c>
      <c r="AE8" s="281">
        <v>0.31277777777777777</v>
      </c>
      <c r="AF8" s="300">
        <v>1.0994444444444444</v>
      </c>
      <c r="AG8" s="300">
        <v>0.41625000000000001</v>
      </c>
      <c r="AH8" s="281">
        <v>0.53763888888888889</v>
      </c>
      <c r="AI8" s="300">
        <v>1.1913888888888888</v>
      </c>
      <c r="AJ8" s="300">
        <v>0.5097222222222223</v>
      </c>
      <c r="AK8" s="281">
        <v>0.62097222222222215</v>
      </c>
      <c r="AL8" s="300">
        <v>0.79916666666666647</v>
      </c>
      <c r="AM8" s="300">
        <v>0.54180555555555554</v>
      </c>
      <c r="AN8" s="281">
        <v>0.79249999999999998</v>
      </c>
    </row>
    <row r="9" spans="1:40" s="245" customFormat="1" ht="12" customHeight="1" x14ac:dyDescent="0.2">
      <c r="A9" s="990" t="s">
        <v>696</v>
      </c>
      <c r="B9" s="990"/>
      <c r="C9" s="14">
        <v>0.16916666666666666</v>
      </c>
      <c r="D9" s="14">
        <v>0.33805555555555555</v>
      </c>
      <c r="E9" s="25">
        <v>0.63222222222222213</v>
      </c>
      <c r="F9" s="14">
        <v>0.36666666666666664</v>
      </c>
      <c r="G9" s="14">
        <v>0.63055555555555565</v>
      </c>
      <c r="H9" s="25">
        <v>0.89583333333333337</v>
      </c>
      <c r="I9" s="14">
        <v>0.62444444444444447</v>
      </c>
      <c r="J9" s="14">
        <v>0.93444444444444441</v>
      </c>
      <c r="K9" s="25">
        <v>1.141388888888889</v>
      </c>
      <c r="L9" s="14">
        <v>0.8783333333333333</v>
      </c>
      <c r="M9" s="14">
        <v>1.2255555555555555</v>
      </c>
      <c r="N9" s="25">
        <v>1.3674999999999999</v>
      </c>
      <c r="O9" s="990" t="s">
        <v>696</v>
      </c>
      <c r="P9" s="14">
        <v>0.10250000000000002</v>
      </c>
      <c r="Q9" s="14">
        <v>0.31416666666666665</v>
      </c>
      <c r="R9" s="25">
        <v>0.57166666666666655</v>
      </c>
      <c r="S9" s="14">
        <v>0.21500000000000005</v>
      </c>
      <c r="T9" s="14">
        <v>0.50624999999999998</v>
      </c>
      <c r="U9" s="25">
        <v>0.72000000000000008</v>
      </c>
      <c r="V9" s="14">
        <v>0.34833333333333338</v>
      </c>
      <c r="W9" s="14">
        <v>0.65749999999999997</v>
      </c>
      <c r="X9" s="25">
        <v>0.81</v>
      </c>
      <c r="Y9" s="14">
        <v>0.89416666666666655</v>
      </c>
      <c r="Z9" s="14">
        <v>0.95233333333333337</v>
      </c>
      <c r="AA9" s="25">
        <v>0.99500000000000011</v>
      </c>
      <c r="AB9" s="990" t="s">
        <v>696</v>
      </c>
      <c r="AC9" s="14">
        <v>0.55875000000000019</v>
      </c>
      <c r="AD9" s="14">
        <v>0.42166666666666669</v>
      </c>
      <c r="AE9" s="25">
        <v>0.5</v>
      </c>
      <c r="AF9" s="14">
        <v>1.0566666666666666</v>
      </c>
      <c r="AG9" s="14">
        <v>0.65499999999999992</v>
      </c>
      <c r="AH9" s="25">
        <v>0.75</v>
      </c>
      <c r="AI9" s="14">
        <v>1.4295833333333332</v>
      </c>
      <c r="AJ9" s="14">
        <v>0.99749999999999972</v>
      </c>
      <c r="AK9" s="25">
        <v>0.9312499999999998</v>
      </c>
      <c r="AL9" s="14">
        <v>1.1666666666666667</v>
      </c>
      <c r="AM9" s="14">
        <v>0.94083333333333341</v>
      </c>
      <c r="AN9" s="25">
        <v>1.25</v>
      </c>
    </row>
    <row r="10" spans="1:40" s="245" customFormat="1" ht="12" customHeight="1" x14ac:dyDescent="0.2">
      <c r="A10" s="290" t="s">
        <v>804</v>
      </c>
      <c r="B10" s="290"/>
      <c r="C10" s="300">
        <v>0.16958333333333339</v>
      </c>
      <c r="D10" s="300">
        <v>0.21965277777777778</v>
      </c>
      <c r="E10" s="281">
        <v>3.6111111111111114E-3</v>
      </c>
      <c r="F10" s="300">
        <v>0.19888888888888887</v>
      </c>
      <c r="G10" s="300">
        <v>0.28486111111111112</v>
      </c>
      <c r="H10" s="281">
        <v>5.0833333333333341E-2</v>
      </c>
      <c r="I10" s="300">
        <v>0.35916666666666669</v>
      </c>
      <c r="J10" s="300">
        <v>0.44350694444444455</v>
      </c>
      <c r="K10" s="281">
        <v>0.12611111111111115</v>
      </c>
      <c r="L10" s="300">
        <v>0.59020833333333322</v>
      </c>
      <c r="M10" s="300">
        <v>0.70586805555555554</v>
      </c>
      <c r="N10" s="281">
        <v>0.26034722222222223</v>
      </c>
      <c r="O10" s="290" t="s">
        <v>804</v>
      </c>
      <c r="P10" s="300">
        <v>9.2082500000000012E-2</v>
      </c>
      <c r="Q10" s="300">
        <v>0.24228124999999998</v>
      </c>
      <c r="R10" s="281">
        <v>0.18372943333333333</v>
      </c>
      <c r="S10" s="300">
        <v>0.18142521929166663</v>
      </c>
      <c r="T10" s="300">
        <v>0.38397137278333332</v>
      </c>
      <c r="U10" s="281">
        <v>0.29373464912499997</v>
      </c>
      <c r="V10" s="300">
        <v>0.29680622806666668</v>
      </c>
      <c r="W10" s="300">
        <v>0.43682707018333344</v>
      </c>
      <c r="X10" s="281">
        <v>0.38601997368333335</v>
      </c>
      <c r="Y10" s="300">
        <v>0.80951328947222212</v>
      </c>
      <c r="Z10" s="300">
        <v>0.69534501314999997</v>
      </c>
      <c r="AA10" s="281">
        <v>0.51850818421666667</v>
      </c>
      <c r="AB10" s="290" t="s">
        <v>804</v>
      </c>
      <c r="AC10" s="300">
        <v>0.55041666666666667</v>
      </c>
      <c r="AD10" s="300">
        <v>0.39874999999999999</v>
      </c>
      <c r="AE10" s="281">
        <v>0.5</v>
      </c>
      <c r="AF10" s="300">
        <v>1.4790416666666666</v>
      </c>
      <c r="AG10" s="300">
        <v>0.55916666666666681</v>
      </c>
      <c r="AH10" s="281">
        <v>0.75</v>
      </c>
      <c r="AI10" s="300">
        <v>1.4741041666666668</v>
      </c>
      <c r="AJ10" s="300">
        <v>0.68750000000000011</v>
      </c>
      <c r="AK10" s="281">
        <v>0.62416666666666665</v>
      </c>
      <c r="AL10" s="300">
        <v>1.2992333333333332</v>
      </c>
      <c r="AM10" s="300">
        <v>0.85916666666666675</v>
      </c>
      <c r="AN10" s="281">
        <v>1.25</v>
      </c>
    </row>
    <row r="11" spans="1:40" s="153" customFormat="1" ht="12" customHeight="1" x14ac:dyDescent="0.2">
      <c r="A11" s="320" t="s">
        <v>978</v>
      </c>
      <c r="B11" s="320"/>
      <c r="C11" s="25">
        <v>6.9166666666666696E-2</v>
      </c>
      <c r="D11" s="25">
        <v>0.21207052083333333</v>
      </c>
      <c r="E11" s="25">
        <v>5.3333333333333337E-2</v>
      </c>
      <c r="F11" s="25">
        <v>4.8898611111111108E-2</v>
      </c>
      <c r="G11" s="25">
        <v>0.24257020833333334</v>
      </c>
      <c r="H11" s="25">
        <v>5.9166666666666666E-2</v>
      </c>
      <c r="I11" s="25">
        <v>0.10368437500000001</v>
      </c>
      <c r="J11" s="25">
        <v>0.331078125</v>
      </c>
      <c r="K11" s="25">
        <v>9.8393750000000002E-2</v>
      </c>
      <c r="L11" s="25">
        <v>0.28775562500000001</v>
      </c>
      <c r="M11" s="25">
        <v>0.54730156250000006</v>
      </c>
      <c r="N11" s="25">
        <v>0.19117562500000004</v>
      </c>
      <c r="O11" s="320" t="s">
        <v>978</v>
      </c>
      <c r="P11" s="25">
        <v>0.23060208333333335</v>
      </c>
      <c r="Q11" s="25">
        <v>0.28789062500000001</v>
      </c>
      <c r="R11" s="25">
        <v>0.19963549999999999</v>
      </c>
      <c r="S11" s="25">
        <v>0.2548333333333333</v>
      </c>
      <c r="T11" s="25">
        <v>0.41539350876666664</v>
      </c>
      <c r="U11" s="25">
        <v>0.2763631944444444</v>
      </c>
      <c r="V11" s="25">
        <v>0.39922916666666658</v>
      </c>
      <c r="W11" s="25">
        <v>0.48461499999999996</v>
      </c>
      <c r="X11" s="25">
        <v>0.38448833333333332</v>
      </c>
      <c r="Y11" s="25">
        <v>0.6540076388888888</v>
      </c>
      <c r="Z11" s="25">
        <v>0.80578854166666669</v>
      </c>
      <c r="AA11" s="25">
        <v>0.50327416666666669</v>
      </c>
      <c r="AB11" s="320" t="s">
        <v>978</v>
      </c>
      <c r="AC11" s="25">
        <v>0.90791666666666659</v>
      </c>
      <c r="AD11" s="25">
        <v>0.38708333333333339</v>
      </c>
      <c r="AE11" s="25">
        <v>0.45583333333333326</v>
      </c>
      <c r="AF11" s="25">
        <v>1.1558333333333335</v>
      </c>
      <c r="AG11" s="25">
        <v>0.53583333333333349</v>
      </c>
      <c r="AH11" s="25">
        <v>0.66000000000000014</v>
      </c>
      <c r="AI11" s="25">
        <v>1.1683333333333334</v>
      </c>
      <c r="AJ11" s="25">
        <v>0.61583333333333323</v>
      </c>
      <c r="AK11" s="25">
        <v>0.76750000000000007</v>
      </c>
      <c r="AL11" s="25">
        <v>1.1204166666666668</v>
      </c>
      <c r="AM11" s="25">
        <v>0.79604166666666665</v>
      </c>
      <c r="AN11" s="25">
        <v>1.1550000000000002</v>
      </c>
    </row>
    <row r="12" spans="1:40" s="236" customFormat="1" ht="12" customHeight="1" x14ac:dyDescent="0.2">
      <c r="A12" s="1402" t="s">
        <v>1029</v>
      </c>
      <c r="B12" s="1700"/>
      <c r="C12" s="418">
        <v>6.0833333333333323E-2</v>
      </c>
      <c r="D12" s="418">
        <v>0.2014565555</v>
      </c>
      <c r="E12" s="418">
        <v>0</v>
      </c>
      <c r="F12" s="418">
        <v>3.8953055555555553E-2</v>
      </c>
      <c r="G12" s="418">
        <v>0.25167252783333338</v>
      </c>
      <c r="H12" s="418">
        <v>1.7500000000000002E-2</v>
      </c>
      <c r="I12" s="418">
        <v>8.435333333333335E-2</v>
      </c>
      <c r="J12" s="418">
        <v>0.36996055550000001</v>
      </c>
      <c r="K12" s="418">
        <v>1.0833333333333334E-2</v>
      </c>
      <c r="L12" s="418">
        <v>0.25765302783333327</v>
      </c>
      <c r="M12" s="418">
        <v>0.57783030549999992</v>
      </c>
      <c r="N12" s="418">
        <v>5.1990729166666673E-2</v>
      </c>
      <c r="O12" s="1402" t="s">
        <v>1029</v>
      </c>
      <c r="P12" s="418">
        <v>0.417658549951267</v>
      </c>
      <c r="Q12" s="418">
        <v>0.42778127485021789</v>
      </c>
      <c r="R12" s="418">
        <v>0.25705915530303031</v>
      </c>
      <c r="S12" s="418">
        <v>0.39406351697994985</v>
      </c>
      <c r="T12" s="418">
        <v>0.5138648752314815</v>
      </c>
      <c r="U12" s="418">
        <v>0.27559262629540598</v>
      </c>
      <c r="V12" s="418">
        <v>0.71116524939227155</v>
      </c>
      <c r="W12" s="418">
        <v>0.68667745396825397</v>
      </c>
      <c r="X12" s="418">
        <v>0.4250588182539683</v>
      </c>
      <c r="Y12" s="418">
        <v>0.81893196351991071</v>
      </c>
      <c r="Z12" s="418">
        <v>1.0508996562908497</v>
      </c>
      <c r="AA12" s="418">
        <v>0.52704765201465198</v>
      </c>
      <c r="AB12" s="1402" t="s">
        <v>1029</v>
      </c>
      <c r="AC12" s="418">
        <v>1.0156928895833335</v>
      </c>
      <c r="AD12" s="418">
        <v>0.41749176666666665</v>
      </c>
      <c r="AE12" s="418">
        <v>0.46336752083333338</v>
      </c>
      <c r="AF12" s="418">
        <v>1.1542176916666664</v>
      </c>
      <c r="AG12" s="418">
        <v>0.57261966666666686</v>
      </c>
      <c r="AH12" s="418">
        <v>0.58483106666666662</v>
      </c>
      <c r="AI12" s="418">
        <v>0.76716723611111093</v>
      </c>
      <c r="AJ12" s="418">
        <v>0.67324468055555553</v>
      </c>
      <c r="AK12" s="418">
        <v>0.98999999999999988</v>
      </c>
      <c r="AL12" s="418">
        <v>0.94661391388888882</v>
      </c>
      <c r="AM12" s="418">
        <v>0.87057560555555547</v>
      </c>
      <c r="AN12" s="418">
        <v>1.0833333333333333</v>
      </c>
    </row>
    <row r="13" spans="1:40" s="236" customFormat="1" ht="12" customHeight="1" x14ac:dyDescent="0.2">
      <c r="A13" s="1401" t="s">
        <v>1150</v>
      </c>
      <c r="B13" s="1699"/>
      <c r="C13" s="501">
        <v>0.13249999999999998</v>
      </c>
      <c r="D13" s="501">
        <v>0.18583333333333332</v>
      </c>
      <c r="E13" s="501">
        <v>0</v>
      </c>
      <c r="F13" s="501">
        <v>0.19583333333333333</v>
      </c>
      <c r="G13" s="501">
        <v>0.24333333333333332</v>
      </c>
      <c r="H13" s="501">
        <v>0</v>
      </c>
      <c r="I13" s="501">
        <v>0.34833333333333333</v>
      </c>
      <c r="J13" s="501">
        <v>0.36833333333333335</v>
      </c>
      <c r="K13" s="501">
        <v>0</v>
      </c>
      <c r="L13" s="501">
        <v>0.53416666666666668</v>
      </c>
      <c r="M13" s="501">
        <v>0.53833333333333333</v>
      </c>
      <c r="N13" s="501">
        <v>0</v>
      </c>
      <c r="O13" s="1401" t="s">
        <v>1150</v>
      </c>
      <c r="P13" s="501">
        <v>0.43916666666666665</v>
      </c>
      <c r="Q13" s="501">
        <v>0.4283333333333334</v>
      </c>
      <c r="R13" s="501">
        <v>0.29750000000000004</v>
      </c>
      <c r="S13" s="501">
        <v>0.47166666666666668</v>
      </c>
      <c r="T13" s="501">
        <v>0.50166666666666659</v>
      </c>
      <c r="U13" s="501">
        <v>0.3066666666666667</v>
      </c>
      <c r="V13" s="501">
        <v>1.1066666666666667</v>
      </c>
      <c r="W13" s="501">
        <v>0.70416666666666661</v>
      </c>
      <c r="X13" s="501">
        <v>0.48750000000000004</v>
      </c>
      <c r="Y13" s="501">
        <v>1.1833333333333333</v>
      </c>
      <c r="Z13" s="501">
        <v>0.90083333333333326</v>
      </c>
      <c r="AA13" s="501">
        <v>0.51250000000000007</v>
      </c>
      <c r="AB13" s="1401" t="s">
        <v>1150</v>
      </c>
      <c r="AC13" s="501">
        <v>1.0274999999999999</v>
      </c>
      <c r="AD13" s="501">
        <v>0.43500000000000005</v>
      </c>
      <c r="AE13" s="501">
        <v>0.51666666666666672</v>
      </c>
      <c r="AF13" s="501">
        <v>1.1783333333333332</v>
      </c>
      <c r="AG13" s="501">
        <v>0.65</v>
      </c>
      <c r="AH13" s="501">
        <v>0.63166666666666671</v>
      </c>
      <c r="AI13" s="501">
        <v>0.83250000000000002</v>
      </c>
      <c r="AJ13" s="501">
        <v>0.71166666666666656</v>
      </c>
      <c r="AK13" s="501">
        <v>0.9</v>
      </c>
      <c r="AL13" s="501">
        <v>0.9558333333333332</v>
      </c>
      <c r="AM13" s="501">
        <v>0.89583333333333337</v>
      </c>
      <c r="AN13" s="501">
        <v>1.0983333333333334</v>
      </c>
    </row>
    <row r="14" spans="1:40" s="236" customFormat="1" ht="12" customHeight="1" x14ac:dyDescent="0.2">
      <c r="A14" s="1402" t="s">
        <v>1174</v>
      </c>
      <c r="B14" s="1700"/>
      <c r="C14" s="418">
        <v>0.46749999999999997</v>
      </c>
      <c r="D14" s="418">
        <v>3.1666666666666676E-2</v>
      </c>
      <c r="E14" s="418">
        <v>0</v>
      </c>
      <c r="F14" s="418">
        <v>0.56916666666666671</v>
      </c>
      <c r="G14" s="418">
        <v>0.2525</v>
      </c>
      <c r="H14" s="418">
        <v>0</v>
      </c>
      <c r="I14" s="418">
        <v>0.86916666666666675</v>
      </c>
      <c r="J14" s="418">
        <v>0.21083333333333334</v>
      </c>
      <c r="K14" s="418">
        <v>0</v>
      </c>
      <c r="L14" s="418">
        <v>1.095</v>
      </c>
      <c r="M14" s="418">
        <v>0.36166666666666664</v>
      </c>
      <c r="N14" s="418">
        <v>0</v>
      </c>
      <c r="O14" s="1402" t="s">
        <v>1174</v>
      </c>
      <c r="P14" s="418">
        <v>0.48500000000000004</v>
      </c>
      <c r="Q14" s="418">
        <v>0.30583333333333335</v>
      </c>
      <c r="R14" s="418">
        <v>0.32083333333333336</v>
      </c>
      <c r="S14" s="418">
        <v>0.85083333333333344</v>
      </c>
      <c r="T14" s="418">
        <v>0.37666666666666665</v>
      </c>
      <c r="U14" s="418">
        <v>0.25500000000000006</v>
      </c>
      <c r="V14" s="418">
        <v>0.90499999999999992</v>
      </c>
      <c r="W14" s="418">
        <v>0.50666666666666671</v>
      </c>
      <c r="X14" s="418">
        <v>0.38333333333333336</v>
      </c>
      <c r="Y14" s="418">
        <v>1.0366666666666666</v>
      </c>
      <c r="Z14" s="418">
        <v>0.62916666666666676</v>
      </c>
      <c r="AA14" s="418">
        <v>0.46416666666666662</v>
      </c>
      <c r="AB14" s="1402" t="s">
        <v>1174</v>
      </c>
      <c r="AC14" s="418">
        <v>1.01</v>
      </c>
      <c r="AD14" s="418">
        <v>0.44416666666666665</v>
      </c>
      <c r="AE14" s="418">
        <v>0.49166666666666664</v>
      </c>
      <c r="AF14" s="418">
        <v>1.1283333333333334</v>
      </c>
      <c r="AG14" s="418">
        <v>0.58333333333333337</v>
      </c>
      <c r="AH14" s="418">
        <v>0.47666666666666657</v>
      </c>
      <c r="AI14" s="418">
        <v>0.86666666666666659</v>
      </c>
      <c r="AJ14" s="418">
        <v>0.67249999999999999</v>
      </c>
      <c r="AK14" s="418">
        <v>0.72916666666666663</v>
      </c>
      <c r="AL14" s="418">
        <v>1.0458333333333332</v>
      </c>
      <c r="AM14" s="418">
        <v>0.80000000000000016</v>
      </c>
      <c r="AN14" s="418">
        <v>0.9291666666666667</v>
      </c>
    </row>
    <row r="15" spans="1:40" s="236" customFormat="1" ht="12" customHeight="1" x14ac:dyDescent="0.2">
      <c r="A15" s="1401" t="s">
        <v>1296</v>
      </c>
      <c r="B15" s="1699"/>
      <c r="C15" s="501">
        <v>1.0958333333333334</v>
      </c>
      <c r="D15" s="501">
        <v>0.17250000000000001</v>
      </c>
      <c r="E15" s="501">
        <v>0</v>
      </c>
      <c r="F15" s="501">
        <v>1.2591666666666668</v>
      </c>
      <c r="G15" s="501">
        <v>0.23833333333333337</v>
      </c>
      <c r="H15" s="501">
        <v>0</v>
      </c>
      <c r="I15" s="501">
        <v>1.7641666666666664</v>
      </c>
      <c r="J15" s="501">
        <v>0.40750000000000003</v>
      </c>
      <c r="K15" s="501">
        <v>0</v>
      </c>
      <c r="L15" s="501">
        <v>1.9741666666666668</v>
      </c>
      <c r="M15" s="501">
        <v>0.56000000000000005</v>
      </c>
      <c r="N15" s="501">
        <v>0</v>
      </c>
      <c r="O15" s="1401" t="s">
        <v>1296</v>
      </c>
      <c r="P15" s="501">
        <v>0.77499999999999991</v>
      </c>
      <c r="Q15" s="501">
        <v>0.30499999999999999</v>
      </c>
      <c r="R15" s="501">
        <v>0.16999999999999996</v>
      </c>
      <c r="S15" s="501">
        <v>1.6150000000000002</v>
      </c>
      <c r="T15" s="501">
        <v>0.38666666666666671</v>
      </c>
      <c r="U15" s="501">
        <v>0.17833333333333332</v>
      </c>
      <c r="V15" s="501">
        <v>0.98749999999999993</v>
      </c>
      <c r="W15" s="501">
        <v>0.5083333333333333</v>
      </c>
      <c r="X15" s="501">
        <v>0.24583333333333335</v>
      </c>
      <c r="Y15" s="501">
        <v>1.0891666666666666</v>
      </c>
      <c r="Z15" s="501">
        <v>0.57500000000000007</v>
      </c>
      <c r="AA15" s="501">
        <v>0.31749999999999995</v>
      </c>
      <c r="AB15" s="1401" t="s">
        <v>1296</v>
      </c>
      <c r="AC15" s="501">
        <v>0.87833333333333341</v>
      </c>
      <c r="AD15" s="501">
        <v>0.53999999999999992</v>
      </c>
      <c r="AE15" s="501">
        <v>0.52083333333333337</v>
      </c>
      <c r="AF15" s="501">
        <v>0.79499999999999993</v>
      </c>
      <c r="AG15" s="501">
        <v>0.58083333333333342</v>
      </c>
      <c r="AH15" s="501">
        <v>0.38999999999999996</v>
      </c>
      <c r="AI15" s="501">
        <v>0.85083333333333322</v>
      </c>
      <c r="AJ15" s="501">
        <v>0.66500000000000004</v>
      </c>
      <c r="AK15" s="501">
        <v>0.57250000000000012</v>
      </c>
      <c r="AL15" s="501">
        <v>1.1216666666666666</v>
      </c>
      <c r="AM15" s="501">
        <v>0.76499999999999979</v>
      </c>
      <c r="AN15" s="501">
        <v>0.72166666666666668</v>
      </c>
    </row>
    <row r="16" spans="1:40" s="236" customFormat="1" ht="12" customHeight="1" x14ac:dyDescent="0.2">
      <c r="A16" s="1402" t="s">
        <v>1404</v>
      </c>
      <c r="B16" s="1700"/>
      <c r="C16" s="418">
        <v>1.7266666666666666</v>
      </c>
      <c r="D16" s="418">
        <v>0.41750000000000004</v>
      </c>
      <c r="E16" s="418">
        <v>0</v>
      </c>
      <c r="F16" s="418">
        <v>1.8933333333333333</v>
      </c>
      <c r="G16" s="418">
        <v>0.51500000000000001</v>
      </c>
      <c r="H16" s="418">
        <v>0</v>
      </c>
      <c r="I16" s="418">
        <v>2.4766666666666661</v>
      </c>
      <c r="J16" s="418">
        <v>0.75499999999999989</v>
      </c>
      <c r="K16" s="418">
        <v>0</v>
      </c>
      <c r="L16" s="418">
        <v>2.6724999999999999</v>
      </c>
      <c r="M16" s="418">
        <v>0.89916666666666678</v>
      </c>
      <c r="N16" s="418">
        <v>0</v>
      </c>
      <c r="O16" s="1402" t="s">
        <v>1404</v>
      </c>
      <c r="P16" s="418">
        <v>1.3325</v>
      </c>
      <c r="Q16" s="418">
        <v>0.35666666666666669</v>
      </c>
      <c r="R16" s="418">
        <v>0.16249999999999998</v>
      </c>
      <c r="S16" s="418">
        <v>1.6400000000000003</v>
      </c>
      <c r="T16" s="418">
        <v>0.52083333333333337</v>
      </c>
      <c r="U16" s="418">
        <v>0.16749999999999998</v>
      </c>
      <c r="V16" s="418">
        <v>1.5008333333333335</v>
      </c>
      <c r="W16" s="418">
        <v>0.56500000000000006</v>
      </c>
      <c r="X16" s="418">
        <v>0.23916666666666667</v>
      </c>
      <c r="Y16" s="418">
        <v>1.6074999999999999</v>
      </c>
      <c r="Z16" s="418">
        <v>0.69249999999999989</v>
      </c>
      <c r="AA16" s="418">
        <v>0.3116666666666667</v>
      </c>
      <c r="AB16" s="1402" t="s">
        <v>1404</v>
      </c>
      <c r="AC16" s="418">
        <v>1.0008333333333332</v>
      </c>
      <c r="AD16" s="418">
        <v>0.60750000000000004</v>
      </c>
      <c r="AE16" s="418">
        <v>0.54666666666666675</v>
      </c>
      <c r="AF16" s="418">
        <v>0.80083333333333329</v>
      </c>
      <c r="AG16" s="418">
        <v>0.63749999999999996</v>
      </c>
      <c r="AH16" s="418">
        <v>0.36333333333333334</v>
      </c>
      <c r="AI16" s="418">
        <v>1.0150000000000001</v>
      </c>
      <c r="AJ16" s="418">
        <v>0.76250000000000007</v>
      </c>
      <c r="AK16" s="418">
        <v>0.53000000000000014</v>
      </c>
      <c r="AL16" s="418">
        <v>1.280833333333333</v>
      </c>
      <c r="AM16" s="418">
        <v>0.83916666666666673</v>
      </c>
      <c r="AN16" s="418">
        <v>0.70000000000000007</v>
      </c>
    </row>
    <row r="17" spans="1:40" s="236" customFormat="1" ht="12" customHeight="1" x14ac:dyDescent="0.2">
      <c r="A17" s="491" t="s">
        <v>1484</v>
      </c>
      <c r="B17" s="491"/>
      <c r="C17" s="501">
        <v>1.2866666666666668</v>
      </c>
      <c r="D17" s="501">
        <v>0.34249999999999997</v>
      </c>
      <c r="E17" s="501">
        <v>0</v>
      </c>
      <c r="F17" s="501">
        <v>1.1883333333333332</v>
      </c>
      <c r="G17" s="501">
        <v>0.41916666666666669</v>
      </c>
      <c r="H17" s="501">
        <v>0</v>
      </c>
      <c r="I17" s="501">
        <v>1.4416666666666667</v>
      </c>
      <c r="J17" s="501">
        <v>0.5675</v>
      </c>
      <c r="K17" s="501">
        <v>0</v>
      </c>
      <c r="L17" s="501">
        <v>1.47</v>
      </c>
      <c r="M17" s="501">
        <v>0.66416666666666668</v>
      </c>
      <c r="N17" s="501">
        <v>0</v>
      </c>
      <c r="O17" s="491" t="s">
        <v>1484</v>
      </c>
      <c r="P17" s="501">
        <v>1.0566666666666669</v>
      </c>
      <c r="Q17" s="501">
        <v>0.40333333333333338</v>
      </c>
      <c r="R17" s="501">
        <v>0.22333333333333336</v>
      </c>
      <c r="S17" s="501">
        <v>1.1266666666666667</v>
      </c>
      <c r="T17" s="501">
        <v>0.55666666666666675</v>
      </c>
      <c r="U17" s="501">
        <v>0.19249999999999998</v>
      </c>
      <c r="V17" s="501">
        <v>1.1741666666666668</v>
      </c>
      <c r="W17" s="501">
        <v>0.53500000000000003</v>
      </c>
      <c r="X17" s="501">
        <v>0.255</v>
      </c>
      <c r="Y17" s="501">
        <v>1.3241666666666667</v>
      </c>
      <c r="Z17" s="501">
        <v>0.6991666666666666</v>
      </c>
      <c r="AA17" s="501">
        <v>0.32</v>
      </c>
      <c r="AB17" s="491" t="s">
        <v>1484</v>
      </c>
      <c r="AC17" s="501">
        <v>0.82250000000000012</v>
      </c>
      <c r="AD17" s="501">
        <v>0.4941666666666667</v>
      </c>
      <c r="AE17" s="501">
        <v>0.52750000000000008</v>
      </c>
      <c r="AF17" s="501">
        <v>0.93583333333333352</v>
      </c>
      <c r="AG17" s="501">
        <v>0.6349999999999999</v>
      </c>
      <c r="AH17" s="501">
        <v>0.37916666666666671</v>
      </c>
      <c r="AI17" s="501">
        <v>0.9291666666666667</v>
      </c>
      <c r="AJ17" s="501">
        <v>0.80750000000000011</v>
      </c>
      <c r="AK17" s="501">
        <v>0.56666666666666676</v>
      </c>
      <c r="AL17" s="501">
        <v>1.1291666666666667</v>
      </c>
      <c r="AM17" s="501">
        <v>0.81083333333333341</v>
      </c>
      <c r="AN17" s="501">
        <v>0.75</v>
      </c>
    </row>
    <row r="18" spans="1:40" s="236" customFormat="1" ht="12" customHeight="1" x14ac:dyDescent="0.2">
      <c r="A18" s="527" t="s">
        <v>1536</v>
      </c>
      <c r="B18" s="527"/>
      <c r="C18" s="418">
        <v>0.13500000000000004</v>
      </c>
      <c r="D18" s="418">
        <v>5.2500000000000012E-2</v>
      </c>
      <c r="E18" s="418">
        <v>0</v>
      </c>
      <c r="F18" s="418">
        <v>0.18333333333333332</v>
      </c>
      <c r="G18" s="418">
        <v>7.4166666666666672E-2</v>
      </c>
      <c r="H18" s="418">
        <v>0</v>
      </c>
      <c r="I18" s="418">
        <v>0.18833333333333332</v>
      </c>
      <c r="J18" s="418">
        <v>0.10000000000000002</v>
      </c>
      <c r="K18" s="418">
        <v>0</v>
      </c>
      <c r="L18" s="418">
        <v>0.22583333333333333</v>
      </c>
      <c r="M18" s="418">
        <v>0.15250000000000002</v>
      </c>
      <c r="N18" s="418">
        <v>0</v>
      </c>
      <c r="O18" s="527" t="s">
        <v>1536</v>
      </c>
      <c r="P18" s="418">
        <v>0.27916666666666662</v>
      </c>
      <c r="Q18" s="418">
        <v>0.12083333333333336</v>
      </c>
      <c r="R18" s="418">
        <v>8.2500000000000018E-2</v>
      </c>
      <c r="S18" s="418">
        <v>0.46666666666666673</v>
      </c>
      <c r="T18" s="418">
        <v>0.27333333333333337</v>
      </c>
      <c r="U18" s="418">
        <v>0.14833333333333332</v>
      </c>
      <c r="V18" s="418">
        <v>0.46333333333333321</v>
      </c>
      <c r="W18" s="418">
        <v>0.31583333333333335</v>
      </c>
      <c r="X18" s="418">
        <v>0.22916666666666663</v>
      </c>
      <c r="Y18" s="418">
        <v>0.69916666666666671</v>
      </c>
      <c r="Z18" s="418">
        <v>0.49</v>
      </c>
      <c r="AA18" s="418">
        <v>0.32</v>
      </c>
      <c r="AB18" s="527" t="s">
        <v>1536</v>
      </c>
      <c r="AC18" s="418">
        <v>0.48583333333333334</v>
      </c>
      <c r="AD18" s="418">
        <v>0.38250000000000001</v>
      </c>
      <c r="AE18" s="418">
        <v>0.54333333333333333</v>
      </c>
      <c r="AF18" s="418">
        <v>0.75083333333333346</v>
      </c>
      <c r="AG18" s="418">
        <v>0.46249999999999997</v>
      </c>
      <c r="AH18" s="418">
        <v>0.46249999999999997</v>
      </c>
      <c r="AI18" s="418">
        <v>0.57999999999999996</v>
      </c>
      <c r="AJ18" s="418">
        <v>0.71999999999999986</v>
      </c>
      <c r="AK18" s="418">
        <v>0.69499999999999995</v>
      </c>
      <c r="AL18" s="418">
        <v>0.6758333333333334</v>
      </c>
      <c r="AM18" s="418">
        <v>0.69750000000000012</v>
      </c>
      <c r="AN18" s="418">
        <v>0.92499999999999993</v>
      </c>
    </row>
    <row r="19" spans="1:40" s="236" customFormat="1" ht="12" customHeight="1" x14ac:dyDescent="0.2">
      <c r="A19" s="491" t="s">
        <v>1817</v>
      </c>
      <c r="B19" s="491"/>
      <c r="C19" s="501">
        <v>0.22071041666666669</v>
      </c>
      <c r="D19" s="501">
        <v>0.26952083333333332</v>
      </c>
      <c r="E19" s="501">
        <v>0</v>
      </c>
      <c r="F19" s="501">
        <v>0.38450166666666669</v>
      </c>
      <c r="G19" s="501">
        <v>0.39549374999999998</v>
      </c>
      <c r="H19" s="501">
        <v>0</v>
      </c>
      <c r="I19" s="501">
        <v>0.63203125000000004</v>
      </c>
      <c r="J19" s="501">
        <v>0.67972916666666672</v>
      </c>
      <c r="K19" s="501">
        <v>0</v>
      </c>
      <c r="L19" s="501">
        <v>0.89655624999999983</v>
      </c>
      <c r="M19" s="501">
        <v>0.42794375000000001</v>
      </c>
      <c r="N19" s="501">
        <v>0</v>
      </c>
      <c r="O19" s="491" t="s">
        <v>1817</v>
      </c>
      <c r="P19" s="501">
        <v>0.31532734749455343</v>
      </c>
      <c r="Q19" s="501">
        <v>0.20017037878787883</v>
      </c>
      <c r="R19" s="501">
        <v>3.4999999999999996E-2</v>
      </c>
      <c r="S19" s="501">
        <v>0.53182662782364398</v>
      </c>
      <c r="T19" s="501">
        <v>0.31519323717948705</v>
      </c>
      <c r="U19" s="501">
        <v>0.11994444444444451</v>
      </c>
      <c r="V19" s="501">
        <v>0.57585807870370376</v>
      </c>
      <c r="W19" s="501">
        <v>0.43620674464424458</v>
      </c>
      <c r="X19" s="501">
        <v>0.18409722222222216</v>
      </c>
      <c r="Y19" s="501">
        <v>0.79956950202815014</v>
      </c>
      <c r="Z19" s="501">
        <v>0.44954711182336188</v>
      </c>
      <c r="AA19" s="501">
        <v>0.255</v>
      </c>
      <c r="AB19" s="491" t="s">
        <v>1817</v>
      </c>
      <c r="AC19" s="501">
        <v>0.42428055555555561</v>
      </c>
      <c r="AD19" s="501">
        <v>0.38284583333333333</v>
      </c>
      <c r="AE19" s="501">
        <v>0.53999999999999992</v>
      </c>
      <c r="AF19" s="501">
        <v>0.53083791666666669</v>
      </c>
      <c r="AG19" s="501">
        <v>0.47707499999999992</v>
      </c>
      <c r="AH19" s="501">
        <v>0.5</v>
      </c>
      <c r="AI19" s="501">
        <v>0.51206458333333338</v>
      </c>
      <c r="AJ19" s="501">
        <v>0.64387083333333328</v>
      </c>
      <c r="AK19" s="501">
        <v>0.75</v>
      </c>
      <c r="AL19" s="501">
        <v>0.57374375000000011</v>
      </c>
      <c r="AM19" s="501">
        <v>0.71373333333333344</v>
      </c>
      <c r="AN19" s="501">
        <v>1</v>
      </c>
    </row>
    <row r="20" spans="1:40" s="236" customFormat="1" ht="12" customHeight="1" x14ac:dyDescent="0.2">
      <c r="A20" s="559" t="s">
        <v>2066</v>
      </c>
      <c r="B20" s="559"/>
      <c r="C20" s="560">
        <v>2.81717254901961</v>
      </c>
      <c r="D20" s="560">
        <v>1.8811113636363599</v>
      </c>
      <c r="E20" s="560">
        <v>0</v>
      </c>
      <c r="F20" s="560">
        <v>3.15982352941176</v>
      </c>
      <c r="G20" s="560">
        <v>2.5495000000000001</v>
      </c>
      <c r="H20" s="560">
        <v>0</v>
      </c>
      <c r="I20" s="560">
        <v>3.9451955555555598</v>
      </c>
      <c r="J20" s="560">
        <v>3.0833078947368402</v>
      </c>
      <c r="K20" s="560">
        <v>0</v>
      </c>
      <c r="L20" s="560">
        <v>4.2595311111111096</v>
      </c>
      <c r="M20" s="560">
        <v>2.4236363636363598</v>
      </c>
      <c r="N20" s="560">
        <v>0</v>
      </c>
      <c r="O20" s="559" t="s">
        <v>2066</v>
      </c>
      <c r="P20" s="560">
        <v>2.0001386243386201</v>
      </c>
      <c r="Q20" s="560">
        <v>1.5466645669291299</v>
      </c>
      <c r="R20" s="560">
        <v>0.75281818181818205</v>
      </c>
      <c r="S20" s="560">
        <v>2.5074815789473699</v>
      </c>
      <c r="T20" s="560">
        <v>1.68806285714286</v>
      </c>
      <c r="U20" s="560">
        <v>0.79199350649350597</v>
      </c>
      <c r="V20" s="560">
        <v>2.7318236180904498</v>
      </c>
      <c r="W20" s="560">
        <v>1.9837176056338</v>
      </c>
      <c r="X20" s="560">
        <v>0.86837777777777803</v>
      </c>
      <c r="Y20" s="560">
        <v>2.8690920212765998</v>
      </c>
      <c r="Z20" s="560">
        <v>1.9108186915887899</v>
      </c>
      <c r="AA20" s="560">
        <v>0.91788947368421003</v>
      </c>
      <c r="AB20" s="559" t="s">
        <v>2066</v>
      </c>
      <c r="AC20" s="560">
        <v>1.4918097560975601</v>
      </c>
      <c r="AD20" s="560">
        <v>1.0596965517241399</v>
      </c>
      <c r="AE20" s="560">
        <v>0.58391304347826101</v>
      </c>
      <c r="AF20" s="560">
        <v>1.78563157894737</v>
      </c>
      <c r="AG20" s="560">
        <v>1.1464483870967701</v>
      </c>
      <c r="AH20" s="560">
        <v>0.54166666666666696</v>
      </c>
      <c r="AI20" s="560">
        <v>1.8759152173913001</v>
      </c>
      <c r="AJ20" s="560">
        <v>0.72546500000000003</v>
      </c>
      <c r="AK20" s="560">
        <v>0.77083333333333304</v>
      </c>
      <c r="AL20" s="560">
        <v>1.76011956521739</v>
      </c>
      <c r="AM20" s="560">
        <v>0.70540000000000003</v>
      </c>
      <c r="AN20" s="560">
        <v>1</v>
      </c>
    </row>
    <row r="21" spans="1:40" s="236" customFormat="1" ht="12" customHeight="1" x14ac:dyDescent="0.2">
      <c r="A21" s="513" t="s">
        <v>2206</v>
      </c>
      <c r="B21" s="513"/>
      <c r="C21" s="1291">
        <v>3.7974085106383</v>
      </c>
      <c r="D21" s="1291">
        <v>3.7165897435897399</v>
      </c>
      <c r="E21" s="1291">
        <v>3.53978235294118</v>
      </c>
      <c r="F21" s="1291">
        <v>3.94682244897959</v>
      </c>
      <c r="G21" s="1291">
        <v>3.84361632653061</v>
      </c>
      <c r="H21" s="1291">
        <v>3.6967823529411801</v>
      </c>
      <c r="I21" s="1291">
        <v>4.0155583333333302</v>
      </c>
      <c r="J21" s="1291">
        <v>3.9551219512195099</v>
      </c>
      <c r="K21" s="1291">
        <v>3.62389411764706</v>
      </c>
      <c r="L21" s="1291">
        <v>3.9332937499999998</v>
      </c>
      <c r="M21" s="1291">
        <v>3.9066609756097601</v>
      </c>
      <c r="N21" s="1291">
        <v>3.1575470588235302</v>
      </c>
      <c r="O21" s="513" t="s">
        <v>2206</v>
      </c>
      <c r="P21" s="1291">
        <v>3.2881108695652199</v>
      </c>
      <c r="Q21" s="1291">
        <v>2.9787982142857099</v>
      </c>
      <c r="R21" s="1291">
        <v>2.2351999999999999</v>
      </c>
      <c r="S21" s="1291">
        <v>3.5833588888888901</v>
      </c>
      <c r="T21" s="1291">
        <v>3.12049787234043</v>
      </c>
      <c r="U21" s="1291">
        <v>2.33375825242718</v>
      </c>
      <c r="V21" s="1291">
        <v>3.70896354166667</v>
      </c>
      <c r="W21" s="1291">
        <v>3.0183157894736801</v>
      </c>
      <c r="X21" s="1291">
        <v>2.3466427184466001</v>
      </c>
      <c r="Y21" s="1291">
        <v>3.9650945454545501</v>
      </c>
      <c r="Z21" s="1291">
        <v>3.2050150442477898</v>
      </c>
      <c r="AA21" s="1291">
        <v>2.2416427184466001</v>
      </c>
      <c r="AB21" s="513" t="s">
        <v>2206</v>
      </c>
      <c r="AC21" s="1291">
        <v>2.4610363636363601</v>
      </c>
      <c r="AD21" s="1291">
        <v>1.6897392857142901</v>
      </c>
      <c r="AE21" s="1291">
        <v>0.25</v>
      </c>
      <c r="AF21" s="1291">
        <v>2.7432280000000002</v>
      </c>
      <c r="AG21" s="1291">
        <v>1.91643928571429</v>
      </c>
      <c r="AH21" s="1291">
        <v>0.83589166666666703</v>
      </c>
      <c r="AI21" s="1291">
        <v>3.208682</v>
      </c>
      <c r="AJ21" s="1291">
        <v>1.3811111111111101</v>
      </c>
      <c r="AK21" s="1291">
        <v>0.991475</v>
      </c>
      <c r="AL21" s="1291">
        <v>3.4845280000000001</v>
      </c>
      <c r="AM21" s="1291">
        <v>1.7021052631578899</v>
      </c>
      <c r="AN21" s="1291">
        <v>1</v>
      </c>
    </row>
    <row r="22" spans="1:40" s="236" customFormat="1" ht="12" customHeight="1" x14ac:dyDescent="0.2">
      <c r="A22" s="559" t="s">
        <v>2479</v>
      </c>
      <c r="B22" s="559"/>
      <c r="C22" s="1422">
        <v>4.6889823529411796</v>
      </c>
      <c r="D22" s="1422">
        <v>4.6610647058823496</v>
      </c>
      <c r="E22" s="1422">
        <v>3.4026617647058801</v>
      </c>
      <c r="F22" s="1422">
        <v>4.3006456521739098</v>
      </c>
      <c r="G22" s="1422">
        <v>4.3884586956521696</v>
      </c>
      <c r="H22" s="1422">
        <v>3.2737088235294101</v>
      </c>
      <c r="I22" s="1422">
        <v>4.2263108695652196</v>
      </c>
      <c r="J22" s="1422">
        <v>4.28617826086957</v>
      </c>
      <c r="K22" s="1422">
        <v>3.15313529411765</v>
      </c>
      <c r="L22" s="1422">
        <v>3.9599652173913</v>
      </c>
      <c r="M22" s="1422">
        <v>4.0984934782608704</v>
      </c>
      <c r="N22" s="1422">
        <v>3.46591764705882</v>
      </c>
      <c r="O22" s="559" t="s">
        <v>2479</v>
      </c>
      <c r="P22" s="1422">
        <v>4.1319513888888899</v>
      </c>
      <c r="Q22" s="1422">
        <v>4.1595259615384599</v>
      </c>
      <c r="R22" s="1422">
        <v>2.4767383561643799</v>
      </c>
      <c r="S22" s="1422">
        <v>4.5173430232558101</v>
      </c>
      <c r="T22" s="1422">
        <v>4.34054459459459</v>
      </c>
      <c r="U22" s="1422">
        <v>3.14790161290323</v>
      </c>
      <c r="V22" s="1422">
        <v>4.4053385869565203</v>
      </c>
      <c r="W22" s="1422">
        <v>4.5919911764705903</v>
      </c>
      <c r="X22" s="1422">
        <v>3.1491637096774201</v>
      </c>
      <c r="Y22" s="1422">
        <v>4.7592541436464098</v>
      </c>
      <c r="Z22" s="1422">
        <v>4.7499682432432397</v>
      </c>
      <c r="AA22" s="1422">
        <v>3.0814185483870999</v>
      </c>
      <c r="AB22" s="559" t="s">
        <v>2479</v>
      </c>
      <c r="AC22" s="1422">
        <v>2.68625111111111</v>
      </c>
      <c r="AD22" s="1422">
        <v>2.0951515151515201</v>
      </c>
      <c r="AE22" s="1422">
        <v>0.25</v>
      </c>
      <c r="AF22" s="1422">
        <v>3.1389595744680898</v>
      </c>
      <c r="AG22" s="1422">
        <v>1.9054038461538501</v>
      </c>
      <c r="AH22" s="1422">
        <v>1.04126428571429</v>
      </c>
      <c r="AI22" s="1422">
        <v>2.9709191489361699</v>
      </c>
      <c r="AJ22" s="1422">
        <v>1.59526315789474</v>
      </c>
      <c r="AK22" s="1422">
        <v>1.01005384615385</v>
      </c>
      <c r="AL22" s="1422">
        <v>3.2416456521739101</v>
      </c>
      <c r="AM22" s="1422">
        <v>1.7290000000000001</v>
      </c>
      <c r="AN22" s="1422">
        <v>1</v>
      </c>
    </row>
    <row r="23" spans="1:40" s="236" customFormat="1" ht="12" customHeight="1" x14ac:dyDescent="0.2">
      <c r="A23" s="513"/>
      <c r="B23" s="513"/>
      <c r="C23" s="1291"/>
      <c r="D23" s="1291"/>
      <c r="E23" s="1291"/>
      <c r="F23" s="1291"/>
      <c r="G23" s="1291"/>
      <c r="H23" s="1291"/>
      <c r="I23" s="1291"/>
      <c r="J23" s="1291"/>
      <c r="K23" s="1291"/>
      <c r="L23" s="1291"/>
      <c r="M23" s="1291"/>
      <c r="N23" s="1291"/>
      <c r="O23" s="513"/>
      <c r="P23" s="1291"/>
      <c r="Q23" s="1291"/>
      <c r="R23" s="1291"/>
      <c r="S23" s="1291"/>
      <c r="T23" s="1291"/>
      <c r="U23" s="1291"/>
      <c r="V23" s="1291"/>
      <c r="W23" s="1291"/>
      <c r="X23" s="1291"/>
      <c r="Y23" s="1291"/>
      <c r="Z23" s="1291"/>
      <c r="AA23" s="1291"/>
      <c r="AB23" s="513"/>
      <c r="AC23" s="1291"/>
      <c r="AD23" s="1291"/>
      <c r="AE23" s="1291"/>
      <c r="AF23" s="1291"/>
      <c r="AG23" s="1291"/>
      <c r="AH23" s="1291"/>
      <c r="AI23" s="1291"/>
      <c r="AJ23" s="1291"/>
      <c r="AK23" s="1291"/>
      <c r="AL23" s="1291"/>
      <c r="AM23" s="1291"/>
      <c r="AN23" s="1291"/>
    </row>
    <row r="24" spans="1:40" s="236" customFormat="1" ht="12" customHeight="1" x14ac:dyDescent="0.2">
      <c r="A24" s="513"/>
      <c r="B24" s="513"/>
      <c r="C24" s="1291"/>
      <c r="D24" s="1291"/>
      <c r="E24" s="1291"/>
      <c r="F24" s="1291"/>
      <c r="G24" s="1291"/>
      <c r="H24" s="1291"/>
      <c r="I24" s="1291"/>
      <c r="J24" s="1291"/>
      <c r="K24" s="1291"/>
      <c r="L24" s="1291"/>
      <c r="M24" s="1291"/>
      <c r="N24" s="1291"/>
      <c r="O24" s="513"/>
      <c r="P24" s="1291"/>
      <c r="Q24" s="1291"/>
      <c r="R24" s="1291"/>
      <c r="S24" s="1291"/>
      <c r="T24" s="1291"/>
      <c r="U24" s="1291"/>
      <c r="V24" s="1291"/>
      <c r="W24" s="1291"/>
      <c r="X24" s="1291"/>
      <c r="Y24" s="1291"/>
      <c r="Z24" s="1291"/>
      <c r="AA24" s="1291"/>
      <c r="AB24" s="513"/>
      <c r="AC24" s="1291"/>
      <c r="AD24" s="1291"/>
      <c r="AE24" s="1291"/>
      <c r="AF24" s="1291"/>
      <c r="AG24" s="1291"/>
      <c r="AH24" s="1291"/>
      <c r="AI24" s="1291"/>
      <c r="AJ24" s="1291"/>
      <c r="AK24" s="1291"/>
      <c r="AL24" s="1291"/>
      <c r="AM24" s="1291"/>
      <c r="AN24" s="1291"/>
    </row>
    <row r="25" spans="1:40" s="236" customFormat="1" ht="12" customHeight="1" x14ac:dyDescent="0.2">
      <c r="A25" s="513"/>
      <c r="B25" s="527" t="s">
        <v>552</v>
      </c>
      <c r="C25" s="1291"/>
      <c r="D25" s="1291"/>
      <c r="E25" s="1291"/>
      <c r="F25" s="1291"/>
      <c r="G25" s="1291"/>
      <c r="H25" s="1291"/>
      <c r="I25" s="1291"/>
      <c r="J25" s="1291"/>
      <c r="K25" s="1291"/>
      <c r="L25" s="1291"/>
      <c r="M25" s="1291"/>
      <c r="N25" s="1291"/>
      <c r="O25" s="513"/>
      <c r="P25" s="1291"/>
      <c r="Q25" s="1291"/>
      <c r="R25" s="1291"/>
      <c r="S25" s="1291"/>
      <c r="T25" s="1291"/>
      <c r="U25" s="1291"/>
      <c r="V25" s="1291"/>
      <c r="W25" s="1291"/>
      <c r="X25" s="1291"/>
      <c r="Y25" s="1291"/>
      <c r="Z25" s="1291"/>
      <c r="AA25" s="1291"/>
      <c r="AB25" s="513"/>
      <c r="AC25" s="1291"/>
      <c r="AD25" s="1291"/>
      <c r="AE25" s="1291"/>
      <c r="AF25" s="1291"/>
      <c r="AG25" s="1291"/>
      <c r="AH25" s="1291"/>
      <c r="AI25" s="1291"/>
      <c r="AJ25" s="1291"/>
      <c r="AK25" s="1291"/>
      <c r="AL25" s="1291"/>
      <c r="AM25" s="1291"/>
      <c r="AN25" s="1291"/>
    </row>
    <row r="26" spans="1:40" s="236" customFormat="1" ht="12" customHeight="1" x14ac:dyDescent="0.2">
      <c r="A26" s="513"/>
      <c r="B26" s="491" t="s">
        <v>553</v>
      </c>
      <c r="C26" s="1291"/>
      <c r="D26" s="1291"/>
      <c r="E26" s="1291"/>
      <c r="F26" s="1291"/>
      <c r="G26" s="1291"/>
      <c r="H26" s="1291"/>
      <c r="I26" s="1291"/>
      <c r="J26" s="1291"/>
      <c r="K26" s="1291"/>
      <c r="L26" s="1291"/>
      <c r="M26" s="1291"/>
      <c r="N26" s="1291"/>
      <c r="O26" s="513"/>
      <c r="P26" s="1291"/>
      <c r="Q26" s="1291"/>
      <c r="R26" s="1291"/>
      <c r="S26" s="1291"/>
      <c r="T26" s="1291"/>
      <c r="U26" s="1291"/>
      <c r="V26" s="1291"/>
      <c r="W26" s="1291"/>
      <c r="X26" s="1291"/>
      <c r="Y26" s="1291"/>
      <c r="Z26" s="1291"/>
      <c r="AA26" s="1291"/>
      <c r="AB26" s="513"/>
      <c r="AC26" s="1291"/>
      <c r="AD26" s="1291"/>
      <c r="AE26" s="1291"/>
      <c r="AF26" s="1291"/>
      <c r="AG26" s="1291"/>
      <c r="AH26" s="1291"/>
      <c r="AI26" s="1291"/>
      <c r="AJ26" s="1291"/>
      <c r="AK26" s="1291"/>
      <c r="AL26" s="1291"/>
      <c r="AM26" s="1291"/>
      <c r="AN26" s="1291"/>
    </row>
    <row r="27" spans="1:40" s="236" customFormat="1" ht="12" customHeight="1" x14ac:dyDescent="0.2">
      <c r="A27" s="513"/>
      <c r="B27" s="527" t="s">
        <v>547</v>
      </c>
      <c r="C27" s="1291"/>
      <c r="D27" s="1291"/>
      <c r="E27" s="1291"/>
      <c r="F27" s="1291"/>
      <c r="G27" s="1291"/>
      <c r="H27" s="1291"/>
      <c r="I27" s="1291"/>
      <c r="J27" s="1291"/>
      <c r="K27" s="1291"/>
      <c r="L27" s="1291"/>
      <c r="M27" s="1291"/>
      <c r="N27" s="1291"/>
      <c r="O27" s="513"/>
      <c r="P27" s="1291"/>
      <c r="Q27" s="1291"/>
      <c r="R27" s="1291"/>
      <c r="S27" s="1291"/>
      <c r="T27" s="1291"/>
      <c r="U27" s="1291"/>
      <c r="V27" s="1291"/>
      <c r="W27" s="1291"/>
      <c r="X27" s="1291"/>
      <c r="Y27" s="1291"/>
      <c r="Z27" s="1291"/>
      <c r="AA27" s="1291"/>
      <c r="AB27" s="513"/>
      <c r="AC27" s="1291"/>
      <c r="AD27" s="1291"/>
      <c r="AE27" s="1291"/>
      <c r="AF27" s="1291"/>
      <c r="AG27" s="1291"/>
      <c r="AH27" s="1291"/>
      <c r="AI27" s="1291"/>
      <c r="AJ27" s="1291"/>
      <c r="AK27" s="1291"/>
      <c r="AL27" s="1291"/>
      <c r="AM27" s="1291"/>
      <c r="AN27" s="1291"/>
    </row>
    <row r="28" spans="1:40" s="236" customFormat="1" ht="12" customHeight="1" x14ac:dyDescent="0.2">
      <c r="A28" s="513"/>
      <c r="B28" s="491" t="s">
        <v>554</v>
      </c>
      <c r="C28" s="1291"/>
      <c r="D28" s="1291"/>
      <c r="E28" s="1291"/>
      <c r="F28" s="1291"/>
      <c r="G28" s="1291"/>
      <c r="H28" s="1291"/>
      <c r="I28" s="1291"/>
      <c r="J28" s="1291"/>
      <c r="K28" s="1291"/>
      <c r="L28" s="1291"/>
      <c r="M28" s="1291"/>
      <c r="N28" s="1291"/>
      <c r="O28" s="513"/>
      <c r="P28" s="1291"/>
      <c r="Q28" s="1291"/>
      <c r="R28" s="1291"/>
      <c r="S28" s="1291"/>
      <c r="T28" s="1291"/>
      <c r="U28" s="1291"/>
      <c r="V28" s="1291"/>
      <c r="W28" s="1291"/>
      <c r="X28" s="1291"/>
      <c r="Y28" s="1291"/>
      <c r="Z28" s="1291"/>
      <c r="AA28" s="1291"/>
      <c r="AB28" s="513"/>
      <c r="AC28" s="1291"/>
      <c r="AD28" s="1291"/>
      <c r="AE28" s="1291"/>
      <c r="AF28" s="1291"/>
      <c r="AG28" s="1291"/>
      <c r="AH28" s="1291"/>
      <c r="AI28" s="1291"/>
      <c r="AJ28" s="1291"/>
      <c r="AK28" s="1291"/>
      <c r="AL28" s="1291"/>
      <c r="AM28" s="1291"/>
      <c r="AN28" s="1291"/>
    </row>
    <row r="29" spans="1:40" s="236" customFormat="1" ht="12" customHeight="1" x14ac:dyDescent="0.2">
      <c r="A29" s="513"/>
      <c r="B29" s="527" t="s">
        <v>555</v>
      </c>
      <c r="C29" s="1291"/>
      <c r="D29" s="1291"/>
      <c r="E29" s="1291"/>
      <c r="F29" s="1291"/>
      <c r="G29" s="1291"/>
      <c r="H29" s="1291"/>
      <c r="I29" s="1291"/>
      <c r="J29" s="1291"/>
      <c r="K29" s="1291"/>
      <c r="L29" s="1291"/>
      <c r="M29" s="1291"/>
      <c r="N29" s="1291"/>
      <c r="O29" s="513"/>
      <c r="P29" s="1291"/>
      <c r="Q29" s="1291"/>
      <c r="R29" s="1291"/>
      <c r="S29" s="1291"/>
      <c r="T29" s="1291"/>
      <c r="U29" s="1291"/>
      <c r="V29" s="1291"/>
      <c r="W29" s="1291"/>
      <c r="X29" s="1291"/>
      <c r="Y29" s="1291"/>
      <c r="Z29" s="1291"/>
      <c r="AA29" s="1291"/>
      <c r="AB29" s="513"/>
      <c r="AC29" s="1291"/>
      <c r="AD29" s="1291"/>
      <c r="AE29" s="1291"/>
      <c r="AF29" s="1291"/>
      <c r="AG29" s="1291"/>
      <c r="AH29" s="1291"/>
      <c r="AI29" s="1291"/>
      <c r="AJ29" s="1291"/>
      <c r="AK29" s="1291"/>
      <c r="AL29" s="1291"/>
      <c r="AM29" s="1291"/>
      <c r="AN29" s="1291"/>
    </row>
    <row r="30" spans="1:40" s="236" customFormat="1" ht="12" customHeight="1" x14ac:dyDescent="0.2">
      <c r="A30" s="513"/>
      <c r="B30" s="491" t="s">
        <v>548</v>
      </c>
      <c r="C30" s="1291"/>
      <c r="D30" s="1291"/>
      <c r="E30" s="1291"/>
      <c r="F30" s="1291"/>
      <c r="G30" s="1291"/>
      <c r="H30" s="1291"/>
      <c r="I30" s="1291"/>
      <c r="J30" s="1291"/>
      <c r="K30" s="1291"/>
      <c r="L30" s="1291"/>
      <c r="M30" s="1291"/>
      <c r="N30" s="1291"/>
      <c r="O30" s="513"/>
      <c r="P30" s="1291"/>
      <c r="Q30" s="1291"/>
      <c r="R30" s="1291"/>
      <c r="S30" s="1291"/>
      <c r="T30" s="1291"/>
      <c r="U30" s="1291"/>
      <c r="V30" s="1291"/>
      <c r="W30" s="1291"/>
      <c r="X30" s="1291"/>
      <c r="Y30" s="1291"/>
      <c r="Z30" s="1291"/>
      <c r="AA30" s="1291"/>
      <c r="AB30" s="513"/>
      <c r="AC30" s="1291"/>
      <c r="AD30" s="1291"/>
      <c r="AE30" s="1291"/>
      <c r="AF30" s="1291"/>
      <c r="AG30" s="1291"/>
      <c r="AH30" s="1291"/>
      <c r="AI30" s="1291"/>
      <c r="AJ30" s="1291"/>
      <c r="AK30" s="1291"/>
      <c r="AL30" s="1291"/>
      <c r="AM30" s="1291"/>
      <c r="AN30" s="1291"/>
    </row>
    <row r="31" spans="1:40" s="236" customFormat="1" ht="12" customHeight="1" x14ac:dyDescent="0.2">
      <c r="A31" s="513"/>
      <c r="B31" s="527" t="s">
        <v>556</v>
      </c>
      <c r="C31" s="1291"/>
      <c r="D31" s="1291"/>
      <c r="E31" s="1291"/>
      <c r="F31" s="1291"/>
      <c r="G31" s="1291"/>
      <c r="H31" s="1291"/>
      <c r="I31" s="1291"/>
      <c r="J31" s="1291"/>
      <c r="K31" s="1291"/>
      <c r="L31" s="1291"/>
      <c r="M31" s="1291"/>
      <c r="N31" s="1291"/>
      <c r="O31" s="513"/>
      <c r="P31" s="1291"/>
      <c r="Q31" s="1291"/>
      <c r="R31" s="1291"/>
      <c r="S31" s="1291"/>
      <c r="T31" s="1291"/>
      <c r="U31" s="1291"/>
      <c r="V31" s="1291"/>
      <c r="W31" s="1291"/>
      <c r="X31" s="1291"/>
      <c r="Y31" s="1291"/>
      <c r="Z31" s="1291"/>
      <c r="AA31" s="1291"/>
      <c r="AB31" s="513"/>
      <c r="AC31" s="1291"/>
      <c r="AD31" s="1291"/>
      <c r="AE31" s="1291"/>
      <c r="AF31" s="1291"/>
      <c r="AG31" s="1291"/>
      <c r="AH31" s="1291"/>
      <c r="AI31" s="1291"/>
      <c r="AJ31" s="1291"/>
      <c r="AK31" s="1291"/>
      <c r="AL31" s="1291"/>
      <c r="AM31" s="1291"/>
      <c r="AN31" s="1291"/>
    </row>
    <row r="32" spans="1:40" s="236" customFormat="1" ht="12" customHeight="1" x14ac:dyDescent="0.2">
      <c r="A32" s="513"/>
      <c r="B32" s="491" t="s">
        <v>557</v>
      </c>
      <c r="C32" s="1291"/>
      <c r="D32" s="1291"/>
      <c r="E32" s="1291"/>
      <c r="F32" s="1291"/>
      <c r="G32" s="1291"/>
      <c r="H32" s="1291"/>
      <c r="I32" s="1291"/>
      <c r="J32" s="1291"/>
      <c r="K32" s="1291"/>
      <c r="L32" s="1291"/>
      <c r="M32" s="1291"/>
      <c r="N32" s="1291"/>
      <c r="O32" s="513"/>
      <c r="P32" s="1291"/>
      <c r="Q32" s="1291"/>
      <c r="R32" s="1291"/>
      <c r="S32" s="1291"/>
      <c r="T32" s="1291"/>
      <c r="U32" s="1291"/>
      <c r="V32" s="1291"/>
      <c r="W32" s="1291"/>
      <c r="X32" s="1291"/>
      <c r="Y32" s="1291"/>
      <c r="Z32" s="1291"/>
      <c r="AA32" s="1291"/>
      <c r="AB32" s="513"/>
      <c r="AC32" s="1291"/>
      <c r="AD32" s="1291"/>
      <c r="AE32" s="1291"/>
      <c r="AF32" s="1291"/>
      <c r="AG32" s="1291"/>
      <c r="AH32" s="1291"/>
      <c r="AI32" s="1291"/>
      <c r="AJ32" s="1291"/>
      <c r="AK32" s="1291"/>
      <c r="AL32" s="1291"/>
      <c r="AM32" s="1291"/>
      <c r="AN32" s="1291"/>
    </row>
    <row r="33" spans="1:40" s="236" customFormat="1" ht="12" customHeight="1" x14ac:dyDescent="0.2">
      <c r="A33" s="513"/>
      <c r="B33" s="527" t="s">
        <v>549</v>
      </c>
      <c r="C33" s="1291"/>
      <c r="D33" s="1291"/>
      <c r="E33" s="1291"/>
      <c r="F33" s="1291"/>
      <c r="G33" s="1291"/>
      <c r="H33" s="1291"/>
      <c r="I33" s="1291"/>
      <c r="J33" s="1291"/>
      <c r="K33" s="1291"/>
      <c r="L33" s="1291"/>
      <c r="M33" s="1291"/>
      <c r="N33" s="1291"/>
      <c r="O33" s="513"/>
      <c r="P33" s="1291"/>
      <c r="Q33" s="1291"/>
      <c r="R33" s="1291"/>
      <c r="S33" s="1291"/>
      <c r="T33" s="1291"/>
      <c r="U33" s="1291"/>
      <c r="V33" s="1291"/>
      <c r="W33" s="1291"/>
      <c r="X33" s="1291"/>
      <c r="Y33" s="1291"/>
      <c r="Z33" s="1291"/>
      <c r="AA33" s="1291"/>
      <c r="AB33" s="513"/>
      <c r="AC33" s="1291"/>
      <c r="AD33" s="1291"/>
      <c r="AE33" s="1291"/>
      <c r="AF33" s="1291"/>
      <c r="AG33" s="1291"/>
      <c r="AH33" s="1291"/>
      <c r="AI33" s="1291"/>
      <c r="AJ33" s="1291"/>
      <c r="AK33" s="1291"/>
      <c r="AL33" s="1291"/>
      <c r="AM33" s="1291"/>
      <c r="AN33" s="1291"/>
    </row>
    <row r="34" spans="1:40" s="236" customFormat="1" ht="12" customHeight="1" x14ac:dyDescent="0.2">
      <c r="A34" s="513"/>
      <c r="B34" s="491" t="s">
        <v>558</v>
      </c>
      <c r="C34" s="1291"/>
      <c r="D34" s="1291"/>
      <c r="E34" s="1291"/>
      <c r="F34" s="1291"/>
      <c r="G34" s="1291"/>
      <c r="H34" s="1291"/>
      <c r="I34" s="1291"/>
      <c r="J34" s="1291"/>
      <c r="K34" s="1291"/>
      <c r="L34" s="1291"/>
      <c r="M34" s="1291"/>
      <c r="N34" s="1291"/>
      <c r="O34" s="513"/>
      <c r="P34" s="1291"/>
      <c r="Q34" s="1291"/>
      <c r="R34" s="1291"/>
      <c r="S34" s="1291"/>
      <c r="T34" s="1291"/>
      <c r="U34" s="1291"/>
      <c r="V34" s="1291"/>
      <c r="W34" s="1291"/>
      <c r="X34" s="1291"/>
      <c r="Y34" s="1291"/>
      <c r="Z34" s="1291"/>
      <c r="AA34" s="1291"/>
      <c r="AB34" s="513"/>
      <c r="AC34" s="1291"/>
      <c r="AD34" s="1291"/>
      <c r="AE34" s="1291"/>
      <c r="AF34" s="1291"/>
      <c r="AG34" s="1291"/>
      <c r="AH34" s="1291"/>
      <c r="AI34" s="1291"/>
      <c r="AJ34" s="1291"/>
      <c r="AK34" s="1291"/>
      <c r="AL34" s="1291"/>
      <c r="AM34" s="1291"/>
      <c r="AN34" s="1291"/>
    </row>
    <row r="35" spans="1:40" s="236" customFormat="1" ht="12" customHeight="1" x14ac:dyDescent="0.2">
      <c r="A35" s="513"/>
      <c r="B35" s="527" t="s">
        <v>559</v>
      </c>
      <c r="C35" s="1291"/>
      <c r="D35" s="1291"/>
      <c r="E35" s="1291"/>
      <c r="F35" s="1291"/>
      <c r="G35" s="1291"/>
      <c r="H35" s="1291"/>
      <c r="I35" s="1291"/>
      <c r="J35" s="1291"/>
      <c r="K35" s="1291"/>
      <c r="L35" s="1291"/>
      <c r="M35" s="1291"/>
      <c r="N35" s="1291"/>
      <c r="O35" s="513"/>
      <c r="P35" s="1291"/>
      <c r="Q35" s="1291"/>
      <c r="R35" s="1291"/>
      <c r="S35" s="1291"/>
      <c r="T35" s="1291"/>
      <c r="U35" s="1291"/>
      <c r="V35" s="1291"/>
      <c r="W35" s="1291"/>
      <c r="X35" s="1291"/>
      <c r="Y35" s="1291"/>
      <c r="Z35" s="1291"/>
      <c r="AA35" s="1291"/>
      <c r="AB35" s="513"/>
      <c r="AC35" s="1291"/>
      <c r="AD35" s="1291"/>
      <c r="AE35" s="1291"/>
      <c r="AF35" s="1291"/>
      <c r="AG35" s="1291"/>
      <c r="AH35" s="1291"/>
      <c r="AI35" s="1291"/>
      <c r="AJ35" s="1291"/>
      <c r="AK35" s="1291"/>
      <c r="AL35" s="1291"/>
      <c r="AM35" s="1291"/>
      <c r="AN35" s="1291"/>
    </row>
    <row r="36" spans="1:40" s="236" customFormat="1" ht="12" customHeight="1" x14ac:dyDescent="0.2">
      <c r="A36" s="513"/>
      <c r="B36" s="491" t="s">
        <v>550</v>
      </c>
      <c r="C36" s="1291"/>
      <c r="D36" s="1291"/>
      <c r="E36" s="1291"/>
      <c r="F36" s="1291"/>
      <c r="G36" s="1291"/>
      <c r="H36" s="1291"/>
      <c r="I36" s="1291"/>
      <c r="J36" s="1291"/>
      <c r="K36" s="1291"/>
      <c r="L36" s="1291"/>
      <c r="M36" s="1291"/>
      <c r="N36" s="1291"/>
      <c r="O36" s="513"/>
      <c r="P36" s="1291"/>
      <c r="Q36" s="1291"/>
      <c r="R36" s="1291"/>
      <c r="S36" s="1291"/>
      <c r="T36" s="1291"/>
      <c r="U36" s="1291"/>
      <c r="V36" s="1291"/>
      <c r="W36" s="1291"/>
      <c r="X36" s="1291"/>
      <c r="Y36" s="1291"/>
      <c r="Z36" s="1291"/>
      <c r="AA36" s="1291"/>
      <c r="AB36" s="513"/>
      <c r="AC36" s="1291"/>
      <c r="AD36" s="1291"/>
      <c r="AE36" s="1291"/>
      <c r="AF36" s="1291"/>
      <c r="AG36" s="1291"/>
      <c r="AH36" s="1291"/>
      <c r="AI36" s="1291"/>
      <c r="AJ36" s="1291"/>
      <c r="AK36" s="1291"/>
      <c r="AL36" s="1291"/>
      <c r="AM36" s="1291"/>
      <c r="AN36" s="1291"/>
    </row>
    <row r="37" spans="1:40" s="236" customFormat="1" ht="12" customHeight="1" x14ac:dyDescent="0.2">
      <c r="A37" s="513"/>
      <c r="B37" s="527" t="s">
        <v>552</v>
      </c>
      <c r="C37" s="1291"/>
      <c r="D37" s="1291"/>
      <c r="E37" s="1291"/>
      <c r="F37" s="1291"/>
      <c r="G37" s="1291"/>
      <c r="H37" s="1291"/>
      <c r="I37" s="1291"/>
      <c r="J37" s="1291"/>
      <c r="K37" s="1291"/>
      <c r="L37" s="1291"/>
      <c r="M37" s="1291"/>
      <c r="N37" s="1291"/>
      <c r="O37" s="513"/>
      <c r="P37" s="1291"/>
      <c r="Q37" s="1291"/>
      <c r="R37" s="1291"/>
      <c r="S37" s="1291"/>
      <c r="T37" s="1291"/>
      <c r="U37" s="1291"/>
      <c r="V37" s="1291"/>
      <c r="W37" s="1291"/>
      <c r="X37" s="1291"/>
      <c r="Y37" s="1291"/>
      <c r="Z37" s="1291"/>
      <c r="AA37" s="1291"/>
      <c r="AB37" s="513"/>
      <c r="AC37" s="1291"/>
      <c r="AD37" s="1291"/>
      <c r="AE37" s="1291"/>
      <c r="AF37" s="1291"/>
      <c r="AG37" s="1291"/>
      <c r="AH37" s="1291"/>
      <c r="AI37" s="1291"/>
      <c r="AJ37" s="1291"/>
      <c r="AK37" s="1291"/>
      <c r="AL37" s="1291"/>
      <c r="AM37" s="1291"/>
      <c r="AN37" s="1291"/>
    </row>
    <row r="38" spans="1:40" s="236" customFormat="1" ht="12" customHeight="1" x14ac:dyDescent="0.2">
      <c r="A38" s="513"/>
      <c r="B38" s="491" t="s">
        <v>553</v>
      </c>
      <c r="C38" s="1291"/>
      <c r="D38" s="1291"/>
      <c r="E38" s="1291"/>
      <c r="F38" s="1291"/>
      <c r="G38" s="1291"/>
      <c r="H38" s="1291"/>
      <c r="I38" s="1291"/>
      <c r="J38" s="1291"/>
      <c r="K38" s="1291"/>
      <c r="L38" s="1291"/>
      <c r="M38" s="1291"/>
      <c r="N38" s="1291"/>
      <c r="O38" s="513"/>
      <c r="P38" s="1291"/>
      <c r="Q38" s="1291"/>
      <c r="R38" s="1291"/>
      <c r="S38" s="1291"/>
      <c r="T38" s="1291"/>
      <c r="U38" s="1291"/>
      <c r="V38" s="1291"/>
      <c r="W38" s="1291"/>
      <c r="X38" s="1291"/>
      <c r="Y38" s="1291"/>
      <c r="Z38" s="1291"/>
      <c r="AA38" s="1291"/>
      <c r="AB38" s="513"/>
      <c r="AC38" s="1291"/>
      <c r="AD38" s="1291"/>
      <c r="AE38" s="1291"/>
      <c r="AF38" s="1291"/>
      <c r="AG38" s="1291"/>
      <c r="AH38" s="1291"/>
      <c r="AI38" s="1291"/>
      <c r="AJ38" s="1291"/>
      <c r="AK38" s="1291"/>
      <c r="AL38" s="1291"/>
      <c r="AM38" s="1291"/>
      <c r="AN38" s="1291"/>
    </row>
    <row r="39" spans="1:40" s="236" customFormat="1" ht="12" customHeight="1" x14ac:dyDescent="0.2">
      <c r="A39" s="513"/>
      <c r="B39" s="527" t="s">
        <v>547</v>
      </c>
      <c r="C39" s="1291"/>
      <c r="D39" s="1291"/>
      <c r="E39" s="1291"/>
      <c r="F39" s="1291"/>
      <c r="G39" s="1291"/>
      <c r="H39" s="1291"/>
      <c r="I39" s="1291"/>
      <c r="J39" s="1291"/>
      <c r="K39" s="1291"/>
      <c r="L39" s="1291"/>
      <c r="M39" s="1291"/>
      <c r="N39" s="1291"/>
      <c r="O39" s="513"/>
      <c r="P39" s="1291"/>
      <c r="Q39" s="1291"/>
      <c r="R39" s="1291"/>
      <c r="S39" s="1291"/>
      <c r="T39" s="1291"/>
      <c r="U39" s="1291"/>
      <c r="V39" s="1291"/>
      <c r="W39" s="1291"/>
      <c r="X39" s="1291"/>
      <c r="Y39" s="1291"/>
      <c r="Z39" s="1291"/>
      <c r="AA39" s="1291"/>
      <c r="AB39" s="513"/>
      <c r="AC39" s="1291"/>
      <c r="AD39" s="1291"/>
      <c r="AE39" s="1291"/>
      <c r="AF39" s="1291"/>
      <c r="AG39" s="1291"/>
      <c r="AH39" s="1291"/>
      <c r="AI39" s="1291"/>
      <c r="AJ39" s="1291"/>
      <c r="AK39" s="1291"/>
      <c r="AL39" s="1291"/>
      <c r="AM39" s="1291"/>
      <c r="AN39" s="1291"/>
    </row>
    <row r="40" spans="1:40" s="236" customFormat="1" ht="12" customHeight="1" x14ac:dyDescent="0.2">
      <c r="A40" s="513"/>
      <c r="B40" s="491" t="s">
        <v>554</v>
      </c>
      <c r="C40" s="1291"/>
      <c r="D40" s="1291"/>
      <c r="E40" s="1291"/>
      <c r="F40" s="1291"/>
      <c r="G40" s="1291"/>
      <c r="H40" s="1291"/>
      <c r="I40" s="1291"/>
      <c r="J40" s="1291"/>
      <c r="K40" s="1291"/>
      <c r="L40" s="1291"/>
      <c r="M40" s="1291"/>
      <c r="N40" s="1291"/>
      <c r="O40" s="513"/>
      <c r="P40" s="1291"/>
      <c r="Q40" s="1291"/>
      <c r="R40" s="1291"/>
      <c r="S40" s="1291"/>
      <c r="T40" s="1291"/>
      <c r="U40" s="1291"/>
      <c r="V40" s="1291"/>
      <c r="W40" s="1291"/>
      <c r="X40" s="1291"/>
      <c r="Y40" s="1291"/>
      <c r="Z40" s="1291"/>
      <c r="AA40" s="1291"/>
      <c r="AB40" s="513"/>
      <c r="AC40" s="1291"/>
      <c r="AD40" s="1291"/>
      <c r="AE40" s="1291"/>
      <c r="AF40" s="1291"/>
      <c r="AG40" s="1291"/>
      <c r="AH40" s="1291"/>
      <c r="AI40" s="1291"/>
      <c r="AJ40" s="1291"/>
      <c r="AK40" s="1291"/>
      <c r="AL40" s="1291"/>
      <c r="AM40" s="1291"/>
      <c r="AN40" s="1291"/>
    </row>
    <row r="41" spans="1:40" s="236" customFormat="1" ht="12" customHeight="1" x14ac:dyDescent="0.2">
      <c r="A41" s="513"/>
      <c r="B41" s="527" t="s">
        <v>555</v>
      </c>
      <c r="C41" s="1291"/>
      <c r="D41" s="1291"/>
      <c r="E41" s="1291"/>
      <c r="F41" s="1291"/>
      <c r="G41" s="1291"/>
      <c r="H41" s="1291"/>
      <c r="I41" s="1291"/>
      <c r="J41" s="1291"/>
      <c r="K41" s="1291"/>
      <c r="L41" s="1291"/>
      <c r="M41" s="1291"/>
      <c r="N41" s="1291"/>
      <c r="O41" s="513"/>
      <c r="P41" s="1291"/>
      <c r="Q41" s="1291"/>
      <c r="R41" s="1291"/>
      <c r="S41" s="1291"/>
      <c r="T41" s="1291"/>
      <c r="U41" s="1291"/>
      <c r="V41" s="1291"/>
      <c r="W41" s="1291"/>
      <c r="X41" s="1291"/>
      <c r="Y41" s="1291"/>
      <c r="Z41" s="1291"/>
      <c r="AA41" s="1291"/>
      <c r="AB41" s="513"/>
      <c r="AC41" s="1291"/>
      <c r="AD41" s="1291"/>
      <c r="AE41" s="1291"/>
      <c r="AF41" s="1291"/>
      <c r="AG41" s="1291"/>
      <c r="AH41" s="1291"/>
      <c r="AI41" s="1291"/>
      <c r="AJ41" s="1291"/>
      <c r="AK41" s="1291"/>
      <c r="AL41" s="1291"/>
      <c r="AM41" s="1291"/>
      <c r="AN41" s="1291"/>
    </row>
    <row r="42" spans="1:40" s="236" customFormat="1" ht="12" customHeight="1" x14ac:dyDescent="0.2">
      <c r="A42" s="513"/>
      <c r="B42" s="491" t="s">
        <v>548</v>
      </c>
      <c r="C42" s="1291"/>
      <c r="D42" s="1291"/>
      <c r="E42" s="1291"/>
      <c r="F42" s="1291"/>
      <c r="G42" s="1291"/>
      <c r="H42" s="1291"/>
      <c r="I42" s="1291"/>
      <c r="J42" s="1291"/>
      <c r="K42" s="1291"/>
      <c r="L42" s="1291"/>
      <c r="M42" s="1291"/>
      <c r="N42" s="1291"/>
      <c r="O42" s="513"/>
      <c r="P42" s="1291"/>
      <c r="Q42" s="1291"/>
      <c r="R42" s="1291"/>
      <c r="S42" s="1291"/>
      <c r="T42" s="1291"/>
      <c r="U42" s="1291"/>
      <c r="V42" s="1291"/>
      <c r="W42" s="1291"/>
      <c r="X42" s="1291"/>
      <c r="Y42" s="1291"/>
      <c r="Z42" s="1291"/>
      <c r="AA42" s="1291"/>
      <c r="AB42" s="513"/>
      <c r="AC42" s="1291"/>
      <c r="AD42" s="1291"/>
      <c r="AE42" s="1291"/>
      <c r="AF42" s="1291"/>
      <c r="AG42" s="1291"/>
      <c r="AH42" s="1291"/>
      <c r="AI42" s="1291"/>
      <c r="AJ42" s="1291"/>
      <c r="AK42" s="1291"/>
      <c r="AL42" s="1291"/>
      <c r="AM42" s="1291"/>
      <c r="AN42" s="1291"/>
    </row>
    <row r="43" spans="1:40" s="236" customFormat="1" ht="12" customHeight="1" x14ac:dyDescent="0.2">
      <c r="A43" s="513"/>
      <c r="B43" s="527" t="s">
        <v>556</v>
      </c>
      <c r="C43" s="1291"/>
      <c r="D43" s="1291"/>
      <c r="E43" s="1291"/>
      <c r="F43" s="1291"/>
      <c r="G43" s="1291"/>
      <c r="H43" s="1291"/>
      <c r="I43" s="1291"/>
      <c r="J43" s="1291"/>
      <c r="K43" s="1291"/>
      <c r="L43" s="1291"/>
      <c r="M43" s="1291"/>
      <c r="N43" s="1291"/>
      <c r="O43" s="513"/>
      <c r="P43" s="1291"/>
      <c r="Q43" s="1291"/>
      <c r="R43" s="1291"/>
      <c r="S43" s="1291"/>
      <c r="T43" s="1291"/>
      <c r="U43" s="1291"/>
      <c r="V43" s="1291"/>
      <c r="W43" s="1291"/>
      <c r="X43" s="1291"/>
      <c r="Y43" s="1291"/>
      <c r="Z43" s="1291"/>
      <c r="AA43" s="1291"/>
      <c r="AB43" s="513"/>
      <c r="AC43" s="1291"/>
      <c r="AD43" s="1291"/>
      <c r="AE43" s="1291"/>
      <c r="AF43" s="1291"/>
      <c r="AG43" s="1291"/>
      <c r="AH43" s="1291"/>
      <c r="AI43" s="1291"/>
      <c r="AJ43" s="1291"/>
      <c r="AK43" s="1291"/>
      <c r="AL43" s="1291"/>
      <c r="AM43" s="1291"/>
      <c r="AN43" s="1291"/>
    </row>
    <row r="44" spans="1:40" s="236" customFormat="1" ht="12" customHeight="1" x14ac:dyDescent="0.2">
      <c r="A44" s="513"/>
      <c r="B44" s="491" t="s">
        <v>557</v>
      </c>
      <c r="C44" s="1291"/>
      <c r="D44" s="1291"/>
      <c r="E44" s="1291"/>
      <c r="F44" s="1291"/>
      <c r="G44" s="1291"/>
      <c r="H44" s="1291"/>
      <c r="I44" s="1291"/>
      <c r="J44" s="1291"/>
      <c r="K44" s="1291"/>
      <c r="L44" s="1291"/>
      <c r="M44" s="1291"/>
      <c r="N44" s="1291"/>
      <c r="O44" s="513"/>
      <c r="P44" s="1291"/>
      <c r="Q44" s="1291"/>
      <c r="R44" s="1291"/>
      <c r="S44" s="1291"/>
      <c r="T44" s="1291"/>
      <c r="U44" s="1291"/>
      <c r="V44" s="1291"/>
      <c r="W44" s="1291"/>
      <c r="X44" s="1291"/>
      <c r="Y44" s="1291"/>
      <c r="Z44" s="1291"/>
      <c r="AA44" s="1291"/>
      <c r="AB44" s="513"/>
      <c r="AC44" s="1291"/>
      <c r="AD44" s="1291"/>
      <c r="AE44" s="1291"/>
      <c r="AF44" s="1291"/>
      <c r="AG44" s="1291"/>
      <c r="AH44" s="1291"/>
      <c r="AI44" s="1291"/>
      <c r="AJ44" s="1291"/>
      <c r="AK44" s="1291"/>
      <c r="AL44" s="1291"/>
      <c r="AM44" s="1291"/>
      <c r="AN44" s="1291"/>
    </row>
    <row r="45" spans="1:40" s="236" customFormat="1" ht="12" customHeight="1" x14ac:dyDescent="0.2">
      <c r="A45" s="513"/>
      <c r="B45" s="527" t="s">
        <v>549</v>
      </c>
      <c r="C45" s="1291"/>
      <c r="D45" s="1291"/>
      <c r="E45" s="1291"/>
      <c r="F45" s="1291"/>
      <c r="G45" s="1291"/>
      <c r="H45" s="1291"/>
      <c r="I45" s="1291"/>
      <c r="J45" s="1291"/>
      <c r="K45" s="1291"/>
      <c r="L45" s="1291"/>
      <c r="M45" s="1291"/>
      <c r="N45" s="1291"/>
      <c r="O45" s="513"/>
      <c r="P45" s="1291"/>
      <c r="Q45" s="1291"/>
      <c r="R45" s="1291"/>
      <c r="S45" s="1291"/>
      <c r="T45" s="1291"/>
      <c r="U45" s="1291"/>
      <c r="V45" s="1291"/>
      <c r="W45" s="1291"/>
      <c r="X45" s="1291"/>
      <c r="Y45" s="1291"/>
      <c r="Z45" s="1291"/>
      <c r="AA45" s="1291"/>
      <c r="AB45" s="513"/>
      <c r="AC45" s="1291"/>
      <c r="AD45" s="1291"/>
      <c r="AE45" s="1291"/>
      <c r="AF45" s="1291"/>
      <c r="AG45" s="1291"/>
      <c r="AH45" s="1291"/>
      <c r="AI45" s="1291"/>
      <c r="AJ45" s="1291"/>
      <c r="AK45" s="1291"/>
      <c r="AL45" s="1291"/>
      <c r="AM45" s="1291"/>
      <c r="AN45" s="1291"/>
    </row>
    <row r="46" spans="1:40" s="236" customFormat="1" ht="12" customHeight="1" x14ac:dyDescent="0.2">
      <c r="A46" s="513"/>
      <c r="B46" s="491" t="s">
        <v>558</v>
      </c>
      <c r="C46" s="1291"/>
      <c r="D46" s="1291"/>
      <c r="E46" s="1291"/>
      <c r="F46" s="1291"/>
      <c r="G46" s="1291"/>
      <c r="H46" s="1291"/>
      <c r="I46" s="1291"/>
      <c r="J46" s="1291"/>
      <c r="K46" s="1291"/>
      <c r="L46" s="1291"/>
      <c r="M46" s="1291"/>
      <c r="N46" s="1291"/>
      <c r="O46" s="513"/>
      <c r="P46" s="1291"/>
      <c r="Q46" s="1291"/>
      <c r="R46" s="1291"/>
      <c r="S46" s="1291"/>
      <c r="T46" s="1291"/>
      <c r="U46" s="1291"/>
      <c r="V46" s="1291"/>
      <c r="W46" s="1291"/>
      <c r="X46" s="1291"/>
      <c r="Y46" s="1291"/>
      <c r="Z46" s="1291"/>
      <c r="AA46" s="1291"/>
      <c r="AB46" s="513"/>
      <c r="AC46" s="1291"/>
      <c r="AD46" s="1291"/>
      <c r="AE46" s="1291"/>
      <c r="AF46" s="1291"/>
      <c r="AG46" s="1291"/>
      <c r="AH46" s="1291"/>
      <c r="AI46" s="1291"/>
      <c r="AJ46" s="1291"/>
      <c r="AK46" s="1291"/>
      <c r="AL46" s="1291"/>
      <c r="AM46" s="1291"/>
      <c r="AN46" s="1291"/>
    </row>
    <row r="47" spans="1:40" s="236" customFormat="1" ht="12" customHeight="1" x14ac:dyDescent="0.2">
      <c r="A47" s="513"/>
      <c r="B47" s="527" t="s">
        <v>559</v>
      </c>
      <c r="C47" s="1291"/>
      <c r="D47" s="1291"/>
      <c r="E47" s="1291"/>
      <c r="F47" s="1291"/>
      <c r="G47" s="1291"/>
      <c r="H47" s="1291"/>
      <c r="I47" s="1291"/>
      <c r="J47" s="1291"/>
      <c r="K47" s="1291"/>
      <c r="L47" s="1291"/>
      <c r="M47" s="1291"/>
      <c r="N47" s="1291"/>
      <c r="O47" s="513"/>
      <c r="P47" s="1291"/>
      <c r="Q47" s="1291"/>
      <c r="R47" s="1291"/>
      <c r="S47" s="1291"/>
      <c r="T47" s="1291"/>
      <c r="U47" s="1291"/>
      <c r="V47" s="1291"/>
      <c r="W47" s="1291"/>
      <c r="X47" s="1291"/>
      <c r="Y47" s="1291"/>
      <c r="Z47" s="1291"/>
      <c r="AA47" s="1291"/>
      <c r="AB47" s="513"/>
      <c r="AC47" s="1291"/>
      <c r="AD47" s="1291"/>
      <c r="AE47" s="1291"/>
      <c r="AF47" s="1291"/>
      <c r="AG47" s="1291"/>
      <c r="AH47" s="1291"/>
      <c r="AI47" s="1291"/>
      <c r="AJ47" s="1291"/>
      <c r="AK47" s="1291"/>
      <c r="AL47" s="1291"/>
      <c r="AM47" s="1291"/>
      <c r="AN47" s="1291"/>
    </row>
    <row r="48" spans="1:40" s="236" customFormat="1" ht="12" customHeight="1" x14ac:dyDescent="0.2">
      <c r="A48" s="513"/>
      <c r="B48" s="491" t="s">
        <v>550</v>
      </c>
      <c r="C48" s="1291"/>
      <c r="D48" s="1291"/>
      <c r="E48" s="1291"/>
      <c r="F48" s="1291"/>
      <c r="G48" s="1291"/>
      <c r="H48" s="1291"/>
      <c r="I48" s="1291"/>
      <c r="J48" s="1291"/>
      <c r="K48" s="1291"/>
      <c r="L48" s="1291"/>
      <c r="M48" s="1291"/>
      <c r="N48" s="1291"/>
      <c r="O48" s="513"/>
      <c r="P48" s="1291"/>
      <c r="Q48" s="1291"/>
      <c r="R48" s="1291"/>
      <c r="S48" s="1291"/>
      <c r="T48" s="1291"/>
      <c r="U48" s="1291"/>
      <c r="V48" s="1291"/>
      <c r="W48" s="1291"/>
      <c r="X48" s="1291"/>
      <c r="Y48" s="1291"/>
      <c r="Z48" s="1291"/>
      <c r="AA48" s="1291"/>
      <c r="AB48" s="513"/>
      <c r="AC48" s="1291"/>
      <c r="AD48" s="1291"/>
      <c r="AE48" s="1291"/>
      <c r="AF48" s="1291"/>
      <c r="AG48" s="1291"/>
      <c r="AH48" s="1291"/>
      <c r="AI48" s="1291"/>
      <c r="AJ48" s="1291"/>
      <c r="AK48" s="1291"/>
      <c r="AL48" s="1291"/>
      <c r="AM48" s="1291"/>
      <c r="AN48" s="1291"/>
    </row>
    <row r="49" spans="1:40" s="236" customFormat="1" ht="12" customHeight="1" x14ac:dyDescent="0.2">
      <c r="A49" s="513" t="s">
        <v>2206</v>
      </c>
      <c r="B49" s="527" t="s">
        <v>552</v>
      </c>
      <c r="C49" s="1112">
        <v>3.1545000000000001</v>
      </c>
      <c r="D49" s="1112">
        <v>2.0283333333333302</v>
      </c>
      <c r="E49" s="1112">
        <v>1.55</v>
      </c>
      <c r="F49" s="1112">
        <v>3.3336199999999998</v>
      </c>
      <c r="G49" s="1112">
        <v>3.1493799999999998</v>
      </c>
      <c r="H49" s="1112">
        <v>1.45</v>
      </c>
      <c r="I49" s="1112">
        <v>4.2918000000000003</v>
      </c>
      <c r="J49" s="1112">
        <v>2.4516666666666702</v>
      </c>
      <c r="K49" s="1112">
        <v>1.27</v>
      </c>
      <c r="L49" s="1112">
        <v>4.4103500000000002</v>
      </c>
      <c r="M49" s="1112">
        <v>2.5716666666666699</v>
      </c>
      <c r="N49" s="1112">
        <v>0.76</v>
      </c>
      <c r="O49" s="527" t="s">
        <v>552</v>
      </c>
      <c r="P49" s="1112">
        <v>2.5941000000000001</v>
      </c>
      <c r="Q49" s="1112">
        <v>2.1323727272727302</v>
      </c>
      <c r="R49" s="1112">
        <v>1.5689249999999999</v>
      </c>
      <c r="S49" s="1112">
        <v>2.8828999999999998</v>
      </c>
      <c r="T49" s="1112">
        <v>2.1694384615384599</v>
      </c>
      <c r="U49" s="1112">
        <v>1.5008555555555601</v>
      </c>
      <c r="V49" s="1112">
        <v>3.1669055555555601</v>
      </c>
      <c r="W49" s="1112">
        <v>2.18428461538462</v>
      </c>
      <c r="X49" s="1112">
        <v>1.58056666666667</v>
      </c>
      <c r="Y49" s="1112">
        <v>3.2953066666666699</v>
      </c>
      <c r="Z49" s="1112">
        <v>2.4331800000000001</v>
      </c>
      <c r="AA49" s="1112">
        <v>1.5437111111111099</v>
      </c>
      <c r="AB49" s="527" t="s">
        <v>552</v>
      </c>
      <c r="AC49" s="1112">
        <v>2.5284666666666702</v>
      </c>
      <c r="AD49" s="1112">
        <v>1.665</v>
      </c>
      <c r="AE49" s="1112">
        <v>0.25</v>
      </c>
      <c r="AF49" s="1112">
        <v>2.8730000000000002</v>
      </c>
      <c r="AG49" s="1112">
        <v>1.72</v>
      </c>
      <c r="AH49" s="1112">
        <v>0.5</v>
      </c>
      <c r="AI49" s="1112">
        <v>3.3585750000000001</v>
      </c>
      <c r="AJ49" s="1112">
        <v>0.85</v>
      </c>
      <c r="AK49" s="1112">
        <v>0.75</v>
      </c>
      <c r="AL49" s="1112">
        <v>3.4300999999999999</v>
      </c>
      <c r="AM49" s="1112">
        <v>1</v>
      </c>
      <c r="AN49" s="1112">
        <v>1</v>
      </c>
    </row>
    <row r="50" spans="1:40" s="236" customFormat="1" ht="12" customHeight="1" x14ac:dyDescent="0.2">
      <c r="A50" s="513" t="s">
        <v>2206</v>
      </c>
      <c r="B50" s="491" t="s">
        <v>553</v>
      </c>
      <c r="C50" s="1117">
        <v>4.0119249999999997</v>
      </c>
      <c r="D50" s="1117">
        <v>3.57833333333333</v>
      </c>
      <c r="E50" s="1117">
        <v>3.21</v>
      </c>
      <c r="F50" s="1117">
        <v>4.1475999999999997</v>
      </c>
      <c r="G50" s="1117">
        <v>4.1350249999999997</v>
      </c>
      <c r="H50" s="1117">
        <v>3.05</v>
      </c>
      <c r="I50" s="1117">
        <v>4.2555500000000004</v>
      </c>
      <c r="J50" s="1117">
        <v>4.0650000000000004</v>
      </c>
      <c r="K50" s="1117">
        <v>2.74</v>
      </c>
      <c r="L50" s="1117">
        <v>4.2915999999999999</v>
      </c>
      <c r="M50" s="1117">
        <v>4.2149999999999999</v>
      </c>
      <c r="N50" s="1117">
        <v>1.77</v>
      </c>
      <c r="O50" s="491" t="s">
        <v>553</v>
      </c>
      <c r="P50" s="1117">
        <v>2.8407562500000001</v>
      </c>
      <c r="Q50" s="1117">
        <v>2.4148499999999999</v>
      </c>
      <c r="R50" s="1117">
        <v>1.6093999999999999</v>
      </c>
      <c r="S50" s="1117">
        <v>3.1495812500000002</v>
      </c>
      <c r="T50" s="1117">
        <v>2.3789250000000002</v>
      </c>
      <c r="U50" s="1117">
        <v>1.54056666666667</v>
      </c>
      <c r="V50" s="1117">
        <v>3.3771235294117599</v>
      </c>
      <c r="W50" s="1117">
        <v>2.3694583333333301</v>
      </c>
      <c r="X50" s="1117">
        <v>1.61194444444444</v>
      </c>
      <c r="Y50" s="1117">
        <v>3.5563714285714298</v>
      </c>
      <c r="Z50" s="1117">
        <v>2.6325777777777799</v>
      </c>
      <c r="AA50" s="1117">
        <v>1.57694444444444</v>
      </c>
      <c r="AB50" s="491" t="s">
        <v>553</v>
      </c>
      <c r="AC50" s="1117">
        <v>2.1420499999999998</v>
      </c>
      <c r="AD50" s="1117">
        <v>1.45363333333333</v>
      </c>
      <c r="AE50" s="1117">
        <v>0.25</v>
      </c>
      <c r="AF50" s="1117">
        <v>2.3032249999999999</v>
      </c>
      <c r="AG50" s="1117">
        <v>1.8254999999999999</v>
      </c>
      <c r="AH50" s="1117">
        <v>0.5</v>
      </c>
      <c r="AI50" s="1117">
        <v>2.1575500000000001</v>
      </c>
      <c r="AJ50" s="1117">
        <v>0.55500000000000005</v>
      </c>
      <c r="AK50" s="1117">
        <v>0.75</v>
      </c>
      <c r="AL50" s="1117">
        <v>3.0726499999999999</v>
      </c>
      <c r="AM50" s="1117">
        <v>1</v>
      </c>
      <c r="AN50" s="1117">
        <v>1</v>
      </c>
    </row>
    <row r="51" spans="1:40" s="236" customFormat="1" ht="12" customHeight="1" x14ac:dyDescent="0.2">
      <c r="A51" s="513" t="s">
        <v>2206</v>
      </c>
      <c r="B51" s="527" t="s">
        <v>547</v>
      </c>
      <c r="C51" s="1112">
        <v>3.5</v>
      </c>
      <c r="D51" s="1112">
        <v>3.6666666666666701</v>
      </c>
      <c r="E51" s="1112">
        <v>3</v>
      </c>
      <c r="F51" s="1112">
        <v>3.5</v>
      </c>
      <c r="G51" s="1112">
        <v>3.5</v>
      </c>
      <c r="H51" s="1112">
        <v>3</v>
      </c>
      <c r="I51" s="1112">
        <v>3.5</v>
      </c>
      <c r="J51" s="1112">
        <v>4</v>
      </c>
      <c r="K51" s="1112">
        <v>3</v>
      </c>
      <c r="L51" s="1112">
        <v>3.5</v>
      </c>
      <c r="M51" s="1112">
        <v>4</v>
      </c>
      <c r="N51" s="1112">
        <v>2</v>
      </c>
      <c r="O51" s="527" t="s">
        <v>547</v>
      </c>
      <c r="P51" s="1112">
        <v>3</v>
      </c>
      <c r="Q51" s="1112">
        <v>2.7777777777777799</v>
      </c>
      <c r="R51" s="1112">
        <v>2.8</v>
      </c>
      <c r="S51" s="1112">
        <v>3.5333333333333301</v>
      </c>
      <c r="T51" s="1112">
        <v>2.7</v>
      </c>
      <c r="U51" s="1112">
        <v>3</v>
      </c>
      <c r="V51" s="1112">
        <v>3.8125</v>
      </c>
      <c r="W51" s="1112">
        <v>2.8</v>
      </c>
      <c r="X51" s="1112">
        <v>2.8</v>
      </c>
      <c r="Y51" s="1112">
        <v>3.78571428571429</v>
      </c>
      <c r="Z51" s="1112">
        <v>2.7777777777777799</v>
      </c>
      <c r="AA51" s="1112">
        <v>2.6</v>
      </c>
      <c r="AB51" s="527" t="s">
        <v>547</v>
      </c>
      <c r="AC51" s="1112">
        <v>2.25</v>
      </c>
      <c r="AD51" s="1112">
        <v>2</v>
      </c>
      <c r="AE51" s="1112">
        <v>0</v>
      </c>
      <c r="AF51" s="1112">
        <v>2.4</v>
      </c>
      <c r="AG51" s="1112">
        <v>2</v>
      </c>
      <c r="AH51" s="1112">
        <v>1</v>
      </c>
      <c r="AI51" s="1112">
        <v>3</v>
      </c>
      <c r="AJ51" s="1112">
        <v>1.5</v>
      </c>
      <c r="AK51" s="1112">
        <v>1</v>
      </c>
      <c r="AL51" s="1112">
        <v>3.8</v>
      </c>
      <c r="AM51" s="1112">
        <v>2</v>
      </c>
      <c r="AN51" s="1112">
        <v>1</v>
      </c>
    </row>
    <row r="52" spans="1:40" s="236" customFormat="1" ht="12" customHeight="1" x14ac:dyDescent="0.2">
      <c r="A52" s="513" t="s">
        <v>2206</v>
      </c>
      <c r="B52" s="491" t="s">
        <v>554</v>
      </c>
      <c r="C52" s="1117">
        <v>3.5122749999999998</v>
      </c>
      <c r="D52" s="1117">
        <v>3.66333333333333</v>
      </c>
      <c r="E52" s="1117">
        <v>3.54</v>
      </c>
      <c r="F52" s="1117">
        <v>3.5832999999999999</v>
      </c>
      <c r="G52" s="1117">
        <v>3.51125</v>
      </c>
      <c r="H52" s="1117">
        <v>3.39</v>
      </c>
      <c r="I52" s="1117">
        <v>3.6463999999999999</v>
      </c>
      <c r="J52" s="1117">
        <v>3.8583333333333298</v>
      </c>
      <c r="K52" s="1117">
        <v>3.14</v>
      </c>
      <c r="L52" s="1117">
        <v>3.6182249999999998</v>
      </c>
      <c r="M52" s="1117">
        <v>3.8916666666666702</v>
      </c>
      <c r="N52" s="1117">
        <v>2.36</v>
      </c>
      <c r="O52" s="491" t="s">
        <v>554</v>
      </c>
      <c r="P52" s="1117">
        <v>2.9888294117647098</v>
      </c>
      <c r="Q52" s="1117">
        <v>2.0522300000000002</v>
      </c>
      <c r="R52" s="1117">
        <v>1.7444375000000001</v>
      </c>
      <c r="S52" s="1117">
        <v>3.1415250000000001</v>
      </c>
      <c r="T52" s="1117">
        <v>2.3578999999999999</v>
      </c>
      <c r="U52" s="1117">
        <v>1.6451111111111101</v>
      </c>
      <c r="V52" s="1117">
        <v>3.2763411764705901</v>
      </c>
      <c r="W52" s="1117">
        <v>2.3225250000000002</v>
      </c>
      <c r="X52" s="1117">
        <v>1.7189333333333301</v>
      </c>
      <c r="Y52" s="1117">
        <v>3.5350666666666699</v>
      </c>
      <c r="Z52" s="1117">
        <v>2.3209399999999998</v>
      </c>
      <c r="AA52" s="1117">
        <v>1.6741222222222201</v>
      </c>
      <c r="AB52" s="491" t="s">
        <v>554</v>
      </c>
      <c r="AC52" s="1117">
        <v>2.1652</v>
      </c>
      <c r="AD52" s="1117">
        <v>1.71393333333333</v>
      </c>
      <c r="AE52" s="1117">
        <v>0.25</v>
      </c>
      <c r="AF52" s="1117">
        <v>2.4309599999999998</v>
      </c>
      <c r="AG52" s="1117">
        <v>1.4140333333333299</v>
      </c>
      <c r="AH52" s="1117">
        <v>0.5</v>
      </c>
      <c r="AI52" s="1117">
        <v>3.5136799999999999</v>
      </c>
      <c r="AJ52" s="1117">
        <v>1.7350000000000001</v>
      </c>
      <c r="AK52" s="1117">
        <v>0.75</v>
      </c>
      <c r="AL52" s="1117">
        <v>3.5808200000000001</v>
      </c>
      <c r="AM52" s="1117">
        <v>1.81</v>
      </c>
      <c r="AN52" s="1117">
        <v>1</v>
      </c>
    </row>
    <row r="53" spans="1:40" s="236" customFormat="1" ht="12" customHeight="1" x14ac:dyDescent="0.2">
      <c r="A53" s="513" t="s">
        <v>2206</v>
      </c>
      <c r="B53" s="527" t="s">
        <v>555</v>
      </c>
      <c r="C53" s="1112">
        <v>3.5225</v>
      </c>
      <c r="D53" s="1112">
        <v>3.62666666666667</v>
      </c>
      <c r="E53" s="1112">
        <v>3.66</v>
      </c>
      <c r="F53" s="1112">
        <v>3.5775000000000001</v>
      </c>
      <c r="G53" s="1112">
        <v>3.44</v>
      </c>
      <c r="H53" s="1112">
        <v>3.55</v>
      </c>
      <c r="I53" s="1112">
        <v>3.6124999999999998</v>
      </c>
      <c r="J53" s="1112">
        <v>3.73</v>
      </c>
      <c r="K53" s="1112">
        <v>3.31</v>
      </c>
      <c r="L53" s="1112">
        <v>3.5325000000000002</v>
      </c>
      <c r="M53" s="1112">
        <v>3.70333333333333</v>
      </c>
      <c r="N53" s="1112">
        <v>2.64</v>
      </c>
      <c r="O53" s="527" t="s">
        <v>555</v>
      </c>
      <c r="P53" s="1112">
        <v>2.7716666666666701</v>
      </c>
      <c r="Q53" s="1112">
        <v>2.0459999999999998</v>
      </c>
      <c r="R53" s="1112">
        <v>1.74875</v>
      </c>
      <c r="S53" s="1112">
        <v>3.0882352941176499</v>
      </c>
      <c r="T53" s="1112">
        <v>2.23428571428571</v>
      </c>
      <c r="U53" s="1112">
        <v>1.66333333333333</v>
      </c>
      <c r="V53" s="1112">
        <v>3.3477777777777802</v>
      </c>
      <c r="W53" s="1112">
        <v>2.14846153846154</v>
      </c>
      <c r="X53" s="1112">
        <v>1.7222222222222201</v>
      </c>
      <c r="Y53" s="1112">
        <v>3.6326666666666698</v>
      </c>
      <c r="Z53" s="1112">
        <v>2.2879999999999998</v>
      </c>
      <c r="AA53" s="1112">
        <v>1.6855555555555599</v>
      </c>
      <c r="AB53" s="527" t="s">
        <v>555</v>
      </c>
      <c r="AC53" s="1112">
        <v>2.2974999999999999</v>
      </c>
      <c r="AD53" s="1112">
        <v>1.2933333333333299</v>
      </c>
      <c r="AE53" s="1112">
        <v>0.25</v>
      </c>
      <c r="AF53" s="1112">
        <v>2.6659999999999999</v>
      </c>
      <c r="AG53" s="1112">
        <v>2.1533333333333302</v>
      </c>
      <c r="AH53" s="1112">
        <v>0.5</v>
      </c>
      <c r="AI53" s="1112">
        <v>3.5</v>
      </c>
      <c r="AJ53" s="1112">
        <v>1.7350000000000001</v>
      </c>
      <c r="AK53" s="1112">
        <v>0.75</v>
      </c>
      <c r="AL53" s="1112">
        <v>3.66</v>
      </c>
      <c r="AM53" s="1112">
        <v>1.81</v>
      </c>
      <c r="AN53" s="1112">
        <v>1</v>
      </c>
    </row>
    <row r="54" spans="1:40" s="236" customFormat="1" ht="12" customHeight="1" x14ac:dyDescent="0.2">
      <c r="A54" s="513" t="s">
        <v>2206</v>
      </c>
      <c r="B54" s="491" t="s">
        <v>548</v>
      </c>
      <c r="C54" s="1117">
        <v>3.5354749999999999</v>
      </c>
      <c r="D54" s="1117">
        <v>3.6166666666666698</v>
      </c>
      <c r="E54" s="1117">
        <v>3.66</v>
      </c>
      <c r="F54" s="1117">
        <v>3.5557249999999998</v>
      </c>
      <c r="G54" s="1117">
        <v>3.4160499999999998</v>
      </c>
      <c r="H54" s="1117">
        <v>3.64</v>
      </c>
      <c r="I54" s="1117">
        <v>3.4929250000000001</v>
      </c>
      <c r="J54" s="1117">
        <v>3.6616666666666702</v>
      </c>
      <c r="K54" s="1117">
        <v>3.45</v>
      </c>
      <c r="L54" s="1117">
        <v>3.271525</v>
      </c>
      <c r="M54" s="1117">
        <v>3.56666666666667</v>
      </c>
      <c r="N54" s="1117">
        <v>2.86</v>
      </c>
      <c r="O54" s="491" t="s">
        <v>548</v>
      </c>
      <c r="P54" s="1117">
        <v>3.1166499999999999</v>
      </c>
      <c r="Q54" s="1117">
        <v>2.8119999999999998</v>
      </c>
      <c r="R54" s="1117">
        <v>2.0775000000000001</v>
      </c>
      <c r="S54" s="1117">
        <v>3.3787294117647102</v>
      </c>
      <c r="T54" s="1117">
        <v>2.7477642857142901</v>
      </c>
      <c r="U54" s="1117">
        <v>1.8825000000000001</v>
      </c>
      <c r="V54" s="1117">
        <v>3.5469277777777801</v>
      </c>
      <c r="W54" s="1117">
        <v>2.6159461538461501</v>
      </c>
      <c r="X54" s="1117">
        <v>1.8662333333333301</v>
      </c>
      <c r="Y54" s="1117">
        <v>3.7933866666666698</v>
      </c>
      <c r="Z54" s="1117">
        <v>2.7233200000000002</v>
      </c>
      <c r="AA54" s="1117">
        <v>1.6875</v>
      </c>
      <c r="AB54" s="491" t="s">
        <v>548</v>
      </c>
      <c r="AC54" s="1117">
        <v>2.31</v>
      </c>
      <c r="AD54" s="1117">
        <v>1.2933333333333299</v>
      </c>
      <c r="AE54" s="1117">
        <v>0.25</v>
      </c>
      <c r="AF54" s="1117">
        <v>2.5361750000000001</v>
      </c>
      <c r="AG54" s="1117">
        <v>2.1545666666666698</v>
      </c>
      <c r="AH54" s="1117">
        <v>0.5</v>
      </c>
      <c r="AI54" s="1117">
        <v>3.0008249999999999</v>
      </c>
      <c r="AJ54" s="1117">
        <v>1.7350000000000001</v>
      </c>
      <c r="AK54" s="1117">
        <v>0.75</v>
      </c>
      <c r="AL54" s="1117">
        <v>3.2059000000000002</v>
      </c>
      <c r="AM54" s="1117">
        <v>1.81</v>
      </c>
      <c r="AN54" s="1117">
        <v>1</v>
      </c>
    </row>
    <row r="55" spans="1:40" s="236" customFormat="1" ht="12" customHeight="1" x14ac:dyDescent="0.2">
      <c r="A55" s="513" t="s">
        <v>2206</v>
      </c>
      <c r="B55" s="527" t="s">
        <v>556</v>
      </c>
      <c r="C55" s="1112">
        <v>3.53565</v>
      </c>
      <c r="D55" s="1112">
        <v>3.6333333333333302</v>
      </c>
      <c r="E55" s="1112">
        <v>3.66</v>
      </c>
      <c r="F55" s="1112">
        <v>3.5268999999999999</v>
      </c>
      <c r="G55" s="1112">
        <v>3.395025</v>
      </c>
      <c r="H55" s="1112">
        <v>3.67</v>
      </c>
      <c r="I55" s="1112">
        <v>3.38565</v>
      </c>
      <c r="J55" s="1112">
        <v>3.57</v>
      </c>
      <c r="K55" s="1112">
        <v>3.55</v>
      </c>
      <c r="L55" s="1112">
        <v>3.1135000000000002</v>
      </c>
      <c r="M55" s="1112">
        <v>3.3333333333333299</v>
      </c>
      <c r="N55" s="1112">
        <v>3.04</v>
      </c>
      <c r="O55" s="527" t="s">
        <v>556</v>
      </c>
      <c r="P55" s="1112">
        <v>3.2963800000000001</v>
      </c>
      <c r="Q55" s="1112">
        <v>2.9447777777777802</v>
      </c>
      <c r="R55" s="1112">
        <v>2.3694285714285699</v>
      </c>
      <c r="S55" s="1112">
        <v>3.2654214285714298</v>
      </c>
      <c r="T55" s="1112">
        <v>3.0038909090909098</v>
      </c>
      <c r="U55" s="1112">
        <v>2.1142500000000002</v>
      </c>
      <c r="V55" s="1112">
        <v>3.4226533333333302</v>
      </c>
      <c r="W55" s="1112">
        <v>2.6766100000000002</v>
      </c>
      <c r="X55" s="1112">
        <v>2.1027499999999999</v>
      </c>
      <c r="Y55" s="1112">
        <v>3.5869307692307699</v>
      </c>
      <c r="Z55" s="1112">
        <v>2.6008624999999999</v>
      </c>
      <c r="AA55" s="1112">
        <v>1.921125</v>
      </c>
      <c r="AB55" s="527" t="s">
        <v>556</v>
      </c>
      <c r="AC55" s="1112">
        <v>2.4811749999999999</v>
      </c>
      <c r="AD55" s="1112">
        <v>2.08</v>
      </c>
      <c r="AE55" s="1112">
        <v>0.25</v>
      </c>
      <c r="AF55" s="1112">
        <v>3.0851000000000002</v>
      </c>
      <c r="AG55" s="1112">
        <v>2.1896666666666702</v>
      </c>
      <c r="AH55" s="1112">
        <v>0.5</v>
      </c>
      <c r="AI55" s="1112">
        <v>3.5211800000000002</v>
      </c>
      <c r="AJ55" s="1112">
        <v>0.85</v>
      </c>
      <c r="AK55" s="1112">
        <v>0.75</v>
      </c>
      <c r="AL55" s="1112">
        <v>3.62568</v>
      </c>
      <c r="AM55" s="1112">
        <v>1.81</v>
      </c>
      <c r="AN55" s="1112">
        <v>1</v>
      </c>
    </row>
    <row r="56" spans="1:40" s="236" customFormat="1" ht="12" customHeight="1" x14ac:dyDescent="0.2">
      <c r="A56" s="513" t="s">
        <v>2206</v>
      </c>
      <c r="B56" s="491" t="s">
        <v>557</v>
      </c>
      <c r="C56" s="1107">
        <v>4.144075</v>
      </c>
      <c r="D56" s="1107">
        <v>4.010675</v>
      </c>
      <c r="E56" s="1107">
        <v>3.78695</v>
      </c>
      <c r="F56" s="1107">
        <v>4.1357999999999997</v>
      </c>
      <c r="G56" s="1107">
        <v>4.01755</v>
      </c>
      <c r="H56" s="1107">
        <v>3.7963499999999999</v>
      </c>
      <c r="I56" s="1107">
        <v>4.015625</v>
      </c>
      <c r="J56" s="1107">
        <v>3.9727749999999999</v>
      </c>
      <c r="K56" s="1107">
        <v>3.7696499999999999</v>
      </c>
      <c r="L56" s="1107">
        <v>3.8071999999999999</v>
      </c>
      <c r="M56" s="1107">
        <v>3.8144999999999998</v>
      </c>
      <c r="N56" s="1107">
        <v>3.37575</v>
      </c>
      <c r="O56" s="491" t="s">
        <v>557</v>
      </c>
      <c r="P56" s="1107">
        <v>3.2136499999999999</v>
      </c>
      <c r="Q56" s="1107">
        <v>2.6407400000000001</v>
      </c>
      <c r="R56" s="1107">
        <v>2.0750000000000002</v>
      </c>
      <c r="S56" s="1107">
        <v>3.18515333333333</v>
      </c>
      <c r="T56" s="1107">
        <v>2.7571333333333299</v>
      </c>
      <c r="U56" s="1107">
        <v>1.88933333333333</v>
      </c>
      <c r="V56" s="1107">
        <v>3.4005937500000001</v>
      </c>
      <c r="W56" s="1107">
        <v>2.44227272727273</v>
      </c>
      <c r="X56" s="1107">
        <v>1.8899888888888901</v>
      </c>
      <c r="Y56" s="1107">
        <v>3.7177785714285698</v>
      </c>
      <c r="Z56" s="1107">
        <v>2.3523777777777801</v>
      </c>
      <c r="AA56" s="1107">
        <v>1.7612000000000001</v>
      </c>
      <c r="AB56" s="491" t="s">
        <v>557</v>
      </c>
      <c r="AC56" s="1107">
        <v>2.948</v>
      </c>
      <c r="AD56" s="1107">
        <v>2.08</v>
      </c>
      <c r="AE56" s="1107">
        <v>0.25</v>
      </c>
      <c r="AF56" s="1107">
        <v>3.0007000000000001</v>
      </c>
      <c r="AG56" s="1107">
        <v>2.1896666666666702</v>
      </c>
      <c r="AH56" s="1107">
        <v>0.5</v>
      </c>
      <c r="AI56" s="1107">
        <v>3.6165600000000002</v>
      </c>
      <c r="AJ56" s="1107">
        <v>0.85</v>
      </c>
      <c r="AK56" s="1107">
        <v>0.75</v>
      </c>
      <c r="AL56" s="1107">
        <v>3.5756800000000002</v>
      </c>
      <c r="AM56" s="1107">
        <v>1.81</v>
      </c>
      <c r="AN56" s="1107">
        <v>1</v>
      </c>
    </row>
    <row r="57" spans="1:40" s="236" customFormat="1" ht="12" customHeight="1" x14ac:dyDescent="0.2">
      <c r="A57" s="513" t="s">
        <v>2206</v>
      </c>
      <c r="B57" s="527" t="s">
        <v>549</v>
      </c>
      <c r="C57" s="1112">
        <v>4.1530750000000003</v>
      </c>
      <c r="D57" s="1112">
        <v>4.0124500000000003</v>
      </c>
      <c r="E57" s="1112">
        <v>3.7860499999999999</v>
      </c>
      <c r="F57" s="1112">
        <v>4.1292249999999999</v>
      </c>
      <c r="G57" s="1112">
        <v>4.0162000000000004</v>
      </c>
      <c r="H57" s="1112">
        <v>3.7969499999999998</v>
      </c>
      <c r="I57" s="1112">
        <v>4.0510000000000002</v>
      </c>
      <c r="J57" s="1112">
        <v>3.9606249999999998</v>
      </c>
      <c r="K57" s="1112">
        <v>3.8056999999999999</v>
      </c>
      <c r="L57" s="1112">
        <v>3.8905249999999998</v>
      </c>
      <c r="M57" s="1112">
        <v>3.8213750000000002</v>
      </c>
      <c r="N57" s="1112">
        <v>3.5118999999999998</v>
      </c>
      <c r="O57" s="527" t="s">
        <v>549</v>
      </c>
      <c r="P57" s="1112">
        <v>3.93942666666667</v>
      </c>
      <c r="Q57" s="1112">
        <v>4.0812249999999999</v>
      </c>
      <c r="R57" s="1112">
        <v>2.9871428571428602</v>
      </c>
      <c r="S57" s="1112">
        <v>3.91436428571429</v>
      </c>
      <c r="T57" s="1112">
        <v>4.0035454545454501</v>
      </c>
      <c r="U57" s="1112">
        <v>2.6517499999999998</v>
      </c>
      <c r="V57" s="1112">
        <v>3.96728666666667</v>
      </c>
      <c r="W57" s="1112">
        <v>3.8244888888888902</v>
      </c>
      <c r="X57" s="1112">
        <v>2.6389374999999999</v>
      </c>
      <c r="Y57" s="1112">
        <v>4.2985153846153796</v>
      </c>
      <c r="Z57" s="1112">
        <v>3.8828624999999999</v>
      </c>
      <c r="AA57" s="1112">
        <v>2.4712000000000001</v>
      </c>
      <c r="AB57" s="527" t="s">
        <v>549</v>
      </c>
      <c r="AC57" s="1112">
        <v>1.9695</v>
      </c>
      <c r="AD57" s="1112">
        <v>0.5</v>
      </c>
      <c r="AE57" s="1112">
        <v>0.25</v>
      </c>
      <c r="AF57" s="1112">
        <v>2.15756666666667</v>
      </c>
      <c r="AG57" s="1112">
        <v>0.75</v>
      </c>
      <c r="AH57" s="1112">
        <v>0.5</v>
      </c>
      <c r="AI57" s="1112">
        <v>2.9148000000000001</v>
      </c>
      <c r="AJ57" s="1112">
        <v>1.7350000000000001</v>
      </c>
      <c r="AK57" s="1112">
        <v>0.75</v>
      </c>
      <c r="AL57" s="1112">
        <v>2.9414333333333298</v>
      </c>
      <c r="AM57" s="1112">
        <v>1.81</v>
      </c>
      <c r="AN57" s="1112">
        <v>1</v>
      </c>
    </row>
    <row r="58" spans="1:40" s="236" customFormat="1" ht="12" customHeight="1" x14ac:dyDescent="0.2">
      <c r="A58" s="513" t="s">
        <v>2206</v>
      </c>
      <c r="B58" s="491" t="s">
        <v>558</v>
      </c>
      <c r="C58" s="1117">
        <v>4.1369499999999997</v>
      </c>
      <c r="D58" s="1117">
        <v>4.0743999999999998</v>
      </c>
      <c r="E58" s="1117">
        <v>3.7867000000000002</v>
      </c>
      <c r="F58" s="1117">
        <v>4.1327249999999998</v>
      </c>
      <c r="G58" s="1117">
        <v>3.9923999999999999</v>
      </c>
      <c r="H58" s="1117">
        <v>3.8029000000000002</v>
      </c>
      <c r="I58" s="1117">
        <v>4.0808749999999998</v>
      </c>
      <c r="J58" s="1117">
        <v>3.9215</v>
      </c>
      <c r="K58" s="1117">
        <v>3.8163999999999998</v>
      </c>
      <c r="L58" s="1117">
        <v>3.9781</v>
      </c>
      <c r="M58" s="1117">
        <v>3.8005</v>
      </c>
      <c r="N58" s="1117">
        <v>3.6133500000000001</v>
      </c>
      <c r="O58" s="491" t="s">
        <v>558</v>
      </c>
      <c r="P58" s="1117">
        <v>3.68054666666667</v>
      </c>
      <c r="Q58" s="1117">
        <v>3.4938375000000002</v>
      </c>
      <c r="R58" s="1117">
        <v>2.3679999999999999</v>
      </c>
      <c r="S58" s="1117">
        <v>3.6530214285714302</v>
      </c>
      <c r="T58" s="1117">
        <v>3.4101699999999999</v>
      </c>
      <c r="U58" s="1117">
        <v>2.1033374999999999</v>
      </c>
      <c r="V58" s="1117">
        <v>3.74060666666667</v>
      </c>
      <c r="W58" s="1117">
        <v>3.3287888888888899</v>
      </c>
      <c r="X58" s="1117">
        <v>2.11</v>
      </c>
      <c r="Y58" s="1117">
        <v>4.0721846153846197</v>
      </c>
      <c r="Z58" s="1117">
        <v>3.3860250000000001</v>
      </c>
      <c r="AA58" s="1117">
        <v>2.0050249999999998</v>
      </c>
      <c r="AB58" s="491" t="s">
        <v>558</v>
      </c>
      <c r="AC58" s="1117">
        <v>2.656075</v>
      </c>
      <c r="AD58" s="1117">
        <v>2.08</v>
      </c>
      <c r="AE58" s="1117">
        <v>0.25</v>
      </c>
      <c r="AF58" s="1117">
        <v>3.271525</v>
      </c>
      <c r="AG58" s="1117">
        <v>1.97</v>
      </c>
      <c r="AH58" s="1117">
        <v>2.2653500000000002</v>
      </c>
      <c r="AI58" s="1117">
        <v>2.7681749999999998</v>
      </c>
      <c r="AJ58" s="1117">
        <v>0.85</v>
      </c>
      <c r="AK58" s="1117">
        <v>2.0738500000000002</v>
      </c>
      <c r="AL58" s="1117">
        <v>2.98245</v>
      </c>
      <c r="AM58" s="1117">
        <v>1</v>
      </c>
      <c r="AN58" s="1117">
        <v>1</v>
      </c>
    </row>
    <row r="59" spans="1:40" s="236" customFormat="1" ht="12" customHeight="1" x14ac:dyDescent="0.2">
      <c r="A59" s="513" t="s">
        <v>2206</v>
      </c>
      <c r="B59" s="527" t="s">
        <v>559</v>
      </c>
      <c r="C59" s="1112">
        <v>3.6666666666666701</v>
      </c>
      <c r="D59" s="1112">
        <v>3.3333333333333299</v>
      </c>
      <c r="E59" s="1112">
        <v>3</v>
      </c>
      <c r="F59" s="1112">
        <v>4.75</v>
      </c>
      <c r="G59" s="1112">
        <v>4.75</v>
      </c>
      <c r="H59" s="1112">
        <v>4.5</v>
      </c>
      <c r="I59" s="1112">
        <v>4.75</v>
      </c>
      <c r="J59" s="1112">
        <v>4.75</v>
      </c>
      <c r="K59" s="1112">
        <v>4.5</v>
      </c>
      <c r="L59" s="1112">
        <v>4.75</v>
      </c>
      <c r="M59" s="1112">
        <v>4.75</v>
      </c>
      <c r="N59" s="1112">
        <v>4</v>
      </c>
      <c r="O59" s="527" t="s">
        <v>559</v>
      </c>
      <c r="P59" s="1112">
        <v>4.2222222222222197</v>
      </c>
      <c r="Q59" s="1112">
        <v>4</v>
      </c>
      <c r="R59" s="1112">
        <v>3</v>
      </c>
      <c r="S59" s="1112">
        <v>5.4545454545454497</v>
      </c>
      <c r="T59" s="1112">
        <v>5.2</v>
      </c>
      <c r="U59" s="1112">
        <v>4.1111111111111098</v>
      </c>
      <c r="V59" s="1112">
        <v>5.0833333333333304</v>
      </c>
      <c r="W59" s="1112">
        <v>5.2222222222222197</v>
      </c>
      <c r="X59" s="1112">
        <v>4.1111111111111098</v>
      </c>
      <c r="Y59" s="1112">
        <v>5.9</v>
      </c>
      <c r="Z59" s="1112">
        <v>5.5555555555555598</v>
      </c>
      <c r="AA59" s="1112">
        <v>4</v>
      </c>
      <c r="AB59" s="527" t="s">
        <v>559</v>
      </c>
      <c r="AC59" s="1112">
        <v>4</v>
      </c>
      <c r="AD59" s="1112">
        <v>3</v>
      </c>
      <c r="AE59" s="1112">
        <v>0</v>
      </c>
      <c r="AF59" s="1112">
        <v>3.6666666666666701</v>
      </c>
      <c r="AG59" s="1112">
        <v>3</v>
      </c>
      <c r="AH59" s="1112">
        <v>0</v>
      </c>
      <c r="AI59" s="1112">
        <v>4</v>
      </c>
      <c r="AJ59" s="1112">
        <v>0</v>
      </c>
      <c r="AK59" s="1112">
        <v>0</v>
      </c>
      <c r="AL59" s="1112">
        <v>4.6666666666666696</v>
      </c>
      <c r="AM59" s="1112">
        <v>0</v>
      </c>
      <c r="AN59" s="1112">
        <v>0</v>
      </c>
    </row>
    <row r="60" spans="1:40" s="236" customFormat="1" ht="12" customHeight="1" x14ac:dyDescent="0.2">
      <c r="A60" s="513" t="s">
        <v>2206</v>
      </c>
      <c r="B60" s="491" t="s">
        <v>550</v>
      </c>
      <c r="C60" s="1117">
        <v>5.1660000000000004</v>
      </c>
      <c r="D60" s="1117">
        <v>5.0389666666666697</v>
      </c>
      <c r="E60" s="1117">
        <v>4.5884499999999999</v>
      </c>
      <c r="F60" s="1117">
        <v>5.1427750000000003</v>
      </c>
      <c r="G60" s="1117">
        <v>4.974075</v>
      </c>
      <c r="H60" s="1117">
        <v>4.6514499999999996</v>
      </c>
      <c r="I60" s="1117">
        <v>5.1043750000000001</v>
      </c>
      <c r="J60" s="1117">
        <v>4.9325999999999999</v>
      </c>
      <c r="K60" s="1117">
        <v>4.6813500000000001</v>
      </c>
      <c r="L60" s="1117">
        <v>5.0359999999999996</v>
      </c>
      <c r="M60" s="1117">
        <v>4.8956499999999998</v>
      </c>
      <c r="N60" s="1117">
        <v>4.6231499999999999</v>
      </c>
      <c r="O60" s="491" t="s">
        <v>550</v>
      </c>
      <c r="P60" s="1117">
        <v>4.95428181818182</v>
      </c>
      <c r="Q60" s="1117">
        <v>5.1563999999999997</v>
      </c>
      <c r="R60" s="1117">
        <v>3.2605166666666698</v>
      </c>
      <c r="S60" s="1117">
        <v>5.2116142857142904</v>
      </c>
      <c r="T60" s="1117">
        <v>5.1606500000000004</v>
      </c>
      <c r="U60" s="1117">
        <v>3.84791818181818</v>
      </c>
      <c r="V60" s="1117">
        <v>4.9690266666666698</v>
      </c>
      <c r="W60" s="1117">
        <v>5.1490499999999999</v>
      </c>
      <c r="X60" s="1117">
        <v>3.8528818181818201</v>
      </c>
      <c r="Y60" s="1117">
        <v>5.0790642857142902</v>
      </c>
      <c r="Z60" s="1117">
        <v>5.0530538461538503</v>
      </c>
      <c r="AA60" s="1117">
        <v>3.7590090909090899</v>
      </c>
      <c r="AB60" s="491" t="s">
        <v>550</v>
      </c>
      <c r="AC60" s="1117">
        <v>2.2812333333333301</v>
      </c>
      <c r="AD60" s="1117">
        <v>0.5</v>
      </c>
      <c r="AE60" s="1117">
        <v>0.25</v>
      </c>
      <c r="AF60" s="1117">
        <v>2.6130666666666702</v>
      </c>
      <c r="AG60" s="1117">
        <v>0.75</v>
      </c>
      <c r="AH60" s="1117">
        <v>0.5</v>
      </c>
      <c r="AI60" s="1117">
        <v>2.9306999999999999</v>
      </c>
      <c r="AJ60" s="1117">
        <v>1.7350000000000001</v>
      </c>
      <c r="AK60" s="1117">
        <v>0.75</v>
      </c>
      <c r="AL60" s="1117">
        <v>3.1422666666666701</v>
      </c>
      <c r="AM60" s="1117">
        <v>1.81</v>
      </c>
      <c r="AN60" s="1117">
        <v>1</v>
      </c>
    </row>
    <row r="61" spans="1:40" s="236" customFormat="1" ht="12" customHeight="1" x14ac:dyDescent="0.2">
      <c r="A61" s="559" t="s">
        <v>2479</v>
      </c>
      <c r="B61" s="491" t="s">
        <v>552</v>
      </c>
      <c r="C61" s="1117">
        <v>5.16956666666667</v>
      </c>
      <c r="D61" s="1117">
        <v>4.9915333333333303</v>
      </c>
      <c r="E61" s="1117">
        <v>3.6126</v>
      </c>
      <c r="F61" s="1117">
        <v>5.0343749999999998</v>
      </c>
      <c r="G61" s="1117">
        <v>4.8780749999999999</v>
      </c>
      <c r="H61" s="1117">
        <v>3.6784333333333299</v>
      </c>
      <c r="I61" s="1117">
        <v>4.947025</v>
      </c>
      <c r="J61" s="1117">
        <v>4.8137749999999997</v>
      </c>
      <c r="K61" s="1117">
        <v>3.7364666666666699</v>
      </c>
      <c r="L61" s="1117">
        <v>4.8026999999999997</v>
      </c>
      <c r="M61" s="1117">
        <v>4.73325</v>
      </c>
      <c r="N61" s="1117">
        <v>3.7309666666666699</v>
      </c>
      <c r="O61" s="491" t="s">
        <v>552</v>
      </c>
      <c r="P61" s="1117">
        <v>4.8118916666666696</v>
      </c>
      <c r="Q61" s="1117">
        <v>4.6291250000000002</v>
      </c>
      <c r="R61" s="1117">
        <v>2.9321666666666699</v>
      </c>
      <c r="S61" s="1117">
        <v>5.4172857142857103</v>
      </c>
      <c r="T61" s="1117">
        <v>5.1455083333333302</v>
      </c>
      <c r="U61" s="1117">
        <v>3.96678</v>
      </c>
      <c r="V61" s="1117">
        <v>5.0134800000000004</v>
      </c>
      <c r="W61" s="1117">
        <v>5.0865818181818199</v>
      </c>
      <c r="X61" s="1117">
        <v>3.9213800000000001</v>
      </c>
      <c r="Y61" s="1117">
        <v>5.0996499999999996</v>
      </c>
      <c r="Z61" s="1117">
        <v>4.9876583333333304</v>
      </c>
      <c r="AA61" s="1117">
        <v>3.7301199999999999</v>
      </c>
      <c r="AB61" s="491" t="s">
        <v>552</v>
      </c>
      <c r="AC61" s="1117">
        <v>2.93333333333333</v>
      </c>
      <c r="AD61" s="1117">
        <v>1.81</v>
      </c>
      <c r="AE61" s="1117">
        <v>0.25</v>
      </c>
      <c r="AF61" s="1117">
        <v>3.1428333333333298</v>
      </c>
      <c r="AG61" s="1117">
        <v>1.89605</v>
      </c>
      <c r="AH61" s="1117">
        <v>0.5</v>
      </c>
      <c r="AI61" s="1117">
        <v>2.7901333333333298</v>
      </c>
      <c r="AJ61" s="1117">
        <v>0.85</v>
      </c>
      <c r="AK61" s="1117">
        <v>0.75</v>
      </c>
      <c r="AL61" s="1117">
        <v>3.10896666666667</v>
      </c>
      <c r="AM61" s="1117">
        <v>1</v>
      </c>
      <c r="AN61" s="1117">
        <v>1</v>
      </c>
    </row>
    <row r="62" spans="1:40" s="236" customFormat="1" ht="12" customHeight="1" x14ac:dyDescent="0.2">
      <c r="A62" s="559" t="s">
        <v>2479</v>
      </c>
      <c r="B62" s="527" t="s">
        <v>553</v>
      </c>
      <c r="C62" s="1112">
        <v>5.1390333333333302</v>
      </c>
      <c r="D62" s="1112">
        <v>4.8946333333333296</v>
      </c>
      <c r="E62" s="1112">
        <v>3.5764</v>
      </c>
      <c r="F62" s="1112">
        <v>4.7999000000000001</v>
      </c>
      <c r="G62" s="1112">
        <v>4.7067500000000004</v>
      </c>
      <c r="H62" s="1112">
        <v>3.59663333333333</v>
      </c>
      <c r="I62" s="1112">
        <v>4.6074999999999999</v>
      </c>
      <c r="J62" s="1112">
        <v>4.6124000000000001</v>
      </c>
      <c r="K62" s="1112">
        <v>3.6966000000000001</v>
      </c>
      <c r="L62" s="1112">
        <v>4.3525499999999999</v>
      </c>
      <c r="M62" s="1112">
        <v>4.4867499999999998</v>
      </c>
      <c r="N62" s="1112">
        <v>3.7426333333333299</v>
      </c>
      <c r="O62" s="527" t="s">
        <v>553</v>
      </c>
      <c r="P62" s="1112">
        <v>4.7751083333333302</v>
      </c>
      <c r="Q62" s="1112">
        <v>4.6199888888888898</v>
      </c>
      <c r="R62" s="1112">
        <v>2.9812857142857099</v>
      </c>
      <c r="S62" s="1112">
        <v>4.9425800000000004</v>
      </c>
      <c r="T62" s="1112">
        <v>4.7024307692307703</v>
      </c>
      <c r="U62" s="1112">
        <v>3.5796999999999999</v>
      </c>
      <c r="V62" s="1112">
        <v>4.6037812499999999</v>
      </c>
      <c r="W62" s="1112">
        <v>4.6600666666666699</v>
      </c>
      <c r="X62" s="1112">
        <v>3.5547090909090899</v>
      </c>
      <c r="Y62" s="1112">
        <v>4.6447333333333303</v>
      </c>
      <c r="Z62" s="1112">
        <v>4.5978384615384602</v>
      </c>
      <c r="AA62" s="1112">
        <v>3.3920909090909102</v>
      </c>
      <c r="AB62" s="527" t="s">
        <v>553</v>
      </c>
      <c r="AC62" s="1112">
        <v>2.562875</v>
      </c>
      <c r="AD62" s="1112">
        <v>2.08</v>
      </c>
      <c r="AE62" s="1112">
        <v>0.25</v>
      </c>
      <c r="AF62" s="1112">
        <v>3.6611199999999999</v>
      </c>
      <c r="AG62" s="1112">
        <v>1.89605</v>
      </c>
      <c r="AH62" s="1112">
        <v>2.1688499999999999</v>
      </c>
      <c r="AI62" s="1112">
        <v>3.2853599999999998</v>
      </c>
      <c r="AJ62" s="1112">
        <v>0.85</v>
      </c>
      <c r="AK62" s="1112">
        <v>2.4653499999999999</v>
      </c>
      <c r="AL62" s="1112">
        <v>3.9967000000000001</v>
      </c>
      <c r="AM62" s="1112">
        <v>1</v>
      </c>
      <c r="AN62" s="1112">
        <v>1</v>
      </c>
    </row>
    <row r="63" spans="1:40" s="236" customFormat="1" ht="12" customHeight="1" x14ac:dyDescent="0.2">
      <c r="A63" s="559" t="s">
        <v>2479</v>
      </c>
      <c r="B63" s="491" t="s">
        <v>547</v>
      </c>
      <c r="C63" s="1117">
        <v>4.9666666666666703</v>
      </c>
      <c r="D63" s="1117">
        <v>4.8666666666666698</v>
      </c>
      <c r="E63" s="1117">
        <v>3.5533333333333301</v>
      </c>
      <c r="F63" s="1117">
        <v>4.4524999999999997</v>
      </c>
      <c r="G63" s="1117">
        <v>4.58</v>
      </c>
      <c r="H63" s="1117">
        <v>3.5233333333333299</v>
      </c>
      <c r="I63" s="1117">
        <v>4.2</v>
      </c>
      <c r="J63" s="1117">
        <v>4.46</v>
      </c>
      <c r="K63" s="1117">
        <v>3.6533333333333302</v>
      </c>
      <c r="L63" s="1117">
        <v>3.875</v>
      </c>
      <c r="M63" s="1117">
        <v>4.2699999999999996</v>
      </c>
      <c r="N63" s="1117">
        <v>3.74</v>
      </c>
      <c r="O63" s="491" t="s">
        <v>547</v>
      </c>
      <c r="P63" s="1117">
        <v>4.7300000000000004</v>
      </c>
      <c r="Q63" s="1117">
        <v>4.8122222222222204</v>
      </c>
      <c r="R63" s="1117">
        <v>3.1614285714285701</v>
      </c>
      <c r="S63" s="1117">
        <v>4.8706250000000004</v>
      </c>
      <c r="T63" s="1117">
        <v>4.70571428571429</v>
      </c>
      <c r="U63" s="1117">
        <v>3.6416666666666702</v>
      </c>
      <c r="V63" s="1117">
        <v>4.52764705882353</v>
      </c>
      <c r="W63" s="1117">
        <v>4.7676923076923101</v>
      </c>
      <c r="X63" s="1117">
        <v>3.5883333333333298</v>
      </c>
      <c r="Y63" s="1117">
        <v>4.5575000000000001</v>
      </c>
      <c r="Z63" s="1117">
        <v>4.6285714285714299</v>
      </c>
      <c r="AA63" s="1117">
        <v>3.3849999999999998</v>
      </c>
      <c r="AB63" s="491" t="s">
        <v>547</v>
      </c>
      <c r="AC63" s="1117">
        <v>3.05</v>
      </c>
      <c r="AD63" s="1117">
        <v>2.08</v>
      </c>
      <c r="AE63" s="1117">
        <v>0.25</v>
      </c>
      <c r="AF63" s="1117">
        <v>3.89</v>
      </c>
      <c r="AG63" s="1117">
        <v>1.895</v>
      </c>
      <c r="AH63" s="1117">
        <v>0.5</v>
      </c>
      <c r="AI63" s="1117">
        <v>3.56</v>
      </c>
      <c r="AJ63" s="1117">
        <v>1.7350000000000001</v>
      </c>
      <c r="AK63" s="1117">
        <v>0.75</v>
      </c>
      <c r="AL63" s="1117">
        <v>4.0599999999999996</v>
      </c>
      <c r="AM63" s="1117">
        <v>1.81</v>
      </c>
      <c r="AN63" s="1117">
        <v>1</v>
      </c>
    </row>
    <row r="64" spans="1:40" s="236" customFormat="1" ht="12" customHeight="1" x14ac:dyDescent="0.2">
      <c r="A64" s="559" t="s">
        <v>2479</v>
      </c>
      <c r="B64" s="527" t="s">
        <v>554</v>
      </c>
      <c r="C64" s="1112">
        <v>4.7967000000000004</v>
      </c>
      <c r="D64" s="1112">
        <v>4.8071666666666699</v>
      </c>
      <c r="E64" s="1112">
        <v>3.4466666666666699</v>
      </c>
      <c r="F64" s="1112">
        <v>4.3926999999999996</v>
      </c>
      <c r="G64" s="1112">
        <v>4.4880500000000003</v>
      </c>
      <c r="H64" s="1112">
        <v>3.44363333333333</v>
      </c>
      <c r="I64" s="1112">
        <v>4.2055749999999996</v>
      </c>
      <c r="J64" s="1112">
        <v>4.3808249999999997</v>
      </c>
      <c r="K64" s="1112">
        <v>3.5790000000000002</v>
      </c>
      <c r="L64" s="1112">
        <v>3.9902250000000001</v>
      </c>
      <c r="M64" s="1112">
        <v>4.2134</v>
      </c>
      <c r="N64" s="1112">
        <v>3.71396666666667</v>
      </c>
      <c r="O64" s="527" t="s">
        <v>554</v>
      </c>
      <c r="P64" s="1112">
        <v>4.1333166666666701</v>
      </c>
      <c r="Q64" s="1112">
        <v>3.9248500000000002</v>
      </c>
      <c r="R64" s="1112">
        <v>2.7008999999999999</v>
      </c>
      <c r="S64" s="1112">
        <v>4.6265266666666696</v>
      </c>
      <c r="T64" s="1112">
        <v>4.35826153846154</v>
      </c>
      <c r="U64" s="1112">
        <v>3.3367181818181799</v>
      </c>
      <c r="V64" s="1112">
        <v>4.51268125</v>
      </c>
      <c r="W64" s="1112">
        <v>4.62845</v>
      </c>
      <c r="X64" s="1112">
        <v>3.2988272727272698</v>
      </c>
      <c r="Y64" s="1112">
        <v>4.8381375000000002</v>
      </c>
      <c r="Z64" s="1112">
        <v>4.7903307692307697</v>
      </c>
      <c r="AA64" s="1112">
        <v>3.14236363636364</v>
      </c>
      <c r="AB64" s="527" t="s">
        <v>554</v>
      </c>
      <c r="AC64" s="1112">
        <v>3.4010333333333298</v>
      </c>
      <c r="AD64" s="1112">
        <v>2.87</v>
      </c>
      <c r="AE64" s="1112">
        <v>0</v>
      </c>
      <c r="AF64" s="1112">
        <v>3.8405999999999998</v>
      </c>
      <c r="AG64" s="1112">
        <v>2.8220999999999998</v>
      </c>
      <c r="AH64" s="1112">
        <v>0</v>
      </c>
      <c r="AI64" s="1112">
        <v>3.4137</v>
      </c>
      <c r="AJ64" s="1112">
        <v>2.62</v>
      </c>
      <c r="AK64" s="1112">
        <v>0</v>
      </c>
      <c r="AL64" s="1112">
        <v>3.8274333333333299</v>
      </c>
      <c r="AM64" s="1112">
        <v>2.62</v>
      </c>
      <c r="AN64" s="1112">
        <v>0</v>
      </c>
    </row>
    <row r="65" spans="1:40" s="236" customFormat="1" ht="12" customHeight="1" x14ac:dyDescent="0.2">
      <c r="A65" s="559" t="s">
        <v>2479</v>
      </c>
      <c r="B65" s="491" t="s">
        <v>555</v>
      </c>
      <c r="C65" s="1117">
        <v>4.69586666666667</v>
      </c>
      <c r="D65" s="1117">
        <v>4.7277333333333296</v>
      </c>
      <c r="E65" s="1117">
        <v>3.3045666666666702</v>
      </c>
      <c r="F65" s="1117">
        <v>4.3407499999999999</v>
      </c>
      <c r="G65" s="1117">
        <v>4.4904000000000002</v>
      </c>
      <c r="H65" s="1117">
        <v>3.3125666666666702</v>
      </c>
      <c r="I65" s="1117">
        <v>4.2642499999999997</v>
      </c>
      <c r="J65" s="1117">
        <v>4.4045249999999996</v>
      </c>
      <c r="K65" s="1117">
        <v>3.4712666666666698</v>
      </c>
      <c r="L65" s="1117">
        <v>4.1870500000000002</v>
      </c>
      <c r="M65" s="1117">
        <v>4.3330000000000002</v>
      </c>
      <c r="N65" s="1117">
        <v>3.6627666666666698</v>
      </c>
      <c r="O65" s="491" t="s">
        <v>555</v>
      </c>
      <c r="P65" s="1117">
        <v>4.0729583333333297</v>
      </c>
      <c r="Q65" s="1117">
        <v>5.4267555555555598</v>
      </c>
      <c r="R65" s="1117">
        <v>2.6264166666666702</v>
      </c>
      <c r="S65" s="1117">
        <v>4.4883866666666696</v>
      </c>
      <c r="T65" s="1117">
        <v>4.4543307692307703</v>
      </c>
      <c r="U65" s="1117">
        <v>3.1280000000000001</v>
      </c>
      <c r="V65" s="1117">
        <v>4.4474562500000001</v>
      </c>
      <c r="W65" s="1117">
        <v>4.76525833333333</v>
      </c>
      <c r="X65" s="1117">
        <v>3.077</v>
      </c>
      <c r="Y65" s="1117">
        <v>4.9042750000000002</v>
      </c>
      <c r="Z65" s="1117">
        <v>4.9519076923076897</v>
      </c>
      <c r="AA65" s="1117">
        <v>2.9280909090909102</v>
      </c>
      <c r="AB65" s="491" t="s">
        <v>555</v>
      </c>
      <c r="AC65" s="1117">
        <v>2.8154499999999998</v>
      </c>
      <c r="AD65" s="1117">
        <v>2.08</v>
      </c>
      <c r="AE65" s="1117">
        <v>0.25</v>
      </c>
      <c r="AF65" s="1117">
        <v>2.9290500000000002</v>
      </c>
      <c r="AG65" s="1117">
        <v>1.7860499999999999</v>
      </c>
      <c r="AH65" s="1117">
        <v>0.5</v>
      </c>
      <c r="AI65" s="1117">
        <v>2.9327000000000001</v>
      </c>
      <c r="AJ65" s="1117">
        <v>1.7350000000000001</v>
      </c>
      <c r="AK65" s="1117">
        <v>0.75</v>
      </c>
      <c r="AL65" s="1117">
        <v>3.2932250000000001</v>
      </c>
      <c r="AM65" s="1117">
        <v>1.81</v>
      </c>
      <c r="AN65" s="1117">
        <v>1</v>
      </c>
    </row>
    <row r="66" spans="1:40" s="236" customFormat="1" ht="12" customHeight="1" x14ac:dyDescent="0.2">
      <c r="A66" s="559" t="s">
        <v>2479</v>
      </c>
      <c r="B66" s="527" t="s">
        <v>548</v>
      </c>
      <c r="C66" s="1112">
        <v>5.5872999999999999</v>
      </c>
      <c r="D66" s="1112">
        <v>5.7050000000000001</v>
      </c>
      <c r="E66" s="1112">
        <v>4.2415000000000003</v>
      </c>
      <c r="F66" s="1112">
        <v>4.82466666666667</v>
      </c>
      <c r="G66" s="1112">
        <v>5.0868000000000002</v>
      </c>
      <c r="H66" s="1112">
        <v>4.0268499999999996</v>
      </c>
      <c r="I66" s="1112">
        <v>4.7838000000000003</v>
      </c>
      <c r="J66" s="1112">
        <v>5.0344666666666704</v>
      </c>
      <c r="K66" s="1112">
        <v>4.2477</v>
      </c>
      <c r="L66" s="1112">
        <v>4.8132000000000001</v>
      </c>
      <c r="M66" s="1112">
        <v>5.0307333333333304</v>
      </c>
      <c r="N66" s="1112">
        <v>4.4970999999999997</v>
      </c>
      <c r="O66" s="527" t="s">
        <v>548</v>
      </c>
      <c r="P66" s="1112">
        <v>3.9750416666666699</v>
      </c>
      <c r="Q66" s="1112">
        <v>3.9260125000000001</v>
      </c>
      <c r="R66" s="1112">
        <v>2.5684999999999998</v>
      </c>
      <c r="S66" s="1112">
        <v>4.5892384615384598</v>
      </c>
      <c r="T66" s="1112">
        <v>4.5416090909090903</v>
      </c>
      <c r="U66" s="1112">
        <v>3.39333333333333</v>
      </c>
      <c r="V66" s="1112">
        <v>4.5474214285714298</v>
      </c>
      <c r="W66" s="1112">
        <v>4.9363000000000001</v>
      </c>
      <c r="X66" s="1112">
        <v>3.3611111111111098</v>
      </c>
      <c r="Y66" s="1112">
        <v>5.1140214285714301</v>
      </c>
      <c r="Z66" s="1112">
        <v>5.1727909090909101</v>
      </c>
      <c r="AA66" s="1112">
        <v>3.2686666666666699</v>
      </c>
      <c r="AB66" s="527" t="s">
        <v>548</v>
      </c>
      <c r="AC66" s="1112">
        <v>2.5163250000000001</v>
      </c>
      <c r="AD66" s="1112">
        <v>2.08</v>
      </c>
      <c r="AE66" s="1112">
        <v>0.25</v>
      </c>
      <c r="AF66" s="1112">
        <v>2.899775</v>
      </c>
      <c r="AG66" s="1112">
        <v>2.0640333333333301</v>
      </c>
      <c r="AH66" s="1112">
        <v>0.5</v>
      </c>
      <c r="AI66" s="1112">
        <v>2.9028749999999999</v>
      </c>
      <c r="AJ66" s="1112">
        <v>0.85</v>
      </c>
      <c r="AK66" s="1112">
        <v>0.75</v>
      </c>
      <c r="AL66" s="1112">
        <v>3.2528999999999999</v>
      </c>
      <c r="AM66" s="1112">
        <v>1.81</v>
      </c>
      <c r="AN66" s="1112">
        <v>1</v>
      </c>
    </row>
    <row r="67" spans="1:40" s="236" customFormat="1" ht="12" customHeight="1" x14ac:dyDescent="0.2">
      <c r="A67" s="559" t="s">
        <v>2479</v>
      </c>
      <c r="B67" s="491" t="s">
        <v>556</v>
      </c>
      <c r="C67" s="1117">
        <v>4.4917666666666696</v>
      </c>
      <c r="D67" s="1117">
        <v>4.6459000000000001</v>
      </c>
      <c r="E67" s="1117">
        <v>3.1322666666666699</v>
      </c>
      <c r="F67" s="1117">
        <v>4.1377249999999997</v>
      </c>
      <c r="G67" s="1117">
        <v>4.3699750000000002</v>
      </c>
      <c r="H67" s="1117">
        <v>2.9827333333333299</v>
      </c>
      <c r="I67" s="1117">
        <v>4.0996499999999996</v>
      </c>
      <c r="J67" s="1117">
        <v>4.3178999999999998</v>
      </c>
      <c r="K67" s="1117">
        <v>3.2287333333333299</v>
      </c>
      <c r="L67" s="1117">
        <v>4.1094999999999997</v>
      </c>
      <c r="M67" s="1117">
        <v>4.3078500000000002</v>
      </c>
      <c r="N67" s="1117">
        <v>3.411</v>
      </c>
      <c r="O67" s="491" t="s">
        <v>556</v>
      </c>
      <c r="P67" s="1117">
        <v>3.9446416666666702</v>
      </c>
      <c r="Q67" s="1117">
        <v>3.94854444444444</v>
      </c>
      <c r="R67" s="1117">
        <v>2.4821666666666702</v>
      </c>
      <c r="S67" s="1117">
        <v>4.3626800000000001</v>
      </c>
      <c r="T67" s="1117">
        <v>4.2859538461538502</v>
      </c>
      <c r="U67" s="1117">
        <v>3.1098727272727298</v>
      </c>
      <c r="V67" s="1117">
        <v>4.3372687499999998</v>
      </c>
      <c r="W67" s="1117">
        <v>4.5917500000000002</v>
      </c>
      <c r="X67" s="1117">
        <v>3.1208454545454498</v>
      </c>
      <c r="Y67" s="1117">
        <v>4.8390062499999997</v>
      </c>
      <c r="Z67" s="1117">
        <v>4.81477692307692</v>
      </c>
      <c r="AA67" s="1117">
        <v>3.0703181818181799</v>
      </c>
      <c r="AB67" s="491" t="s">
        <v>556</v>
      </c>
      <c r="AC67" s="1117">
        <v>2.5326</v>
      </c>
      <c r="AD67" s="1117">
        <v>1.81</v>
      </c>
      <c r="AE67" s="1117">
        <v>0.25</v>
      </c>
      <c r="AF67" s="1117">
        <v>2.8116333333333299</v>
      </c>
      <c r="AG67" s="1117">
        <v>1.72655</v>
      </c>
      <c r="AH67" s="1117">
        <v>0.5</v>
      </c>
      <c r="AI67" s="1117">
        <v>2.6269999999999998</v>
      </c>
      <c r="AJ67" s="1117">
        <v>0.85</v>
      </c>
      <c r="AK67" s="1117">
        <v>0.75</v>
      </c>
      <c r="AL67" s="1117">
        <v>3.0471333333333299</v>
      </c>
      <c r="AM67" s="1117">
        <v>1</v>
      </c>
      <c r="AN67" s="1117">
        <v>1</v>
      </c>
    </row>
    <row r="68" spans="1:40" s="236" customFormat="1" ht="12" customHeight="1" x14ac:dyDescent="0.2">
      <c r="A68" s="559" t="s">
        <v>2479</v>
      </c>
      <c r="B68" s="527" t="s">
        <v>557</v>
      </c>
      <c r="C68" s="1112">
        <v>4.48783333333333</v>
      </c>
      <c r="D68" s="1112">
        <v>4.5194999999999999</v>
      </c>
      <c r="E68" s="1112">
        <v>3.5251333333333301</v>
      </c>
      <c r="F68" s="1112">
        <v>4.11355</v>
      </c>
      <c r="G68" s="1112">
        <v>4.2717999999999998</v>
      </c>
      <c r="H68" s="1112">
        <v>3.3393333333333302</v>
      </c>
      <c r="I68" s="1112">
        <v>4.1348500000000001</v>
      </c>
      <c r="J68" s="1112">
        <v>4.15665</v>
      </c>
      <c r="K68" s="1112">
        <v>2.95366666666667</v>
      </c>
      <c r="L68" s="1112">
        <v>3.8154249999999998</v>
      </c>
      <c r="M68" s="1112">
        <v>3.9024749999999999</v>
      </c>
      <c r="N68" s="1112">
        <v>3.4262666666666699</v>
      </c>
      <c r="O68" s="527" t="s">
        <v>557</v>
      </c>
      <c r="P68" s="1112">
        <v>3.8255499999999998</v>
      </c>
      <c r="Q68" s="1112">
        <v>3.80904444444444</v>
      </c>
      <c r="R68" s="1112">
        <v>2.1671666666666698</v>
      </c>
      <c r="S68" s="1112">
        <v>4.2266285714285701</v>
      </c>
      <c r="T68" s="1112">
        <v>4.0450583333333299</v>
      </c>
      <c r="U68" s="1112">
        <v>2.8180999999999998</v>
      </c>
      <c r="V68" s="1112">
        <v>4.2045133333333302</v>
      </c>
      <c r="W68" s="1112">
        <v>4.4046272727272697</v>
      </c>
      <c r="X68" s="1112">
        <v>2.8316499999999998</v>
      </c>
      <c r="Y68" s="1112">
        <v>4.7423599999999997</v>
      </c>
      <c r="Z68" s="1112">
        <v>4.6980083333333296</v>
      </c>
      <c r="AA68" s="1112">
        <v>2.8566500000000001</v>
      </c>
      <c r="AB68" s="527" t="s">
        <v>557</v>
      </c>
      <c r="AC68" s="1112">
        <v>2.4417</v>
      </c>
      <c r="AD68" s="1112">
        <v>2.08</v>
      </c>
      <c r="AE68" s="1112">
        <v>0.25</v>
      </c>
      <c r="AF68" s="1112">
        <v>2.9494250000000002</v>
      </c>
      <c r="AG68" s="1112">
        <v>1.72655</v>
      </c>
      <c r="AH68" s="1112">
        <v>1.56</v>
      </c>
      <c r="AI68" s="1112">
        <v>2.8395250000000001</v>
      </c>
      <c r="AJ68" s="1112">
        <v>1.7350000000000001</v>
      </c>
      <c r="AK68" s="1112">
        <v>0.75</v>
      </c>
      <c r="AL68" s="1112">
        <v>3.0522499999999999</v>
      </c>
      <c r="AM68" s="1112">
        <v>1.81</v>
      </c>
      <c r="AN68" s="1112">
        <v>1</v>
      </c>
    </row>
    <row r="69" spans="1:40" s="236" customFormat="1" ht="12" customHeight="1" x14ac:dyDescent="0.2">
      <c r="A69" s="559" t="s">
        <v>2479</v>
      </c>
      <c r="B69" s="491" t="s">
        <v>549</v>
      </c>
      <c r="C69" s="1117">
        <v>4.4905333333333299</v>
      </c>
      <c r="D69" s="1117">
        <v>4.4875999999999996</v>
      </c>
      <c r="E69" s="1117">
        <v>3.4519000000000002</v>
      </c>
      <c r="F69" s="1117">
        <v>4.0581500000000004</v>
      </c>
      <c r="G69" s="1117">
        <v>4.2551249999999996</v>
      </c>
      <c r="H69" s="1117">
        <v>3.2294999999999998</v>
      </c>
      <c r="I69" s="1117">
        <v>4.0883250000000002</v>
      </c>
      <c r="J69" s="1117">
        <v>4.1486999999999998</v>
      </c>
      <c r="K69" s="1117">
        <v>2.7806999999999999</v>
      </c>
      <c r="L69" s="1117">
        <v>3.6951749999999999</v>
      </c>
      <c r="M69" s="1117">
        <v>3.8405749999999999</v>
      </c>
      <c r="N69" s="1117">
        <v>3.3246333333333302</v>
      </c>
      <c r="O69" s="491" t="s">
        <v>549</v>
      </c>
      <c r="P69" s="1117">
        <v>3.825075</v>
      </c>
      <c r="Q69" s="1117">
        <v>3.7993777777777802</v>
      </c>
      <c r="R69" s="1117">
        <v>2.0781666666666698</v>
      </c>
      <c r="S69" s="1117">
        <v>4.2203499999999998</v>
      </c>
      <c r="T69" s="1117">
        <v>4.0314416666666704</v>
      </c>
      <c r="U69" s="1117">
        <v>2.7435499999999999</v>
      </c>
      <c r="V69" s="1117">
        <v>4.1868600000000002</v>
      </c>
      <c r="W69" s="1117">
        <v>4.38983636363636</v>
      </c>
      <c r="X69" s="1117">
        <v>2.7829799999999998</v>
      </c>
      <c r="Y69" s="1117">
        <v>4.7019133333333301</v>
      </c>
      <c r="Z69" s="1117">
        <v>4.6705583333333296</v>
      </c>
      <c r="AA69" s="1117">
        <v>2.8223799999999999</v>
      </c>
      <c r="AB69" s="491" t="s">
        <v>549</v>
      </c>
      <c r="AC69" s="1117">
        <v>2.6023749999999999</v>
      </c>
      <c r="AD69" s="1117">
        <v>2.08</v>
      </c>
      <c r="AE69" s="1117">
        <v>0.25</v>
      </c>
      <c r="AF69" s="1117">
        <v>2.9453</v>
      </c>
      <c r="AG69" s="1117">
        <v>1.72655</v>
      </c>
      <c r="AH69" s="1117">
        <v>1.56</v>
      </c>
      <c r="AI69" s="1117">
        <v>2.9932750000000001</v>
      </c>
      <c r="AJ69" s="1117">
        <v>1.7350000000000001</v>
      </c>
      <c r="AK69" s="1117">
        <v>0.75</v>
      </c>
      <c r="AL69" s="1117">
        <v>2.8603999999999998</v>
      </c>
      <c r="AM69" s="1117">
        <v>1.81</v>
      </c>
      <c r="AN69" s="1117">
        <v>1</v>
      </c>
    </row>
    <row r="70" spans="1:40" s="236" customFormat="1" ht="12" customHeight="1" x14ac:dyDescent="0.2">
      <c r="A70" s="559" t="s">
        <v>2479</v>
      </c>
      <c r="B70" s="527" t="s">
        <v>558</v>
      </c>
      <c r="C70" s="1112">
        <v>3.3182999999999998</v>
      </c>
      <c r="D70" s="1112">
        <v>3.3648500000000001</v>
      </c>
      <c r="E70" s="1112">
        <v>2.33</v>
      </c>
      <c r="F70" s="1112">
        <v>3.3267333333333302</v>
      </c>
      <c r="G70" s="1112">
        <v>3.4805999999999999</v>
      </c>
      <c r="H70" s="1112">
        <v>2.46075</v>
      </c>
      <c r="I70" s="1112">
        <v>3.3444333333333298</v>
      </c>
      <c r="J70" s="1112">
        <v>3.2917333333333301</v>
      </c>
      <c r="K70" s="1112">
        <v>1.6835</v>
      </c>
      <c r="L70" s="1112">
        <v>2.8611</v>
      </c>
      <c r="M70" s="1112">
        <v>2.99033333333333</v>
      </c>
      <c r="N70" s="1112">
        <v>2.3505500000000001</v>
      </c>
      <c r="O70" s="527" t="s">
        <v>558</v>
      </c>
      <c r="P70" s="1112">
        <v>3.7728636363636401</v>
      </c>
      <c r="Q70" s="1112">
        <v>3.6548875000000001</v>
      </c>
      <c r="R70" s="1112">
        <v>1.9510000000000001</v>
      </c>
      <c r="S70" s="1112">
        <v>4.1551153846153799</v>
      </c>
      <c r="T70" s="1112">
        <v>3.9460636363636401</v>
      </c>
      <c r="U70" s="1112">
        <v>2.69082222222222</v>
      </c>
      <c r="V70" s="1112">
        <v>4.1100214285714296</v>
      </c>
      <c r="W70" s="1112">
        <v>4.3078700000000003</v>
      </c>
      <c r="X70" s="1112">
        <v>2.7236333333333298</v>
      </c>
      <c r="Y70" s="1112">
        <v>4.5516285714285702</v>
      </c>
      <c r="Z70" s="1112">
        <v>4.5732999999999997</v>
      </c>
      <c r="AA70" s="1112">
        <v>2.76976666666667</v>
      </c>
      <c r="AB70" s="527" t="s">
        <v>558</v>
      </c>
      <c r="AC70" s="1112">
        <v>2.6230500000000001</v>
      </c>
      <c r="AD70" s="1112">
        <v>2.08</v>
      </c>
      <c r="AE70" s="1112">
        <v>0.25</v>
      </c>
      <c r="AF70" s="1112">
        <v>2.7846000000000002</v>
      </c>
      <c r="AG70" s="1112">
        <v>1.7172499999999999</v>
      </c>
      <c r="AH70" s="1112">
        <v>0.5</v>
      </c>
      <c r="AI70" s="1112">
        <v>2.7126749999999999</v>
      </c>
      <c r="AJ70" s="1112">
        <v>1.7350000000000001</v>
      </c>
      <c r="AK70" s="1112">
        <v>0.75</v>
      </c>
      <c r="AL70" s="1112">
        <v>2.6412249999999999</v>
      </c>
      <c r="AM70" s="1112">
        <v>1.81</v>
      </c>
      <c r="AN70" s="1112">
        <v>1</v>
      </c>
    </row>
    <row r="71" spans="1:40" s="236" customFormat="1" ht="12" customHeight="1" x14ac:dyDescent="0.2">
      <c r="A71" s="559" t="s">
        <v>2479</v>
      </c>
      <c r="B71" s="491" t="s">
        <v>559</v>
      </c>
      <c r="C71" s="1117">
        <v>4.4744999999999999</v>
      </c>
      <c r="D71" s="1117">
        <v>4.4362333333333304</v>
      </c>
      <c r="E71" s="1117">
        <v>3.3376333333333301</v>
      </c>
      <c r="F71" s="1117">
        <v>3.9732249999999998</v>
      </c>
      <c r="G71" s="1117">
        <v>3.97865</v>
      </c>
      <c r="H71" s="1117">
        <v>2.90683333333333</v>
      </c>
      <c r="I71" s="1117">
        <v>3.9324750000000002</v>
      </c>
      <c r="J71" s="1117">
        <v>3.865675</v>
      </c>
      <c r="K71" s="1117">
        <v>2.41686666666667</v>
      </c>
      <c r="L71" s="1117">
        <v>3.419025</v>
      </c>
      <c r="M71" s="1117">
        <v>3.4878499999999999</v>
      </c>
      <c r="N71" s="1117">
        <v>3.0528666666666702</v>
      </c>
      <c r="O71" s="491" t="s">
        <v>559</v>
      </c>
      <c r="P71" s="1117">
        <v>3.8201499999999999</v>
      </c>
      <c r="Q71" s="1117">
        <v>3.6708777777777799</v>
      </c>
      <c r="R71" s="1117">
        <v>1.92116666666667</v>
      </c>
      <c r="S71" s="1117">
        <v>4.11042857142857</v>
      </c>
      <c r="T71" s="1117">
        <v>3.8958666666666701</v>
      </c>
      <c r="U71" s="1117">
        <v>2.6109</v>
      </c>
      <c r="V71" s="1117">
        <v>4.1452999999999998</v>
      </c>
      <c r="W71" s="1117">
        <v>4.2801272727272703</v>
      </c>
      <c r="X71" s="1117">
        <v>2.6978399999999998</v>
      </c>
      <c r="Y71" s="1117">
        <v>4.5964866666666699</v>
      </c>
      <c r="Z71" s="1117">
        <v>4.5987083333333301</v>
      </c>
      <c r="AA71" s="1117">
        <v>2.7630499999999998</v>
      </c>
      <c r="AB71" s="491" t="s">
        <v>559</v>
      </c>
      <c r="AC71" s="1117">
        <v>2.51085</v>
      </c>
      <c r="AD71" s="1117">
        <v>2.08</v>
      </c>
      <c r="AE71" s="1117">
        <v>0.25</v>
      </c>
      <c r="AF71" s="1117">
        <v>2.807175</v>
      </c>
      <c r="AG71" s="1117">
        <v>1.9643666666666699</v>
      </c>
      <c r="AH71" s="1117">
        <v>0.5</v>
      </c>
      <c r="AI71" s="1117">
        <v>2.6908750000000001</v>
      </c>
      <c r="AJ71" s="1117">
        <v>1.7350000000000001</v>
      </c>
      <c r="AK71" s="1117">
        <v>0.75</v>
      </c>
      <c r="AL71" s="1117">
        <v>2.812875</v>
      </c>
      <c r="AM71" s="1117">
        <v>1.81</v>
      </c>
      <c r="AN71" s="1117">
        <v>1</v>
      </c>
    </row>
    <row r="72" spans="1:40" s="236" customFormat="1" ht="12" customHeight="1" x14ac:dyDescent="0.2">
      <c r="A72" s="559" t="s">
        <v>2479</v>
      </c>
      <c r="B72" s="527" t="s">
        <v>550</v>
      </c>
      <c r="C72" s="1112">
        <v>4.4922666666666702</v>
      </c>
      <c r="D72" s="1112">
        <v>4.4018666666666704</v>
      </c>
      <c r="E72" s="1112">
        <v>3.242</v>
      </c>
      <c r="F72" s="1112">
        <v>4.0410000000000004</v>
      </c>
      <c r="G72" s="1112">
        <v>4.0228999999999999</v>
      </c>
      <c r="H72" s="1112">
        <v>2.7639666666666698</v>
      </c>
      <c r="I72" s="1112">
        <v>4.0267499999999998</v>
      </c>
      <c r="J72" s="1112">
        <v>3.8859499999999998</v>
      </c>
      <c r="K72" s="1112">
        <v>2.2647666666666701</v>
      </c>
      <c r="L72" s="1112">
        <v>3.5372249999999998</v>
      </c>
      <c r="M72" s="1112">
        <v>3.541725</v>
      </c>
      <c r="N72" s="1112">
        <v>2.9102000000000001</v>
      </c>
      <c r="O72" s="527" t="s">
        <v>550</v>
      </c>
      <c r="P72" s="1112">
        <v>3.8170583333333301</v>
      </c>
      <c r="Q72" s="1112">
        <v>3.6367111111111101</v>
      </c>
      <c r="R72" s="1112">
        <v>1.86466666666667</v>
      </c>
      <c r="S72" s="1112">
        <v>4.1020071428571399</v>
      </c>
      <c r="T72" s="1112">
        <v>3.8607499999999999</v>
      </c>
      <c r="U72" s="1112">
        <v>2.5791900000000001</v>
      </c>
      <c r="V72" s="1112">
        <v>4.1824533333333296</v>
      </c>
      <c r="W72" s="1112">
        <v>4.2336272727272704</v>
      </c>
      <c r="X72" s="1112">
        <v>2.67699</v>
      </c>
      <c r="Y72" s="1112">
        <v>4.5470466666666702</v>
      </c>
      <c r="Z72" s="1112">
        <v>4.5430000000000001</v>
      </c>
      <c r="AA72" s="1112">
        <v>2.7546499999999998</v>
      </c>
      <c r="AB72" s="527" t="s">
        <v>550</v>
      </c>
      <c r="AC72" s="1112">
        <v>2.4474749999999998</v>
      </c>
      <c r="AD72" s="1112">
        <v>2.08</v>
      </c>
      <c r="AE72" s="1112">
        <v>0.25</v>
      </c>
      <c r="AF72" s="1112">
        <v>2.7822499999999999</v>
      </c>
      <c r="AG72" s="1112">
        <v>1.9643666666666699</v>
      </c>
      <c r="AH72" s="1112">
        <v>0.5</v>
      </c>
      <c r="AI72" s="1112">
        <v>2.6565500000000002</v>
      </c>
      <c r="AJ72" s="1112">
        <v>1.7350000000000001</v>
      </c>
      <c r="AK72" s="1112">
        <v>0.72499999999999998</v>
      </c>
      <c r="AL72" s="1112">
        <v>2.8067000000000002</v>
      </c>
      <c r="AM72" s="1112">
        <v>1.81</v>
      </c>
      <c r="AN72" s="1112">
        <v>1</v>
      </c>
    </row>
    <row r="73" spans="1:40" s="236" customFormat="1" ht="12" customHeight="1" x14ac:dyDescent="0.2">
      <c r="A73" s="513" t="s">
        <v>2730</v>
      </c>
      <c r="B73" s="527" t="s">
        <v>552</v>
      </c>
      <c r="C73" s="1112">
        <v>4.5040666666666702</v>
      </c>
      <c r="D73" s="1112">
        <v>4.4084666666666701</v>
      </c>
      <c r="E73" s="1112">
        <v>3.2128000000000001</v>
      </c>
      <c r="F73" s="1112">
        <v>3.3925999999999998</v>
      </c>
      <c r="G73" s="1112">
        <v>3.3682750000000001</v>
      </c>
      <c r="H73" s="1112">
        <v>2.7522333333333302</v>
      </c>
      <c r="I73" s="1112">
        <v>4.0016499999999997</v>
      </c>
      <c r="J73" s="1112">
        <v>3.890625</v>
      </c>
      <c r="K73" s="1112">
        <v>2.6184333333333298</v>
      </c>
      <c r="L73" s="1112">
        <v>3.9269250000000002</v>
      </c>
      <c r="M73" s="1112">
        <v>3.7744249999999999</v>
      </c>
      <c r="N73" s="1112">
        <v>2.1063000000000001</v>
      </c>
      <c r="O73" s="527" t="s">
        <v>552</v>
      </c>
      <c r="P73" s="1112">
        <v>3.5448692307692302</v>
      </c>
      <c r="Q73" s="1112">
        <v>3.2452100000000002</v>
      </c>
      <c r="R73" s="1112">
        <v>1.61918571428571</v>
      </c>
      <c r="S73" s="1112">
        <v>4.5489533333333299</v>
      </c>
      <c r="T73" s="1112">
        <v>4.5184499999999996</v>
      </c>
      <c r="U73" s="1112">
        <v>2.7360099999999998</v>
      </c>
      <c r="V73" s="1112">
        <v>4.0887428571428597</v>
      </c>
      <c r="W73" s="1112">
        <v>3.8192833333333298</v>
      </c>
      <c r="X73" s="1112">
        <v>2.55403</v>
      </c>
      <c r="Y73" s="1112">
        <v>4.1743666666666703</v>
      </c>
      <c r="Z73" s="1112">
        <v>4.1916454545454496</v>
      </c>
      <c r="AA73" s="1112">
        <v>2.6513499999999999</v>
      </c>
      <c r="AB73" s="527" t="s">
        <v>552</v>
      </c>
      <c r="AC73" s="1112">
        <v>2.599475</v>
      </c>
      <c r="AD73" s="1112">
        <v>2.08</v>
      </c>
      <c r="AE73" s="1112">
        <v>0.25</v>
      </c>
      <c r="AF73" s="1112">
        <v>2.5686249999999999</v>
      </c>
      <c r="AG73" s="1112">
        <v>1.81</v>
      </c>
      <c r="AH73" s="1112">
        <v>1</v>
      </c>
      <c r="AI73" s="1112">
        <v>2.5667</v>
      </c>
      <c r="AJ73" s="1112">
        <v>1.92736666666667</v>
      </c>
      <c r="AK73" s="1112">
        <v>0.5</v>
      </c>
      <c r="AL73" s="1112">
        <v>2.3647749999999998</v>
      </c>
      <c r="AM73" s="1112">
        <v>1.7350000000000001</v>
      </c>
      <c r="AN73" s="1112">
        <v>0.72499999999999998</v>
      </c>
    </row>
    <row r="74" spans="1:40" s="236" customFormat="1" ht="12" customHeight="1" x14ac:dyDescent="0.2">
      <c r="A74" s="513" t="s">
        <v>2730</v>
      </c>
      <c r="B74" s="491" t="s">
        <v>553</v>
      </c>
      <c r="C74" s="1117">
        <v>4.4843000000000002</v>
      </c>
      <c r="D74" s="1117">
        <v>4.2844333333333298</v>
      </c>
      <c r="E74" s="1117">
        <v>3.1105</v>
      </c>
      <c r="F74" s="1117">
        <v>3.3622749999999999</v>
      </c>
      <c r="G74" s="1117">
        <v>3.3470249999999999</v>
      </c>
      <c r="H74" s="1117">
        <v>2.5756000000000001</v>
      </c>
      <c r="I74" s="1117">
        <v>3.9290250000000002</v>
      </c>
      <c r="J74" s="1117">
        <v>3.7645749999999998</v>
      </c>
      <c r="K74" s="1117">
        <v>2.46153333333333</v>
      </c>
      <c r="L74" s="1117">
        <v>3.9060250000000001</v>
      </c>
      <c r="M74" s="1117">
        <v>3.759125</v>
      </c>
      <c r="N74" s="1117">
        <v>1.92523333333333</v>
      </c>
      <c r="O74" s="491" t="s">
        <v>553</v>
      </c>
      <c r="P74" s="1117">
        <v>3.5732923076923102</v>
      </c>
      <c r="Q74" s="1117">
        <v>3.3301400000000001</v>
      </c>
      <c r="R74" s="1117">
        <v>1.6248571428571399</v>
      </c>
      <c r="S74" s="1117">
        <v>4.3481666666666703</v>
      </c>
      <c r="T74" s="1117">
        <v>4.4475818181818196</v>
      </c>
      <c r="U74" s="1117">
        <v>2.7138</v>
      </c>
      <c r="V74" s="1117">
        <v>4.0841399999999997</v>
      </c>
      <c r="W74" s="1117">
        <v>3.8154076923076898</v>
      </c>
      <c r="X74" s="1117">
        <v>2.5374500000000002</v>
      </c>
      <c r="Y74" s="1117">
        <v>4.2406187500000003</v>
      </c>
      <c r="Z74" s="1117">
        <v>4.1865909090909099</v>
      </c>
      <c r="AA74" s="1117">
        <v>2.6271499999999999</v>
      </c>
      <c r="AB74" s="491" t="s">
        <v>553</v>
      </c>
      <c r="AC74" s="1117">
        <v>2.3208500000000001</v>
      </c>
      <c r="AD74" s="1117">
        <v>2.08</v>
      </c>
      <c r="AE74" s="1117">
        <v>0.25</v>
      </c>
      <c r="AF74" s="1117">
        <v>2.5451999999999999</v>
      </c>
      <c r="AG74" s="1117">
        <v>1</v>
      </c>
      <c r="AH74" s="1117">
        <v>1</v>
      </c>
      <c r="AI74" s="1117">
        <v>2.60405</v>
      </c>
      <c r="AJ74" s="1117">
        <v>1.92736666666667</v>
      </c>
      <c r="AK74" s="1117">
        <v>0.5</v>
      </c>
      <c r="AL74" s="1117">
        <v>2.34165</v>
      </c>
      <c r="AM74" s="1117">
        <v>1.7350000000000001</v>
      </c>
      <c r="AN74" s="1117">
        <v>0.72499999999999998</v>
      </c>
    </row>
    <row r="75" spans="1:40" s="236" customFormat="1" ht="12" customHeight="1" x14ac:dyDescent="0.2">
      <c r="A75" s="513" t="s">
        <v>2730</v>
      </c>
      <c r="B75" s="527" t="s">
        <v>547</v>
      </c>
      <c r="C75" s="1112">
        <v>4.3474333333333304</v>
      </c>
      <c r="D75" s="1112">
        <v>4.2247666666666701</v>
      </c>
      <c r="E75" s="1112">
        <v>3.0774666666666701</v>
      </c>
      <c r="F75" s="1112">
        <v>3.2338749999999998</v>
      </c>
      <c r="G75" s="1112">
        <v>3.3762750000000001</v>
      </c>
      <c r="H75" s="1112">
        <v>2.4319000000000002</v>
      </c>
      <c r="I75" s="1112">
        <v>3.8108249999999999</v>
      </c>
      <c r="J75" s="1112">
        <v>3.8472499999999998</v>
      </c>
      <c r="K75" s="1112">
        <v>2.4535</v>
      </c>
      <c r="L75" s="1112">
        <v>3.7962750000000001</v>
      </c>
      <c r="M75" s="1112">
        <v>3.8040500000000002</v>
      </c>
      <c r="N75" s="1112">
        <v>1.89346666666667</v>
      </c>
      <c r="O75" s="527" t="s">
        <v>547</v>
      </c>
      <c r="P75" s="1112">
        <v>3.5155923076923101</v>
      </c>
      <c r="Q75" s="1112">
        <v>3.3241200000000002</v>
      </c>
      <c r="R75" s="1112">
        <v>1.63414285714286</v>
      </c>
      <c r="S75" s="1112">
        <v>4.3564466666666704</v>
      </c>
      <c r="T75" s="1112">
        <v>4.4503454545454497</v>
      </c>
      <c r="U75" s="1112">
        <v>2.7195299999999998</v>
      </c>
      <c r="V75" s="1112">
        <v>4.0202066666666703</v>
      </c>
      <c r="W75" s="1112">
        <v>3.8139076923076898</v>
      </c>
      <c r="X75" s="1112">
        <v>2.52874</v>
      </c>
      <c r="Y75" s="1112">
        <v>4.20034375</v>
      </c>
      <c r="Z75" s="1112">
        <v>4.1843545454545499</v>
      </c>
      <c r="AA75" s="1112">
        <v>2.6289799999999999</v>
      </c>
      <c r="AB75" s="527" t="s">
        <v>547</v>
      </c>
      <c r="AC75" s="1112">
        <v>2.126125</v>
      </c>
      <c r="AD75" s="1112">
        <v>2.08</v>
      </c>
      <c r="AE75" s="1112">
        <v>0.25</v>
      </c>
      <c r="AF75" s="1112">
        <v>2.26715</v>
      </c>
      <c r="AG75" s="1112">
        <v>1.81</v>
      </c>
      <c r="AH75" s="1112">
        <v>1</v>
      </c>
      <c r="AI75" s="1112">
        <v>2.3014999999999999</v>
      </c>
      <c r="AJ75" s="1112">
        <v>1.92736666666667</v>
      </c>
      <c r="AK75" s="1112">
        <v>0.6</v>
      </c>
      <c r="AL75" s="1112">
        <v>1.990575</v>
      </c>
      <c r="AM75" s="1112">
        <v>1.7350000000000001</v>
      </c>
      <c r="AN75" s="1112">
        <v>0.75</v>
      </c>
    </row>
    <row r="76" spans="1:40" s="236" customFormat="1" ht="12" customHeight="1" x14ac:dyDescent="0.2">
      <c r="A76" s="513" t="s">
        <v>2730</v>
      </c>
      <c r="B76" s="491" t="s">
        <v>554</v>
      </c>
      <c r="C76" s="1117">
        <v>4.2787333333333297</v>
      </c>
      <c r="D76" s="1117">
        <v>4.1664666666666701</v>
      </c>
      <c r="E76" s="1117">
        <v>3.0034000000000001</v>
      </c>
      <c r="F76" s="1117">
        <v>3.1541250000000001</v>
      </c>
      <c r="G76" s="1117">
        <v>3.2967</v>
      </c>
      <c r="H76" s="1117">
        <v>2.2946</v>
      </c>
      <c r="I76" s="1117">
        <v>3.6712250000000002</v>
      </c>
      <c r="J76" s="1117">
        <v>3.7915000000000001</v>
      </c>
      <c r="K76" s="1117">
        <v>2.4111333333333298</v>
      </c>
      <c r="L76" s="1117">
        <v>3.6659999999999999</v>
      </c>
      <c r="M76" s="1117">
        <v>3.695875</v>
      </c>
      <c r="N76" s="1117">
        <v>1.83046666666667</v>
      </c>
      <c r="O76" s="491" t="s">
        <v>554</v>
      </c>
      <c r="P76" s="1117">
        <v>3.3894153846153801</v>
      </c>
      <c r="Q76" s="1117">
        <v>2.96915</v>
      </c>
      <c r="R76" s="1117">
        <v>1.4277142857142899</v>
      </c>
      <c r="S76" s="1117">
        <v>4.26209333333333</v>
      </c>
      <c r="T76" s="1117">
        <v>4.1618727272727298</v>
      </c>
      <c r="U76" s="1117">
        <v>2.51674</v>
      </c>
      <c r="V76" s="1117">
        <v>3.9758466666666701</v>
      </c>
      <c r="W76" s="1117">
        <v>3.4840307692307699</v>
      </c>
      <c r="X76" s="1117">
        <v>2.3917000000000002</v>
      </c>
      <c r="Y76" s="1117">
        <v>4.0242666666666702</v>
      </c>
      <c r="Z76" s="1117">
        <v>3.8350363636363598</v>
      </c>
      <c r="AA76" s="1117">
        <v>2.4522499999999998</v>
      </c>
      <c r="AB76" s="491" t="s">
        <v>554</v>
      </c>
      <c r="AC76" s="1117">
        <v>2.0984250000000002</v>
      </c>
      <c r="AD76" s="1117">
        <v>2.08</v>
      </c>
      <c r="AE76" s="1117">
        <v>0.25</v>
      </c>
      <c r="AF76" s="1117">
        <v>2.2621000000000002</v>
      </c>
      <c r="AG76" s="1117">
        <v>1.81</v>
      </c>
      <c r="AH76" s="1117">
        <v>1</v>
      </c>
      <c r="AI76" s="1117">
        <v>2.2047750000000002</v>
      </c>
      <c r="AJ76" s="1117">
        <v>1.9040333333333299</v>
      </c>
      <c r="AK76" s="1117">
        <v>0.6</v>
      </c>
      <c r="AL76" s="1117">
        <v>1.909475</v>
      </c>
      <c r="AM76" s="1117">
        <v>1.7350000000000001</v>
      </c>
      <c r="AN76" s="1117">
        <v>0.75</v>
      </c>
    </row>
    <row r="77" spans="1:40" s="236" customFormat="1" ht="12" customHeight="1" x14ac:dyDescent="0.2">
      <c r="A77" s="513" t="s">
        <v>2730</v>
      </c>
      <c r="B77" s="527" t="s">
        <v>555</v>
      </c>
      <c r="C77" s="1112">
        <v>2.9163000000000001</v>
      </c>
      <c r="D77" s="1112">
        <v>2.8694999999999999</v>
      </c>
      <c r="E77" s="1112">
        <v>1.6550499999999999</v>
      </c>
      <c r="F77" s="1112">
        <v>3.1600999999999999</v>
      </c>
      <c r="G77" s="1112">
        <v>3.2136749999999998</v>
      </c>
      <c r="H77" s="1112">
        <v>2.1897333333333302</v>
      </c>
      <c r="I77" s="1112">
        <v>3.65625</v>
      </c>
      <c r="J77" s="1112">
        <v>3.7462</v>
      </c>
      <c r="K77" s="1112">
        <v>2.3836666666666702</v>
      </c>
      <c r="L77" s="1112">
        <v>3.645775</v>
      </c>
      <c r="M77" s="1112">
        <v>3.6246999999999998</v>
      </c>
      <c r="N77" s="1112">
        <v>1.79433333333333</v>
      </c>
      <c r="O77" s="527" t="s">
        <v>555</v>
      </c>
      <c r="P77" s="1112">
        <v>3.30770769230769</v>
      </c>
      <c r="Q77" s="1112">
        <v>2.8839899999999998</v>
      </c>
      <c r="R77" s="1112">
        <v>1.4170125</v>
      </c>
      <c r="S77" s="1112">
        <v>4.1343800000000002</v>
      </c>
      <c r="T77" s="1112">
        <v>4.09924545454545</v>
      </c>
      <c r="U77" s="1112">
        <v>2.2658800000000001</v>
      </c>
      <c r="V77" s="1112">
        <v>3.8159133333333299</v>
      </c>
      <c r="W77" s="1112">
        <v>3.3136538461538501</v>
      </c>
      <c r="X77" s="1112">
        <v>2.1556000000000002</v>
      </c>
      <c r="Y77" s="1112">
        <v>3.8805066666666699</v>
      </c>
      <c r="Z77" s="1112">
        <v>3.5813000000000001</v>
      </c>
      <c r="AA77" s="1112">
        <v>2.1956899999999999</v>
      </c>
      <c r="AB77" s="527" t="s">
        <v>555</v>
      </c>
      <c r="AC77" s="1112">
        <v>2.0651000000000002</v>
      </c>
      <c r="AD77" s="1112">
        <v>1.52</v>
      </c>
      <c r="AE77" s="1112">
        <v>0.25</v>
      </c>
      <c r="AF77" s="1112">
        <v>2.0731999999999999</v>
      </c>
      <c r="AG77" s="1112">
        <v>2</v>
      </c>
      <c r="AH77" s="1112">
        <v>1</v>
      </c>
      <c r="AI77" s="1112">
        <v>1.9056249999999999</v>
      </c>
      <c r="AJ77" s="1112">
        <v>1.5460499999999999</v>
      </c>
      <c r="AK77" s="1112">
        <v>1.75</v>
      </c>
      <c r="AL77" s="1112">
        <v>1.568025</v>
      </c>
      <c r="AM77" s="1112">
        <v>0.85</v>
      </c>
      <c r="AN77" s="1112">
        <v>0.75</v>
      </c>
    </row>
    <row r="78" spans="1:40" s="236" customFormat="1" ht="12" customHeight="1" thickBot="1" x14ac:dyDescent="0.25">
      <c r="A78" s="513" t="s">
        <v>2730</v>
      </c>
      <c r="B78" s="1502" t="s">
        <v>548</v>
      </c>
      <c r="C78" s="1503">
        <v>2.7969499999999998</v>
      </c>
      <c r="D78" s="1503">
        <v>2.7921999999999998</v>
      </c>
      <c r="E78" s="1503">
        <v>3.6150000000000002</v>
      </c>
      <c r="F78" s="1503">
        <v>3.1212249999999999</v>
      </c>
      <c r="G78" s="1503">
        <v>3.1196250000000001</v>
      </c>
      <c r="H78" s="1503">
        <v>2.1045333333333298</v>
      </c>
      <c r="I78" s="1503">
        <v>3.6060249999999998</v>
      </c>
      <c r="J78" s="1503">
        <v>3.600425</v>
      </c>
      <c r="K78" s="1503">
        <v>3.5786500000000001</v>
      </c>
      <c r="L78" s="1503">
        <v>3.5949</v>
      </c>
      <c r="M78" s="1503">
        <v>3.3803999999999998</v>
      </c>
      <c r="N78" s="1503">
        <v>2.6852499999999999</v>
      </c>
      <c r="O78" s="1502" t="s">
        <v>548</v>
      </c>
      <c r="P78" s="1503">
        <v>3.43994615384615</v>
      </c>
      <c r="Q78" s="1503">
        <v>3.1817500000000001</v>
      </c>
      <c r="R78" s="1503">
        <v>1.7152624999999999</v>
      </c>
      <c r="S78" s="1503">
        <v>4.1580733333333297</v>
      </c>
      <c r="T78" s="1503">
        <v>4.1448999999999998</v>
      </c>
      <c r="U78" s="1503">
        <v>2.5114999999999998</v>
      </c>
      <c r="V78" s="1503">
        <v>3.97278666666667</v>
      </c>
      <c r="W78" s="1503">
        <v>3.5340384615384601</v>
      </c>
      <c r="X78" s="1503">
        <v>2.38727</v>
      </c>
      <c r="Y78" s="1503">
        <v>3.92794</v>
      </c>
      <c r="Z78" s="1503">
        <v>3.76260833333333</v>
      </c>
      <c r="AA78" s="1503">
        <v>2.4190700000000001</v>
      </c>
      <c r="AB78" s="1502" t="s">
        <v>548</v>
      </c>
      <c r="AC78" s="1503">
        <v>1.5653999999999999</v>
      </c>
      <c r="AD78" s="1503">
        <v>1.56</v>
      </c>
      <c r="AE78" s="1503">
        <v>0.25</v>
      </c>
      <c r="AF78" s="1503">
        <v>2.13015</v>
      </c>
      <c r="AG78" s="1503">
        <v>1.81</v>
      </c>
      <c r="AH78" s="1503">
        <v>1</v>
      </c>
      <c r="AI78" s="1503">
        <v>2.178375</v>
      </c>
      <c r="AJ78" s="1503">
        <v>1.9040333333333299</v>
      </c>
      <c r="AK78" s="1503">
        <v>0.5</v>
      </c>
      <c r="AL78" s="1503">
        <v>1.496575</v>
      </c>
      <c r="AM78" s="1503">
        <v>0.85</v>
      </c>
      <c r="AN78" s="1503">
        <v>0.72499999999999998</v>
      </c>
    </row>
    <row r="79" spans="1:40" ht="12" customHeight="1" x14ac:dyDescent="0.2">
      <c r="A79" s="111" t="s">
        <v>363</v>
      </c>
      <c r="B79" s="111"/>
      <c r="C79" s="2681" t="s">
        <v>1208</v>
      </c>
      <c r="D79" s="2681"/>
      <c r="E79" s="2681"/>
      <c r="F79" s="2681"/>
      <c r="G79" s="2681"/>
      <c r="H79" s="815"/>
      <c r="I79" s="793"/>
      <c r="J79" s="793"/>
      <c r="K79" s="793"/>
      <c r="L79" s="793"/>
      <c r="M79" s="793"/>
      <c r="N79" s="793"/>
      <c r="O79" s="111" t="s">
        <v>363</v>
      </c>
      <c r="P79" s="2681" t="s">
        <v>1208</v>
      </c>
      <c r="Q79" s="2681"/>
      <c r="R79" s="2681"/>
      <c r="S79" s="2681"/>
      <c r="T79" s="2681"/>
      <c r="U79" s="2681"/>
      <c r="AB79" s="111" t="s">
        <v>362</v>
      </c>
      <c r="AC79" s="2835" t="s">
        <v>1208</v>
      </c>
      <c r="AD79" s="2835"/>
      <c r="AE79" s="2835"/>
      <c r="AF79" s="2835"/>
      <c r="AG79" s="2835"/>
      <c r="AH79" s="23"/>
      <c r="AI79" s="23"/>
      <c r="AJ79" s="23"/>
      <c r="AK79" s="23"/>
      <c r="AL79" s="23"/>
      <c r="AM79" s="23"/>
    </row>
    <row r="80" spans="1:40" ht="12.6" customHeight="1" x14ac:dyDescent="0.2">
      <c r="A80" s="39" t="s">
        <v>364</v>
      </c>
      <c r="B80" s="39"/>
      <c r="C80" s="2835"/>
      <c r="D80" s="2835"/>
      <c r="E80" s="2835"/>
      <c r="F80" s="50"/>
      <c r="G80" s="50"/>
      <c r="H80" s="50"/>
      <c r="I80" s="793"/>
      <c r="J80" s="793"/>
      <c r="K80" s="793"/>
      <c r="L80" s="793"/>
      <c r="M80" s="793"/>
      <c r="N80" s="793"/>
      <c r="O80" s="108" t="s">
        <v>220</v>
      </c>
      <c r="P80" s="2838"/>
      <c r="Q80" s="2838"/>
      <c r="R80" s="2838"/>
      <c r="S80" s="701"/>
      <c r="T80" s="701"/>
      <c r="U80" s="112"/>
      <c r="V80" s="110"/>
      <c r="W80" s="110"/>
      <c r="X80" s="110"/>
      <c r="Y80" s="110"/>
      <c r="Z80" s="110"/>
      <c r="AA80" s="110"/>
      <c r="AB80" s="16" t="s">
        <v>360</v>
      </c>
      <c r="AC80" s="2839"/>
      <c r="AD80" s="2839"/>
      <c r="AE80" s="2839"/>
      <c r="AF80" s="80"/>
      <c r="AG80" s="80"/>
      <c r="AH80" s="23"/>
      <c r="AI80" s="23"/>
      <c r="AJ80" s="23"/>
      <c r="AK80" s="23"/>
      <c r="AL80" s="23"/>
      <c r="AM80" s="23"/>
    </row>
    <row r="81" spans="1:40" x14ac:dyDescent="0.2"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</row>
    <row r="82" spans="1:40" x14ac:dyDescent="0.2">
      <c r="A82" s="82"/>
      <c r="B82" s="82"/>
      <c r="C82" s="82"/>
      <c r="D82" s="82"/>
      <c r="E82" s="82"/>
      <c r="O82" s="8"/>
      <c r="AB82" s="8"/>
    </row>
    <row r="83" spans="1:40" ht="15" customHeight="1" x14ac:dyDescent="0.2">
      <c r="A83" s="82"/>
      <c r="B83" s="82"/>
      <c r="C83" s="82"/>
      <c r="D83" s="82"/>
      <c r="E83" s="82"/>
      <c r="O83" s="8"/>
      <c r="AB83" s="8"/>
    </row>
    <row r="84" spans="1:40" x14ac:dyDescent="0.2">
      <c r="A84" s="82"/>
      <c r="B84" s="82"/>
      <c r="C84" s="82"/>
      <c r="D84" s="82"/>
      <c r="E84" s="82"/>
      <c r="O84" s="8"/>
      <c r="AB84" s="8"/>
    </row>
    <row r="85" spans="1:40" x14ac:dyDescent="0.2">
      <c r="A85" s="82"/>
      <c r="B85" s="82"/>
      <c r="C85" s="82"/>
      <c r="O85" s="8"/>
      <c r="AB85" s="8"/>
    </row>
    <row r="86" spans="1:40" x14ac:dyDescent="0.2">
      <c r="A86" s="82"/>
      <c r="B86" s="82"/>
      <c r="C86" s="82"/>
      <c r="D86" s="82"/>
      <c r="E86" s="82"/>
      <c r="F86" s="82"/>
      <c r="O86" s="8"/>
      <c r="AB86" s="8"/>
    </row>
    <row r="87" spans="1:40" x14ac:dyDescent="0.2">
      <c r="A87" s="82"/>
      <c r="B87" s="82"/>
      <c r="C87" s="82"/>
      <c r="D87" s="82"/>
      <c r="O87" s="8"/>
      <c r="AB87" s="8"/>
    </row>
    <row r="88" spans="1:40" x14ac:dyDescent="0.2">
      <c r="A88" s="82"/>
      <c r="B88" s="82"/>
      <c r="C88" s="82"/>
      <c r="D88" s="82"/>
      <c r="E88" s="82"/>
      <c r="O88" s="8"/>
      <c r="AB88" s="8"/>
    </row>
    <row r="89" spans="1:40" x14ac:dyDescent="0.2">
      <c r="A89" s="82"/>
      <c r="B89" s="82"/>
      <c r="C89" s="82"/>
      <c r="D89" s="82"/>
      <c r="O89" s="8"/>
      <c r="AB89" s="8"/>
    </row>
    <row r="90" spans="1:40" x14ac:dyDescent="0.2">
      <c r="A90" s="82"/>
      <c r="B90" s="82"/>
      <c r="C90" s="82"/>
      <c r="D90" s="82"/>
      <c r="O90" s="8"/>
      <c r="AB90" s="8"/>
    </row>
    <row r="91" spans="1:40" x14ac:dyDescent="0.2">
      <c r="A91" s="82"/>
      <c r="B91" s="82"/>
      <c r="C91" s="82"/>
      <c r="D91" s="82"/>
      <c r="O91" s="8"/>
      <c r="AB91" s="8"/>
    </row>
    <row r="92" spans="1:40" x14ac:dyDescent="0.2">
      <c r="A92" s="82"/>
      <c r="B92" s="82"/>
      <c r="C92" s="82"/>
      <c r="D92" s="82"/>
      <c r="O92" s="8"/>
      <c r="AB92" s="8"/>
    </row>
    <row r="93" spans="1:40" x14ac:dyDescent="0.2">
      <c r="A93" s="8"/>
      <c r="B93" s="8"/>
      <c r="O93" s="8"/>
      <c r="AB93" s="8"/>
    </row>
    <row r="94" spans="1:40" x14ac:dyDescent="0.2">
      <c r="A94" s="8"/>
      <c r="B94" s="8"/>
      <c r="O94" s="8"/>
      <c r="AB94" s="8"/>
    </row>
    <row r="95" spans="1:40" x14ac:dyDescent="0.2">
      <c r="A95" s="8"/>
      <c r="B95" s="8"/>
      <c r="O95" s="8"/>
      <c r="AB95" s="8"/>
    </row>
    <row r="96" spans="1:40" x14ac:dyDescent="0.2">
      <c r="A96" s="8"/>
      <c r="B96" s="8"/>
      <c r="O96" s="8"/>
      <c r="AB96" s="8"/>
    </row>
    <row r="97" spans="1:38" x14ac:dyDescent="0.2">
      <c r="A97" s="8"/>
      <c r="B97" s="8"/>
      <c r="O97" s="8"/>
      <c r="AB97" s="8"/>
    </row>
    <row r="98" spans="1:38" x14ac:dyDescent="0.2"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1118"/>
      <c r="P98" s="1118"/>
      <c r="Q98" s="1118"/>
      <c r="R98" s="1118"/>
      <c r="S98" s="1118"/>
      <c r="T98" s="1118"/>
      <c r="U98" s="1118"/>
      <c r="V98" s="1118"/>
      <c r="W98" s="1118"/>
      <c r="X98" s="1118"/>
      <c r="Y98" s="1118"/>
      <c r="Z98" s="1118"/>
      <c r="AA98" s="1118"/>
      <c r="AB98" s="1118"/>
      <c r="AC98" s="1118"/>
      <c r="AD98" s="1118"/>
      <c r="AE98" s="1118"/>
      <c r="AF98" s="1118"/>
      <c r="AG98" s="1118"/>
      <c r="AH98" s="1118"/>
      <c r="AI98" s="1118"/>
      <c r="AJ98" s="1118"/>
      <c r="AK98" s="1118"/>
      <c r="AL98" s="1118"/>
    </row>
    <row r="99" spans="1:38" x14ac:dyDescent="0.2"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1118"/>
      <c r="P99" s="1118"/>
      <c r="Q99" s="1118"/>
      <c r="R99" s="1118"/>
      <c r="S99" s="1118"/>
      <c r="T99" s="1118"/>
      <c r="U99" s="1118"/>
      <c r="V99" s="1118"/>
      <c r="W99" s="1118"/>
      <c r="X99" s="1118"/>
      <c r="Y99" s="1118"/>
      <c r="Z99" s="1118"/>
      <c r="AA99" s="1118"/>
      <c r="AB99" s="1118"/>
      <c r="AC99" s="1118"/>
      <c r="AD99" s="1118"/>
      <c r="AE99" s="1118"/>
      <c r="AF99" s="1118"/>
      <c r="AG99" s="1118"/>
      <c r="AH99" s="1118"/>
      <c r="AI99" s="1118"/>
      <c r="AJ99" s="1118"/>
      <c r="AK99" s="1118"/>
      <c r="AL99" s="1118"/>
    </row>
    <row r="100" spans="1:38" x14ac:dyDescent="0.2"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1118"/>
      <c r="P100" s="1118"/>
      <c r="Q100" s="1118"/>
      <c r="R100" s="1118"/>
      <c r="S100" s="1118"/>
      <c r="T100" s="1118"/>
      <c r="U100" s="1118"/>
      <c r="V100" s="1118"/>
      <c r="W100" s="1118"/>
      <c r="X100" s="1118"/>
      <c r="Y100" s="1118"/>
      <c r="Z100" s="1118"/>
      <c r="AA100" s="1118"/>
      <c r="AB100" s="1118"/>
      <c r="AC100" s="1118"/>
      <c r="AD100" s="1118"/>
      <c r="AE100" s="1118"/>
      <c r="AF100" s="1118"/>
      <c r="AG100" s="1118"/>
      <c r="AH100" s="1118"/>
      <c r="AI100" s="1118"/>
      <c r="AJ100" s="1118"/>
      <c r="AK100" s="1118"/>
      <c r="AL100" s="1118"/>
    </row>
    <row r="101" spans="1:38" x14ac:dyDescent="0.2"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1118"/>
      <c r="P101" s="1118"/>
      <c r="Q101" s="1118"/>
      <c r="R101" s="1118"/>
      <c r="S101" s="1118"/>
      <c r="T101" s="1118"/>
      <c r="U101" s="1118"/>
      <c r="V101" s="1118"/>
      <c r="W101" s="1118"/>
      <c r="X101" s="1118"/>
      <c r="Y101" s="1118"/>
      <c r="Z101" s="1118"/>
      <c r="AA101" s="1118"/>
      <c r="AB101" s="1118"/>
      <c r="AC101" s="1118"/>
      <c r="AD101" s="1118"/>
      <c r="AE101" s="1118"/>
      <c r="AF101" s="1118"/>
      <c r="AG101" s="1118"/>
      <c r="AH101" s="1118"/>
      <c r="AI101" s="1118"/>
      <c r="AJ101" s="1118"/>
      <c r="AK101" s="1118"/>
      <c r="AL101" s="1118"/>
    </row>
    <row r="102" spans="1:38" x14ac:dyDescent="0.2"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</row>
    <row r="103" spans="1:38" x14ac:dyDescent="0.2"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</row>
  </sheetData>
  <customSheetViews>
    <customSheetView guid="{A374FC54-96E3-45F0-9C12-8450400C12DF}" scale="130">
      <pane xSplit="1" ySplit="5" topLeftCell="B38" activePane="bottomRight" state="frozen"/>
      <selection pane="bottomRight" activeCell="L51" sqref="L51"/>
      <pageMargins left="0.59055118110236204" right="0.511811023622047" top="0.511811023622047" bottom="0.511811023622047" header="0" footer="0.43307086614173201"/>
      <pageSetup paperSize="132" firstPageNumber="75" orientation="portrait" useFirstPageNumber="1" r:id="rId1"/>
      <headerFooter>
        <oddFooter>&amp;C&amp;"Times New Roman,Regular"&amp;8&amp;P</oddFooter>
      </headerFooter>
    </customSheetView>
  </customSheetViews>
  <mergeCells count="34">
    <mergeCell ref="C80:E80"/>
    <mergeCell ref="P80:R80"/>
    <mergeCell ref="AC80:AE80"/>
    <mergeCell ref="AL2:AN2"/>
    <mergeCell ref="L1:N1"/>
    <mergeCell ref="Y1:AA1"/>
    <mergeCell ref="V4:X4"/>
    <mergeCell ref="Y4:AA4"/>
    <mergeCell ref="AC3:AN3"/>
    <mergeCell ref="AL1:AN1"/>
    <mergeCell ref="AB3:AB5"/>
    <mergeCell ref="S4:U4"/>
    <mergeCell ref="AL4:AN4"/>
    <mergeCell ref="AC4:AE4"/>
    <mergeCell ref="AI4:AK4"/>
    <mergeCell ref="AF4:AH4"/>
    <mergeCell ref="A3:A5"/>
    <mergeCell ref="C3:N3"/>
    <mergeCell ref="O3:O5"/>
    <mergeCell ref="P3:AA3"/>
    <mergeCell ref="C4:E4"/>
    <mergeCell ref="P4:R4"/>
    <mergeCell ref="L4:N4"/>
    <mergeCell ref="I4:K4"/>
    <mergeCell ref="F4:H4"/>
    <mergeCell ref="B3:B5"/>
    <mergeCell ref="C79:G79"/>
    <mergeCell ref="P79:U79"/>
    <mergeCell ref="AC79:AG79"/>
    <mergeCell ref="C1:J1"/>
    <mergeCell ref="P1:W1"/>
    <mergeCell ref="AC1:AJ1"/>
    <mergeCell ref="L2:N2"/>
    <mergeCell ref="Y2:AA2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P143"/>
  <sheetViews>
    <sheetView showWhiteSpace="0" zoomScale="130" zoomScaleNormal="130" workbookViewId="0">
      <pane xSplit="1" ySplit="4" topLeftCell="B79" activePane="bottomRight" state="frozen"/>
      <selection pane="topRight" activeCell="B1" sqref="B1"/>
      <selection pane="bottomLeft" activeCell="A5" sqref="A5"/>
      <selection pane="bottomRight" activeCell="C1" sqref="C1:F1"/>
    </sheetView>
  </sheetViews>
  <sheetFormatPr defaultColWidth="9.140625" defaultRowHeight="11.25" x14ac:dyDescent="0.2"/>
  <cols>
    <col min="1" max="1" width="7.7109375" style="23" customWidth="1"/>
    <col min="2" max="2" width="7.7109375" style="8" customWidth="1"/>
    <col min="3" max="3" width="9.28515625" style="8" customWidth="1"/>
    <col min="4" max="4" width="10.85546875" style="8" customWidth="1"/>
    <col min="5" max="5" width="11.42578125" style="8" customWidth="1"/>
    <col min="6" max="6" width="12.28515625" style="8" customWidth="1"/>
    <col min="7" max="7" width="12.85546875" style="8" customWidth="1"/>
    <col min="8" max="8" width="14.85546875" style="8" customWidth="1"/>
    <col min="9" max="16384" width="9.140625" style="8"/>
  </cols>
  <sheetData>
    <row r="1" spans="1:16" s="30" customFormat="1" ht="30.75" customHeight="1" x14ac:dyDescent="0.25">
      <c r="A1" s="1713"/>
      <c r="C1" s="2841" t="s">
        <v>1350</v>
      </c>
      <c r="D1" s="2841"/>
      <c r="E1" s="2841"/>
      <c r="F1" s="2841"/>
      <c r="G1" s="2842" t="s">
        <v>339</v>
      </c>
      <c r="H1" s="2842"/>
    </row>
    <row r="2" spans="1:16" ht="11.25" customHeight="1" x14ac:dyDescent="0.25">
      <c r="A2" s="2843"/>
      <c r="B2" s="2843"/>
      <c r="C2" s="2843"/>
      <c r="D2" s="2843"/>
      <c r="E2" s="2843"/>
      <c r="F2" s="2843"/>
      <c r="G2" s="2844" t="s">
        <v>500</v>
      </c>
      <c r="H2" s="2844"/>
      <c r="J2" s="30"/>
      <c r="K2" s="30"/>
      <c r="L2" s="30"/>
      <c r="M2" s="30"/>
    </row>
    <row r="3" spans="1:16" s="36" customFormat="1" ht="14.25" customHeight="1" x14ac:dyDescent="0.2">
      <c r="A3" s="2845" t="s">
        <v>474</v>
      </c>
      <c r="B3" s="2845" t="s">
        <v>3067</v>
      </c>
      <c r="C3" s="2846" t="s">
        <v>502</v>
      </c>
      <c r="D3" s="2847"/>
      <c r="E3" s="2847"/>
      <c r="F3" s="2847" t="s">
        <v>505</v>
      </c>
      <c r="G3" s="2847"/>
      <c r="H3" s="2847"/>
    </row>
    <row r="4" spans="1:16" s="36" customFormat="1" ht="14.25" customHeight="1" x14ac:dyDescent="0.2">
      <c r="A4" s="2845"/>
      <c r="B4" s="2845"/>
      <c r="C4" s="1226" t="s">
        <v>503</v>
      </c>
      <c r="D4" s="1228" t="s">
        <v>504</v>
      </c>
      <c r="E4" s="1224" t="s">
        <v>473</v>
      </c>
      <c r="F4" s="1225" t="s">
        <v>503</v>
      </c>
      <c r="G4" s="1225" t="s">
        <v>504</v>
      </c>
      <c r="H4" s="1225" t="s">
        <v>473</v>
      </c>
    </row>
    <row r="5" spans="1:16" s="154" customFormat="1" ht="10.9" customHeight="1" x14ac:dyDescent="0.2">
      <c r="A5" s="641">
        <v>2012</v>
      </c>
      <c r="B5" s="1700"/>
      <c r="C5" s="300">
        <v>22</v>
      </c>
      <c r="D5" s="300">
        <v>3</v>
      </c>
      <c r="E5" s="300">
        <v>12.822499999999998</v>
      </c>
      <c r="F5" s="300">
        <v>22</v>
      </c>
      <c r="G5" s="300">
        <v>3</v>
      </c>
      <c r="H5" s="300">
        <v>12.822499999999998</v>
      </c>
    </row>
    <row r="6" spans="1:16" s="153" customFormat="1" ht="10.9" customHeight="1" x14ac:dyDescent="0.2">
      <c r="A6" s="24">
        <v>2013</v>
      </c>
      <c r="B6" s="135"/>
      <c r="C6" s="25">
        <v>13</v>
      </c>
      <c r="D6" s="25">
        <v>5.0999999999999996</v>
      </c>
      <c r="E6" s="25">
        <v>7.775833333333332</v>
      </c>
      <c r="F6" s="25">
        <v>13</v>
      </c>
      <c r="G6" s="25">
        <v>5.0999999999999996</v>
      </c>
      <c r="H6" s="25">
        <v>7.775833333333332</v>
      </c>
    </row>
    <row r="7" spans="1:16" s="153" customFormat="1" ht="10.9" customHeight="1" x14ac:dyDescent="0.2">
      <c r="A7" s="279">
        <v>2014</v>
      </c>
      <c r="B7" s="292"/>
      <c r="C7" s="281">
        <v>9.9</v>
      </c>
      <c r="D7" s="281">
        <v>5</v>
      </c>
      <c r="E7" s="281">
        <v>7.1399999999999979</v>
      </c>
      <c r="F7" s="281">
        <v>9.9</v>
      </c>
      <c r="G7" s="281">
        <v>5</v>
      </c>
      <c r="H7" s="281">
        <v>7.1399999999999979</v>
      </c>
    </row>
    <row r="8" spans="1:16" s="153" customFormat="1" ht="10.9" customHeight="1" x14ac:dyDescent="0.2">
      <c r="A8" s="24">
        <v>2015</v>
      </c>
      <c r="B8" s="135"/>
      <c r="C8" s="25">
        <v>9.9</v>
      </c>
      <c r="D8" s="25">
        <v>1.25</v>
      </c>
      <c r="E8" s="25">
        <v>6.1983333333333333</v>
      </c>
      <c r="F8" s="25">
        <v>9.9</v>
      </c>
      <c r="G8" s="25">
        <v>1.25</v>
      </c>
      <c r="H8" s="25">
        <v>6.145833333333333</v>
      </c>
    </row>
    <row r="9" spans="1:16" s="427" customFormat="1" ht="10.9" customHeight="1" x14ac:dyDescent="0.2">
      <c r="A9" s="275">
        <v>2016</v>
      </c>
      <c r="B9" s="372"/>
      <c r="C9" s="281">
        <v>5</v>
      </c>
      <c r="D9" s="281">
        <v>1</v>
      </c>
      <c r="E9" s="281">
        <v>3.6691666666666669</v>
      </c>
      <c r="F9" s="281">
        <v>5</v>
      </c>
      <c r="G9" s="281">
        <v>1</v>
      </c>
      <c r="H9" s="281">
        <v>3.6691666666666669</v>
      </c>
      <c r="I9" s="153"/>
      <c r="J9" s="227"/>
      <c r="K9" s="153"/>
      <c r="L9" s="153"/>
      <c r="M9" s="153"/>
      <c r="N9" s="153"/>
      <c r="O9" s="153"/>
      <c r="P9" s="153"/>
    </row>
    <row r="10" spans="1:16" s="427" customFormat="1" ht="10.9" customHeight="1" x14ac:dyDescent="0.2">
      <c r="A10" s="236">
        <v>2017</v>
      </c>
      <c r="B10" s="1693"/>
      <c r="C10" s="25">
        <v>4.5</v>
      </c>
      <c r="D10" s="25">
        <v>1.5</v>
      </c>
      <c r="E10" s="25">
        <v>3.7674999999999996</v>
      </c>
      <c r="F10" s="25">
        <v>4.5</v>
      </c>
      <c r="G10" s="25">
        <v>1.5</v>
      </c>
      <c r="H10" s="25">
        <v>3.7674999999999996</v>
      </c>
      <c r="I10" s="153"/>
      <c r="J10" s="227"/>
      <c r="K10" s="153"/>
      <c r="L10" s="153"/>
      <c r="M10" s="153"/>
      <c r="N10" s="153"/>
      <c r="O10" s="153"/>
      <c r="P10" s="153"/>
    </row>
    <row r="11" spans="1:16" s="153" customFormat="1" ht="10.9" customHeight="1" x14ac:dyDescent="0.2">
      <c r="A11" s="275">
        <v>2018</v>
      </c>
      <c r="B11" s="372"/>
      <c r="C11" s="281">
        <v>5.5</v>
      </c>
      <c r="D11" s="281">
        <v>0.1</v>
      </c>
      <c r="E11" s="281">
        <v>3.6691666666666669</v>
      </c>
      <c r="F11" s="281">
        <v>5.5</v>
      </c>
      <c r="G11" s="281">
        <v>0.1</v>
      </c>
      <c r="H11" s="281">
        <v>3.6691666666666669</v>
      </c>
    </row>
    <row r="12" spans="1:16" s="9" customFormat="1" ht="10.9" customHeight="1" x14ac:dyDescent="0.2">
      <c r="A12" s="236">
        <v>2019</v>
      </c>
      <c r="B12" s="1693"/>
      <c r="C12" s="25">
        <v>5.5</v>
      </c>
      <c r="D12" s="25">
        <v>0.75</v>
      </c>
      <c r="E12" s="25">
        <v>4.4274999999999993</v>
      </c>
      <c r="F12" s="25">
        <v>5.5</v>
      </c>
      <c r="G12" s="25">
        <v>0.75</v>
      </c>
      <c r="H12" s="25">
        <v>4.4274999999999993</v>
      </c>
    </row>
    <row r="13" spans="1:16" s="153" customFormat="1" ht="10.9" customHeight="1" x14ac:dyDescent="0.2">
      <c r="A13" s="275">
        <v>2020</v>
      </c>
      <c r="B13" s="372"/>
      <c r="C13" s="281">
        <v>5.5</v>
      </c>
      <c r="D13" s="281">
        <v>0.3</v>
      </c>
      <c r="E13" s="281">
        <v>4.0091666666666663</v>
      </c>
      <c r="F13" s="281">
        <v>5.5</v>
      </c>
      <c r="G13" s="281">
        <v>0.3</v>
      </c>
      <c r="H13" s="281">
        <v>4.0091666666666663</v>
      </c>
    </row>
    <row r="14" spans="1:16" s="153" customFormat="1" ht="10.9" customHeight="1" x14ac:dyDescent="0.2">
      <c r="A14" s="236">
        <v>2021</v>
      </c>
      <c r="B14" s="1693"/>
      <c r="C14" s="25">
        <v>5.25</v>
      </c>
      <c r="D14" s="25">
        <v>1</v>
      </c>
      <c r="E14" s="25">
        <v>2.1041666666666665</v>
      </c>
      <c r="F14" s="25">
        <v>5.25</v>
      </c>
      <c r="G14" s="25">
        <v>1</v>
      </c>
      <c r="H14" s="25">
        <v>2.1041666666666665</v>
      </c>
    </row>
    <row r="15" spans="1:16" s="153" customFormat="1" ht="10.9" customHeight="1" x14ac:dyDescent="0.2">
      <c r="A15" s="490">
        <v>2022</v>
      </c>
      <c r="B15" s="1701"/>
      <c r="C15" s="284">
        <v>7.75</v>
      </c>
      <c r="D15" s="284">
        <v>1</v>
      </c>
      <c r="E15" s="284">
        <v>4.6524999999999999</v>
      </c>
      <c r="F15" s="284">
        <v>7.75</v>
      </c>
      <c r="G15" s="284">
        <v>1</v>
      </c>
      <c r="H15" s="284">
        <v>4.6524999999999999</v>
      </c>
    </row>
    <row r="16" spans="1:16" s="153" customFormat="1" ht="10.9" customHeight="1" x14ac:dyDescent="0.2">
      <c r="A16" s="458">
        <v>2023</v>
      </c>
      <c r="B16" s="778"/>
      <c r="C16" s="136">
        <f>MAX(C92:C103)</f>
        <v>9.75</v>
      </c>
      <c r="D16" s="136">
        <f>MIN(D92:D103)</f>
        <v>4.25</v>
      </c>
      <c r="E16" s="136">
        <f>AVERAGE(E92:E103)</f>
        <v>6.6816666666666658</v>
      </c>
      <c r="F16" s="136">
        <f>MAX(F92:F103)</f>
        <v>9.75</v>
      </c>
      <c r="G16" s="136">
        <f>MIN(G92:G103)</f>
        <v>4.25</v>
      </c>
      <c r="H16" s="136">
        <f>AVERAGE(H92:H103)</f>
        <v>6.6816666666666658</v>
      </c>
    </row>
    <row r="17" spans="1:8" s="153" customFormat="1" ht="10.9" customHeight="1" x14ac:dyDescent="0.2">
      <c r="A17" s="490">
        <v>2024</v>
      </c>
      <c r="B17" s="1701"/>
      <c r="C17" s="284">
        <f>MAX(C104:C115)</f>
        <v>11</v>
      </c>
      <c r="D17" s="284">
        <f>MIN(D104:D115)</f>
        <v>6.75</v>
      </c>
      <c r="E17" s="284">
        <f>AVERAGE(E104:E115)</f>
        <v>9.2416666666666654</v>
      </c>
      <c r="F17" s="284">
        <f>MAX(F104:F115)</f>
        <v>11</v>
      </c>
      <c r="G17" s="284">
        <f>MIN(G104:G115)</f>
        <v>6.75</v>
      </c>
      <c r="H17" s="284">
        <f>AVERAGE(H104:H115)</f>
        <v>9.2416666666666654</v>
      </c>
    </row>
    <row r="18" spans="1:8" s="153" customFormat="1" ht="10.9" customHeight="1" x14ac:dyDescent="0.2">
      <c r="A18" s="920">
        <v>2025</v>
      </c>
      <c r="B18" s="1330"/>
      <c r="C18" s="136">
        <f>MAX(C116:C127)</f>
        <v>11.5</v>
      </c>
      <c r="D18" s="136">
        <f>MIN(D116:D127)</f>
        <v>8.8000000000000007</v>
      </c>
      <c r="E18" s="136">
        <f>AVERAGE(E116:E127)</f>
        <v>9.9799999999999986</v>
      </c>
      <c r="F18" s="136">
        <f>MAX(F116:F127)</f>
        <v>11.5</v>
      </c>
      <c r="G18" s="136">
        <f>MIN(G116:G127)</f>
        <v>8.8000000000000007</v>
      </c>
      <c r="H18" s="136">
        <f>AVERAGE(H116:H127)</f>
        <v>9.9799999999999986</v>
      </c>
    </row>
    <row r="19" spans="1:8" s="153" customFormat="1" ht="10.9" customHeight="1" x14ac:dyDescent="0.2">
      <c r="A19" s="458"/>
      <c r="B19" s="778"/>
      <c r="C19" s="136"/>
      <c r="D19" s="136"/>
      <c r="E19" s="136"/>
      <c r="F19" s="136"/>
      <c r="G19" s="136"/>
      <c r="H19" s="136"/>
    </row>
    <row r="20" spans="1:8" s="153" customFormat="1" ht="10.9" customHeight="1" x14ac:dyDescent="0.2">
      <c r="A20" s="458">
        <v>2017</v>
      </c>
      <c r="B20" s="372" t="s">
        <v>556</v>
      </c>
      <c r="C20" s="136"/>
      <c r="D20" s="136"/>
      <c r="E20" s="136"/>
      <c r="F20" s="136"/>
      <c r="G20" s="136"/>
      <c r="H20" s="136"/>
    </row>
    <row r="21" spans="1:8" s="153" customFormat="1" ht="10.9" customHeight="1" x14ac:dyDescent="0.2">
      <c r="A21" s="458">
        <v>2017</v>
      </c>
      <c r="B21" s="1709" t="s">
        <v>557</v>
      </c>
      <c r="C21" s="136"/>
      <c r="D21" s="136"/>
      <c r="E21" s="136"/>
      <c r="F21" s="136"/>
      <c r="G21" s="136"/>
      <c r="H21" s="136"/>
    </row>
    <row r="22" spans="1:8" s="153" customFormat="1" ht="10.9" customHeight="1" x14ac:dyDescent="0.2">
      <c r="A22" s="458">
        <v>2017</v>
      </c>
      <c r="B22" s="372" t="s">
        <v>549</v>
      </c>
      <c r="C22" s="136"/>
      <c r="D22" s="136"/>
      <c r="E22" s="136"/>
      <c r="F22" s="136"/>
      <c r="G22" s="136"/>
      <c r="H22" s="136"/>
    </row>
    <row r="23" spans="1:8" s="153" customFormat="1" ht="10.9" customHeight="1" x14ac:dyDescent="0.2">
      <c r="A23" s="458">
        <v>2017</v>
      </c>
      <c r="B23" s="1709" t="s">
        <v>558</v>
      </c>
      <c r="C23" s="136"/>
      <c r="D23" s="136"/>
      <c r="E23" s="136"/>
      <c r="F23" s="136"/>
      <c r="G23" s="136"/>
      <c r="H23" s="136"/>
    </row>
    <row r="24" spans="1:8" s="153" customFormat="1" ht="10.9" customHeight="1" x14ac:dyDescent="0.2">
      <c r="A24" s="458">
        <v>2017</v>
      </c>
      <c r="B24" s="372" t="s">
        <v>559</v>
      </c>
      <c r="C24" s="136"/>
      <c r="D24" s="136"/>
      <c r="E24" s="136"/>
      <c r="F24" s="136"/>
      <c r="G24" s="136"/>
      <c r="H24" s="136"/>
    </row>
    <row r="25" spans="1:8" s="153" customFormat="1" ht="10.9" customHeight="1" x14ac:dyDescent="0.2">
      <c r="A25" s="458">
        <v>2017</v>
      </c>
      <c r="B25" s="1709" t="s">
        <v>550</v>
      </c>
      <c r="C25" s="136"/>
      <c r="D25" s="136"/>
      <c r="E25" s="136"/>
      <c r="F25" s="136"/>
      <c r="G25" s="136"/>
      <c r="H25" s="136"/>
    </row>
    <row r="26" spans="1:8" s="153" customFormat="1" ht="10.9" customHeight="1" x14ac:dyDescent="0.2">
      <c r="A26" s="458">
        <v>2017</v>
      </c>
      <c r="B26" s="372" t="s">
        <v>552</v>
      </c>
      <c r="C26" s="136"/>
      <c r="D26" s="136"/>
      <c r="E26" s="136"/>
      <c r="F26" s="136"/>
      <c r="G26" s="136"/>
      <c r="H26" s="136"/>
    </row>
    <row r="27" spans="1:8" s="153" customFormat="1" ht="10.9" customHeight="1" x14ac:dyDescent="0.2">
      <c r="A27" s="458">
        <v>2017</v>
      </c>
      <c r="B27" s="1709" t="s">
        <v>553</v>
      </c>
      <c r="C27" s="136"/>
      <c r="D27" s="136"/>
      <c r="E27" s="136"/>
      <c r="F27" s="136"/>
      <c r="G27" s="136"/>
      <c r="H27" s="136"/>
    </row>
    <row r="28" spans="1:8" s="153" customFormat="1" ht="10.9" customHeight="1" x14ac:dyDescent="0.2">
      <c r="A28" s="458">
        <v>2017</v>
      </c>
      <c r="B28" s="372" t="s">
        <v>547</v>
      </c>
      <c r="C28" s="136"/>
      <c r="D28" s="136"/>
      <c r="E28" s="136"/>
      <c r="F28" s="136"/>
      <c r="G28" s="136"/>
      <c r="H28" s="136"/>
    </row>
    <row r="29" spans="1:8" s="153" customFormat="1" ht="10.9" customHeight="1" x14ac:dyDescent="0.2">
      <c r="A29" s="458">
        <v>2017</v>
      </c>
      <c r="B29" s="1709" t="s">
        <v>554</v>
      </c>
      <c r="C29" s="136"/>
      <c r="D29" s="136"/>
      <c r="E29" s="136"/>
      <c r="F29" s="136"/>
      <c r="G29" s="136"/>
      <c r="H29" s="136"/>
    </row>
    <row r="30" spans="1:8" s="153" customFormat="1" ht="10.9" customHeight="1" x14ac:dyDescent="0.2">
      <c r="A30" s="458">
        <v>2017</v>
      </c>
      <c r="B30" s="372" t="s">
        <v>555</v>
      </c>
      <c r="C30" s="136"/>
      <c r="D30" s="136"/>
      <c r="E30" s="136"/>
      <c r="F30" s="136"/>
      <c r="G30" s="136"/>
      <c r="H30" s="136"/>
    </row>
    <row r="31" spans="1:8" s="153" customFormat="1" ht="10.9" customHeight="1" x14ac:dyDescent="0.2">
      <c r="A31" s="458">
        <v>2017</v>
      </c>
      <c r="B31" s="1709" t="s">
        <v>548</v>
      </c>
      <c r="C31" s="136"/>
      <c r="D31" s="136"/>
      <c r="E31" s="136"/>
      <c r="F31" s="136"/>
      <c r="G31" s="136"/>
      <c r="H31" s="136"/>
    </row>
    <row r="32" spans="1:8" s="153" customFormat="1" ht="10.9" customHeight="1" x14ac:dyDescent="0.2">
      <c r="A32" s="458">
        <v>2018</v>
      </c>
      <c r="B32" s="372" t="s">
        <v>556</v>
      </c>
      <c r="C32" s="136"/>
      <c r="D32" s="136"/>
      <c r="E32" s="136"/>
      <c r="F32" s="136"/>
      <c r="G32" s="136"/>
      <c r="H32" s="136"/>
    </row>
    <row r="33" spans="1:8" s="153" customFormat="1" ht="10.9" customHeight="1" x14ac:dyDescent="0.2">
      <c r="A33" s="458">
        <v>2018</v>
      </c>
      <c r="B33" s="1709" t="s">
        <v>557</v>
      </c>
      <c r="C33" s="136"/>
      <c r="D33" s="136"/>
      <c r="E33" s="136"/>
      <c r="F33" s="136"/>
      <c r="G33" s="136"/>
      <c r="H33" s="136"/>
    </row>
    <row r="34" spans="1:8" s="153" customFormat="1" ht="10.9" customHeight="1" x14ac:dyDescent="0.2">
      <c r="A34" s="458">
        <v>2018</v>
      </c>
      <c r="B34" s="372" t="s">
        <v>549</v>
      </c>
      <c r="C34" s="136"/>
      <c r="D34" s="136"/>
      <c r="E34" s="136"/>
      <c r="F34" s="136"/>
      <c r="G34" s="136"/>
      <c r="H34" s="136"/>
    </row>
    <row r="35" spans="1:8" s="153" customFormat="1" ht="10.9" customHeight="1" x14ac:dyDescent="0.2">
      <c r="A35" s="458">
        <v>2018</v>
      </c>
      <c r="B35" s="1709" t="s">
        <v>558</v>
      </c>
      <c r="C35" s="136"/>
      <c r="D35" s="136"/>
      <c r="E35" s="136"/>
      <c r="F35" s="136"/>
      <c r="G35" s="136"/>
      <c r="H35" s="136"/>
    </row>
    <row r="36" spans="1:8" s="153" customFormat="1" ht="10.9" customHeight="1" x14ac:dyDescent="0.2">
      <c r="A36" s="458">
        <v>2018</v>
      </c>
      <c r="B36" s="372" t="s">
        <v>559</v>
      </c>
      <c r="C36" s="136"/>
      <c r="D36" s="136"/>
      <c r="E36" s="136"/>
      <c r="F36" s="136"/>
      <c r="G36" s="136"/>
      <c r="H36" s="136"/>
    </row>
    <row r="37" spans="1:8" s="153" customFormat="1" ht="10.9" customHeight="1" x14ac:dyDescent="0.2">
      <c r="A37" s="458">
        <v>2018</v>
      </c>
      <c r="B37" s="1709" t="s">
        <v>550</v>
      </c>
      <c r="C37" s="136"/>
      <c r="D37" s="136"/>
      <c r="E37" s="136"/>
      <c r="F37" s="136"/>
      <c r="G37" s="136"/>
      <c r="H37" s="136"/>
    </row>
    <row r="38" spans="1:8" s="153" customFormat="1" ht="10.9" customHeight="1" x14ac:dyDescent="0.2">
      <c r="A38" s="458">
        <v>2018</v>
      </c>
      <c r="B38" s="372" t="s">
        <v>552</v>
      </c>
      <c r="C38" s="136"/>
      <c r="D38" s="136"/>
      <c r="E38" s="136"/>
      <c r="F38" s="136"/>
      <c r="G38" s="136"/>
      <c r="H38" s="136"/>
    </row>
    <row r="39" spans="1:8" s="153" customFormat="1" ht="10.9" customHeight="1" x14ac:dyDescent="0.2">
      <c r="A39" s="458">
        <v>2018</v>
      </c>
      <c r="B39" s="1709" t="s">
        <v>553</v>
      </c>
      <c r="C39" s="136"/>
      <c r="D39" s="136"/>
      <c r="E39" s="136"/>
      <c r="F39" s="136"/>
      <c r="G39" s="136"/>
      <c r="H39" s="136"/>
    </row>
    <row r="40" spans="1:8" s="153" customFormat="1" ht="10.9" customHeight="1" x14ac:dyDescent="0.2">
      <c r="A40" s="458">
        <v>2018</v>
      </c>
      <c r="B40" s="372" t="s">
        <v>547</v>
      </c>
      <c r="C40" s="136"/>
      <c r="D40" s="136"/>
      <c r="E40" s="136"/>
      <c r="F40" s="136"/>
      <c r="G40" s="136"/>
      <c r="H40" s="136"/>
    </row>
    <row r="41" spans="1:8" s="153" customFormat="1" ht="10.9" customHeight="1" x14ac:dyDescent="0.2">
      <c r="A41" s="458">
        <v>2018</v>
      </c>
      <c r="B41" s="1709" t="s">
        <v>554</v>
      </c>
      <c r="C41" s="136"/>
      <c r="D41" s="136"/>
      <c r="E41" s="136"/>
      <c r="F41" s="136"/>
      <c r="G41" s="136"/>
      <c r="H41" s="136"/>
    </row>
    <row r="42" spans="1:8" s="153" customFormat="1" ht="10.9" customHeight="1" x14ac:dyDescent="0.2">
      <c r="A42" s="458">
        <v>2018</v>
      </c>
      <c r="B42" s="372" t="s">
        <v>555</v>
      </c>
      <c r="C42" s="136"/>
      <c r="D42" s="136"/>
      <c r="E42" s="136"/>
      <c r="F42" s="136"/>
      <c r="G42" s="136"/>
      <c r="H42" s="136"/>
    </row>
    <row r="43" spans="1:8" s="153" customFormat="1" ht="10.9" customHeight="1" x14ac:dyDescent="0.2">
      <c r="A43" s="458">
        <v>2018</v>
      </c>
      <c r="B43" s="1709" t="s">
        <v>548</v>
      </c>
      <c r="C43" s="136"/>
      <c r="D43" s="136"/>
      <c r="E43" s="136"/>
      <c r="F43" s="136"/>
      <c r="G43" s="136"/>
      <c r="H43" s="136"/>
    </row>
    <row r="44" spans="1:8" s="153" customFormat="1" ht="10.9" customHeight="1" x14ac:dyDescent="0.2">
      <c r="A44" s="458">
        <v>2019</v>
      </c>
      <c r="B44" s="372" t="s">
        <v>556</v>
      </c>
      <c r="C44" s="136"/>
      <c r="D44" s="136"/>
      <c r="E44" s="136"/>
      <c r="F44" s="136"/>
      <c r="G44" s="136"/>
      <c r="H44" s="136"/>
    </row>
    <row r="45" spans="1:8" s="153" customFormat="1" ht="10.9" customHeight="1" x14ac:dyDescent="0.2">
      <c r="A45" s="458">
        <v>2019</v>
      </c>
      <c r="B45" s="1709" t="s">
        <v>557</v>
      </c>
      <c r="C45" s="136"/>
      <c r="D45" s="136"/>
      <c r="E45" s="136"/>
      <c r="F45" s="136"/>
      <c r="G45" s="136"/>
      <c r="H45" s="136"/>
    </row>
    <row r="46" spans="1:8" s="153" customFormat="1" ht="10.9" customHeight="1" x14ac:dyDescent="0.2">
      <c r="A46" s="458">
        <v>2019</v>
      </c>
      <c r="B46" s="372" t="s">
        <v>549</v>
      </c>
      <c r="C46" s="136"/>
      <c r="D46" s="136"/>
      <c r="E46" s="136"/>
      <c r="F46" s="136"/>
      <c r="G46" s="136"/>
      <c r="H46" s="136"/>
    </row>
    <row r="47" spans="1:8" s="153" customFormat="1" ht="10.9" customHeight="1" x14ac:dyDescent="0.2">
      <c r="A47" s="458">
        <v>2019</v>
      </c>
      <c r="B47" s="1709" t="s">
        <v>558</v>
      </c>
      <c r="C47" s="136"/>
      <c r="D47" s="136"/>
      <c r="E47" s="136"/>
      <c r="F47" s="136"/>
      <c r="G47" s="136"/>
      <c r="H47" s="136"/>
    </row>
    <row r="48" spans="1:8" s="153" customFormat="1" ht="10.9" customHeight="1" x14ac:dyDescent="0.2">
      <c r="A48" s="458">
        <v>2019</v>
      </c>
      <c r="B48" s="372" t="s">
        <v>559</v>
      </c>
      <c r="C48" s="136"/>
      <c r="D48" s="136"/>
      <c r="E48" s="136"/>
      <c r="F48" s="136"/>
      <c r="G48" s="136"/>
      <c r="H48" s="136"/>
    </row>
    <row r="49" spans="1:8" s="153" customFormat="1" ht="10.9" customHeight="1" x14ac:dyDescent="0.2">
      <c r="A49" s="458">
        <v>2019</v>
      </c>
      <c r="B49" s="1709" t="s">
        <v>550</v>
      </c>
      <c r="C49" s="136"/>
      <c r="D49" s="136"/>
      <c r="E49" s="136"/>
      <c r="F49" s="136"/>
      <c r="G49" s="136"/>
      <c r="H49" s="136"/>
    </row>
    <row r="50" spans="1:8" s="153" customFormat="1" ht="10.9" customHeight="1" x14ac:dyDescent="0.2">
      <c r="A50" s="458">
        <v>2019</v>
      </c>
      <c r="B50" s="372" t="s">
        <v>552</v>
      </c>
      <c r="C50" s="136"/>
      <c r="D50" s="136"/>
      <c r="E50" s="136"/>
      <c r="F50" s="136"/>
      <c r="G50" s="136"/>
      <c r="H50" s="136"/>
    </row>
    <row r="51" spans="1:8" s="153" customFormat="1" ht="10.9" customHeight="1" x14ac:dyDescent="0.2">
      <c r="A51" s="458">
        <v>2019</v>
      </c>
      <c r="B51" s="1709" t="s">
        <v>553</v>
      </c>
      <c r="C51" s="136"/>
      <c r="D51" s="136"/>
      <c r="E51" s="136"/>
      <c r="F51" s="136"/>
      <c r="G51" s="136"/>
      <c r="H51" s="136"/>
    </row>
    <row r="52" spans="1:8" s="153" customFormat="1" ht="10.9" customHeight="1" x14ac:dyDescent="0.2">
      <c r="A52" s="458">
        <v>2019</v>
      </c>
      <c r="B52" s="372" t="s">
        <v>547</v>
      </c>
      <c r="C52" s="136"/>
      <c r="D52" s="136"/>
      <c r="E52" s="136"/>
      <c r="F52" s="136"/>
      <c r="G52" s="136"/>
      <c r="H52" s="136"/>
    </row>
    <row r="53" spans="1:8" s="153" customFormat="1" ht="10.9" customHeight="1" x14ac:dyDescent="0.2">
      <c r="A53" s="458">
        <v>2019</v>
      </c>
      <c r="B53" s="1709" t="s">
        <v>554</v>
      </c>
      <c r="C53" s="136"/>
      <c r="D53" s="136"/>
      <c r="E53" s="136"/>
      <c r="F53" s="136"/>
      <c r="G53" s="136"/>
      <c r="H53" s="136"/>
    </row>
    <row r="54" spans="1:8" s="153" customFormat="1" ht="10.9" customHeight="1" x14ac:dyDescent="0.2">
      <c r="A54" s="458">
        <v>2019</v>
      </c>
      <c r="B54" s="372" t="s">
        <v>555</v>
      </c>
      <c r="C54" s="136"/>
      <c r="D54" s="136"/>
      <c r="E54" s="136"/>
      <c r="F54" s="136"/>
      <c r="G54" s="136"/>
      <c r="H54" s="136"/>
    </row>
    <row r="55" spans="1:8" s="153" customFormat="1" ht="10.9" customHeight="1" x14ac:dyDescent="0.2">
      <c r="A55" s="458">
        <v>2019</v>
      </c>
      <c r="B55" s="1709" t="s">
        <v>548</v>
      </c>
      <c r="C55" s="136"/>
      <c r="D55" s="136"/>
      <c r="E55" s="136"/>
      <c r="F55" s="136"/>
      <c r="G55" s="136"/>
      <c r="H55" s="136"/>
    </row>
    <row r="56" spans="1:8" s="153" customFormat="1" ht="10.9" customHeight="1" x14ac:dyDescent="0.2">
      <c r="A56" s="458">
        <v>2020</v>
      </c>
      <c r="B56" s="372" t="s">
        <v>556</v>
      </c>
      <c r="C56" s="136"/>
      <c r="D56" s="136"/>
      <c r="E56" s="136"/>
      <c r="F56" s="136"/>
      <c r="G56" s="136"/>
      <c r="H56" s="136"/>
    </row>
    <row r="57" spans="1:8" s="153" customFormat="1" ht="10.9" customHeight="1" x14ac:dyDescent="0.2">
      <c r="A57" s="458">
        <v>2020</v>
      </c>
      <c r="B57" s="1709" t="s">
        <v>557</v>
      </c>
      <c r="C57" s="136"/>
      <c r="D57" s="136"/>
      <c r="E57" s="136"/>
      <c r="F57" s="136"/>
      <c r="G57" s="136"/>
      <c r="H57" s="136"/>
    </row>
    <row r="58" spans="1:8" s="153" customFormat="1" ht="10.9" customHeight="1" x14ac:dyDescent="0.2">
      <c r="A58" s="458">
        <v>2020</v>
      </c>
      <c r="B58" s="372" t="s">
        <v>549</v>
      </c>
      <c r="C58" s="136"/>
      <c r="D58" s="136"/>
      <c r="E58" s="136"/>
      <c r="F58" s="136"/>
      <c r="G58" s="136"/>
      <c r="H58" s="136"/>
    </row>
    <row r="59" spans="1:8" s="153" customFormat="1" ht="10.9" customHeight="1" x14ac:dyDescent="0.2">
      <c r="A59" s="458">
        <v>2020</v>
      </c>
      <c r="B59" s="1709" t="s">
        <v>558</v>
      </c>
      <c r="C59" s="136"/>
      <c r="D59" s="136"/>
      <c r="E59" s="136"/>
      <c r="F59" s="136"/>
      <c r="G59" s="136"/>
      <c r="H59" s="136"/>
    </row>
    <row r="60" spans="1:8" s="153" customFormat="1" ht="10.9" customHeight="1" x14ac:dyDescent="0.2">
      <c r="A60" s="458">
        <v>2020</v>
      </c>
      <c r="B60" s="372" t="s">
        <v>559</v>
      </c>
      <c r="C60" s="136"/>
      <c r="D60" s="136"/>
      <c r="E60" s="136"/>
      <c r="F60" s="136"/>
      <c r="G60" s="136"/>
      <c r="H60" s="136"/>
    </row>
    <row r="61" spans="1:8" s="153" customFormat="1" ht="10.9" customHeight="1" x14ac:dyDescent="0.2">
      <c r="A61" s="458">
        <v>2020</v>
      </c>
      <c r="B61" s="1709" t="s">
        <v>550</v>
      </c>
      <c r="C61" s="136"/>
      <c r="D61" s="136"/>
      <c r="E61" s="136"/>
      <c r="F61" s="136"/>
      <c r="G61" s="136"/>
      <c r="H61" s="136"/>
    </row>
    <row r="62" spans="1:8" s="153" customFormat="1" ht="10.9" customHeight="1" x14ac:dyDescent="0.2">
      <c r="A62" s="458">
        <v>2020</v>
      </c>
      <c r="B62" s="372" t="s">
        <v>552</v>
      </c>
      <c r="C62" s="136"/>
      <c r="D62" s="136"/>
      <c r="E62" s="136"/>
      <c r="F62" s="136"/>
      <c r="G62" s="136"/>
      <c r="H62" s="136"/>
    </row>
    <row r="63" spans="1:8" s="153" customFormat="1" ht="10.9" customHeight="1" x14ac:dyDescent="0.2">
      <c r="A63" s="458">
        <v>2020</v>
      </c>
      <c r="B63" s="1709" t="s">
        <v>553</v>
      </c>
      <c r="C63" s="136"/>
      <c r="D63" s="136"/>
      <c r="E63" s="136"/>
      <c r="F63" s="136"/>
      <c r="G63" s="136"/>
      <c r="H63" s="136"/>
    </row>
    <row r="64" spans="1:8" s="153" customFormat="1" ht="10.9" customHeight="1" x14ac:dyDescent="0.2">
      <c r="A64" s="458">
        <v>2020</v>
      </c>
      <c r="B64" s="372" t="s">
        <v>547</v>
      </c>
      <c r="C64" s="136"/>
      <c r="D64" s="136"/>
      <c r="E64" s="136"/>
      <c r="F64" s="136"/>
      <c r="G64" s="136"/>
      <c r="H64" s="136"/>
    </row>
    <row r="65" spans="1:8" s="153" customFormat="1" ht="10.9" customHeight="1" x14ac:dyDescent="0.2">
      <c r="A65" s="458">
        <v>2020</v>
      </c>
      <c r="B65" s="1709" t="s">
        <v>554</v>
      </c>
      <c r="C65" s="136"/>
      <c r="D65" s="136"/>
      <c r="E65" s="136"/>
      <c r="F65" s="136"/>
      <c r="G65" s="136"/>
      <c r="H65" s="136"/>
    </row>
    <row r="66" spans="1:8" s="153" customFormat="1" ht="10.9" customHeight="1" x14ac:dyDescent="0.2">
      <c r="A66" s="458">
        <v>2020</v>
      </c>
      <c r="B66" s="372" t="s">
        <v>555</v>
      </c>
      <c r="C66" s="136"/>
      <c r="D66" s="136"/>
      <c r="E66" s="136"/>
      <c r="F66" s="136"/>
      <c r="G66" s="136"/>
      <c r="H66" s="136"/>
    </row>
    <row r="67" spans="1:8" s="153" customFormat="1" ht="10.9" customHeight="1" x14ac:dyDescent="0.2">
      <c r="A67" s="458">
        <v>2020</v>
      </c>
      <c r="B67" s="1709" t="s">
        <v>548</v>
      </c>
      <c r="C67" s="136"/>
      <c r="D67" s="136"/>
      <c r="E67" s="136"/>
      <c r="F67" s="136"/>
      <c r="G67" s="136"/>
      <c r="H67" s="136"/>
    </row>
    <row r="68" spans="1:8" s="153" customFormat="1" ht="10.9" customHeight="1" x14ac:dyDescent="0.2">
      <c r="A68" s="458">
        <v>2021</v>
      </c>
      <c r="B68" s="372" t="s">
        <v>556</v>
      </c>
      <c r="C68" s="136"/>
      <c r="D68" s="136"/>
      <c r="E68" s="136"/>
      <c r="F68" s="136"/>
      <c r="G68" s="136"/>
      <c r="H68" s="136"/>
    </row>
    <row r="69" spans="1:8" s="153" customFormat="1" ht="10.9" customHeight="1" x14ac:dyDescent="0.2">
      <c r="A69" s="458">
        <v>2021</v>
      </c>
      <c r="B69" s="1709" t="s">
        <v>557</v>
      </c>
      <c r="C69" s="136"/>
      <c r="D69" s="136"/>
      <c r="E69" s="136"/>
      <c r="F69" s="136"/>
      <c r="G69" s="136"/>
      <c r="H69" s="136"/>
    </row>
    <row r="70" spans="1:8" s="153" customFormat="1" ht="10.9" customHeight="1" x14ac:dyDescent="0.2">
      <c r="A70" s="458">
        <v>2021</v>
      </c>
      <c r="B70" s="372" t="s">
        <v>549</v>
      </c>
      <c r="C70" s="136"/>
      <c r="D70" s="136"/>
      <c r="E70" s="136"/>
      <c r="F70" s="136"/>
      <c r="G70" s="136"/>
      <c r="H70" s="136"/>
    </row>
    <row r="71" spans="1:8" s="153" customFormat="1" ht="10.9" customHeight="1" x14ac:dyDescent="0.2">
      <c r="A71" s="458">
        <v>2021</v>
      </c>
      <c r="B71" s="1709" t="s">
        <v>558</v>
      </c>
      <c r="C71" s="136"/>
      <c r="D71" s="136"/>
      <c r="E71" s="136"/>
      <c r="F71" s="136"/>
      <c r="G71" s="136"/>
      <c r="H71" s="136"/>
    </row>
    <row r="72" spans="1:8" s="153" customFormat="1" ht="10.9" customHeight="1" x14ac:dyDescent="0.2">
      <c r="A72" s="458">
        <v>2021</v>
      </c>
      <c r="B72" s="372" t="s">
        <v>559</v>
      </c>
      <c r="C72" s="136"/>
      <c r="D72" s="136"/>
      <c r="E72" s="136"/>
      <c r="F72" s="136"/>
      <c r="G72" s="136"/>
      <c r="H72" s="136"/>
    </row>
    <row r="73" spans="1:8" s="153" customFormat="1" ht="10.9" customHeight="1" x14ac:dyDescent="0.2">
      <c r="A73" s="458">
        <v>2021</v>
      </c>
      <c r="B73" s="1709" t="s">
        <v>550</v>
      </c>
      <c r="C73" s="136"/>
      <c r="D73" s="136"/>
      <c r="E73" s="136"/>
      <c r="F73" s="136"/>
      <c r="G73" s="136"/>
      <c r="H73" s="136"/>
    </row>
    <row r="74" spans="1:8" s="153" customFormat="1" ht="10.9" customHeight="1" x14ac:dyDescent="0.2">
      <c r="A74" s="458">
        <v>2021</v>
      </c>
      <c r="B74" s="372" t="s">
        <v>552</v>
      </c>
      <c r="C74" s="136"/>
      <c r="D74" s="136"/>
      <c r="E74" s="136"/>
      <c r="F74" s="136"/>
      <c r="G74" s="136"/>
      <c r="H74" s="136"/>
    </row>
    <row r="75" spans="1:8" s="153" customFormat="1" ht="10.9" customHeight="1" x14ac:dyDescent="0.2">
      <c r="A75" s="458">
        <v>2021</v>
      </c>
      <c r="B75" s="1709" t="s">
        <v>553</v>
      </c>
      <c r="C75" s="136"/>
      <c r="D75" s="136"/>
      <c r="E75" s="136"/>
      <c r="F75" s="136"/>
      <c r="G75" s="136"/>
      <c r="H75" s="136"/>
    </row>
    <row r="76" spans="1:8" s="153" customFormat="1" ht="10.9" customHeight="1" x14ac:dyDescent="0.2">
      <c r="A76" s="458">
        <v>2021</v>
      </c>
      <c r="B76" s="372" t="s">
        <v>547</v>
      </c>
      <c r="C76" s="136"/>
      <c r="D76" s="136"/>
      <c r="E76" s="136"/>
      <c r="F76" s="136"/>
      <c r="G76" s="136"/>
      <c r="H76" s="136"/>
    </row>
    <row r="77" spans="1:8" s="153" customFormat="1" ht="10.9" customHeight="1" x14ac:dyDescent="0.2">
      <c r="A77" s="458">
        <v>2021</v>
      </c>
      <c r="B77" s="1709" t="s">
        <v>554</v>
      </c>
      <c r="C77" s="136"/>
      <c r="D77" s="136"/>
      <c r="E77" s="136"/>
      <c r="F77" s="136"/>
      <c r="G77" s="136"/>
      <c r="H77" s="136"/>
    </row>
    <row r="78" spans="1:8" s="153" customFormat="1" ht="10.9" customHeight="1" x14ac:dyDescent="0.2">
      <c r="A78" s="458">
        <v>2021</v>
      </c>
      <c r="B78" s="372" t="s">
        <v>555</v>
      </c>
      <c r="C78" s="136"/>
      <c r="D78" s="136"/>
      <c r="E78" s="136"/>
      <c r="F78" s="136"/>
      <c r="G78" s="136"/>
      <c r="H78" s="136"/>
    </row>
    <row r="79" spans="1:8" s="153" customFormat="1" ht="10.9" customHeight="1" x14ac:dyDescent="0.2">
      <c r="A79" s="458">
        <v>2021</v>
      </c>
      <c r="B79" s="1709" t="s">
        <v>548</v>
      </c>
      <c r="C79" s="136"/>
      <c r="D79" s="136"/>
      <c r="E79" s="136"/>
      <c r="F79" s="136"/>
      <c r="G79" s="136"/>
      <c r="H79" s="136"/>
    </row>
    <row r="80" spans="1:8" s="153" customFormat="1" ht="10.9" customHeight="1" x14ac:dyDescent="0.2">
      <c r="A80" s="458">
        <v>2022</v>
      </c>
      <c r="B80" s="372" t="s">
        <v>556</v>
      </c>
      <c r="C80" s="237">
        <v>5.25</v>
      </c>
      <c r="D80" s="237">
        <v>1</v>
      </c>
      <c r="E80" s="237">
        <v>2.4300000000000002</v>
      </c>
      <c r="F80" s="237">
        <v>5.25</v>
      </c>
      <c r="G80" s="237">
        <v>1</v>
      </c>
      <c r="H80" s="237">
        <v>2.4300000000000002</v>
      </c>
    </row>
    <row r="81" spans="1:8" s="153" customFormat="1" ht="10.9" customHeight="1" x14ac:dyDescent="0.2">
      <c r="A81" s="458">
        <v>2022</v>
      </c>
      <c r="B81" s="1709" t="s">
        <v>557</v>
      </c>
      <c r="C81" s="276">
        <v>5.25</v>
      </c>
      <c r="D81" s="276">
        <v>1</v>
      </c>
      <c r="E81" s="276">
        <v>2.8</v>
      </c>
      <c r="F81" s="276">
        <v>5.25</v>
      </c>
      <c r="G81" s="276">
        <v>1</v>
      </c>
      <c r="H81" s="276">
        <v>2.8</v>
      </c>
    </row>
    <row r="82" spans="1:8" s="153" customFormat="1" ht="10.9" customHeight="1" x14ac:dyDescent="0.2">
      <c r="A82" s="458">
        <v>2022</v>
      </c>
      <c r="B82" s="372" t="s">
        <v>549</v>
      </c>
      <c r="C82" s="237">
        <v>5.25</v>
      </c>
      <c r="D82" s="237">
        <v>1</v>
      </c>
      <c r="E82" s="237">
        <v>2.66</v>
      </c>
      <c r="F82" s="237">
        <v>5.25</v>
      </c>
      <c r="G82" s="237">
        <v>1</v>
      </c>
      <c r="H82" s="237">
        <v>2.66</v>
      </c>
    </row>
    <row r="83" spans="1:8" s="153" customFormat="1" ht="10.9" customHeight="1" x14ac:dyDescent="0.2">
      <c r="A83" s="458">
        <v>2022</v>
      </c>
      <c r="B83" s="1709" t="s">
        <v>558</v>
      </c>
      <c r="C83" s="276">
        <v>5.25</v>
      </c>
      <c r="D83" s="276">
        <v>1</v>
      </c>
      <c r="E83" s="276">
        <v>4.58</v>
      </c>
      <c r="F83" s="276">
        <v>5.25</v>
      </c>
      <c r="G83" s="276">
        <v>1</v>
      </c>
      <c r="H83" s="276">
        <v>4.58</v>
      </c>
    </row>
    <row r="84" spans="1:8" s="153" customFormat="1" ht="10.9" customHeight="1" x14ac:dyDescent="0.2">
      <c r="A84" s="458">
        <v>2022</v>
      </c>
      <c r="B84" s="372" t="s">
        <v>559</v>
      </c>
      <c r="C84" s="237">
        <v>5.5</v>
      </c>
      <c r="D84" s="237">
        <v>2.75</v>
      </c>
      <c r="E84" s="237">
        <v>4.7300000000000004</v>
      </c>
      <c r="F84" s="237">
        <v>5.5</v>
      </c>
      <c r="G84" s="237">
        <v>2.75</v>
      </c>
      <c r="H84" s="237">
        <v>4.7300000000000004</v>
      </c>
    </row>
    <row r="85" spans="1:8" s="153" customFormat="1" ht="10.9" customHeight="1" x14ac:dyDescent="0.2">
      <c r="A85" s="458">
        <v>2022</v>
      </c>
      <c r="B85" s="1709" t="s">
        <v>550</v>
      </c>
      <c r="C85" s="276">
        <v>5.5</v>
      </c>
      <c r="D85" s="276">
        <v>3</v>
      </c>
      <c r="E85" s="276">
        <v>4.88</v>
      </c>
      <c r="F85" s="276">
        <v>5.5</v>
      </c>
      <c r="G85" s="276">
        <v>3</v>
      </c>
      <c r="H85" s="276">
        <v>4.88</v>
      </c>
    </row>
    <row r="86" spans="1:8" s="153" customFormat="1" ht="10.9" customHeight="1" x14ac:dyDescent="0.2">
      <c r="A86" s="458">
        <v>2022</v>
      </c>
      <c r="B86" s="372" t="s">
        <v>552</v>
      </c>
      <c r="C86" s="237">
        <v>6.5</v>
      </c>
      <c r="D86" s="237">
        <v>3.25</v>
      </c>
      <c r="E86" s="237">
        <v>5.34</v>
      </c>
      <c r="F86" s="237">
        <v>6.5</v>
      </c>
      <c r="G86" s="237">
        <v>3.25</v>
      </c>
      <c r="H86" s="237">
        <v>5.34</v>
      </c>
    </row>
    <row r="87" spans="1:8" s="153" customFormat="1" ht="10.9" customHeight="1" x14ac:dyDescent="0.2">
      <c r="A87" s="458">
        <v>2022</v>
      </c>
      <c r="B87" s="1709" t="s">
        <v>553</v>
      </c>
      <c r="C87" s="276">
        <v>6</v>
      </c>
      <c r="D87" s="276">
        <v>3.5</v>
      </c>
      <c r="E87" s="276">
        <v>5.49</v>
      </c>
      <c r="F87" s="276">
        <v>6</v>
      </c>
      <c r="G87" s="276">
        <v>3.5</v>
      </c>
      <c r="H87" s="276">
        <v>5.49</v>
      </c>
    </row>
    <row r="88" spans="1:8" s="153" customFormat="1" ht="10.9" customHeight="1" x14ac:dyDescent="0.2">
      <c r="A88" s="458">
        <v>2022</v>
      </c>
      <c r="B88" s="372" t="s">
        <v>547</v>
      </c>
      <c r="C88" s="237">
        <v>6</v>
      </c>
      <c r="D88" s="237">
        <v>4.5</v>
      </c>
      <c r="E88" s="237">
        <v>5.53</v>
      </c>
      <c r="F88" s="237">
        <v>6</v>
      </c>
      <c r="G88" s="237">
        <v>4.5</v>
      </c>
      <c r="H88" s="237">
        <v>5.53</v>
      </c>
    </row>
    <row r="89" spans="1:8" s="153" customFormat="1" ht="10.9" customHeight="1" x14ac:dyDescent="0.2">
      <c r="A89" s="458">
        <v>2022</v>
      </c>
      <c r="B89" s="1709" t="s">
        <v>554</v>
      </c>
      <c r="C89" s="276">
        <v>7.75</v>
      </c>
      <c r="D89" s="276">
        <v>5</v>
      </c>
      <c r="E89" s="276">
        <v>5.79</v>
      </c>
      <c r="F89" s="276">
        <v>7.75</v>
      </c>
      <c r="G89" s="276">
        <v>5</v>
      </c>
      <c r="H89" s="276">
        <v>5.79</v>
      </c>
    </row>
    <row r="90" spans="1:8" s="153" customFormat="1" ht="10.9" customHeight="1" x14ac:dyDescent="0.2">
      <c r="A90" s="458">
        <v>2022</v>
      </c>
      <c r="B90" s="372" t="s">
        <v>555</v>
      </c>
      <c r="C90" s="237">
        <v>6.25</v>
      </c>
      <c r="D90" s="237">
        <v>5</v>
      </c>
      <c r="E90" s="237">
        <v>5.8</v>
      </c>
      <c r="F90" s="237">
        <v>6.25</v>
      </c>
      <c r="G90" s="237">
        <v>5</v>
      </c>
      <c r="H90" s="237">
        <v>5.8</v>
      </c>
    </row>
    <row r="91" spans="1:8" s="153" customFormat="1" ht="10.9" customHeight="1" x14ac:dyDescent="0.2">
      <c r="A91" s="458">
        <v>2022</v>
      </c>
      <c r="B91" s="1709" t="s">
        <v>548</v>
      </c>
      <c r="C91" s="276">
        <v>7.25</v>
      </c>
      <c r="D91" s="276">
        <v>5</v>
      </c>
      <c r="E91" s="276">
        <v>5.8</v>
      </c>
      <c r="F91" s="276">
        <v>7.25</v>
      </c>
      <c r="G91" s="276">
        <v>5</v>
      </c>
      <c r="H91" s="276">
        <v>5.8</v>
      </c>
    </row>
    <row r="92" spans="1:8" s="153" customFormat="1" ht="10.9" customHeight="1" x14ac:dyDescent="0.2">
      <c r="A92" s="458">
        <v>2023</v>
      </c>
      <c r="B92" s="372" t="s">
        <v>556</v>
      </c>
      <c r="C92" s="276">
        <v>7.5</v>
      </c>
      <c r="D92" s="276">
        <v>5.25</v>
      </c>
      <c r="E92" s="276">
        <v>6.66</v>
      </c>
      <c r="F92" s="276">
        <v>7.5</v>
      </c>
      <c r="G92" s="276">
        <v>5.25</v>
      </c>
      <c r="H92" s="276">
        <v>6.66</v>
      </c>
    </row>
    <row r="93" spans="1:8" s="153" customFormat="1" ht="10.9" customHeight="1" x14ac:dyDescent="0.2">
      <c r="A93" s="458">
        <v>2023</v>
      </c>
      <c r="B93" s="358" t="s">
        <v>557</v>
      </c>
      <c r="C93" s="237">
        <v>7.5</v>
      </c>
      <c r="D93" s="237">
        <v>5</v>
      </c>
      <c r="E93" s="237">
        <v>6.15</v>
      </c>
      <c r="F93" s="237">
        <v>7.5</v>
      </c>
      <c r="G93" s="237">
        <v>5</v>
      </c>
      <c r="H93" s="237">
        <v>6.15</v>
      </c>
    </row>
    <row r="94" spans="1:8" s="153" customFormat="1" ht="10.9" customHeight="1" x14ac:dyDescent="0.2">
      <c r="A94" s="458">
        <v>2023</v>
      </c>
      <c r="B94" s="372" t="s">
        <v>549</v>
      </c>
      <c r="C94" s="276">
        <v>7.5</v>
      </c>
      <c r="D94" s="276">
        <v>5</v>
      </c>
      <c r="E94" s="276">
        <v>6.03</v>
      </c>
      <c r="F94" s="276">
        <v>7.5</v>
      </c>
      <c r="G94" s="276">
        <v>5</v>
      </c>
      <c r="H94" s="276">
        <v>6.03</v>
      </c>
    </row>
    <row r="95" spans="1:8" s="153" customFormat="1" ht="10.9" customHeight="1" x14ac:dyDescent="0.2">
      <c r="A95" s="458">
        <v>2023</v>
      </c>
      <c r="B95" s="358" t="s">
        <v>558</v>
      </c>
      <c r="C95" s="237">
        <v>7.5</v>
      </c>
      <c r="D95" s="237">
        <v>5</v>
      </c>
      <c r="E95" s="237">
        <v>6.04</v>
      </c>
      <c r="F95" s="237">
        <v>7.5</v>
      </c>
      <c r="G95" s="237">
        <v>5</v>
      </c>
      <c r="H95" s="237">
        <v>6.04</v>
      </c>
    </row>
    <row r="96" spans="1:8" s="153" customFormat="1" ht="10.9" customHeight="1" x14ac:dyDescent="0.2">
      <c r="A96" s="458">
        <v>2023</v>
      </c>
      <c r="B96" s="372" t="s">
        <v>559</v>
      </c>
      <c r="C96" s="276">
        <v>7.5</v>
      </c>
      <c r="D96" s="276">
        <v>5</v>
      </c>
      <c r="E96" s="276">
        <v>6.03</v>
      </c>
      <c r="F96" s="276">
        <v>7.5</v>
      </c>
      <c r="G96" s="276">
        <v>5</v>
      </c>
      <c r="H96" s="276">
        <v>6.03</v>
      </c>
    </row>
    <row r="97" spans="1:8" s="153" customFormat="1" ht="10.9" customHeight="1" x14ac:dyDescent="0.2">
      <c r="A97" s="458">
        <v>2023</v>
      </c>
      <c r="B97" s="358" t="s">
        <v>550</v>
      </c>
      <c r="C97" s="237">
        <v>7.5</v>
      </c>
      <c r="D97" s="237">
        <v>4.5</v>
      </c>
      <c r="E97" s="237">
        <v>6.06</v>
      </c>
      <c r="F97" s="237">
        <v>7.5</v>
      </c>
      <c r="G97" s="237">
        <v>4.5</v>
      </c>
      <c r="H97" s="237">
        <v>6.06</v>
      </c>
    </row>
    <row r="98" spans="1:8" s="153" customFormat="1" ht="10.9" customHeight="1" x14ac:dyDescent="0.2">
      <c r="A98" s="458">
        <v>2023</v>
      </c>
      <c r="B98" s="372" t="s">
        <v>552</v>
      </c>
      <c r="C98" s="276">
        <v>8</v>
      </c>
      <c r="D98" s="276">
        <v>5.5</v>
      </c>
      <c r="E98" s="276">
        <v>6.3</v>
      </c>
      <c r="F98" s="276">
        <v>8</v>
      </c>
      <c r="G98" s="276">
        <v>5.5</v>
      </c>
      <c r="H98" s="276">
        <v>6.3</v>
      </c>
    </row>
    <row r="99" spans="1:8" s="153" customFormat="1" ht="10.9" customHeight="1" x14ac:dyDescent="0.2">
      <c r="A99" s="458">
        <v>2023</v>
      </c>
      <c r="B99" s="358" t="s">
        <v>553</v>
      </c>
      <c r="C99" s="237">
        <v>8</v>
      </c>
      <c r="D99" s="237">
        <v>4.25</v>
      </c>
      <c r="E99" s="237">
        <v>6.28</v>
      </c>
      <c r="F99" s="237">
        <v>8</v>
      </c>
      <c r="G99" s="237">
        <v>4.25</v>
      </c>
      <c r="H99" s="237">
        <v>6.28</v>
      </c>
    </row>
    <row r="100" spans="1:8" s="153" customFormat="1" ht="10.9" customHeight="1" x14ac:dyDescent="0.2">
      <c r="A100" s="458">
        <v>2023</v>
      </c>
      <c r="B100" s="372" t="s">
        <v>547</v>
      </c>
      <c r="C100" s="276">
        <v>7.75</v>
      </c>
      <c r="D100" s="276">
        <v>5.5</v>
      </c>
      <c r="E100" s="276">
        <v>6.41</v>
      </c>
      <c r="F100" s="276">
        <v>7.75</v>
      </c>
      <c r="G100" s="276">
        <v>5.5</v>
      </c>
      <c r="H100" s="276">
        <v>6.41</v>
      </c>
    </row>
    <row r="101" spans="1:8" s="153" customFormat="1" ht="10.9" customHeight="1" x14ac:dyDescent="0.2">
      <c r="A101" s="458">
        <v>2023</v>
      </c>
      <c r="B101" s="358" t="s">
        <v>554</v>
      </c>
      <c r="C101" s="237">
        <v>8.75</v>
      </c>
      <c r="D101" s="237">
        <v>6</v>
      </c>
      <c r="E101" s="237">
        <v>7.35</v>
      </c>
      <c r="F101" s="237">
        <v>8.75</v>
      </c>
      <c r="G101" s="237">
        <v>6</v>
      </c>
      <c r="H101" s="237">
        <v>7.35</v>
      </c>
    </row>
    <row r="102" spans="1:8" s="153" customFormat="1" ht="10.9" customHeight="1" x14ac:dyDescent="0.2">
      <c r="A102" s="458">
        <v>2023</v>
      </c>
      <c r="B102" s="372" t="s">
        <v>555</v>
      </c>
      <c r="C102" s="276">
        <v>9.25</v>
      </c>
      <c r="D102" s="276">
        <v>7.25</v>
      </c>
      <c r="E102" s="276">
        <v>8.0299999999999994</v>
      </c>
      <c r="F102" s="276">
        <v>9.25</v>
      </c>
      <c r="G102" s="276">
        <v>7.25</v>
      </c>
      <c r="H102" s="276">
        <v>8.0299999999999994</v>
      </c>
    </row>
    <row r="103" spans="1:8" s="153" customFormat="1" ht="10.9" customHeight="1" x14ac:dyDescent="0.2">
      <c r="A103" s="458">
        <v>2023</v>
      </c>
      <c r="B103" s="358" t="s">
        <v>548</v>
      </c>
      <c r="C103" s="237">
        <v>9.75</v>
      </c>
      <c r="D103" s="237">
        <v>7.25</v>
      </c>
      <c r="E103" s="237">
        <v>8.84</v>
      </c>
      <c r="F103" s="237">
        <v>9.75</v>
      </c>
      <c r="G103" s="237">
        <v>7.25</v>
      </c>
      <c r="H103" s="237">
        <v>8.84</v>
      </c>
    </row>
    <row r="104" spans="1:8" s="153" customFormat="1" ht="10.9" customHeight="1" x14ac:dyDescent="0.2">
      <c r="A104" s="24">
        <v>2024</v>
      </c>
      <c r="B104" s="358" t="s">
        <v>556</v>
      </c>
      <c r="C104" s="237">
        <v>10</v>
      </c>
      <c r="D104" s="237">
        <v>7.75</v>
      </c>
      <c r="E104" s="237">
        <v>9.3800000000000008</v>
      </c>
      <c r="F104" s="237">
        <v>10</v>
      </c>
      <c r="G104" s="237">
        <v>7.75</v>
      </c>
      <c r="H104" s="237">
        <v>9.3800000000000008</v>
      </c>
    </row>
    <row r="105" spans="1:8" s="153" customFormat="1" ht="10.9" customHeight="1" x14ac:dyDescent="0.2">
      <c r="A105" s="24">
        <v>2024</v>
      </c>
      <c r="B105" s="372" t="s">
        <v>557</v>
      </c>
      <c r="C105" s="276">
        <v>9.5</v>
      </c>
      <c r="D105" s="276">
        <v>8</v>
      </c>
      <c r="E105" s="276">
        <v>9.3000000000000007</v>
      </c>
      <c r="F105" s="276">
        <v>9.5</v>
      </c>
      <c r="G105" s="276">
        <v>8</v>
      </c>
      <c r="H105" s="276">
        <v>9.3000000000000007</v>
      </c>
    </row>
    <row r="106" spans="1:8" s="153" customFormat="1" ht="10.9" customHeight="1" x14ac:dyDescent="0.2">
      <c r="A106" s="24">
        <v>2024</v>
      </c>
      <c r="B106" s="358" t="s">
        <v>549</v>
      </c>
      <c r="C106" s="237">
        <v>9.5</v>
      </c>
      <c r="D106" s="237">
        <v>6.75</v>
      </c>
      <c r="E106" s="237">
        <v>8.75</v>
      </c>
      <c r="F106" s="237">
        <v>9.5</v>
      </c>
      <c r="G106" s="237">
        <v>6.75</v>
      </c>
      <c r="H106" s="237">
        <v>8.75</v>
      </c>
    </row>
    <row r="107" spans="1:8" s="153" customFormat="1" ht="10.9" customHeight="1" x14ac:dyDescent="0.2">
      <c r="A107" s="24">
        <v>2024</v>
      </c>
      <c r="B107" s="372" t="s">
        <v>558</v>
      </c>
      <c r="C107" s="276">
        <v>9.5</v>
      </c>
      <c r="D107" s="276">
        <v>7.9</v>
      </c>
      <c r="E107" s="276">
        <v>8.81</v>
      </c>
      <c r="F107" s="276">
        <v>9.5</v>
      </c>
      <c r="G107" s="276">
        <v>7.9</v>
      </c>
      <c r="H107" s="276">
        <v>8.81</v>
      </c>
    </row>
    <row r="108" spans="1:8" s="153" customFormat="1" ht="10.9" customHeight="1" x14ac:dyDescent="0.2">
      <c r="A108" s="24">
        <v>2024</v>
      </c>
      <c r="B108" s="84" t="s">
        <v>559</v>
      </c>
      <c r="C108" s="237">
        <v>10</v>
      </c>
      <c r="D108" s="237">
        <v>8</v>
      </c>
      <c r="E108" s="237">
        <v>9.08</v>
      </c>
      <c r="F108" s="237">
        <v>10</v>
      </c>
      <c r="G108" s="237">
        <v>8</v>
      </c>
      <c r="H108" s="237">
        <v>9.08</v>
      </c>
    </row>
    <row r="109" spans="1:8" s="153" customFormat="1" ht="10.9" customHeight="1" x14ac:dyDescent="0.2">
      <c r="A109" s="24">
        <v>2024</v>
      </c>
      <c r="B109" s="1292" t="s">
        <v>550</v>
      </c>
      <c r="C109" s="276">
        <v>10</v>
      </c>
      <c r="D109" s="276">
        <v>8.5</v>
      </c>
      <c r="E109" s="276">
        <v>9.08</v>
      </c>
      <c r="F109" s="276">
        <v>10</v>
      </c>
      <c r="G109" s="276">
        <v>8.5</v>
      </c>
      <c r="H109" s="276">
        <v>9.08</v>
      </c>
    </row>
    <row r="110" spans="1:8" s="153" customFormat="1" ht="10.9" customHeight="1" x14ac:dyDescent="0.2">
      <c r="A110" s="24">
        <v>2024</v>
      </c>
      <c r="B110" s="1296" t="s">
        <v>552</v>
      </c>
      <c r="C110" s="237">
        <v>10</v>
      </c>
      <c r="D110" s="237">
        <v>7.75</v>
      </c>
      <c r="E110" s="237">
        <v>8.86</v>
      </c>
      <c r="F110" s="237">
        <v>10</v>
      </c>
      <c r="G110" s="237">
        <v>7.75</v>
      </c>
      <c r="H110" s="237">
        <v>8.86</v>
      </c>
    </row>
    <row r="111" spans="1:8" s="153" customFormat="1" ht="10.9" customHeight="1" x14ac:dyDescent="0.2">
      <c r="A111" s="24">
        <v>2024</v>
      </c>
      <c r="B111" s="1292" t="s">
        <v>553</v>
      </c>
      <c r="C111" s="276">
        <v>10.5</v>
      </c>
      <c r="D111" s="276">
        <v>8.3000000000000007</v>
      </c>
      <c r="E111" s="276">
        <v>8.7799999999999994</v>
      </c>
      <c r="F111" s="276">
        <v>10.5</v>
      </c>
      <c r="G111" s="276">
        <v>8.3000000000000007</v>
      </c>
      <c r="H111" s="276">
        <v>8.7799999999999994</v>
      </c>
    </row>
    <row r="112" spans="1:8" s="153" customFormat="1" ht="10.9" customHeight="1" x14ac:dyDescent="0.2">
      <c r="A112" s="24">
        <v>2024</v>
      </c>
      <c r="B112" s="1296" t="s">
        <v>547</v>
      </c>
      <c r="C112" s="237">
        <v>10.5</v>
      </c>
      <c r="D112" s="237">
        <v>8.5</v>
      </c>
      <c r="E112" s="237">
        <v>9.14</v>
      </c>
      <c r="F112" s="237">
        <v>10.5</v>
      </c>
      <c r="G112" s="237">
        <v>8.5</v>
      </c>
      <c r="H112" s="237">
        <v>9.14</v>
      </c>
    </row>
    <row r="113" spans="1:8" s="153" customFormat="1" ht="10.9" customHeight="1" x14ac:dyDescent="0.2">
      <c r="A113" s="24">
        <v>2024</v>
      </c>
      <c r="B113" s="1292" t="s">
        <v>554</v>
      </c>
      <c r="C113" s="276">
        <v>11</v>
      </c>
      <c r="D113" s="276">
        <v>9</v>
      </c>
      <c r="E113" s="276">
        <v>9.66</v>
      </c>
      <c r="F113" s="276">
        <v>11</v>
      </c>
      <c r="G113" s="276">
        <v>9</v>
      </c>
      <c r="H113" s="276">
        <v>9.66</v>
      </c>
    </row>
    <row r="114" spans="1:8" s="153" customFormat="1" ht="10.9" customHeight="1" x14ac:dyDescent="0.2">
      <c r="A114" s="24">
        <v>2024</v>
      </c>
      <c r="B114" s="1296" t="s">
        <v>555</v>
      </c>
      <c r="C114" s="237">
        <v>11</v>
      </c>
      <c r="D114" s="237">
        <v>8.9499999999999993</v>
      </c>
      <c r="E114" s="237">
        <v>9.99</v>
      </c>
      <c r="F114" s="237">
        <v>11</v>
      </c>
      <c r="G114" s="237">
        <v>8.9499999999999993</v>
      </c>
      <c r="H114" s="237">
        <v>9.99</v>
      </c>
    </row>
    <row r="115" spans="1:8" s="153" customFormat="1" ht="10.9" customHeight="1" x14ac:dyDescent="0.2">
      <c r="A115" s="24">
        <v>2024</v>
      </c>
      <c r="B115" s="1292" t="s">
        <v>548</v>
      </c>
      <c r="C115" s="276">
        <v>11</v>
      </c>
      <c r="D115" s="276">
        <v>8.75</v>
      </c>
      <c r="E115" s="276">
        <v>10.07</v>
      </c>
      <c r="F115" s="276">
        <v>11</v>
      </c>
      <c r="G115" s="276">
        <v>8.75</v>
      </c>
      <c r="H115" s="276">
        <v>10.07</v>
      </c>
    </row>
    <row r="116" spans="1:8" s="153" customFormat="1" ht="10.9" customHeight="1" x14ac:dyDescent="0.2">
      <c r="A116" s="24">
        <v>2025</v>
      </c>
      <c r="B116" s="1292" t="s">
        <v>556</v>
      </c>
      <c r="C116" s="276">
        <v>11</v>
      </c>
      <c r="D116" s="276">
        <v>9</v>
      </c>
      <c r="E116" s="276">
        <v>10.08</v>
      </c>
      <c r="F116" s="276">
        <v>11</v>
      </c>
      <c r="G116" s="276">
        <v>9</v>
      </c>
      <c r="H116" s="276">
        <v>10.08</v>
      </c>
    </row>
    <row r="117" spans="1:8" s="153" customFormat="1" ht="10.9" customHeight="1" x14ac:dyDescent="0.2">
      <c r="A117" s="24">
        <v>2025</v>
      </c>
      <c r="B117" s="1296" t="s">
        <v>557</v>
      </c>
      <c r="C117" s="237">
        <v>11</v>
      </c>
      <c r="D117" s="237">
        <v>9.5</v>
      </c>
      <c r="E117" s="237">
        <v>10.039999999999999</v>
      </c>
      <c r="F117" s="237">
        <v>11</v>
      </c>
      <c r="G117" s="237">
        <v>9.5</v>
      </c>
      <c r="H117" s="237">
        <v>10.039999999999999</v>
      </c>
    </row>
    <row r="118" spans="1:8" s="153" customFormat="1" ht="10.9" customHeight="1" x14ac:dyDescent="0.2">
      <c r="A118" s="24">
        <v>2025</v>
      </c>
      <c r="B118" s="1292" t="s">
        <v>549</v>
      </c>
      <c r="C118" s="276">
        <v>11</v>
      </c>
      <c r="D118" s="276">
        <v>8.8000000000000007</v>
      </c>
      <c r="E118" s="276">
        <v>10.01</v>
      </c>
      <c r="F118" s="276">
        <v>11</v>
      </c>
      <c r="G118" s="276">
        <v>8.8000000000000007</v>
      </c>
      <c r="H118" s="276">
        <v>10.01</v>
      </c>
    </row>
    <row r="119" spans="1:8" s="153" customFormat="1" ht="10.9" customHeight="1" x14ac:dyDescent="0.2">
      <c r="A119" s="24">
        <v>2025</v>
      </c>
      <c r="B119" s="1296" t="s">
        <v>558</v>
      </c>
      <c r="C119" s="237">
        <v>11</v>
      </c>
      <c r="D119" s="237">
        <v>9.5</v>
      </c>
      <c r="E119" s="237">
        <v>9.93</v>
      </c>
      <c r="F119" s="237">
        <v>11</v>
      </c>
      <c r="G119" s="237">
        <v>9.5</v>
      </c>
      <c r="H119" s="237">
        <v>9.93</v>
      </c>
    </row>
    <row r="120" spans="1:8" s="153" customFormat="1" ht="10.9" customHeight="1" x14ac:dyDescent="0.2">
      <c r="A120" s="24">
        <v>2025</v>
      </c>
      <c r="B120" s="1292" t="s">
        <v>559</v>
      </c>
      <c r="C120" s="276">
        <v>11.25</v>
      </c>
      <c r="D120" s="276">
        <v>9.5</v>
      </c>
      <c r="E120" s="276">
        <v>10.06</v>
      </c>
      <c r="F120" s="276">
        <v>11.25</v>
      </c>
      <c r="G120" s="276">
        <v>9.5</v>
      </c>
      <c r="H120" s="276">
        <v>10.06</v>
      </c>
    </row>
    <row r="121" spans="1:8" s="153" customFormat="1" ht="10.9" customHeight="1" x14ac:dyDescent="0.2">
      <c r="A121" s="24">
        <v>2025</v>
      </c>
      <c r="B121" s="1296" t="s">
        <v>550</v>
      </c>
      <c r="C121" s="237">
        <v>11.5</v>
      </c>
      <c r="D121" s="237">
        <v>9</v>
      </c>
      <c r="E121" s="237">
        <v>10.14</v>
      </c>
      <c r="F121" s="237">
        <v>11.5</v>
      </c>
      <c r="G121" s="237">
        <v>9</v>
      </c>
      <c r="H121" s="237">
        <v>10.14</v>
      </c>
    </row>
    <row r="122" spans="1:8" s="153" customFormat="1" ht="10.9" customHeight="1" x14ac:dyDescent="0.2">
      <c r="A122" s="24">
        <v>2025</v>
      </c>
      <c r="B122" s="1292" t="s">
        <v>552</v>
      </c>
      <c r="C122" s="276">
        <v>11.5</v>
      </c>
      <c r="D122" s="276">
        <v>9.5</v>
      </c>
      <c r="E122" s="276">
        <v>10.029999999999999</v>
      </c>
      <c r="F122" s="276">
        <v>11.5</v>
      </c>
      <c r="G122" s="276">
        <v>9.5</v>
      </c>
      <c r="H122" s="276">
        <v>10.029999999999999</v>
      </c>
    </row>
    <row r="123" spans="1:8" s="153" customFormat="1" ht="10.9" customHeight="1" x14ac:dyDescent="0.2">
      <c r="A123" s="24">
        <v>2025</v>
      </c>
      <c r="B123" s="1296" t="s">
        <v>553</v>
      </c>
      <c r="C123" s="237">
        <v>11</v>
      </c>
      <c r="D123" s="237">
        <v>9.5</v>
      </c>
      <c r="E123" s="237">
        <v>9.98</v>
      </c>
      <c r="F123" s="237">
        <v>11</v>
      </c>
      <c r="G123" s="237">
        <v>9.5</v>
      </c>
      <c r="H123" s="237">
        <v>9.98</v>
      </c>
    </row>
    <row r="124" spans="1:8" s="153" customFormat="1" ht="10.9" customHeight="1" x14ac:dyDescent="0.2">
      <c r="A124" s="24">
        <v>2025</v>
      </c>
      <c r="B124" s="1292" t="s">
        <v>547</v>
      </c>
      <c r="C124" s="276">
        <v>11</v>
      </c>
      <c r="D124" s="276">
        <v>9.25</v>
      </c>
      <c r="E124" s="276">
        <v>9.9700000000000006</v>
      </c>
      <c r="F124" s="276">
        <v>11</v>
      </c>
      <c r="G124" s="276">
        <v>9.25</v>
      </c>
      <c r="H124" s="276">
        <v>9.9700000000000006</v>
      </c>
    </row>
    <row r="125" spans="1:8" s="153" customFormat="1" ht="10.9" customHeight="1" x14ac:dyDescent="0.2">
      <c r="A125" s="24">
        <v>2025</v>
      </c>
      <c r="B125" s="1296" t="s">
        <v>554</v>
      </c>
      <c r="C125" s="237">
        <v>11</v>
      </c>
      <c r="D125" s="237">
        <v>9.25</v>
      </c>
      <c r="E125" s="237">
        <v>9.74</v>
      </c>
      <c r="F125" s="237">
        <v>11</v>
      </c>
      <c r="G125" s="237">
        <v>9.25</v>
      </c>
      <c r="H125" s="237">
        <v>9.74</v>
      </c>
    </row>
    <row r="126" spans="1:8" ht="10.9" customHeight="1" x14ac:dyDescent="0.2">
      <c r="A126" s="24">
        <v>2025</v>
      </c>
      <c r="B126" s="1292" t="s">
        <v>555</v>
      </c>
      <c r="C126" s="276">
        <v>11</v>
      </c>
      <c r="D126" s="276">
        <v>9.5</v>
      </c>
      <c r="E126" s="276">
        <v>9.7899999999999991</v>
      </c>
      <c r="F126" s="276">
        <v>11</v>
      </c>
      <c r="G126" s="276">
        <v>9.5</v>
      </c>
      <c r="H126" s="276">
        <v>9.7899999999999991</v>
      </c>
    </row>
    <row r="127" spans="1:8" ht="10.9" customHeight="1" x14ac:dyDescent="0.2">
      <c r="A127" s="24">
        <v>2025</v>
      </c>
      <c r="B127" s="1296" t="s">
        <v>548</v>
      </c>
      <c r="C127" s="237">
        <v>11</v>
      </c>
      <c r="D127" s="237">
        <v>9.5</v>
      </c>
      <c r="E127" s="237">
        <v>9.99</v>
      </c>
      <c r="F127" s="237">
        <v>11</v>
      </c>
      <c r="G127" s="237">
        <v>9.5</v>
      </c>
      <c r="H127" s="237">
        <v>9.99</v>
      </c>
    </row>
    <row r="128" spans="1:8" ht="10.9" customHeight="1" x14ac:dyDescent="0.2">
      <c r="A128" s="1714">
        <v>2026</v>
      </c>
      <c r="B128" s="1296" t="s">
        <v>556</v>
      </c>
      <c r="C128" s="237">
        <v>11</v>
      </c>
      <c r="D128" s="237">
        <v>9.5</v>
      </c>
      <c r="E128" s="237">
        <v>9.94</v>
      </c>
      <c r="F128" s="237">
        <v>11</v>
      </c>
      <c r="G128" s="237">
        <v>9.5</v>
      </c>
      <c r="H128" s="237">
        <v>9.94</v>
      </c>
    </row>
    <row r="129" spans="1:8" ht="10.9" customHeight="1" x14ac:dyDescent="0.2">
      <c r="A129" s="1714">
        <v>2026</v>
      </c>
      <c r="B129" s="1292" t="s">
        <v>557</v>
      </c>
      <c r="C129" s="276">
        <v>11</v>
      </c>
      <c r="D129" s="276">
        <v>9.0500000000000007</v>
      </c>
      <c r="E129" s="276">
        <v>9.9</v>
      </c>
      <c r="F129" s="276">
        <v>11</v>
      </c>
      <c r="G129" s="276">
        <v>9.0500000000000007</v>
      </c>
      <c r="H129" s="276">
        <v>9.9</v>
      </c>
    </row>
    <row r="130" spans="1:8" ht="10.9" customHeight="1" thickBot="1" x14ac:dyDescent="0.25">
      <c r="A130" s="1714">
        <v>2026</v>
      </c>
      <c r="B130" s="1620" t="s">
        <v>549</v>
      </c>
      <c r="C130" s="642">
        <v>11</v>
      </c>
      <c r="D130" s="642">
        <v>9.25</v>
      </c>
      <c r="E130" s="642">
        <v>10.01</v>
      </c>
      <c r="F130" s="642">
        <v>11</v>
      </c>
      <c r="G130" s="642">
        <v>9.25</v>
      </c>
      <c r="H130" s="642">
        <v>10.01</v>
      </c>
    </row>
    <row r="131" spans="1:8" x14ac:dyDescent="0.2">
      <c r="A131" s="1715" t="s">
        <v>366</v>
      </c>
      <c r="B131" s="111"/>
      <c r="C131" s="625" t="s">
        <v>1214</v>
      </c>
      <c r="D131" s="625"/>
      <c r="E131" s="625"/>
      <c r="F131" s="625"/>
      <c r="G131" s="60"/>
      <c r="H131" s="9"/>
    </row>
    <row r="134" spans="1:8" x14ac:dyDescent="0.2">
      <c r="C134" s="82"/>
      <c r="D134" s="82"/>
      <c r="E134" s="82"/>
      <c r="F134" s="82"/>
      <c r="G134" s="82"/>
      <c r="H134" s="82"/>
    </row>
    <row r="143" spans="1:8" ht="12" customHeight="1" x14ac:dyDescent="0.2"/>
  </sheetData>
  <customSheetViews>
    <customSheetView guid="{A374FC54-96E3-45F0-9C12-8450400C12DF}" scale="130" topLeftCell="A34">
      <selection activeCell="F55" sqref="F55"/>
      <pageMargins left="0.62992125984252001" right="0.511811023622047" top="0.39370078740157499" bottom="0.118110236220472" header="0.25" footer="0"/>
      <pageSetup paperSize="132" firstPageNumber="78" orientation="portrait" useFirstPageNumber="1" r:id="rId1"/>
      <headerFooter alignWithMargins="0">
        <oddFooter>&amp;C&amp;"Times New Roman,Regular"&amp;8 78</oddFooter>
      </headerFooter>
    </customSheetView>
  </customSheetViews>
  <mergeCells count="8">
    <mergeCell ref="C1:F1"/>
    <mergeCell ref="G1:H1"/>
    <mergeCell ref="A2:F2"/>
    <mergeCell ref="G2:H2"/>
    <mergeCell ref="A3:A4"/>
    <mergeCell ref="C3:E3"/>
    <mergeCell ref="F3:H3"/>
    <mergeCell ref="B3:B4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E67"/>
  <sheetViews>
    <sheetView zoomScale="160" zoomScaleNormal="160" workbookViewId="0">
      <pane xSplit="1" ySplit="6" topLeftCell="B42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B47" sqref="B47"/>
    </sheetView>
  </sheetViews>
  <sheetFormatPr defaultColWidth="9.140625" defaultRowHeight="11.25" x14ac:dyDescent="0.2"/>
  <cols>
    <col min="1" max="1" width="9" style="9" customWidth="1"/>
    <col min="2" max="2" width="11.42578125" style="9" customWidth="1"/>
    <col min="3" max="3" width="12.28515625" style="9" customWidth="1"/>
    <col min="4" max="4" width="11.42578125" style="9" customWidth="1"/>
    <col min="5" max="5" width="10.5703125" style="9" customWidth="1"/>
    <col min="6" max="6" width="9.28515625" style="9" customWidth="1"/>
    <col min="7" max="7" width="11.28515625" style="9" customWidth="1"/>
    <col min="8" max="8" width="10.28515625" style="9" customWidth="1"/>
    <col min="9" max="9" width="11.7109375" style="9" customWidth="1"/>
    <col min="10" max="10" width="11.140625" style="9" customWidth="1"/>
    <col min="11" max="11" width="11.42578125" style="9" customWidth="1"/>
    <col min="12" max="12" width="10.85546875" style="9" customWidth="1"/>
    <col min="13" max="13" width="10.7109375" style="9" customWidth="1"/>
    <col min="14" max="14" width="11.140625" style="9" customWidth="1"/>
    <col min="15" max="15" width="16.42578125" style="9" customWidth="1"/>
    <col min="16" max="16" width="15.7109375" style="9" customWidth="1"/>
    <col min="17" max="17" width="13" style="9" customWidth="1"/>
    <col min="18" max="18" width="14.28515625" style="9" customWidth="1"/>
    <col min="19" max="19" width="15.7109375" style="9" customWidth="1"/>
    <col min="20" max="20" width="7.5703125" style="9" customWidth="1"/>
    <col min="21" max="21" width="8.85546875" style="9" customWidth="1"/>
    <col min="22" max="22" width="11.7109375" style="9" customWidth="1"/>
    <col min="23" max="23" width="7.5703125" style="9" customWidth="1"/>
    <col min="24" max="24" width="8.42578125" style="9" customWidth="1"/>
    <col min="25" max="25" width="7.7109375" style="9" customWidth="1"/>
    <col min="26" max="26" width="9.42578125" style="9" customWidth="1"/>
    <col min="27" max="27" width="8.140625" style="9" customWidth="1"/>
    <col min="28" max="28" width="8.7109375" style="9" customWidth="1"/>
    <col min="29" max="29" width="9.140625" style="9"/>
    <col min="30" max="30" width="12.42578125" style="9" customWidth="1"/>
    <col min="31" max="16384" width="9.140625" style="9"/>
  </cols>
  <sheetData>
    <row r="1" spans="1:28" ht="16.5" customHeight="1" x14ac:dyDescent="0.2"/>
    <row r="2" spans="1:28" s="324" customFormat="1" ht="27.75" customHeight="1" x14ac:dyDescent="0.2">
      <c r="A2" s="2863" t="s">
        <v>992</v>
      </c>
      <c r="B2" s="2863"/>
      <c r="C2" s="2863"/>
      <c r="D2" s="2863"/>
      <c r="E2" s="2863"/>
      <c r="F2" s="2851" t="s">
        <v>1070</v>
      </c>
      <c r="G2" s="2851"/>
      <c r="H2" s="835"/>
      <c r="I2" s="2851" t="s">
        <v>823</v>
      </c>
      <c r="J2" s="2851"/>
      <c r="K2" s="2851"/>
      <c r="L2" s="2851"/>
      <c r="M2" s="2851"/>
      <c r="N2" s="2851"/>
      <c r="O2" s="2855" t="s">
        <v>793</v>
      </c>
      <c r="P2" s="2855"/>
      <c r="Q2" s="2855"/>
      <c r="R2" s="2851" t="s">
        <v>1070</v>
      </c>
      <c r="S2" s="2851"/>
      <c r="T2" s="2863" t="s">
        <v>792</v>
      </c>
      <c r="U2" s="2863"/>
      <c r="V2" s="2863"/>
      <c r="W2" s="2863"/>
      <c r="X2" s="2863"/>
      <c r="Y2" s="2863"/>
      <c r="Z2" s="2851" t="s">
        <v>1071</v>
      </c>
      <c r="AA2" s="2851"/>
      <c r="AB2" s="2851"/>
    </row>
    <row r="3" spans="1:28" s="39" customFormat="1" ht="21.75" customHeight="1" x14ac:dyDescent="0.2">
      <c r="A3" s="2864" t="s">
        <v>793</v>
      </c>
      <c r="B3" s="2864"/>
      <c r="C3" s="2864"/>
      <c r="D3" s="2864"/>
      <c r="E3" s="2864"/>
      <c r="F3" s="2860" t="s">
        <v>24</v>
      </c>
      <c r="G3" s="2860"/>
      <c r="H3" s="67"/>
      <c r="K3" s="64"/>
      <c r="L3" s="64"/>
      <c r="M3" s="2852"/>
      <c r="N3" s="2852"/>
      <c r="O3" s="114"/>
      <c r="P3" s="114"/>
      <c r="R3" s="2852" t="s">
        <v>24</v>
      </c>
      <c r="S3" s="2852"/>
      <c r="T3" s="2854" t="s">
        <v>993</v>
      </c>
      <c r="U3" s="2854"/>
      <c r="V3" s="2854"/>
      <c r="W3" s="2854"/>
      <c r="X3" s="2854"/>
      <c r="Y3" s="2854"/>
      <c r="Z3" s="2854"/>
      <c r="AA3" s="2852" t="s">
        <v>24</v>
      </c>
      <c r="AB3" s="2852"/>
    </row>
    <row r="4" spans="1:28" s="130" customFormat="1" ht="16.5" customHeight="1" x14ac:dyDescent="0.2">
      <c r="A4" s="2861" t="s">
        <v>474</v>
      </c>
      <c r="B4" s="2862" t="s">
        <v>791</v>
      </c>
      <c r="C4" s="2862"/>
      <c r="D4" s="2862"/>
      <c r="E4" s="2862"/>
      <c r="F4" s="2862"/>
      <c r="G4" s="2862"/>
      <c r="H4" s="2636" t="s">
        <v>474</v>
      </c>
      <c r="I4" s="2859" t="s">
        <v>826</v>
      </c>
      <c r="J4" s="2856"/>
      <c r="K4" s="2856"/>
      <c r="L4" s="2856"/>
      <c r="M4" s="2856"/>
      <c r="N4" s="2856"/>
      <c r="O4" s="2856"/>
      <c r="P4" s="2856"/>
      <c r="Q4" s="2856"/>
      <c r="R4" s="2857"/>
      <c r="S4" s="2636" t="s">
        <v>474</v>
      </c>
      <c r="T4" s="2845" t="s">
        <v>474</v>
      </c>
      <c r="U4" s="2859" t="s">
        <v>75</v>
      </c>
      <c r="V4" s="2856"/>
      <c r="W4" s="2856"/>
      <c r="X4" s="2857"/>
      <c r="Y4" s="2856" t="s">
        <v>76</v>
      </c>
      <c r="Z4" s="2856"/>
      <c r="AA4" s="2856"/>
      <c r="AB4" s="2857"/>
    </row>
    <row r="5" spans="1:28" s="116" customFormat="1" ht="12.75" customHeight="1" x14ac:dyDescent="0.2">
      <c r="A5" s="2637"/>
      <c r="B5" s="2858" t="s">
        <v>794</v>
      </c>
      <c r="C5" s="2858"/>
      <c r="D5" s="2858"/>
      <c r="E5" s="2858"/>
      <c r="F5" s="2847" t="s">
        <v>822</v>
      </c>
      <c r="G5" s="2847"/>
      <c r="H5" s="2637"/>
      <c r="I5" s="2633" t="s">
        <v>822</v>
      </c>
      <c r="J5" s="2849"/>
      <c r="K5" s="2858" t="s">
        <v>143</v>
      </c>
      <c r="L5" s="2858"/>
      <c r="M5" s="2858"/>
      <c r="N5" s="2858"/>
      <c r="O5" s="2633" t="s">
        <v>470</v>
      </c>
      <c r="P5" s="2849"/>
      <c r="Q5" s="2849"/>
      <c r="R5" s="2850"/>
      <c r="S5" s="2637"/>
      <c r="T5" s="2845"/>
      <c r="U5" s="2662" t="s">
        <v>777</v>
      </c>
      <c r="V5" s="2662" t="s">
        <v>1156</v>
      </c>
      <c r="W5" s="2662" t="s">
        <v>753</v>
      </c>
      <c r="X5" s="2662" t="s">
        <v>77</v>
      </c>
      <c r="Y5" s="2662" t="s">
        <v>778</v>
      </c>
      <c r="Z5" s="2853" t="s">
        <v>74</v>
      </c>
      <c r="AA5" s="2662" t="s">
        <v>29</v>
      </c>
      <c r="AB5" s="2868" t="s">
        <v>755</v>
      </c>
    </row>
    <row r="6" spans="1:28" s="78" customFormat="1" ht="25.5" customHeight="1" x14ac:dyDescent="0.2">
      <c r="A6" s="2638"/>
      <c r="B6" s="826" t="s">
        <v>73</v>
      </c>
      <c r="C6" s="826" t="s">
        <v>74</v>
      </c>
      <c r="D6" s="826" t="s">
        <v>29</v>
      </c>
      <c r="E6" s="826" t="s">
        <v>750</v>
      </c>
      <c r="F6" s="826" t="s">
        <v>73</v>
      </c>
      <c r="G6" s="826" t="s">
        <v>74</v>
      </c>
      <c r="H6" s="2638"/>
      <c r="I6" s="826" t="s">
        <v>776</v>
      </c>
      <c r="J6" s="826" t="s">
        <v>751</v>
      </c>
      <c r="K6" s="826" t="s">
        <v>754</v>
      </c>
      <c r="L6" s="826" t="s">
        <v>74</v>
      </c>
      <c r="M6" s="826" t="s">
        <v>29</v>
      </c>
      <c r="N6" s="826" t="s">
        <v>775</v>
      </c>
      <c r="O6" s="826" t="s">
        <v>795</v>
      </c>
      <c r="P6" s="826" t="s">
        <v>74</v>
      </c>
      <c r="Q6" s="826" t="s">
        <v>752</v>
      </c>
      <c r="R6" s="826" t="s">
        <v>827</v>
      </c>
      <c r="S6" s="2638"/>
      <c r="T6" s="2845"/>
      <c r="U6" s="2662"/>
      <c r="V6" s="2662"/>
      <c r="W6" s="2662"/>
      <c r="X6" s="2662"/>
      <c r="Y6" s="2662"/>
      <c r="Z6" s="2668"/>
      <c r="AA6" s="2662"/>
      <c r="AB6" s="2868"/>
    </row>
    <row r="7" spans="1:28" s="53" customFormat="1" ht="13.5" customHeight="1" x14ac:dyDescent="0.2">
      <c r="A7" s="129">
        <v>1993</v>
      </c>
      <c r="B7" s="131">
        <v>1738.3</v>
      </c>
      <c r="C7" s="131">
        <v>1769.7</v>
      </c>
      <c r="D7" s="131">
        <v>-31.9</v>
      </c>
      <c r="E7" s="129">
        <v>64492</v>
      </c>
      <c r="F7" s="131">
        <v>195.1</v>
      </c>
      <c r="G7" s="131">
        <v>91.85</v>
      </c>
      <c r="H7" s="129">
        <v>1993</v>
      </c>
      <c r="I7" s="131">
        <v>54.36</v>
      </c>
      <c r="J7" s="129">
        <v>826</v>
      </c>
      <c r="K7" s="131">
        <v>835.92</v>
      </c>
      <c r="L7" s="131">
        <v>813.51</v>
      </c>
      <c r="M7" s="131">
        <v>3.23</v>
      </c>
      <c r="N7" s="129">
        <v>18276</v>
      </c>
      <c r="O7" s="131">
        <v>2769.32</v>
      </c>
      <c r="P7" s="131">
        <v>2675.06</v>
      </c>
      <c r="Q7" s="131">
        <v>25.69</v>
      </c>
      <c r="R7" s="129">
        <v>83594</v>
      </c>
      <c r="S7" s="129">
        <v>1993</v>
      </c>
      <c r="T7" s="77" t="s">
        <v>535</v>
      </c>
      <c r="U7" s="131">
        <v>665.13</v>
      </c>
      <c r="V7" s="131">
        <v>188.71</v>
      </c>
      <c r="W7" s="131">
        <v>476.42</v>
      </c>
      <c r="X7" s="129">
        <v>6435</v>
      </c>
      <c r="Y7" s="131">
        <v>186.68</v>
      </c>
      <c r="Z7" s="131">
        <v>511.26</v>
      </c>
      <c r="AA7" s="131">
        <v>-330.69</v>
      </c>
      <c r="AB7" s="129">
        <v>16871</v>
      </c>
    </row>
    <row r="8" spans="1:28" s="53" customFormat="1" ht="13.5" customHeight="1" x14ac:dyDescent="0.2">
      <c r="A8" s="305">
        <v>1994</v>
      </c>
      <c r="B8" s="306">
        <v>1702.56</v>
      </c>
      <c r="C8" s="306">
        <v>1683.24</v>
      </c>
      <c r="D8" s="306">
        <v>18.82</v>
      </c>
      <c r="E8" s="305">
        <v>63804</v>
      </c>
      <c r="F8" s="306">
        <v>242.36</v>
      </c>
      <c r="G8" s="306">
        <v>105.74</v>
      </c>
      <c r="H8" s="305">
        <v>1994</v>
      </c>
      <c r="I8" s="306">
        <v>68.319999999999993</v>
      </c>
      <c r="J8" s="305">
        <v>888</v>
      </c>
      <c r="K8" s="306">
        <v>851.89</v>
      </c>
      <c r="L8" s="306">
        <v>801.25</v>
      </c>
      <c r="M8" s="306">
        <v>14.8</v>
      </c>
      <c r="N8" s="305">
        <v>18794</v>
      </c>
      <c r="O8" s="306">
        <v>2796.81</v>
      </c>
      <c r="P8" s="306">
        <v>2590.23</v>
      </c>
      <c r="Q8" s="306">
        <v>101.94</v>
      </c>
      <c r="R8" s="305">
        <v>83486</v>
      </c>
      <c r="S8" s="305">
        <v>1994</v>
      </c>
      <c r="T8" s="307" t="s">
        <v>536</v>
      </c>
      <c r="U8" s="306">
        <v>838.06</v>
      </c>
      <c r="V8" s="306">
        <v>239.33</v>
      </c>
      <c r="W8" s="306">
        <v>598.73</v>
      </c>
      <c r="X8" s="305">
        <v>6345</v>
      </c>
      <c r="Y8" s="306">
        <v>310.63</v>
      </c>
      <c r="Z8" s="306">
        <v>617.73</v>
      </c>
      <c r="AA8" s="306">
        <v>-307.10000000000002</v>
      </c>
      <c r="AB8" s="305">
        <v>16856</v>
      </c>
    </row>
    <row r="9" spans="1:28" s="53" customFormat="1" ht="13.5" customHeight="1" x14ac:dyDescent="0.2">
      <c r="A9" s="129">
        <v>1995</v>
      </c>
      <c r="B9" s="131">
        <v>1982.08</v>
      </c>
      <c r="C9" s="131">
        <v>1869.11</v>
      </c>
      <c r="D9" s="131">
        <v>112.37</v>
      </c>
      <c r="E9" s="129">
        <v>63803</v>
      </c>
      <c r="F9" s="131">
        <v>335.65</v>
      </c>
      <c r="G9" s="131">
        <v>151.38999999999999</v>
      </c>
      <c r="H9" s="129">
        <v>1995</v>
      </c>
      <c r="I9" s="131">
        <v>90.76</v>
      </c>
      <c r="J9" s="129">
        <v>966</v>
      </c>
      <c r="K9" s="131">
        <v>943.89</v>
      </c>
      <c r="L9" s="131">
        <v>831.99</v>
      </c>
      <c r="M9" s="131">
        <v>56.56</v>
      </c>
      <c r="N9" s="129">
        <v>20083</v>
      </c>
      <c r="O9" s="131">
        <v>3261.62</v>
      </c>
      <c r="P9" s="131">
        <v>2964.39</v>
      </c>
      <c r="Q9" s="131">
        <v>259.69</v>
      </c>
      <c r="R9" s="129">
        <v>84852</v>
      </c>
      <c r="S9" s="129">
        <v>1995</v>
      </c>
      <c r="T9" s="77" t="s">
        <v>537</v>
      </c>
      <c r="U9" s="131">
        <v>840.64</v>
      </c>
      <c r="V9" s="131">
        <v>310.44</v>
      </c>
      <c r="W9" s="131">
        <v>530.20000000000005</v>
      </c>
      <c r="X9" s="129">
        <v>6281</v>
      </c>
      <c r="Y9" s="131">
        <v>235.97</v>
      </c>
      <c r="Z9" s="131">
        <v>528.04</v>
      </c>
      <c r="AA9" s="131">
        <v>-292.07</v>
      </c>
      <c r="AB9" s="129">
        <v>16459</v>
      </c>
    </row>
    <row r="10" spans="1:28" s="53" customFormat="1" ht="13.5" customHeight="1" x14ac:dyDescent="0.2">
      <c r="A10" s="305">
        <v>1996</v>
      </c>
      <c r="B10" s="306">
        <v>2249.11</v>
      </c>
      <c r="C10" s="306">
        <v>2220.5</v>
      </c>
      <c r="D10" s="306">
        <v>28.11</v>
      </c>
      <c r="E10" s="305">
        <v>63731</v>
      </c>
      <c r="F10" s="306">
        <v>408.46</v>
      </c>
      <c r="G10" s="306">
        <v>221.73</v>
      </c>
      <c r="H10" s="305">
        <v>1996</v>
      </c>
      <c r="I10" s="306">
        <v>98.72</v>
      </c>
      <c r="J10" s="305">
        <v>1016</v>
      </c>
      <c r="K10" s="306">
        <v>1132.23</v>
      </c>
      <c r="L10" s="306">
        <v>939.75</v>
      </c>
      <c r="M10" s="306">
        <v>131.49</v>
      </c>
      <c r="N10" s="305">
        <v>21140</v>
      </c>
      <c r="O10" s="306">
        <v>3789.8</v>
      </c>
      <c r="P10" s="306">
        <v>3381.98</v>
      </c>
      <c r="Q10" s="306">
        <v>258.32</v>
      </c>
      <c r="R10" s="305">
        <v>85887</v>
      </c>
      <c r="S10" s="305">
        <v>1996</v>
      </c>
      <c r="T10" s="307" t="s">
        <v>538</v>
      </c>
      <c r="U10" s="306">
        <v>936.03</v>
      </c>
      <c r="V10" s="306">
        <v>301.69</v>
      </c>
      <c r="W10" s="306">
        <v>634.34</v>
      </c>
      <c r="X10" s="305">
        <v>6215</v>
      </c>
      <c r="Y10" s="306">
        <v>410.88</v>
      </c>
      <c r="Z10" s="306">
        <v>615.38</v>
      </c>
      <c r="AA10" s="306">
        <v>-204.5</v>
      </c>
      <c r="AB10" s="305">
        <v>16273</v>
      </c>
    </row>
    <row r="11" spans="1:28" s="53" customFormat="1" ht="13.5" customHeight="1" x14ac:dyDescent="0.2">
      <c r="A11" s="129">
        <v>1997</v>
      </c>
      <c r="B11" s="131">
        <v>2574.08</v>
      </c>
      <c r="C11" s="131">
        <v>2556.81</v>
      </c>
      <c r="D11" s="131">
        <v>16.77</v>
      </c>
      <c r="E11" s="129">
        <v>62723</v>
      </c>
      <c r="F11" s="131">
        <v>564.1</v>
      </c>
      <c r="G11" s="131">
        <v>335.64</v>
      </c>
      <c r="H11" s="129">
        <v>1997</v>
      </c>
      <c r="I11" s="131">
        <v>134.21</v>
      </c>
      <c r="J11" s="129">
        <v>1125</v>
      </c>
      <c r="K11" s="131">
        <v>1414.22</v>
      </c>
      <c r="L11" s="131">
        <v>1180.04</v>
      </c>
      <c r="M11" s="131">
        <v>144.47999999999999</v>
      </c>
      <c r="N11" s="129">
        <v>22194</v>
      </c>
      <c r="O11" s="131">
        <v>4552.3999999999996</v>
      </c>
      <c r="P11" s="131">
        <v>4072.49</v>
      </c>
      <c r="Q11" s="131">
        <v>295.45999999999998</v>
      </c>
      <c r="R11" s="129">
        <v>86042</v>
      </c>
      <c r="S11" s="129">
        <v>1997</v>
      </c>
      <c r="T11" s="77" t="s">
        <v>539</v>
      </c>
      <c r="U11" s="131">
        <v>1059.3900000000001</v>
      </c>
      <c r="V11" s="131">
        <v>288.75</v>
      </c>
      <c r="W11" s="131">
        <v>770.64</v>
      </c>
      <c r="X11" s="129">
        <v>6129</v>
      </c>
      <c r="Y11" s="131">
        <v>440.48</v>
      </c>
      <c r="Z11" s="131">
        <v>701.5</v>
      </c>
      <c r="AA11" s="131">
        <v>-261.02</v>
      </c>
      <c r="AB11" s="129">
        <v>16342</v>
      </c>
    </row>
    <row r="12" spans="1:28" s="53" customFormat="1" ht="13.5" customHeight="1" x14ac:dyDescent="0.2">
      <c r="A12" s="305">
        <v>1998</v>
      </c>
      <c r="B12" s="306">
        <v>2815.17</v>
      </c>
      <c r="C12" s="306">
        <v>2808.69</v>
      </c>
      <c r="D12" s="306">
        <v>-5.98</v>
      </c>
      <c r="E12" s="305">
        <v>63583</v>
      </c>
      <c r="F12" s="306">
        <v>585.59</v>
      </c>
      <c r="G12" s="306">
        <v>326.62</v>
      </c>
      <c r="H12" s="305">
        <v>1998</v>
      </c>
      <c r="I12" s="306">
        <v>149.43</v>
      </c>
      <c r="J12" s="305">
        <v>1262</v>
      </c>
      <c r="K12" s="306">
        <v>1696.46</v>
      </c>
      <c r="L12" s="306">
        <v>1457.83</v>
      </c>
      <c r="M12" s="306">
        <v>158.35</v>
      </c>
      <c r="N12" s="305">
        <v>22893</v>
      </c>
      <c r="O12" s="306">
        <v>5097.22</v>
      </c>
      <c r="P12" s="306">
        <v>4593.1400000000003</v>
      </c>
      <c r="Q12" s="306">
        <v>301.8</v>
      </c>
      <c r="R12" s="305">
        <v>87738</v>
      </c>
      <c r="S12" s="305">
        <v>1998</v>
      </c>
      <c r="T12" s="307" t="s">
        <v>540</v>
      </c>
      <c r="U12" s="306">
        <v>1171.56</v>
      </c>
      <c r="V12" s="306">
        <v>384.7</v>
      </c>
      <c r="W12" s="306">
        <v>786.86</v>
      </c>
      <c r="X12" s="305">
        <v>6178</v>
      </c>
      <c r="Y12" s="306">
        <v>492.91</v>
      </c>
      <c r="Z12" s="306">
        <v>766.77</v>
      </c>
      <c r="AA12" s="306">
        <v>-296.7</v>
      </c>
      <c r="AB12" s="305">
        <v>16114</v>
      </c>
    </row>
    <row r="13" spans="1:28" s="53" customFormat="1" ht="13.5" customHeight="1" x14ac:dyDescent="0.2">
      <c r="A13" s="129">
        <v>1999</v>
      </c>
      <c r="B13" s="131">
        <v>3161.26</v>
      </c>
      <c r="C13" s="131">
        <v>3164.79</v>
      </c>
      <c r="D13" s="131">
        <v>-16.66</v>
      </c>
      <c r="E13" s="129">
        <v>62419</v>
      </c>
      <c r="F13" s="131">
        <v>713.65</v>
      </c>
      <c r="G13" s="131">
        <v>447.39</v>
      </c>
      <c r="H13" s="129">
        <v>1999</v>
      </c>
      <c r="I13" s="131">
        <v>149.69999999999999</v>
      </c>
      <c r="J13" s="129">
        <v>1311</v>
      </c>
      <c r="K13" s="131">
        <v>2094.5100000000002</v>
      </c>
      <c r="L13" s="131">
        <v>1760.92</v>
      </c>
      <c r="M13" s="131">
        <v>178.44</v>
      </c>
      <c r="N13" s="129">
        <v>24281</v>
      </c>
      <c r="O13" s="131">
        <v>5969.42</v>
      </c>
      <c r="P13" s="131">
        <v>5373.1</v>
      </c>
      <c r="Q13" s="131">
        <v>311.48</v>
      </c>
      <c r="R13" s="129">
        <v>88011</v>
      </c>
      <c r="S13" s="129">
        <v>1999</v>
      </c>
      <c r="T13" s="77" t="s">
        <v>541</v>
      </c>
      <c r="U13" s="131">
        <v>1159.3499999999999</v>
      </c>
      <c r="V13" s="131">
        <v>363.37</v>
      </c>
      <c r="W13" s="131">
        <v>795.98</v>
      </c>
      <c r="X13" s="129">
        <v>6061</v>
      </c>
      <c r="Y13" s="131">
        <v>598.45000000000005</v>
      </c>
      <c r="Z13" s="131">
        <v>766</v>
      </c>
      <c r="AA13" s="131">
        <v>-532.37</v>
      </c>
      <c r="AB13" s="129">
        <v>16036</v>
      </c>
    </row>
    <row r="14" spans="1:28" s="53" customFormat="1" ht="13.5" customHeight="1" x14ac:dyDescent="0.2">
      <c r="A14" s="305">
        <v>2000</v>
      </c>
      <c r="B14" s="306">
        <v>3726.27</v>
      </c>
      <c r="C14" s="306">
        <v>3532.16</v>
      </c>
      <c r="D14" s="306">
        <v>24.58</v>
      </c>
      <c r="E14" s="305">
        <v>62091</v>
      </c>
      <c r="F14" s="306">
        <v>967.5</v>
      </c>
      <c r="G14" s="306">
        <v>548.08000000000004</v>
      </c>
      <c r="H14" s="305">
        <v>2000</v>
      </c>
      <c r="I14" s="306">
        <v>220.46</v>
      </c>
      <c r="J14" s="305">
        <v>1280</v>
      </c>
      <c r="K14" s="306">
        <v>3267.62</v>
      </c>
      <c r="L14" s="306">
        <v>2462.09</v>
      </c>
      <c r="M14" s="306">
        <v>309.97000000000003</v>
      </c>
      <c r="N14" s="305">
        <v>25975</v>
      </c>
      <c r="O14" s="306">
        <v>7961.39</v>
      </c>
      <c r="P14" s="306">
        <v>6542.33</v>
      </c>
      <c r="Q14" s="306">
        <v>555.01</v>
      </c>
      <c r="R14" s="305">
        <v>89346</v>
      </c>
      <c r="S14" s="305">
        <v>2000</v>
      </c>
      <c r="T14" s="307" t="s">
        <v>542</v>
      </c>
      <c r="U14" s="306">
        <v>1172.58</v>
      </c>
      <c r="V14" s="306">
        <v>456.64</v>
      </c>
      <c r="W14" s="306">
        <v>715.95</v>
      </c>
      <c r="X14" s="305">
        <v>5926</v>
      </c>
      <c r="Y14" s="306">
        <v>820.34</v>
      </c>
      <c r="Z14" s="306">
        <v>736.36</v>
      </c>
      <c r="AA14" s="306">
        <v>79.81</v>
      </c>
      <c r="AB14" s="305">
        <v>16164</v>
      </c>
    </row>
    <row r="15" spans="1:28" s="53" customFormat="1" ht="13.5" customHeight="1" x14ac:dyDescent="0.2">
      <c r="A15" s="129">
        <v>2001</v>
      </c>
      <c r="B15" s="131">
        <v>3878.16</v>
      </c>
      <c r="C15" s="131">
        <v>3735.96</v>
      </c>
      <c r="D15" s="131">
        <v>38.24</v>
      </c>
      <c r="E15" s="129">
        <v>61325</v>
      </c>
      <c r="F15" s="131">
        <v>1068.9100000000001</v>
      </c>
      <c r="G15" s="131">
        <v>588.16999999999996</v>
      </c>
      <c r="H15" s="129">
        <v>2001</v>
      </c>
      <c r="I15" s="131">
        <v>259.81</v>
      </c>
      <c r="J15" s="129">
        <v>1588</v>
      </c>
      <c r="K15" s="131">
        <v>4321</v>
      </c>
      <c r="L15" s="131">
        <v>3126</v>
      </c>
      <c r="M15" s="131">
        <v>514.48</v>
      </c>
      <c r="N15" s="129">
        <v>28068</v>
      </c>
      <c r="O15" s="131">
        <v>9268.07</v>
      </c>
      <c r="P15" s="131">
        <v>7450.13</v>
      </c>
      <c r="Q15" s="131">
        <v>812.53</v>
      </c>
      <c r="R15" s="129">
        <v>90981</v>
      </c>
      <c r="S15" s="129">
        <v>2001</v>
      </c>
      <c r="T15" s="77" t="s">
        <v>543</v>
      </c>
      <c r="U15" s="131">
        <v>1133.1500000000001</v>
      </c>
      <c r="V15" s="131">
        <v>183.34</v>
      </c>
      <c r="W15" s="131">
        <v>949.41</v>
      </c>
      <c r="X15" s="129">
        <v>5769</v>
      </c>
      <c r="Y15" s="131">
        <v>636.39</v>
      </c>
      <c r="Z15" s="131">
        <v>748.34</v>
      </c>
      <c r="AA15" s="131">
        <v>-114.64</v>
      </c>
      <c r="AB15" s="129">
        <v>16475</v>
      </c>
    </row>
    <row r="16" spans="1:28" s="53" customFormat="1" ht="13.5" customHeight="1" x14ac:dyDescent="0.2">
      <c r="A16" s="305">
        <v>2002</v>
      </c>
      <c r="B16" s="306">
        <v>3665.52</v>
      </c>
      <c r="C16" s="306">
        <v>3420.35</v>
      </c>
      <c r="D16" s="306">
        <v>19.88</v>
      </c>
      <c r="E16" s="305">
        <v>60169</v>
      </c>
      <c r="F16" s="306">
        <v>1061.9000000000001</v>
      </c>
      <c r="G16" s="306">
        <v>570.79</v>
      </c>
      <c r="H16" s="305">
        <v>2002</v>
      </c>
      <c r="I16" s="306">
        <v>224.08</v>
      </c>
      <c r="J16" s="305">
        <v>1305</v>
      </c>
      <c r="K16" s="306">
        <v>5021.55</v>
      </c>
      <c r="L16" s="306">
        <v>3930.87</v>
      </c>
      <c r="M16" s="306">
        <v>458.79</v>
      </c>
      <c r="N16" s="305">
        <v>28336</v>
      </c>
      <c r="O16" s="306">
        <v>9748.9699999999993</v>
      </c>
      <c r="P16" s="306">
        <v>7922.01</v>
      </c>
      <c r="Q16" s="306">
        <v>702.75</v>
      </c>
      <c r="R16" s="305">
        <v>89810</v>
      </c>
      <c r="S16" s="305">
        <v>2002</v>
      </c>
      <c r="T16" s="307" t="s">
        <v>544</v>
      </c>
      <c r="U16" s="306">
        <v>1725.62</v>
      </c>
      <c r="V16" s="306">
        <v>365.57</v>
      </c>
      <c r="W16" s="306">
        <v>760.05</v>
      </c>
      <c r="X16" s="305">
        <v>5576</v>
      </c>
      <c r="Y16" s="306">
        <v>738.53</v>
      </c>
      <c r="Z16" s="306">
        <v>768.85</v>
      </c>
      <c r="AA16" s="306">
        <v>-24.32</v>
      </c>
      <c r="AB16" s="305">
        <v>15837</v>
      </c>
    </row>
    <row r="17" spans="1:28" s="53" customFormat="1" ht="13.5" customHeight="1" x14ac:dyDescent="0.2">
      <c r="A17" s="129">
        <v>2003</v>
      </c>
      <c r="B17" s="131">
        <v>4165.22</v>
      </c>
      <c r="C17" s="131">
        <v>3860.79</v>
      </c>
      <c r="D17" s="131">
        <v>68.209999999999994</v>
      </c>
      <c r="E17" s="129">
        <v>58629</v>
      </c>
      <c r="F17" s="131">
        <v>772.93</v>
      </c>
      <c r="G17" s="131">
        <v>252.27</v>
      </c>
      <c r="H17" s="129">
        <v>2003</v>
      </c>
      <c r="I17" s="131">
        <v>276.44</v>
      </c>
      <c r="J17" s="129">
        <v>1409</v>
      </c>
      <c r="K17" s="131">
        <v>5921.25</v>
      </c>
      <c r="L17" s="131">
        <v>4543.82</v>
      </c>
      <c r="M17" s="131">
        <v>475.59</v>
      </c>
      <c r="N17" s="129">
        <v>32576</v>
      </c>
      <c r="O17" s="131">
        <v>10859.4</v>
      </c>
      <c r="P17" s="131">
        <v>8656.8799999999992</v>
      </c>
      <c r="Q17" s="131">
        <v>820.24</v>
      </c>
      <c r="R17" s="129">
        <v>92614</v>
      </c>
      <c r="S17" s="129">
        <v>2003</v>
      </c>
      <c r="T17" s="77" t="s">
        <v>545</v>
      </c>
      <c r="U17" s="131">
        <v>2100.69</v>
      </c>
      <c r="V17" s="131">
        <v>1161.21</v>
      </c>
      <c r="W17" s="131">
        <v>939.48</v>
      </c>
      <c r="X17" s="129">
        <v>5461</v>
      </c>
      <c r="Y17" s="131">
        <v>693.26</v>
      </c>
      <c r="Z17" s="131">
        <v>773.15</v>
      </c>
      <c r="AA17" s="131">
        <v>-87.89</v>
      </c>
      <c r="AB17" s="129">
        <v>15300</v>
      </c>
    </row>
    <row r="18" spans="1:28" s="53" customFormat="1" ht="13.5" customHeight="1" x14ac:dyDescent="0.2">
      <c r="A18" s="305">
        <v>2004</v>
      </c>
      <c r="B18" s="306">
        <v>4008.46</v>
      </c>
      <c r="C18" s="306">
        <v>3693.77</v>
      </c>
      <c r="D18" s="306">
        <v>-1904.72</v>
      </c>
      <c r="E18" s="305">
        <v>57588</v>
      </c>
      <c r="F18" s="306">
        <v>1294.25</v>
      </c>
      <c r="G18" s="306">
        <v>640.37</v>
      </c>
      <c r="H18" s="305">
        <v>2004</v>
      </c>
      <c r="I18" s="306">
        <v>392.01</v>
      </c>
      <c r="J18" s="305">
        <v>1394</v>
      </c>
      <c r="K18" s="306">
        <v>7305.97</v>
      </c>
      <c r="L18" s="306">
        <v>5293.89</v>
      </c>
      <c r="M18" s="306">
        <v>736.49</v>
      </c>
      <c r="N18" s="305">
        <v>34786</v>
      </c>
      <c r="O18" s="306">
        <v>12608.68</v>
      </c>
      <c r="P18" s="306">
        <v>9628.0300000000007</v>
      </c>
      <c r="Q18" s="306">
        <v>-776.22</v>
      </c>
      <c r="R18" s="305">
        <v>93768</v>
      </c>
      <c r="S18" s="305">
        <v>2004</v>
      </c>
      <c r="T18" s="307" t="s">
        <v>546</v>
      </c>
      <c r="U18" s="306">
        <v>2415.7800000000002</v>
      </c>
      <c r="V18" s="306">
        <v>523.91</v>
      </c>
      <c r="W18" s="306">
        <v>1891.87</v>
      </c>
      <c r="X18" s="305">
        <v>5596</v>
      </c>
      <c r="Y18" s="306">
        <v>646.38</v>
      </c>
      <c r="Z18" s="306">
        <v>854.92</v>
      </c>
      <c r="AA18" s="306">
        <v>-240.68</v>
      </c>
      <c r="AB18" s="305">
        <v>14350</v>
      </c>
    </row>
    <row r="19" spans="1:28" s="53" customFormat="1" ht="13.5" customHeight="1" x14ac:dyDescent="0.2">
      <c r="A19" s="129">
        <v>2005</v>
      </c>
      <c r="B19" s="131">
        <v>4836.34</v>
      </c>
      <c r="C19" s="131">
        <v>3814.7</v>
      </c>
      <c r="D19" s="131">
        <v>-1209.4100000000001</v>
      </c>
      <c r="E19" s="129">
        <v>56417</v>
      </c>
      <c r="F19" s="131">
        <v>1367.59</v>
      </c>
      <c r="G19" s="131">
        <v>529.5</v>
      </c>
      <c r="H19" s="129">
        <v>2005</v>
      </c>
      <c r="I19" s="131">
        <v>470.18</v>
      </c>
      <c r="J19" s="129">
        <v>1713</v>
      </c>
      <c r="K19" s="131">
        <v>9140.17</v>
      </c>
      <c r="L19" s="131">
        <v>6599.97</v>
      </c>
      <c r="M19" s="131">
        <v>954.71</v>
      </c>
      <c r="N19" s="129">
        <v>36715</v>
      </c>
      <c r="O19" s="131">
        <v>15344.1</v>
      </c>
      <c r="P19" s="131">
        <v>10944.17</v>
      </c>
      <c r="Q19" s="131">
        <v>215.48</v>
      </c>
      <c r="R19" s="129">
        <v>94845</v>
      </c>
      <c r="S19" s="129">
        <v>2005</v>
      </c>
      <c r="T19" s="77" t="s">
        <v>551</v>
      </c>
      <c r="U19" s="131">
        <v>3621.5</v>
      </c>
      <c r="V19" s="131">
        <v>1217.48</v>
      </c>
      <c r="W19" s="131">
        <f>U19-V19</f>
        <v>2404.02</v>
      </c>
      <c r="X19" s="129">
        <v>5481</v>
      </c>
      <c r="Y19" s="131">
        <v>1026.0899999999999</v>
      </c>
      <c r="Z19" s="131">
        <v>1088.9000000000001</v>
      </c>
      <c r="AA19" s="131">
        <v>-123</v>
      </c>
      <c r="AB19" s="129">
        <v>15406</v>
      </c>
    </row>
    <row r="20" spans="1:28" s="53" customFormat="1" ht="13.5" customHeight="1" x14ac:dyDescent="0.2">
      <c r="A20" s="305">
        <v>2006</v>
      </c>
      <c r="B20" s="305">
        <v>5657.36</v>
      </c>
      <c r="C20" s="305">
        <v>4551.7700000000004</v>
      </c>
      <c r="D20" s="305">
        <v>-4415.92</v>
      </c>
      <c r="E20" s="305">
        <v>54591</v>
      </c>
      <c r="F20" s="306">
        <v>2372</v>
      </c>
      <c r="G20" s="305">
        <v>988.01</v>
      </c>
      <c r="H20" s="305">
        <v>2006</v>
      </c>
      <c r="I20" s="305">
        <v>624.12</v>
      </c>
      <c r="J20" s="305">
        <v>2384</v>
      </c>
      <c r="K20" s="305">
        <v>12757.48</v>
      </c>
      <c r="L20" s="305">
        <v>9400.6200000000008</v>
      </c>
      <c r="M20" s="305">
        <v>931.54</v>
      </c>
      <c r="N20" s="305">
        <v>42512</v>
      </c>
      <c r="O20" s="305">
        <v>20786.84</v>
      </c>
      <c r="P20" s="306">
        <v>14940.4</v>
      </c>
      <c r="Q20" s="305">
        <v>-2860.26</v>
      </c>
      <c r="R20" s="305">
        <v>99487</v>
      </c>
      <c r="S20" s="305">
        <v>2006</v>
      </c>
      <c r="T20" s="308" t="s">
        <v>560</v>
      </c>
      <c r="U20" s="309">
        <v>4279.41</v>
      </c>
      <c r="V20" s="309">
        <v>818.83</v>
      </c>
      <c r="W20" s="309">
        <v>3460.58</v>
      </c>
      <c r="X20" s="309">
        <v>5402</v>
      </c>
      <c r="Y20" s="310">
        <v>1234.32</v>
      </c>
      <c r="Z20" s="309">
        <v>1251.53</v>
      </c>
      <c r="AA20" s="310">
        <v>-143.62</v>
      </c>
      <c r="AB20" s="309">
        <v>15515</v>
      </c>
    </row>
    <row r="21" spans="1:28" s="53" customFormat="1" ht="13.5" customHeight="1" x14ac:dyDescent="0.2">
      <c r="A21" s="129">
        <v>2007</v>
      </c>
      <c r="B21" s="129">
        <v>4713.37</v>
      </c>
      <c r="C21" s="129">
        <v>3243.54</v>
      </c>
      <c r="D21" s="131">
        <v>-809.1</v>
      </c>
      <c r="E21" s="129">
        <v>52177</v>
      </c>
      <c r="F21" s="131">
        <v>2656.66</v>
      </c>
      <c r="G21" s="129">
        <v>1266.5899999999999</v>
      </c>
      <c r="H21" s="129">
        <v>2007</v>
      </c>
      <c r="I21" s="129">
        <v>723.33</v>
      </c>
      <c r="J21" s="129">
        <v>2388</v>
      </c>
      <c r="K21" s="129">
        <v>16256.55</v>
      </c>
      <c r="L21" s="129">
        <v>11380.48</v>
      </c>
      <c r="M21" s="129">
        <v>1995.75</v>
      </c>
      <c r="N21" s="129">
        <v>45074</v>
      </c>
      <c r="O21" s="131">
        <v>23392.9</v>
      </c>
      <c r="P21" s="131">
        <v>15872.78</v>
      </c>
      <c r="Q21" s="129">
        <v>1909.98</v>
      </c>
      <c r="R21" s="129">
        <v>99639</v>
      </c>
      <c r="S21" s="129">
        <v>2007</v>
      </c>
      <c r="T21" s="53" t="s">
        <v>325</v>
      </c>
      <c r="U21" s="133">
        <v>4062.03</v>
      </c>
      <c r="V21" s="132">
        <v>909.2</v>
      </c>
      <c r="W21" s="133">
        <v>3152.83</v>
      </c>
      <c r="X21" s="133">
        <f>4031+1273</f>
        <v>5304</v>
      </c>
      <c r="Y21" s="133">
        <v>1472.26</v>
      </c>
      <c r="Z21" s="133">
        <v>1497.07</v>
      </c>
      <c r="AA21" s="133">
        <v>-167.17</v>
      </c>
      <c r="AB21" s="133">
        <v>15400</v>
      </c>
    </row>
    <row r="22" spans="1:28" s="133" customFormat="1" ht="13.5" customHeight="1" x14ac:dyDescent="0.2">
      <c r="A22" s="305">
        <v>2008</v>
      </c>
      <c r="B22" s="305">
        <v>6750.95</v>
      </c>
      <c r="C22" s="305">
        <v>5227.88</v>
      </c>
      <c r="D22" s="305">
        <v>897.68</v>
      </c>
      <c r="E22" s="305">
        <v>53786</v>
      </c>
      <c r="F22" s="306">
        <v>3235.57</v>
      </c>
      <c r="G22" s="306">
        <v>1620.56</v>
      </c>
      <c r="H22" s="305">
        <v>2008</v>
      </c>
      <c r="I22" s="311">
        <v>1138.42</v>
      </c>
      <c r="J22" s="312">
        <v>2384</v>
      </c>
      <c r="K22" s="306">
        <v>21172.7</v>
      </c>
      <c r="L22" s="306">
        <v>14757.53</v>
      </c>
      <c r="M22" s="311">
        <v>2818.66</v>
      </c>
      <c r="N22" s="312">
        <v>46308</v>
      </c>
      <c r="O22" s="306">
        <v>31159.22</v>
      </c>
      <c r="P22" s="306">
        <v>21605.97</v>
      </c>
      <c r="Q22" s="306">
        <v>4854.76</v>
      </c>
      <c r="R22" s="312">
        <v>102478</v>
      </c>
      <c r="S22" s="305">
        <v>2008</v>
      </c>
      <c r="T22" s="308" t="s">
        <v>85</v>
      </c>
      <c r="U22" s="309">
        <v>3088.43</v>
      </c>
      <c r="V22" s="309">
        <v>582.63</v>
      </c>
      <c r="W22" s="310">
        <v>2505.8000000000002</v>
      </c>
      <c r="X22" s="309">
        <v>5259</v>
      </c>
      <c r="Y22" s="310">
        <v>1944.9</v>
      </c>
      <c r="Z22" s="309">
        <v>1685.01</v>
      </c>
      <c r="AA22" s="309">
        <v>40.159999999999997</v>
      </c>
      <c r="AB22" s="309">
        <v>15388</v>
      </c>
    </row>
    <row r="23" spans="1:28" s="133" customFormat="1" ht="13.5" customHeight="1" x14ac:dyDescent="0.2">
      <c r="A23" s="129">
        <v>2009</v>
      </c>
      <c r="B23" s="129">
        <v>8026.68</v>
      </c>
      <c r="C23" s="129">
        <v>6083.51</v>
      </c>
      <c r="D23" s="129">
        <v>931.35</v>
      </c>
      <c r="E23" s="129">
        <v>50600</v>
      </c>
      <c r="F23" s="131">
        <v>2610.9499999999998</v>
      </c>
      <c r="G23" s="131">
        <v>1401.57</v>
      </c>
      <c r="H23" s="129">
        <v>2009</v>
      </c>
      <c r="I23" s="131">
        <v>708.78</v>
      </c>
      <c r="J23" s="138">
        <v>2760</v>
      </c>
      <c r="K23" s="131">
        <v>26262.19</v>
      </c>
      <c r="L23" s="131">
        <v>17911.02</v>
      </c>
      <c r="M23" s="131">
        <v>3947.72</v>
      </c>
      <c r="N23" s="138">
        <v>59874</v>
      </c>
      <c r="O23" s="131">
        <f t="shared" ref="O23:P32" si="0">B23+F23+K23</f>
        <v>36899.82</v>
      </c>
      <c r="P23" s="131">
        <f t="shared" si="0"/>
        <v>25396.1</v>
      </c>
      <c r="Q23" s="131">
        <f t="shared" ref="Q23:R32" si="1">D23+I23+M23</f>
        <v>5587.85</v>
      </c>
      <c r="R23" s="138">
        <f t="shared" si="1"/>
        <v>113234</v>
      </c>
      <c r="S23" s="129">
        <v>2009</v>
      </c>
      <c r="T23" s="53" t="s">
        <v>81</v>
      </c>
      <c r="U23" s="133">
        <v>1926.92</v>
      </c>
      <c r="V23" s="132">
        <v>639.1</v>
      </c>
      <c r="W23" s="132">
        <v>1287.82</v>
      </c>
      <c r="X23" s="133">
        <f>3914+1157</f>
        <v>5071</v>
      </c>
      <c r="Y23" s="133">
        <v>2327.42</v>
      </c>
      <c r="Z23" s="133">
        <v>2053.65</v>
      </c>
      <c r="AA23" s="133">
        <v>105.76</v>
      </c>
      <c r="AB23" s="133">
        <v>15293</v>
      </c>
    </row>
    <row r="24" spans="1:28" s="133" customFormat="1" ht="13.5" customHeight="1" x14ac:dyDescent="0.2">
      <c r="A24" s="305">
        <v>2010</v>
      </c>
      <c r="B24" s="305">
        <v>10260.459999999999</v>
      </c>
      <c r="C24" s="305">
        <v>7163.33</v>
      </c>
      <c r="D24" s="305">
        <v>1176.26</v>
      </c>
      <c r="E24" s="305">
        <v>50069</v>
      </c>
      <c r="F24" s="306">
        <v>2632.77</v>
      </c>
      <c r="G24" s="306">
        <v>1338.96</v>
      </c>
      <c r="H24" s="305">
        <v>2010</v>
      </c>
      <c r="I24" s="306">
        <v>645.62</v>
      </c>
      <c r="J24" s="312">
        <v>3143</v>
      </c>
      <c r="K24" s="306">
        <v>32873.14</v>
      </c>
      <c r="L24" s="306">
        <v>20435.560000000001</v>
      </c>
      <c r="M24" s="306">
        <v>6032.03</v>
      </c>
      <c r="N24" s="312">
        <v>68720</v>
      </c>
      <c r="O24" s="306">
        <f t="shared" si="0"/>
        <v>45766.369999999995</v>
      </c>
      <c r="P24" s="306">
        <f t="shared" si="0"/>
        <v>28937.850000000002</v>
      </c>
      <c r="Q24" s="306">
        <f t="shared" si="1"/>
        <v>7853.91</v>
      </c>
      <c r="R24" s="312">
        <f t="shared" si="1"/>
        <v>121932</v>
      </c>
      <c r="S24" s="305">
        <v>2010</v>
      </c>
      <c r="T24" s="308" t="s">
        <v>189</v>
      </c>
      <c r="U24" s="309">
        <v>9862.5400000000009</v>
      </c>
      <c r="V24" s="310">
        <v>1019.94</v>
      </c>
      <c r="W24" s="309">
        <v>8842.59</v>
      </c>
      <c r="X24" s="309">
        <f>3848+1030</f>
        <v>4878</v>
      </c>
      <c r="Y24" s="310">
        <v>2610.5</v>
      </c>
      <c r="Z24" s="310">
        <v>2494.17</v>
      </c>
      <c r="AA24" s="309">
        <v>-58.41</v>
      </c>
      <c r="AB24" s="309">
        <v>14367</v>
      </c>
    </row>
    <row r="25" spans="1:28" s="340" customFormat="1" ht="13.5" customHeight="1" x14ac:dyDescent="0.2">
      <c r="A25" s="461">
        <v>2011</v>
      </c>
      <c r="B25" s="462">
        <v>13224.12</v>
      </c>
      <c r="C25" s="462">
        <v>8569.5</v>
      </c>
      <c r="D25" s="461">
        <v>1799.33</v>
      </c>
      <c r="E25" s="461">
        <v>54025</v>
      </c>
      <c r="F25" s="462">
        <v>4378.41</v>
      </c>
      <c r="G25" s="462">
        <v>1925.6</v>
      </c>
      <c r="H25" s="461">
        <v>2011</v>
      </c>
      <c r="I25" s="462">
        <v>781.04</v>
      </c>
      <c r="J25" s="463">
        <v>3137</v>
      </c>
      <c r="K25" s="462">
        <v>41050.18</v>
      </c>
      <c r="L25" s="462">
        <v>29079.7</v>
      </c>
      <c r="M25" s="462">
        <v>6999.28</v>
      </c>
      <c r="N25" s="463">
        <v>75649</v>
      </c>
      <c r="O25" s="462">
        <f t="shared" si="0"/>
        <v>58652.71</v>
      </c>
      <c r="P25" s="462">
        <f t="shared" si="0"/>
        <v>39574.800000000003</v>
      </c>
      <c r="Q25" s="131">
        <f t="shared" si="1"/>
        <v>9579.65</v>
      </c>
      <c r="R25" s="138">
        <f t="shared" si="1"/>
        <v>132811</v>
      </c>
      <c r="S25" s="461">
        <v>2011</v>
      </c>
      <c r="T25" s="158" t="s">
        <v>1017</v>
      </c>
      <c r="U25" s="340">
        <v>8522.74</v>
      </c>
      <c r="V25" s="357">
        <v>1490.9978000000001</v>
      </c>
      <c r="W25" s="340">
        <v>7031.75</v>
      </c>
      <c r="X25" s="340">
        <v>4958</v>
      </c>
      <c r="Y25" s="357">
        <v>1818.91</v>
      </c>
      <c r="Z25" s="357">
        <v>1996.95</v>
      </c>
      <c r="AA25" s="357">
        <v>-208.04</v>
      </c>
      <c r="AB25" s="340">
        <v>13879</v>
      </c>
    </row>
    <row r="26" spans="1:28" s="340" customFormat="1" ht="13.5" customHeight="1" x14ac:dyDescent="0.2">
      <c r="A26" s="305">
        <v>2012</v>
      </c>
      <c r="B26" s="306">
        <v>15725.253306500001</v>
      </c>
      <c r="C26" s="306">
        <v>11794.0446276</v>
      </c>
      <c r="D26" s="306">
        <v>-6522.876828200001</v>
      </c>
      <c r="E26" s="305">
        <v>57989</v>
      </c>
      <c r="F26" s="306">
        <v>5603.3493125000005</v>
      </c>
      <c r="G26" s="306">
        <v>2796.43</v>
      </c>
      <c r="H26" s="305">
        <v>2012</v>
      </c>
      <c r="I26" s="306">
        <v>1465.1193717000001</v>
      </c>
      <c r="J26" s="312">
        <v>3140</v>
      </c>
      <c r="K26" s="306">
        <v>52221.363523699983</v>
      </c>
      <c r="L26" s="306">
        <v>38973.794740899997</v>
      </c>
      <c r="M26" s="306">
        <v>3962.6805902000001</v>
      </c>
      <c r="N26" s="312">
        <v>81944</v>
      </c>
      <c r="O26" s="306">
        <f t="shared" si="0"/>
        <v>73549.966142699981</v>
      </c>
      <c r="P26" s="306">
        <f t="shared" si="0"/>
        <v>53564.269368499998</v>
      </c>
      <c r="Q26" s="306">
        <f t="shared" si="1"/>
        <v>-1095.0768663000013</v>
      </c>
      <c r="R26" s="312">
        <f t="shared" si="1"/>
        <v>143073</v>
      </c>
      <c r="S26" s="305">
        <v>2012</v>
      </c>
      <c r="T26" s="510" t="s">
        <v>1045</v>
      </c>
      <c r="U26" s="309" t="s">
        <v>288</v>
      </c>
      <c r="V26" s="310" t="s">
        <v>288</v>
      </c>
      <c r="W26" s="309" t="s">
        <v>288</v>
      </c>
      <c r="X26" s="309" t="s">
        <v>288</v>
      </c>
      <c r="Y26" s="309">
        <f>252.03+1340.23</f>
        <v>1592.26</v>
      </c>
      <c r="Z26" s="309">
        <f>149.23+1079.22</f>
        <v>1228.45</v>
      </c>
      <c r="AA26" s="309">
        <f>83.7+2.79</f>
        <v>86.490000000000009</v>
      </c>
      <c r="AB26" s="309">
        <f>857+1657</f>
        <v>2514</v>
      </c>
    </row>
    <row r="27" spans="1:28" s="340" customFormat="1" ht="13.5" customHeight="1" x14ac:dyDescent="0.2">
      <c r="A27" s="461">
        <v>2013</v>
      </c>
      <c r="B27" s="462">
        <v>16728.024012099999</v>
      </c>
      <c r="C27" s="462">
        <v>13949.002911900001</v>
      </c>
      <c r="D27" s="462">
        <v>2258.4407385999998</v>
      </c>
      <c r="E27" s="461">
        <v>58049</v>
      </c>
      <c r="F27" s="462">
        <v>5985.9425159000011</v>
      </c>
      <c r="G27" s="462">
        <v>3007.3867308999997</v>
      </c>
      <c r="H27" s="461">
        <v>2013</v>
      </c>
      <c r="I27" s="462">
        <v>1464.6336643</v>
      </c>
      <c r="J27" s="463">
        <v>3330</v>
      </c>
      <c r="K27" s="462">
        <v>57658.748551799996</v>
      </c>
      <c r="L27" s="462">
        <v>44904.274183500005</v>
      </c>
      <c r="M27" s="462">
        <v>4644.2722049999993</v>
      </c>
      <c r="N27" s="463">
        <v>85888</v>
      </c>
      <c r="O27" s="462">
        <f t="shared" si="0"/>
        <v>80372.715079799993</v>
      </c>
      <c r="P27" s="462">
        <f t="shared" si="0"/>
        <v>61860.663826300006</v>
      </c>
      <c r="Q27" s="462">
        <f t="shared" si="1"/>
        <v>8367.3466078999991</v>
      </c>
      <c r="R27" s="463">
        <f t="shared" si="1"/>
        <v>147267</v>
      </c>
      <c r="S27" s="461">
        <v>2013</v>
      </c>
      <c r="T27" s="509" t="s">
        <v>804</v>
      </c>
      <c r="U27" s="340">
        <v>1685.34</v>
      </c>
      <c r="V27" s="357">
        <v>1380.9365</v>
      </c>
      <c r="W27" s="340">
        <v>304.41000000000003</v>
      </c>
      <c r="X27" s="340">
        <v>5239</v>
      </c>
      <c r="Y27" s="357">
        <v>1794.8927682999999</v>
      </c>
      <c r="Z27" s="357">
        <v>2210.8702908</v>
      </c>
      <c r="AA27" s="357">
        <v>-448.5010825</v>
      </c>
      <c r="AB27" s="340">
        <v>15034</v>
      </c>
    </row>
    <row r="28" spans="1:28" s="340" customFormat="1" ht="13.5" customHeight="1" x14ac:dyDescent="0.2">
      <c r="A28" s="305">
        <v>2014</v>
      </c>
      <c r="B28" s="306">
        <v>18486.490000000002</v>
      </c>
      <c r="C28" s="306">
        <v>15256.82</v>
      </c>
      <c r="D28" s="306">
        <v>1227.44</v>
      </c>
      <c r="E28" s="305">
        <v>56187</v>
      </c>
      <c r="F28" s="306">
        <v>5906.7</v>
      </c>
      <c r="G28" s="306">
        <v>2721.73</v>
      </c>
      <c r="H28" s="305">
        <v>2014</v>
      </c>
      <c r="I28" s="306">
        <v>1706.03</v>
      </c>
      <c r="J28" s="312">
        <v>3880</v>
      </c>
      <c r="K28" s="306">
        <v>61356.65</v>
      </c>
      <c r="L28" s="306">
        <v>46637.05</v>
      </c>
      <c r="M28" s="306">
        <v>5511.02</v>
      </c>
      <c r="N28" s="312">
        <v>93624</v>
      </c>
      <c r="O28" s="306">
        <f t="shared" si="0"/>
        <v>85749.84</v>
      </c>
      <c r="P28" s="306">
        <f t="shared" si="0"/>
        <v>64615.600000000006</v>
      </c>
      <c r="Q28" s="306">
        <f t="shared" si="1"/>
        <v>8444.4900000000016</v>
      </c>
      <c r="R28" s="312">
        <f t="shared" si="1"/>
        <v>153691</v>
      </c>
      <c r="S28" s="305">
        <v>2014</v>
      </c>
      <c r="T28" s="510">
        <v>2013</v>
      </c>
      <c r="U28" s="309" t="s">
        <v>288</v>
      </c>
      <c r="V28" s="310" t="s">
        <v>288</v>
      </c>
      <c r="W28" s="309" t="s">
        <v>288</v>
      </c>
      <c r="X28" s="309" t="s">
        <v>288</v>
      </c>
      <c r="Y28" s="310">
        <v>2163.7902678</v>
      </c>
      <c r="Z28" s="310">
        <v>1791.2615637000001</v>
      </c>
      <c r="AA28" s="310">
        <v>48.857708699999996</v>
      </c>
      <c r="AB28" s="309">
        <v>2971</v>
      </c>
    </row>
    <row r="29" spans="1:28" s="340" customFormat="1" ht="13.5" customHeight="1" x14ac:dyDescent="0.2">
      <c r="A29" s="133">
        <v>2015</v>
      </c>
      <c r="B29" s="86">
        <v>20782.27</v>
      </c>
      <c r="C29" s="86">
        <v>17852.88</v>
      </c>
      <c r="D29" s="591">
        <v>365.93</v>
      </c>
      <c r="E29" s="592">
        <v>58286</v>
      </c>
      <c r="F29" s="361">
        <v>5407.47</v>
      </c>
      <c r="G29" s="361">
        <v>2514.02</v>
      </c>
      <c r="H29" s="133">
        <v>2015</v>
      </c>
      <c r="I29" s="361">
        <v>1695.81</v>
      </c>
      <c r="J29" s="593">
        <v>3876</v>
      </c>
      <c r="K29" s="361">
        <v>64033.43</v>
      </c>
      <c r="L29" s="361">
        <v>48463.98</v>
      </c>
      <c r="M29" s="361">
        <v>6145.79</v>
      </c>
      <c r="N29" s="593">
        <v>92742</v>
      </c>
      <c r="O29" s="462">
        <f t="shared" si="0"/>
        <v>90223.17</v>
      </c>
      <c r="P29" s="462">
        <f t="shared" si="0"/>
        <v>68830.880000000005</v>
      </c>
      <c r="Q29" s="462">
        <f t="shared" si="1"/>
        <v>8207.5299999999988</v>
      </c>
      <c r="R29" s="463">
        <f t="shared" si="1"/>
        <v>154904</v>
      </c>
      <c r="S29" s="133">
        <v>2015</v>
      </c>
      <c r="T29" s="158" t="s">
        <v>978</v>
      </c>
      <c r="U29" s="340">
        <v>5040.63</v>
      </c>
      <c r="V29" s="357">
        <v>1688.81</v>
      </c>
      <c r="W29" s="340">
        <v>3351.83</v>
      </c>
      <c r="X29" s="340">
        <v>5470</v>
      </c>
      <c r="Y29" s="357">
        <v>2035.3</v>
      </c>
      <c r="Z29" s="340">
        <v>2539.12</v>
      </c>
      <c r="AA29" s="340">
        <v>-3504.21</v>
      </c>
      <c r="AB29" s="340">
        <v>14237</v>
      </c>
    </row>
    <row r="30" spans="1:28" s="340" customFormat="1" ht="13.5" customHeight="1" x14ac:dyDescent="0.2">
      <c r="A30" s="309">
        <v>2016</v>
      </c>
      <c r="B30" s="646">
        <v>20405.580000000002</v>
      </c>
      <c r="C30" s="646">
        <v>18437.03</v>
      </c>
      <c r="D30" s="647">
        <v>-363.99</v>
      </c>
      <c r="E30" s="648">
        <v>54405</v>
      </c>
      <c r="F30" s="366">
        <v>4405.96</v>
      </c>
      <c r="G30" s="366">
        <v>2009.23</v>
      </c>
      <c r="H30" s="309">
        <v>2016</v>
      </c>
      <c r="I30" s="366">
        <v>1385.13</v>
      </c>
      <c r="J30" s="649">
        <v>3997</v>
      </c>
      <c r="K30" s="366">
        <v>66053.23</v>
      </c>
      <c r="L30" s="366">
        <v>48304.639999999999</v>
      </c>
      <c r="M30" s="366">
        <v>7075.22</v>
      </c>
      <c r="N30" s="649">
        <v>101622</v>
      </c>
      <c r="O30" s="306">
        <f t="shared" si="0"/>
        <v>90864.76999999999</v>
      </c>
      <c r="P30" s="306">
        <f t="shared" si="0"/>
        <v>68750.899999999994</v>
      </c>
      <c r="Q30" s="306">
        <f t="shared" si="1"/>
        <v>8096.3600000000006</v>
      </c>
      <c r="R30" s="312">
        <f t="shared" si="1"/>
        <v>160024</v>
      </c>
      <c r="S30" s="309">
        <v>2016</v>
      </c>
      <c r="T30" s="510">
        <v>2014</v>
      </c>
      <c r="U30" s="309" t="s">
        <v>288</v>
      </c>
      <c r="V30" s="310" t="s">
        <v>288</v>
      </c>
      <c r="W30" s="309" t="s">
        <v>288</v>
      </c>
      <c r="X30" s="309" t="s">
        <v>288</v>
      </c>
      <c r="Y30" s="309">
        <v>1988.85</v>
      </c>
      <c r="Z30" s="309">
        <v>1951.38</v>
      </c>
      <c r="AA30" s="309">
        <v>2.91</v>
      </c>
      <c r="AB30" s="309">
        <v>3115</v>
      </c>
    </row>
    <row r="31" spans="1:28" ht="13.5" customHeight="1" x14ac:dyDescent="0.2">
      <c r="A31" s="133">
        <v>2017</v>
      </c>
      <c r="B31" s="133">
        <v>20829.87</v>
      </c>
      <c r="C31" s="133">
        <v>17032.490000000002</v>
      </c>
      <c r="D31" s="133">
        <v>1091.04</v>
      </c>
      <c r="E31" s="133">
        <v>51483</v>
      </c>
      <c r="F31" s="133">
        <v>4369.22</v>
      </c>
      <c r="G31" s="133">
        <v>2027.35</v>
      </c>
      <c r="H31" s="133">
        <v>2017</v>
      </c>
      <c r="I31" s="133">
        <v>1324.35</v>
      </c>
      <c r="J31" s="133">
        <v>4003</v>
      </c>
      <c r="K31" s="462">
        <v>71888.84</v>
      </c>
      <c r="L31" s="462">
        <v>53138.79</v>
      </c>
      <c r="M31" s="462">
        <v>6877.83</v>
      </c>
      <c r="N31" s="463">
        <v>107255</v>
      </c>
      <c r="O31" s="462">
        <f t="shared" si="0"/>
        <v>97087.93</v>
      </c>
      <c r="P31" s="462">
        <f t="shared" si="0"/>
        <v>72198.63</v>
      </c>
      <c r="Q31" s="462">
        <f t="shared" si="1"/>
        <v>9293.2199999999993</v>
      </c>
      <c r="R31" s="463">
        <f t="shared" si="1"/>
        <v>162741</v>
      </c>
      <c r="S31" s="461">
        <v>2017</v>
      </c>
      <c r="T31" s="158" t="s">
        <v>1029</v>
      </c>
      <c r="U31" s="340">
        <v>2807.48</v>
      </c>
      <c r="V31" s="357">
        <v>5430.4471999999996</v>
      </c>
      <c r="W31" s="357">
        <v>-2622.97</v>
      </c>
      <c r="X31" s="340">
        <v>6067</v>
      </c>
      <c r="Y31" s="340">
        <v>2105.12</v>
      </c>
      <c r="Z31" s="340">
        <v>2551.56</v>
      </c>
      <c r="AA31" s="357">
        <v>-247.5</v>
      </c>
      <c r="AB31" s="340">
        <v>14094</v>
      </c>
    </row>
    <row r="32" spans="1:28" ht="13.5" customHeight="1" x14ac:dyDescent="0.2">
      <c r="A32" s="309">
        <v>2018</v>
      </c>
      <c r="B32" s="309">
        <v>21746.61</v>
      </c>
      <c r="C32" s="309">
        <v>17483.86</v>
      </c>
      <c r="D32" s="309">
        <v>113.45</v>
      </c>
      <c r="E32" s="309">
        <v>49552</v>
      </c>
      <c r="F32" s="309">
        <v>5123.6499999999996</v>
      </c>
      <c r="G32" s="309">
        <v>2321.98</v>
      </c>
      <c r="H32" s="309">
        <v>2018</v>
      </c>
      <c r="I32" s="309">
        <v>1630.73</v>
      </c>
      <c r="J32" s="309">
        <v>3935</v>
      </c>
      <c r="K32" s="306">
        <v>84994.49</v>
      </c>
      <c r="L32" s="306">
        <v>65262.559999999998</v>
      </c>
      <c r="M32" s="306">
        <v>7866.64</v>
      </c>
      <c r="N32" s="312">
        <v>114080</v>
      </c>
      <c r="O32" s="306">
        <f t="shared" si="0"/>
        <v>111864.75</v>
      </c>
      <c r="P32" s="306">
        <f t="shared" si="0"/>
        <v>85068.4</v>
      </c>
      <c r="Q32" s="306">
        <f t="shared" si="1"/>
        <v>9610.82</v>
      </c>
      <c r="R32" s="312">
        <f t="shared" si="1"/>
        <v>167567</v>
      </c>
      <c r="S32" s="305">
        <v>2018</v>
      </c>
      <c r="T32" s="308" t="s">
        <v>1150</v>
      </c>
      <c r="U32" s="309">
        <v>3502.18</v>
      </c>
      <c r="V32" s="310">
        <v>3349.1619999999998</v>
      </c>
      <c r="W32" s="310">
        <v>153.02000000000001</v>
      </c>
      <c r="X32" s="309">
        <v>5726</v>
      </c>
      <c r="Y32" s="310">
        <v>2060.8000000000002</v>
      </c>
      <c r="Z32" s="310">
        <v>2816.86</v>
      </c>
      <c r="AA32" s="309">
        <v>-674.71</v>
      </c>
      <c r="AB32" s="309">
        <v>13200</v>
      </c>
    </row>
    <row r="33" spans="1:31" ht="13.5" customHeight="1" x14ac:dyDescent="0.2">
      <c r="A33" s="340">
        <v>2019</v>
      </c>
      <c r="B33" s="340">
        <v>22230.95</v>
      </c>
      <c r="C33" s="340">
        <v>18888.73</v>
      </c>
      <c r="D33" s="357">
        <v>155.6</v>
      </c>
      <c r="E33" s="340">
        <v>52002</v>
      </c>
      <c r="F33" s="340">
        <v>7224.31</v>
      </c>
      <c r="G33" s="340">
        <v>3352.81</v>
      </c>
      <c r="H33" s="340">
        <v>2019</v>
      </c>
      <c r="I33" s="340">
        <v>2365.71</v>
      </c>
      <c r="J33" s="340">
        <v>3886</v>
      </c>
      <c r="K33" s="462">
        <v>97952.06</v>
      </c>
      <c r="L33" s="462">
        <v>75408.59</v>
      </c>
      <c r="M33" s="462">
        <v>7018.84</v>
      </c>
      <c r="N33" s="463">
        <v>123186</v>
      </c>
      <c r="O33" s="462">
        <v>127407.31</v>
      </c>
      <c r="P33" s="462">
        <v>97650.13</v>
      </c>
      <c r="Q33" s="462">
        <v>9540.15</v>
      </c>
      <c r="R33" s="463">
        <v>179074</v>
      </c>
      <c r="S33" s="461">
        <v>2019</v>
      </c>
      <c r="T33" s="158" t="s">
        <v>1174</v>
      </c>
      <c r="U33" s="357">
        <v>10866.435799999999</v>
      </c>
      <c r="V33" s="357">
        <v>3379.3724000000002</v>
      </c>
      <c r="W33" s="357">
        <f t="shared" ref="W33:W39" si="2">U33-V33</f>
        <v>7487.0633999999991</v>
      </c>
      <c r="X33" s="340">
        <v>5664</v>
      </c>
      <c r="Y33" s="357">
        <v>2155</v>
      </c>
      <c r="Z33" s="357">
        <v>2921.68</v>
      </c>
      <c r="AA33" s="340">
        <v>-555.75</v>
      </c>
      <c r="AB33" s="340">
        <v>12286</v>
      </c>
      <c r="AD33" s="153"/>
      <c r="AE33" s="153"/>
    </row>
    <row r="34" spans="1:31" ht="13.5" customHeight="1" x14ac:dyDescent="0.2">
      <c r="A34" s="309">
        <v>2020</v>
      </c>
      <c r="B34" s="309">
        <v>24064.51</v>
      </c>
      <c r="C34" s="309">
        <v>20386.939999999999</v>
      </c>
      <c r="D34" s="309">
        <v>49.26</v>
      </c>
      <c r="E34" s="309">
        <v>50543</v>
      </c>
      <c r="F34" s="309">
        <v>6782.25</v>
      </c>
      <c r="G34" s="310">
        <v>2914.5</v>
      </c>
      <c r="H34" s="309">
        <v>2020</v>
      </c>
      <c r="I34" s="310">
        <v>2313.3000000000002</v>
      </c>
      <c r="J34" s="309">
        <v>3870</v>
      </c>
      <c r="K34" s="305">
        <v>94759.71</v>
      </c>
      <c r="L34" s="305">
        <v>75652.05</v>
      </c>
      <c r="M34" s="305">
        <v>8023.22</v>
      </c>
      <c r="N34" s="305">
        <v>127524</v>
      </c>
      <c r="O34" s="305">
        <v>125606.46</v>
      </c>
      <c r="P34" s="305">
        <v>98953.49</v>
      </c>
      <c r="Q34" s="305">
        <v>10385.780000000001</v>
      </c>
      <c r="R34" s="305">
        <v>181937</v>
      </c>
      <c r="S34" s="305">
        <v>2020</v>
      </c>
      <c r="T34" s="308" t="s">
        <v>1296</v>
      </c>
      <c r="U34" s="310">
        <v>14247.9123</v>
      </c>
      <c r="V34" s="310">
        <v>4583.1831000000002</v>
      </c>
      <c r="W34" s="310">
        <f t="shared" si="2"/>
        <v>9664.7291999999998</v>
      </c>
      <c r="X34" s="309">
        <v>5741</v>
      </c>
      <c r="Y34" s="310">
        <v>1952.69</v>
      </c>
      <c r="Z34" s="310">
        <v>2861.6</v>
      </c>
      <c r="AA34" s="309">
        <v>-610.83000000000004</v>
      </c>
      <c r="AB34" s="309">
        <v>12470</v>
      </c>
      <c r="AD34" s="761"/>
      <c r="AE34" s="153"/>
    </row>
    <row r="35" spans="1:31" ht="13.5" customHeight="1" x14ac:dyDescent="0.2">
      <c r="A35" s="340">
        <v>2021</v>
      </c>
      <c r="B35" s="357">
        <v>26872.24418464</v>
      </c>
      <c r="C35" s="357">
        <v>23374.866161400001</v>
      </c>
      <c r="D35" s="357">
        <v>429.252225071</v>
      </c>
      <c r="E35" s="1182">
        <v>50956</v>
      </c>
      <c r="F35" s="357">
        <v>5595.4584286017998</v>
      </c>
      <c r="G35" s="357">
        <v>2450.3390051800002</v>
      </c>
      <c r="H35" s="340">
        <v>2021</v>
      </c>
      <c r="I35" s="357">
        <v>1538.7015144</v>
      </c>
      <c r="J35" s="340">
        <v>3759</v>
      </c>
      <c r="K35" s="462">
        <v>91769.504217783993</v>
      </c>
      <c r="L35" s="462">
        <v>69567.008369129995</v>
      </c>
      <c r="M35" s="462">
        <v>6687.2177825500003</v>
      </c>
      <c r="N35" s="461">
        <v>134446</v>
      </c>
      <c r="O35" s="462">
        <v>124237.20683102599</v>
      </c>
      <c r="P35" s="462">
        <v>95392.213535710005</v>
      </c>
      <c r="Q35" s="462">
        <v>8655.1715220210008</v>
      </c>
      <c r="R35" s="461">
        <v>189161</v>
      </c>
      <c r="S35" s="461">
        <v>2021</v>
      </c>
      <c r="T35" s="158" t="s">
        <v>1404</v>
      </c>
      <c r="U35" s="357">
        <v>8954.8858999999993</v>
      </c>
      <c r="V35" s="357">
        <v>3142.6428999999998</v>
      </c>
      <c r="W35" s="357">
        <f t="shared" si="2"/>
        <v>5812.2429999999995</v>
      </c>
      <c r="X35" s="340">
        <v>6369</v>
      </c>
      <c r="Y35" s="357">
        <v>1983.63</v>
      </c>
      <c r="Z35" s="357">
        <v>3057.25</v>
      </c>
      <c r="AA35" s="340">
        <v>-704.27</v>
      </c>
      <c r="AB35" s="340">
        <v>12156</v>
      </c>
      <c r="AD35" s="761"/>
      <c r="AE35" s="153"/>
    </row>
    <row r="36" spans="1:31" ht="13.5" customHeight="1" x14ac:dyDescent="0.2">
      <c r="A36" s="309">
        <v>2022</v>
      </c>
      <c r="B36" s="310">
        <v>28238.26600367</v>
      </c>
      <c r="C36" s="310">
        <v>23696.605142500001</v>
      </c>
      <c r="D36" s="310">
        <v>494.79680735199997</v>
      </c>
      <c r="E36" s="1302">
        <v>49617</v>
      </c>
      <c r="F36" s="310">
        <v>8090.7029131440004</v>
      </c>
      <c r="G36" s="310">
        <v>2974.9060998199998</v>
      </c>
      <c r="H36" s="309">
        <v>2022</v>
      </c>
      <c r="I36" s="310">
        <v>3156.8323895200001</v>
      </c>
      <c r="J36" s="309">
        <v>3895</v>
      </c>
      <c r="K36" s="306">
        <v>103950.010347887</v>
      </c>
      <c r="L36" s="306">
        <v>82559.901409586993</v>
      </c>
      <c r="M36" s="306">
        <v>6137.6551727409997</v>
      </c>
      <c r="N36" s="305">
        <v>147621</v>
      </c>
      <c r="O36" s="306">
        <v>140278.97926470099</v>
      </c>
      <c r="P36" s="306">
        <v>109231.412651907</v>
      </c>
      <c r="Q36" s="306">
        <v>9789.2843696130003</v>
      </c>
      <c r="R36" s="305">
        <v>201133</v>
      </c>
      <c r="S36" s="305">
        <v>2022</v>
      </c>
      <c r="T36" s="308" t="s">
        <v>1484</v>
      </c>
      <c r="U36" s="310">
        <v>9035.0049999999992</v>
      </c>
      <c r="V36" s="310">
        <v>2849.3778000000002</v>
      </c>
      <c r="W36" s="310">
        <f t="shared" si="2"/>
        <v>6185.627199999999</v>
      </c>
      <c r="X36" s="309">
        <v>6391</v>
      </c>
      <c r="Y36" s="310">
        <v>1788.53</v>
      </c>
      <c r="Z36" s="310">
        <v>3360.88</v>
      </c>
      <c r="AA36" s="309">
        <v>-1834.47</v>
      </c>
      <c r="AB36" s="309">
        <v>13551</v>
      </c>
      <c r="AD36" s="153"/>
      <c r="AE36" s="153"/>
    </row>
    <row r="37" spans="1:31" ht="13.5" customHeight="1" thickBot="1" x14ac:dyDescent="0.25">
      <c r="A37" s="1303">
        <v>2023</v>
      </c>
      <c r="B37" s="1304">
        <v>33505.953779130003</v>
      </c>
      <c r="C37" s="1304">
        <v>27199.348528800001</v>
      </c>
      <c r="D37" s="1304">
        <v>427.31112196999999</v>
      </c>
      <c r="E37" s="1305">
        <v>50773</v>
      </c>
      <c r="F37" s="1304">
        <v>10874.061307672</v>
      </c>
      <c r="G37" s="1304">
        <v>3753.7906792610002</v>
      </c>
      <c r="H37" s="1303">
        <v>2023</v>
      </c>
      <c r="I37" s="1304">
        <v>4451.8563649300004</v>
      </c>
      <c r="J37" s="1303">
        <v>4117</v>
      </c>
      <c r="K37" s="1306">
        <v>120200.92142928</v>
      </c>
      <c r="L37" s="1306">
        <v>95960.214807690005</v>
      </c>
      <c r="M37" s="1306">
        <v>8106.3418261699999</v>
      </c>
      <c r="N37" s="1307">
        <v>152802</v>
      </c>
      <c r="O37" s="1306">
        <v>164580.936516082</v>
      </c>
      <c r="P37" s="1306">
        <v>126913.354015751</v>
      </c>
      <c r="Q37" s="1306">
        <v>12985.509313070001</v>
      </c>
      <c r="R37" s="1307">
        <v>207692</v>
      </c>
      <c r="S37" s="1307">
        <v>2023</v>
      </c>
      <c r="T37" s="158" t="s">
        <v>1536</v>
      </c>
      <c r="U37" s="357">
        <v>8635.3417000000009</v>
      </c>
      <c r="V37" s="357">
        <v>2858.1232</v>
      </c>
      <c r="W37" s="357">
        <f t="shared" si="2"/>
        <v>5777.2185000000009</v>
      </c>
      <c r="X37" s="340">
        <v>6407</v>
      </c>
      <c r="Y37" s="357">
        <v>1959.1311442470001</v>
      </c>
      <c r="Z37" s="357">
        <v>3564.6620677000001</v>
      </c>
      <c r="AA37" s="340">
        <v>-1742.4104153000001</v>
      </c>
      <c r="AB37" s="340">
        <v>13275</v>
      </c>
      <c r="AD37" s="153"/>
      <c r="AE37" s="153"/>
    </row>
    <row r="38" spans="1:31" ht="13.5" customHeight="1" x14ac:dyDescent="0.2">
      <c r="A38" s="511"/>
      <c r="B38" s="512"/>
      <c r="C38" s="793"/>
      <c r="D38" s="462"/>
      <c r="E38" s="461"/>
      <c r="F38" s="462"/>
      <c r="G38" s="462"/>
      <c r="H38" s="461"/>
      <c r="I38" s="462"/>
      <c r="J38" s="463"/>
      <c r="K38" s="64"/>
      <c r="L38" s="64"/>
      <c r="M38" s="64"/>
      <c r="N38" s="64"/>
      <c r="O38" s="64"/>
      <c r="P38" s="64"/>
      <c r="Q38" s="64"/>
      <c r="R38" s="64"/>
      <c r="S38" s="64"/>
      <c r="T38" s="1192" t="s">
        <v>1817</v>
      </c>
      <c r="U38" s="1193">
        <v>32199.101299999998</v>
      </c>
      <c r="V38" s="1194">
        <v>2952.0945999999999</v>
      </c>
      <c r="W38" s="1194">
        <f t="shared" si="2"/>
        <v>29247.006699999998</v>
      </c>
      <c r="X38" s="1195">
        <v>6201</v>
      </c>
      <c r="Y38" s="1196">
        <v>2190.0319221</v>
      </c>
      <c r="Z38" s="366">
        <v>3730.5874588000001</v>
      </c>
      <c r="AA38" s="366">
        <v>-1563.2522366000001</v>
      </c>
      <c r="AB38" s="649">
        <v>11595</v>
      </c>
      <c r="AD38" s="865"/>
    </row>
    <row r="39" spans="1:31" ht="12" customHeight="1" x14ac:dyDescent="0.2">
      <c r="A39" s="511" t="s">
        <v>363</v>
      </c>
      <c r="B39" s="2865" t="s">
        <v>1208</v>
      </c>
      <c r="C39" s="2865"/>
      <c r="D39" s="698"/>
      <c r="E39" s="698"/>
      <c r="F39" s="698"/>
      <c r="G39" s="698"/>
      <c r="H39" s="698"/>
      <c r="I39" s="698"/>
      <c r="J39" s="698"/>
      <c r="K39" s="64"/>
      <c r="L39" s="64"/>
      <c r="M39" s="64"/>
      <c r="N39" s="64"/>
      <c r="O39" s="650"/>
      <c r="P39" s="64"/>
      <c r="Q39" s="64"/>
      <c r="R39" s="650"/>
      <c r="S39" s="64"/>
      <c r="T39" s="1308" t="s">
        <v>2066</v>
      </c>
      <c r="U39" s="1309">
        <v>51886.2</v>
      </c>
      <c r="V39" s="1310">
        <v>4617.75</v>
      </c>
      <c r="W39" s="1310">
        <f t="shared" si="2"/>
        <v>47268.45</v>
      </c>
      <c r="X39" s="1311">
        <v>6060</v>
      </c>
      <c r="Y39" s="1312">
        <v>2572.45197925</v>
      </c>
      <c r="Z39" s="361">
        <v>4443.0967950200002</v>
      </c>
      <c r="AA39" s="361">
        <v>-2574.0387931499999</v>
      </c>
      <c r="AB39" s="593">
        <v>11953</v>
      </c>
    </row>
    <row r="40" spans="1:31" ht="12.75" customHeight="1" x14ac:dyDescent="0.2">
      <c r="A40" s="511"/>
      <c r="B40" s="2865" t="s">
        <v>1175</v>
      </c>
      <c r="C40" s="2865"/>
      <c r="D40" s="2865"/>
      <c r="E40" s="2865"/>
      <c r="F40" s="698"/>
      <c r="G40" s="698"/>
      <c r="H40" s="698"/>
      <c r="I40" s="698"/>
      <c r="J40" s="698"/>
      <c r="K40" s="64"/>
      <c r="L40" s="64"/>
      <c r="M40" s="64"/>
      <c r="N40" s="64"/>
      <c r="O40" s="650"/>
      <c r="P40" s="64"/>
      <c r="Q40" s="64"/>
      <c r="R40" s="867"/>
      <c r="S40" s="1089"/>
      <c r="T40" s="1192" t="s">
        <v>2206</v>
      </c>
      <c r="U40" s="1193">
        <v>48402.42</v>
      </c>
      <c r="V40" s="1194">
        <v>7848.67</v>
      </c>
      <c r="W40" s="1194">
        <v>40553.75</v>
      </c>
      <c r="X40" s="1195">
        <v>6226</v>
      </c>
      <c r="Y40" s="1196" t="s">
        <v>288</v>
      </c>
      <c r="Z40" s="366" t="s">
        <v>288</v>
      </c>
      <c r="AA40" s="366" t="s">
        <v>288</v>
      </c>
      <c r="AB40" s="649" t="s">
        <v>288</v>
      </c>
    </row>
    <row r="41" spans="1:31" ht="12" customHeight="1" thickBot="1" x14ac:dyDescent="0.25">
      <c r="A41" s="111"/>
      <c r="K41" s="64"/>
      <c r="L41" s="64"/>
      <c r="M41" s="64"/>
      <c r="N41" s="64"/>
      <c r="O41" s="64"/>
      <c r="P41" s="64"/>
      <c r="Q41" s="64"/>
      <c r="R41" s="64"/>
      <c r="S41" s="64"/>
      <c r="T41" s="1540" t="s">
        <v>2850</v>
      </c>
      <c r="U41" s="1534">
        <v>44122.36</v>
      </c>
      <c r="V41" s="1535">
        <v>9228.1802000000007</v>
      </c>
      <c r="W41" s="1535">
        <v>34894.183400000002</v>
      </c>
      <c r="X41" s="1536">
        <v>6197</v>
      </c>
      <c r="Y41" s="1537" t="s">
        <v>288</v>
      </c>
      <c r="Z41" s="1538" t="s">
        <v>288</v>
      </c>
      <c r="AA41" s="1538" t="s">
        <v>288</v>
      </c>
      <c r="AB41" s="1539" t="s">
        <v>288</v>
      </c>
    </row>
    <row r="42" spans="1:31" ht="11.25" customHeight="1" x14ac:dyDescent="0.25">
      <c r="B42" s="192"/>
      <c r="C42" s="192"/>
      <c r="D42" s="6"/>
      <c r="K42" s="109"/>
      <c r="L42" s="109"/>
      <c r="M42" s="109"/>
      <c r="N42" s="109"/>
      <c r="O42" s="594"/>
      <c r="P42" s="594"/>
      <c r="Q42" s="594"/>
      <c r="R42" s="594"/>
      <c r="S42" s="866"/>
      <c r="T42" s="2848" t="s">
        <v>1535</v>
      </c>
      <c r="U42" s="2848"/>
      <c r="V42" s="2848"/>
      <c r="W42" s="2848"/>
      <c r="X42" s="2848"/>
      <c r="Y42" s="2848"/>
      <c r="Z42" s="2848"/>
      <c r="AA42" s="2848"/>
      <c r="AB42" s="2848"/>
    </row>
    <row r="43" spans="1:31" ht="15.75" x14ac:dyDescent="0.25">
      <c r="A43" s="113"/>
      <c r="B43" s="113"/>
      <c r="K43" s="115"/>
      <c r="L43" s="115"/>
      <c r="M43" s="115"/>
      <c r="N43" s="115"/>
      <c r="O43" s="595"/>
      <c r="P43" s="595"/>
      <c r="Q43" s="595"/>
      <c r="R43" s="595"/>
      <c r="S43" s="115"/>
      <c r="T43" s="2848" t="s">
        <v>1365</v>
      </c>
      <c r="U43" s="2848"/>
      <c r="V43" s="2848"/>
      <c r="W43" s="2848"/>
      <c r="X43" s="2848"/>
      <c r="Y43" s="2848"/>
      <c r="Z43" s="2848"/>
      <c r="AA43" s="2848"/>
      <c r="AB43" s="2848"/>
    </row>
    <row r="44" spans="1:31" x14ac:dyDescent="0.2">
      <c r="A44" s="113"/>
      <c r="B44" s="113"/>
      <c r="C44" s="113"/>
      <c r="D44" s="113"/>
      <c r="E44" s="113"/>
      <c r="F44" s="113"/>
      <c r="G44" s="113"/>
      <c r="I44" s="113"/>
      <c r="J44" s="113"/>
      <c r="K44" s="113"/>
      <c r="L44" s="113"/>
      <c r="M44" s="113"/>
      <c r="N44" s="113"/>
      <c r="O44" s="115"/>
      <c r="P44" s="115"/>
      <c r="Q44" s="115"/>
      <c r="R44" s="115"/>
      <c r="S44" s="115"/>
      <c r="T44" s="2867" t="s">
        <v>1282</v>
      </c>
      <c r="U44" s="2867"/>
      <c r="V44" s="2867"/>
      <c r="W44" s="2867"/>
      <c r="X44" s="2867"/>
      <c r="Y44" s="2867"/>
      <c r="Z44" s="2867"/>
      <c r="AA44" s="2867"/>
      <c r="AB44" s="2867"/>
    </row>
    <row r="45" spans="1:31" ht="15.75" x14ac:dyDescent="0.25">
      <c r="B45" s="113"/>
      <c r="C45" s="113"/>
      <c r="D45" s="113"/>
      <c r="E45" s="113"/>
      <c r="F45" s="113"/>
      <c r="G45" s="113"/>
      <c r="I45" s="113"/>
      <c r="J45" s="113"/>
      <c r="K45" s="113"/>
      <c r="L45" s="113"/>
      <c r="M45" s="113"/>
      <c r="N45" s="113"/>
      <c r="O45" s="597"/>
      <c r="P45" s="597"/>
      <c r="Q45" s="597"/>
      <c r="R45" s="597"/>
      <c r="T45" s="2866" t="s">
        <v>1215</v>
      </c>
      <c r="U45" s="2866"/>
      <c r="V45" s="2866"/>
      <c r="W45" s="2866"/>
      <c r="X45" s="2866"/>
      <c r="Y45" s="2866"/>
      <c r="Z45" s="7"/>
      <c r="AA45" s="624"/>
      <c r="AB45" s="7"/>
    </row>
    <row r="46" spans="1:31" x14ac:dyDescent="0.2">
      <c r="I46" s="153"/>
      <c r="K46" s="64"/>
    </row>
    <row r="47" spans="1:31" x14ac:dyDescent="0.2">
      <c r="I47" s="153"/>
      <c r="K47" s="64"/>
    </row>
    <row r="48" spans="1:31" ht="15" x14ac:dyDescent="0.25">
      <c r="K48" s="64"/>
      <c r="Y48" s="596"/>
      <c r="Z48" s="596"/>
      <c r="AA48" s="596"/>
      <c r="AB48" s="596"/>
    </row>
    <row r="49" spans="11:28" ht="15" x14ac:dyDescent="0.25">
      <c r="K49" s="64"/>
      <c r="W49" s="151"/>
      <c r="Y49" s="596"/>
      <c r="Z49" s="596"/>
      <c r="AA49" s="596"/>
      <c r="AB49" s="596"/>
    </row>
    <row r="50" spans="11:28" ht="15" x14ac:dyDescent="0.25">
      <c r="K50" s="64"/>
      <c r="Y50" s="596"/>
      <c r="Z50" s="596"/>
      <c r="AA50" s="596"/>
      <c r="AB50" s="596"/>
    </row>
    <row r="51" spans="11:28" ht="15" x14ac:dyDescent="0.25">
      <c r="K51" s="64"/>
      <c r="Y51" s="598"/>
      <c r="Z51" s="598"/>
      <c r="AA51" s="598"/>
      <c r="AB51" s="598"/>
    </row>
    <row r="52" spans="11:28" x14ac:dyDescent="0.2">
      <c r="K52" s="64"/>
    </row>
    <row r="53" spans="11:28" x14ac:dyDescent="0.2">
      <c r="K53" s="64"/>
    </row>
    <row r="54" spans="11:28" x14ac:dyDescent="0.2">
      <c r="K54" s="64"/>
    </row>
    <row r="55" spans="11:28" x14ac:dyDescent="0.2">
      <c r="K55" s="64"/>
    </row>
    <row r="56" spans="11:28" x14ac:dyDescent="0.2">
      <c r="K56" s="64"/>
    </row>
    <row r="57" spans="11:28" x14ac:dyDescent="0.2">
      <c r="K57" s="64"/>
    </row>
    <row r="58" spans="11:28" x14ac:dyDescent="0.2">
      <c r="K58" s="64"/>
    </row>
    <row r="59" spans="11:28" x14ac:dyDescent="0.2">
      <c r="K59" s="64"/>
    </row>
    <row r="60" spans="11:28" x14ac:dyDescent="0.2">
      <c r="K60" s="64"/>
    </row>
    <row r="61" spans="11:28" x14ac:dyDescent="0.2">
      <c r="K61" s="64"/>
    </row>
    <row r="62" spans="11:28" ht="11.25" customHeight="1" x14ac:dyDescent="0.2">
      <c r="K62" s="64"/>
    </row>
    <row r="63" spans="11:28" x14ac:dyDescent="0.2">
      <c r="K63" s="64"/>
    </row>
    <row r="64" spans="11:28" x14ac:dyDescent="0.2">
      <c r="K64" s="64"/>
    </row>
    <row r="65" spans="1:19" x14ac:dyDescent="0.2">
      <c r="K65" s="64"/>
    </row>
    <row r="66" spans="1:19" x14ac:dyDescent="0.2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</row>
    <row r="67" spans="1:19" x14ac:dyDescent="0.2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</row>
  </sheetData>
  <customSheetViews>
    <customSheetView guid="{A374FC54-96E3-45F0-9C12-8450400C12DF}" scale="150">
      <pane xSplit="1" ySplit="6" topLeftCell="U25" activePane="bottomRight" state="frozen"/>
      <selection pane="bottomRight" activeCell="AD31" sqref="AD31"/>
      <pageMargins left="0.62992125984252001" right="0.59055118110236204" top="0.511811023622047" bottom="0.511811023622047" header="0" footer="0.74803149606299202"/>
      <pageSetup paperSize="132" firstPageNumber="79" orientation="portrait" useFirstPageNumber="1" r:id="rId1"/>
      <headerFooter alignWithMargins="0">
        <oddFooter>&amp;C&amp;"Times New Roman,Regular"&amp;8&amp;P</oddFooter>
      </headerFooter>
    </customSheetView>
  </customSheetViews>
  <mergeCells count="40">
    <mergeCell ref="B40:E40"/>
    <mergeCell ref="B39:C39"/>
    <mergeCell ref="T45:Y45"/>
    <mergeCell ref="T44:AB44"/>
    <mergeCell ref="T2:Y2"/>
    <mergeCell ref="Z2:AB2"/>
    <mergeCell ref="U5:U6"/>
    <mergeCell ref="W5:W6"/>
    <mergeCell ref="AA5:AA6"/>
    <mergeCell ref="AB5:AB6"/>
    <mergeCell ref="X5:X6"/>
    <mergeCell ref="V5:V6"/>
    <mergeCell ref="T4:T6"/>
    <mergeCell ref="U4:X4"/>
    <mergeCell ref="AA3:AB3"/>
    <mergeCell ref="Y5:Y6"/>
    <mergeCell ref="A4:A6"/>
    <mergeCell ref="B4:G4"/>
    <mergeCell ref="B5:E5"/>
    <mergeCell ref="A2:E2"/>
    <mergeCell ref="A3:E3"/>
    <mergeCell ref="F2:G2"/>
    <mergeCell ref="F5:G5"/>
    <mergeCell ref="H4:H6"/>
    <mergeCell ref="K5:N5"/>
    <mergeCell ref="I4:R4"/>
    <mergeCell ref="F3:G3"/>
    <mergeCell ref="R3:S3"/>
    <mergeCell ref="S4:S6"/>
    <mergeCell ref="T43:AB43"/>
    <mergeCell ref="T42:AB42"/>
    <mergeCell ref="O5:R5"/>
    <mergeCell ref="I5:J5"/>
    <mergeCell ref="I2:N2"/>
    <mergeCell ref="M3:N3"/>
    <mergeCell ref="Z5:Z6"/>
    <mergeCell ref="T3:Z3"/>
    <mergeCell ref="R2:S2"/>
    <mergeCell ref="O2:Q2"/>
    <mergeCell ref="Y4:AB4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K135"/>
  <sheetViews>
    <sheetView zoomScale="140" zoomScaleNormal="14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F23" sqref="F23"/>
    </sheetView>
  </sheetViews>
  <sheetFormatPr defaultColWidth="9.140625" defaultRowHeight="11.25" x14ac:dyDescent="0.2"/>
  <cols>
    <col min="1" max="1" width="9.42578125" style="1337" customWidth="1"/>
    <col min="2" max="2" width="9.42578125" style="1703" customWidth="1"/>
    <col min="3" max="3" width="19.5703125" style="32" customWidth="1"/>
    <col min="4" max="4" width="20.7109375" style="32" customWidth="1"/>
    <col min="5" max="5" width="23.85546875" style="32" customWidth="1"/>
    <col min="6" max="6" width="10" style="32" customWidth="1"/>
    <col min="7" max="7" width="10" style="32" bestFit="1" customWidth="1"/>
    <col min="8" max="11" width="9.140625" style="32"/>
    <col min="12" max="12" width="11.28515625" style="32" customWidth="1"/>
    <col min="13" max="13" width="8.7109375" style="32" customWidth="1"/>
    <col min="14" max="16" width="9.140625" style="32"/>
    <col min="17" max="17" width="11.85546875" style="32" customWidth="1"/>
    <col min="18" max="16384" width="9.140625" style="32"/>
  </cols>
  <sheetData>
    <row r="1" spans="1:9" s="117" customFormat="1" ht="39" customHeight="1" x14ac:dyDescent="0.25">
      <c r="A1" s="2869" t="s">
        <v>1260</v>
      </c>
      <c r="B1" s="2869"/>
      <c r="C1" s="2869"/>
      <c r="D1" s="2869"/>
      <c r="E1" s="118" t="s">
        <v>365</v>
      </c>
      <c r="F1" s="1336"/>
      <c r="G1" s="1336"/>
      <c r="H1" s="1336"/>
    </row>
    <row r="2" spans="1:9" s="119" customFormat="1" ht="12" customHeight="1" x14ac:dyDescent="0.2">
      <c r="A2" s="2870" t="s">
        <v>474</v>
      </c>
      <c r="B2" s="2870" t="s">
        <v>3067</v>
      </c>
      <c r="C2" s="2677" t="s">
        <v>60</v>
      </c>
      <c r="D2" s="2677" t="s">
        <v>61</v>
      </c>
      <c r="E2" s="2677"/>
    </row>
    <row r="3" spans="1:9" s="119" customFormat="1" ht="12.75" customHeight="1" x14ac:dyDescent="0.2">
      <c r="A3" s="2870"/>
      <c r="B3" s="2870"/>
      <c r="C3" s="2677"/>
      <c r="D3" s="1731" t="s">
        <v>1107</v>
      </c>
      <c r="E3" s="1731" t="s">
        <v>1511</v>
      </c>
    </row>
    <row r="4" spans="1:9" s="119" customFormat="1" ht="12.75" customHeight="1" x14ac:dyDescent="0.2">
      <c r="A4" s="1740"/>
      <c r="B4" s="1740"/>
      <c r="C4" s="1731">
        <v>1</v>
      </c>
      <c r="D4" s="1731">
        <v>2</v>
      </c>
      <c r="E4" s="1731">
        <v>3</v>
      </c>
    </row>
    <row r="5" spans="1:9" ht="12" customHeight="1" x14ac:dyDescent="0.2">
      <c r="A5" s="298" t="s">
        <v>81</v>
      </c>
      <c r="B5" s="298"/>
      <c r="C5" s="302">
        <v>427180</v>
      </c>
      <c r="D5" s="279">
        <v>10987.4</v>
      </c>
      <c r="E5" s="281">
        <v>76010.833200000008</v>
      </c>
      <c r="F5" s="573"/>
      <c r="G5" s="573"/>
    </row>
    <row r="6" spans="1:9" s="195" customFormat="1" ht="12" customHeight="1" x14ac:dyDescent="0.2">
      <c r="A6" s="325" t="s">
        <v>189</v>
      </c>
      <c r="B6" s="325"/>
      <c r="C6" s="457">
        <v>439375</v>
      </c>
      <c r="D6" s="24">
        <v>11650.32</v>
      </c>
      <c r="E6" s="25">
        <v>83008.885067382464</v>
      </c>
      <c r="F6" s="574"/>
      <c r="G6" s="574"/>
    </row>
    <row r="7" spans="1:9" s="195" customFormat="1" ht="12" customHeight="1" x14ac:dyDescent="0.2">
      <c r="A7" s="298" t="s">
        <v>696</v>
      </c>
      <c r="B7" s="298"/>
      <c r="C7" s="302">
        <v>691402</v>
      </c>
      <c r="D7" s="279">
        <v>12843.429999999998</v>
      </c>
      <c r="E7" s="281">
        <v>101591.53129999999</v>
      </c>
      <c r="F7" s="574"/>
      <c r="G7" s="573"/>
    </row>
    <row r="8" spans="1:9" s="195" customFormat="1" ht="12" customHeight="1" x14ac:dyDescent="0.2">
      <c r="A8" s="325" t="s">
        <v>804</v>
      </c>
      <c r="B8" s="325"/>
      <c r="C8" s="457">
        <v>441301</v>
      </c>
      <c r="D8" s="24">
        <v>14461.15</v>
      </c>
      <c r="E8" s="25">
        <v>115646.15801927802</v>
      </c>
      <c r="F8" s="574"/>
      <c r="G8" s="574"/>
    </row>
    <row r="9" spans="1:9" s="195" customFormat="1" ht="12" customHeight="1" x14ac:dyDescent="0.2">
      <c r="A9" s="298" t="s">
        <v>978</v>
      </c>
      <c r="B9" s="298"/>
      <c r="C9" s="282">
        <v>408870</v>
      </c>
      <c r="D9" s="281">
        <v>14228.3</v>
      </c>
      <c r="E9" s="281">
        <v>110582.38341698999</v>
      </c>
      <c r="F9" s="574"/>
      <c r="G9" s="573"/>
    </row>
    <row r="10" spans="1:9" s="195" customFormat="1" ht="12" customHeight="1" x14ac:dyDescent="0.2">
      <c r="A10" s="325" t="s">
        <v>1029</v>
      </c>
      <c r="B10" s="325"/>
      <c r="C10" s="644">
        <v>461829</v>
      </c>
      <c r="D10" s="644">
        <v>15316.91</v>
      </c>
      <c r="E10" s="645">
        <v>118982.31547276099</v>
      </c>
      <c r="F10" s="574"/>
      <c r="G10" s="574"/>
    </row>
    <row r="11" spans="1:9" s="195" customFormat="1" ht="12" customHeight="1" x14ac:dyDescent="0.2">
      <c r="A11" s="527" t="s">
        <v>1150</v>
      </c>
      <c r="B11" s="527"/>
      <c r="C11" s="528">
        <v>684537</v>
      </c>
      <c r="D11" s="702">
        <v>14931.18</v>
      </c>
      <c r="E11" s="702">
        <v>116856.72088078099</v>
      </c>
      <c r="F11" s="574"/>
      <c r="G11" s="573"/>
    </row>
    <row r="12" spans="1:9" s="195" customFormat="1" ht="12" customHeight="1" x14ac:dyDescent="0.2">
      <c r="A12" s="491" t="s">
        <v>1185</v>
      </c>
      <c r="B12" s="491"/>
      <c r="C12" s="789">
        <v>905326</v>
      </c>
      <c r="D12" s="790">
        <v>12769.45</v>
      </c>
      <c r="E12" s="790">
        <v>101098.96241416999</v>
      </c>
      <c r="F12" s="574"/>
      <c r="G12" s="574"/>
    </row>
    <row r="13" spans="1:9" s="195" customFormat="1" ht="12" customHeight="1" x14ac:dyDescent="0.2">
      <c r="A13" s="527" t="s">
        <v>1296</v>
      </c>
      <c r="B13" s="527"/>
      <c r="C13" s="528">
        <v>880037</v>
      </c>
      <c r="D13" s="702">
        <v>14981.689999999999</v>
      </c>
      <c r="E13" s="702">
        <v>123156.004940445</v>
      </c>
      <c r="F13" s="574"/>
      <c r="G13" s="574"/>
    </row>
    <row r="14" spans="1:9" s="195" customFormat="1" ht="12" customHeight="1" x14ac:dyDescent="0.2">
      <c r="A14" s="491" t="s">
        <v>1404</v>
      </c>
      <c r="B14" s="491"/>
      <c r="C14" s="789">
        <v>692978</v>
      </c>
      <c r="D14" s="790">
        <v>16419.63</v>
      </c>
      <c r="E14" s="790">
        <v>138006.57168470003</v>
      </c>
      <c r="F14" s="574"/>
      <c r="G14" s="574"/>
    </row>
    <row r="15" spans="1:9" s="195" customFormat="1" ht="12" customHeight="1" x14ac:dyDescent="0.2">
      <c r="A15" s="527" t="s">
        <v>1484</v>
      </c>
      <c r="B15" s="527"/>
      <c r="C15" s="528">
        <v>530578</v>
      </c>
      <c r="D15" s="702">
        <v>18205.010000000002</v>
      </c>
      <c r="E15" s="702">
        <v>154353.0611469</v>
      </c>
    </row>
    <row r="16" spans="1:9" s="195" customFormat="1" ht="12" customHeight="1" x14ac:dyDescent="0.2">
      <c r="A16" s="491" t="s">
        <v>1536</v>
      </c>
      <c r="B16" s="491"/>
      <c r="C16" s="789">
        <v>280258</v>
      </c>
      <c r="D16" s="237">
        <v>24777.71</v>
      </c>
      <c r="E16" s="237">
        <v>210130.60146709997</v>
      </c>
      <c r="F16" s="694"/>
      <c r="G16" s="574"/>
      <c r="H16" s="574"/>
      <c r="I16" s="574"/>
    </row>
    <row r="17" spans="1:9" s="195" customFormat="1" ht="12" customHeight="1" x14ac:dyDescent="0.2">
      <c r="A17" s="527" t="s">
        <v>1817</v>
      </c>
      <c r="B17" s="527"/>
      <c r="C17" s="528">
        <v>988910</v>
      </c>
      <c r="D17" s="276">
        <v>21031.68</v>
      </c>
      <c r="E17" s="276">
        <v>181580.54109750001</v>
      </c>
      <c r="F17" s="694"/>
      <c r="G17" s="574"/>
      <c r="H17" s="574"/>
      <c r="I17" s="574"/>
    </row>
    <row r="18" spans="1:9" s="195" customFormat="1" ht="12" customHeight="1" x14ac:dyDescent="0.2">
      <c r="A18" s="513" t="s">
        <v>2066</v>
      </c>
      <c r="B18" s="513"/>
      <c r="C18" s="1177">
        <v>1137931</v>
      </c>
      <c r="D18" s="322">
        <v>21610.730000000003</v>
      </c>
      <c r="E18" s="322">
        <v>215073.6115537</v>
      </c>
      <c r="F18" s="694"/>
      <c r="G18" s="574"/>
      <c r="H18" s="574"/>
      <c r="I18" s="574"/>
    </row>
    <row r="19" spans="1:9" s="195" customFormat="1" ht="12" customHeight="1" x14ac:dyDescent="0.2">
      <c r="A19" s="559" t="s">
        <v>2206</v>
      </c>
      <c r="B19" s="559"/>
      <c r="C19" s="1285">
        <f>SUM(C96:C107)</f>
        <v>1197128</v>
      </c>
      <c r="D19" s="1286">
        <f>SUM(D96:D107)</f>
        <v>23912.22</v>
      </c>
      <c r="E19" s="1286">
        <f>SUM(E96:E107)</f>
        <v>266162.18222732999</v>
      </c>
      <c r="F19" s="1126"/>
      <c r="G19" s="574"/>
      <c r="H19" s="574"/>
      <c r="I19" s="574"/>
    </row>
    <row r="20" spans="1:9" s="195" customFormat="1" ht="12" customHeight="1" x14ac:dyDescent="0.2">
      <c r="A20" s="513" t="s">
        <v>2479</v>
      </c>
      <c r="B20" s="513"/>
      <c r="C20" s="1177">
        <f>SUM(C108:C119)</f>
        <v>1015675</v>
      </c>
      <c r="D20" s="322">
        <f>SUM(D108:D119)</f>
        <v>30328.799999999999</v>
      </c>
      <c r="E20" s="322">
        <f>SUM(E108:E119)</f>
        <v>366907.3267414</v>
      </c>
      <c r="F20" s="1126"/>
      <c r="G20" s="574"/>
      <c r="H20" s="574"/>
      <c r="I20" s="574"/>
    </row>
    <row r="21" spans="1:9" s="195" customFormat="1" ht="12" customHeight="1" x14ac:dyDescent="0.2">
      <c r="A21" s="559"/>
      <c r="B21" s="559"/>
      <c r="C21" s="1285"/>
      <c r="D21" s="1286"/>
      <c r="E21" s="1286"/>
      <c r="F21" s="1126"/>
      <c r="G21" s="574"/>
      <c r="H21" s="574"/>
      <c r="I21" s="574"/>
    </row>
    <row r="22" spans="1:9" s="195" customFormat="1" ht="12" customHeight="1" x14ac:dyDescent="0.2">
      <c r="A22" s="559"/>
      <c r="B22" s="559"/>
      <c r="C22" s="1285"/>
      <c r="D22" s="1286"/>
      <c r="E22" s="1286"/>
      <c r="F22" s="1126"/>
      <c r="G22" s="574"/>
      <c r="H22" s="574"/>
      <c r="I22" s="574"/>
    </row>
    <row r="23" spans="1:9" s="195" customFormat="1" ht="12" customHeight="1" x14ac:dyDescent="0.2">
      <c r="A23" s="559"/>
      <c r="B23" s="559"/>
      <c r="C23" s="1285"/>
      <c r="D23" s="1286"/>
      <c r="E23" s="1286"/>
      <c r="F23" s="1126"/>
      <c r="G23" s="574"/>
      <c r="H23" s="574"/>
      <c r="I23" s="574"/>
    </row>
    <row r="24" spans="1:9" s="195" customFormat="1" ht="12" customHeight="1" x14ac:dyDescent="0.2">
      <c r="A24" s="559"/>
      <c r="B24" s="559"/>
      <c r="C24" s="1285"/>
      <c r="D24" s="1286"/>
      <c r="E24" s="1286"/>
      <c r="F24" s="1126"/>
      <c r="G24" s="574"/>
      <c r="H24" s="574"/>
      <c r="I24" s="574"/>
    </row>
    <row r="25" spans="1:9" s="195" customFormat="1" ht="12" customHeight="1" x14ac:dyDescent="0.2">
      <c r="A25" s="559"/>
      <c r="B25" s="559"/>
      <c r="C25" s="1285"/>
      <c r="D25" s="1286"/>
      <c r="E25" s="1286"/>
      <c r="F25" s="1126"/>
      <c r="G25" s="574"/>
      <c r="H25" s="574"/>
      <c r="I25" s="574"/>
    </row>
    <row r="26" spans="1:9" s="195" customFormat="1" ht="12" customHeight="1" x14ac:dyDescent="0.2">
      <c r="A26" s="559"/>
      <c r="B26" s="559"/>
      <c r="C26" s="1285"/>
      <c r="D26" s="1286"/>
      <c r="E26" s="1286"/>
      <c r="F26" s="1126"/>
      <c r="G26" s="574"/>
      <c r="H26" s="574"/>
      <c r="I26" s="574"/>
    </row>
    <row r="27" spans="1:9" s="195" customFormat="1" ht="12" customHeight="1" x14ac:dyDescent="0.2">
      <c r="A27" s="559"/>
      <c r="B27" s="559"/>
      <c r="C27" s="1285"/>
      <c r="D27" s="1286"/>
      <c r="E27" s="1286"/>
      <c r="F27" s="1126"/>
      <c r="G27" s="574"/>
      <c r="H27" s="574"/>
      <c r="I27" s="574"/>
    </row>
    <row r="28" spans="1:9" s="195" customFormat="1" ht="12" customHeight="1" x14ac:dyDescent="0.2">
      <c r="A28" s="559"/>
      <c r="B28" s="559"/>
      <c r="C28" s="1285"/>
      <c r="D28" s="1286"/>
      <c r="E28" s="1286"/>
      <c r="F28" s="1126"/>
      <c r="G28" s="574"/>
      <c r="H28" s="574"/>
      <c r="I28" s="574"/>
    </row>
    <row r="29" spans="1:9" s="195" customFormat="1" ht="12" customHeight="1" x14ac:dyDescent="0.2">
      <c r="A29" s="559"/>
      <c r="B29" s="559"/>
      <c r="C29" s="1285"/>
      <c r="D29" s="1286"/>
      <c r="E29" s="1286"/>
      <c r="F29" s="1126"/>
      <c r="G29" s="574"/>
      <c r="H29" s="574"/>
      <c r="I29" s="574"/>
    </row>
    <row r="30" spans="1:9" s="195" customFormat="1" ht="12" customHeight="1" x14ac:dyDescent="0.2">
      <c r="A30" s="559"/>
      <c r="B30" s="559"/>
      <c r="C30" s="1285"/>
      <c r="D30" s="1286"/>
      <c r="E30" s="1286"/>
      <c r="F30" s="1126"/>
      <c r="G30" s="574"/>
      <c r="H30" s="574"/>
      <c r="I30" s="574"/>
    </row>
    <row r="31" spans="1:9" s="195" customFormat="1" ht="12" customHeight="1" x14ac:dyDescent="0.2">
      <c r="A31" s="559"/>
      <c r="B31" s="559"/>
      <c r="C31" s="1285"/>
      <c r="D31" s="1286"/>
      <c r="E31" s="1286"/>
      <c r="F31" s="1126"/>
      <c r="G31" s="574"/>
      <c r="H31" s="574"/>
      <c r="I31" s="574"/>
    </row>
    <row r="32" spans="1:9" s="195" customFormat="1" ht="12" customHeight="1" x14ac:dyDescent="0.2">
      <c r="A32" s="559"/>
      <c r="B32" s="559"/>
      <c r="C32" s="1285"/>
      <c r="D32" s="1286"/>
      <c r="E32" s="1286"/>
      <c r="F32" s="1126"/>
      <c r="G32" s="574"/>
      <c r="H32" s="574"/>
      <c r="I32" s="574"/>
    </row>
    <row r="33" spans="1:9" s="195" customFormat="1" ht="12" customHeight="1" x14ac:dyDescent="0.2">
      <c r="A33" s="559"/>
      <c r="B33" s="559"/>
      <c r="C33" s="1285"/>
      <c r="D33" s="1286"/>
      <c r="E33" s="1286"/>
      <c r="F33" s="1126"/>
      <c r="G33" s="574"/>
      <c r="H33" s="574"/>
      <c r="I33" s="574"/>
    </row>
    <row r="34" spans="1:9" s="195" customFormat="1" ht="12" customHeight="1" x14ac:dyDescent="0.2">
      <c r="A34" s="559"/>
      <c r="B34" s="559"/>
      <c r="C34" s="1285"/>
      <c r="D34" s="1286"/>
      <c r="E34" s="1286"/>
      <c r="F34" s="1126"/>
      <c r="G34" s="574"/>
      <c r="H34" s="574"/>
      <c r="I34" s="574"/>
    </row>
    <row r="35" spans="1:9" s="195" customFormat="1" ht="12" customHeight="1" x14ac:dyDescent="0.2">
      <c r="A35" s="559"/>
      <c r="B35" s="559"/>
      <c r="C35" s="1285"/>
      <c r="D35" s="1286"/>
      <c r="E35" s="1286"/>
      <c r="F35" s="1126"/>
      <c r="G35" s="574"/>
      <c r="H35" s="574"/>
      <c r="I35" s="574"/>
    </row>
    <row r="36" spans="1:9" s="195" customFormat="1" ht="12" customHeight="1" x14ac:dyDescent="0.2">
      <c r="A36" s="559"/>
      <c r="B36" s="559"/>
      <c r="C36" s="1285"/>
      <c r="D36" s="1286"/>
      <c r="E36" s="1286"/>
      <c r="F36" s="1126"/>
      <c r="G36" s="574"/>
      <c r="H36" s="574"/>
      <c r="I36" s="574"/>
    </row>
    <row r="37" spans="1:9" s="195" customFormat="1" ht="12" customHeight="1" x14ac:dyDescent="0.2">
      <c r="A37" s="559"/>
      <c r="B37" s="559"/>
      <c r="C37" s="1285"/>
      <c r="D37" s="1286"/>
      <c r="E37" s="1286"/>
      <c r="F37" s="1126"/>
      <c r="G37" s="574"/>
      <c r="H37" s="574"/>
      <c r="I37" s="574"/>
    </row>
    <row r="38" spans="1:9" s="195" customFormat="1" ht="12" customHeight="1" x14ac:dyDescent="0.2">
      <c r="A38" s="559"/>
      <c r="B38" s="559"/>
      <c r="C38" s="1285"/>
      <c r="D38" s="1286"/>
      <c r="E38" s="1286"/>
      <c r="F38" s="1126"/>
      <c r="G38" s="574"/>
      <c r="H38" s="574"/>
      <c r="I38" s="574"/>
    </row>
    <row r="39" spans="1:9" s="195" customFormat="1" ht="12" customHeight="1" x14ac:dyDescent="0.2">
      <c r="A39" s="559"/>
      <c r="B39" s="559"/>
      <c r="C39" s="1285"/>
      <c r="D39" s="1286"/>
      <c r="E39" s="1286"/>
      <c r="F39" s="1126"/>
      <c r="G39" s="574"/>
      <c r="H39" s="574"/>
      <c r="I39" s="574"/>
    </row>
    <row r="40" spans="1:9" s="195" customFormat="1" ht="12" customHeight="1" x14ac:dyDescent="0.2">
      <c r="A40" s="559"/>
      <c r="B40" s="559"/>
      <c r="C40" s="1285"/>
      <c r="D40" s="1286"/>
      <c r="E40" s="1286"/>
      <c r="F40" s="1126"/>
      <c r="G40" s="574"/>
      <c r="H40" s="574"/>
      <c r="I40" s="574"/>
    </row>
    <row r="41" spans="1:9" s="195" customFormat="1" ht="12" customHeight="1" x14ac:dyDescent="0.2">
      <c r="A41" s="559"/>
      <c r="B41" s="559"/>
      <c r="C41" s="1285"/>
      <c r="D41" s="1286"/>
      <c r="E41" s="1286"/>
      <c r="F41" s="1126"/>
      <c r="G41" s="574"/>
      <c r="H41" s="574"/>
      <c r="I41" s="574"/>
    </row>
    <row r="42" spans="1:9" s="195" customFormat="1" ht="12" customHeight="1" x14ac:dyDescent="0.2">
      <c r="A42" s="559"/>
      <c r="B42" s="559"/>
      <c r="C42" s="1285"/>
      <c r="D42" s="1286"/>
      <c r="E42" s="1286"/>
      <c r="F42" s="1126"/>
      <c r="G42" s="574"/>
      <c r="H42" s="574"/>
      <c r="I42" s="574"/>
    </row>
    <row r="43" spans="1:9" s="195" customFormat="1" ht="12" customHeight="1" x14ac:dyDescent="0.2">
      <c r="A43" s="559"/>
      <c r="B43" s="559"/>
      <c r="C43" s="1285"/>
      <c r="D43" s="1286"/>
      <c r="E43" s="1286"/>
      <c r="F43" s="1126"/>
      <c r="G43" s="574"/>
      <c r="H43" s="574"/>
      <c r="I43" s="574"/>
    </row>
    <row r="44" spans="1:9" s="195" customFormat="1" ht="12" customHeight="1" x14ac:dyDescent="0.2">
      <c r="A44" s="559"/>
      <c r="B44" s="559"/>
      <c r="C44" s="1285"/>
      <c r="D44" s="1286"/>
      <c r="E44" s="1286"/>
      <c r="F44" s="1126"/>
      <c r="G44" s="574"/>
      <c r="H44" s="574"/>
      <c r="I44" s="574"/>
    </row>
    <row r="45" spans="1:9" s="195" customFormat="1" ht="12" customHeight="1" x14ac:dyDescent="0.2">
      <c r="A45" s="559"/>
      <c r="B45" s="559"/>
      <c r="C45" s="1285"/>
      <c r="D45" s="1286"/>
      <c r="E45" s="1286"/>
      <c r="F45" s="1126"/>
      <c r="G45" s="574"/>
      <c r="H45" s="574"/>
      <c r="I45" s="574"/>
    </row>
    <row r="46" spans="1:9" s="195" customFormat="1" ht="12" customHeight="1" x14ac:dyDescent="0.2">
      <c r="A46" s="559"/>
      <c r="B46" s="559"/>
      <c r="C46" s="1285"/>
      <c r="D46" s="1286"/>
      <c r="E46" s="1286"/>
      <c r="F46" s="1126"/>
      <c r="G46" s="574"/>
      <c r="H46" s="574"/>
      <c r="I46" s="574"/>
    </row>
    <row r="47" spans="1:9" s="195" customFormat="1" ht="12" customHeight="1" x14ac:dyDescent="0.2">
      <c r="A47" s="559"/>
      <c r="B47" s="559"/>
      <c r="C47" s="1285"/>
      <c r="D47" s="1286"/>
      <c r="E47" s="1286"/>
      <c r="F47" s="1126"/>
      <c r="G47" s="574"/>
      <c r="H47" s="574"/>
      <c r="I47" s="574"/>
    </row>
    <row r="48" spans="1:9" s="195" customFormat="1" ht="12" customHeight="1" x14ac:dyDescent="0.2">
      <c r="A48" s="559"/>
      <c r="B48" s="559"/>
      <c r="C48" s="1285"/>
      <c r="D48" s="1286"/>
      <c r="E48" s="1286"/>
      <c r="F48" s="1126"/>
      <c r="G48" s="574"/>
      <c r="H48" s="574"/>
      <c r="I48" s="574"/>
    </row>
    <row r="49" spans="1:9" s="195" customFormat="1" ht="12" customHeight="1" x14ac:dyDescent="0.2">
      <c r="A49" s="559"/>
      <c r="B49" s="559"/>
      <c r="C49" s="1285"/>
      <c r="D49" s="1286"/>
      <c r="E49" s="1286"/>
      <c r="F49" s="1126"/>
      <c r="G49" s="574"/>
      <c r="H49" s="574"/>
      <c r="I49" s="574"/>
    </row>
    <row r="50" spans="1:9" s="195" customFormat="1" ht="12" customHeight="1" x14ac:dyDescent="0.2">
      <c r="A50" s="559"/>
      <c r="B50" s="559"/>
      <c r="C50" s="1285"/>
      <c r="D50" s="1286"/>
      <c r="E50" s="1286"/>
      <c r="F50" s="1126"/>
      <c r="G50" s="574"/>
      <c r="H50" s="574"/>
      <c r="I50" s="574"/>
    </row>
    <row r="51" spans="1:9" s="195" customFormat="1" ht="12" customHeight="1" x14ac:dyDescent="0.2">
      <c r="A51" s="559"/>
      <c r="B51" s="559"/>
      <c r="C51" s="1285"/>
      <c r="D51" s="1286"/>
      <c r="E51" s="1286"/>
      <c r="F51" s="1126"/>
      <c r="G51" s="574"/>
      <c r="H51" s="574"/>
      <c r="I51" s="574"/>
    </row>
    <row r="52" spans="1:9" s="195" customFormat="1" ht="12" customHeight="1" x14ac:dyDescent="0.2">
      <c r="A52" s="559"/>
      <c r="B52" s="559"/>
      <c r="C52" s="1285"/>
      <c r="D52" s="1286"/>
      <c r="E52" s="1286"/>
      <c r="F52" s="1126"/>
      <c r="G52" s="574"/>
      <c r="H52" s="574"/>
      <c r="I52" s="574"/>
    </row>
    <row r="53" spans="1:9" s="195" customFormat="1" ht="12" customHeight="1" x14ac:dyDescent="0.2">
      <c r="A53" s="559"/>
      <c r="B53" s="559"/>
      <c r="C53" s="1285"/>
      <c r="D53" s="1286"/>
      <c r="E53" s="1286"/>
      <c r="F53" s="1126"/>
      <c r="G53" s="574"/>
      <c r="H53" s="574"/>
      <c r="I53" s="574"/>
    </row>
    <row r="54" spans="1:9" s="195" customFormat="1" ht="12" customHeight="1" x14ac:dyDescent="0.2">
      <c r="A54" s="559"/>
      <c r="B54" s="559"/>
      <c r="C54" s="1285"/>
      <c r="D54" s="1286"/>
      <c r="E54" s="1286"/>
      <c r="F54" s="1126"/>
      <c r="G54" s="574"/>
      <c r="H54" s="574"/>
      <c r="I54" s="574"/>
    </row>
    <row r="55" spans="1:9" s="195" customFormat="1" ht="12" customHeight="1" x14ac:dyDescent="0.2">
      <c r="A55" s="559"/>
      <c r="B55" s="559"/>
      <c r="C55" s="1285"/>
      <c r="D55" s="1286"/>
      <c r="E55" s="1286"/>
      <c r="F55" s="1126"/>
      <c r="G55" s="574"/>
      <c r="H55" s="574"/>
      <c r="I55" s="574"/>
    </row>
    <row r="56" spans="1:9" s="195" customFormat="1" ht="12" customHeight="1" x14ac:dyDescent="0.2">
      <c r="A56" s="559"/>
      <c r="B56" s="559"/>
      <c r="C56" s="1285"/>
      <c r="D56" s="1286"/>
      <c r="E56" s="1286"/>
      <c r="F56" s="1126"/>
      <c r="G56" s="574"/>
      <c r="H56" s="574"/>
      <c r="I56" s="574"/>
    </row>
    <row r="57" spans="1:9" s="195" customFormat="1" ht="12" customHeight="1" x14ac:dyDescent="0.2">
      <c r="A57" s="559"/>
      <c r="B57" s="559"/>
      <c r="C57" s="1285"/>
      <c r="D57" s="1286"/>
      <c r="E57" s="1286"/>
      <c r="F57" s="1126"/>
      <c r="G57" s="574"/>
      <c r="H57" s="574"/>
      <c r="I57" s="574"/>
    </row>
    <row r="58" spans="1:9" s="195" customFormat="1" ht="12" customHeight="1" x14ac:dyDescent="0.2">
      <c r="A58" s="559"/>
      <c r="B58" s="559"/>
      <c r="C58" s="1285"/>
      <c r="D58" s="1286"/>
      <c r="E58" s="1286"/>
      <c r="F58" s="1126"/>
      <c r="G58" s="574"/>
      <c r="H58" s="574"/>
      <c r="I58" s="574"/>
    </row>
    <row r="59" spans="1:9" s="195" customFormat="1" ht="12" customHeight="1" x14ac:dyDescent="0.2">
      <c r="A59" s="559"/>
      <c r="B59" s="559"/>
      <c r="C59" s="1285"/>
      <c r="D59" s="1286"/>
      <c r="E59" s="1286"/>
      <c r="F59" s="1126"/>
      <c r="G59" s="574"/>
      <c r="H59" s="574"/>
      <c r="I59" s="574"/>
    </row>
    <row r="60" spans="1:9" s="195" customFormat="1" ht="12" customHeight="1" x14ac:dyDescent="0.2">
      <c r="A60" s="559"/>
      <c r="B60" s="559"/>
      <c r="C60" s="1285"/>
      <c r="D60" s="1286"/>
      <c r="E60" s="1286"/>
      <c r="F60" s="1126"/>
      <c r="G60" s="574"/>
      <c r="H60" s="574"/>
      <c r="I60" s="574"/>
    </row>
    <row r="61" spans="1:9" s="195" customFormat="1" ht="12" customHeight="1" x14ac:dyDescent="0.2">
      <c r="A61" s="559"/>
      <c r="B61" s="559"/>
      <c r="C61" s="1285"/>
      <c r="D61" s="1286"/>
      <c r="E61" s="1286"/>
      <c r="F61" s="1126"/>
      <c r="G61" s="574"/>
      <c r="H61" s="574"/>
      <c r="I61" s="574"/>
    </row>
    <row r="62" spans="1:9" s="195" customFormat="1" ht="12" customHeight="1" x14ac:dyDescent="0.2">
      <c r="A62" s="559"/>
      <c r="B62" s="559"/>
      <c r="C62" s="1285"/>
      <c r="D62" s="1286"/>
      <c r="E62" s="1286"/>
      <c r="F62" s="1126"/>
      <c r="G62" s="574"/>
      <c r="H62" s="574"/>
      <c r="I62" s="574"/>
    </row>
    <row r="63" spans="1:9" s="195" customFormat="1" ht="12" customHeight="1" x14ac:dyDescent="0.2">
      <c r="A63" s="559"/>
      <c r="B63" s="559"/>
      <c r="C63" s="1285"/>
      <c r="D63" s="1286"/>
      <c r="E63" s="1286"/>
      <c r="F63" s="1126"/>
      <c r="G63" s="574"/>
      <c r="H63" s="574"/>
      <c r="I63" s="574"/>
    </row>
    <row r="64" spans="1:9" s="195" customFormat="1" ht="12" customHeight="1" x14ac:dyDescent="0.2">
      <c r="A64" s="559"/>
      <c r="B64" s="559"/>
      <c r="C64" s="1285"/>
      <c r="D64" s="1286"/>
      <c r="E64" s="1286"/>
      <c r="F64" s="1126"/>
      <c r="G64" s="574"/>
      <c r="H64" s="574"/>
      <c r="I64" s="574"/>
    </row>
    <row r="65" spans="1:9" s="195" customFormat="1" ht="12" customHeight="1" x14ac:dyDescent="0.2">
      <c r="A65" s="559"/>
      <c r="B65" s="559"/>
      <c r="C65" s="1285"/>
      <c r="D65" s="1286"/>
      <c r="E65" s="1286"/>
      <c r="F65" s="1126"/>
      <c r="G65" s="574"/>
      <c r="H65" s="574"/>
      <c r="I65" s="574"/>
    </row>
    <row r="66" spans="1:9" s="195" customFormat="1" ht="12" customHeight="1" x14ac:dyDescent="0.2">
      <c r="A66" s="559"/>
      <c r="B66" s="559"/>
      <c r="C66" s="1285"/>
      <c r="D66" s="1286"/>
      <c r="E66" s="1286"/>
      <c r="F66" s="1126"/>
      <c r="G66" s="574"/>
      <c r="H66" s="574"/>
      <c r="I66" s="574"/>
    </row>
    <row r="67" spans="1:9" s="195" customFormat="1" ht="12" customHeight="1" x14ac:dyDescent="0.2">
      <c r="A67" s="559"/>
      <c r="B67" s="559"/>
      <c r="C67" s="1285"/>
      <c r="D67" s="1286"/>
      <c r="E67" s="1286"/>
      <c r="F67" s="1126"/>
      <c r="G67" s="574"/>
      <c r="H67" s="574"/>
      <c r="I67" s="574"/>
    </row>
    <row r="68" spans="1:9" s="195" customFormat="1" ht="12" customHeight="1" x14ac:dyDescent="0.2">
      <c r="A68" s="559"/>
      <c r="B68" s="559"/>
      <c r="C68" s="1285"/>
      <c r="D68" s="1286"/>
      <c r="E68" s="1286"/>
      <c r="F68" s="1126"/>
      <c r="G68" s="574"/>
      <c r="H68" s="574"/>
      <c r="I68" s="574"/>
    </row>
    <row r="69" spans="1:9" s="195" customFormat="1" ht="12" customHeight="1" x14ac:dyDescent="0.2">
      <c r="A69" s="559"/>
      <c r="B69" s="559"/>
      <c r="C69" s="1285"/>
      <c r="D69" s="1286"/>
      <c r="E69" s="1286"/>
      <c r="F69" s="1126"/>
      <c r="G69" s="574"/>
      <c r="H69" s="574"/>
      <c r="I69" s="574"/>
    </row>
    <row r="70" spans="1:9" s="195" customFormat="1" ht="12" customHeight="1" x14ac:dyDescent="0.2">
      <c r="A70" s="559"/>
      <c r="B70" s="559"/>
      <c r="C70" s="1285"/>
      <c r="D70" s="1286"/>
      <c r="E70" s="1286"/>
      <c r="F70" s="1126"/>
      <c r="G70" s="574"/>
      <c r="H70" s="574"/>
      <c r="I70" s="574"/>
    </row>
    <row r="71" spans="1:9" s="195" customFormat="1" ht="12" customHeight="1" x14ac:dyDescent="0.2">
      <c r="A71" s="559"/>
      <c r="B71" s="559"/>
      <c r="C71" s="1285"/>
      <c r="D71" s="1286"/>
      <c r="E71" s="1286"/>
      <c r="F71" s="1126"/>
      <c r="G71" s="574"/>
      <c r="H71" s="574"/>
      <c r="I71" s="574"/>
    </row>
    <row r="72" spans="1:9" s="195" customFormat="1" ht="12" customHeight="1" x14ac:dyDescent="0.2">
      <c r="A72" s="559"/>
      <c r="B72" s="559"/>
      <c r="C72" s="1285"/>
      <c r="D72" s="1286"/>
      <c r="E72" s="1286"/>
      <c r="F72" s="1126"/>
      <c r="G72" s="574"/>
      <c r="H72" s="574"/>
      <c r="I72" s="574"/>
    </row>
    <row r="73" spans="1:9" s="195" customFormat="1" ht="12" customHeight="1" x14ac:dyDescent="0.2">
      <c r="A73" s="559"/>
      <c r="B73" s="559"/>
      <c r="C73" s="1285"/>
      <c r="D73" s="1286"/>
      <c r="E73" s="1286"/>
      <c r="F73" s="1126"/>
      <c r="G73" s="574"/>
      <c r="H73" s="574"/>
      <c r="I73" s="574"/>
    </row>
    <row r="74" spans="1:9" s="195" customFormat="1" ht="12" customHeight="1" x14ac:dyDescent="0.2">
      <c r="A74" s="559"/>
      <c r="B74" s="559"/>
      <c r="C74" s="1285"/>
      <c r="D74" s="1286"/>
      <c r="E74" s="1286"/>
      <c r="F74" s="1126"/>
      <c r="G74" s="574"/>
      <c r="H74" s="574"/>
      <c r="I74" s="574"/>
    </row>
    <row r="75" spans="1:9" s="195" customFormat="1" ht="12" customHeight="1" x14ac:dyDescent="0.2">
      <c r="A75" s="559"/>
      <c r="B75" s="559"/>
      <c r="C75" s="1285"/>
      <c r="D75" s="1286"/>
      <c r="E75" s="1286"/>
      <c r="F75" s="1126"/>
      <c r="G75" s="574"/>
      <c r="H75" s="574"/>
      <c r="I75" s="574"/>
    </row>
    <row r="76" spans="1:9" s="195" customFormat="1" ht="12" customHeight="1" x14ac:dyDescent="0.2">
      <c r="A76" s="559"/>
      <c r="B76" s="559"/>
      <c r="C76" s="1285"/>
      <c r="D76" s="1286"/>
      <c r="E76" s="1286"/>
      <c r="F76" s="1126"/>
      <c r="G76" s="574"/>
      <c r="H76" s="574"/>
      <c r="I76" s="574"/>
    </row>
    <row r="77" spans="1:9" s="195" customFormat="1" ht="12" customHeight="1" x14ac:dyDescent="0.2">
      <c r="A77" s="559"/>
      <c r="B77" s="559"/>
      <c r="C77" s="1285"/>
      <c r="D77" s="1286"/>
      <c r="E77" s="1286"/>
      <c r="F77" s="1126"/>
      <c r="G77" s="574"/>
      <c r="H77" s="574"/>
      <c r="I77" s="574"/>
    </row>
    <row r="78" spans="1:9" s="195" customFormat="1" ht="12" customHeight="1" x14ac:dyDescent="0.2">
      <c r="A78" s="559"/>
      <c r="B78" s="559"/>
      <c r="C78" s="1285"/>
      <c r="D78" s="1286"/>
      <c r="E78" s="1286"/>
      <c r="F78" s="1126"/>
      <c r="G78" s="574"/>
      <c r="H78" s="574"/>
      <c r="I78" s="574"/>
    </row>
    <row r="79" spans="1:9" s="195" customFormat="1" ht="12" customHeight="1" x14ac:dyDescent="0.2">
      <c r="A79" s="559"/>
      <c r="B79" s="559"/>
      <c r="C79" s="1285"/>
      <c r="D79" s="1286"/>
      <c r="E79" s="1286"/>
      <c r="F79" s="1126"/>
      <c r="G79" s="574"/>
      <c r="H79" s="574"/>
      <c r="I79" s="574"/>
    </row>
    <row r="80" spans="1:9" s="195" customFormat="1" ht="12" customHeight="1" x14ac:dyDescent="0.2">
      <c r="A80" s="559"/>
      <c r="B80" s="559"/>
      <c r="C80" s="1285"/>
      <c r="D80" s="1286"/>
      <c r="E80" s="1286"/>
      <c r="F80" s="1126"/>
      <c r="G80" s="574"/>
      <c r="H80" s="574"/>
      <c r="I80" s="574"/>
    </row>
    <row r="81" spans="1:9" s="195" customFormat="1" ht="12" customHeight="1" x14ac:dyDescent="0.2">
      <c r="A81" s="559"/>
      <c r="B81" s="559"/>
      <c r="C81" s="1285"/>
      <c r="D81" s="1286"/>
      <c r="E81" s="1286"/>
      <c r="F81" s="1126"/>
      <c r="G81" s="574"/>
      <c r="H81" s="574"/>
      <c r="I81" s="574"/>
    </row>
    <row r="82" spans="1:9" s="195" customFormat="1" ht="12" customHeight="1" x14ac:dyDescent="0.2">
      <c r="A82" s="559"/>
      <c r="B82" s="559"/>
      <c r="C82" s="1285"/>
      <c r="D82" s="1286"/>
      <c r="E82" s="1286"/>
      <c r="F82" s="1126"/>
      <c r="G82" s="574"/>
      <c r="H82" s="574"/>
      <c r="I82" s="574"/>
    </row>
    <row r="83" spans="1:9" s="195" customFormat="1" ht="12" customHeight="1" x14ac:dyDescent="0.2">
      <c r="A83" s="559"/>
      <c r="B83" s="559"/>
      <c r="C83" s="1285"/>
      <c r="D83" s="1286"/>
      <c r="E83" s="1286"/>
      <c r="F83" s="1126"/>
      <c r="G83" s="574"/>
      <c r="H83" s="574"/>
      <c r="I83" s="574"/>
    </row>
    <row r="84" spans="1:9" s="195" customFormat="1" ht="12" customHeight="1" x14ac:dyDescent="0.2">
      <c r="A84" s="559"/>
      <c r="B84" s="559"/>
      <c r="C84" s="1285"/>
      <c r="D84" s="1286"/>
      <c r="E84" s="1286"/>
      <c r="F84" s="1126"/>
      <c r="G84" s="574"/>
      <c r="H84" s="574"/>
      <c r="I84" s="574"/>
    </row>
    <row r="85" spans="1:9" s="195" customFormat="1" ht="12" customHeight="1" x14ac:dyDescent="0.2">
      <c r="A85" s="559"/>
      <c r="B85" s="559"/>
      <c r="C85" s="1285"/>
      <c r="D85" s="1286"/>
      <c r="E85" s="1286"/>
      <c r="F85" s="1126"/>
      <c r="G85" s="574"/>
      <c r="H85" s="574"/>
      <c r="I85" s="574"/>
    </row>
    <row r="86" spans="1:9" s="195" customFormat="1" ht="12" customHeight="1" x14ac:dyDescent="0.2">
      <c r="A86" s="559"/>
      <c r="B86" s="559"/>
      <c r="C86" s="1285"/>
      <c r="D86" s="1286"/>
      <c r="E86" s="1286"/>
      <c r="F86" s="1126"/>
      <c r="G86" s="574"/>
      <c r="H86" s="574"/>
      <c r="I86" s="574"/>
    </row>
    <row r="87" spans="1:9" s="195" customFormat="1" ht="12" customHeight="1" x14ac:dyDescent="0.2">
      <c r="A87" s="559"/>
      <c r="B87" s="559"/>
      <c r="C87" s="1285"/>
      <c r="D87" s="1286"/>
      <c r="E87" s="1286"/>
      <c r="F87" s="1126"/>
      <c r="G87" s="574"/>
      <c r="H87" s="574"/>
      <c r="I87" s="574"/>
    </row>
    <row r="88" spans="1:9" s="195" customFormat="1" ht="12" customHeight="1" x14ac:dyDescent="0.2">
      <c r="A88" s="559"/>
      <c r="B88" s="559"/>
      <c r="C88" s="1285"/>
      <c r="D88" s="1286"/>
      <c r="E88" s="1286"/>
      <c r="F88" s="1126"/>
      <c r="G88" s="574"/>
      <c r="H88" s="574"/>
      <c r="I88" s="574"/>
    </row>
    <row r="89" spans="1:9" s="195" customFormat="1" ht="12" customHeight="1" x14ac:dyDescent="0.2">
      <c r="A89" s="559"/>
      <c r="B89" s="559"/>
      <c r="C89" s="1285"/>
      <c r="D89" s="1286"/>
      <c r="E89" s="1286"/>
      <c r="F89" s="1126"/>
      <c r="G89" s="574"/>
      <c r="H89" s="574"/>
      <c r="I89" s="574"/>
    </row>
    <row r="90" spans="1:9" s="195" customFormat="1" ht="12" customHeight="1" x14ac:dyDescent="0.2">
      <c r="A90" s="559"/>
      <c r="B90" s="559"/>
      <c r="C90" s="1285"/>
      <c r="D90" s="1286"/>
      <c r="E90" s="1286"/>
      <c r="F90" s="1126"/>
      <c r="G90" s="574"/>
      <c r="H90" s="574"/>
      <c r="I90" s="574"/>
    </row>
    <row r="91" spans="1:9" s="195" customFormat="1" ht="12" customHeight="1" x14ac:dyDescent="0.2">
      <c r="A91" s="559"/>
      <c r="B91" s="559"/>
      <c r="C91" s="1285"/>
      <c r="D91" s="1286"/>
      <c r="E91" s="1286"/>
      <c r="F91" s="1126"/>
      <c r="G91" s="574"/>
      <c r="H91" s="574"/>
      <c r="I91" s="574"/>
    </row>
    <row r="92" spans="1:9" s="195" customFormat="1" ht="12" customHeight="1" x14ac:dyDescent="0.2">
      <c r="A92" s="559"/>
      <c r="B92" s="559"/>
      <c r="C92" s="1285"/>
      <c r="D92" s="1286"/>
      <c r="E92" s="1286"/>
      <c r="F92" s="1126"/>
      <c r="G92" s="574"/>
      <c r="H92" s="574"/>
      <c r="I92" s="574"/>
    </row>
    <row r="93" spans="1:9" s="195" customFormat="1" ht="12" customHeight="1" x14ac:dyDescent="0.2">
      <c r="A93" s="559"/>
      <c r="B93" s="559"/>
      <c r="C93" s="1285"/>
      <c r="D93" s="1286"/>
      <c r="E93" s="1286"/>
      <c r="F93" s="1126"/>
      <c r="G93" s="574"/>
      <c r="H93" s="574"/>
      <c r="I93" s="574"/>
    </row>
    <row r="94" spans="1:9" s="195" customFormat="1" ht="12" customHeight="1" x14ac:dyDescent="0.2">
      <c r="A94" s="559"/>
      <c r="B94" s="559"/>
      <c r="C94" s="1285"/>
      <c r="D94" s="1286"/>
      <c r="E94" s="1286"/>
      <c r="F94" s="1126"/>
      <c r="G94" s="574"/>
      <c r="H94" s="574"/>
      <c r="I94" s="574"/>
    </row>
    <row r="95" spans="1:9" s="195" customFormat="1" ht="12" customHeight="1" x14ac:dyDescent="0.2">
      <c r="A95" s="559"/>
      <c r="B95" s="559"/>
      <c r="C95" s="1285"/>
      <c r="D95" s="1286"/>
      <c r="E95" s="1286"/>
      <c r="F95" s="1126"/>
      <c r="G95" s="574"/>
      <c r="H95" s="574"/>
      <c r="I95" s="574"/>
    </row>
    <row r="96" spans="1:9" s="195" customFormat="1" ht="12" customHeight="1" x14ac:dyDescent="0.2">
      <c r="A96" s="559" t="s">
        <v>2206</v>
      </c>
      <c r="B96" s="502" t="s">
        <v>552</v>
      </c>
      <c r="C96" s="682">
        <v>125850</v>
      </c>
      <c r="D96" s="526">
        <v>1973.15</v>
      </c>
      <c r="E96" s="526">
        <v>21459.426917999997</v>
      </c>
      <c r="F96" s="526"/>
      <c r="G96" s="574"/>
      <c r="H96" s="574"/>
      <c r="I96" s="574"/>
    </row>
    <row r="97" spans="1:11" s="195" customFormat="1" ht="12" customHeight="1" x14ac:dyDescent="0.2">
      <c r="A97" s="559" t="s">
        <v>2206</v>
      </c>
      <c r="B97" s="505" t="s">
        <v>553</v>
      </c>
      <c r="C97" s="580">
        <v>138675</v>
      </c>
      <c r="D97" s="529">
        <v>1599.45</v>
      </c>
      <c r="E97" s="529">
        <v>17507.225954000001</v>
      </c>
      <c r="F97" s="1126"/>
      <c r="G97" s="574"/>
      <c r="H97" s="574"/>
      <c r="I97" s="574"/>
    </row>
    <row r="98" spans="1:11" s="195" customFormat="1" ht="12" customHeight="1" x14ac:dyDescent="0.2">
      <c r="A98" s="559" t="s">
        <v>2206</v>
      </c>
      <c r="B98" s="502" t="s">
        <v>547</v>
      </c>
      <c r="C98" s="682">
        <v>107584</v>
      </c>
      <c r="D98" s="526">
        <v>1334.35</v>
      </c>
      <c r="E98" s="526">
        <v>14673.846949999999</v>
      </c>
      <c r="F98" s="1126"/>
      <c r="G98" s="574"/>
      <c r="H98" s="574"/>
      <c r="I98" s="574"/>
    </row>
    <row r="99" spans="1:11" s="195" customFormat="1" ht="12" customHeight="1" x14ac:dyDescent="0.2">
      <c r="A99" s="559" t="s">
        <v>2206</v>
      </c>
      <c r="B99" s="505" t="s">
        <v>554</v>
      </c>
      <c r="C99" s="580">
        <v>110158</v>
      </c>
      <c r="D99" s="529">
        <v>1971.43</v>
      </c>
      <c r="E99" s="529">
        <v>21782.448355800003</v>
      </c>
      <c r="F99" s="1126"/>
      <c r="G99" s="574"/>
      <c r="H99" s="574"/>
      <c r="I99" s="574"/>
    </row>
    <row r="100" spans="1:11" s="195" customFormat="1" ht="12" customHeight="1" x14ac:dyDescent="0.2">
      <c r="A100" s="559" t="s">
        <v>2206</v>
      </c>
      <c r="B100" s="502" t="s">
        <v>555</v>
      </c>
      <c r="C100" s="682">
        <v>110413</v>
      </c>
      <c r="D100" s="526">
        <v>1930.04</v>
      </c>
      <c r="E100" s="526">
        <v>21400.437923199999</v>
      </c>
      <c r="F100" s="1126"/>
      <c r="G100" s="574"/>
      <c r="H100" s="574"/>
      <c r="I100" s="574"/>
    </row>
    <row r="101" spans="1:11" s="195" customFormat="1" ht="12" customHeight="1" x14ac:dyDescent="0.2">
      <c r="A101" s="559" t="s">
        <v>2206</v>
      </c>
      <c r="B101" s="505" t="s">
        <v>548</v>
      </c>
      <c r="C101" s="580">
        <v>95197</v>
      </c>
      <c r="D101" s="529">
        <v>1991.26</v>
      </c>
      <c r="E101" s="529">
        <v>21934.485578800006</v>
      </c>
      <c r="F101" s="1126"/>
      <c r="G101" s="574"/>
      <c r="H101" s="574"/>
      <c r="I101" s="574"/>
    </row>
    <row r="102" spans="1:11" s="195" customFormat="1" ht="12" customHeight="1" x14ac:dyDescent="0.2">
      <c r="A102" s="559" t="s">
        <v>2206</v>
      </c>
      <c r="B102" s="1121" t="s">
        <v>556</v>
      </c>
      <c r="C102" s="682">
        <v>87852</v>
      </c>
      <c r="D102" s="526">
        <v>2113.15</v>
      </c>
      <c r="E102" s="526">
        <v>23244.65</v>
      </c>
      <c r="F102" s="1126"/>
    </row>
    <row r="103" spans="1:11" s="195" customFormat="1" ht="12" customHeight="1" x14ac:dyDescent="0.2">
      <c r="A103" s="559" t="s">
        <v>2206</v>
      </c>
      <c r="B103" s="1258" t="s">
        <v>557</v>
      </c>
      <c r="C103" s="580">
        <v>74306</v>
      </c>
      <c r="D103" s="529">
        <v>2164.56</v>
      </c>
      <c r="E103" s="529">
        <v>23810.160000000003</v>
      </c>
      <c r="F103" s="1126"/>
    </row>
    <row r="104" spans="1:11" s="195" customFormat="1" ht="12" customHeight="1" x14ac:dyDescent="0.2">
      <c r="A104" s="559" t="s">
        <v>2206</v>
      </c>
      <c r="B104" s="1121" t="s">
        <v>549</v>
      </c>
      <c r="C104" s="682">
        <v>74679</v>
      </c>
      <c r="D104" s="526">
        <v>1997.07</v>
      </c>
      <c r="E104" s="526">
        <v>21967.77</v>
      </c>
      <c r="F104" s="1126"/>
    </row>
    <row r="105" spans="1:11" s="195" customFormat="1" ht="12" customHeight="1" x14ac:dyDescent="0.2">
      <c r="A105" s="559" t="s">
        <v>2206</v>
      </c>
      <c r="B105" s="1258" t="s">
        <v>558</v>
      </c>
      <c r="C105" s="580">
        <v>85400</v>
      </c>
      <c r="D105" s="529">
        <v>2044.23</v>
      </c>
      <c r="E105" s="529">
        <v>22503.022357530004</v>
      </c>
      <c r="F105" s="1126"/>
    </row>
    <row r="106" spans="1:11" s="195" customFormat="1" ht="12" customHeight="1" x14ac:dyDescent="0.2">
      <c r="A106" s="559" t="s">
        <v>2206</v>
      </c>
      <c r="B106" s="1121" t="s">
        <v>559</v>
      </c>
      <c r="C106" s="682">
        <v>131969</v>
      </c>
      <c r="D106" s="526">
        <v>2254.9299999999998</v>
      </c>
      <c r="E106" s="526">
        <v>25938.459790000001</v>
      </c>
      <c r="F106" s="1126"/>
      <c r="G106" s="574"/>
      <c r="H106" s="574"/>
      <c r="I106" s="574"/>
    </row>
    <row r="107" spans="1:11" s="195" customFormat="1" ht="12" customHeight="1" x14ac:dyDescent="0.2">
      <c r="A107" s="559" t="s">
        <v>2206</v>
      </c>
      <c r="B107" s="1258" t="s">
        <v>550</v>
      </c>
      <c r="C107" s="580">
        <v>55045</v>
      </c>
      <c r="D107" s="529">
        <v>2538.6</v>
      </c>
      <c r="E107" s="529">
        <v>29940.248400000008</v>
      </c>
      <c r="F107" s="1126"/>
      <c r="G107" s="574"/>
      <c r="H107" s="574"/>
      <c r="I107" s="574"/>
    </row>
    <row r="108" spans="1:11" s="195" customFormat="1" ht="12" customHeight="1" x14ac:dyDescent="0.2">
      <c r="A108" s="513" t="s">
        <v>2479</v>
      </c>
      <c r="B108" s="502" t="s">
        <v>552</v>
      </c>
      <c r="C108" s="580">
        <v>71441</v>
      </c>
      <c r="D108" s="529">
        <v>1913.77</v>
      </c>
      <c r="E108" s="529">
        <v>22569.089610000003</v>
      </c>
      <c r="F108" s="1126"/>
      <c r="G108" s="574"/>
      <c r="H108" s="574"/>
      <c r="I108" s="574"/>
    </row>
    <row r="109" spans="1:11" s="195" customFormat="1" ht="12" customHeight="1" x14ac:dyDescent="0.2">
      <c r="A109" s="513" t="s">
        <v>2479</v>
      </c>
      <c r="B109" s="505" t="s">
        <v>553</v>
      </c>
      <c r="C109" s="682">
        <v>53462</v>
      </c>
      <c r="D109" s="526">
        <v>2224.15</v>
      </c>
      <c r="E109" s="526">
        <v>26407.332950000011</v>
      </c>
      <c r="F109" s="1126"/>
      <c r="G109" s="574"/>
      <c r="H109" s="574"/>
      <c r="I109" s="574"/>
    </row>
    <row r="110" spans="1:11" s="195" customFormat="1" ht="12" customHeight="1" x14ac:dyDescent="0.2">
      <c r="A110" s="513" t="s">
        <v>2479</v>
      </c>
      <c r="B110" s="502" t="s">
        <v>547</v>
      </c>
      <c r="C110" s="580">
        <v>64677</v>
      </c>
      <c r="D110" s="529">
        <v>2404.11</v>
      </c>
      <c r="E110" s="529">
        <v>28849.320000000003</v>
      </c>
      <c r="F110" s="1126"/>
      <c r="G110" s="574"/>
      <c r="H110" s="574"/>
      <c r="I110" s="574"/>
    </row>
    <row r="111" spans="1:11" s="195" customFormat="1" ht="12" customHeight="1" x14ac:dyDescent="0.2">
      <c r="A111" s="513" t="s">
        <v>2479</v>
      </c>
      <c r="B111" s="505" t="s">
        <v>554</v>
      </c>
      <c r="C111" s="682">
        <v>104858</v>
      </c>
      <c r="D111" s="526">
        <v>2395.08</v>
      </c>
      <c r="E111" s="526">
        <v>28740.504934800007</v>
      </c>
      <c r="F111" s="1126"/>
      <c r="G111" s="574"/>
      <c r="H111" s="574"/>
      <c r="I111" s="574"/>
    </row>
    <row r="112" spans="1:11" s="195" customFormat="1" ht="12" customHeight="1" x14ac:dyDescent="0.2">
      <c r="A112" s="513" t="s">
        <v>2479</v>
      </c>
      <c r="B112" s="502" t="s">
        <v>555</v>
      </c>
      <c r="C112" s="580">
        <v>102987</v>
      </c>
      <c r="D112" s="529">
        <v>2199.9899999999998</v>
      </c>
      <c r="E112" s="529">
        <v>26399.879999999997</v>
      </c>
      <c r="F112" s="1126"/>
      <c r="H112" s="574"/>
      <c r="I112" s="574"/>
      <c r="K112" s="574"/>
    </row>
    <row r="113" spans="1:9" s="195" customFormat="1" ht="12" customHeight="1" x14ac:dyDescent="0.2">
      <c r="A113" s="513" t="s">
        <v>2479</v>
      </c>
      <c r="B113" s="505" t="s">
        <v>548</v>
      </c>
      <c r="C113" s="682">
        <v>105293</v>
      </c>
      <c r="D113" s="526">
        <v>2638.77</v>
      </c>
      <c r="E113" s="526">
        <v>31665.239999999998</v>
      </c>
      <c r="F113" s="1126"/>
      <c r="G113" s="574"/>
      <c r="H113" s="574"/>
      <c r="I113" s="574"/>
    </row>
    <row r="114" spans="1:9" s="195" customFormat="1" ht="12" customHeight="1" x14ac:dyDescent="0.2">
      <c r="A114" s="513" t="s">
        <v>2479</v>
      </c>
      <c r="B114" s="1121" t="s">
        <v>556</v>
      </c>
      <c r="C114" s="580">
        <v>97867</v>
      </c>
      <c r="D114" s="529">
        <v>2185.23</v>
      </c>
      <c r="E114" s="529">
        <v>26643.613445699997</v>
      </c>
      <c r="F114" s="1126"/>
      <c r="G114" s="574"/>
      <c r="H114" s="574"/>
      <c r="I114" s="574"/>
    </row>
    <row r="115" spans="1:9" s="195" customFormat="1" ht="12" customHeight="1" x14ac:dyDescent="0.2">
      <c r="A115" s="513" t="s">
        <v>2479</v>
      </c>
      <c r="B115" s="1258" t="s">
        <v>557</v>
      </c>
      <c r="C115" s="682">
        <v>62436</v>
      </c>
      <c r="D115" s="526">
        <v>2527.65</v>
      </c>
      <c r="E115" s="526">
        <v>30837.33</v>
      </c>
      <c r="F115" s="1126"/>
      <c r="G115" s="574"/>
      <c r="H115" s="574"/>
      <c r="I115" s="574"/>
    </row>
    <row r="116" spans="1:9" s="195" customFormat="1" ht="12" customHeight="1" x14ac:dyDescent="0.2">
      <c r="A116" s="513" t="s">
        <v>2479</v>
      </c>
      <c r="B116" s="1121" t="s">
        <v>549</v>
      </c>
      <c r="C116" s="580">
        <v>105035</v>
      </c>
      <c r="D116" s="529">
        <v>3295.63</v>
      </c>
      <c r="E116" s="529">
        <v>40206.686000000002</v>
      </c>
      <c r="F116" s="1126"/>
      <c r="G116" s="574"/>
      <c r="H116" s="574"/>
      <c r="I116" s="574"/>
    </row>
    <row r="117" spans="1:9" s="195" customFormat="1" ht="12" customHeight="1" x14ac:dyDescent="0.2">
      <c r="A117" s="513" t="s">
        <v>2479</v>
      </c>
      <c r="B117" s="1258" t="s">
        <v>558</v>
      </c>
      <c r="C117" s="682">
        <v>49983</v>
      </c>
      <c r="D117" s="526">
        <v>2752.33</v>
      </c>
      <c r="E117" s="526">
        <v>33578.425999999992</v>
      </c>
      <c r="F117" s="1126"/>
      <c r="G117" s="574"/>
      <c r="H117" s="574"/>
      <c r="I117" s="574"/>
    </row>
    <row r="118" spans="1:9" s="195" customFormat="1" ht="12" customHeight="1" x14ac:dyDescent="0.2">
      <c r="A118" s="513" t="s">
        <v>2479</v>
      </c>
      <c r="B118" s="1121" t="s">
        <v>559</v>
      </c>
      <c r="C118" s="580">
        <v>105400</v>
      </c>
      <c r="D118" s="529">
        <v>2969.56</v>
      </c>
      <c r="E118" s="529">
        <v>36328.828509000006</v>
      </c>
      <c r="F118" s="1126"/>
      <c r="G118" s="574"/>
      <c r="H118" s="574"/>
      <c r="I118" s="574"/>
    </row>
    <row r="119" spans="1:9" s="195" customFormat="1" ht="12" customHeight="1" x14ac:dyDescent="0.2">
      <c r="A119" s="513" t="s">
        <v>2479</v>
      </c>
      <c r="B119" s="1258" t="s">
        <v>550</v>
      </c>
      <c r="C119" s="682">
        <v>92236</v>
      </c>
      <c r="D119" s="526">
        <v>2822.53</v>
      </c>
      <c r="E119" s="526">
        <v>34681.075291900008</v>
      </c>
      <c r="F119" s="1126"/>
      <c r="G119" s="574"/>
      <c r="H119" s="574"/>
      <c r="I119" s="574"/>
    </row>
    <row r="120" spans="1:9" s="195" customFormat="1" ht="12" customHeight="1" x14ac:dyDescent="0.2">
      <c r="A120" s="559" t="s">
        <v>2730</v>
      </c>
      <c r="B120" s="1121" t="s">
        <v>552</v>
      </c>
      <c r="C120" s="682">
        <v>63547</v>
      </c>
      <c r="D120" s="526">
        <v>2477.87</v>
      </c>
      <c r="E120" s="526">
        <v>30221.019331899999</v>
      </c>
      <c r="F120" s="1126"/>
      <c r="G120" s="574"/>
      <c r="H120" s="574"/>
      <c r="I120" s="574"/>
    </row>
    <row r="121" spans="1:9" s="195" customFormat="1" ht="12" customHeight="1" x14ac:dyDescent="0.2">
      <c r="A121" s="559" t="s">
        <v>2730</v>
      </c>
      <c r="B121" s="1258" t="s">
        <v>553</v>
      </c>
      <c r="C121" s="580">
        <v>147412</v>
      </c>
      <c r="D121" s="529">
        <v>2421.89</v>
      </c>
      <c r="E121" s="529">
        <v>29478.930234300002</v>
      </c>
      <c r="F121" s="1126"/>
      <c r="G121" s="574"/>
      <c r="H121" s="574"/>
      <c r="I121" s="574"/>
    </row>
    <row r="122" spans="1:9" s="195" customFormat="1" ht="12" customHeight="1" x14ac:dyDescent="0.2">
      <c r="A122" s="559" t="s">
        <v>2730</v>
      </c>
      <c r="B122" s="1121" t="s">
        <v>547</v>
      </c>
      <c r="C122" s="682">
        <v>98986</v>
      </c>
      <c r="D122" s="526">
        <v>2685.5642890589802</v>
      </c>
      <c r="E122" s="526">
        <v>32694.462489647383</v>
      </c>
      <c r="F122" s="1126"/>
      <c r="G122" s="574"/>
      <c r="H122" s="574"/>
      <c r="I122" s="574"/>
    </row>
    <row r="123" spans="1:9" s="195" customFormat="1" ht="12" customHeight="1" x14ac:dyDescent="0.2">
      <c r="A123" s="559" t="s">
        <v>2730</v>
      </c>
      <c r="B123" s="1258" t="s">
        <v>554</v>
      </c>
      <c r="C123" s="580">
        <v>73975</v>
      </c>
      <c r="D123" s="529">
        <v>2563.48</v>
      </c>
      <c r="E123" s="529">
        <v>31275.63</v>
      </c>
      <c r="F123" s="1126"/>
      <c r="G123" s="574"/>
      <c r="H123" s="574"/>
      <c r="I123" s="574"/>
    </row>
    <row r="124" spans="1:9" ht="9.9499999999999993" customHeight="1" x14ac:dyDescent="0.2">
      <c r="A124" s="559" t="s">
        <v>2730</v>
      </c>
      <c r="B124" s="1121" t="s">
        <v>555</v>
      </c>
      <c r="C124" s="682">
        <v>100133</v>
      </c>
      <c r="D124" s="526">
        <v>2889.73</v>
      </c>
      <c r="E124" s="526">
        <v>35346.949999999997</v>
      </c>
      <c r="F124" s="1337"/>
      <c r="G124" s="574"/>
      <c r="H124" s="574"/>
      <c r="I124" s="574"/>
    </row>
    <row r="125" spans="1:9" ht="9.9499999999999993" customHeight="1" x14ac:dyDescent="0.2">
      <c r="A125" s="559" t="s">
        <v>2730</v>
      </c>
      <c r="B125" s="1258" t="s">
        <v>548</v>
      </c>
      <c r="C125" s="580">
        <v>119389</v>
      </c>
      <c r="D125" s="529">
        <v>3223.67</v>
      </c>
      <c r="E125" s="529">
        <v>39423.091999999997</v>
      </c>
      <c r="G125" s="573"/>
      <c r="H125" s="574"/>
    </row>
    <row r="126" spans="1:9" ht="9.9499999999999993" customHeight="1" x14ac:dyDescent="0.2">
      <c r="A126" s="559" t="s">
        <v>2730</v>
      </c>
      <c r="B126" s="1121" t="s">
        <v>556</v>
      </c>
      <c r="C126" s="682">
        <v>95092</v>
      </c>
      <c r="D126" s="526">
        <v>3171.6276855924061</v>
      </c>
      <c r="E126" s="526">
        <v>38796.630699808426</v>
      </c>
      <c r="G126" s="573"/>
      <c r="H126" s="574"/>
    </row>
    <row r="127" spans="1:9" ht="9.9499999999999993" customHeight="1" x14ac:dyDescent="0.2">
      <c r="A127" s="559" t="s">
        <v>2730</v>
      </c>
      <c r="B127" s="1258" t="s">
        <v>557</v>
      </c>
      <c r="C127" s="580">
        <v>65615</v>
      </c>
      <c r="D127" s="529">
        <v>3019.6652778248076</v>
      </c>
      <c r="E127" s="529">
        <v>36931.261264116853</v>
      </c>
      <c r="G127" s="573"/>
      <c r="H127" s="574"/>
    </row>
    <row r="128" spans="1:9" ht="9.75" customHeight="1" thickBot="1" x14ac:dyDescent="0.25">
      <c r="A128" s="559" t="s">
        <v>2730</v>
      </c>
      <c r="B128" s="1646" t="s">
        <v>549</v>
      </c>
      <c r="C128" s="1647">
        <v>44658</v>
      </c>
      <c r="D128" s="1648">
        <v>3755.0480311251245</v>
      </c>
      <c r="E128" s="1648">
        <v>46046.067867892169</v>
      </c>
      <c r="G128" s="573"/>
      <c r="H128" s="574"/>
      <c r="I128" s="573"/>
    </row>
    <row r="129" spans="1:5" x14ac:dyDescent="0.2">
      <c r="A129" s="185" t="s">
        <v>966</v>
      </c>
      <c r="B129" s="185"/>
      <c r="C129" s="2625" t="s">
        <v>1283</v>
      </c>
      <c r="D129" s="2625"/>
      <c r="E129" s="187"/>
    </row>
    <row r="130" spans="1:5" x14ac:dyDescent="0.2">
      <c r="A130" s="185" t="s">
        <v>2371</v>
      </c>
      <c r="B130" s="185"/>
      <c r="C130" s="2625" t="s">
        <v>1253</v>
      </c>
      <c r="D130" s="2625"/>
      <c r="E130" s="229" t="s">
        <v>2665</v>
      </c>
    </row>
    <row r="131" spans="1:5" x14ac:dyDescent="0.2">
      <c r="A131" s="576"/>
      <c r="B131" s="576"/>
      <c r="C131" s="624" t="s">
        <v>1269</v>
      </c>
      <c r="D131" s="624"/>
      <c r="E131" s="624"/>
    </row>
    <row r="132" spans="1:5" x14ac:dyDescent="0.2">
      <c r="A132" s="57"/>
      <c r="B132" s="57"/>
      <c r="C132" s="1335"/>
    </row>
    <row r="133" spans="1:5" x14ac:dyDescent="0.2">
      <c r="A133" s="57"/>
      <c r="B133" s="57"/>
      <c r="C133" s="66"/>
    </row>
    <row r="135" spans="1:5" x14ac:dyDescent="0.2">
      <c r="C135" s="1454"/>
    </row>
  </sheetData>
  <customSheetViews>
    <customSheetView guid="{A374FC54-96E3-45F0-9C12-8450400C12DF}" scale="130">
      <pane xSplit="1" ySplit="3" topLeftCell="B39" activePane="bottomRight" state="frozen"/>
      <selection pane="bottomRight" activeCell="B54" sqref="B54"/>
      <pageMargins left="0.51" right="0.52900000000000003" top="0.511811023622047" bottom="0.511811023622047" header="0" footer="0.35433070866141703"/>
      <printOptions horizontalCentered="1"/>
      <pageSetup paperSize="132" firstPageNumber="83" orientation="portrait" useFirstPageNumber="1" r:id="rId1"/>
      <headerFooter alignWithMargins="0">
        <oddFooter>&amp;C&amp;"Times New Roman,Regular"&amp;8&amp;P</oddFooter>
      </headerFooter>
    </customSheetView>
  </customSheetViews>
  <mergeCells count="7">
    <mergeCell ref="C130:D130"/>
    <mergeCell ref="C129:D129"/>
    <mergeCell ref="A1:D1"/>
    <mergeCell ref="A2:A3"/>
    <mergeCell ref="C2:C3"/>
    <mergeCell ref="D2:E2"/>
    <mergeCell ref="B2:B3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Z410"/>
  <sheetViews>
    <sheetView zoomScale="150" zoomScaleNormal="150" workbookViewId="0">
      <pane xSplit="1" ySplit="3" topLeftCell="B50" activePane="bottomRight" state="frozen"/>
      <selection activeCell="BU10" sqref="BU10"/>
      <selection pane="topRight" activeCell="BU10" sqref="BU10"/>
      <selection pane="bottomLeft" activeCell="BU10" sqref="BU10"/>
      <selection pane="bottomRight" activeCell="E60" sqref="E60"/>
    </sheetView>
  </sheetViews>
  <sheetFormatPr defaultColWidth="9.140625" defaultRowHeight="11.25" x14ac:dyDescent="0.2"/>
  <cols>
    <col min="1" max="10" width="7.5703125" style="8" customWidth="1"/>
    <col min="11" max="11" width="8.28515625" style="8" bestFit="1" customWidth="1"/>
    <col min="12" max="12" width="7.5703125" style="8" customWidth="1"/>
    <col min="13" max="13" width="6.85546875" style="8" customWidth="1"/>
    <col min="14" max="14" width="6" style="8" customWidth="1"/>
    <col min="15" max="15" width="6.7109375" style="8" customWidth="1"/>
    <col min="16" max="17" width="7.5703125" style="8" customWidth="1"/>
    <col min="18" max="18" width="7.140625" style="8" customWidth="1"/>
    <col min="19" max="19" width="7.5703125" style="8" customWidth="1"/>
    <col min="20" max="20" width="6.85546875" style="8" customWidth="1"/>
    <col min="21" max="21" width="7.5703125" style="8" customWidth="1"/>
    <col min="22" max="22" width="7.85546875" style="8" customWidth="1"/>
    <col min="23" max="23" width="13.42578125" style="8" bestFit="1" customWidth="1"/>
    <col min="24" max="24" width="9.28515625" style="8" bestFit="1" customWidth="1"/>
    <col min="25" max="25" width="10" style="8" bestFit="1" customWidth="1"/>
    <col min="26" max="16384" width="9.140625" style="8"/>
  </cols>
  <sheetData>
    <row r="1" spans="1:26" s="21" customFormat="1" ht="14.25" customHeight="1" x14ac:dyDescent="0.25">
      <c r="A1" s="2639" t="s">
        <v>368</v>
      </c>
      <c r="B1" s="2639"/>
      <c r="C1" s="2639"/>
      <c r="D1" s="2639"/>
      <c r="E1" s="2639"/>
      <c r="F1" s="2639"/>
      <c r="G1" s="2639"/>
      <c r="H1" s="2639"/>
      <c r="I1" s="2639"/>
      <c r="J1" s="2639"/>
      <c r="K1" s="2639"/>
      <c r="L1" s="2871" t="s">
        <v>317</v>
      </c>
      <c r="M1" s="2871"/>
      <c r="N1" s="2871"/>
      <c r="O1" s="54"/>
      <c r="P1" s="48"/>
      <c r="Q1" s="48"/>
      <c r="R1" s="48"/>
      <c r="S1" s="48"/>
      <c r="T1" s="48"/>
      <c r="U1" s="2639" t="s">
        <v>1072</v>
      </c>
      <c r="V1" s="2639"/>
    </row>
    <row r="2" spans="1:26" s="36" customFormat="1" ht="12" customHeight="1" x14ac:dyDescent="0.2">
      <c r="C2" s="11"/>
      <c r="D2" s="11"/>
      <c r="E2" s="11"/>
      <c r="F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2852" t="s">
        <v>24</v>
      </c>
      <c r="V2" s="2852"/>
    </row>
    <row r="3" spans="1:26" s="165" customFormat="1" ht="50.25" customHeight="1" x14ac:dyDescent="0.2">
      <c r="A3" s="1739" t="s">
        <v>474</v>
      </c>
      <c r="B3" s="1739" t="s">
        <v>3067</v>
      </c>
      <c r="C3" s="1731" t="s">
        <v>62</v>
      </c>
      <c r="D3" s="1731" t="s">
        <v>1313</v>
      </c>
      <c r="E3" s="1731" t="s">
        <v>1314</v>
      </c>
      <c r="F3" s="1731" t="s">
        <v>63</v>
      </c>
      <c r="G3" s="1731" t="s">
        <v>1315</v>
      </c>
      <c r="H3" s="1731" t="s">
        <v>64</v>
      </c>
      <c r="I3" s="1731" t="s">
        <v>65</v>
      </c>
      <c r="J3" s="1731" t="s">
        <v>66</v>
      </c>
      <c r="K3" s="1731" t="s">
        <v>67</v>
      </c>
      <c r="L3" s="1731" t="s">
        <v>68</v>
      </c>
      <c r="M3" s="1731" t="s">
        <v>69</v>
      </c>
      <c r="N3" s="1731" t="s">
        <v>70</v>
      </c>
      <c r="O3" s="1731" t="s">
        <v>71</v>
      </c>
      <c r="P3" s="1731" t="s">
        <v>506</v>
      </c>
      <c r="Q3" s="1727" t="s">
        <v>528</v>
      </c>
      <c r="R3" s="1727" t="s">
        <v>694</v>
      </c>
      <c r="S3" s="1727" t="s">
        <v>697</v>
      </c>
      <c r="T3" s="1727" t="s">
        <v>3069</v>
      </c>
      <c r="U3" s="1731" t="s">
        <v>72</v>
      </c>
      <c r="V3" s="1731" t="s">
        <v>470</v>
      </c>
    </row>
    <row r="4" spans="1:26" s="165" customFormat="1" ht="12.75" x14ac:dyDescent="0.2">
      <c r="A4" s="1739"/>
      <c r="B4" s="1739"/>
      <c r="C4" s="1731">
        <v>1</v>
      </c>
      <c r="D4" s="1731">
        <v>2</v>
      </c>
      <c r="E4" s="1731">
        <v>3</v>
      </c>
      <c r="F4" s="1731">
        <v>4</v>
      </c>
      <c r="G4" s="1731">
        <v>5</v>
      </c>
      <c r="H4" s="1731">
        <v>6</v>
      </c>
      <c r="I4" s="1731">
        <v>7</v>
      </c>
      <c r="J4" s="1731">
        <v>8</v>
      </c>
      <c r="K4" s="1731">
        <v>9</v>
      </c>
      <c r="L4" s="1731">
        <v>10</v>
      </c>
      <c r="M4" s="1731">
        <v>11</v>
      </c>
      <c r="N4" s="1731">
        <v>12</v>
      </c>
      <c r="O4" s="1731">
        <v>13</v>
      </c>
      <c r="P4" s="1731">
        <v>14</v>
      </c>
      <c r="Q4" s="1727">
        <v>15</v>
      </c>
      <c r="R4" s="1727">
        <v>16</v>
      </c>
      <c r="S4" s="1727">
        <v>17</v>
      </c>
      <c r="T4" s="1727">
        <v>18</v>
      </c>
      <c r="U4" s="1731">
        <v>19</v>
      </c>
      <c r="V4" s="1731">
        <v>20</v>
      </c>
    </row>
    <row r="5" spans="1:26" s="9" customFormat="1" ht="11.25" customHeight="1" x14ac:dyDescent="0.2">
      <c r="A5" s="504" t="s">
        <v>81</v>
      </c>
      <c r="B5" s="504"/>
      <c r="C5" s="489">
        <v>23709.401759999997</v>
      </c>
      <c r="D5" s="489">
        <v>13077.514040000002</v>
      </c>
      <c r="E5" s="489">
        <v>5723.8957499999997</v>
      </c>
      <c r="F5" s="489">
        <v>7050.7496800000008</v>
      </c>
      <c r="G5" s="489">
        <v>10044.25626</v>
      </c>
      <c r="H5" s="489">
        <v>10.44585</v>
      </c>
      <c r="I5" s="489">
        <v>2496.5547799999999</v>
      </c>
      <c r="J5" s="489">
        <v>2414.7833399999995</v>
      </c>
      <c r="K5" s="489">
        <v>1338.3879299999999</v>
      </c>
      <c r="L5" s="489">
        <v>114.11791000000001</v>
      </c>
      <c r="M5" s="489">
        <v>1177.0468499999997</v>
      </c>
      <c r="N5" s="489">
        <v>31.072650000000003</v>
      </c>
      <c r="O5" s="489">
        <v>101.95625</v>
      </c>
      <c r="P5" s="489">
        <v>4061.917840000001</v>
      </c>
      <c r="Q5" s="489">
        <v>58.456209999999999</v>
      </c>
      <c r="R5" s="489">
        <v>1259.92806</v>
      </c>
      <c r="S5" s="489">
        <v>143.63157000000001</v>
      </c>
      <c r="T5" s="489">
        <v>57.544499999999999</v>
      </c>
      <c r="U5" s="489">
        <v>3139.1719699999944</v>
      </c>
      <c r="V5" s="489">
        <f t="shared" ref="V5:V8" si="0">SUM(C5:U5)</f>
        <v>76010.833200000008</v>
      </c>
      <c r="W5" s="82"/>
      <c r="X5" s="82"/>
      <c r="Y5" s="82"/>
      <c r="Z5" s="151"/>
    </row>
    <row r="6" spans="1:26" s="153" customFormat="1" ht="11.25" customHeight="1" x14ac:dyDescent="0.2">
      <c r="A6" s="536" t="s">
        <v>189</v>
      </c>
      <c r="B6" s="536"/>
      <c r="C6" s="488">
        <v>23447.611522103758</v>
      </c>
      <c r="D6" s="488">
        <v>14274.536554243999</v>
      </c>
      <c r="E6" s="488">
        <v>6329.345799345223</v>
      </c>
      <c r="F6" s="488">
        <v>7668.545797496</v>
      </c>
      <c r="G6" s="488">
        <v>13162.814794050668</v>
      </c>
      <c r="H6" s="488">
        <v>42.006690047596507</v>
      </c>
      <c r="I6" s="488">
        <v>2273.663133048</v>
      </c>
      <c r="J6" s="488">
        <v>2378.4981804742797</v>
      </c>
      <c r="K6" s="488">
        <v>1443.4474231873241</v>
      </c>
      <c r="L6" s="488">
        <v>184.06482744244911</v>
      </c>
      <c r="M6" s="488">
        <v>1326.4480618323998</v>
      </c>
      <c r="N6" s="488">
        <v>16.463787679999999</v>
      </c>
      <c r="O6" s="488">
        <v>108.62308996920061</v>
      </c>
      <c r="P6" s="488">
        <v>5011.1663160175985</v>
      </c>
      <c r="Q6" s="488">
        <v>93.970096692639999</v>
      </c>
      <c r="R6" s="488">
        <v>1538.1769608763173</v>
      </c>
      <c r="S6" s="488">
        <v>170.3696918419937</v>
      </c>
      <c r="T6" s="488">
        <v>79.384371033026895</v>
      </c>
      <c r="U6" s="488">
        <v>3459.7479699999994</v>
      </c>
      <c r="V6" s="579">
        <f t="shared" si="0"/>
        <v>83008.885067382464</v>
      </c>
      <c r="W6" s="452"/>
      <c r="X6" s="452"/>
      <c r="Y6" s="452"/>
    </row>
    <row r="7" spans="1:26" s="9" customFormat="1" ht="11.25" customHeight="1" x14ac:dyDescent="0.2">
      <c r="A7" s="504" t="s">
        <v>696</v>
      </c>
      <c r="B7" s="504"/>
      <c r="C7" s="489">
        <v>29163.283242118639</v>
      </c>
      <c r="D7" s="489">
        <v>19038.108899337632</v>
      </c>
      <c r="E7" s="489">
        <v>7809.7835324582902</v>
      </c>
      <c r="F7" s="489">
        <v>9385.6420626336549</v>
      </c>
      <c r="G7" s="489">
        <v>11828.910059940725</v>
      </c>
      <c r="H7" s="489">
        <v>102.87052779546001</v>
      </c>
      <c r="I7" s="489">
        <v>2651.53684450951</v>
      </c>
      <c r="J7" s="489">
        <v>3174.0609841537071</v>
      </c>
      <c r="K7" s="489">
        <v>2481.4516458887801</v>
      </c>
      <c r="L7" s="489">
        <v>275.82418570616346</v>
      </c>
      <c r="M7" s="489">
        <v>2371.4713983471402</v>
      </c>
      <c r="N7" s="489">
        <v>8.9624438679999994</v>
      </c>
      <c r="O7" s="489">
        <v>173.68251222769157</v>
      </c>
      <c r="P7" s="489">
        <v>6712.3823075712635</v>
      </c>
      <c r="Q7" s="489">
        <v>422.0270226909729</v>
      </c>
      <c r="R7" s="489">
        <v>1914.8794293305637</v>
      </c>
      <c r="S7" s="489">
        <v>239.72250396515088</v>
      </c>
      <c r="T7" s="489">
        <v>178.82062360774498</v>
      </c>
      <c r="U7" s="489">
        <v>3658.1110738488965</v>
      </c>
      <c r="V7" s="489">
        <f t="shared" si="0"/>
        <v>101591.53129999999</v>
      </c>
      <c r="W7" s="82"/>
      <c r="X7" s="82"/>
      <c r="Y7" s="82"/>
      <c r="Z7" s="151"/>
    </row>
    <row r="8" spans="1:26" s="153" customFormat="1" ht="11.25" customHeight="1" x14ac:dyDescent="0.2">
      <c r="A8" s="536" t="s">
        <v>804</v>
      </c>
      <c r="B8" s="536"/>
      <c r="C8" s="488">
        <v>30645.329417797999</v>
      </c>
      <c r="D8" s="488">
        <v>22629.954310562003</v>
      </c>
      <c r="E8" s="488">
        <v>7944.261095199</v>
      </c>
      <c r="F8" s="488">
        <v>9487.7621551789998</v>
      </c>
      <c r="G8" s="488">
        <v>14854.690027008</v>
      </c>
      <c r="H8" s="488">
        <v>459.92579137900003</v>
      </c>
      <c r="I8" s="488">
        <v>2297.8989676470005</v>
      </c>
      <c r="J8" s="488">
        <v>4875.3607362970006</v>
      </c>
      <c r="K8" s="488">
        <v>3983.3948069319999</v>
      </c>
      <c r="L8" s="488">
        <v>206.712431503</v>
      </c>
      <c r="M8" s="488">
        <v>2890.2409015500002</v>
      </c>
      <c r="N8" s="488">
        <v>21.251621922999998</v>
      </c>
      <c r="O8" s="488">
        <v>169.73017864899998</v>
      </c>
      <c r="P8" s="488">
        <v>7967.163443454001</v>
      </c>
      <c r="Q8" s="488">
        <v>488.01441817900002</v>
      </c>
      <c r="R8" s="488">
        <v>1866.267097298</v>
      </c>
      <c r="S8" s="488">
        <v>494.83839057</v>
      </c>
      <c r="T8" s="488">
        <v>156.27197931100002</v>
      </c>
      <c r="U8" s="488">
        <v>4207.0907388400001</v>
      </c>
      <c r="V8" s="579">
        <f t="shared" si="0"/>
        <v>115646.158509278</v>
      </c>
      <c r="W8" s="452"/>
      <c r="X8" s="452"/>
      <c r="Y8" s="452"/>
    </row>
    <row r="9" spans="1:26" s="24" customFormat="1" ht="11.25" customHeight="1" x14ac:dyDescent="0.2">
      <c r="A9" s="505" t="s">
        <v>978</v>
      </c>
      <c r="B9" s="505"/>
      <c r="C9" s="489">
        <v>24240.140711880998</v>
      </c>
      <c r="D9" s="489">
        <v>20866.964531202</v>
      </c>
      <c r="E9" s="489">
        <v>7004.6693670379991</v>
      </c>
      <c r="F9" s="489">
        <v>8602.8400845840006</v>
      </c>
      <c r="G9" s="489">
        <v>18056.862406150001</v>
      </c>
      <c r="H9" s="489">
        <v>559.41628836799998</v>
      </c>
      <c r="I9" s="489">
        <v>2001.5196785359999</v>
      </c>
      <c r="J9" s="489">
        <v>5448.4327879120001</v>
      </c>
      <c r="K9" s="489">
        <v>3335.1378381119998</v>
      </c>
      <c r="L9" s="489">
        <v>209.31088224700002</v>
      </c>
      <c r="M9" s="489">
        <v>3570.1673695179998</v>
      </c>
      <c r="N9" s="489">
        <v>3.0288693630000005</v>
      </c>
      <c r="O9" s="489">
        <v>132.67317405499998</v>
      </c>
      <c r="P9" s="489">
        <v>8274.3293595220002</v>
      </c>
      <c r="Q9" s="489">
        <v>422.62113959999994</v>
      </c>
      <c r="R9" s="489">
        <v>2095.1929835080005</v>
      </c>
      <c r="S9" s="489">
        <v>455.27028396500003</v>
      </c>
      <c r="T9" s="489">
        <v>137.56719587499998</v>
      </c>
      <c r="U9" s="489">
        <v>5166.238465553999</v>
      </c>
      <c r="V9" s="489">
        <v>110582.38341698998</v>
      </c>
      <c r="W9" s="452"/>
      <c r="X9" s="82"/>
      <c r="Y9" s="82"/>
    </row>
    <row r="10" spans="1:26" s="24" customFormat="1" ht="11.25" customHeight="1" x14ac:dyDescent="0.2">
      <c r="A10" s="502" t="s">
        <v>1029</v>
      </c>
      <c r="B10" s="502"/>
      <c r="C10" s="488">
        <v>25987.258654580997</v>
      </c>
      <c r="D10" s="488">
        <v>21934.982243472998</v>
      </c>
      <c r="E10" s="488">
        <v>6309.8007089949997</v>
      </c>
      <c r="F10" s="488">
        <v>8371.9666337629988</v>
      </c>
      <c r="G10" s="488">
        <v>18489.105624444001</v>
      </c>
      <c r="H10" s="488">
        <v>355.14259886400004</v>
      </c>
      <c r="I10" s="488">
        <v>2409.4986989259996</v>
      </c>
      <c r="J10" s="488">
        <v>7109.6637192180006</v>
      </c>
      <c r="K10" s="488">
        <v>3444.4421886290006</v>
      </c>
      <c r="L10" s="488">
        <v>164.36111672899997</v>
      </c>
      <c r="M10" s="488">
        <v>4306.5368910809993</v>
      </c>
      <c r="N10" s="488">
        <v>1.0878520650000001</v>
      </c>
      <c r="O10" s="488">
        <v>126.68805762700001</v>
      </c>
      <c r="P10" s="488">
        <v>10732.610499937999</v>
      </c>
      <c r="Q10" s="488">
        <v>480.40710343800004</v>
      </c>
      <c r="R10" s="488">
        <v>2020.3891492669998</v>
      </c>
      <c r="S10" s="488">
        <v>469.14853845199997</v>
      </c>
      <c r="T10" s="488">
        <v>152.87326095199998</v>
      </c>
      <c r="U10" s="488">
        <v>6116.3519323189985</v>
      </c>
      <c r="V10" s="488">
        <v>118982.31547276098</v>
      </c>
      <c r="W10" s="452"/>
      <c r="X10" s="452"/>
      <c r="Y10" s="452"/>
    </row>
    <row r="11" spans="1:26" s="24" customFormat="1" ht="11.25" customHeight="1" x14ac:dyDescent="0.2">
      <c r="A11" s="505" t="s">
        <v>1150</v>
      </c>
      <c r="B11" s="505"/>
      <c r="C11" s="489">
        <v>23165.843384732998</v>
      </c>
      <c r="D11" s="489">
        <v>21248.75908046</v>
      </c>
      <c r="E11" s="489">
        <v>6747.2028958150004</v>
      </c>
      <c r="F11" s="489">
        <v>8122.9117313530023</v>
      </c>
      <c r="G11" s="489">
        <v>18889.249921554001</v>
      </c>
      <c r="H11" s="489">
        <v>95.893180836999989</v>
      </c>
      <c r="I11" s="489">
        <v>3379.2433817339997</v>
      </c>
      <c r="J11" s="489">
        <v>7132.6719513709986</v>
      </c>
      <c r="K11" s="489">
        <v>3046.1566874470004</v>
      </c>
      <c r="L11" s="489">
        <v>204.66359045500002</v>
      </c>
      <c r="M11" s="489">
        <v>3806.9407668829999</v>
      </c>
      <c r="N11" s="489">
        <v>1.4088847410000001</v>
      </c>
      <c r="O11" s="489">
        <v>178.34404229900002</v>
      </c>
      <c r="P11" s="489">
        <v>10364.006886042</v>
      </c>
      <c r="Q11" s="489">
        <v>540.57418486999995</v>
      </c>
      <c r="R11" s="489">
        <v>2736.7067065770002</v>
      </c>
      <c r="S11" s="489">
        <v>506.556349066</v>
      </c>
      <c r="T11" s="489">
        <v>211.20321155199997</v>
      </c>
      <c r="U11" s="489">
        <v>6478.3840429919992</v>
      </c>
      <c r="V11" s="489">
        <v>116856.72088078098</v>
      </c>
      <c r="W11" s="82"/>
      <c r="X11" s="82"/>
      <c r="Y11" s="82"/>
    </row>
    <row r="12" spans="1:26" s="24" customFormat="1" ht="11.25" customHeight="1" x14ac:dyDescent="0.2">
      <c r="A12" s="502" t="s">
        <v>1174</v>
      </c>
      <c r="B12" s="502"/>
      <c r="C12" s="488">
        <v>17943.426236539002</v>
      </c>
      <c r="D12" s="488">
        <v>16573.528397069</v>
      </c>
      <c r="E12" s="488">
        <v>6405.7376632189998</v>
      </c>
      <c r="F12" s="488">
        <v>8180.2432115789998</v>
      </c>
      <c r="G12" s="488">
        <v>13373.095621944</v>
      </c>
      <c r="H12" s="488">
        <v>17.628407153000001</v>
      </c>
      <c r="I12" s="488">
        <v>4562.3081073049998</v>
      </c>
      <c r="J12" s="488">
        <v>7107.4456062180016</v>
      </c>
      <c r="K12" s="488">
        <v>2380.5595638059999</v>
      </c>
      <c r="L12" s="488">
        <v>251.78556692700002</v>
      </c>
      <c r="M12" s="488">
        <v>3465.3919270970009</v>
      </c>
      <c r="N12" s="488">
        <v>0.15725730799999998</v>
      </c>
      <c r="O12" s="488">
        <v>181.68376342400001</v>
      </c>
      <c r="P12" s="488">
        <v>8729.7625331060008</v>
      </c>
      <c r="Q12" s="488">
        <v>411.69327297199999</v>
      </c>
      <c r="R12" s="488">
        <v>4047.0763187749994</v>
      </c>
      <c r="S12" s="488">
        <v>638.67820879400006</v>
      </c>
      <c r="T12" s="488">
        <v>150.208864742</v>
      </c>
      <c r="U12" s="488">
        <v>6678.5518861929977</v>
      </c>
      <c r="V12" s="488">
        <v>101098.96241417</v>
      </c>
      <c r="W12" s="452"/>
      <c r="X12" s="452"/>
      <c r="Y12" s="452"/>
    </row>
    <row r="13" spans="1:26" s="24" customFormat="1" ht="11.25" customHeight="1" x14ac:dyDescent="0.2">
      <c r="A13" s="505" t="s">
        <v>1296</v>
      </c>
      <c r="B13" s="505"/>
      <c r="C13" s="489">
        <v>21303.057974675001</v>
      </c>
      <c r="D13" s="489">
        <v>19981.775415710003</v>
      </c>
      <c r="E13" s="489">
        <v>9090.1559443150018</v>
      </c>
      <c r="F13" s="489">
        <v>9868.4859093200012</v>
      </c>
      <c r="G13" s="489">
        <v>16410.639824310001</v>
      </c>
      <c r="H13" s="489">
        <v>19.443675874999997</v>
      </c>
      <c r="I13" s="489">
        <v>6950.4103529849999</v>
      </c>
      <c r="J13" s="489">
        <v>7874.3254532150004</v>
      </c>
      <c r="K13" s="489">
        <v>2715.2346651450002</v>
      </c>
      <c r="L13" s="489">
        <v>330.55203132999998</v>
      </c>
      <c r="M13" s="489">
        <v>4451.4895316450002</v>
      </c>
      <c r="N13" s="489">
        <v>0.3327156</v>
      </c>
      <c r="O13" s="489">
        <v>258.69044694500002</v>
      </c>
      <c r="P13" s="489">
        <v>9103.3843674349991</v>
      </c>
      <c r="Q13" s="489">
        <v>464.68689706499993</v>
      </c>
      <c r="R13" s="489">
        <v>5434.0171208399997</v>
      </c>
      <c r="S13" s="489">
        <v>791.06830617999992</v>
      </c>
      <c r="T13" s="489">
        <v>174.71432794999998</v>
      </c>
      <c r="U13" s="489">
        <v>7933.5399799049983</v>
      </c>
      <c r="V13" s="489">
        <v>123156.00494044498</v>
      </c>
      <c r="W13" s="452"/>
      <c r="X13" s="452"/>
      <c r="Y13" s="452"/>
    </row>
    <row r="14" spans="1:26" s="24" customFormat="1" ht="11.25" customHeight="1" x14ac:dyDescent="0.2">
      <c r="A14" s="502" t="s">
        <v>1404</v>
      </c>
      <c r="B14" s="502"/>
      <c r="C14" s="488">
        <v>26143.3635736</v>
      </c>
      <c r="D14" s="488">
        <v>21351.112195200003</v>
      </c>
      <c r="E14" s="488">
        <v>9882.1187704000004</v>
      </c>
      <c r="F14" s="488">
        <v>12301.017555900002</v>
      </c>
      <c r="G14" s="488">
        <v>15488.6576974</v>
      </c>
      <c r="H14" s="488">
        <v>65.783767699999999</v>
      </c>
      <c r="I14" s="488">
        <v>8605.6801902999996</v>
      </c>
      <c r="J14" s="488">
        <v>8960.9986872000009</v>
      </c>
      <c r="K14" s="488">
        <v>3096.0592743000002</v>
      </c>
      <c r="L14" s="488">
        <v>509.60950109999999</v>
      </c>
      <c r="M14" s="488">
        <v>3950.0114481000001</v>
      </c>
      <c r="N14" s="488">
        <v>0</v>
      </c>
      <c r="O14" s="488">
        <v>416.43734380000012</v>
      </c>
      <c r="P14" s="488">
        <v>10065.4388858</v>
      </c>
      <c r="Q14" s="488">
        <v>480.4309207</v>
      </c>
      <c r="R14" s="488">
        <v>6368.1924249999993</v>
      </c>
      <c r="S14" s="488">
        <v>945.79052019999995</v>
      </c>
      <c r="T14" s="488">
        <v>168.7680048</v>
      </c>
      <c r="U14" s="488">
        <v>9207.1009232000051</v>
      </c>
      <c r="V14" s="488">
        <v>138006.57168470003</v>
      </c>
      <c r="W14" s="452"/>
      <c r="X14" s="452"/>
      <c r="Y14" s="452"/>
    </row>
    <row r="15" spans="1:26" s="700" customFormat="1" ht="11.25" customHeight="1" x14ac:dyDescent="0.2">
      <c r="A15" s="505" t="s">
        <v>1484</v>
      </c>
      <c r="B15" s="505"/>
      <c r="C15" s="489">
        <v>34046.098481299996</v>
      </c>
      <c r="D15" s="489">
        <v>20962.529843</v>
      </c>
      <c r="E15" s="489">
        <v>11571.721058799998</v>
      </c>
      <c r="F15" s="489">
        <v>11633.0822479</v>
      </c>
      <c r="G15" s="489">
        <v>20382.712716000005</v>
      </c>
      <c r="H15" s="489">
        <v>34.065723600000005</v>
      </c>
      <c r="I15" s="489">
        <v>8643.3577769000003</v>
      </c>
      <c r="J15" s="489">
        <v>10517.8744919</v>
      </c>
      <c r="K15" s="489">
        <v>3878.3621465999995</v>
      </c>
      <c r="L15" s="489">
        <v>447.22381150000001</v>
      </c>
      <c r="M15" s="489">
        <v>3706.6695920999996</v>
      </c>
      <c r="N15" s="489">
        <v>8.4499999999999992E-2</v>
      </c>
      <c r="O15" s="489">
        <v>418.39038869999996</v>
      </c>
      <c r="P15" s="489">
        <v>10439.316572900001</v>
      </c>
      <c r="Q15" s="489">
        <v>519.89813179999999</v>
      </c>
      <c r="R15" s="489">
        <v>5926.4297523000005</v>
      </c>
      <c r="S15" s="489">
        <v>1507.8597989999998</v>
      </c>
      <c r="T15" s="489">
        <v>144.8888565</v>
      </c>
      <c r="U15" s="489">
        <v>9572.4952561000027</v>
      </c>
      <c r="V15" s="489">
        <v>154353.06114690003</v>
      </c>
      <c r="W15" s="25"/>
      <c r="X15" s="25"/>
      <c r="Y15" s="25"/>
    </row>
    <row r="16" spans="1:26" s="700" customFormat="1" ht="11.25" customHeight="1" x14ac:dyDescent="0.2">
      <c r="A16" s="502" t="s">
        <v>1536</v>
      </c>
      <c r="B16" s="502"/>
      <c r="C16" s="488">
        <v>48521.200303699996</v>
      </c>
      <c r="D16" s="488">
        <v>20692.835907599998</v>
      </c>
      <c r="E16" s="488">
        <v>17161.472797799997</v>
      </c>
      <c r="F16" s="488">
        <v>15998.640572499999</v>
      </c>
      <c r="G16" s="488">
        <v>29357.019671900005</v>
      </c>
      <c r="H16" s="488">
        <v>59.023163700000005</v>
      </c>
      <c r="I16" s="488">
        <v>12298.410095000001</v>
      </c>
      <c r="J16" s="488">
        <v>13023.291548699999</v>
      </c>
      <c r="K16" s="488">
        <v>5299.2566540000007</v>
      </c>
      <c r="L16" s="488">
        <v>567.26565100000005</v>
      </c>
      <c r="M16" s="488">
        <v>4899.6029505999995</v>
      </c>
      <c r="N16" s="488">
        <v>8.4802499999999989E-2</v>
      </c>
      <c r="O16" s="488">
        <v>674.5472201</v>
      </c>
      <c r="P16" s="488">
        <v>16981.377058799997</v>
      </c>
      <c r="Q16" s="488">
        <v>1202.2905979</v>
      </c>
      <c r="R16" s="488">
        <v>6877.0052047999989</v>
      </c>
      <c r="S16" s="488">
        <v>1773.7958544999999</v>
      </c>
      <c r="T16" s="488">
        <v>181.14529060000001</v>
      </c>
      <c r="U16" s="488">
        <v>14562.336121399996</v>
      </c>
      <c r="V16" s="488">
        <v>210130.6014671</v>
      </c>
      <c r="W16" s="25"/>
      <c r="X16" s="25"/>
      <c r="Y16" s="25"/>
    </row>
    <row r="17" spans="1:25" s="700" customFormat="1" ht="11.25" customHeight="1" x14ac:dyDescent="0.2">
      <c r="A17" s="505" t="s">
        <v>1817</v>
      </c>
      <c r="B17" s="505"/>
      <c r="C17" s="489">
        <v>39158.175854299996</v>
      </c>
      <c r="D17" s="489">
        <v>17947.8753072</v>
      </c>
      <c r="E17" s="489">
        <v>17614.919640699998</v>
      </c>
      <c r="F17" s="489">
        <v>14591.768105700001</v>
      </c>
      <c r="G17" s="489">
        <v>29681.0637967</v>
      </c>
      <c r="H17" s="489">
        <v>20.136485900000004</v>
      </c>
      <c r="I17" s="489">
        <v>11619.2514574</v>
      </c>
      <c r="J17" s="489">
        <v>7728.6748983999996</v>
      </c>
      <c r="K17" s="489">
        <v>3321.2278345</v>
      </c>
      <c r="L17" s="489">
        <v>722.60180549999995</v>
      </c>
      <c r="M17" s="489">
        <v>4890.2717383000008</v>
      </c>
      <c r="N17" s="489">
        <v>0.93426680000000006</v>
      </c>
      <c r="O17" s="489">
        <v>598.07390220000013</v>
      </c>
      <c r="P17" s="489">
        <v>8813.7038080000002</v>
      </c>
      <c r="Q17" s="489">
        <v>1110.0690999000001</v>
      </c>
      <c r="R17" s="489">
        <v>9111.6374758999991</v>
      </c>
      <c r="S17" s="489">
        <v>1171.3974736</v>
      </c>
      <c r="T17" s="489">
        <v>178.02595140000003</v>
      </c>
      <c r="U17" s="489">
        <v>13300.732195100001</v>
      </c>
      <c r="V17" s="489">
        <v>181580.54109750001</v>
      </c>
      <c r="W17" s="25"/>
      <c r="X17" s="25"/>
      <c r="Y17" s="25"/>
    </row>
    <row r="18" spans="1:25" s="700" customFormat="1" ht="11.25" customHeight="1" x14ac:dyDescent="0.2">
      <c r="A18" s="507" t="s">
        <v>2066</v>
      </c>
      <c r="B18" s="507"/>
      <c r="C18" s="503">
        <v>37457.374522400001</v>
      </c>
      <c r="D18" s="503">
        <v>30263.662829199999</v>
      </c>
      <c r="E18" s="503">
        <v>20784.396020799999</v>
      </c>
      <c r="F18" s="503">
        <v>15455.397383300002</v>
      </c>
      <c r="G18" s="503">
        <v>34888.233900599997</v>
      </c>
      <c r="H18" s="503">
        <v>26.302682900000001</v>
      </c>
      <c r="I18" s="503">
        <v>14455.068423000001</v>
      </c>
      <c r="J18" s="503">
        <v>7915.9911605999996</v>
      </c>
      <c r="K18" s="503">
        <v>4237.1926812000002</v>
      </c>
      <c r="L18" s="503">
        <v>1125.2817604000002</v>
      </c>
      <c r="M18" s="503">
        <v>5276.4684546000008</v>
      </c>
      <c r="N18" s="503">
        <v>0.49717749999999999</v>
      </c>
      <c r="O18" s="503">
        <v>1123.2660660000001</v>
      </c>
      <c r="P18" s="503">
        <v>11195.259369900001</v>
      </c>
      <c r="Q18" s="503">
        <v>1294.5214367999999</v>
      </c>
      <c r="R18" s="503">
        <v>11772.177798499997</v>
      </c>
      <c r="S18" s="503">
        <v>1164.7566234000001</v>
      </c>
      <c r="T18" s="503">
        <v>187.69469090000001</v>
      </c>
      <c r="U18" s="503">
        <v>16450.068571699998</v>
      </c>
      <c r="V18" s="503">
        <v>215073.61155369994</v>
      </c>
      <c r="W18" s="25"/>
      <c r="X18" s="25"/>
      <c r="Y18" s="25"/>
    </row>
    <row r="19" spans="1:25" s="700" customFormat="1" ht="11.25" customHeight="1" x14ac:dyDescent="0.2">
      <c r="A19" s="506" t="s">
        <v>2206</v>
      </c>
      <c r="B19" s="506"/>
      <c r="C19" s="1287">
        <f>SUM(C71:C82)</f>
        <v>30516.555239938389</v>
      </c>
      <c r="D19" s="1287">
        <f t="shared" ref="D19:V19" si="1">SUM(D71:D82)</f>
        <v>51233.574854544095</v>
      </c>
      <c r="E19" s="1287">
        <f t="shared" si="1"/>
        <v>31008.447237613305</v>
      </c>
      <c r="F19" s="1287">
        <f t="shared" si="1"/>
        <v>16628.440987672388</v>
      </c>
      <c r="G19" s="1287">
        <f t="shared" si="1"/>
        <v>33027.021355669247</v>
      </c>
      <c r="H19" s="1287">
        <f t="shared" si="1"/>
        <v>20.755184179930001</v>
      </c>
      <c r="I19" s="1287">
        <f t="shared" si="1"/>
        <v>12780.367329326429</v>
      </c>
      <c r="J19" s="1287">
        <f t="shared" si="1"/>
        <v>12520.142477039341</v>
      </c>
      <c r="K19" s="1287">
        <f t="shared" si="1"/>
        <v>7051.056001973071</v>
      </c>
      <c r="L19" s="1287">
        <f t="shared" si="1"/>
        <v>1387.4437819806794</v>
      </c>
      <c r="M19" s="1287">
        <f t="shared" si="1"/>
        <v>7121.2584661642195</v>
      </c>
      <c r="N19" s="1287">
        <f t="shared" si="1"/>
        <v>0.89241208908999992</v>
      </c>
      <c r="O19" s="1287">
        <f t="shared" si="1"/>
        <v>850.94897197372802</v>
      </c>
      <c r="P19" s="1287">
        <f t="shared" si="1"/>
        <v>17942.198721202687</v>
      </c>
      <c r="Q19" s="1287">
        <f t="shared" si="1"/>
        <v>1295.717340767618</v>
      </c>
      <c r="R19" s="1287">
        <f t="shared" si="1"/>
        <v>16245.698173344601</v>
      </c>
      <c r="S19" s="1287">
        <f t="shared" si="1"/>
        <v>1291.7734250035185</v>
      </c>
      <c r="T19" s="1287">
        <f t="shared" si="1"/>
        <v>156.40584079686241</v>
      </c>
      <c r="U19" s="1287">
        <f t="shared" si="1"/>
        <v>25083.484426050796</v>
      </c>
      <c r="V19" s="1287">
        <f t="shared" si="1"/>
        <v>266162.18222732999</v>
      </c>
      <c r="W19" s="25"/>
      <c r="X19" s="25"/>
      <c r="Y19" s="25"/>
    </row>
    <row r="20" spans="1:25" s="700" customFormat="1" ht="11.25" customHeight="1" x14ac:dyDescent="0.2">
      <c r="A20" s="507" t="s">
        <v>2479</v>
      </c>
      <c r="B20" s="507"/>
      <c r="C20" s="503">
        <f t="shared" ref="C20:U20" si="2">SUM(C83:C94)</f>
        <v>51651.943122927405</v>
      </c>
      <c r="D20" s="503">
        <f t="shared" si="2"/>
        <v>50370.006470344852</v>
      </c>
      <c r="E20" s="503">
        <f t="shared" si="2"/>
        <v>38396.743499557495</v>
      </c>
      <c r="F20" s="503">
        <f t="shared" si="2"/>
        <v>19633.968505388548</v>
      </c>
      <c r="G20" s="503">
        <f t="shared" si="2"/>
        <v>57180.300050901242</v>
      </c>
      <c r="H20" s="503">
        <f t="shared" si="2"/>
        <v>30.625262582029933</v>
      </c>
      <c r="I20" s="503">
        <f t="shared" si="2"/>
        <v>14582.858114874198</v>
      </c>
      <c r="J20" s="503">
        <f t="shared" si="2"/>
        <v>19788.17265870234</v>
      </c>
      <c r="K20" s="503">
        <f t="shared" si="2"/>
        <v>11867.951435009201</v>
      </c>
      <c r="L20" s="503">
        <f t="shared" si="2"/>
        <v>2183.8969154255733</v>
      </c>
      <c r="M20" s="503">
        <f t="shared" si="2"/>
        <v>9195.3335180042795</v>
      </c>
      <c r="N20" s="503">
        <f t="shared" si="2"/>
        <v>2.0887688486184999</v>
      </c>
      <c r="O20" s="503">
        <f t="shared" si="2"/>
        <v>1276.9010162546597</v>
      </c>
      <c r="P20" s="503">
        <f t="shared" si="2"/>
        <v>33947.252279710599</v>
      </c>
      <c r="Q20" s="503">
        <f t="shared" si="2"/>
        <v>2141.6031068994944</v>
      </c>
      <c r="R20" s="503">
        <f t="shared" si="2"/>
        <v>19977.618983580083</v>
      </c>
      <c r="S20" s="503">
        <f t="shared" si="2"/>
        <v>2751.2306270736035</v>
      </c>
      <c r="T20" s="503">
        <f t="shared" si="2"/>
        <v>231.05261457843994</v>
      </c>
      <c r="U20" s="503">
        <f t="shared" si="2"/>
        <v>31697.657453737356</v>
      </c>
      <c r="V20" s="503">
        <f>SUM(C20:U20)</f>
        <v>366907.20440440002</v>
      </c>
      <c r="W20" s="25"/>
      <c r="X20" s="25"/>
      <c r="Y20" s="25"/>
    </row>
    <row r="21" spans="1:25" s="700" customFormat="1" ht="11.25" customHeight="1" x14ac:dyDescent="0.2">
      <c r="A21" s="506"/>
      <c r="B21" s="506"/>
      <c r="C21" s="1287"/>
      <c r="D21" s="1287"/>
      <c r="E21" s="1287"/>
      <c r="F21" s="1287"/>
      <c r="G21" s="1287"/>
      <c r="H21" s="1287"/>
      <c r="I21" s="1287"/>
      <c r="J21" s="1287"/>
      <c r="K21" s="1287"/>
      <c r="L21" s="1287"/>
      <c r="M21" s="1287"/>
      <c r="N21" s="1287"/>
      <c r="O21" s="1287"/>
      <c r="P21" s="1287"/>
      <c r="Q21" s="1287"/>
      <c r="R21" s="1287"/>
      <c r="S21" s="1287"/>
      <c r="T21" s="1287"/>
      <c r="U21" s="1287"/>
      <c r="V21" s="1287"/>
      <c r="W21" s="25"/>
      <c r="X21" s="25"/>
      <c r="Y21" s="25"/>
    </row>
    <row r="22" spans="1:25" s="700" customFormat="1" ht="11.25" customHeight="1" x14ac:dyDescent="0.2">
      <c r="A22" s="506"/>
      <c r="B22" s="506"/>
      <c r="C22" s="1287"/>
      <c r="D22" s="1287"/>
      <c r="E22" s="1287"/>
      <c r="F22" s="1287"/>
      <c r="G22" s="1287"/>
      <c r="H22" s="1287"/>
      <c r="I22" s="1287"/>
      <c r="J22" s="1287"/>
      <c r="K22" s="1287"/>
      <c r="L22" s="1287"/>
      <c r="M22" s="1287"/>
      <c r="N22" s="1287"/>
      <c r="O22" s="1287"/>
      <c r="P22" s="1287"/>
      <c r="Q22" s="1287"/>
      <c r="R22" s="1287"/>
      <c r="S22" s="1287"/>
      <c r="T22" s="1287"/>
      <c r="U22" s="1287"/>
      <c r="V22" s="1287"/>
      <c r="W22" s="25"/>
      <c r="X22" s="25"/>
      <c r="Y22" s="25"/>
    </row>
    <row r="23" spans="1:25" s="700" customFormat="1" ht="11.25" customHeight="1" x14ac:dyDescent="0.2">
      <c r="A23" s="506" t="s">
        <v>1484</v>
      </c>
      <c r="B23" s="502" t="s">
        <v>552</v>
      </c>
      <c r="C23" s="1287"/>
      <c r="D23" s="1287"/>
      <c r="E23" s="1287"/>
      <c r="F23" s="1287"/>
      <c r="G23" s="1287"/>
      <c r="H23" s="1287"/>
      <c r="I23" s="1287"/>
      <c r="J23" s="1287"/>
      <c r="K23" s="1287"/>
      <c r="L23" s="1287"/>
      <c r="M23" s="1287"/>
      <c r="N23" s="1287"/>
      <c r="O23" s="1287"/>
      <c r="P23" s="1287"/>
      <c r="Q23" s="1287"/>
      <c r="R23" s="1287"/>
      <c r="S23" s="1287"/>
      <c r="T23" s="1287"/>
      <c r="U23" s="1287"/>
      <c r="V23" s="1287"/>
      <c r="W23" s="25"/>
      <c r="X23" s="25"/>
      <c r="Y23" s="25"/>
    </row>
    <row r="24" spans="1:25" s="700" customFormat="1" ht="11.25" customHeight="1" x14ac:dyDescent="0.2">
      <c r="A24" s="506" t="s">
        <v>1484</v>
      </c>
      <c r="B24" s="505" t="s">
        <v>553</v>
      </c>
      <c r="C24" s="1287"/>
      <c r="D24" s="1287"/>
      <c r="E24" s="1287"/>
      <c r="F24" s="1287"/>
      <c r="G24" s="1287"/>
      <c r="H24" s="1287"/>
      <c r="I24" s="1287"/>
      <c r="J24" s="1287"/>
      <c r="K24" s="1287"/>
      <c r="L24" s="1287"/>
      <c r="M24" s="1287"/>
      <c r="N24" s="1287"/>
      <c r="O24" s="1287"/>
      <c r="P24" s="1287"/>
      <c r="Q24" s="1287"/>
      <c r="R24" s="1287"/>
      <c r="S24" s="1287"/>
      <c r="T24" s="1287"/>
      <c r="U24" s="1287"/>
      <c r="V24" s="1287"/>
      <c r="W24" s="25"/>
      <c r="X24" s="25"/>
      <c r="Y24" s="25"/>
    </row>
    <row r="25" spans="1:25" s="700" customFormat="1" ht="11.25" customHeight="1" x14ac:dyDescent="0.2">
      <c r="A25" s="506" t="s">
        <v>1484</v>
      </c>
      <c r="B25" s="502" t="s">
        <v>547</v>
      </c>
      <c r="C25" s="1287"/>
      <c r="D25" s="1287"/>
      <c r="E25" s="1287"/>
      <c r="F25" s="1287"/>
      <c r="G25" s="1287"/>
      <c r="H25" s="1287"/>
      <c r="I25" s="1287"/>
      <c r="J25" s="1287"/>
      <c r="K25" s="1287"/>
      <c r="L25" s="1287"/>
      <c r="M25" s="1287"/>
      <c r="N25" s="1287"/>
      <c r="O25" s="1287"/>
      <c r="P25" s="1287"/>
      <c r="Q25" s="1287"/>
      <c r="R25" s="1287"/>
      <c r="S25" s="1287"/>
      <c r="T25" s="1287"/>
      <c r="U25" s="1287"/>
      <c r="V25" s="1287"/>
      <c r="W25" s="25"/>
      <c r="X25" s="25"/>
      <c r="Y25" s="25"/>
    </row>
    <row r="26" spans="1:25" s="700" customFormat="1" ht="11.25" customHeight="1" x14ac:dyDescent="0.2">
      <c r="A26" s="506" t="s">
        <v>1484</v>
      </c>
      <c r="B26" s="505" t="s">
        <v>554</v>
      </c>
      <c r="C26" s="1287"/>
      <c r="D26" s="1287"/>
      <c r="E26" s="1287"/>
      <c r="F26" s="1287"/>
      <c r="G26" s="1287"/>
      <c r="H26" s="1287"/>
      <c r="I26" s="1287"/>
      <c r="J26" s="1287"/>
      <c r="K26" s="1287"/>
      <c r="L26" s="1287"/>
      <c r="M26" s="1287"/>
      <c r="N26" s="1287"/>
      <c r="O26" s="1287"/>
      <c r="P26" s="1287"/>
      <c r="Q26" s="1287"/>
      <c r="R26" s="1287"/>
      <c r="S26" s="1287"/>
      <c r="T26" s="1287"/>
      <c r="U26" s="1287"/>
      <c r="V26" s="1287"/>
      <c r="W26" s="25"/>
      <c r="X26" s="25"/>
      <c r="Y26" s="25"/>
    </row>
    <row r="27" spans="1:25" s="700" customFormat="1" ht="11.25" customHeight="1" x14ac:dyDescent="0.2">
      <c r="A27" s="506" t="s">
        <v>1484</v>
      </c>
      <c r="B27" s="502" t="s">
        <v>555</v>
      </c>
      <c r="C27" s="1287"/>
      <c r="D27" s="1287"/>
      <c r="E27" s="1287"/>
      <c r="F27" s="1287"/>
      <c r="G27" s="1287"/>
      <c r="H27" s="1287"/>
      <c r="I27" s="1287"/>
      <c r="J27" s="1287"/>
      <c r="K27" s="1287"/>
      <c r="L27" s="1287"/>
      <c r="M27" s="1287"/>
      <c r="N27" s="1287"/>
      <c r="O27" s="1287"/>
      <c r="P27" s="1287"/>
      <c r="Q27" s="1287"/>
      <c r="R27" s="1287"/>
      <c r="S27" s="1287"/>
      <c r="T27" s="1287"/>
      <c r="U27" s="1287"/>
      <c r="V27" s="1287"/>
      <c r="W27" s="25"/>
      <c r="X27" s="25"/>
      <c r="Y27" s="25"/>
    </row>
    <row r="28" spans="1:25" s="700" customFormat="1" ht="11.25" customHeight="1" x14ac:dyDescent="0.2">
      <c r="A28" s="506" t="s">
        <v>1484</v>
      </c>
      <c r="B28" s="505" t="s">
        <v>548</v>
      </c>
      <c r="C28" s="1287"/>
      <c r="D28" s="1287"/>
      <c r="E28" s="1287"/>
      <c r="F28" s="1287"/>
      <c r="G28" s="1287"/>
      <c r="H28" s="1287"/>
      <c r="I28" s="1287"/>
      <c r="J28" s="1287"/>
      <c r="K28" s="1287"/>
      <c r="L28" s="1287"/>
      <c r="M28" s="1287"/>
      <c r="N28" s="1287"/>
      <c r="O28" s="1287"/>
      <c r="P28" s="1287"/>
      <c r="Q28" s="1287"/>
      <c r="R28" s="1287"/>
      <c r="S28" s="1287"/>
      <c r="T28" s="1287"/>
      <c r="U28" s="1287"/>
      <c r="V28" s="1287"/>
      <c r="W28" s="25"/>
      <c r="X28" s="25"/>
      <c r="Y28" s="25"/>
    </row>
    <row r="29" spans="1:25" s="700" customFormat="1" ht="11.25" customHeight="1" x14ac:dyDescent="0.2">
      <c r="A29" s="506" t="s">
        <v>1484</v>
      </c>
      <c r="B29" s="502" t="s">
        <v>556</v>
      </c>
      <c r="C29" s="1287"/>
      <c r="D29" s="1287"/>
      <c r="E29" s="1287"/>
      <c r="F29" s="1287"/>
      <c r="G29" s="1287"/>
      <c r="H29" s="1287"/>
      <c r="I29" s="1287"/>
      <c r="J29" s="1287"/>
      <c r="K29" s="1287"/>
      <c r="L29" s="1287"/>
      <c r="M29" s="1287"/>
      <c r="N29" s="1287"/>
      <c r="O29" s="1287"/>
      <c r="P29" s="1287"/>
      <c r="Q29" s="1287"/>
      <c r="R29" s="1287"/>
      <c r="S29" s="1287"/>
      <c r="T29" s="1287"/>
      <c r="U29" s="1287"/>
      <c r="V29" s="1287"/>
      <c r="W29" s="25"/>
      <c r="X29" s="25"/>
      <c r="Y29" s="25"/>
    </row>
    <row r="30" spans="1:25" s="700" customFormat="1" ht="11.25" customHeight="1" x14ac:dyDescent="0.2">
      <c r="A30" s="506" t="s">
        <v>1484</v>
      </c>
      <c r="B30" s="505" t="s">
        <v>557</v>
      </c>
      <c r="C30" s="1287"/>
      <c r="D30" s="1287"/>
      <c r="E30" s="1287"/>
      <c r="F30" s="1287"/>
      <c r="G30" s="1287"/>
      <c r="H30" s="1287"/>
      <c r="I30" s="1287"/>
      <c r="J30" s="1287"/>
      <c r="K30" s="1287"/>
      <c r="L30" s="1287"/>
      <c r="M30" s="1287"/>
      <c r="N30" s="1287"/>
      <c r="O30" s="1287"/>
      <c r="P30" s="1287"/>
      <c r="Q30" s="1287"/>
      <c r="R30" s="1287"/>
      <c r="S30" s="1287"/>
      <c r="T30" s="1287"/>
      <c r="U30" s="1287"/>
      <c r="V30" s="1287"/>
      <c r="W30" s="25"/>
      <c r="X30" s="25"/>
      <c r="Y30" s="25"/>
    </row>
    <row r="31" spans="1:25" s="700" customFormat="1" ht="11.25" customHeight="1" x14ac:dyDescent="0.2">
      <c r="A31" s="506" t="s">
        <v>1484</v>
      </c>
      <c r="B31" s="502" t="s">
        <v>549</v>
      </c>
      <c r="C31" s="1287"/>
      <c r="D31" s="1287"/>
      <c r="E31" s="1287"/>
      <c r="F31" s="1287"/>
      <c r="G31" s="1287"/>
      <c r="H31" s="1287"/>
      <c r="I31" s="1287"/>
      <c r="J31" s="1287"/>
      <c r="K31" s="1287"/>
      <c r="L31" s="1287"/>
      <c r="M31" s="1287"/>
      <c r="N31" s="1287"/>
      <c r="O31" s="1287"/>
      <c r="P31" s="1287"/>
      <c r="Q31" s="1287"/>
      <c r="R31" s="1287"/>
      <c r="S31" s="1287"/>
      <c r="T31" s="1287"/>
      <c r="U31" s="1287"/>
      <c r="V31" s="1287"/>
      <c r="W31" s="25"/>
      <c r="X31" s="25"/>
      <c r="Y31" s="25"/>
    </row>
    <row r="32" spans="1:25" s="700" customFormat="1" ht="11.25" customHeight="1" x14ac:dyDescent="0.2">
      <c r="A32" s="506" t="s">
        <v>1484</v>
      </c>
      <c r="B32" s="505" t="s">
        <v>558</v>
      </c>
      <c r="C32" s="1287"/>
      <c r="D32" s="1287"/>
      <c r="E32" s="1287"/>
      <c r="F32" s="1287"/>
      <c r="G32" s="1287"/>
      <c r="H32" s="1287"/>
      <c r="I32" s="1287"/>
      <c r="J32" s="1287"/>
      <c r="K32" s="1287"/>
      <c r="L32" s="1287"/>
      <c r="M32" s="1287"/>
      <c r="N32" s="1287"/>
      <c r="O32" s="1287"/>
      <c r="P32" s="1287"/>
      <c r="Q32" s="1287"/>
      <c r="R32" s="1287"/>
      <c r="S32" s="1287"/>
      <c r="T32" s="1287"/>
      <c r="U32" s="1287"/>
      <c r="V32" s="1287"/>
      <c r="W32" s="25"/>
      <c r="X32" s="25"/>
      <c r="Y32" s="25"/>
    </row>
    <row r="33" spans="1:25" s="700" customFormat="1" ht="11.25" customHeight="1" x14ac:dyDescent="0.2">
      <c r="A33" s="506" t="s">
        <v>1484</v>
      </c>
      <c r="B33" s="502" t="s">
        <v>559</v>
      </c>
      <c r="C33" s="1287"/>
      <c r="D33" s="1287"/>
      <c r="E33" s="1287"/>
      <c r="F33" s="1287"/>
      <c r="G33" s="1287"/>
      <c r="H33" s="1287"/>
      <c r="I33" s="1287"/>
      <c r="J33" s="1287"/>
      <c r="K33" s="1287"/>
      <c r="L33" s="1287"/>
      <c r="M33" s="1287"/>
      <c r="N33" s="1287"/>
      <c r="O33" s="1287"/>
      <c r="P33" s="1287"/>
      <c r="Q33" s="1287"/>
      <c r="R33" s="1287"/>
      <c r="S33" s="1287"/>
      <c r="T33" s="1287"/>
      <c r="U33" s="1287"/>
      <c r="V33" s="1287"/>
      <c r="W33" s="25"/>
      <c r="X33" s="25"/>
      <c r="Y33" s="25"/>
    </row>
    <row r="34" spans="1:25" s="700" customFormat="1" ht="11.25" customHeight="1" x14ac:dyDescent="0.2">
      <c r="A34" s="506" t="s">
        <v>1484</v>
      </c>
      <c r="B34" s="505" t="s">
        <v>550</v>
      </c>
      <c r="C34" s="1287"/>
      <c r="D34" s="1287"/>
      <c r="E34" s="1287"/>
      <c r="F34" s="1287"/>
      <c r="G34" s="1287"/>
      <c r="H34" s="1287"/>
      <c r="I34" s="1287"/>
      <c r="J34" s="1287"/>
      <c r="K34" s="1287"/>
      <c r="L34" s="1287"/>
      <c r="M34" s="1287"/>
      <c r="N34" s="1287"/>
      <c r="O34" s="1287"/>
      <c r="P34" s="1287"/>
      <c r="Q34" s="1287"/>
      <c r="R34" s="1287"/>
      <c r="S34" s="1287"/>
      <c r="T34" s="1287"/>
      <c r="U34" s="1287"/>
      <c r="V34" s="1287"/>
      <c r="W34" s="25"/>
      <c r="X34" s="25"/>
      <c r="Y34" s="25"/>
    </row>
    <row r="35" spans="1:25" s="700" customFormat="1" ht="11.25" customHeight="1" x14ac:dyDescent="0.2">
      <c r="A35" s="506" t="s">
        <v>1536</v>
      </c>
      <c r="B35" s="502" t="s">
        <v>552</v>
      </c>
      <c r="C35" s="1287"/>
      <c r="D35" s="1287"/>
      <c r="E35" s="1287"/>
      <c r="F35" s="1287"/>
      <c r="G35" s="1287"/>
      <c r="H35" s="1287"/>
      <c r="I35" s="1287"/>
      <c r="J35" s="1287"/>
      <c r="K35" s="1287"/>
      <c r="L35" s="1287"/>
      <c r="M35" s="1287"/>
      <c r="N35" s="1287"/>
      <c r="O35" s="1287"/>
      <c r="P35" s="1287"/>
      <c r="Q35" s="1287"/>
      <c r="R35" s="1287"/>
      <c r="S35" s="1287"/>
      <c r="T35" s="1287"/>
      <c r="U35" s="1287"/>
      <c r="V35" s="1287"/>
      <c r="W35" s="25"/>
      <c r="X35" s="25"/>
      <c r="Y35" s="25"/>
    </row>
    <row r="36" spans="1:25" s="700" customFormat="1" ht="11.25" customHeight="1" x14ac:dyDescent="0.2">
      <c r="A36" s="506" t="s">
        <v>1536</v>
      </c>
      <c r="B36" s="505" t="s">
        <v>553</v>
      </c>
      <c r="C36" s="1287"/>
      <c r="D36" s="1287"/>
      <c r="E36" s="1287"/>
      <c r="F36" s="1287"/>
      <c r="G36" s="1287"/>
      <c r="H36" s="1287"/>
      <c r="I36" s="1287"/>
      <c r="J36" s="1287"/>
      <c r="K36" s="1287"/>
      <c r="L36" s="1287"/>
      <c r="M36" s="1287"/>
      <c r="N36" s="1287"/>
      <c r="O36" s="1287"/>
      <c r="P36" s="1287"/>
      <c r="Q36" s="1287"/>
      <c r="R36" s="1287"/>
      <c r="S36" s="1287"/>
      <c r="T36" s="1287"/>
      <c r="U36" s="1287"/>
      <c r="V36" s="1287"/>
      <c r="W36" s="25"/>
      <c r="X36" s="25"/>
      <c r="Y36" s="25"/>
    </row>
    <row r="37" spans="1:25" s="700" customFormat="1" ht="11.25" customHeight="1" x14ac:dyDescent="0.2">
      <c r="A37" s="506" t="s">
        <v>1536</v>
      </c>
      <c r="B37" s="502" t="s">
        <v>547</v>
      </c>
      <c r="C37" s="1287"/>
      <c r="D37" s="1287"/>
      <c r="E37" s="1287"/>
      <c r="F37" s="1287"/>
      <c r="G37" s="1287"/>
      <c r="H37" s="1287"/>
      <c r="I37" s="1287"/>
      <c r="J37" s="1287"/>
      <c r="K37" s="1287"/>
      <c r="L37" s="1287"/>
      <c r="M37" s="1287"/>
      <c r="N37" s="1287"/>
      <c r="O37" s="1287"/>
      <c r="P37" s="1287"/>
      <c r="Q37" s="1287"/>
      <c r="R37" s="1287"/>
      <c r="S37" s="1287"/>
      <c r="T37" s="1287"/>
      <c r="U37" s="1287"/>
      <c r="V37" s="1287"/>
      <c r="W37" s="25"/>
      <c r="X37" s="25"/>
      <c r="Y37" s="25"/>
    </row>
    <row r="38" spans="1:25" s="700" customFormat="1" ht="11.25" customHeight="1" x14ac:dyDescent="0.2">
      <c r="A38" s="506" t="s">
        <v>1536</v>
      </c>
      <c r="B38" s="505" t="s">
        <v>554</v>
      </c>
      <c r="C38" s="1287"/>
      <c r="D38" s="1287"/>
      <c r="E38" s="1287"/>
      <c r="F38" s="1287"/>
      <c r="G38" s="1287"/>
      <c r="H38" s="1287"/>
      <c r="I38" s="1287"/>
      <c r="J38" s="1287"/>
      <c r="K38" s="1287"/>
      <c r="L38" s="1287"/>
      <c r="M38" s="1287"/>
      <c r="N38" s="1287"/>
      <c r="O38" s="1287"/>
      <c r="P38" s="1287"/>
      <c r="Q38" s="1287"/>
      <c r="R38" s="1287"/>
      <c r="S38" s="1287"/>
      <c r="T38" s="1287"/>
      <c r="U38" s="1287"/>
      <c r="V38" s="1287"/>
      <c r="W38" s="25"/>
      <c r="X38" s="25"/>
      <c r="Y38" s="25"/>
    </row>
    <row r="39" spans="1:25" s="700" customFormat="1" ht="11.25" customHeight="1" x14ac:dyDescent="0.2">
      <c r="A39" s="506" t="s">
        <v>1536</v>
      </c>
      <c r="B39" s="502" t="s">
        <v>555</v>
      </c>
      <c r="C39" s="1287"/>
      <c r="D39" s="1287"/>
      <c r="E39" s="1287"/>
      <c r="F39" s="1287"/>
      <c r="G39" s="1287"/>
      <c r="H39" s="1287"/>
      <c r="I39" s="1287"/>
      <c r="J39" s="1287"/>
      <c r="K39" s="1287"/>
      <c r="L39" s="1287"/>
      <c r="M39" s="1287"/>
      <c r="N39" s="1287"/>
      <c r="O39" s="1287"/>
      <c r="P39" s="1287"/>
      <c r="Q39" s="1287"/>
      <c r="R39" s="1287"/>
      <c r="S39" s="1287"/>
      <c r="T39" s="1287"/>
      <c r="U39" s="1287"/>
      <c r="V39" s="1287"/>
      <c r="W39" s="25"/>
      <c r="X39" s="25"/>
      <c r="Y39" s="25"/>
    </row>
    <row r="40" spans="1:25" s="700" customFormat="1" ht="11.25" customHeight="1" x14ac:dyDescent="0.2">
      <c r="A40" s="506" t="s">
        <v>1536</v>
      </c>
      <c r="B40" s="505" t="s">
        <v>548</v>
      </c>
      <c r="C40" s="1287"/>
      <c r="D40" s="1287"/>
      <c r="E40" s="1287"/>
      <c r="F40" s="1287"/>
      <c r="G40" s="1287"/>
      <c r="H40" s="1287"/>
      <c r="I40" s="1287"/>
      <c r="J40" s="1287"/>
      <c r="K40" s="1287"/>
      <c r="L40" s="1287"/>
      <c r="M40" s="1287"/>
      <c r="N40" s="1287"/>
      <c r="O40" s="1287"/>
      <c r="P40" s="1287"/>
      <c r="Q40" s="1287"/>
      <c r="R40" s="1287"/>
      <c r="S40" s="1287"/>
      <c r="T40" s="1287"/>
      <c r="U40" s="1287"/>
      <c r="V40" s="1287"/>
      <c r="W40" s="25"/>
      <c r="X40" s="25"/>
      <c r="Y40" s="25"/>
    </row>
    <row r="41" spans="1:25" s="700" customFormat="1" ht="11.25" customHeight="1" x14ac:dyDescent="0.2">
      <c r="A41" s="506" t="s">
        <v>1536</v>
      </c>
      <c r="B41" s="502" t="s">
        <v>556</v>
      </c>
      <c r="C41" s="1287"/>
      <c r="D41" s="1287"/>
      <c r="E41" s="1287"/>
      <c r="F41" s="1287"/>
      <c r="G41" s="1287"/>
      <c r="H41" s="1287"/>
      <c r="I41" s="1287"/>
      <c r="J41" s="1287"/>
      <c r="K41" s="1287"/>
      <c r="L41" s="1287"/>
      <c r="M41" s="1287"/>
      <c r="N41" s="1287"/>
      <c r="O41" s="1287"/>
      <c r="P41" s="1287"/>
      <c r="Q41" s="1287"/>
      <c r="R41" s="1287"/>
      <c r="S41" s="1287"/>
      <c r="T41" s="1287"/>
      <c r="U41" s="1287"/>
      <c r="V41" s="1287"/>
      <c r="W41" s="25"/>
      <c r="X41" s="25"/>
      <c r="Y41" s="25"/>
    </row>
    <row r="42" spans="1:25" s="700" customFormat="1" ht="11.25" customHeight="1" x14ac:dyDescent="0.2">
      <c r="A42" s="506" t="s">
        <v>1536</v>
      </c>
      <c r="B42" s="505" t="s">
        <v>557</v>
      </c>
      <c r="C42" s="1287"/>
      <c r="D42" s="1287"/>
      <c r="E42" s="1287"/>
      <c r="F42" s="1287"/>
      <c r="G42" s="1287"/>
      <c r="H42" s="1287"/>
      <c r="I42" s="1287"/>
      <c r="J42" s="1287"/>
      <c r="K42" s="1287"/>
      <c r="L42" s="1287"/>
      <c r="M42" s="1287"/>
      <c r="N42" s="1287"/>
      <c r="O42" s="1287"/>
      <c r="P42" s="1287"/>
      <c r="Q42" s="1287"/>
      <c r="R42" s="1287"/>
      <c r="S42" s="1287"/>
      <c r="T42" s="1287"/>
      <c r="U42" s="1287"/>
      <c r="V42" s="1287"/>
      <c r="W42" s="25"/>
      <c r="X42" s="25"/>
      <c r="Y42" s="25"/>
    </row>
    <row r="43" spans="1:25" s="700" customFormat="1" ht="11.25" customHeight="1" x14ac:dyDescent="0.2">
      <c r="A43" s="506" t="s">
        <v>1536</v>
      </c>
      <c r="B43" s="502" t="s">
        <v>549</v>
      </c>
      <c r="C43" s="1287"/>
      <c r="D43" s="1287"/>
      <c r="E43" s="1287"/>
      <c r="F43" s="1287"/>
      <c r="G43" s="1287"/>
      <c r="H43" s="1287"/>
      <c r="I43" s="1287"/>
      <c r="J43" s="1287"/>
      <c r="K43" s="1287"/>
      <c r="L43" s="1287"/>
      <c r="M43" s="1287"/>
      <c r="N43" s="1287"/>
      <c r="O43" s="1287"/>
      <c r="P43" s="1287"/>
      <c r="Q43" s="1287"/>
      <c r="R43" s="1287"/>
      <c r="S43" s="1287"/>
      <c r="T43" s="1287"/>
      <c r="U43" s="1287"/>
      <c r="V43" s="1287"/>
      <c r="W43" s="25"/>
      <c r="X43" s="25"/>
      <c r="Y43" s="25"/>
    </row>
    <row r="44" spans="1:25" s="700" customFormat="1" ht="11.25" customHeight="1" x14ac:dyDescent="0.2">
      <c r="A44" s="506" t="s">
        <v>1536</v>
      </c>
      <c r="B44" s="505" t="s">
        <v>558</v>
      </c>
      <c r="C44" s="1287"/>
      <c r="D44" s="1287"/>
      <c r="E44" s="1287"/>
      <c r="F44" s="1287"/>
      <c r="G44" s="1287"/>
      <c r="H44" s="1287"/>
      <c r="I44" s="1287"/>
      <c r="J44" s="1287"/>
      <c r="K44" s="1287"/>
      <c r="L44" s="1287"/>
      <c r="M44" s="1287"/>
      <c r="N44" s="1287"/>
      <c r="O44" s="1287"/>
      <c r="P44" s="1287"/>
      <c r="Q44" s="1287"/>
      <c r="R44" s="1287"/>
      <c r="S44" s="1287"/>
      <c r="T44" s="1287"/>
      <c r="U44" s="1287"/>
      <c r="V44" s="1287"/>
      <c r="W44" s="25"/>
      <c r="X44" s="25"/>
      <c r="Y44" s="25"/>
    </row>
    <row r="45" spans="1:25" s="700" customFormat="1" ht="11.25" customHeight="1" x14ac:dyDescent="0.2">
      <c r="A45" s="506" t="s">
        <v>1536</v>
      </c>
      <c r="B45" s="502" t="s">
        <v>559</v>
      </c>
      <c r="C45" s="1287"/>
      <c r="D45" s="1287"/>
      <c r="E45" s="1287"/>
      <c r="F45" s="1287"/>
      <c r="G45" s="1287"/>
      <c r="H45" s="1287"/>
      <c r="I45" s="1287"/>
      <c r="J45" s="1287"/>
      <c r="K45" s="1287"/>
      <c r="L45" s="1287"/>
      <c r="M45" s="1287"/>
      <c r="N45" s="1287"/>
      <c r="O45" s="1287"/>
      <c r="P45" s="1287"/>
      <c r="Q45" s="1287"/>
      <c r="R45" s="1287"/>
      <c r="S45" s="1287"/>
      <c r="T45" s="1287"/>
      <c r="U45" s="1287"/>
      <c r="V45" s="1287"/>
      <c r="W45" s="25"/>
      <c r="X45" s="25"/>
      <c r="Y45" s="25"/>
    </row>
    <row r="46" spans="1:25" s="700" customFormat="1" ht="11.25" customHeight="1" x14ac:dyDescent="0.2">
      <c r="A46" s="506" t="s">
        <v>1536</v>
      </c>
      <c r="B46" s="505" t="s">
        <v>550</v>
      </c>
      <c r="C46" s="1287"/>
      <c r="D46" s="1287"/>
      <c r="E46" s="1287"/>
      <c r="F46" s="1287"/>
      <c r="G46" s="1287"/>
      <c r="H46" s="1287"/>
      <c r="I46" s="1287"/>
      <c r="J46" s="1287"/>
      <c r="K46" s="1287"/>
      <c r="L46" s="1287"/>
      <c r="M46" s="1287"/>
      <c r="N46" s="1287"/>
      <c r="O46" s="1287"/>
      <c r="P46" s="1287"/>
      <c r="Q46" s="1287"/>
      <c r="R46" s="1287"/>
      <c r="S46" s="1287"/>
      <c r="T46" s="1287"/>
      <c r="U46" s="1287"/>
      <c r="V46" s="1287"/>
      <c r="W46" s="25"/>
      <c r="X46" s="25"/>
      <c r="Y46" s="25"/>
    </row>
    <row r="47" spans="1:25" s="700" customFormat="1" ht="11.25" customHeight="1" x14ac:dyDescent="0.2">
      <c r="A47" s="506" t="s">
        <v>1817</v>
      </c>
      <c r="B47" s="502" t="s">
        <v>552</v>
      </c>
      <c r="C47" s="694">
        <v>3921.1534806000004</v>
      </c>
      <c r="D47" s="694">
        <v>1349.9052966000002</v>
      </c>
      <c r="E47" s="694">
        <v>1351.6013705999999</v>
      </c>
      <c r="F47" s="694">
        <v>1262.2182708000003</v>
      </c>
      <c r="G47" s="694">
        <v>2395.1957028000002</v>
      </c>
      <c r="H47" s="694">
        <v>1.9504851000000003</v>
      </c>
      <c r="I47" s="694">
        <v>1021.6301739</v>
      </c>
      <c r="J47" s="694">
        <v>933.0103074000001</v>
      </c>
      <c r="K47" s="694">
        <v>321.15161189999998</v>
      </c>
      <c r="L47" s="694">
        <v>45.624390600000005</v>
      </c>
      <c r="M47" s="694">
        <v>392.30191619999999</v>
      </c>
      <c r="N47" s="694">
        <v>0.84803700000000004</v>
      </c>
      <c r="O47" s="694">
        <v>51.306238500000006</v>
      </c>
      <c r="P47" s="694">
        <v>939.37058490000004</v>
      </c>
      <c r="Q47" s="694">
        <v>84.125270400000005</v>
      </c>
      <c r="R47" s="694">
        <v>654.85417140000004</v>
      </c>
      <c r="S47" s="694">
        <v>60.719449200000007</v>
      </c>
      <c r="T47" s="694">
        <v>15.519077100000001</v>
      </c>
      <c r="U47" s="694">
        <v>1068.4418163000003</v>
      </c>
      <c r="V47" s="694">
        <f t="shared" ref="V47:V70" si="3">SUM(C47:U47)</f>
        <v>15870.9276513</v>
      </c>
      <c r="W47" s="25"/>
      <c r="X47" s="25"/>
      <c r="Y47" s="25"/>
    </row>
    <row r="48" spans="1:25" s="700" customFormat="1" ht="11.25" customHeight="1" x14ac:dyDescent="0.2">
      <c r="A48" s="506" t="s">
        <v>1817</v>
      </c>
      <c r="B48" s="505" t="s">
        <v>553</v>
      </c>
      <c r="C48" s="709">
        <v>3672.3180243999996</v>
      </c>
      <c r="D48" s="709">
        <v>1319.8189328000001</v>
      </c>
      <c r="E48" s="709">
        <v>1239.0292955</v>
      </c>
      <c r="F48" s="709">
        <v>1296.6269548999999</v>
      </c>
      <c r="G48" s="709">
        <v>2357.5962295999998</v>
      </c>
      <c r="H48" s="709">
        <v>2.6335213</v>
      </c>
      <c r="I48" s="709">
        <v>1071.1635506999999</v>
      </c>
      <c r="J48" s="709">
        <v>848.07881089999989</v>
      </c>
      <c r="K48" s="709">
        <v>320.270171</v>
      </c>
      <c r="L48" s="709">
        <v>58.532134699999993</v>
      </c>
      <c r="M48" s="709">
        <v>388.3169633</v>
      </c>
      <c r="N48" s="709">
        <v>0</v>
      </c>
      <c r="O48" s="709">
        <v>52.330616799999994</v>
      </c>
      <c r="P48" s="709">
        <v>817.58093519999989</v>
      </c>
      <c r="Q48" s="709">
        <v>66.262794</v>
      </c>
      <c r="R48" s="709">
        <v>772.30135929999983</v>
      </c>
      <c r="S48" s="709">
        <v>79.345448199999993</v>
      </c>
      <c r="T48" s="709">
        <v>14.866652499999997</v>
      </c>
      <c r="U48" s="709">
        <v>1000.1434279000001</v>
      </c>
      <c r="V48" s="709">
        <f t="shared" si="3"/>
        <v>15377.215823</v>
      </c>
      <c r="W48" s="25"/>
      <c r="X48" s="25"/>
      <c r="Y48" s="25"/>
    </row>
    <row r="49" spans="1:25" s="700" customFormat="1" ht="11.25" customHeight="1" x14ac:dyDescent="0.2">
      <c r="A49" s="506" t="s">
        <v>1817</v>
      </c>
      <c r="B49" s="502" t="s">
        <v>547</v>
      </c>
      <c r="C49" s="694">
        <v>3491.0879889000003</v>
      </c>
      <c r="D49" s="694">
        <v>1123.3686312</v>
      </c>
      <c r="E49" s="694">
        <v>1251.4271986000001</v>
      </c>
      <c r="F49" s="694">
        <v>1198.5668046000003</v>
      </c>
      <c r="G49" s="694">
        <v>2542.5849514000006</v>
      </c>
      <c r="H49" s="694">
        <v>2.0462088</v>
      </c>
      <c r="I49" s="694">
        <v>935.79949120000003</v>
      </c>
      <c r="J49" s="694">
        <v>696.47832029999995</v>
      </c>
      <c r="K49" s="694">
        <v>307.44287220000007</v>
      </c>
      <c r="L49" s="694">
        <v>56.952811599999997</v>
      </c>
      <c r="M49" s="694">
        <v>370.96060369999998</v>
      </c>
      <c r="N49" s="694">
        <v>0</v>
      </c>
      <c r="O49" s="694">
        <v>50.558409099999999</v>
      </c>
      <c r="P49" s="694">
        <v>714.89419950000001</v>
      </c>
      <c r="Q49" s="694">
        <v>85.599734799999993</v>
      </c>
      <c r="R49" s="694">
        <v>767.07252390000008</v>
      </c>
      <c r="S49" s="694">
        <v>76.477053900000016</v>
      </c>
      <c r="T49" s="694">
        <v>13.129839800000003</v>
      </c>
      <c r="U49" s="694">
        <v>1037.2573442000007</v>
      </c>
      <c r="V49" s="694">
        <f t="shared" si="3"/>
        <v>14721.704987700003</v>
      </c>
      <c r="W49" s="25"/>
      <c r="X49" s="25"/>
      <c r="Y49" s="25"/>
    </row>
    <row r="50" spans="1:25" s="700" customFormat="1" ht="11.25" customHeight="1" x14ac:dyDescent="0.2">
      <c r="A50" s="506" t="s">
        <v>1817</v>
      </c>
      <c r="B50" s="505" t="s">
        <v>554</v>
      </c>
      <c r="C50" s="709">
        <v>3387.4995728000004</v>
      </c>
      <c r="D50" s="709">
        <v>1049.0906734</v>
      </c>
      <c r="E50" s="709">
        <v>1227.1638414000001</v>
      </c>
      <c r="F50" s="709">
        <v>1122.8026915</v>
      </c>
      <c r="G50" s="709">
        <v>2516.3108431999999</v>
      </c>
      <c r="H50" s="709">
        <v>2.0546903999999997</v>
      </c>
      <c r="I50" s="709">
        <v>915.27896110000006</v>
      </c>
      <c r="J50" s="709">
        <v>556.56426209999995</v>
      </c>
      <c r="K50" s="709">
        <v>274.55800469999997</v>
      </c>
      <c r="L50" s="709">
        <v>45.374412999999997</v>
      </c>
      <c r="M50" s="709">
        <v>347.49951390000001</v>
      </c>
      <c r="N50" s="709">
        <v>0</v>
      </c>
      <c r="O50" s="709">
        <v>43.319722599999992</v>
      </c>
      <c r="P50" s="709">
        <v>702.10483210000007</v>
      </c>
      <c r="Q50" s="709">
        <v>96.827285100000012</v>
      </c>
      <c r="R50" s="709">
        <v>718.79919159999986</v>
      </c>
      <c r="S50" s="709">
        <v>80.132925599999993</v>
      </c>
      <c r="T50" s="709">
        <v>14.725281200000001</v>
      </c>
      <c r="U50" s="709">
        <v>999.09320700000137</v>
      </c>
      <c r="V50" s="709">
        <f t="shared" si="3"/>
        <v>14099.199912700004</v>
      </c>
      <c r="W50" s="25"/>
      <c r="X50" s="25"/>
      <c r="Y50" s="25"/>
    </row>
    <row r="51" spans="1:25" s="700" customFormat="1" ht="11.25" customHeight="1" x14ac:dyDescent="0.2">
      <c r="A51" s="506" t="s">
        <v>1817</v>
      </c>
      <c r="B51" s="502" t="s">
        <v>555</v>
      </c>
      <c r="C51" s="694">
        <v>3132.7603250000002</v>
      </c>
      <c r="D51" s="694">
        <v>1080.25035</v>
      </c>
      <c r="E51" s="694">
        <v>1189.1846</v>
      </c>
      <c r="F51" s="694">
        <v>1088.8278500000001</v>
      </c>
      <c r="G51" s="694">
        <v>2330.420975</v>
      </c>
      <c r="H51" s="694">
        <v>1.2008500000000002</v>
      </c>
      <c r="I51" s="694">
        <v>906.89907500000004</v>
      </c>
      <c r="J51" s="694">
        <v>536.43685000000005</v>
      </c>
      <c r="K51" s="694">
        <v>228.50460000000004</v>
      </c>
      <c r="L51" s="694">
        <v>45.117650000000005</v>
      </c>
      <c r="M51" s="694">
        <v>377.15267499999999</v>
      </c>
      <c r="N51" s="694">
        <v>0</v>
      </c>
      <c r="O51" s="694">
        <v>41.086224999999999</v>
      </c>
      <c r="P51" s="694">
        <v>618.09465000000012</v>
      </c>
      <c r="Q51" s="694">
        <v>77.197500000000005</v>
      </c>
      <c r="R51" s="694">
        <v>631.81864999999993</v>
      </c>
      <c r="S51" s="694">
        <v>77.111725000000007</v>
      </c>
      <c r="T51" s="694">
        <v>11.064975</v>
      </c>
      <c r="U51" s="694">
        <v>953.73222499999952</v>
      </c>
      <c r="V51" s="694">
        <f t="shared" si="3"/>
        <v>13326.861749999998</v>
      </c>
      <c r="W51" s="25"/>
      <c r="X51" s="25"/>
      <c r="Y51" s="25"/>
    </row>
    <row r="52" spans="1:25" s="700" customFormat="1" ht="11.25" customHeight="1" x14ac:dyDescent="0.2">
      <c r="A52" s="506" t="s">
        <v>1817</v>
      </c>
      <c r="B52" s="505" t="s">
        <v>548</v>
      </c>
      <c r="C52" s="709">
        <v>3174.9432000000002</v>
      </c>
      <c r="D52" s="709">
        <v>1033.8042</v>
      </c>
      <c r="E52" s="709">
        <v>1256.4551999999999</v>
      </c>
      <c r="F52" s="709">
        <v>1201.3715999999999</v>
      </c>
      <c r="G52" s="709">
        <v>2302.7861999999996</v>
      </c>
      <c r="H52" s="709">
        <v>1.4586000000000001</v>
      </c>
      <c r="I52" s="709">
        <v>993.99299999999982</v>
      </c>
      <c r="J52" s="709">
        <v>527.32680000000005</v>
      </c>
      <c r="K52" s="709">
        <v>261.34679999999997</v>
      </c>
      <c r="L52" s="709">
        <v>54.397199999999998</v>
      </c>
      <c r="M52" s="709">
        <v>400.34279999999995</v>
      </c>
      <c r="N52" s="709">
        <v>0</v>
      </c>
      <c r="O52" s="709">
        <v>54.740400000000001</v>
      </c>
      <c r="P52" s="709">
        <v>656.79899999999998</v>
      </c>
      <c r="Q52" s="709">
        <v>85.370999999999995</v>
      </c>
      <c r="R52" s="709">
        <v>777.09059999999988</v>
      </c>
      <c r="S52" s="709">
        <v>102.7884</v>
      </c>
      <c r="T52" s="709">
        <v>14.585999999999999</v>
      </c>
      <c r="U52" s="709">
        <v>1091.4617999999998</v>
      </c>
      <c r="V52" s="709">
        <f t="shared" si="3"/>
        <v>13991.0628</v>
      </c>
      <c r="W52" s="25"/>
      <c r="X52" s="25"/>
      <c r="Y52" s="25"/>
    </row>
    <row r="53" spans="1:25" s="700" customFormat="1" ht="11.25" customHeight="1" x14ac:dyDescent="0.2">
      <c r="A53" s="506" t="s">
        <v>1817</v>
      </c>
      <c r="B53" s="502" t="s">
        <v>556</v>
      </c>
      <c r="C53" s="694">
        <v>3078.4353469999996</v>
      </c>
      <c r="D53" s="694">
        <v>1193.8982820000001</v>
      </c>
      <c r="E53" s="694">
        <v>1665.0970136000001</v>
      </c>
      <c r="F53" s="694">
        <v>1128.4014864000001</v>
      </c>
      <c r="G53" s="694">
        <v>2402.3227562000002</v>
      </c>
      <c r="H53" s="694">
        <v>1.9769374000000002</v>
      </c>
      <c r="I53" s="694">
        <v>960.70562260000008</v>
      </c>
      <c r="J53" s="694">
        <v>593.94075799999996</v>
      </c>
      <c r="K53" s="694">
        <v>283.81944759999999</v>
      </c>
      <c r="L53" s="694">
        <v>63.605812</v>
      </c>
      <c r="M53" s="694">
        <v>407.67887340000004</v>
      </c>
      <c r="N53" s="694">
        <v>0</v>
      </c>
      <c r="O53" s="694">
        <v>49.509388799999996</v>
      </c>
      <c r="P53" s="694">
        <v>681.52768020000008</v>
      </c>
      <c r="Q53" s="694">
        <v>93.517734400000009</v>
      </c>
      <c r="R53" s="694">
        <v>774.18587659999992</v>
      </c>
      <c r="S53" s="694">
        <v>100.99571499999999</v>
      </c>
      <c r="T53" s="694">
        <v>15.127868800000002</v>
      </c>
      <c r="U53" s="694">
        <v>1156.3364713999999</v>
      </c>
      <c r="V53" s="694">
        <f t="shared" si="3"/>
        <v>14651.083071400004</v>
      </c>
      <c r="W53" s="25"/>
      <c r="X53" s="25"/>
      <c r="Y53" s="25"/>
    </row>
    <row r="54" spans="1:25" s="700" customFormat="1" ht="11.25" customHeight="1" x14ac:dyDescent="0.2">
      <c r="A54" s="506" t="s">
        <v>1817</v>
      </c>
      <c r="B54" s="505" t="s">
        <v>557</v>
      </c>
      <c r="C54" s="709">
        <v>2713.4719999999998</v>
      </c>
      <c r="D54" s="709">
        <v>1102.1759999999999</v>
      </c>
      <c r="E54" s="709">
        <v>1419.43</v>
      </c>
      <c r="F54" s="709">
        <v>1036.9019999999998</v>
      </c>
      <c r="G54" s="709">
        <v>2027.5360000000001</v>
      </c>
      <c r="H54" s="709">
        <v>1.4620000000000002</v>
      </c>
      <c r="I54" s="709">
        <v>841.59599999999989</v>
      </c>
      <c r="J54" s="709">
        <v>498.45600000000002</v>
      </c>
      <c r="K54" s="709">
        <v>246.73400000000001</v>
      </c>
      <c r="L54" s="709">
        <v>56.158000000000001</v>
      </c>
      <c r="M54" s="709">
        <v>420.11</v>
      </c>
      <c r="N54" s="709">
        <v>0</v>
      </c>
      <c r="O54" s="709">
        <v>44.72</v>
      </c>
      <c r="P54" s="709">
        <v>645.43000000000006</v>
      </c>
      <c r="Q54" s="709">
        <v>77.056000000000012</v>
      </c>
      <c r="R54" s="709">
        <v>579.72599999999989</v>
      </c>
      <c r="S54" s="709">
        <v>98.556000000000012</v>
      </c>
      <c r="T54" s="709">
        <v>10.061999999999999</v>
      </c>
      <c r="U54" s="709">
        <v>1032.8600000000001</v>
      </c>
      <c r="V54" s="709">
        <f t="shared" si="3"/>
        <v>12852.442000000001</v>
      </c>
      <c r="W54" s="25"/>
      <c r="X54" s="25"/>
      <c r="Y54" s="25"/>
    </row>
    <row r="55" spans="1:25" s="700" customFormat="1" ht="11.25" customHeight="1" x14ac:dyDescent="0.2">
      <c r="A55" s="506" t="s">
        <v>1817</v>
      </c>
      <c r="B55" s="502" t="s">
        <v>549</v>
      </c>
      <c r="C55" s="694">
        <v>3248.9106935999998</v>
      </c>
      <c r="D55" s="694">
        <v>1584.6959501999997</v>
      </c>
      <c r="E55" s="694">
        <v>1843.9926210999997</v>
      </c>
      <c r="F55" s="694">
        <v>1243.3847664</v>
      </c>
      <c r="G55" s="694">
        <v>2653.3803375999996</v>
      </c>
      <c r="H55" s="694">
        <v>1.2048302</v>
      </c>
      <c r="I55" s="694">
        <v>1029.4413466000001</v>
      </c>
      <c r="J55" s="694">
        <v>639.42059899999992</v>
      </c>
      <c r="K55" s="694">
        <v>256.19853609999996</v>
      </c>
      <c r="L55" s="694">
        <v>69.535914399999996</v>
      </c>
      <c r="M55" s="694">
        <v>494.66885639999992</v>
      </c>
      <c r="N55" s="694">
        <v>0</v>
      </c>
      <c r="O55" s="694">
        <v>51.549520699999995</v>
      </c>
      <c r="P55" s="694">
        <v>700.78087990000006</v>
      </c>
      <c r="Q55" s="694">
        <v>117.38488519999999</v>
      </c>
      <c r="R55" s="694">
        <v>739.07726839999987</v>
      </c>
      <c r="S55" s="694">
        <v>112.0492086</v>
      </c>
      <c r="T55" s="694">
        <v>14.716140299999998</v>
      </c>
      <c r="U55" s="694">
        <v>1204.3138442000004</v>
      </c>
      <c r="V55" s="694">
        <f t="shared" si="3"/>
        <v>16004.706198899998</v>
      </c>
      <c r="W55" s="25"/>
      <c r="X55" s="25"/>
      <c r="Y55" s="25"/>
    </row>
    <row r="56" spans="1:25" s="700" customFormat="1" ht="11.25" customHeight="1" x14ac:dyDescent="0.2">
      <c r="A56" s="506" t="s">
        <v>1817</v>
      </c>
      <c r="B56" s="505" t="s">
        <v>558</v>
      </c>
      <c r="C56" s="709">
        <v>3242.8440885999998</v>
      </c>
      <c r="D56" s="709">
        <v>2037.0927952000002</v>
      </c>
      <c r="E56" s="709">
        <v>2060.6335306000001</v>
      </c>
      <c r="F56" s="709">
        <v>1278.8741637999999</v>
      </c>
      <c r="G56" s="709">
        <v>3062.6238066000001</v>
      </c>
      <c r="H56" s="709">
        <v>1.5521363999999997</v>
      </c>
      <c r="I56" s="709">
        <v>974.05182079999997</v>
      </c>
      <c r="J56" s="709">
        <v>641.89463120000005</v>
      </c>
      <c r="K56" s="709">
        <v>298.18264839999995</v>
      </c>
      <c r="L56" s="709">
        <v>76.2271432</v>
      </c>
      <c r="M56" s="709">
        <v>425.02668419999998</v>
      </c>
      <c r="N56" s="709">
        <v>8.6229799999999995E-2</v>
      </c>
      <c r="O56" s="709">
        <v>42.0801424</v>
      </c>
      <c r="P56" s="709">
        <v>798.6604076000001</v>
      </c>
      <c r="Q56" s="709">
        <v>144.17622559999998</v>
      </c>
      <c r="R56" s="709">
        <v>848.67369159999998</v>
      </c>
      <c r="S56" s="709">
        <v>105.20035599999999</v>
      </c>
      <c r="T56" s="709">
        <v>15.435134199999998</v>
      </c>
      <c r="U56" s="709">
        <v>1285.8587775999999</v>
      </c>
      <c r="V56" s="709">
        <f t="shared" si="3"/>
        <v>17339.174413799999</v>
      </c>
      <c r="W56" s="25"/>
      <c r="X56" s="25"/>
      <c r="Y56" s="25"/>
    </row>
    <row r="57" spans="1:25" s="700" customFormat="1" ht="11.25" customHeight="1" x14ac:dyDescent="0.2">
      <c r="A57" s="506" t="s">
        <v>1817</v>
      </c>
      <c r="B57" s="502" t="s">
        <v>559</v>
      </c>
      <c r="C57" s="694">
        <v>2876.9419172999997</v>
      </c>
      <c r="D57" s="694">
        <v>2952.006222</v>
      </c>
      <c r="E57" s="694">
        <v>1451.2432242</v>
      </c>
      <c r="F57" s="694">
        <v>1281.7600554000001</v>
      </c>
      <c r="G57" s="694">
        <v>2382.0929120999999</v>
      </c>
      <c r="H57" s="694">
        <v>1.3077405</v>
      </c>
      <c r="I57" s="694">
        <v>916.55172509999989</v>
      </c>
      <c r="J57" s="694">
        <v>738.17592089999994</v>
      </c>
      <c r="K57" s="694">
        <v>256.57868610000003</v>
      </c>
      <c r="L57" s="694">
        <v>63.643371000000002</v>
      </c>
      <c r="M57" s="694">
        <v>453.43722270000001</v>
      </c>
      <c r="N57" s="694">
        <v>0</v>
      </c>
      <c r="O57" s="694">
        <v>64.689563399999997</v>
      </c>
      <c r="P57" s="694">
        <v>796.93706069999996</v>
      </c>
      <c r="Q57" s="694">
        <v>80.208083999999999</v>
      </c>
      <c r="R57" s="694">
        <v>881.7658277999999</v>
      </c>
      <c r="S57" s="694">
        <v>168.96007259999999</v>
      </c>
      <c r="T57" s="694">
        <v>22.3187712</v>
      </c>
      <c r="U57" s="694">
        <v>1048.2847847999981</v>
      </c>
      <c r="V57" s="694">
        <f t="shared" si="3"/>
        <v>16436.903161799997</v>
      </c>
      <c r="W57" s="25"/>
      <c r="X57" s="25"/>
      <c r="Y57" s="25"/>
    </row>
    <row r="58" spans="1:25" s="700" customFormat="1" ht="11.25" customHeight="1" x14ac:dyDescent="0.2">
      <c r="A58" s="506" t="s">
        <v>1817</v>
      </c>
      <c r="B58" s="505" t="s">
        <v>550</v>
      </c>
      <c r="C58" s="709">
        <v>3217.8092161</v>
      </c>
      <c r="D58" s="709">
        <v>2121.7679737999997</v>
      </c>
      <c r="E58" s="709">
        <v>1659.6617451000002</v>
      </c>
      <c r="F58" s="709">
        <v>1452.0314619000001</v>
      </c>
      <c r="G58" s="709">
        <v>2708.2130821999999</v>
      </c>
      <c r="H58" s="709">
        <v>1.2884858000000001</v>
      </c>
      <c r="I58" s="709">
        <v>1052.1406904</v>
      </c>
      <c r="J58" s="709">
        <v>518.89163859999996</v>
      </c>
      <c r="K58" s="709">
        <v>266.44045649999998</v>
      </c>
      <c r="L58" s="709">
        <v>87.432964999999996</v>
      </c>
      <c r="M58" s="709">
        <v>412.77562950000004</v>
      </c>
      <c r="N58" s="709">
        <v>0</v>
      </c>
      <c r="O58" s="709">
        <v>52.183674900000007</v>
      </c>
      <c r="P58" s="709">
        <v>741.52357789999996</v>
      </c>
      <c r="Q58" s="709">
        <v>102.34258639999999</v>
      </c>
      <c r="R58" s="709">
        <v>966.27231529999995</v>
      </c>
      <c r="S58" s="709">
        <v>109.06111949999999</v>
      </c>
      <c r="T58" s="709">
        <v>16.4742113</v>
      </c>
      <c r="U58" s="709">
        <v>1422.9484967000003</v>
      </c>
      <c r="V58" s="709">
        <f t="shared" si="3"/>
        <v>16909.259326899999</v>
      </c>
      <c r="W58" s="25"/>
      <c r="X58" s="25"/>
      <c r="Y58" s="25"/>
    </row>
    <row r="59" spans="1:25" s="700" customFormat="1" ht="11.25" customHeight="1" x14ac:dyDescent="0.2">
      <c r="A59" s="506" t="s">
        <v>2066</v>
      </c>
      <c r="B59" s="502" t="s">
        <v>552</v>
      </c>
      <c r="C59" s="709">
        <v>3282.6755571999993</v>
      </c>
      <c r="D59" s="709">
        <v>2862.2482277999998</v>
      </c>
      <c r="E59" s="709">
        <v>1856.9030193999999</v>
      </c>
      <c r="F59" s="709">
        <v>1331.9791251000001</v>
      </c>
      <c r="G59" s="709">
        <v>3411.3011581999999</v>
      </c>
      <c r="H59" s="709">
        <v>1.1266475999999999</v>
      </c>
      <c r="I59" s="709">
        <v>1003.5613497000001</v>
      </c>
      <c r="J59" s="709">
        <v>734.57423519999998</v>
      </c>
      <c r="K59" s="709">
        <v>299.68826159999998</v>
      </c>
      <c r="L59" s="709">
        <v>86.939639799999995</v>
      </c>
      <c r="M59" s="709">
        <v>417.79848499999997</v>
      </c>
      <c r="N59" s="709">
        <v>9.3887299999999993E-2</v>
      </c>
      <c r="O59" s="709">
        <v>115.38749169999998</v>
      </c>
      <c r="P59" s="709">
        <v>1308.0378636</v>
      </c>
      <c r="Q59" s="709">
        <v>122.71070110000001</v>
      </c>
      <c r="R59" s="709">
        <v>1217.3427317999999</v>
      </c>
      <c r="S59" s="709">
        <v>196.78778080000001</v>
      </c>
      <c r="T59" s="709">
        <v>15.773066399999999</v>
      </c>
      <c r="U59" s="709">
        <v>1416.8532443000008</v>
      </c>
      <c r="V59" s="709">
        <f t="shared" si="3"/>
        <v>19681.7824736</v>
      </c>
      <c r="W59" s="25"/>
      <c r="X59" s="25"/>
      <c r="Y59" s="25"/>
    </row>
    <row r="60" spans="1:25" s="700" customFormat="1" ht="11.25" customHeight="1" x14ac:dyDescent="0.2">
      <c r="A60" s="506" t="s">
        <v>2066</v>
      </c>
      <c r="B60" s="505" t="s">
        <v>553</v>
      </c>
      <c r="C60" s="694">
        <v>3243.0192575999999</v>
      </c>
      <c r="D60" s="694">
        <v>2893.2921216000004</v>
      </c>
      <c r="E60" s="694">
        <v>1727.6615423999999</v>
      </c>
      <c r="F60" s="694">
        <v>1361.89536</v>
      </c>
      <c r="G60" s="694">
        <v>3404.5485888000003</v>
      </c>
      <c r="H60" s="694">
        <v>1.1388672</v>
      </c>
      <c r="I60" s="694">
        <v>1247.1544896</v>
      </c>
      <c r="J60" s="694">
        <v>486.29629440000008</v>
      </c>
      <c r="K60" s="694">
        <v>315.75093120000008</v>
      </c>
      <c r="L60" s="694">
        <v>77.158252800000014</v>
      </c>
      <c r="M60" s="694">
        <v>393.85824000000002</v>
      </c>
      <c r="N60" s="694">
        <v>9.4905600000000007E-2</v>
      </c>
      <c r="O60" s="694">
        <v>125.46520320000002</v>
      </c>
      <c r="P60" s="694">
        <v>1016.0593536</v>
      </c>
      <c r="Q60" s="694">
        <v>139.70104320000002</v>
      </c>
      <c r="R60" s="694">
        <v>1204.6367808</v>
      </c>
      <c r="S60" s="694">
        <v>142.54821120000003</v>
      </c>
      <c r="T60" s="694">
        <v>13.856217599999999</v>
      </c>
      <c r="U60" s="694">
        <v>1537.4707200000012</v>
      </c>
      <c r="V60" s="694">
        <f t="shared" si="3"/>
        <v>19331.6063808</v>
      </c>
      <c r="W60" s="25"/>
      <c r="X60" s="25"/>
      <c r="Y60" s="25"/>
    </row>
    <row r="61" spans="1:25" s="700" customFormat="1" ht="11.25" customHeight="1" x14ac:dyDescent="0.2">
      <c r="A61" s="506" t="s">
        <v>2066</v>
      </c>
      <c r="B61" s="502" t="s">
        <v>547</v>
      </c>
      <c r="C61" s="709">
        <v>2941.7033964000002</v>
      </c>
      <c r="D61" s="709">
        <v>1705.6831205999999</v>
      </c>
      <c r="E61" s="709">
        <v>1231.9088136</v>
      </c>
      <c r="F61" s="709">
        <v>1127.305566</v>
      </c>
      <c r="G61" s="709">
        <v>2655.2396579999995</v>
      </c>
      <c r="H61" s="709">
        <v>1.9123079999999999</v>
      </c>
      <c r="I61" s="709">
        <v>1088.1032519999999</v>
      </c>
      <c r="J61" s="709">
        <v>388.38975479999993</v>
      </c>
      <c r="K61" s="709">
        <v>237.89111519999997</v>
      </c>
      <c r="L61" s="709">
        <v>59.377163399999993</v>
      </c>
      <c r="M61" s="709">
        <v>322.51074419999998</v>
      </c>
      <c r="N61" s="709">
        <v>0</v>
      </c>
      <c r="O61" s="709">
        <v>52.301623799999994</v>
      </c>
      <c r="P61" s="709">
        <v>749.52912059999994</v>
      </c>
      <c r="Q61" s="709">
        <v>92.268860999999987</v>
      </c>
      <c r="R61" s="709">
        <v>827.64690240000004</v>
      </c>
      <c r="S61" s="709">
        <v>76.396704599999993</v>
      </c>
      <c r="T61" s="709">
        <v>11.282617199999999</v>
      </c>
      <c r="U61" s="709">
        <v>1151.4962621999973</v>
      </c>
      <c r="V61" s="709">
        <f t="shared" si="3"/>
        <v>14720.946983999998</v>
      </c>
      <c r="W61" s="25"/>
      <c r="X61" s="25"/>
      <c r="Y61" s="25"/>
    </row>
    <row r="62" spans="1:25" s="700" customFormat="1" ht="11.25" customHeight="1" x14ac:dyDescent="0.2">
      <c r="A62" s="506" t="s">
        <v>2066</v>
      </c>
      <c r="B62" s="505" t="s">
        <v>554</v>
      </c>
      <c r="C62" s="694">
        <v>2980.5850899999996</v>
      </c>
      <c r="D62" s="694">
        <v>1649.1282626</v>
      </c>
      <c r="E62" s="694">
        <v>1067.4069391999999</v>
      </c>
      <c r="F62" s="694">
        <v>1279.5743576</v>
      </c>
      <c r="G62" s="694">
        <v>2257.8052825999998</v>
      </c>
      <c r="H62" s="694">
        <v>1.5458463999999998</v>
      </c>
      <c r="I62" s="694">
        <v>1370.6826798</v>
      </c>
      <c r="J62" s="694">
        <v>480.08192259999998</v>
      </c>
      <c r="K62" s="694">
        <v>253.13234799999995</v>
      </c>
      <c r="L62" s="694">
        <v>61.640625200000002</v>
      </c>
      <c r="M62" s="694">
        <v>487.52130840000001</v>
      </c>
      <c r="N62" s="694">
        <v>9.661539999999999E-2</v>
      </c>
      <c r="O62" s="694">
        <v>45.602468799999997</v>
      </c>
      <c r="P62" s="694">
        <v>681.81487779999986</v>
      </c>
      <c r="Q62" s="694">
        <v>77.968627800000007</v>
      </c>
      <c r="R62" s="694">
        <v>842.29305719999991</v>
      </c>
      <c r="S62" s="694">
        <v>84.828321199999991</v>
      </c>
      <c r="T62" s="694">
        <v>13.332925199999996</v>
      </c>
      <c r="U62" s="694">
        <v>1104.0241757999997</v>
      </c>
      <c r="V62" s="694">
        <f t="shared" si="3"/>
        <v>14739.065731600002</v>
      </c>
      <c r="W62" s="25"/>
      <c r="X62" s="25"/>
      <c r="Y62" s="25"/>
    </row>
    <row r="63" spans="1:25" s="700" customFormat="1" ht="11.25" customHeight="1" x14ac:dyDescent="0.2">
      <c r="A63" s="506" t="s">
        <v>2066</v>
      </c>
      <c r="B63" s="502" t="s">
        <v>555</v>
      </c>
      <c r="C63" s="709">
        <v>2882.0946849999996</v>
      </c>
      <c r="D63" s="709">
        <v>1803.5421303999999</v>
      </c>
      <c r="E63" s="709">
        <v>1377.841371</v>
      </c>
      <c r="F63" s="709">
        <v>1232.7848865999999</v>
      </c>
      <c r="G63" s="709">
        <v>2976.3911613999999</v>
      </c>
      <c r="H63" s="709">
        <v>2.1475388</v>
      </c>
      <c r="I63" s="709">
        <v>1183.3914941999999</v>
      </c>
      <c r="J63" s="709">
        <v>486.51515360000002</v>
      </c>
      <c r="K63" s="709">
        <v>290.50343039999996</v>
      </c>
      <c r="L63" s="709">
        <v>68.33077999999999</v>
      </c>
      <c r="M63" s="709">
        <v>310.80743359999997</v>
      </c>
      <c r="N63" s="709">
        <v>0</v>
      </c>
      <c r="O63" s="709">
        <v>75.847165799999999</v>
      </c>
      <c r="P63" s="709">
        <v>677.06041440000001</v>
      </c>
      <c r="Q63" s="709">
        <v>91.368014399999993</v>
      </c>
      <c r="R63" s="709">
        <v>834.51405459999989</v>
      </c>
      <c r="S63" s="709">
        <v>104.54609339999999</v>
      </c>
      <c r="T63" s="709">
        <v>16.301771799999997</v>
      </c>
      <c r="U63" s="709">
        <v>1157.3281823999994</v>
      </c>
      <c r="V63" s="709">
        <f t="shared" si="3"/>
        <v>15571.315761799997</v>
      </c>
      <c r="W63" s="25"/>
      <c r="X63" s="25"/>
      <c r="Y63" s="25"/>
    </row>
    <row r="64" spans="1:25" s="700" customFormat="1" ht="11.25" customHeight="1" x14ac:dyDescent="0.2">
      <c r="A64" s="506" t="s">
        <v>2066</v>
      </c>
      <c r="B64" s="505" t="s">
        <v>548</v>
      </c>
      <c r="C64" s="694">
        <v>3028.5487217999998</v>
      </c>
      <c r="D64" s="694">
        <v>1913.3658934</v>
      </c>
      <c r="E64" s="694">
        <v>1491.1937732000001</v>
      </c>
      <c r="F64" s="694">
        <v>996.36969599999998</v>
      </c>
      <c r="G64" s="694">
        <v>4233.4838997999996</v>
      </c>
      <c r="H64" s="694">
        <v>1.8780777999999998</v>
      </c>
      <c r="I64" s="694">
        <v>830.90115719999994</v>
      </c>
      <c r="J64" s="694">
        <v>429.68443139999999</v>
      </c>
      <c r="K64" s="694">
        <v>294.95706080000002</v>
      </c>
      <c r="L64" s="694">
        <v>85.897347799999991</v>
      </c>
      <c r="M64" s="694">
        <v>181.28393079999998</v>
      </c>
      <c r="N64" s="694">
        <v>0</v>
      </c>
      <c r="O64" s="694">
        <v>102.40466319999999</v>
      </c>
      <c r="P64" s="694">
        <v>778.41382499999997</v>
      </c>
      <c r="Q64" s="694">
        <v>91.333888799999997</v>
      </c>
      <c r="R64" s="694">
        <v>940.02736200000004</v>
      </c>
      <c r="S64" s="694">
        <v>131.959677</v>
      </c>
      <c r="T64" s="694">
        <v>14.925776199999998</v>
      </c>
      <c r="U64" s="694">
        <v>1254.2594317999997</v>
      </c>
      <c r="V64" s="694">
        <f t="shared" si="3"/>
        <v>16800.888614</v>
      </c>
      <c r="W64" s="25"/>
      <c r="X64" s="25"/>
      <c r="Y64" s="25"/>
    </row>
    <row r="65" spans="1:25" s="700" customFormat="1" ht="11.25" customHeight="1" x14ac:dyDescent="0.2">
      <c r="A65" s="506" t="s">
        <v>2066</v>
      </c>
      <c r="B65" s="502" t="s">
        <v>556</v>
      </c>
      <c r="C65" s="709">
        <v>3083.7701208000008</v>
      </c>
      <c r="D65" s="709">
        <v>3471.5388306</v>
      </c>
      <c r="E65" s="709">
        <v>1991.9844438</v>
      </c>
      <c r="F65" s="709">
        <v>1429.0106034</v>
      </c>
      <c r="G65" s="709">
        <v>2983.6814430000004</v>
      </c>
      <c r="H65" s="709">
        <v>3.1964448000000005</v>
      </c>
      <c r="I65" s="709">
        <v>1207.8565788000001</v>
      </c>
      <c r="J65" s="709">
        <v>642.88496039999995</v>
      </c>
      <c r="K65" s="709">
        <v>392.06393250000002</v>
      </c>
      <c r="L65" s="709">
        <v>111.875568</v>
      </c>
      <c r="M65" s="709">
        <v>400.95404460000003</v>
      </c>
      <c r="N65" s="709">
        <v>0</v>
      </c>
      <c r="O65" s="709">
        <v>167.71346310000001</v>
      </c>
      <c r="P65" s="709">
        <v>972.41844149999997</v>
      </c>
      <c r="Q65" s="709">
        <v>121.3650135</v>
      </c>
      <c r="R65" s="709">
        <v>950.3429946</v>
      </c>
      <c r="S65" s="709">
        <v>143.93990490000002</v>
      </c>
      <c r="T65" s="709">
        <v>19.078779900000001</v>
      </c>
      <c r="U65" s="709">
        <v>1473.2613860999991</v>
      </c>
      <c r="V65" s="709">
        <f t="shared" si="3"/>
        <v>19566.936954299996</v>
      </c>
      <c r="W65" s="25"/>
      <c r="X65" s="25"/>
      <c r="Y65" s="25"/>
    </row>
    <row r="66" spans="1:25" s="700" customFormat="1" ht="11.25" customHeight="1" x14ac:dyDescent="0.2">
      <c r="A66" s="506" t="s">
        <v>2066</v>
      </c>
      <c r="B66" s="505" t="s">
        <v>557</v>
      </c>
      <c r="C66" s="694">
        <v>2641.6748778000001</v>
      </c>
      <c r="D66" s="694">
        <v>2138.8015854999999</v>
      </c>
      <c r="E66" s="694">
        <v>1390.7005824999999</v>
      </c>
      <c r="F66" s="694">
        <v>1144.8671220000001</v>
      </c>
      <c r="G66" s="694">
        <v>2341.0210603999999</v>
      </c>
      <c r="H66" s="694">
        <v>2.4229992</v>
      </c>
      <c r="I66" s="694">
        <v>1297.4151132999998</v>
      </c>
      <c r="J66" s="694">
        <v>617.05712959999994</v>
      </c>
      <c r="K66" s="694">
        <v>373.94954319999999</v>
      </c>
      <c r="L66" s="694">
        <v>86.319346500000009</v>
      </c>
      <c r="M66" s="694">
        <v>591.61563799999999</v>
      </c>
      <c r="N66" s="694">
        <v>0</v>
      </c>
      <c r="O66" s="694">
        <v>59.161563799999996</v>
      </c>
      <c r="P66" s="694">
        <v>923.46557009999992</v>
      </c>
      <c r="Q66" s="694">
        <v>119.2317523</v>
      </c>
      <c r="R66" s="694">
        <v>851.68421879999983</v>
      </c>
      <c r="S66" s="694">
        <v>62.69510429999999</v>
      </c>
      <c r="T66" s="694">
        <v>15.3456616</v>
      </c>
      <c r="U66" s="694">
        <v>1096.9119295000007</v>
      </c>
      <c r="V66" s="694">
        <f t="shared" si="3"/>
        <v>15754.340798399999</v>
      </c>
      <c r="W66" s="25"/>
      <c r="X66" s="25"/>
      <c r="Y66" s="25"/>
    </row>
    <row r="67" spans="1:25" s="700" customFormat="1" ht="11.25" customHeight="1" x14ac:dyDescent="0.2">
      <c r="A67" s="506" t="s">
        <v>2066</v>
      </c>
      <c r="B67" s="502" t="s">
        <v>549</v>
      </c>
      <c r="C67" s="709">
        <v>2889.6314199999997</v>
      </c>
      <c r="D67" s="709">
        <v>3139.6446960000003</v>
      </c>
      <c r="E67" s="709">
        <v>2210.4558769999999</v>
      </c>
      <c r="F67" s="709">
        <v>1710.93914</v>
      </c>
      <c r="G67" s="709">
        <v>3099.1653849999998</v>
      </c>
      <c r="H67" s="709">
        <v>2.0392600000000001</v>
      </c>
      <c r="I67" s="709">
        <v>1516.1898099999999</v>
      </c>
      <c r="J67" s="709">
        <v>1085.6000609999999</v>
      </c>
      <c r="K67" s="709">
        <v>418.25222599999995</v>
      </c>
      <c r="L67" s="709">
        <v>118.888858</v>
      </c>
      <c r="M67" s="709">
        <v>581.69891499999994</v>
      </c>
      <c r="N67" s="709">
        <v>0</v>
      </c>
      <c r="O67" s="709">
        <v>72.597656000000001</v>
      </c>
      <c r="P67" s="709">
        <v>1007.5983659999998</v>
      </c>
      <c r="Q67" s="709">
        <v>134.795086</v>
      </c>
      <c r="R67" s="709">
        <v>1057.3563099999999</v>
      </c>
      <c r="S67" s="709">
        <v>40.683236999999998</v>
      </c>
      <c r="T67" s="709">
        <v>22.839711999999999</v>
      </c>
      <c r="U67" s="709">
        <v>1513.3348459999984</v>
      </c>
      <c r="V67" s="709">
        <f t="shared" si="3"/>
        <v>20621.710860999996</v>
      </c>
      <c r="W67" s="25"/>
      <c r="X67" s="25"/>
      <c r="Y67" s="25"/>
    </row>
    <row r="68" spans="1:25" s="700" customFormat="1" ht="11.25" customHeight="1" x14ac:dyDescent="0.2">
      <c r="A68" s="506" t="s">
        <v>2066</v>
      </c>
      <c r="B68" s="505" t="s">
        <v>558</v>
      </c>
      <c r="C68" s="694">
        <v>2843.37084</v>
      </c>
      <c r="D68" s="694">
        <v>2100.5972000000002</v>
      </c>
      <c r="E68" s="694">
        <v>1803.9817600000001</v>
      </c>
      <c r="F68" s="694">
        <v>1390.7579599999999</v>
      </c>
      <c r="G68" s="694">
        <v>2533.99332</v>
      </c>
      <c r="H68" s="694">
        <v>2.6759200000000001</v>
      </c>
      <c r="I68" s="694">
        <v>1211.5742399999999</v>
      </c>
      <c r="J68" s="694">
        <v>861.74916000000007</v>
      </c>
      <c r="K68" s="694">
        <v>399.53543999999999</v>
      </c>
      <c r="L68" s="694">
        <v>87.996600000000015</v>
      </c>
      <c r="M68" s="694">
        <v>502.66128000000009</v>
      </c>
      <c r="N68" s="694">
        <v>0</v>
      </c>
      <c r="O68" s="694">
        <v>89.025800000000004</v>
      </c>
      <c r="P68" s="694">
        <v>952.83335999999997</v>
      </c>
      <c r="Q68" s="694">
        <v>112.07988</v>
      </c>
      <c r="R68" s="694">
        <v>1015.40872</v>
      </c>
      <c r="S68" s="694">
        <v>60.208199999999998</v>
      </c>
      <c r="T68" s="694">
        <v>15.129239999999999</v>
      </c>
      <c r="U68" s="694">
        <v>1357.5148000000022</v>
      </c>
      <c r="V68" s="694">
        <f t="shared" si="3"/>
        <v>17341.093720000001</v>
      </c>
      <c r="W68" s="25"/>
      <c r="X68" s="25"/>
      <c r="Y68" s="25"/>
    </row>
    <row r="69" spans="1:25" s="700" customFormat="1" ht="11.25" customHeight="1" x14ac:dyDescent="0.2">
      <c r="A69" s="506" t="s">
        <v>2066</v>
      </c>
      <c r="B69" s="502" t="s">
        <v>559</v>
      </c>
      <c r="C69" s="709">
        <v>3341.2799112000002</v>
      </c>
      <c r="D69" s="709">
        <v>2460.1332063</v>
      </c>
      <c r="E69" s="709">
        <v>1729.2021285000003</v>
      </c>
      <c r="F69" s="709">
        <v>1237.2172427999999</v>
      </c>
      <c r="G69" s="709">
        <v>2350.6292502000006</v>
      </c>
      <c r="H69" s="709">
        <v>1.9833891000000001</v>
      </c>
      <c r="I69" s="709">
        <v>1212.1639067999999</v>
      </c>
      <c r="J69" s="709">
        <v>753.47908020000011</v>
      </c>
      <c r="K69" s="709">
        <v>381.7502073</v>
      </c>
      <c r="L69" s="709">
        <v>85.076953500000016</v>
      </c>
      <c r="M69" s="709">
        <v>538.22916840000005</v>
      </c>
      <c r="N69" s="709">
        <v>0</v>
      </c>
      <c r="O69" s="709">
        <v>128.81590260000002</v>
      </c>
      <c r="P69" s="709">
        <v>897.01381770000012</v>
      </c>
      <c r="Q69" s="709">
        <v>77.978508300000001</v>
      </c>
      <c r="R69" s="709">
        <v>1000.9851621</v>
      </c>
      <c r="S69" s="709">
        <v>52.820783400000003</v>
      </c>
      <c r="T69" s="709">
        <v>16.911001800000001</v>
      </c>
      <c r="U69" s="709">
        <v>1393.3830372000016</v>
      </c>
      <c r="V69" s="709">
        <f t="shared" si="3"/>
        <v>17659.052657400003</v>
      </c>
      <c r="W69" s="25"/>
      <c r="X69" s="25"/>
      <c r="Y69" s="25"/>
    </row>
    <row r="70" spans="1:25" s="700" customFormat="1" ht="11.25" customHeight="1" x14ac:dyDescent="0.2">
      <c r="A70" s="506" t="s">
        <v>2066</v>
      </c>
      <c r="B70" s="505" t="s">
        <v>550</v>
      </c>
      <c r="C70" s="694">
        <v>4299.0206446000002</v>
      </c>
      <c r="D70" s="694">
        <v>4125.6875544000004</v>
      </c>
      <c r="E70" s="694">
        <v>2905.1557702</v>
      </c>
      <c r="F70" s="694">
        <v>1212.6963238000001</v>
      </c>
      <c r="G70" s="694">
        <v>2640.9736932000001</v>
      </c>
      <c r="H70" s="694">
        <v>4.2353840000000007</v>
      </c>
      <c r="I70" s="694">
        <v>1286.0743516</v>
      </c>
      <c r="J70" s="694">
        <v>949.67897740000012</v>
      </c>
      <c r="K70" s="694">
        <v>579.71818499999995</v>
      </c>
      <c r="L70" s="694">
        <v>195.78062539999999</v>
      </c>
      <c r="M70" s="694">
        <v>547.52926660000003</v>
      </c>
      <c r="N70" s="694">
        <v>0.21176920000000005</v>
      </c>
      <c r="O70" s="694">
        <v>88.943064000000007</v>
      </c>
      <c r="P70" s="694">
        <v>1231.0143596000003</v>
      </c>
      <c r="Q70" s="694">
        <v>113.72006040000001</v>
      </c>
      <c r="R70" s="694">
        <v>1029.9395042000001</v>
      </c>
      <c r="S70" s="694">
        <v>67.342605599999999</v>
      </c>
      <c r="T70" s="694">
        <v>12.9179212</v>
      </c>
      <c r="U70" s="694">
        <v>1994.2305563999992</v>
      </c>
      <c r="V70" s="694">
        <f t="shared" si="3"/>
        <v>23284.870616799995</v>
      </c>
      <c r="W70" s="25"/>
      <c r="X70" s="25"/>
      <c r="Y70" s="25"/>
    </row>
    <row r="71" spans="1:25" s="700" customFormat="1" ht="11.25" customHeight="1" x14ac:dyDescent="0.2">
      <c r="A71" s="506" t="s">
        <v>2206</v>
      </c>
      <c r="B71" s="502" t="s">
        <v>552</v>
      </c>
      <c r="C71" s="694">
        <v>3344.2838999999999</v>
      </c>
      <c r="D71" s="694">
        <v>3588.7700856000001</v>
      </c>
      <c r="E71" s="694">
        <v>2406.2530500000003</v>
      </c>
      <c r="F71" s="694">
        <v>1248.6414132</v>
      </c>
      <c r="G71" s="694">
        <v>2175.1439999999998</v>
      </c>
      <c r="H71" s="694">
        <v>2.1751440000000004</v>
      </c>
      <c r="I71" s="694">
        <v>1235.5905491999999</v>
      </c>
      <c r="J71" s="694">
        <v>1313.5694616000001</v>
      </c>
      <c r="K71" s="694">
        <v>464.28448679999991</v>
      </c>
      <c r="L71" s="694">
        <v>104.7331836</v>
      </c>
      <c r="M71" s="694">
        <v>528.23372039999992</v>
      </c>
      <c r="N71" s="694">
        <v>0.1087572</v>
      </c>
      <c r="O71" s="694">
        <v>55.792443599999999</v>
      </c>
      <c r="P71" s="694">
        <v>1268.7614951999999</v>
      </c>
      <c r="Q71" s="694">
        <v>89.180903999999984</v>
      </c>
      <c r="R71" s="694">
        <v>1235.5905491999999</v>
      </c>
      <c r="S71" s="694">
        <v>79.936542000000003</v>
      </c>
      <c r="T71" s="694">
        <v>16.6398516</v>
      </c>
      <c r="U71" s="694">
        <v>2301.7373807999998</v>
      </c>
      <c r="V71" s="694">
        <f t="shared" ref="V71:V100" si="4">SUM(C71:U71)</f>
        <v>21459.426917999997</v>
      </c>
      <c r="W71" s="25"/>
      <c r="X71" s="25"/>
      <c r="Y71" s="25"/>
    </row>
    <row r="72" spans="1:25" s="700" customFormat="1" ht="11.25" customHeight="1" x14ac:dyDescent="0.2">
      <c r="A72" s="506" t="s">
        <v>2206</v>
      </c>
      <c r="B72" s="505" t="s">
        <v>553</v>
      </c>
      <c r="C72" s="709">
        <v>3189.1624608000002</v>
      </c>
      <c r="D72" s="709">
        <v>2611.5536502000004</v>
      </c>
      <c r="E72" s="709">
        <v>2403.8027458000006</v>
      </c>
      <c r="F72" s="709">
        <v>1272.446925</v>
      </c>
      <c r="G72" s="709">
        <v>1863.7379606000002</v>
      </c>
      <c r="H72" s="709">
        <v>1.64</v>
      </c>
      <c r="I72" s="709">
        <v>747.59677399999998</v>
      </c>
      <c r="J72" s="709">
        <v>708.73925500000007</v>
      </c>
      <c r="K72" s="709">
        <v>294.22256640000001</v>
      </c>
      <c r="L72" s="709">
        <v>53.743779800000006</v>
      </c>
      <c r="M72" s="709">
        <v>252.4096868</v>
      </c>
      <c r="N72" s="709">
        <v>0</v>
      </c>
      <c r="O72" s="709">
        <v>41.156132800000002</v>
      </c>
      <c r="P72" s="709">
        <v>911.34564280000018</v>
      </c>
      <c r="Q72" s="709">
        <v>66.1125112</v>
      </c>
      <c r="R72" s="709">
        <v>1217.8274828000001</v>
      </c>
      <c r="S72" s="709">
        <v>47.942516400000002</v>
      </c>
      <c r="T72" s="709">
        <v>12.916020399999999</v>
      </c>
      <c r="U72" s="709">
        <v>1810.8698432000008</v>
      </c>
      <c r="V72" s="709">
        <f t="shared" si="4"/>
        <v>17507.225954000001</v>
      </c>
      <c r="W72" s="25"/>
      <c r="X72" s="25"/>
      <c r="Y72" s="25"/>
    </row>
    <row r="73" spans="1:25" s="700" customFormat="1" ht="11.25" customHeight="1" x14ac:dyDescent="0.2">
      <c r="A73" s="506" t="s">
        <v>2206</v>
      </c>
      <c r="B73" s="502" t="s">
        <v>547</v>
      </c>
      <c r="C73" s="694">
        <v>2377.00155</v>
      </c>
      <c r="D73" s="694">
        <v>2827.8785499999999</v>
      </c>
      <c r="E73" s="694">
        <v>1626.4563000000001</v>
      </c>
      <c r="F73" s="694">
        <v>1025.0303699999999</v>
      </c>
      <c r="G73" s="694">
        <v>1552.66643</v>
      </c>
      <c r="H73" s="694">
        <v>1.42961</v>
      </c>
      <c r="I73" s="694">
        <v>798.05228999999986</v>
      </c>
      <c r="J73" s="694">
        <v>466.60271</v>
      </c>
      <c r="K73" s="694">
        <v>270.85611</v>
      </c>
      <c r="L73" s="694">
        <v>81.707709999999992</v>
      </c>
      <c r="M73" s="694">
        <v>283.17275000000001</v>
      </c>
      <c r="N73" s="694">
        <v>0</v>
      </c>
      <c r="O73" s="694">
        <v>64.772329999999997</v>
      </c>
      <c r="P73" s="694">
        <v>696.33004000000005</v>
      </c>
      <c r="Q73" s="694">
        <v>63.34272</v>
      </c>
      <c r="R73" s="694">
        <v>1022.3910899999998</v>
      </c>
      <c r="S73" s="694">
        <v>84.237020000000001</v>
      </c>
      <c r="T73" s="694">
        <v>10.33718</v>
      </c>
      <c r="U73" s="694">
        <v>1421.5821899999992</v>
      </c>
      <c r="V73" s="694">
        <f t="shared" si="4"/>
        <v>14673.846949999999</v>
      </c>
      <c r="W73" s="25"/>
      <c r="X73" s="25"/>
      <c r="Y73" s="25"/>
    </row>
    <row r="74" spans="1:25" s="700" customFormat="1" ht="11.25" customHeight="1" x14ac:dyDescent="0.2">
      <c r="A74" s="506" t="s">
        <v>2206</v>
      </c>
      <c r="B74" s="505" t="s">
        <v>554</v>
      </c>
      <c r="C74" s="709">
        <v>2770.3308138000002</v>
      </c>
      <c r="D74" s="709">
        <v>3638.6764391999995</v>
      </c>
      <c r="E74" s="709">
        <v>2592.2199666000001</v>
      </c>
      <c r="F74" s="709">
        <v>1679.6781011999999</v>
      </c>
      <c r="G74" s="709">
        <v>2033.3585117999999</v>
      </c>
      <c r="H74" s="709">
        <v>1.7678495999999999</v>
      </c>
      <c r="I74" s="709">
        <v>1116.6180036000001</v>
      </c>
      <c r="J74" s="709">
        <v>820.83466740000006</v>
      </c>
      <c r="K74" s="709">
        <v>465.71787899999998</v>
      </c>
      <c r="L74" s="709">
        <v>182.30949000000001</v>
      </c>
      <c r="M74" s="709">
        <v>571.34689260000005</v>
      </c>
      <c r="N74" s="709">
        <v>0</v>
      </c>
      <c r="O74" s="709">
        <v>95.574369000000004</v>
      </c>
      <c r="P74" s="709">
        <v>1378.0387631999999</v>
      </c>
      <c r="Q74" s="709">
        <v>120.1032822</v>
      </c>
      <c r="R74" s="709">
        <v>1969.8264168000001</v>
      </c>
      <c r="S74" s="709">
        <v>84.967271400000001</v>
      </c>
      <c r="T74" s="709">
        <v>11.4910224</v>
      </c>
      <c r="U74" s="709">
        <v>2249.588616</v>
      </c>
      <c r="V74" s="709">
        <f t="shared" si="4"/>
        <v>21782.448355800003</v>
      </c>
      <c r="W74" s="25"/>
      <c r="X74" s="25"/>
      <c r="Y74" s="25"/>
    </row>
    <row r="75" spans="1:25" s="700" customFormat="1" ht="11.25" customHeight="1" x14ac:dyDescent="0.2">
      <c r="A75" s="506" t="s">
        <v>2206</v>
      </c>
      <c r="B75" s="502" t="s">
        <v>555</v>
      </c>
      <c r="C75" s="694">
        <v>2155.5227519999999</v>
      </c>
      <c r="D75" s="694">
        <v>4218.3491551999996</v>
      </c>
      <c r="E75" s="694">
        <v>2950.3163263999995</v>
      </c>
      <c r="F75" s="694">
        <v>1292.3157239999998</v>
      </c>
      <c r="G75" s="694">
        <v>2433.1682751999997</v>
      </c>
      <c r="H75" s="694">
        <v>2.1067352000000001</v>
      </c>
      <c r="I75" s="694">
        <v>972.3137352</v>
      </c>
      <c r="J75" s="694">
        <v>735.80498879999993</v>
      </c>
      <c r="K75" s="694">
        <v>495.74805679999997</v>
      </c>
      <c r="L75" s="694">
        <v>94.69220319999998</v>
      </c>
      <c r="M75" s="694">
        <v>527.79260799999997</v>
      </c>
      <c r="N75" s="694">
        <v>0.55440400000000001</v>
      </c>
      <c r="O75" s="694">
        <v>51.781333599999996</v>
      </c>
      <c r="P75" s="694">
        <v>1583.7104664000001</v>
      </c>
      <c r="Q75" s="694">
        <v>93.139871999999997</v>
      </c>
      <c r="R75" s="694">
        <v>1647.4669263999999</v>
      </c>
      <c r="S75" s="694">
        <v>89.702567200000004</v>
      </c>
      <c r="T75" s="694">
        <v>17.075643199999998</v>
      </c>
      <c r="U75" s="694">
        <v>2038.8761504000008</v>
      </c>
      <c r="V75" s="694">
        <f t="shared" si="4"/>
        <v>21400.437923199999</v>
      </c>
      <c r="W75" s="25"/>
      <c r="X75" s="25"/>
      <c r="Y75" s="25"/>
    </row>
    <row r="76" spans="1:25" s="700" customFormat="1" ht="11.25" customHeight="1" x14ac:dyDescent="0.2">
      <c r="A76" s="506" t="s">
        <v>2206</v>
      </c>
      <c r="B76" s="505" t="s">
        <v>548</v>
      </c>
      <c r="C76" s="709">
        <v>1822.7149285999999</v>
      </c>
      <c r="D76" s="709">
        <v>4879.5930324000001</v>
      </c>
      <c r="E76" s="709">
        <v>3088.3820906000001</v>
      </c>
      <c r="F76" s="709">
        <v>1348.8332810000002</v>
      </c>
      <c r="G76" s="709">
        <v>2314.8821070000004</v>
      </c>
      <c r="H76" s="709">
        <v>1.3218456000000001</v>
      </c>
      <c r="I76" s="709">
        <v>923.97007439999993</v>
      </c>
      <c r="J76" s="709">
        <v>856.11533359999999</v>
      </c>
      <c r="K76" s="709">
        <v>665.21879820000004</v>
      </c>
      <c r="L76" s="709">
        <v>73.582738399999997</v>
      </c>
      <c r="M76" s="709">
        <v>560.57268820000002</v>
      </c>
      <c r="N76" s="709">
        <v>0.11015380000000001</v>
      </c>
      <c r="O76" s="709">
        <v>138.79378800000001</v>
      </c>
      <c r="P76" s="709">
        <v>1667.9488396000002</v>
      </c>
      <c r="Q76" s="709">
        <v>110.5944152</v>
      </c>
      <c r="R76" s="709">
        <v>1298.7133020000001</v>
      </c>
      <c r="S76" s="709">
        <v>71.269508599999995</v>
      </c>
      <c r="T76" s="709">
        <v>13.769225</v>
      </c>
      <c r="U76" s="709">
        <v>2098.0994286000005</v>
      </c>
      <c r="V76" s="709">
        <f t="shared" si="4"/>
        <v>21934.485578800006</v>
      </c>
      <c r="W76" s="25"/>
      <c r="X76" s="25"/>
      <c r="Y76" s="25"/>
    </row>
    <row r="77" spans="1:25" s="700" customFormat="1" ht="11.25" customHeight="1" x14ac:dyDescent="0.2">
      <c r="A77" s="506" t="s">
        <v>2206</v>
      </c>
      <c r="B77" s="502" t="s">
        <v>556</v>
      </c>
      <c r="C77" s="694">
        <v>1970.4299999999998</v>
      </c>
      <c r="D77" s="694">
        <v>4929.43</v>
      </c>
      <c r="E77" s="694">
        <v>2666.4</v>
      </c>
      <c r="F77" s="694">
        <v>1485.99</v>
      </c>
      <c r="G77" s="694">
        <v>2300.65</v>
      </c>
      <c r="H77" s="694">
        <v>1.1000000000000001</v>
      </c>
      <c r="I77" s="694">
        <v>1225.0700000000002</v>
      </c>
      <c r="J77" s="694">
        <v>979.44000000000017</v>
      </c>
      <c r="K77" s="694">
        <v>787.93</v>
      </c>
      <c r="L77" s="694">
        <v>130.35</v>
      </c>
      <c r="M77" s="694">
        <v>714.56</v>
      </c>
      <c r="N77" s="694">
        <v>0</v>
      </c>
      <c r="O77" s="694">
        <v>73.7</v>
      </c>
      <c r="P77" s="694">
        <v>1757.47</v>
      </c>
      <c r="Q77" s="694">
        <v>114.83999999999999</v>
      </c>
      <c r="R77" s="694">
        <v>1515.14</v>
      </c>
      <c r="S77" s="694">
        <v>127.71</v>
      </c>
      <c r="T77" s="694">
        <v>11.55</v>
      </c>
      <c r="U77" s="694">
        <v>2452.8900000000012</v>
      </c>
      <c r="V77" s="694">
        <f t="shared" si="4"/>
        <v>23244.65</v>
      </c>
      <c r="W77" s="25"/>
      <c r="X77" s="25"/>
      <c r="Y77" s="25"/>
    </row>
    <row r="78" spans="1:25" s="700" customFormat="1" ht="11.25" customHeight="1" x14ac:dyDescent="0.2">
      <c r="A78" s="506" t="s">
        <v>2206</v>
      </c>
      <c r="B78" s="505" t="s">
        <v>557</v>
      </c>
      <c r="C78" s="709">
        <v>2008.6</v>
      </c>
      <c r="D78" s="709">
        <v>5274.9400000000005</v>
      </c>
      <c r="E78" s="709">
        <v>2954.71</v>
      </c>
      <c r="F78" s="709">
        <v>1376.98</v>
      </c>
      <c r="G78" s="709">
        <v>3749.57</v>
      </c>
      <c r="H78" s="709">
        <v>1.54</v>
      </c>
      <c r="I78" s="709">
        <v>1232.8799999999999</v>
      </c>
      <c r="J78" s="709">
        <v>744.7</v>
      </c>
      <c r="K78" s="709">
        <v>803.11</v>
      </c>
      <c r="L78" s="709">
        <v>142.22999999999999</v>
      </c>
      <c r="M78" s="709">
        <v>569.36</v>
      </c>
      <c r="N78" s="709">
        <v>0</v>
      </c>
      <c r="O78" s="709">
        <v>85.47</v>
      </c>
      <c r="P78" s="709">
        <v>1398.4299999999998</v>
      </c>
      <c r="Q78" s="709">
        <v>118.91000000000001</v>
      </c>
      <c r="R78" s="709">
        <v>1100.22</v>
      </c>
      <c r="S78" s="709">
        <v>147.07</v>
      </c>
      <c r="T78" s="709">
        <v>10.89</v>
      </c>
      <c r="U78" s="709">
        <v>2090.5500000000006</v>
      </c>
      <c r="V78" s="709">
        <f t="shared" si="4"/>
        <v>23810.160000000003</v>
      </c>
      <c r="W78" s="25"/>
      <c r="X78" s="25"/>
      <c r="Y78" s="25"/>
    </row>
    <row r="79" spans="1:25" s="700" customFormat="1" ht="11.25" customHeight="1" x14ac:dyDescent="0.2">
      <c r="A79" s="506" t="s">
        <v>2206</v>
      </c>
      <c r="B79" s="502" t="s">
        <v>549</v>
      </c>
      <c r="C79" s="694">
        <v>1978.02</v>
      </c>
      <c r="D79" s="694">
        <v>4010.49</v>
      </c>
      <c r="E79" s="694">
        <v>2894.8700000000003</v>
      </c>
      <c r="F79" s="694">
        <v>1388.75</v>
      </c>
      <c r="G79" s="694">
        <v>2951.74</v>
      </c>
      <c r="H79" s="694">
        <v>1.98</v>
      </c>
      <c r="I79" s="694">
        <v>964.26</v>
      </c>
      <c r="J79" s="694">
        <v>1044.1200000000001</v>
      </c>
      <c r="K79" s="694">
        <v>521.51</v>
      </c>
      <c r="L79" s="694">
        <v>149.82</v>
      </c>
      <c r="M79" s="694">
        <v>860.75</v>
      </c>
      <c r="N79" s="694">
        <v>0</v>
      </c>
      <c r="O79" s="694">
        <v>67.97999999999999</v>
      </c>
      <c r="P79" s="694">
        <v>1345.41</v>
      </c>
      <c r="Q79" s="694">
        <v>121.22</v>
      </c>
      <c r="R79" s="694">
        <v>1193.83</v>
      </c>
      <c r="S79" s="694">
        <v>151.14000000000001</v>
      </c>
      <c r="T79" s="694">
        <v>10.34</v>
      </c>
      <c r="U79" s="694">
        <v>2311.5400000000009</v>
      </c>
      <c r="V79" s="694">
        <f t="shared" si="4"/>
        <v>21967.77</v>
      </c>
      <c r="W79" s="25"/>
      <c r="X79" s="25"/>
      <c r="Y79" s="25"/>
    </row>
    <row r="80" spans="1:25" s="700" customFormat="1" ht="11.25" customHeight="1" x14ac:dyDescent="0.2">
      <c r="A80" s="506" t="s">
        <v>2206</v>
      </c>
      <c r="B80" s="505" t="s">
        <v>558</v>
      </c>
      <c r="C80" s="709">
        <v>2153.7314114139999</v>
      </c>
      <c r="D80" s="709">
        <v>4231.0361100843002</v>
      </c>
      <c r="E80" s="709">
        <v>2211.8471943106001</v>
      </c>
      <c r="F80" s="709">
        <v>1552.2440567457998</v>
      </c>
      <c r="G80" s="709">
        <v>3650.5789003145001</v>
      </c>
      <c r="H80" s="709">
        <v>1.2344883100000001</v>
      </c>
      <c r="I80" s="709">
        <v>1147.0750001546</v>
      </c>
      <c r="J80" s="709">
        <v>1539.0857854019998</v>
      </c>
      <c r="K80" s="709">
        <v>560.32954737760008</v>
      </c>
      <c r="L80" s="709">
        <v>110.76061179700001</v>
      </c>
      <c r="M80" s="709">
        <v>609.65006464999999</v>
      </c>
      <c r="N80" s="709">
        <v>1.6729349999999997E-2</v>
      </c>
      <c r="O80" s="709">
        <v>40.093629486899999</v>
      </c>
      <c r="P80" s="709">
        <v>1461.5486802400001</v>
      </c>
      <c r="Q80" s="709">
        <v>115.38812255960001</v>
      </c>
      <c r="R80" s="709">
        <v>1153.8796119553999</v>
      </c>
      <c r="S80" s="709">
        <v>161.72215609</v>
      </c>
      <c r="T80" s="709">
        <v>8.7467484499999983</v>
      </c>
      <c r="U80" s="709">
        <v>1794.0535088376994</v>
      </c>
      <c r="V80" s="709">
        <f t="shared" si="4"/>
        <v>22503.022357530004</v>
      </c>
      <c r="W80" s="25"/>
      <c r="X80" s="25"/>
      <c r="Y80" s="25"/>
    </row>
    <row r="81" spans="1:25" s="700" customFormat="1" ht="11.25" customHeight="1" x14ac:dyDescent="0.2">
      <c r="A81" s="506" t="s">
        <v>2206</v>
      </c>
      <c r="B81" s="502" t="s">
        <v>559</v>
      </c>
      <c r="C81" s="694">
        <v>2970.6055989093284</v>
      </c>
      <c r="D81" s="694">
        <v>4769.7407773819159</v>
      </c>
      <c r="E81" s="694">
        <v>2801.3564368715615</v>
      </c>
      <c r="F81" s="694">
        <v>1387.14019269963</v>
      </c>
      <c r="G81" s="694">
        <v>3681.8307104067562</v>
      </c>
      <c r="H81" s="694">
        <v>1.3834783482700002</v>
      </c>
      <c r="I81" s="694">
        <v>1174.32351339405</v>
      </c>
      <c r="J81" s="694">
        <v>1568.06564180858</v>
      </c>
      <c r="K81" s="694">
        <v>837.87184213235196</v>
      </c>
      <c r="L81" s="694">
        <v>119.39939718047</v>
      </c>
      <c r="M81" s="694">
        <v>865.18813623970004</v>
      </c>
      <c r="N81" s="694">
        <v>5.1121747629999992E-2</v>
      </c>
      <c r="O81" s="694">
        <v>56.4493379237</v>
      </c>
      <c r="P81" s="694">
        <v>1931.8068417050497</v>
      </c>
      <c r="Q81" s="694">
        <v>150.06602250742631</v>
      </c>
      <c r="R81" s="694">
        <v>1252.7905973421509</v>
      </c>
      <c r="S81" s="694">
        <v>170.78714742936</v>
      </c>
      <c r="T81" s="694">
        <v>14.403414244872801</v>
      </c>
      <c r="U81" s="694">
        <v>2185.1995817271977</v>
      </c>
      <c r="V81" s="694">
        <f t="shared" si="4"/>
        <v>25938.459790000001</v>
      </c>
      <c r="W81" s="25"/>
      <c r="X81" s="25"/>
      <c r="Y81" s="25"/>
    </row>
    <row r="82" spans="1:25" s="700" customFormat="1" ht="11.25" customHeight="1" x14ac:dyDescent="0.2">
      <c r="A82" s="506" t="s">
        <v>2206</v>
      </c>
      <c r="B82" s="505" t="s">
        <v>550</v>
      </c>
      <c r="C82" s="709">
        <v>3776.1518244150625</v>
      </c>
      <c r="D82" s="709">
        <v>6253.1170544778806</v>
      </c>
      <c r="E82" s="709">
        <v>2411.8331270311451</v>
      </c>
      <c r="F82" s="709">
        <v>1570.3909238269603</v>
      </c>
      <c r="G82" s="709">
        <v>4319.6944603479906</v>
      </c>
      <c r="H82" s="709">
        <v>3.0760331216599996</v>
      </c>
      <c r="I82" s="709">
        <v>1242.61738937778</v>
      </c>
      <c r="J82" s="709">
        <v>1743.0646334287599</v>
      </c>
      <c r="K82" s="709">
        <v>884.25671526311874</v>
      </c>
      <c r="L82" s="709">
        <v>144.1146680032092</v>
      </c>
      <c r="M82" s="709">
        <v>778.22191927452002</v>
      </c>
      <c r="N82" s="709">
        <v>5.1245991460000008E-2</v>
      </c>
      <c r="O82" s="709">
        <v>79.385607563127991</v>
      </c>
      <c r="P82" s="709">
        <v>2541.3979520576399</v>
      </c>
      <c r="Q82" s="709">
        <v>132.81949110059162</v>
      </c>
      <c r="R82" s="709">
        <v>1638.022196847051</v>
      </c>
      <c r="S82" s="709">
        <v>75.288695884158599</v>
      </c>
      <c r="T82" s="709">
        <v>18.246735501989601</v>
      </c>
      <c r="U82" s="709">
        <v>2328.4977264858962</v>
      </c>
      <c r="V82" s="709">
        <f t="shared" si="4"/>
        <v>29940.248400000008</v>
      </c>
      <c r="W82" s="25"/>
      <c r="X82" s="25"/>
      <c r="Y82" s="25"/>
    </row>
    <row r="83" spans="1:25" s="700" customFormat="1" ht="11.25" customHeight="1" x14ac:dyDescent="0.2">
      <c r="A83" s="507" t="s">
        <v>2479</v>
      </c>
      <c r="B83" s="505" t="s">
        <v>552</v>
      </c>
      <c r="C83" s="709">
        <v>2885.1746354412353</v>
      </c>
      <c r="D83" s="709">
        <v>3923.1439925225372</v>
      </c>
      <c r="E83" s="709">
        <v>2206.9645856979432</v>
      </c>
      <c r="F83" s="709">
        <v>1372.4143918137302</v>
      </c>
      <c r="G83" s="709">
        <v>2818.0882280192832</v>
      </c>
      <c r="H83" s="709">
        <v>1.85550401592</v>
      </c>
      <c r="I83" s="709">
        <v>1050.6222957872101</v>
      </c>
      <c r="J83" s="709">
        <v>1276.3140675174602</v>
      </c>
      <c r="K83" s="709">
        <v>612.7113275065617</v>
      </c>
      <c r="L83" s="709">
        <v>142.0420888327383</v>
      </c>
      <c r="M83" s="709">
        <v>837.24652921949996</v>
      </c>
      <c r="N83" s="709">
        <v>5.6217230999999999E-3</v>
      </c>
      <c r="O83" s="709">
        <v>84.214644938364302</v>
      </c>
      <c r="P83" s="709">
        <v>1540.2179794882329</v>
      </c>
      <c r="Q83" s="709">
        <v>137.86005731906431</v>
      </c>
      <c r="R83" s="709">
        <v>1512.9774925694169</v>
      </c>
      <c r="S83" s="709">
        <v>191.26410077553001</v>
      </c>
      <c r="T83" s="709">
        <v>11.2857188748045</v>
      </c>
      <c r="U83" s="709">
        <v>1964.6863479373674</v>
      </c>
      <c r="V83" s="709">
        <f t="shared" si="4"/>
        <v>22569.089610000003</v>
      </c>
      <c r="W83" s="25"/>
      <c r="X83" s="25"/>
      <c r="Y83" s="25"/>
    </row>
    <row r="84" spans="1:25" s="700" customFormat="1" ht="11.25" customHeight="1" x14ac:dyDescent="0.2">
      <c r="A84" s="507" t="s">
        <v>2479</v>
      </c>
      <c r="B84" s="502" t="s">
        <v>553</v>
      </c>
      <c r="C84" s="694">
        <v>3190.8184331995863</v>
      </c>
      <c r="D84" s="694">
        <v>4010.2345891768027</v>
      </c>
      <c r="E84" s="694">
        <v>2051.8723893402589</v>
      </c>
      <c r="F84" s="694">
        <v>1539.2401036988299</v>
      </c>
      <c r="G84" s="694">
        <v>3484.3291789691116</v>
      </c>
      <c r="H84" s="694">
        <v>1.6397615081200001</v>
      </c>
      <c r="I84" s="694">
        <v>1037.434967177066</v>
      </c>
      <c r="J84" s="694">
        <v>1271.927199327723</v>
      </c>
      <c r="K84" s="694">
        <v>792.30249251068449</v>
      </c>
      <c r="L84" s="694">
        <v>177.36294572662001</v>
      </c>
      <c r="M84" s="694">
        <v>786.68371486335002</v>
      </c>
      <c r="N84" s="694">
        <v>4.4911403449999998E-2</v>
      </c>
      <c r="O84" s="694">
        <v>232.08724575629012</v>
      </c>
      <c r="P84" s="694">
        <v>2990.7462408962001</v>
      </c>
      <c r="Q84" s="694">
        <v>179.58036229007922</v>
      </c>
      <c r="R84" s="694">
        <v>1800.4468522772324</v>
      </c>
      <c r="S84" s="694">
        <v>156.69066726625002</v>
      </c>
      <c r="T84" s="694">
        <v>13.713087928874998</v>
      </c>
      <c r="U84" s="694">
        <v>2690.1778066834759</v>
      </c>
      <c r="V84" s="694">
        <f t="shared" si="4"/>
        <v>26407.332950000011</v>
      </c>
      <c r="W84" s="25"/>
      <c r="X84" s="25"/>
      <c r="Y84" s="25"/>
    </row>
    <row r="85" spans="1:25" s="700" customFormat="1" ht="11.25" customHeight="1" x14ac:dyDescent="0.2">
      <c r="A85" s="507" t="s">
        <v>2479</v>
      </c>
      <c r="B85" s="505" t="s">
        <v>547</v>
      </c>
      <c r="C85" s="709">
        <v>4145.3181083098125</v>
      </c>
      <c r="D85" s="709">
        <v>4340.6546181464346</v>
      </c>
      <c r="E85" s="709">
        <v>2467.1234381535587</v>
      </c>
      <c r="F85" s="709">
        <v>1357.4748519074467</v>
      </c>
      <c r="G85" s="709">
        <v>4654.4514147273849</v>
      </c>
      <c r="H85" s="709">
        <v>2.6542035899986525</v>
      </c>
      <c r="I85" s="709">
        <v>1063.6410228312541</v>
      </c>
      <c r="J85" s="709">
        <v>1345.4940013147707</v>
      </c>
      <c r="K85" s="709">
        <v>1003.45710581562</v>
      </c>
      <c r="L85" s="709">
        <v>132.04225768545805</v>
      </c>
      <c r="M85" s="709">
        <v>722.76098403207675</v>
      </c>
      <c r="N85" s="709">
        <v>1.2582360000000001E-2</v>
      </c>
      <c r="O85" s="709">
        <v>144.60831176369987</v>
      </c>
      <c r="P85" s="709">
        <v>2845.4617588833034</v>
      </c>
      <c r="Q85" s="709">
        <v>213.78482652619573</v>
      </c>
      <c r="R85" s="709">
        <v>1748.6538585635128</v>
      </c>
      <c r="S85" s="709">
        <v>140.36014555904788</v>
      </c>
      <c r="T85" s="709">
        <v>20.229519443733597</v>
      </c>
      <c r="U85" s="709">
        <v>2501.136990386698</v>
      </c>
      <c r="V85" s="709">
        <f t="shared" si="4"/>
        <v>28849.320000000003</v>
      </c>
      <c r="W85" s="25"/>
      <c r="X85" s="25"/>
      <c r="Y85" s="25"/>
    </row>
    <row r="86" spans="1:25" s="700" customFormat="1" ht="11.25" customHeight="1" x14ac:dyDescent="0.2">
      <c r="A86" s="507" t="s">
        <v>2479</v>
      </c>
      <c r="B86" s="502" t="s">
        <v>554</v>
      </c>
      <c r="C86" s="694">
        <v>3807.3487662616017</v>
      </c>
      <c r="D86" s="694">
        <v>4004.3221091357273</v>
      </c>
      <c r="E86" s="694">
        <v>2374.4804536318493</v>
      </c>
      <c r="F86" s="694">
        <v>1534.7363893453644</v>
      </c>
      <c r="G86" s="694">
        <v>5975.6689648954143</v>
      </c>
      <c r="H86" s="694">
        <v>1.8838517318752999</v>
      </c>
      <c r="I86" s="694">
        <v>1054.989662048522</v>
      </c>
      <c r="J86" s="694">
        <v>1472.976312802959</v>
      </c>
      <c r="K86" s="694">
        <v>760.99982679920777</v>
      </c>
      <c r="L86" s="694">
        <v>161.10202335511909</v>
      </c>
      <c r="M86" s="694">
        <v>867.59839154119504</v>
      </c>
      <c r="N86" s="694">
        <v>0.12374744063450001</v>
      </c>
      <c r="O86" s="694">
        <v>94.301888948890621</v>
      </c>
      <c r="P86" s="694">
        <v>2347.2114241505328</v>
      </c>
      <c r="Q86" s="694">
        <v>148.55908278136923</v>
      </c>
      <c r="R86" s="694">
        <v>1637.3438916079235</v>
      </c>
      <c r="S86" s="694">
        <v>116.45875328054365</v>
      </c>
      <c r="T86" s="694">
        <v>25.516730058710401</v>
      </c>
      <c r="U86" s="694">
        <v>2354.8826649825605</v>
      </c>
      <c r="V86" s="694">
        <f t="shared" si="4"/>
        <v>28740.504934800007</v>
      </c>
      <c r="W86" s="25"/>
      <c r="X86" s="25"/>
      <c r="Y86" s="25"/>
    </row>
    <row r="87" spans="1:25" s="700" customFormat="1" ht="11.25" customHeight="1" x14ac:dyDescent="0.2">
      <c r="A87" s="507" t="s">
        <v>2479</v>
      </c>
      <c r="B87" s="505" t="s">
        <v>555</v>
      </c>
      <c r="C87" s="709">
        <v>3083.4820115398347</v>
      </c>
      <c r="D87" s="709">
        <v>3485.7025243167818</v>
      </c>
      <c r="E87" s="709">
        <v>2249.3297827482434</v>
      </c>
      <c r="F87" s="709">
        <v>1455.4141809223593</v>
      </c>
      <c r="G87" s="709">
        <v>6143.5487052118997</v>
      </c>
      <c r="H87" s="709">
        <v>3.2403499200000008</v>
      </c>
      <c r="I87" s="709">
        <v>954.49852634148942</v>
      </c>
      <c r="J87" s="709">
        <v>1138.0139167940047</v>
      </c>
      <c r="K87" s="709">
        <v>848.49596778293233</v>
      </c>
      <c r="L87" s="709">
        <v>165.24407570990542</v>
      </c>
      <c r="M87" s="709">
        <v>623.03608142462144</v>
      </c>
      <c r="N87" s="709">
        <v>0.62276748000000004</v>
      </c>
      <c r="O87" s="709">
        <v>97.221415163093823</v>
      </c>
      <c r="P87" s="709">
        <v>2304.2948598076305</v>
      </c>
      <c r="Q87" s="709">
        <v>146.67095006699341</v>
      </c>
      <c r="R87" s="709">
        <v>1281.7746877311115</v>
      </c>
      <c r="S87" s="709">
        <v>194.29350312000008</v>
      </c>
      <c r="T87" s="709">
        <v>21.925662599454892</v>
      </c>
      <c r="U87" s="709">
        <v>2203.0700313196385</v>
      </c>
      <c r="V87" s="709">
        <f t="shared" si="4"/>
        <v>26399.879999999997</v>
      </c>
      <c r="W87" s="25"/>
      <c r="X87" s="25"/>
      <c r="Y87" s="25"/>
    </row>
    <row r="88" spans="1:25" s="700" customFormat="1" ht="11.25" customHeight="1" x14ac:dyDescent="0.2">
      <c r="A88" s="507" t="s">
        <v>2479</v>
      </c>
      <c r="B88" s="502" t="s">
        <v>548</v>
      </c>
      <c r="C88" s="694">
        <v>3479.9549322831035</v>
      </c>
      <c r="D88" s="694">
        <v>4450.2311130739554</v>
      </c>
      <c r="E88" s="694">
        <v>2981.751126243943</v>
      </c>
      <c r="F88" s="694">
        <v>1579.6262306410583</v>
      </c>
      <c r="G88" s="694">
        <v>6780.4482388171236</v>
      </c>
      <c r="H88" s="694">
        <v>2.4615769199999997</v>
      </c>
      <c r="I88" s="694">
        <v>1221.8172069505604</v>
      </c>
      <c r="J88" s="694">
        <v>1806.9748062905328</v>
      </c>
      <c r="K88" s="694">
        <v>977.18060294761358</v>
      </c>
      <c r="L88" s="694">
        <v>204.21620315934024</v>
      </c>
      <c r="M88" s="694">
        <v>691.11100998095981</v>
      </c>
      <c r="N88" s="694">
        <v>0.16162499999999996</v>
      </c>
      <c r="O88" s="694">
        <v>89.677711568620538</v>
      </c>
      <c r="P88" s="694">
        <v>3095.9710949853484</v>
      </c>
      <c r="Q88" s="694">
        <v>142.14168667653959</v>
      </c>
      <c r="R88" s="694">
        <v>1332.8664369782298</v>
      </c>
      <c r="S88" s="694">
        <v>212.95971623999995</v>
      </c>
      <c r="T88" s="694">
        <v>15.521655861600005</v>
      </c>
      <c r="U88" s="694">
        <v>2600.1670253814691</v>
      </c>
      <c r="V88" s="694">
        <f t="shared" si="4"/>
        <v>31665.239999999998</v>
      </c>
      <c r="W88" s="25"/>
      <c r="X88" s="25"/>
      <c r="Y88" s="25"/>
    </row>
    <row r="89" spans="1:25" s="700" customFormat="1" ht="11.25" customHeight="1" x14ac:dyDescent="0.2">
      <c r="A89" s="507" t="s">
        <v>2479</v>
      </c>
      <c r="B89" s="505" t="s">
        <v>556</v>
      </c>
      <c r="C89" s="709">
        <v>3293.9470281053714</v>
      </c>
      <c r="D89" s="709">
        <v>3042.7561418603073</v>
      </c>
      <c r="E89" s="709">
        <v>3333.4617701197421</v>
      </c>
      <c r="F89" s="709">
        <v>1657.3859543285944</v>
      </c>
      <c r="G89" s="709">
        <v>4968.7187434486732</v>
      </c>
      <c r="H89" s="709">
        <v>2.5272083627707995</v>
      </c>
      <c r="I89" s="709">
        <v>1175.8596174447659</v>
      </c>
      <c r="J89" s="709">
        <v>1547.453927726292</v>
      </c>
      <c r="K89" s="709">
        <v>790.67985716001078</v>
      </c>
      <c r="L89" s="709">
        <v>183.75698113735217</v>
      </c>
      <c r="M89" s="709">
        <v>533.75662697276812</v>
      </c>
      <c r="N89" s="709">
        <v>2.6467552446100003E-2</v>
      </c>
      <c r="O89" s="709">
        <v>70.338686029172578</v>
      </c>
      <c r="P89" s="709">
        <v>1884.366838138696</v>
      </c>
      <c r="Q89" s="709">
        <v>155.11901328063303</v>
      </c>
      <c r="R89" s="709">
        <v>1597.1918107229301</v>
      </c>
      <c r="S89" s="709">
        <v>190.68645938268247</v>
      </c>
      <c r="T89" s="709">
        <v>10.842205120226208</v>
      </c>
      <c r="U89" s="709">
        <v>2204.7381088065658</v>
      </c>
      <c r="V89" s="709">
        <f t="shared" si="4"/>
        <v>26643.613445699997</v>
      </c>
      <c r="W89" s="25"/>
      <c r="X89" s="25"/>
      <c r="Y89" s="25"/>
    </row>
    <row r="90" spans="1:25" s="700" customFormat="1" ht="11.25" customHeight="1" x14ac:dyDescent="0.2">
      <c r="A90" s="507" t="s">
        <v>2479</v>
      </c>
      <c r="B90" s="502" t="s">
        <v>557</v>
      </c>
      <c r="C90" s="694">
        <v>4011.8560078080054</v>
      </c>
      <c r="D90" s="694">
        <v>4086.2966753783235</v>
      </c>
      <c r="E90" s="694">
        <v>3727.2898215441833</v>
      </c>
      <c r="F90" s="694">
        <v>1721.5003529904759</v>
      </c>
      <c r="G90" s="694">
        <v>5993.3315862668551</v>
      </c>
      <c r="H90" s="694">
        <v>2.9625057480000003</v>
      </c>
      <c r="I90" s="694">
        <v>1220.3689997751806</v>
      </c>
      <c r="J90" s="694">
        <v>1509.3710477618288</v>
      </c>
      <c r="K90" s="694">
        <v>959.21950161614495</v>
      </c>
      <c r="L90" s="694">
        <v>271.60285869359063</v>
      </c>
      <c r="M90" s="694">
        <v>686.24856920938669</v>
      </c>
      <c r="N90" s="694">
        <v>0.11496938400000001</v>
      </c>
      <c r="O90" s="694">
        <v>98.540423289410057</v>
      </c>
      <c r="P90" s="694">
        <v>2243.1721043374628</v>
      </c>
      <c r="Q90" s="694">
        <v>145.36072799788093</v>
      </c>
      <c r="R90" s="694">
        <v>1355.7103138506977</v>
      </c>
      <c r="S90" s="694">
        <v>271.31017680630032</v>
      </c>
      <c r="T90" s="694">
        <v>14.478108690593881</v>
      </c>
      <c r="U90" s="694">
        <v>2518.5952488516791</v>
      </c>
      <c r="V90" s="694">
        <f t="shared" si="4"/>
        <v>30837.33</v>
      </c>
      <c r="W90" s="25"/>
      <c r="X90" s="25"/>
      <c r="Y90" s="25"/>
    </row>
    <row r="91" spans="1:25" s="700" customFormat="1" ht="11.25" customHeight="1" x14ac:dyDescent="0.2">
      <c r="A91" s="507" t="s">
        <v>2479</v>
      </c>
      <c r="B91" s="505" t="s">
        <v>549</v>
      </c>
      <c r="C91" s="709">
        <v>5470.8318524074575</v>
      </c>
      <c r="D91" s="709">
        <v>6201.969998049065</v>
      </c>
      <c r="E91" s="709">
        <v>4723.6874905101067</v>
      </c>
      <c r="F91" s="709">
        <v>2253.2633082633479</v>
      </c>
      <c r="G91" s="709">
        <v>6662.7467117153919</v>
      </c>
      <c r="H91" s="709">
        <v>4.5059938720000003</v>
      </c>
      <c r="I91" s="709">
        <v>1429.3311896334308</v>
      </c>
      <c r="J91" s="709">
        <v>2275.0981577805051</v>
      </c>
      <c r="K91" s="709">
        <v>1160.9143387913959</v>
      </c>
      <c r="L91" s="709">
        <v>234.08192184778736</v>
      </c>
      <c r="M91" s="709">
        <v>649.74040379848395</v>
      </c>
      <c r="N91" s="709">
        <v>0.27236024200000003</v>
      </c>
      <c r="O91" s="709">
        <v>90.756430617505387</v>
      </c>
      <c r="P91" s="709">
        <v>3549.0929446774398</v>
      </c>
      <c r="Q91" s="709">
        <v>246.0898850308412</v>
      </c>
      <c r="R91" s="709">
        <v>1905.2960516666985</v>
      </c>
      <c r="S91" s="709">
        <v>239.80973984865918</v>
      </c>
      <c r="T91" s="709">
        <v>26.567920029616069</v>
      </c>
      <c r="U91" s="709">
        <v>3082.6293012182678</v>
      </c>
      <c r="V91" s="709">
        <f t="shared" si="4"/>
        <v>40206.686000000002</v>
      </c>
      <c r="W91" s="25"/>
      <c r="X91" s="25"/>
      <c r="Y91" s="25"/>
    </row>
    <row r="92" spans="1:25" s="700" customFormat="1" ht="11.25" customHeight="1" x14ac:dyDescent="0.2">
      <c r="A92" s="507" t="s">
        <v>2479</v>
      </c>
      <c r="B92" s="502" t="s">
        <v>558</v>
      </c>
      <c r="C92" s="694">
        <v>5995.3790895125367</v>
      </c>
      <c r="D92" s="694">
        <v>4540.5301899478854</v>
      </c>
      <c r="E92" s="694">
        <v>3588.0396888712107</v>
      </c>
      <c r="F92" s="694">
        <v>1985.2919529617443</v>
      </c>
      <c r="G92" s="694">
        <v>4036.614105385544</v>
      </c>
      <c r="H92" s="694">
        <v>1.2025014180000002</v>
      </c>
      <c r="I92" s="694">
        <v>1271.8837227426079</v>
      </c>
      <c r="J92" s="694">
        <v>1809.7591903637858</v>
      </c>
      <c r="K92" s="694">
        <v>1446.7194910799417</v>
      </c>
      <c r="L92" s="694">
        <v>206.39342783930184</v>
      </c>
      <c r="M92" s="694">
        <v>787.25183914260776</v>
      </c>
      <c r="N92" s="694">
        <v>0.29080566599999996</v>
      </c>
      <c r="O92" s="694">
        <v>103.89858997816991</v>
      </c>
      <c r="P92" s="694">
        <v>2572.925192449432</v>
      </c>
      <c r="Q92" s="694">
        <v>199.32699783840181</v>
      </c>
      <c r="R92" s="694">
        <v>1837.2220537771416</v>
      </c>
      <c r="S92" s="694">
        <v>297.78992545952917</v>
      </c>
      <c r="T92" s="694">
        <v>25.271161709734017</v>
      </c>
      <c r="U92" s="694">
        <v>2872.6360738564217</v>
      </c>
      <c r="V92" s="694">
        <f t="shared" si="4"/>
        <v>33578.425999999992</v>
      </c>
      <c r="W92" s="25"/>
      <c r="X92" s="25"/>
      <c r="Y92" s="25"/>
    </row>
    <row r="93" spans="1:25" s="700" customFormat="1" ht="11.25" customHeight="1" x14ac:dyDescent="0.2">
      <c r="A93" s="507" t="s">
        <v>2479</v>
      </c>
      <c r="B93" s="505" t="s">
        <v>559</v>
      </c>
      <c r="C93" s="709">
        <v>6524.1357828118207</v>
      </c>
      <c r="D93" s="709">
        <v>4295.6955148749557</v>
      </c>
      <c r="E93" s="709">
        <v>4243.8972181036588</v>
      </c>
      <c r="F93" s="709">
        <v>1714.7620115779177</v>
      </c>
      <c r="G93" s="709">
        <v>2736.2905970129709</v>
      </c>
      <c r="H93" s="709">
        <v>2.1550153121369999</v>
      </c>
      <c r="I93" s="709">
        <v>1669.7076235450772</v>
      </c>
      <c r="J93" s="709">
        <v>2219.0661620908968</v>
      </c>
      <c r="K93" s="709">
        <v>1336.4517517558393</v>
      </c>
      <c r="L93" s="709">
        <v>171.25802997054615</v>
      </c>
      <c r="M93" s="709">
        <v>1041.06446343824</v>
      </c>
      <c r="N93" s="709">
        <v>0.24883761745799998</v>
      </c>
      <c r="O93" s="709">
        <v>85.722052615917818</v>
      </c>
      <c r="P93" s="709">
        <v>4164.6138424884366</v>
      </c>
      <c r="Q93" s="709">
        <v>229.3714632651558</v>
      </c>
      <c r="R93" s="709">
        <v>1943.8908625805921</v>
      </c>
      <c r="S93" s="709">
        <v>406.10461176144361</v>
      </c>
      <c r="T93" s="709">
        <v>29.025908799110272</v>
      </c>
      <c r="U93" s="709">
        <v>3515.2444223778248</v>
      </c>
      <c r="V93" s="709">
        <f t="shared" si="4"/>
        <v>36328.706171999998</v>
      </c>
      <c r="W93" s="25"/>
      <c r="X93" s="25"/>
      <c r="Y93" s="25"/>
    </row>
    <row r="94" spans="1:25" s="700" customFormat="1" ht="11.25" customHeight="1" x14ac:dyDescent="0.2">
      <c r="A94" s="507" t="s">
        <v>2479</v>
      </c>
      <c r="B94" s="502" t="s">
        <v>550</v>
      </c>
      <c r="C94" s="694">
        <v>5763.6964752470376</v>
      </c>
      <c r="D94" s="694">
        <v>3988.4690038620743</v>
      </c>
      <c r="E94" s="694">
        <v>4448.8457345927964</v>
      </c>
      <c r="F94" s="694">
        <v>1462.8587769376813</v>
      </c>
      <c r="G94" s="694">
        <v>2926.0635764315793</v>
      </c>
      <c r="H94" s="694">
        <v>3.5367901832081805</v>
      </c>
      <c r="I94" s="694">
        <v>1432.7032805970359</v>
      </c>
      <c r="J94" s="694">
        <v>2115.7238689315809</v>
      </c>
      <c r="K94" s="694">
        <v>1178.8191712432485</v>
      </c>
      <c r="L94" s="694">
        <v>134.79410146781385</v>
      </c>
      <c r="M94" s="694">
        <v>968.83490438108799</v>
      </c>
      <c r="N94" s="694">
        <v>0.16407297952989999</v>
      </c>
      <c r="O94" s="694">
        <v>85.533615585524473</v>
      </c>
      <c r="P94" s="694">
        <v>4409.1779994078815</v>
      </c>
      <c r="Q94" s="694">
        <v>197.73805382633947</v>
      </c>
      <c r="R94" s="694">
        <v>2024.2446712545971</v>
      </c>
      <c r="S94" s="694">
        <v>333.50282757361737</v>
      </c>
      <c r="T94" s="694">
        <v>16.6749354619811</v>
      </c>
      <c r="U94" s="694">
        <v>3189.6934319353868</v>
      </c>
      <c r="V94" s="694">
        <f t="shared" si="4"/>
        <v>34681.075291900008</v>
      </c>
      <c r="W94" s="25"/>
      <c r="X94" s="25"/>
      <c r="Y94" s="25"/>
    </row>
    <row r="95" spans="1:25" s="700" customFormat="1" ht="11.25" customHeight="1" x14ac:dyDescent="0.2">
      <c r="A95" s="506" t="s">
        <v>2730</v>
      </c>
      <c r="B95" s="502" t="s">
        <v>552</v>
      </c>
      <c r="C95" s="694">
        <v>5199.9971067370898</v>
      </c>
      <c r="D95" s="694">
        <v>3461.6450344858613</v>
      </c>
      <c r="E95" s="694">
        <v>3446.1322236091119</v>
      </c>
      <c r="F95" s="694">
        <v>1610.9405130847601</v>
      </c>
      <c r="G95" s="694">
        <v>2709.788187165841</v>
      </c>
      <c r="H95" s="694">
        <v>1.9202797948380321</v>
      </c>
      <c r="I95" s="694">
        <v>1288.2149472569049</v>
      </c>
      <c r="J95" s="694">
        <v>1704.9058243575851</v>
      </c>
      <c r="K95" s="694">
        <v>1073.9860637672662</v>
      </c>
      <c r="L95" s="694">
        <v>145.88144753159489</v>
      </c>
      <c r="M95" s="694">
        <v>768.96517304435417</v>
      </c>
      <c r="N95" s="694">
        <v>0.1173574969421</v>
      </c>
      <c r="O95" s="694">
        <v>88.450845395983421</v>
      </c>
      <c r="P95" s="694">
        <v>3255.7713372066</v>
      </c>
      <c r="Q95" s="694">
        <v>190.80310827854137</v>
      </c>
      <c r="R95" s="694">
        <v>2060.6379311587993</v>
      </c>
      <c r="S95" s="694">
        <v>257.55583532305582</v>
      </c>
      <c r="T95" s="694">
        <v>28.237513008345793</v>
      </c>
      <c r="U95" s="694">
        <v>2927.0686031965261</v>
      </c>
      <c r="V95" s="694">
        <f t="shared" si="4"/>
        <v>30221.019331899999</v>
      </c>
      <c r="W95" s="25"/>
      <c r="X95" s="25"/>
      <c r="Y95" s="25"/>
    </row>
    <row r="96" spans="1:25" s="700" customFormat="1" ht="11.25" customHeight="1" x14ac:dyDescent="0.2">
      <c r="A96" s="506" t="s">
        <v>2730</v>
      </c>
      <c r="B96" s="505" t="s">
        <v>553</v>
      </c>
      <c r="C96" s="709">
        <v>4839.0876771983048</v>
      </c>
      <c r="D96" s="709">
        <v>3237.2332014690719</v>
      </c>
      <c r="E96" s="709">
        <v>3402.3455903559525</v>
      </c>
      <c r="F96" s="709">
        <v>1319.5146863732255</v>
      </c>
      <c r="G96" s="709">
        <v>2819.2197542596336</v>
      </c>
      <c r="H96" s="709">
        <v>1.2630362342233212</v>
      </c>
      <c r="I96" s="709">
        <v>1119.5427515389979</v>
      </c>
      <c r="J96" s="709">
        <v>1782.5728160182648</v>
      </c>
      <c r="K96" s="709">
        <v>1346.6135342749617</v>
      </c>
      <c r="L96" s="709">
        <v>134.42489977417418</v>
      </c>
      <c r="M96" s="709">
        <v>670.47256873360857</v>
      </c>
      <c r="N96" s="709">
        <v>0.11380345465769999</v>
      </c>
      <c r="O96" s="709">
        <v>120.14971256728882</v>
      </c>
      <c r="P96" s="709">
        <v>3364.0561176218921</v>
      </c>
      <c r="Q96" s="709">
        <v>160.39938865607803</v>
      </c>
      <c r="R96" s="709">
        <v>2031.0957675079167</v>
      </c>
      <c r="S96" s="709">
        <v>272.80547724093032</v>
      </c>
      <c r="T96" s="709">
        <v>19.067371903382263</v>
      </c>
      <c r="U96" s="709">
        <v>2838.9520791174346</v>
      </c>
      <c r="V96" s="709">
        <f t="shared" si="4"/>
        <v>29478.930234300002</v>
      </c>
      <c r="W96" s="25"/>
      <c r="X96" s="25"/>
      <c r="Y96" s="25"/>
    </row>
    <row r="97" spans="1:25" s="700" customFormat="1" ht="11.25" customHeight="1" x14ac:dyDescent="0.2">
      <c r="A97" s="506" t="s">
        <v>2730</v>
      </c>
      <c r="B97" s="502" t="s">
        <v>547</v>
      </c>
      <c r="C97" s="694">
        <v>4990.660887736818</v>
      </c>
      <c r="D97" s="694">
        <v>4073.2250661613207</v>
      </c>
      <c r="E97" s="694">
        <v>4461.3289980883992</v>
      </c>
      <c r="F97" s="694">
        <v>1544.0543606231736</v>
      </c>
      <c r="G97" s="694">
        <v>2101.898200095889</v>
      </c>
      <c r="H97" s="694">
        <v>1.6283899325962607</v>
      </c>
      <c r="I97" s="694">
        <v>1517.0982607350381</v>
      </c>
      <c r="J97" s="694">
        <v>1807.164396380434</v>
      </c>
      <c r="K97" s="694">
        <v>1572.6490741056086</v>
      </c>
      <c r="L97" s="694">
        <v>143.17009019138294</v>
      </c>
      <c r="M97" s="694">
        <v>1013.3538017948076</v>
      </c>
      <c r="N97" s="694">
        <v>0.1028862982215</v>
      </c>
      <c r="O97" s="694">
        <v>105.92666141859949</v>
      </c>
      <c r="P97" s="694">
        <v>3334.1240579363621</v>
      </c>
      <c r="Q97" s="694">
        <v>220.31640124991486</v>
      </c>
      <c r="R97" s="694">
        <v>2159.1459504369109</v>
      </c>
      <c r="S97" s="694">
        <v>307.48600308762144</v>
      </c>
      <c r="T97" s="694">
        <v>19.60584304109112</v>
      </c>
      <c r="U97" s="694">
        <v>3321.5231603331936</v>
      </c>
      <c r="V97" s="694">
        <f t="shared" si="4"/>
        <v>32694.462489647383</v>
      </c>
      <c r="W97" s="25"/>
      <c r="X97" s="25"/>
      <c r="Y97" s="25"/>
    </row>
    <row r="98" spans="1:25" s="700" customFormat="1" ht="11.25" customHeight="1" x14ac:dyDescent="0.2">
      <c r="A98" s="506" t="s">
        <v>2730</v>
      </c>
      <c r="B98" s="505" t="s">
        <v>554</v>
      </c>
      <c r="C98" s="709">
        <v>4708.4807681678558</v>
      </c>
      <c r="D98" s="709">
        <v>3632.3711825453547</v>
      </c>
      <c r="E98" s="709">
        <v>4425.7708283415504</v>
      </c>
      <c r="F98" s="709">
        <v>1536.9864666084163</v>
      </c>
      <c r="G98" s="709">
        <v>2346.3705761567453</v>
      </c>
      <c r="H98" s="709">
        <v>2.0865973660893302</v>
      </c>
      <c r="I98" s="709">
        <v>1547.2596786147378</v>
      </c>
      <c r="J98" s="709">
        <v>1977.1719112962037</v>
      </c>
      <c r="K98" s="709">
        <v>1276.3781005317271</v>
      </c>
      <c r="L98" s="709">
        <v>153.27030980464568</v>
      </c>
      <c r="M98" s="709">
        <v>787.0056221650774</v>
      </c>
      <c r="N98" s="709">
        <v>7.0133066779999989E-2</v>
      </c>
      <c r="O98" s="709">
        <v>87.657837716361115</v>
      </c>
      <c r="P98" s="709">
        <v>3416.0582509206279</v>
      </c>
      <c r="Q98" s="709">
        <v>176.03530638211566</v>
      </c>
      <c r="R98" s="709">
        <v>1973.4288663287643</v>
      </c>
      <c r="S98" s="709">
        <v>291.75225674881199</v>
      </c>
      <c r="T98" s="709">
        <v>22.524306687728444</v>
      </c>
      <c r="U98" s="709">
        <v>2914.9396095488928</v>
      </c>
      <c r="V98" s="709">
        <f t="shared" si="4"/>
        <v>31275.618608998484</v>
      </c>
      <c r="W98" s="25"/>
      <c r="X98" s="25"/>
      <c r="Y98" s="25"/>
    </row>
    <row r="99" spans="1:25" s="700" customFormat="1" ht="11.25" customHeight="1" x14ac:dyDescent="0.2">
      <c r="A99" s="506" t="s">
        <v>2730</v>
      </c>
      <c r="B99" s="502" t="s">
        <v>555</v>
      </c>
      <c r="C99" s="694">
        <v>5269.6153062126286</v>
      </c>
      <c r="D99" s="694">
        <v>4908.4257836129755</v>
      </c>
      <c r="E99" s="694">
        <v>4628.0363671652394</v>
      </c>
      <c r="F99" s="694">
        <v>1824.7589024759266</v>
      </c>
      <c r="G99" s="694">
        <v>2538.5387294795537</v>
      </c>
      <c r="H99" s="694">
        <v>1.4645228857672747</v>
      </c>
      <c r="I99" s="694">
        <v>1789.2586447544959</v>
      </c>
      <c r="J99" s="694">
        <v>2113.0511357913142</v>
      </c>
      <c r="K99" s="694">
        <v>1433.0111261803208</v>
      </c>
      <c r="L99" s="694">
        <v>169.15930893997208</v>
      </c>
      <c r="M99" s="694">
        <v>1031.4353107892271</v>
      </c>
      <c r="N99" s="694">
        <v>0.17017276149900001</v>
      </c>
      <c r="O99" s="694">
        <v>90.285875154833548</v>
      </c>
      <c r="P99" s="694">
        <v>4050.8972000814319</v>
      </c>
      <c r="Q99" s="694">
        <v>204.21637771437048</v>
      </c>
      <c r="R99" s="694">
        <v>1918.0677291036288</v>
      </c>
      <c r="S99" s="694">
        <v>281.15542253444784</v>
      </c>
      <c r="T99" s="694">
        <v>21.042252487113192</v>
      </c>
      <c r="U99" s="694">
        <v>3074.3565416939377</v>
      </c>
      <c r="V99" s="694">
        <f t="shared" si="4"/>
        <v>35346.946709818687</v>
      </c>
      <c r="W99" s="25"/>
      <c r="X99" s="25"/>
      <c r="Y99" s="25"/>
    </row>
    <row r="100" spans="1:25" s="9" customFormat="1" ht="11.25" customHeight="1" x14ac:dyDescent="0.2">
      <c r="A100" s="506" t="s">
        <v>2730</v>
      </c>
      <c r="B100" s="505" t="s">
        <v>548</v>
      </c>
      <c r="C100" s="709">
        <v>5985.1350111069332</v>
      </c>
      <c r="D100" s="709">
        <v>5821.5719882321773</v>
      </c>
      <c r="E100" s="709">
        <v>4943.1504799722525</v>
      </c>
      <c r="F100" s="709">
        <v>2009.5163050512631</v>
      </c>
      <c r="G100" s="709">
        <v>3162.7239006858449</v>
      </c>
      <c r="H100" s="709">
        <v>2.5495629916823352</v>
      </c>
      <c r="I100" s="709">
        <v>1773.3754782655767</v>
      </c>
      <c r="J100" s="709">
        <v>2201.6434243751473</v>
      </c>
      <c r="K100" s="709">
        <v>1405.9419328025065</v>
      </c>
      <c r="L100" s="709">
        <v>189.72679782408343</v>
      </c>
      <c r="M100" s="709">
        <v>978.21111285028087</v>
      </c>
      <c r="N100" s="709">
        <v>0.30835467982703602</v>
      </c>
      <c r="O100" s="709">
        <v>117.30676179160646</v>
      </c>
      <c r="P100" s="709">
        <v>3947.5787887313904</v>
      </c>
      <c r="Q100" s="709">
        <v>335.72449588439952</v>
      </c>
      <c r="R100" s="709">
        <v>2380.9175186172038</v>
      </c>
      <c r="S100" s="709">
        <v>347.1883790550304</v>
      </c>
      <c r="T100" s="709">
        <v>23.80572222830715</v>
      </c>
      <c r="U100" s="709">
        <v>3796.7160041786929</v>
      </c>
      <c r="V100" s="709">
        <f t="shared" si="4"/>
        <v>39423.092019324205</v>
      </c>
      <c r="X100" s="25"/>
    </row>
    <row r="101" spans="1:25" s="9" customFormat="1" ht="11.25" customHeight="1" x14ac:dyDescent="0.2">
      <c r="A101" s="506" t="s">
        <v>2730</v>
      </c>
      <c r="B101" s="502" t="s">
        <v>556</v>
      </c>
      <c r="C101" s="694">
        <v>5801.9880964318572</v>
      </c>
      <c r="D101" s="694">
        <v>4746.6694749666012</v>
      </c>
      <c r="E101" s="694">
        <v>5740.9626899520972</v>
      </c>
      <c r="F101" s="694">
        <v>2064.4054743791312</v>
      </c>
      <c r="G101" s="694">
        <v>3363.6115973435235</v>
      </c>
      <c r="H101" s="694">
        <v>2.8096245877489343</v>
      </c>
      <c r="I101" s="694">
        <v>1687.7140036473515</v>
      </c>
      <c r="J101" s="694">
        <v>2227.2061190264312</v>
      </c>
      <c r="K101" s="694">
        <v>1729.9031845852205</v>
      </c>
      <c r="L101" s="694">
        <v>171.19375496778898</v>
      </c>
      <c r="M101" s="694">
        <v>853.32269915488064</v>
      </c>
      <c r="N101" s="694">
        <v>7.7910381928845862E-2</v>
      </c>
      <c r="O101" s="694">
        <v>119.57254405717507</v>
      </c>
      <c r="P101" s="694">
        <v>3427.6136026776126</v>
      </c>
      <c r="Q101" s="694">
        <v>326.86679326982141</v>
      </c>
      <c r="R101" s="694">
        <v>2304.0237846088776</v>
      </c>
      <c r="S101" s="694">
        <v>313.44957873243993</v>
      </c>
      <c r="T101" s="694">
        <v>69.06173101145076</v>
      </c>
      <c r="U101" s="694">
        <v>3837.7359605547654</v>
      </c>
      <c r="V101" s="694">
        <v>38796.630699808426</v>
      </c>
      <c r="X101" s="25"/>
    </row>
    <row r="102" spans="1:25" s="9" customFormat="1" ht="11.25" customHeight="1" x14ac:dyDescent="0.2">
      <c r="A102" s="506" t="s">
        <v>2730</v>
      </c>
      <c r="B102" s="502" t="s">
        <v>557</v>
      </c>
      <c r="C102" s="709">
        <v>5999.3737058366078</v>
      </c>
      <c r="D102" s="709">
        <v>4580.0183431389642</v>
      </c>
      <c r="E102" s="709">
        <v>5422.7756296130019</v>
      </c>
      <c r="F102" s="709">
        <v>1811.6332656004433</v>
      </c>
      <c r="G102" s="709">
        <v>3380.0400786951941</v>
      </c>
      <c r="H102" s="709">
        <v>1.2725506017761894</v>
      </c>
      <c r="I102" s="709">
        <v>1539.1450246229965</v>
      </c>
      <c r="J102" s="709">
        <v>2177.0118299353921</v>
      </c>
      <c r="K102" s="709">
        <v>1782.9248989547555</v>
      </c>
      <c r="L102" s="709">
        <v>126.37660114955608</v>
      </c>
      <c r="M102" s="709">
        <v>613.7960005013681</v>
      </c>
      <c r="N102" s="709">
        <v>7.4353804874999985E-2</v>
      </c>
      <c r="O102" s="709">
        <v>94.034562281054548</v>
      </c>
      <c r="P102" s="709">
        <v>3883.7804845348655</v>
      </c>
      <c r="Q102" s="709">
        <v>310.64033760952304</v>
      </c>
      <c r="R102" s="709">
        <v>1960.44168627422</v>
      </c>
      <c r="S102" s="709">
        <v>308.14098355483168</v>
      </c>
      <c r="T102" s="709">
        <v>13.276850807875121</v>
      </c>
      <c r="U102" s="709">
        <v>2926.362745059766</v>
      </c>
      <c r="V102" s="709">
        <v>36931.261264116853</v>
      </c>
      <c r="W102" s="151"/>
      <c r="X102" s="25"/>
      <c r="Y102" s="151"/>
    </row>
    <row r="103" spans="1:25" s="9" customFormat="1" ht="11.25" customHeight="1" thickBot="1" x14ac:dyDescent="0.25">
      <c r="A103" s="506" t="s">
        <v>2730</v>
      </c>
      <c r="B103" s="1339" t="s">
        <v>549</v>
      </c>
      <c r="C103" s="1545">
        <v>8640.9040859795969</v>
      </c>
      <c r="D103" s="1545">
        <v>7189.0065021910414</v>
      </c>
      <c r="E103" s="1545">
        <v>6456.9964890155343</v>
      </c>
      <c r="F103" s="1545">
        <v>2190.6069140174141</v>
      </c>
      <c r="G103" s="1545">
        <v>4481.191196626216</v>
      </c>
      <c r="H103" s="1545">
        <v>2.9576812633039009</v>
      </c>
      <c r="I103" s="1545">
        <v>1847.5216218756236</v>
      </c>
      <c r="J103" s="1545">
        <v>2736.8180476482307</v>
      </c>
      <c r="K103" s="1545">
        <v>1604.838279821643</v>
      </c>
      <c r="L103" s="1545">
        <v>146.80187621519855</v>
      </c>
      <c r="M103" s="1545">
        <v>624.37473052194105</v>
      </c>
      <c r="N103" s="1545">
        <v>0.20148949750702566</v>
      </c>
      <c r="O103" s="1545">
        <v>92.994347301320119</v>
      </c>
      <c r="P103" s="1545">
        <v>4362.7185406146555</v>
      </c>
      <c r="Q103" s="1545">
        <v>316.93350907378806</v>
      </c>
      <c r="R103" s="1545">
        <v>1934.1518522492602</v>
      </c>
      <c r="S103" s="1545">
        <v>247.77221460846712</v>
      </c>
      <c r="T103" s="1545">
        <v>21.541979248297068</v>
      </c>
      <c r="U103" s="1545">
        <v>3147.7365101231253</v>
      </c>
      <c r="V103" s="1545">
        <v>46046.067867892169</v>
      </c>
      <c r="W103" s="151"/>
      <c r="X103" s="25"/>
      <c r="Y103" s="151"/>
    </row>
    <row r="104" spans="1:25" s="9" customFormat="1" x14ac:dyDescent="0.2">
      <c r="A104" s="49" t="s">
        <v>698</v>
      </c>
      <c r="B104" s="49"/>
      <c r="C104" s="9" t="s">
        <v>1284</v>
      </c>
      <c r="D104" s="164"/>
      <c r="E104" s="164"/>
      <c r="F104" s="164"/>
      <c r="G104" s="164"/>
      <c r="H104" s="164"/>
      <c r="I104" s="164"/>
      <c r="J104" s="164"/>
      <c r="K104" s="164"/>
      <c r="L104" s="585"/>
      <c r="O104" s="544"/>
      <c r="P104" s="544"/>
      <c r="Q104" s="544"/>
      <c r="R104" s="544"/>
      <c r="S104" s="544"/>
      <c r="T104" s="544"/>
      <c r="U104" s="544"/>
      <c r="V104" s="544"/>
      <c r="W104" s="151"/>
      <c r="X104" s="137"/>
      <c r="Y104" s="137"/>
    </row>
    <row r="105" spans="1:25" s="9" customFormat="1" ht="12.75" x14ac:dyDescent="0.2">
      <c r="C105" s="60"/>
      <c r="D105" s="50"/>
      <c r="E105" s="7"/>
      <c r="F105" s="7"/>
      <c r="G105" s="7"/>
      <c r="H105" s="7"/>
      <c r="I105" s="50"/>
      <c r="J105" s="7"/>
      <c r="K105" s="7"/>
      <c r="M105" s="544"/>
      <c r="N105" s="544"/>
      <c r="O105" s="94"/>
      <c r="P105" s="15"/>
      <c r="Q105" s="164"/>
      <c r="R105" s="164"/>
      <c r="S105" s="166"/>
      <c r="T105" s="166"/>
      <c r="U105" s="15"/>
      <c r="W105" s="137"/>
      <c r="X105" s="137"/>
      <c r="Y105" s="137"/>
    </row>
    <row r="106" spans="1:25" s="9" customFormat="1" ht="12.75" x14ac:dyDescent="0.2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48"/>
      <c r="N106" s="638"/>
      <c r="O106" s="94"/>
      <c r="P106" s="15"/>
      <c r="Q106" s="164"/>
      <c r="R106" s="164"/>
      <c r="S106" s="166"/>
      <c r="T106" s="151"/>
      <c r="U106" s="15"/>
      <c r="W106" s="137"/>
      <c r="X106" s="137"/>
      <c r="Y106" s="137"/>
    </row>
    <row r="107" spans="1:25" s="9" customFormat="1" ht="12.75" x14ac:dyDescent="0.2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94"/>
      <c r="P107" s="15"/>
      <c r="Q107" s="164"/>
      <c r="R107" s="164"/>
      <c r="S107" s="166"/>
      <c r="T107" s="151"/>
      <c r="U107" s="15"/>
      <c r="V107" s="151"/>
      <c r="W107" s="151"/>
      <c r="X107" s="151"/>
      <c r="Y107" s="151"/>
    </row>
    <row r="108" spans="1:25" s="9" customFormat="1" x14ac:dyDescent="0.2"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227"/>
    </row>
    <row r="109" spans="1:25" s="9" customFormat="1" x14ac:dyDescent="0.2">
      <c r="A109" s="8"/>
      <c r="B109" s="8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227"/>
    </row>
    <row r="110" spans="1:25" s="9" customFormat="1" x14ac:dyDescent="0.2">
      <c r="A110" s="8"/>
      <c r="B110" s="8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227"/>
    </row>
    <row r="111" spans="1:25" s="9" customFormat="1" x14ac:dyDescent="0.2">
      <c r="A111" s="8"/>
      <c r="B111" s="8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227"/>
    </row>
    <row r="112" spans="1:25" s="9" customFormat="1" x14ac:dyDescent="0.2">
      <c r="A112" s="153"/>
      <c r="B112" s="153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</row>
    <row r="113" spans="1:22" s="9" customFormat="1" x14ac:dyDescent="0.2">
      <c r="A113" s="153"/>
      <c r="B113" s="153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</row>
    <row r="114" spans="1:22" s="9" customFormat="1" x14ac:dyDescent="0.2">
      <c r="A114" s="8"/>
      <c r="B114" s="8"/>
      <c r="C114" s="151"/>
      <c r="D114" s="151"/>
      <c r="E114" s="151"/>
      <c r="F114" s="151"/>
      <c r="G114" s="151"/>
      <c r="H114" s="151"/>
      <c r="I114" s="151"/>
      <c r="J114" s="151"/>
      <c r="O114" s="151"/>
      <c r="P114" s="151"/>
      <c r="Q114" s="151"/>
      <c r="R114" s="151"/>
      <c r="S114" s="151"/>
      <c r="T114" s="151"/>
      <c r="U114" s="151"/>
    </row>
    <row r="115" spans="1:22" s="9" customFormat="1" x14ac:dyDescent="0.2"/>
    <row r="116" spans="1:22" s="9" customFormat="1" x14ac:dyDescent="0.2">
      <c r="K116" s="151"/>
      <c r="L116" s="151"/>
      <c r="M116" s="151"/>
      <c r="N116" s="151"/>
    </row>
    <row r="117" spans="1:22" s="9" customFormat="1" x14ac:dyDescent="0.2">
      <c r="K117" s="151"/>
      <c r="L117" s="151"/>
      <c r="M117" s="151"/>
      <c r="N117" s="151"/>
    </row>
    <row r="118" spans="1:22" s="9" customFormat="1" x14ac:dyDescent="0.2">
      <c r="K118" s="151"/>
      <c r="L118" s="151"/>
      <c r="M118" s="151"/>
      <c r="N118" s="151"/>
    </row>
    <row r="119" spans="1:22" s="9" customFormat="1" x14ac:dyDescent="0.2">
      <c r="K119" s="151"/>
      <c r="L119" s="151"/>
      <c r="M119" s="151"/>
      <c r="N119" s="151"/>
    </row>
    <row r="120" spans="1:22" s="9" customFormat="1" x14ac:dyDescent="0.2">
      <c r="K120" s="151"/>
      <c r="L120" s="151"/>
      <c r="M120" s="151"/>
      <c r="N120" s="151"/>
    </row>
    <row r="121" spans="1:22" s="9" customFormat="1" x14ac:dyDescent="0.2">
      <c r="K121" s="151"/>
      <c r="L121" s="151"/>
      <c r="M121" s="151"/>
      <c r="N121" s="151"/>
    </row>
    <row r="122" spans="1:22" s="9" customFormat="1" x14ac:dyDescent="0.2">
      <c r="K122" s="151"/>
      <c r="L122" s="151"/>
      <c r="M122" s="151"/>
      <c r="N122" s="151"/>
    </row>
    <row r="123" spans="1:22" s="9" customFormat="1" x14ac:dyDescent="0.2">
      <c r="K123" s="151"/>
      <c r="L123" s="151"/>
      <c r="M123" s="151"/>
      <c r="N123" s="151"/>
    </row>
    <row r="124" spans="1:22" s="9" customFormat="1" x14ac:dyDescent="0.2">
      <c r="H124" s="151"/>
      <c r="I124" s="151"/>
      <c r="J124" s="151"/>
      <c r="K124" s="151"/>
      <c r="L124" s="151"/>
      <c r="M124" s="151"/>
      <c r="N124" s="151"/>
    </row>
    <row r="125" spans="1:22" s="9" customFormat="1" x14ac:dyDescent="0.2">
      <c r="H125" s="151"/>
      <c r="I125" s="151"/>
      <c r="J125" s="151"/>
      <c r="K125" s="151"/>
      <c r="L125" s="151"/>
      <c r="M125" s="151"/>
      <c r="N125" s="151"/>
    </row>
    <row r="126" spans="1:22" s="9" customFormat="1" x14ac:dyDescent="0.2">
      <c r="H126" s="151"/>
      <c r="I126" s="151"/>
      <c r="J126" s="151"/>
      <c r="K126" s="151"/>
      <c r="L126" s="151"/>
      <c r="M126" s="151"/>
      <c r="N126" s="151"/>
    </row>
    <row r="127" spans="1:22" s="9" customFormat="1" x14ac:dyDescent="0.2">
      <c r="H127" s="151"/>
      <c r="I127" s="151"/>
      <c r="J127" s="151"/>
      <c r="K127" s="151"/>
    </row>
    <row r="128" spans="1:22" s="9" customFormat="1" x14ac:dyDescent="0.2">
      <c r="H128" s="151"/>
      <c r="I128" s="151"/>
      <c r="J128" s="151"/>
      <c r="K128" s="151"/>
    </row>
    <row r="129" spans="8:11" s="9" customFormat="1" x14ac:dyDescent="0.2">
      <c r="H129" s="151"/>
      <c r="I129" s="151"/>
      <c r="J129" s="151"/>
      <c r="K129" s="151"/>
    </row>
    <row r="130" spans="8:11" s="9" customFormat="1" x14ac:dyDescent="0.2">
      <c r="H130" s="151"/>
      <c r="I130" s="151"/>
      <c r="J130" s="151"/>
      <c r="K130" s="151"/>
    </row>
    <row r="131" spans="8:11" s="9" customFormat="1" x14ac:dyDescent="0.2">
      <c r="H131" s="151"/>
      <c r="I131" s="151"/>
      <c r="J131" s="151"/>
      <c r="K131" s="151"/>
    </row>
    <row r="132" spans="8:11" s="9" customFormat="1" x14ac:dyDescent="0.2">
      <c r="H132" s="151"/>
      <c r="I132" s="151"/>
      <c r="J132" s="151"/>
      <c r="K132" s="151"/>
    </row>
    <row r="133" spans="8:11" s="9" customFormat="1" x14ac:dyDescent="0.2">
      <c r="H133" s="151"/>
      <c r="I133" s="151"/>
      <c r="J133" s="151"/>
      <c r="K133" s="151"/>
    </row>
    <row r="134" spans="8:11" s="9" customFormat="1" x14ac:dyDescent="0.2">
      <c r="H134" s="151"/>
      <c r="I134" s="151"/>
      <c r="J134" s="151"/>
      <c r="K134" s="151"/>
    </row>
    <row r="135" spans="8:11" s="9" customFormat="1" x14ac:dyDescent="0.2">
      <c r="H135" s="151"/>
      <c r="I135" s="151"/>
      <c r="J135" s="151"/>
      <c r="K135" s="151"/>
    </row>
    <row r="136" spans="8:11" s="9" customFormat="1" x14ac:dyDescent="0.2">
      <c r="H136" s="151"/>
      <c r="I136" s="151"/>
      <c r="J136" s="151"/>
      <c r="K136" s="151"/>
    </row>
    <row r="137" spans="8:11" s="9" customFormat="1" x14ac:dyDescent="0.2"/>
    <row r="138" spans="8:11" s="9" customFormat="1" x14ac:dyDescent="0.2"/>
    <row r="139" spans="8:11" s="9" customFormat="1" x14ac:dyDescent="0.2">
      <c r="H139" s="151"/>
      <c r="I139" s="151"/>
      <c r="J139" s="151"/>
      <c r="K139" s="151"/>
    </row>
    <row r="140" spans="8:11" s="9" customFormat="1" x14ac:dyDescent="0.2">
      <c r="H140" s="151"/>
      <c r="I140" s="151"/>
      <c r="J140" s="151"/>
      <c r="K140" s="151"/>
    </row>
    <row r="141" spans="8:11" s="9" customFormat="1" x14ac:dyDescent="0.2">
      <c r="H141" s="151"/>
      <c r="I141" s="151"/>
      <c r="J141" s="151"/>
      <c r="K141" s="151"/>
    </row>
    <row r="142" spans="8:11" s="9" customFormat="1" x14ac:dyDescent="0.2">
      <c r="H142" s="151"/>
      <c r="I142" s="151"/>
      <c r="J142" s="151"/>
      <c r="K142" s="151"/>
    </row>
    <row r="143" spans="8:11" s="9" customFormat="1" x14ac:dyDescent="0.2">
      <c r="H143" s="151"/>
      <c r="I143" s="151"/>
      <c r="J143" s="151"/>
      <c r="K143" s="151"/>
    </row>
    <row r="144" spans="8:11" s="9" customFormat="1" x14ac:dyDescent="0.2">
      <c r="H144" s="151"/>
      <c r="I144" s="151"/>
      <c r="J144" s="151"/>
      <c r="K144" s="151"/>
    </row>
    <row r="145" spans="8:11" s="9" customFormat="1" x14ac:dyDescent="0.2">
      <c r="H145" s="151"/>
      <c r="I145" s="151"/>
      <c r="J145" s="151"/>
      <c r="K145" s="151"/>
    </row>
    <row r="146" spans="8:11" s="9" customFormat="1" x14ac:dyDescent="0.2">
      <c r="H146" s="151"/>
      <c r="I146" s="151"/>
      <c r="J146" s="151"/>
      <c r="K146" s="151"/>
    </row>
    <row r="147" spans="8:11" s="9" customFormat="1" x14ac:dyDescent="0.2">
      <c r="H147" s="151"/>
      <c r="I147" s="151"/>
      <c r="J147" s="151"/>
      <c r="K147" s="151"/>
    </row>
    <row r="148" spans="8:11" s="9" customFormat="1" x14ac:dyDescent="0.2">
      <c r="H148" s="151"/>
      <c r="I148" s="151"/>
      <c r="J148" s="151"/>
      <c r="K148" s="151"/>
    </row>
    <row r="149" spans="8:11" s="9" customFormat="1" x14ac:dyDescent="0.2">
      <c r="H149" s="151"/>
      <c r="I149" s="151"/>
      <c r="J149" s="151"/>
      <c r="K149" s="151"/>
    </row>
    <row r="150" spans="8:11" s="9" customFormat="1" x14ac:dyDescent="0.2"/>
    <row r="151" spans="8:11" s="9" customFormat="1" x14ac:dyDescent="0.2"/>
    <row r="152" spans="8:11" s="9" customFormat="1" x14ac:dyDescent="0.2"/>
    <row r="153" spans="8:11" s="9" customFormat="1" x14ac:dyDescent="0.2"/>
    <row r="154" spans="8:11" s="9" customFormat="1" x14ac:dyDescent="0.2"/>
    <row r="155" spans="8:11" s="9" customFormat="1" x14ac:dyDescent="0.2"/>
    <row r="156" spans="8:11" s="9" customFormat="1" x14ac:dyDescent="0.2"/>
    <row r="157" spans="8:11" s="9" customFormat="1" x14ac:dyDescent="0.2"/>
    <row r="158" spans="8:11" s="9" customFormat="1" x14ac:dyDescent="0.2"/>
    <row r="159" spans="8:11" s="9" customFormat="1" x14ac:dyDescent="0.2"/>
    <row r="160" spans="8:11" s="9" customFormat="1" x14ac:dyDescent="0.2"/>
    <row r="161" s="9" customFormat="1" x14ac:dyDescent="0.2"/>
    <row r="162" s="9" customFormat="1" x14ac:dyDescent="0.2"/>
    <row r="163" s="9" customFormat="1" x14ac:dyDescent="0.2"/>
    <row r="164" s="9" customFormat="1" x14ac:dyDescent="0.2"/>
    <row r="165" s="9" customFormat="1" x14ac:dyDescent="0.2"/>
    <row r="166" s="9" customFormat="1" x14ac:dyDescent="0.2"/>
    <row r="167" s="9" customFormat="1" x14ac:dyDescent="0.2"/>
    <row r="168" s="9" customFormat="1" x14ac:dyDescent="0.2"/>
    <row r="169" s="9" customFormat="1" x14ac:dyDescent="0.2"/>
    <row r="170" s="9" customFormat="1" x14ac:dyDescent="0.2"/>
    <row r="171" s="9" customFormat="1" x14ac:dyDescent="0.2"/>
    <row r="172" s="9" customFormat="1" x14ac:dyDescent="0.2"/>
    <row r="173" s="9" customFormat="1" x14ac:dyDescent="0.2"/>
    <row r="174" s="9" customFormat="1" x14ac:dyDescent="0.2"/>
    <row r="175" s="9" customFormat="1" x14ac:dyDescent="0.2"/>
    <row r="176" s="9" customFormat="1" x14ac:dyDescent="0.2"/>
    <row r="177" s="9" customFormat="1" x14ac:dyDescent="0.2"/>
    <row r="178" s="9" customFormat="1" x14ac:dyDescent="0.2"/>
    <row r="179" s="9" customFormat="1" x14ac:dyDescent="0.2"/>
    <row r="180" s="9" customFormat="1" x14ac:dyDescent="0.2"/>
    <row r="181" s="9" customFormat="1" x14ac:dyDescent="0.2"/>
    <row r="182" s="9" customFormat="1" x14ac:dyDescent="0.2"/>
    <row r="183" s="9" customFormat="1" x14ac:dyDescent="0.2"/>
    <row r="184" s="9" customFormat="1" x14ac:dyDescent="0.2"/>
    <row r="185" s="9" customFormat="1" x14ac:dyDescent="0.2"/>
    <row r="186" s="9" customFormat="1" x14ac:dyDescent="0.2"/>
    <row r="187" s="9" customFormat="1" x14ac:dyDescent="0.2"/>
    <row r="188" s="9" customFormat="1" x14ac:dyDescent="0.2"/>
    <row r="189" s="9" customFormat="1" x14ac:dyDescent="0.2"/>
    <row r="190" s="9" customFormat="1" x14ac:dyDescent="0.2"/>
    <row r="191" s="9" customFormat="1" x14ac:dyDescent="0.2"/>
    <row r="192" s="9" customFormat="1" x14ac:dyDescent="0.2"/>
    <row r="193" s="9" customFormat="1" x14ac:dyDescent="0.2"/>
    <row r="194" s="9" customFormat="1" x14ac:dyDescent="0.2"/>
    <row r="195" s="9" customFormat="1" x14ac:dyDescent="0.2"/>
    <row r="196" s="9" customFormat="1" x14ac:dyDescent="0.2"/>
    <row r="197" s="9" customFormat="1" x14ac:dyDescent="0.2"/>
    <row r="198" s="9" customFormat="1" x14ac:dyDescent="0.2"/>
    <row r="199" s="9" customFormat="1" x14ac:dyDescent="0.2"/>
    <row r="200" s="9" customFormat="1" x14ac:dyDescent="0.2"/>
    <row r="201" s="9" customFormat="1" x14ac:dyDescent="0.2"/>
    <row r="202" s="9" customFormat="1" x14ac:dyDescent="0.2"/>
    <row r="203" s="9" customFormat="1" x14ac:dyDescent="0.2"/>
    <row r="204" s="9" customFormat="1" x14ac:dyDescent="0.2"/>
    <row r="205" s="9" customFormat="1" x14ac:dyDescent="0.2"/>
    <row r="206" s="9" customFormat="1" x14ac:dyDescent="0.2"/>
    <row r="207" s="9" customFormat="1" x14ac:dyDescent="0.2"/>
    <row r="208" s="9" customFormat="1" x14ac:dyDescent="0.2"/>
    <row r="209" s="9" customFormat="1" x14ac:dyDescent="0.2"/>
    <row r="210" s="9" customFormat="1" x14ac:dyDescent="0.2"/>
    <row r="211" s="9" customFormat="1" x14ac:dyDescent="0.2"/>
    <row r="212" s="9" customFormat="1" x14ac:dyDescent="0.2"/>
    <row r="213" s="9" customFormat="1" x14ac:dyDescent="0.2"/>
    <row r="214" s="9" customFormat="1" x14ac:dyDescent="0.2"/>
    <row r="215" s="9" customFormat="1" x14ac:dyDescent="0.2"/>
    <row r="216" s="9" customFormat="1" x14ac:dyDescent="0.2"/>
    <row r="217" s="9" customFormat="1" x14ac:dyDescent="0.2"/>
    <row r="218" s="9" customFormat="1" x14ac:dyDescent="0.2"/>
    <row r="219" s="9" customFormat="1" x14ac:dyDescent="0.2"/>
    <row r="220" s="9" customFormat="1" x14ac:dyDescent="0.2"/>
    <row r="221" s="9" customFormat="1" x14ac:dyDescent="0.2"/>
    <row r="222" s="9" customFormat="1" x14ac:dyDescent="0.2"/>
    <row r="223" s="9" customFormat="1" x14ac:dyDescent="0.2"/>
    <row r="224" s="9" customFormat="1" x14ac:dyDescent="0.2"/>
    <row r="225" s="9" customFormat="1" x14ac:dyDescent="0.2"/>
    <row r="226" s="9" customFormat="1" x14ac:dyDescent="0.2"/>
    <row r="227" s="9" customFormat="1" x14ac:dyDescent="0.2"/>
    <row r="228" s="9" customFormat="1" x14ac:dyDescent="0.2"/>
    <row r="229" s="9" customFormat="1" x14ac:dyDescent="0.2"/>
    <row r="230" s="9" customFormat="1" x14ac:dyDescent="0.2"/>
    <row r="231" s="9" customFormat="1" x14ac:dyDescent="0.2"/>
    <row r="232" s="9" customFormat="1" x14ac:dyDescent="0.2"/>
    <row r="233" s="9" customFormat="1" x14ac:dyDescent="0.2"/>
    <row r="234" s="9" customFormat="1" x14ac:dyDescent="0.2"/>
    <row r="235" s="9" customFormat="1" x14ac:dyDescent="0.2"/>
    <row r="236" s="9" customFormat="1" x14ac:dyDescent="0.2"/>
    <row r="237" s="9" customFormat="1" x14ac:dyDescent="0.2"/>
    <row r="238" s="9" customFormat="1" x14ac:dyDescent="0.2"/>
    <row r="239" s="9" customFormat="1" x14ac:dyDescent="0.2"/>
    <row r="240" s="9" customFormat="1" x14ac:dyDescent="0.2"/>
    <row r="241" s="9" customFormat="1" x14ac:dyDescent="0.2"/>
    <row r="242" s="9" customFormat="1" x14ac:dyDescent="0.2"/>
    <row r="243" s="9" customFormat="1" x14ac:dyDescent="0.2"/>
    <row r="244" s="9" customFormat="1" x14ac:dyDescent="0.2"/>
    <row r="245" s="9" customFormat="1" x14ac:dyDescent="0.2"/>
    <row r="246" s="9" customFormat="1" x14ac:dyDescent="0.2"/>
    <row r="247" s="9" customFormat="1" x14ac:dyDescent="0.2"/>
    <row r="248" s="9" customFormat="1" x14ac:dyDescent="0.2"/>
    <row r="249" s="9" customFormat="1" x14ac:dyDescent="0.2"/>
    <row r="250" s="9" customFormat="1" x14ac:dyDescent="0.2"/>
    <row r="251" s="9" customFormat="1" x14ac:dyDescent="0.2"/>
    <row r="252" s="9" customFormat="1" x14ac:dyDescent="0.2"/>
    <row r="253" s="9" customFormat="1" x14ac:dyDescent="0.2"/>
    <row r="254" s="9" customFormat="1" x14ac:dyDescent="0.2"/>
    <row r="255" s="9" customFormat="1" x14ac:dyDescent="0.2"/>
    <row r="256" s="9" customFormat="1" x14ac:dyDescent="0.2"/>
    <row r="257" s="9" customFormat="1" x14ac:dyDescent="0.2"/>
    <row r="258" s="9" customFormat="1" x14ac:dyDescent="0.2"/>
    <row r="259" s="9" customFormat="1" x14ac:dyDescent="0.2"/>
    <row r="260" s="9" customFormat="1" x14ac:dyDescent="0.2"/>
    <row r="261" s="9" customFormat="1" x14ac:dyDescent="0.2"/>
    <row r="262" s="9" customFormat="1" x14ac:dyDescent="0.2"/>
    <row r="263" s="9" customFormat="1" x14ac:dyDescent="0.2"/>
    <row r="264" s="9" customFormat="1" x14ac:dyDescent="0.2"/>
    <row r="265" s="9" customFormat="1" x14ac:dyDescent="0.2"/>
    <row r="266" s="9" customFormat="1" x14ac:dyDescent="0.2"/>
    <row r="267" s="9" customFormat="1" x14ac:dyDescent="0.2"/>
    <row r="268" s="9" customFormat="1" x14ac:dyDescent="0.2"/>
    <row r="269" s="9" customFormat="1" x14ac:dyDescent="0.2"/>
    <row r="270" s="9" customFormat="1" x14ac:dyDescent="0.2"/>
    <row r="271" s="9" customFormat="1" x14ac:dyDescent="0.2"/>
    <row r="272" s="9" customFormat="1" x14ac:dyDescent="0.2"/>
    <row r="273" s="9" customFormat="1" x14ac:dyDescent="0.2"/>
    <row r="274" s="9" customFormat="1" x14ac:dyDescent="0.2"/>
    <row r="275" s="9" customFormat="1" x14ac:dyDescent="0.2"/>
    <row r="276" s="9" customFormat="1" x14ac:dyDescent="0.2"/>
    <row r="277" s="9" customFormat="1" x14ac:dyDescent="0.2"/>
    <row r="278" s="9" customFormat="1" x14ac:dyDescent="0.2"/>
    <row r="279" s="9" customFormat="1" x14ac:dyDescent="0.2"/>
    <row r="280" s="9" customFormat="1" x14ac:dyDescent="0.2"/>
    <row r="281" s="9" customFormat="1" x14ac:dyDescent="0.2"/>
    <row r="282" s="9" customFormat="1" x14ac:dyDescent="0.2"/>
    <row r="283" s="9" customFormat="1" x14ac:dyDescent="0.2"/>
    <row r="284" s="9" customFormat="1" x14ac:dyDescent="0.2"/>
    <row r="285" s="9" customFormat="1" x14ac:dyDescent="0.2"/>
    <row r="286" s="9" customFormat="1" x14ac:dyDescent="0.2"/>
    <row r="287" s="9" customFormat="1" x14ac:dyDescent="0.2"/>
    <row r="288" s="9" customFormat="1" x14ac:dyDescent="0.2"/>
    <row r="289" s="9" customFormat="1" x14ac:dyDescent="0.2"/>
    <row r="290" s="9" customFormat="1" x14ac:dyDescent="0.2"/>
    <row r="291" s="9" customFormat="1" x14ac:dyDescent="0.2"/>
    <row r="292" s="9" customFormat="1" x14ac:dyDescent="0.2"/>
    <row r="293" s="9" customFormat="1" x14ac:dyDescent="0.2"/>
    <row r="294" s="9" customFormat="1" x14ac:dyDescent="0.2"/>
    <row r="295" s="9" customFormat="1" x14ac:dyDescent="0.2"/>
    <row r="296" s="9" customFormat="1" x14ac:dyDescent="0.2"/>
    <row r="297" s="9" customFormat="1" x14ac:dyDescent="0.2"/>
    <row r="298" s="9" customFormat="1" x14ac:dyDescent="0.2"/>
    <row r="299" s="9" customFormat="1" x14ac:dyDescent="0.2"/>
    <row r="300" s="9" customFormat="1" x14ac:dyDescent="0.2"/>
    <row r="301" s="9" customFormat="1" x14ac:dyDescent="0.2"/>
    <row r="302" s="9" customFormat="1" x14ac:dyDescent="0.2"/>
    <row r="303" s="9" customFormat="1" x14ac:dyDescent="0.2"/>
    <row r="304" s="9" customFormat="1" x14ac:dyDescent="0.2"/>
    <row r="305" s="9" customFormat="1" x14ac:dyDescent="0.2"/>
    <row r="306" s="9" customFormat="1" x14ac:dyDescent="0.2"/>
    <row r="307" s="9" customFormat="1" x14ac:dyDescent="0.2"/>
    <row r="308" s="9" customFormat="1" x14ac:dyDescent="0.2"/>
    <row r="309" s="9" customFormat="1" x14ac:dyDescent="0.2"/>
    <row r="310" s="9" customFormat="1" x14ac:dyDescent="0.2"/>
    <row r="311" s="9" customFormat="1" x14ac:dyDescent="0.2"/>
    <row r="312" s="9" customFormat="1" x14ac:dyDescent="0.2"/>
    <row r="313" s="9" customFormat="1" x14ac:dyDescent="0.2"/>
    <row r="314" s="9" customFormat="1" x14ac:dyDescent="0.2"/>
    <row r="315" s="9" customFormat="1" x14ac:dyDescent="0.2"/>
    <row r="316" s="9" customFormat="1" x14ac:dyDescent="0.2"/>
    <row r="317" s="9" customFormat="1" x14ac:dyDescent="0.2"/>
    <row r="318" s="9" customFormat="1" x14ac:dyDescent="0.2"/>
    <row r="319" s="9" customFormat="1" x14ac:dyDescent="0.2"/>
    <row r="320" s="9" customFormat="1" x14ac:dyDescent="0.2"/>
    <row r="321" s="9" customFormat="1" x14ac:dyDescent="0.2"/>
    <row r="322" s="9" customFormat="1" x14ac:dyDescent="0.2"/>
    <row r="323" s="9" customFormat="1" x14ac:dyDescent="0.2"/>
    <row r="324" s="9" customFormat="1" x14ac:dyDescent="0.2"/>
    <row r="325" s="9" customFormat="1" x14ac:dyDescent="0.2"/>
    <row r="326" s="9" customFormat="1" x14ac:dyDescent="0.2"/>
    <row r="327" s="9" customFormat="1" x14ac:dyDescent="0.2"/>
    <row r="328" s="9" customFormat="1" x14ac:dyDescent="0.2"/>
    <row r="329" s="9" customFormat="1" x14ac:dyDescent="0.2"/>
    <row r="330" s="9" customFormat="1" x14ac:dyDescent="0.2"/>
    <row r="331" s="9" customFormat="1" x14ac:dyDescent="0.2"/>
    <row r="332" s="9" customFormat="1" x14ac:dyDescent="0.2"/>
    <row r="333" s="9" customFormat="1" x14ac:dyDescent="0.2"/>
    <row r="334" s="9" customFormat="1" x14ac:dyDescent="0.2"/>
    <row r="335" s="9" customFormat="1" x14ac:dyDescent="0.2"/>
    <row r="336" s="9" customFormat="1" x14ac:dyDescent="0.2"/>
    <row r="337" s="9" customFormat="1" x14ac:dyDescent="0.2"/>
    <row r="338" s="9" customFormat="1" x14ac:dyDescent="0.2"/>
    <row r="339" s="9" customFormat="1" x14ac:dyDescent="0.2"/>
    <row r="340" s="9" customFormat="1" x14ac:dyDescent="0.2"/>
    <row r="341" s="9" customFormat="1" x14ac:dyDescent="0.2"/>
    <row r="342" s="9" customFormat="1" x14ac:dyDescent="0.2"/>
    <row r="343" s="9" customFormat="1" x14ac:dyDescent="0.2"/>
    <row r="344" s="9" customFormat="1" x14ac:dyDescent="0.2"/>
    <row r="345" s="9" customFormat="1" x14ac:dyDescent="0.2"/>
    <row r="346" s="9" customFormat="1" x14ac:dyDescent="0.2"/>
    <row r="347" s="9" customFormat="1" x14ac:dyDescent="0.2"/>
    <row r="348" s="9" customFormat="1" x14ac:dyDescent="0.2"/>
    <row r="349" s="9" customFormat="1" x14ac:dyDescent="0.2"/>
    <row r="350" s="9" customFormat="1" x14ac:dyDescent="0.2"/>
    <row r="351" s="9" customFormat="1" x14ac:dyDescent="0.2"/>
    <row r="352" s="9" customFormat="1" x14ac:dyDescent="0.2"/>
    <row r="353" s="9" customFormat="1" x14ac:dyDescent="0.2"/>
    <row r="354" s="9" customFormat="1" x14ac:dyDescent="0.2"/>
    <row r="355" s="9" customFormat="1" x14ac:dyDescent="0.2"/>
    <row r="356" s="9" customFormat="1" x14ac:dyDescent="0.2"/>
    <row r="357" s="9" customFormat="1" x14ac:dyDescent="0.2"/>
    <row r="358" s="9" customFormat="1" x14ac:dyDescent="0.2"/>
    <row r="359" s="9" customFormat="1" x14ac:dyDescent="0.2"/>
    <row r="360" s="9" customFormat="1" x14ac:dyDescent="0.2"/>
    <row r="361" s="9" customFormat="1" x14ac:dyDescent="0.2"/>
    <row r="362" s="9" customFormat="1" x14ac:dyDescent="0.2"/>
    <row r="363" s="9" customFormat="1" x14ac:dyDescent="0.2"/>
    <row r="364" s="9" customFormat="1" x14ac:dyDescent="0.2"/>
    <row r="365" s="9" customFormat="1" x14ac:dyDescent="0.2"/>
    <row r="366" s="9" customFormat="1" x14ac:dyDescent="0.2"/>
    <row r="367" s="9" customFormat="1" x14ac:dyDescent="0.2"/>
    <row r="368" s="9" customFormat="1" x14ac:dyDescent="0.2"/>
    <row r="369" s="9" customFormat="1" x14ac:dyDescent="0.2"/>
    <row r="370" s="9" customFormat="1" x14ac:dyDescent="0.2"/>
    <row r="371" s="9" customFormat="1" x14ac:dyDescent="0.2"/>
    <row r="372" s="9" customFormat="1" x14ac:dyDescent="0.2"/>
    <row r="373" s="9" customFormat="1" x14ac:dyDescent="0.2"/>
    <row r="374" s="9" customFormat="1" x14ac:dyDescent="0.2"/>
    <row r="375" s="9" customFormat="1" x14ac:dyDescent="0.2"/>
    <row r="376" s="9" customFormat="1" x14ac:dyDescent="0.2"/>
    <row r="377" s="9" customFormat="1" x14ac:dyDescent="0.2"/>
    <row r="378" s="9" customFormat="1" x14ac:dyDescent="0.2"/>
    <row r="379" s="9" customFormat="1" x14ac:dyDescent="0.2"/>
    <row r="380" s="9" customFormat="1" x14ac:dyDescent="0.2"/>
    <row r="381" s="9" customFormat="1" x14ac:dyDescent="0.2"/>
    <row r="382" s="9" customFormat="1" x14ac:dyDescent="0.2"/>
    <row r="383" s="9" customFormat="1" x14ac:dyDescent="0.2"/>
    <row r="384" s="9" customFormat="1" x14ac:dyDescent="0.2"/>
    <row r="385" s="9" customFormat="1" x14ac:dyDescent="0.2"/>
    <row r="386" s="9" customFormat="1" x14ac:dyDescent="0.2"/>
    <row r="387" s="9" customFormat="1" x14ac:dyDescent="0.2"/>
    <row r="388" s="9" customFormat="1" x14ac:dyDescent="0.2"/>
    <row r="389" s="9" customFormat="1" x14ac:dyDescent="0.2"/>
    <row r="390" s="9" customFormat="1" x14ac:dyDescent="0.2"/>
    <row r="391" s="9" customFormat="1" x14ac:dyDescent="0.2"/>
    <row r="392" s="9" customFormat="1" x14ac:dyDescent="0.2"/>
    <row r="393" s="9" customFormat="1" x14ac:dyDescent="0.2"/>
    <row r="394" s="9" customFormat="1" x14ac:dyDescent="0.2"/>
    <row r="395" s="9" customFormat="1" x14ac:dyDescent="0.2"/>
    <row r="396" s="9" customFormat="1" x14ac:dyDescent="0.2"/>
    <row r="397" s="9" customFormat="1" x14ac:dyDescent="0.2"/>
    <row r="398" s="9" customFormat="1" x14ac:dyDescent="0.2"/>
    <row r="399" s="9" customFormat="1" x14ac:dyDescent="0.2"/>
    <row r="400" s="9" customFormat="1" x14ac:dyDescent="0.2"/>
    <row r="401" spans="1:22" s="9" customFormat="1" x14ac:dyDescent="0.2"/>
    <row r="402" spans="1:22" s="9" customFormat="1" x14ac:dyDescent="0.2"/>
    <row r="403" spans="1:22" s="9" customFormat="1" x14ac:dyDescent="0.2"/>
    <row r="404" spans="1:22" s="9" customFormat="1" x14ac:dyDescent="0.2"/>
    <row r="405" spans="1:22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1:22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1:22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1:22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1:22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1:22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</sheetData>
  <customSheetViews>
    <customSheetView guid="{A374FC54-96E3-45F0-9C12-8450400C12DF}" scale="140">
      <pane xSplit="1" ySplit="3" topLeftCell="F35" activePane="bottomRight" state="frozen"/>
      <selection pane="bottomRight" activeCell="O48" sqref="O48"/>
      <pageMargins left="0.55118110236220497" right="0.511811023622047" top="0.511811023622047" bottom="0.27559055118110198" header="0" footer="0.143700787"/>
      <pageSetup paperSize="132" firstPageNumber="84" orientation="portrait" useFirstPageNumber="1" r:id="rId1"/>
      <headerFooter>
        <oddFooter>&amp;C&amp;"Times New Roman,Regular"&amp;8&amp;P</oddFooter>
      </headerFooter>
    </customSheetView>
  </customSheetViews>
  <mergeCells count="4">
    <mergeCell ref="U1:V1"/>
    <mergeCell ref="U2:V2"/>
    <mergeCell ref="A1:K1"/>
    <mergeCell ref="L1:N1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BX197"/>
  <sheetViews>
    <sheetView zoomScale="150" zoomScaleNormal="150" workbookViewId="0">
      <pane xSplit="1" ySplit="6" topLeftCell="B55" activePane="bottomRight" state="frozen"/>
      <selection activeCell="A18" sqref="A18"/>
      <selection pane="topRight" activeCell="A18" sqref="A18"/>
      <selection pane="bottomLeft" activeCell="A18" sqref="A18"/>
      <selection pane="bottomRight" activeCell="A18" sqref="A18"/>
    </sheetView>
  </sheetViews>
  <sheetFormatPr defaultColWidth="9.140625" defaultRowHeight="11.25" x14ac:dyDescent="0.2"/>
  <cols>
    <col min="1" max="2" width="9.28515625" style="373" customWidth="1"/>
    <col min="3" max="3" width="9.85546875" style="153" customWidth="1"/>
    <col min="4" max="4" width="9.7109375" style="153" customWidth="1"/>
    <col min="5" max="5" width="10.140625" style="153" customWidth="1"/>
    <col min="6" max="6" width="11" style="153" customWidth="1"/>
    <col min="7" max="7" width="11.28515625" style="153" customWidth="1"/>
    <col min="8" max="8" width="11.85546875" style="153" customWidth="1"/>
    <col min="9" max="9" width="9.85546875" style="153" customWidth="1"/>
    <col min="10" max="10" width="9.5703125" style="153" customWidth="1"/>
    <col min="11" max="11" width="9.28515625" style="153" customWidth="1"/>
    <col min="12" max="12" width="9.7109375" style="153" customWidth="1"/>
    <col min="13" max="13" width="9.42578125" style="153" customWidth="1"/>
    <col min="14" max="14" width="8" style="153" customWidth="1"/>
    <col min="15" max="15" width="8.7109375" style="153" customWidth="1"/>
    <col min="16" max="16" width="7.5703125" style="153" customWidth="1"/>
    <col min="17" max="17" width="11.42578125" style="373" customWidth="1"/>
    <col min="18" max="18" width="10.7109375" style="153" customWidth="1"/>
    <col min="19" max="19" width="10.5703125" style="153" customWidth="1"/>
    <col min="20" max="20" width="10.7109375" style="153" customWidth="1"/>
    <col min="21" max="21" width="10.85546875" style="153" customWidth="1"/>
    <col min="22" max="22" width="10.5703125" style="153" customWidth="1"/>
    <col min="23" max="23" width="10.7109375" style="153" customWidth="1"/>
    <col min="24" max="24" width="9.85546875" style="153" customWidth="1"/>
    <col min="25" max="25" width="9.140625" style="153" customWidth="1"/>
    <col min="26" max="26" width="9.42578125" style="153" customWidth="1"/>
    <col min="27" max="27" width="9" style="153" customWidth="1"/>
    <col min="28" max="28" width="9.42578125" style="153" customWidth="1"/>
    <col min="29" max="30" width="9.7109375" style="153" customWidth="1"/>
    <col min="31" max="31" width="9.42578125" style="153" customWidth="1"/>
    <col min="32" max="32" width="10.42578125" style="373" customWidth="1"/>
    <col min="33" max="33" width="10.7109375" style="153" customWidth="1"/>
    <col min="34" max="35" width="10.85546875" style="153" customWidth="1"/>
    <col min="36" max="36" width="11.140625" style="153" customWidth="1"/>
    <col min="37" max="37" width="11.42578125" style="153" customWidth="1"/>
    <col min="38" max="38" width="9" style="153" customWidth="1"/>
    <col min="39" max="39" width="9.7109375" style="153" customWidth="1"/>
    <col min="40" max="40" width="9.5703125" style="153" customWidth="1"/>
    <col min="41" max="41" width="9.28515625" style="153" customWidth="1"/>
    <col min="42" max="42" width="9.42578125" style="153" customWidth="1"/>
    <col min="43" max="43" width="9.140625" style="153" customWidth="1"/>
    <col min="44" max="44" width="9.28515625" style="153" customWidth="1"/>
    <col min="45" max="45" width="10" style="153" customWidth="1"/>
    <col min="46" max="46" width="9.140625" style="153" customWidth="1"/>
    <col min="47" max="47" width="10.7109375" style="373" customWidth="1"/>
    <col min="48" max="48" width="10.85546875" style="153" customWidth="1"/>
    <col min="49" max="49" width="10.5703125" style="153" customWidth="1"/>
    <col min="50" max="50" width="10.28515625" style="153" customWidth="1"/>
    <col min="51" max="51" width="10.5703125" style="153" customWidth="1"/>
    <col min="52" max="52" width="11" style="153" customWidth="1"/>
    <col min="53" max="53" width="11.42578125" style="153" customWidth="1"/>
    <col min="54" max="54" width="9.85546875" style="153" customWidth="1"/>
    <col min="55" max="55" width="9.28515625" style="153" customWidth="1"/>
    <col min="56" max="56" width="9.85546875" style="153" customWidth="1"/>
    <col min="57" max="57" width="9.140625" style="153" customWidth="1"/>
    <col min="58" max="58" width="9.7109375" style="153" customWidth="1"/>
    <col min="59" max="59" width="8.7109375" style="153" customWidth="1"/>
    <col min="60" max="60" width="9" style="153" customWidth="1"/>
    <col min="61" max="61" width="9.28515625" style="153" customWidth="1"/>
    <col min="62" max="62" width="10" style="373" customWidth="1"/>
    <col min="63" max="63" width="10.28515625" style="153" customWidth="1"/>
    <col min="64" max="64" width="10.42578125" style="153" customWidth="1"/>
    <col min="65" max="65" width="10.140625" style="153" customWidth="1"/>
    <col min="66" max="66" width="11" style="153" customWidth="1"/>
    <col min="67" max="67" width="10.7109375" style="153" customWidth="1"/>
    <col min="68" max="68" width="11.42578125" style="153" customWidth="1"/>
    <col min="69" max="69" width="10" style="153" customWidth="1"/>
    <col min="70" max="70" width="9.42578125" style="153" customWidth="1"/>
    <col min="71" max="71" width="9" style="153" customWidth="1"/>
    <col min="72" max="72" width="9.7109375" style="153" customWidth="1"/>
    <col min="73" max="73" width="9.28515625" style="153" customWidth="1"/>
    <col min="74" max="74" width="9.42578125" style="153" customWidth="1"/>
    <col min="75" max="75" width="9.5703125" style="153" customWidth="1"/>
    <col min="76" max="76" width="9.140625" style="153" customWidth="1"/>
    <col min="77" max="16384" width="9.140625" style="153"/>
  </cols>
  <sheetData>
    <row r="1" spans="1:76" s="1753" customFormat="1" ht="14.25" customHeight="1" x14ac:dyDescent="0.25">
      <c r="D1" s="475"/>
      <c r="E1" s="475"/>
      <c r="G1" s="2876" t="s">
        <v>316</v>
      </c>
      <c r="H1" s="2876"/>
      <c r="I1" s="1754" t="s">
        <v>314</v>
      </c>
      <c r="N1" s="2876" t="s">
        <v>1073</v>
      </c>
      <c r="O1" s="2876"/>
      <c r="P1" s="2876"/>
      <c r="V1" s="2876" t="s">
        <v>316</v>
      </c>
      <c r="W1" s="2876"/>
      <c r="X1" s="1754" t="s">
        <v>314</v>
      </c>
      <c r="AC1" s="2876" t="s">
        <v>1073</v>
      </c>
      <c r="AD1" s="2876"/>
      <c r="AE1" s="2876"/>
      <c r="AK1" s="2876" t="s">
        <v>316</v>
      </c>
      <c r="AL1" s="2876"/>
      <c r="AM1" s="1754" t="s">
        <v>314</v>
      </c>
      <c r="AR1" s="2876" t="s">
        <v>1073</v>
      </c>
      <c r="AS1" s="2876"/>
      <c r="AT1" s="2876"/>
      <c r="AZ1" s="2876" t="s">
        <v>316</v>
      </c>
      <c r="BA1" s="2876"/>
      <c r="BB1" s="1754" t="s">
        <v>314</v>
      </c>
      <c r="BG1" s="2876" t="s">
        <v>1073</v>
      </c>
      <c r="BH1" s="2876"/>
      <c r="BI1" s="2876"/>
      <c r="BO1" s="2876" t="s">
        <v>316</v>
      </c>
      <c r="BP1" s="2876"/>
      <c r="BQ1" s="1754" t="s">
        <v>314</v>
      </c>
      <c r="BV1" s="2876" t="s">
        <v>1074</v>
      </c>
      <c r="BW1" s="2876"/>
      <c r="BX1" s="2876"/>
    </row>
    <row r="2" spans="1:76" s="1755" customFormat="1" ht="12.75" customHeight="1" x14ac:dyDescent="0.2">
      <c r="H2" s="1885" t="s">
        <v>313</v>
      </c>
      <c r="I2" s="1886" t="s">
        <v>315</v>
      </c>
      <c r="J2" s="1758"/>
      <c r="K2" s="1758"/>
      <c r="L2" s="1758"/>
      <c r="M2" s="1758"/>
      <c r="N2" s="1758"/>
      <c r="Q2" s="1758"/>
      <c r="R2" s="1758"/>
      <c r="S2" s="1758"/>
      <c r="T2" s="1758"/>
      <c r="U2" s="1758"/>
      <c r="W2" s="1885" t="s">
        <v>313</v>
      </c>
      <c r="X2" s="1886" t="s">
        <v>315</v>
      </c>
      <c r="AD2" s="2879"/>
      <c r="AE2" s="2879"/>
      <c r="AL2" s="1756" t="s">
        <v>313</v>
      </c>
      <c r="AM2" s="1757" t="s">
        <v>315</v>
      </c>
      <c r="BA2" s="1756" t="s">
        <v>313</v>
      </c>
      <c r="BB2" s="1757" t="s">
        <v>315</v>
      </c>
      <c r="BP2" s="1756" t="s">
        <v>313</v>
      </c>
      <c r="BQ2" s="1757" t="s">
        <v>315</v>
      </c>
    </row>
    <row r="3" spans="1:76" s="1759" customFormat="1" ht="11.25" customHeight="1" x14ac:dyDescent="0.2">
      <c r="A3" s="2875" t="s">
        <v>474</v>
      </c>
      <c r="B3" s="2875" t="s">
        <v>3067</v>
      </c>
      <c r="C3" s="2875" t="s">
        <v>604</v>
      </c>
      <c r="D3" s="2875"/>
      <c r="E3" s="2875" t="s">
        <v>507</v>
      </c>
      <c r="F3" s="2875"/>
      <c r="G3" s="2875" t="s">
        <v>508</v>
      </c>
      <c r="H3" s="2875"/>
      <c r="I3" s="2875" t="s">
        <v>509</v>
      </c>
      <c r="J3" s="2875"/>
      <c r="K3" s="2875" t="s">
        <v>56</v>
      </c>
      <c r="L3" s="2875"/>
      <c r="M3" s="2875" t="s">
        <v>510</v>
      </c>
      <c r="N3" s="2875"/>
      <c r="O3" s="2875" t="s">
        <v>1323</v>
      </c>
      <c r="P3" s="2875"/>
      <c r="Q3" s="2875" t="s">
        <v>474</v>
      </c>
      <c r="R3" s="2875" t="s">
        <v>58</v>
      </c>
      <c r="S3" s="2875"/>
      <c r="T3" s="2875" t="s">
        <v>511</v>
      </c>
      <c r="U3" s="2875"/>
      <c r="V3" s="2875" t="s">
        <v>512</v>
      </c>
      <c r="W3" s="2875"/>
      <c r="X3" s="2875" t="s">
        <v>235</v>
      </c>
      <c r="Y3" s="2875"/>
      <c r="Z3" s="2875" t="s">
        <v>59</v>
      </c>
      <c r="AA3" s="2875"/>
      <c r="AB3" s="2875" t="s">
        <v>513</v>
      </c>
      <c r="AC3" s="2875"/>
      <c r="AD3" s="2875" t="s">
        <v>605</v>
      </c>
      <c r="AE3" s="2875"/>
      <c r="AF3" s="2875" t="s">
        <v>474</v>
      </c>
      <c r="AG3" s="2875" t="s">
        <v>236</v>
      </c>
      <c r="AH3" s="2875"/>
      <c r="AI3" s="2875" t="s">
        <v>514</v>
      </c>
      <c r="AJ3" s="2875"/>
      <c r="AK3" s="2875" t="s">
        <v>515</v>
      </c>
      <c r="AL3" s="2874"/>
      <c r="AM3" s="2874" t="s">
        <v>516</v>
      </c>
      <c r="AN3" s="2874"/>
      <c r="AO3" s="2874" t="s">
        <v>517</v>
      </c>
      <c r="AP3" s="2874"/>
      <c r="AQ3" s="2874" t="s">
        <v>518</v>
      </c>
      <c r="AR3" s="2874"/>
      <c r="AS3" s="2874" t="s">
        <v>519</v>
      </c>
      <c r="AT3" s="2874"/>
      <c r="AU3" s="2874" t="s">
        <v>474</v>
      </c>
      <c r="AV3" s="2874" t="s">
        <v>520</v>
      </c>
      <c r="AW3" s="2874"/>
      <c r="AX3" s="2874" t="s">
        <v>521</v>
      </c>
      <c r="AY3" s="2874"/>
      <c r="AZ3" s="2874" t="s">
        <v>522</v>
      </c>
      <c r="BA3" s="2874"/>
      <c r="BB3" s="2874" t="s">
        <v>237</v>
      </c>
      <c r="BC3" s="2874"/>
      <c r="BD3" s="2874" t="s">
        <v>523</v>
      </c>
      <c r="BE3" s="2874"/>
      <c r="BF3" s="2874" t="s">
        <v>524</v>
      </c>
      <c r="BG3" s="2874"/>
      <c r="BH3" s="2874" t="s">
        <v>371</v>
      </c>
      <c r="BI3" s="2874"/>
      <c r="BJ3" s="2874" t="s">
        <v>474</v>
      </c>
      <c r="BK3" s="2874" t="s">
        <v>645</v>
      </c>
      <c r="BL3" s="2874"/>
      <c r="BM3" s="2874" t="s">
        <v>606</v>
      </c>
      <c r="BN3" s="2874"/>
      <c r="BO3" s="2874" t="s">
        <v>525</v>
      </c>
      <c r="BP3" s="2874"/>
      <c r="BQ3" s="2874" t="s">
        <v>1510</v>
      </c>
      <c r="BR3" s="2874"/>
      <c r="BS3" s="2874" t="s">
        <v>526</v>
      </c>
      <c r="BT3" s="2874"/>
      <c r="BU3" s="2874" t="s">
        <v>527</v>
      </c>
      <c r="BV3" s="2874"/>
      <c r="BW3" s="2874" t="s">
        <v>1108</v>
      </c>
      <c r="BX3" s="2874"/>
    </row>
    <row r="4" spans="1:76" s="1744" customFormat="1" ht="20.25" customHeight="1" x14ac:dyDescent="0.2">
      <c r="A4" s="2875"/>
      <c r="B4" s="2875"/>
      <c r="C4" s="2875" t="s">
        <v>987</v>
      </c>
      <c r="D4" s="2875" t="s">
        <v>988</v>
      </c>
      <c r="E4" s="2875" t="s">
        <v>987</v>
      </c>
      <c r="F4" s="2875" t="s">
        <v>988</v>
      </c>
      <c r="G4" s="2875" t="s">
        <v>987</v>
      </c>
      <c r="H4" s="2875" t="s">
        <v>989</v>
      </c>
      <c r="I4" s="2875" t="s">
        <v>987</v>
      </c>
      <c r="J4" s="2875" t="s">
        <v>988</v>
      </c>
      <c r="K4" s="2875" t="s">
        <v>987</v>
      </c>
      <c r="L4" s="2875" t="s">
        <v>988</v>
      </c>
      <c r="M4" s="2875" t="s">
        <v>987</v>
      </c>
      <c r="N4" s="2875" t="s">
        <v>988</v>
      </c>
      <c r="O4" s="2875" t="s">
        <v>987</v>
      </c>
      <c r="P4" s="2875" t="s">
        <v>988</v>
      </c>
      <c r="Q4" s="2875"/>
      <c r="R4" s="2875" t="s">
        <v>987</v>
      </c>
      <c r="S4" s="2875" t="s">
        <v>988</v>
      </c>
      <c r="T4" s="2875" t="s">
        <v>987</v>
      </c>
      <c r="U4" s="2875" t="s">
        <v>988</v>
      </c>
      <c r="V4" s="2875" t="s">
        <v>987</v>
      </c>
      <c r="W4" s="2875" t="s">
        <v>989</v>
      </c>
      <c r="X4" s="2875" t="s">
        <v>987</v>
      </c>
      <c r="Y4" s="2875" t="s">
        <v>988</v>
      </c>
      <c r="Z4" s="2875" t="s">
        <v>987</v>
      </c>
      <c r="AA4" s="2875" t="s">
        <v>988</v>
      </c>
      <c r="AB4" s="2875" t="s">
        <v>987</v>
      </c>
      <c r="AC4" s="2875" t="s">
        <v>988</v>
      </c>
      <c r="AD4" s="2875" t="s">
        <v>987</v>
      </c>
      <c r="AE4" s="2875" t="s">
        <v>988</v>
      </c>
      <c r="AF4" s="2875"/>
      <c r="AG4" s="2875" t="s">
        <v>987</v>
      </c>
      <c r="AH4" s="2875" t="s">
        <v>988</v>
      </c>
      <c r="AI4" s="2875" t="s">
        <v>987</v>
      </c>
      <c r="AJ4" s="2875" t="s">
        <v>988</v>
      </c>
      <c r="AK4" s="2875" t="s">
        <v>987</v>
      </c>
      <c r="AL4" s="2872" t="s">
        <v>989</v>
      </c>
      <c r="AM4" s="2872" t="s">
        <v>987</v>
      </c>
      <c r="AN4" s="2872" t="s">
        <v>988</v>
      </c>
      <c r="AO4" s="2872" t="s">
        <v>987</v>
      </c>
      <c r="AP4" s="2872" t="s">
        <v>988</v>
      </c>
      <c r="AQ4" s="2872" t="s">
        <v>987</v>
      </c>
      <c r="AR4" s="2872" t="s">
        <v>988</v>
      </c>
      <c r="AS4" s="2872" t="s">
        <v>987</v>
      </c>
      <c r="AT4" s="2872" t="s">
        <v>988</v>
      </c>
      <c r="AU4" s="2874"/>
      <c r="AV4" s="2872" t="s">
        <v>987</v>
      </c>
      <c r="AW4" s="2872" t="s">
        <v>988</v>
      </c>
      <c r="AX4" s="2872" t="s">
        <v>987</v>
      </c>
      <c r="AY4" s="2872" t="s">
        <v>988</v>
      </c>
      <c r="AZ4" s="2872" t="s">
        <v>987</v>
      </c>
      <c r="BA4" s="2872" t="s">
        <v>989</v>
      </c>
      <c r="BB4" s="2872" t="s">
        <v>987</v>
      </c>
      <c r="BC4" s="2872" t="s">
        <v>988</v>
      </c>
      <c r="BD4" s="2872" t="s">
        <v>987</v>
      </c>
      <c r="BE4" s="2872" t="s">
        <v>988</v>
      </c>
      <c r="BF4" s="2872" t="s">
        <v>987</v>
      </c>
      <c r="BG4" s="2872" t="s">
        <v>988</v>
      </c>
      <c r="BH4" s="2872" t="s">
        <v>987</v>
      </c>
      <c r="BI4" s="2872" t="s">
        <v>988</v>
      </c>
      <c r="BJ4" s="2874"/>
      <c r="BK4" s="2872" t="s">
        <v>987</v>
      </c>
      <c r="BL4" s="2872" t="s">
        <v>988</v>
      </c>
      <c r="BM4" s="2872" t="s">
        <v>987</v>
      </c>
      <c r="BN4" s="2872" t="s">
        <v>988</v>
      </c>
      <c r="BO4" s="2872" t="s">
        <v>987</v>
      </c>
      <c r="BP4" s="2872" t="s">
        <v>989</v>
      </c>
      <c r="BQ4" s="2872" t="s">
        <v>987</v>
      </c>
      <c r="BR4" s="2872" t="s">
        <v>988</v>
      </c>
      <c r="BS4" s="2872" t="s">
        <v>987</v>
      </c>
      <c r="BT4" s="2872" t="s">
        <v>988</v>
      </c>
      <c r="BU4" s="2872" t="s">
        <v>987</v>
      </c>
      <c r="BV4" s="2872" t="s">
        <v>988</v>
      </c>
      <c r="BW4" s="2872" t="s">
        <v>987</v>
      </c>
      <c r="BX4" s="2872" t="s">
        <v>988</v>
      </c>
    </row>
    <row r="5" spans="1:76" s="1744" customFormat="1" ht="15.75" customHeight="1" x14ac:dyDescent="0.2">
      <c r="A5" s="2875"/>
      <c r="B5" s="2875"/>
      <c r="C5" s="2875"/>
      <c r="D5" s="2875"/>
      <c r="E5" s="2875"/>
      <c r="F5" s="2875"/>
      <c r="G5" s="2875"/>
      <c r="H5" s="2875"/>
      <c r="I5" s="2875"/>
      <c r="J5" s="2875"/>
      <c r="K5" s="2875"/>
      <c r="L5" s="2875"/>
      <c r="M5" s="2875"/>
      <c r="N5" s="2875"/>
      <c r="O5" s="2875"/>
      <c r="P5" s="2875"/>
      <c r="Q5" s="2875"/>
      <c r="R5" s="2875"/>
      <c r="S5" s="2875"/>
      <c r="T5" s="2875"/>
      <c r="U5" s="2875"/>
      <c r="V5" s="2875"/>
      <c r="W5" s="2875"/>
      <c r="X5" s="2875"/>
      <c r="Y5" s="2875"/>
      <c r="Z5" s="2875"/>
      <c r="AA5" s="2875"/>
      <c r="AB5" s="2875"/>
      <c r="AC5" s="2875"/>
      <c r="AD5" s="2875"/>
      <c r="AE5" s="2875"/>
      <c r="AF5" s="2875"/>
      <c r="AG5" s="2875"/>
      <c r="AH5" s="2875"/>
      <c r="AI5" s="2875"/>
      <c r="AJ5" s="2875"/>
      <c r="AK5" s="2875"/>
      <c r="AL5" s="2873"/>
      <c r="AM5" s="2873"/>
      <c r="AN5" s="2873"/>
      <c r="AO5" s="2873"/>
      <c r="AP5" s="2873"/>
      <c r="AQ5" s="2873"/>
      <c r="AR5" s="2873"/>
      <c r="AS5" s="2873"/>
      <c r="AT5" s="2873"/>
      <c r="AU5" s="2874"/>
      <c r="AV5" s="2873"/>
      <c r="AW5" s="2873"/>
      <c r="AX5" s="2873"/>
      <c r="AY5" s="2873"/>
      <c r="AZ5" s="2873"/>
      <c r="BA5" s="2873"/>
      <c r="BB5" s="2873"/>
      <c r="BC5" s="2873"/>
      <c r="BD5" s="2873"/>
      <c r="BE5" s="2873"/>
      <c r="BF5" s="2873"/>
      <c r="BG5" s="2873"/>
      <c r="BH5" s="2873"/>
      <c r="BI5" s="2873"/>
      <c r="BJ5" s="2874"/>
      <c r="BK5" s="2873"/>
      <c r="BL5" s="2873"/>
      <c r="BM5" s="2873"/>
      <c r="BN5" s="2873"/>
      <c r="BO5" s="2873"/>
      <c r="BP5" s="2873"/>
      <c r="BQ5" s="2873"/>
      <c r="BR5" s="2873"/>
      <c r="BS5" s="2873"/>
      <c r="BT5" s="2873"/>
      <c r="BU5" s="2873"/>
      <c r="BV5" s="2873"/>
      <c r="BW5" s="2873"/>
      <c r="BX5" s="2873"/>
    </row>
    <row r="6" spans="1:76" s="1760" customFormat="1" ht="12" x14ac:dyDescent="0.2">
      <c r="A6" s="2875"/>
      <c r="B6" s="2875"/>
      <c r="C6" s="1891">
        <v>1</v>
      </c>
      <c r="D6" s="1891">
        <v>2</v>
      </c>
      <c r="E6" s="1891">
        <v>3</v>
      </c>
      <c r="F6" s="1891">
        <v>4</v>
      </c>
      <c r="G6" s="1891">
        <v>5</v>
      </c>
      <c r="H6" s="1891">
        <v>6</v>
      </c>
      <c r="I6" s="1891">
        <v>7</v>
      </c>
      <c r="J6" s="1891">
        <v>8</v>
      </c>
      <c r="K6" s="1891">
        <v>9</v>
      </c>
      <c r="L6" s="1891">
        <v>10</v>
      </c>
      <c r="M6" s="1891">
        <v>11</v>
      </c>
      <c r="N6" s="1891">
        <v>12</v>
      </c>
      <c r="O6" s="1891">
        <v>13</v>
      </c>
      <c r="P6" s="1891">
        <v>14</v>
      </c>
      <c r="Q6" s="2875"/>
      <c r="R6" s="1891">
        <v>15</v>
      </c>
      <c r="S6" s="1891">
        <v>16</v>
      </c>
      <c r="T6" s="1891">
        <v>17</v>
      </c>
      <c r="U6" s="1891">
        <v>18</v>
      </c>
      <c r="V6" s="1891">
        <v>19</v>
      </c>
      <c r="W6" s="1891">
        <v>20</v>
      </c>
      <c r="X6" s="1891">
        <v>21</v>
      </c>
      <c r="Y6" s="1891">
        <v>22</v>
      </c>
      <c r="Z6" s="1891">
        <v>23</v>
      </c>
      <c r="AA6" s="1891">
        <v>24</v>
      </c>
      <c r="AB6" s="1891">
        <v>25</v>
      </c>
      <c r="AC6" s="1891">
        <v>26</v>
      </c>
      <c r="AD6" s="1891">
        <v>27</v>
      </c>
      <c r="AE6" s="1891">
        <v>28</v>
      </c>
      <c r="AF6" s="2875"/>
      <c r="AG6" s="1891">
        <v>29</v>
      </c>
      <c r="AH6" s="1891">
        <v>30</v>
      </c>
      <c r="AI6" s="1891">
        <v>31</v>
      </c>
      <c r="AJ6" s="1891">
        <v>32</v>
      </c>
      <c r="AK6" s="1891">
        <v>33</v>
      </c>
      <c r="AL6" s="1767">
        <v>34</v>
      </c>
      <c r="AM6" s="1767">
        <v>35</v>
      </c>
      <c r="AN6" s="1767">
        <v>36</v>
      </c>
      <c r="AO6" s="1767">
        <v>37</v>
      </c>
      <c r="AP6" s="1767">
        <v>38</v>
      </c>
      <c r="AQ6" s="1767">
        <v>39</v>
      </c>
      <c r="AR6" s="1767">
        <v>40</v>
      </c>
      <c r="AS6" s="1767">
        <v>41</v>
      </c>
      <c r="AT6" s="1767">
        <v>42</v>
      </c>
      <c r="AU6" s="2874"/>
      <c r="AV6" s="1767">
        <v>43</v>
      </c>
      <c r="AW6" s="1767">
        <v>44</v>
      </c>
      <c r="AX6" s="1767">
        <v>45</v>
      </c>
      <c r="AY6" s="1767">
        <v>46</v>
      </c>
      <c r="AZ6" s="1767">
        <v>47</v>
      </c>
      <c r="BA6" s="1767">
        <v>48</v>
      </c>
      <c r="BB6" s="1767">
        <v>49</v>
      </c>
      <c r="BC6" s="1767">
        <v>50</v>
      </c>
      <c r="BD6" s="1767">
        <v>51</v>
      </c>
      <c r="BE6" s="1767">
        <v>52</v>
      </c>
      <c r="BF6" s="1767">
        <v>53</v>
      </c>
      <c r="BG6" s="1767">
        <v>54</v>
      </c>
      <c r="BH6" s="1767">
        <v>55</v>
      </c>
      <c r="BI6" s="1767">
        <v>56</v>
      </c>
      <c r="BJ6" s="2874"/>
      <c r="BK6" s="1767">
        <v>57</v>
      </c>
      <c r="BL6" s="1767">
        <v>58</v>
      </c>
      <c r="BM6" s="1767">
        <v>59</v>
      </c>
      <c r="BN6" s="1767">
        <v>60</v>
      </c>
      <c r="BO6" s="1767">
        <v>61</v>
      </c>
      <c r="BP6" s="1767">
        <v>62</v>
      </c>
      <c r="BQ6" s="1767">
        <v>63</v>
      </c>
      <c r="BR6" s="1767">
        <v>64</v>
      </c>
      <c r="BS6" s="1767">
        <v>65</v>
      </c>
      <c r="BT6" s="1767">
        <v>66</v>
      </c>
      <c r="BU6" s="1767">
        <v>67</v>
      </c>
      <c r="BV6" s="1767">
        <v>68</v>
      </c>
      <c r="BW6" s="1767">
        <v>69</v>
      </c>
      <c r="BX6" s="1767">
        <v>70</v>
      </c>
    </row>
    <row r="7" spans="1:76" ht="11.45" customHeight="1" x14ac:dyDescent="0.2">
      <c r="A7" s="1867" t="s">
        <v>696</v>
      </c>
      <c r="B7" s="1867"/>
      <c r="C7" s="1841">
        <v>81.650000000000006</v>
      </c>
      <c r="D7" s="1841">
        <v>83.78</v>
      </c>
      <c r="E7" s="1841">
        <v>79.099999999999994</v>
      </c>
      <c r="F7" s="1841">
        <v>81.819999999999993</v>
      </c>
      <c r="G7" s="1841">
        <v>209.8</v>
      </c>
      <c r="H7" s="1841">
        <v>217.03</v>
      </c>
      <c r="I7" s="1841">
        <v>78.84</v>
      </c>
      <c r="J7" s="1841">
        <v>80.45</v>
      </c>
      <c r="K7" s="1841">
        <v>12.47</v>
      </c>
      <c r="L7" s="1841">
        <v>12.94</v>
      </c>
      <c r="M7" s="1841">
        <v>14.22</v>
      </c>
      <c r="N7" s="1841">
        <v>13.91</v>
      </c>
      <c r="O7" s="1841">
        <v>105.78</v>
      </c>
      <c r="P7" s="1841">
        <v>103.45</v>
      </c>
      <c r="Q7" s="1867" t="s">
        <v>696</v>
      </c>
      <c r="R7" s="1841">
        <v>10.18</v>
      </c>
      <c r="S7" s="1841">
        <v>10.55</v>
      </c>
      <c r="T7" s="1841">
        <v>1.58</v>
      </c>
      <c r="U7" s="1841">
        <v>1.47</v>
      </c>
      <c r="V7" s="1841">
        <v>0.01</v>
      </c>
      <c r="W7" s="1841">
        <v>0.01</v>
      </c>
      <c r="X7" s="1841">
        <v>0.01</v>
      </c>
      <c r="Y7" s="1841">
        <v>0.01</v>
      </c>
      <c r="Z7" s="1841">
        <v>1.01</v>
      </c>
      <c r="AA7" s="1841">
        <v>1.02</v>
      </c>
      <c r="AB7" s="1841">
        <v>285.58</v>
      </c>
      <c r="AC7" s="1841">
        <v>292.27</v>
      </c>
      <c r="AD7" s="1841">
        <v>25.63</v>
      </c>
      <c r="AE7" s="1841">
        <v>25.81</v>
      </c>
      <c r="AF7" s="1867" t="s">
        <v>696</v>
      </c>
      <c r="AG7" s="1841">
        <v>12.32</v>
      </c>
      <c r="AH7" s="1841">
        <v>12.74</v>
      </c>
      <c r="AI7" s="1841">
        <v>0.99</v>
      </c>
      <c r="AJ7" s="1841">
        <v>0.9</v>
      </c>
      <c r="AK7" s="1841">
        <v>63.62</v>
      </c>
      <c r="AL7" s="25">
        <v>65.52</v>
      </c>
      <c r="AM7" s="25">
        <v>13.79</v>
      </c>
      <c r="AN7" s="25">
        <v>13.72</v>
      </c>
      <c r="AO7" s="25">
        <v>205.3</v>
      </c>
      <c r="AP7" s="25">
        <v>212.52</v>
      </c>
      <c r="AQ7" s="25">
        <v>0.89</v>
      </c>
      <c r="AR7" s="25">
        <v>0.87</v>
      </c>
      <c r="AS7" s="25">
        <v>1.84</v>
      </c>
      <c r="AT7" s="25">
        <v>1.94</v>
      </c>
      <c r="AU7" s="1761" t="s">
        <v>696</v>
      </c>
      <c r="AV7" s="25">
        <v>21.72</v>
      </c>
      <c r="AW7" s="25">
        <v>22.47</v>
      </c>
      <c r="AX7" s="25">
        <v>2.61</v>
      </c>
      <c r="AY7" s="25">
        <v>2.4900000000000002</v>
      </c>
      <c r="AZ7" s="25">
        <v>21.09</v>
      </c>
      <c r="BA7" s="25">
        <v>21.82</v>
      </c>
      <c r="BB7" s="25">
        <v>7.0000000000000007E-2</v>
      </c>
      <c r="BC7" s="25">
        <v>7.0000000000000007E-2</v>
      </c>
      <c r="BD7" s="25">
        <v>62.78</v>
      </c>
      <c r="BE7" s="25">
        <v>64.650000000000006</v>
      </c>
      <c r="BF7" s="25">
        <v>11.76</v>
      </c>
      <c r="BG7" s="25">
        <v>11.82</v>
      </c>
      <c r="BH7" s="25">
        <v>0.68</v>
      </c>
      <c r="BI7" s="25">
        <v>0.61</v>
      </c>
      <c r="BJ7" s="1761" t="s">
        <v>696</v>
      </c>
      <c r="BK7" s="25">
        <v>88.18</v>
      </c>
      <c r="BL7" s="25">
        <v>86.11</v>
      </c>
      <c r="BM7" s="25">
        <v>1.47</v>
      </c>
      <c r="BN7" s="25">
        <v>1.28</v>
      </c>
      <c r="BO7" s="25">
        <v>123.03</v>
      </c>
      <c r="BP7" s="25">
        <v>124.16</v>
      </c>
      <c r="BQ7" s="25">
        <v>2.56</v>
      </c>
      <c r="BR7" s="25">
        <v>2.59</v>
      </c>
      <c r="BS7" s="25">
        <v>21.53</v>
      </c>
      <c r="BT7" s="25">
        <v>22.28</v>
      </c>
      <c r="BU7" s="25">
        <v>79.099999999999994</v>
      </c>
      <c r="BV7" s="25">
        <v>81.819999999999993</v>
      </c>
      <c r="BW7" s="25">
        <v>125.28</v>
      </c>
      <c r="BX7" s="25">
        <v>128.19999999999999</v>
      </c>
    </row>
    <row r="8" spans="1:76" ht="11.45" customHeight="1" x14ac:dyDescent="0.2">
      <c r="A8" s="1867" t="s">
        <v>804</v>
      </c>
      <c r="B8" s="1867"/>
      <c r="C8" s="1841">
        <v>82.13</v>
      </c>
      <c r="D8" s="1841">
        <v>71.099999999999994</v>
      </c>
      <c r="E8" s="1841">
        <v>79.930000000000007</v>
      </c>
      <c r="F8" s="1841">
        <v>77.77</v>
      </c>
      <c r="G8" s="1841">
        <v>212.02</v>
      </c>
      <c r="H8" s="1841">
        <v>206.27</v>
      </c>
      <c r="I8" s="1841">
        <v>79.62</v>
      </c>
      <c r="J8" s="1841">
        <v>73.900000000000006</v>
      </c>
      <c r="K8" s="1841">
        <v>12.72</v>
      </c>
      <c r="L8" s="1841">
        <v>12.59</v>
      </c>
      <c r="M8" s="1841">
        <v>13.87</v>
      </c>
      <c r="N8" s="1841">
        <v>13.57</v>
      </c>
      <c r="O8" s="1841">
        <v>103.37</v>
      </c>
      <c r="P8" s="1841">
        <v>101.19</v>
      </c>
      <c r="Q8" s="1867" t="s">
        <v>804</v>
      </c>
      <c r="R8" s="1841">
        <v>10.31</v>
      </c>
      <c r="S8" s="1841">
        <v>10.029999999999999</v>
      </c>
      <c r="T8" s="1841">
        <v>1.46</v>
      </c>
      <c r="U8" s="1841">
        <v>1.31</v>
      </c>
      <c r="V8" s="1841">
        <v>0.01</v>
      </c>
      <c r="W8" s="1841">
        <v>0.01</v>
      </c>
      <c r="X8" s="1841">
        <v>0.01</v>
      </c>
      <c r="Y8" s="1841">
        <v>0.01</v>
      </c>
      <c r="Z8" s="1841">
        <v>0.92</v>
      </c>
      <c r="AA8" s="1841">
        <v>0.78</v>
      </c>
      <c r="AB8" s="1841">
        <v>282.77999999999997</v>
      </c>
      <c r="AC8" s="1841">
        <v>272.62</v>
      </c>
      <c r="AD8" s="1841">
        <v>25.93</v>
      </c>
      <c r="AE8" s="1841">
        <v>24.61</v>
      </c>
      <c r="AF8" s="1867" t="s">
        <v>804</v>
      </c>
      <c r="AG8" s="1841">
        <v>12.45</v>
      </c>
      <c r="AH8" s="1841">
        <v>12.11</v>
      </c>
      <c r="AI8" s="1841">
        <v>0.91</v>
      </c>
      <c r="AJ8" s="1841">
        <v>0.81</v>
      </c>
      <c r="AK8" s="1841">
        <v>65.7</v>
      </c>
      <c r="AL8" s="25">
        <v>60.24</v>
      </c>
      <c r="AM8" s="25">
        <v>13.88</v>
      </c>
      <c r="AN8" s="25">
        <v>12.81</v>
      </c>
      <c r="AO8" s="25">
        <v>207.59</v>
      </c>
      <c r="AP8" s="25">
        <v>201.99</v>
      </c>
      <c r="AQ8" s="25">
        <v>0.83</v>
      </c>
      <c r="AR8" s="25">
        <v>0.78</v>
      </c>
      <c r="AS8" s="25">
        <v>1.93</v>
      </c>
      <c r="AT8" s="25">
        <v>1.8</v>
      </c>
      <c r="AU8" s="1761" t="s">
        <v>804</v>
      </c>
      <c r="AV8" s="25">
        <v>21.95</v>
      </c>
      <c r="AW8" s="25">
        <v>21.36</v>
      </c>
      <c r="AX8" s="25">
        <v>2.56</v>
      </c>
      <c r="AY8" s="25">
        <v>2.36</v>
      </c>
      <c r="AZ8" s="25">
        <v>21.31</v>
      </c>
      <c r="BA8" s="25">
        <v>20.74</v>
      </c>
      <c r="BB8" s="25">
        <v>7.0000000000000007E-2</v>
      </c>
      <c r="BC8" s="25">
        <v>7.0000000000000007E-2</v>
      </c>
      <c r="BD8" s="25">
        <v>64.540000000000006</v>
      </c>
      <c r="BE8" s="25">
        <v>61.36</v>
      </c>
      <c r="BF8" s="25">
        <v>12.12</v>
      </c>
      <c r="BG8" s="25">
        <v>11.6</v>
      </c>
      <c r="BH8" s="25">
        <v>0.62</v>
      </c>
      <c r="BI8" s="25">
        <v>0.6</v>
      </c>
      <c r="BJ8" s="1761" t="s">
        <v>804</v>
      </c>
      <c r="BK8" s="25">
        <v>84.91</v>
      </c>
      <c r="BL8" s="25">
        <v>82.32</v>
      </c>
      <c r="BM8" s="25">
        <v>1.1200000000000001</v>
      </c>
      <c r="BN8" s="25">
        <v>0.77</v>
      </c>
      <c r="BO8" s="25">
        <v>121.56</v>
      </c>
      <c r="BP8" s="25">
        <v>116.96</v>
      </c>
      <c r="BQ8" s="25">
        <v>2.63</v>
      </c>
      <c r="BR8" s="25">
        <v>2.5</v>
      </c>
      <c r="BS8" s="25">
        <v>21.76</v>
      </c>
      <c r="BT8" s="25">
        <v>21.17</v>
      </c>
      <c r="BU8" s="25">
        <v>79.930000000000007</v>
      </c>
      <c r="BV8" s="25">
        <v>77.77</v>
      </c>
      <c r="BW8" s="25">
        <v>125.45</v>
      </c>
      <c r="BX8" s="25">
        <v>118.24</v>
      </c>
    </row>
    <row r="9" spans="1:76" s="136" customFormat="1" ht="11.45" customHeight="1" x14ac:dyDescent="0.2">
      <c r="A9" s="1868" t="s">
        <v>978</v>
      </c>
      <c r="B9" s="1868"/>
      <c r="C9" s="1856">
        <v>71.366500000000002</v>
      </c>
      <c r="D9" s="1856">
        <v>73.17</v>
      </c>
      <c r="E9" s="1856">
        <v>77.721800000000002</v>
      </c>
      <c r="F9" s="1856">
        <v>77.63</v>
      </c>
      <c r="G9" s="1856">
        <v>206.1584</v>
      </c>
      <c r="H9" s="1856">
        <v>205.92</v>
      </c>
      <c r="I9" s="1856">
        <v>72.688100000000006</v>
      </c>
      <c r="J9" s="1856">
        <v>72.81</v>
      </c>
      <c r="K9" s="1856">
        <v>12.6509</v>
      </c>
      <c r="L9" s="1856">
        <v>12.62</v>
      </c>
      <c r="M9" s="1856">
        <v>14.135199999999999</v>
      </c>
      <c r="N9" s="1856">
        <v>14.21</v>
      </c>
      <c r="O9" s="1856">
        <v>105.4555</v>
      </c>
      <c r="P9" s="1856">
        <v>105.96</v>
      </c>
      <c r="Q9" s="1868" t="s">
        <v>978</v>
      </c>
      <c r="R9" s="1856">
        <v>10.021800000000001</v>
      </c>
      <c r="S9" s="1856">
        <v>10.02</v>
      </c>
      <c r="T9" s="1856">
        <v>1.2666999999999999</v>
      </c>
      <c r="U9" s="1856">
        <v>1.29</v>
      </c>
      <c r="V9" s="1856">
        <v>6.7999999999999996E-3</v>
      </c>
      <c r="W9" s="1856">
        <v>0.01</v>
      </c>
      <c r="X9" s="1856">
        <v>3.0999999999999999E-3</v>
      </c>
      <c r="Y9" s="1856">
        <v>0</v>
      </c>
      <c r="Z9" s="1856">
        <v>0.76949999999999996</v>
      </c>
      <c r="AA9" s="1856">
        <v>0.77</v>
      </c>
      <c r="AB9" s="1856">
        <v>274.81169999999997</v>
      </c>
      <c r="AC9" s="1856">
        <v>275.48</v>
      </c>
      <c r="AD9" s="1856">
        <v>23.951899999999998</v>
      </c>
      <c r="AE9" s="1856">
        <v>24.19</v>
      </c>
      <c r="AF9" s="1868" t="s">
        <v>978</v>
      </c>
      <c r="AG9" s="1856">
        <v>12.106199999999999</v>
      </c>
      <c r="AH9" s="1856">
        <v>12.09</v>
      </c>
      <c r="AI9" s="1856">
        <v>0.79120000000000001</v>
      </c>
      <c r="AJ9" s="1856">
        <v>0.81</v>
      </c>
      <c r="AK9" s="1856">
        <v>64.542199999999994</v>
      </c>
      <c r="AL9" s="313">
        <v>68.16</v>
      </c>
      <c r="AM9" s="313">
        <v>12.898300000000001</v>
      </c>
      <c r="AN9" s="313">
        <v>12.68</v>
      </c>
      <c r="AO9" s="313">
        <v>201.87649999999999</v>
      </c>
      <c r="AP9" s="313">
        <v>201.64</v>
      </c>
      <c r="AQ9" s="313">
        <v>0.75619999999999998</v>
      </c>
      <c r="AR9" s="313">
        <v>0.79</v>
      </c>
      <c r="AS9" s="313">
        <v>1.7890999999999999</v>
      </c>
      <c r="AT9" s="313">
        <v>1.78</v>
      </c>
      <c r="AU9" s="550" t="s">
        <v>978</v>
      </c>
      <c r="AV9" s="313">
        <v>21.345800000000001</v>
      </c>
      <c r="AW9" s="313">
        <v>21.32</v>
      </c>
      <c r="AX9" s="313">
        <v>2.3018000000000001</v>
      </c>
      <c r="AY9" s="313">
        <v>2.2999999999999998</v>
      </c>
      <c r="AZ9" s="313">
        <v>20.723500000000001</v>
      </c>
      <c r="BA9" s="313">
        <v>20.7</v>
      </c>
      <c r="BB9" s="313">
        <v>7.3099999999999998E-2</v>
      </c>
      <c r="BC9" s="313">
        <v>0.08</v>
      </c>
      <c r="BD9" s="313">
        <v>61.703600000000002</v>
      </c>
      <c r="BE9" s="313">
        <v>62.12</v>
      </c>
      <c r="BF9" s="313">
        <v>11.901199999999999</v>
      </c>
      <c r="BG9" s="313">
        <v>11.52</v>
      </c>
      <c r="BH9" s="313">
        <v>0.5927</v>
      </c>
      <c r="BI9" s="313">
        <v>0.6</v>
      </c>
      <c r="BJ9" s="550" t="s">
        <v>978</v>
      </c>
      <c r="BK9" s="313">
        <v>85.985900000000001</v>
      </c>
      <c r="BL9" s="313">
        <v>87.15</v>
      </c>
      <c r="BM9" s="313">
        <v>0.57769999999999999</v>
      </c>
      <c r="BN9" s="313">
        <v>0.52</v>
      </c>
      <c r="BO9" s="313">
        <v>119.22799999999999</v>
      </c>
      <c r="BP9" s="313">
        <v>119.87</v>
      </c>
      <c r="BQ9" s="313">
        <v>2.4632000000000001</v>
      </c>
      <c r="BR9" s="313">
        <v>2.39</v>
      </c>
      <c r="BS9" s="313">
        <v>21.160299999999999</v>
      </c>
      <c r="BT9" s="313">
        <v>21.14</v>
      </c>
      <c r="BU9" s="313">
        <v>77.721800000000002</v>
      </c>
      <c r="BV9" s="313">
        <v>77.63</v>
      </c>
      <c r="BW9" s="313">
        <v>126.401</v>
      </c>
      <c r="BX9" s="313">
        <v>132.24</v>
      </c>
    </row>
    <row r="10" spans="1:76" s="25" customFormat="1" ht="11.45" customHeight="1" x14ac:dyDescent="0.2">
      <c r="A10" s="1820" t="s">
        <v>1029</v>
      </c>
      <c r="B10" s="1820"/>
      <c r="C10" s="1644">
        <v>65.014200000000002</v>
      </c>
      <c r="D10" s="1644">
        <v>59.81</v>
      </c>
      <c r="E10" s="1644">
        <v>77.674599999999998</v>
      </c>
      <c r="F10" s="1644">
        <v>77.81</v>
      </c>
      <c r="G10" s="1644">
        <v>206.0292</v>
      </c>
      <c r="H10" s="1644">
        <v>206.35</v>
      </c>
      <c r="I10" s="1644">
        <v>66.458699999999993</v>
      </c>
      <c r="J10" s="1644">
        <v>62.78</v>
      </c>
      <c r="K10" s="1644">
        <v>12.6549</v>
      </c>
      <c r="L10" s="1644">
        <v>12.73</v>
      </c>
      <c r="M10" s="1644">
        <v>12.5419</v>
      </c>
      <c r="N10" s="1644">
        <v>11.72</v>
      </c>
      <c r="O10" s="1644">
        <v>93.459400000000002</v>
      </c>
      <c r="P10" s="1644">
        <v>87.43</v>
      </c>
      <c r="Q10" s="1820" t="s">
        <v>1029</v>
      </c>
      <c r="R10" s="1644">
        <v>10.017799999999999</v>
      </c>
      <c r="S10" s="1644">
        <v>10.039999999999999</v>
      </c>
      <c r="T10" s="1644">
        <v>1.2528999999999999</v>
      </c>
      <c r="U10" s="1644">
        <v>1.22</v>
      </c>
      <c r="V10" s="1644">
        <v>6.1999999999999998E-3</v>
      </c>
      <c r="W10" s="1644">
        <v>0.01</v>
      </c>
      <c r="X10" s="1644">
        <v>2.8E-3</v>
      </c>
      <c r="Y10" s="1644">
        <v>0</v>
      </c>
      <c r="Z10" s="1644">
        <v>0.6804</v>
      </c>
      <c r="AA10" s="1644">
        <v>0.63</v>
      </c>
      <c r="AB10" s="1644">
        <v>265.0548</v>
      </c>
      <c r="AC10" s="1644">
        <v>257.42</v>
      </c>
      <c r="AD10" s="1644">
        <v>22.543600000000001</v>
      </c>
      <c r="AE10" s="1644">
        <v>20.55</v>
      </c>
      <c r="AF10" s="1820" t="s">
        <v>1029</v>
      </c>
      <c r="AG10" s="1644">
        <v>7.5800000000000006E-2</v>
      </c>
      <c r="AH10" s="1644">
        <v>7.0000000000000007E-2</v>
      </c>
      <c r="AI10" s="1644">
        <v>0.78300000000000003</v>
      </c>
      <c r="AJ10" s="1644">
        <v>0.76</v>
      </c>
      <c r="AK10" s="1644">
        <v>60.438099999999999</v>
      </c>
      <c r="AL10" s="339">
        <v>53.34</v>
      </c>
      <c r="AM10" s="339">
        <v>10.959300000000001</v>
      </c>
      <c r="AN10" s="339">
        <v>9.9</v>
      </c>
      <c r="AO10" s="339">
        <v>201.7544</v>
      </c>
      <c r="AP10" s="339">
        <v>202.12</v>
      </c>
      <c r="AQ10" s="339">
        <v>0.76639999999999997</v>
      </c>
      <c r="AR10" s="339">
        <v>0.76</v>
      </c>
      <c r="AS10" s="339">
        <v>1.7483</v>
      </c>
      <c r="AT10" s="339">
        <v>1.72</v>
      </c>
      <c r="AU10" s="464" t="s">
        <v>1029</v>
      </c>
      <c r="AV10" s="339">
        <v>21.332699999999999</v>
      </c>
      <c r="AW10" s="339">
        <v>21.37</v>
      </c>
      <c r="AX10" s="339">
        <v>1.6351</v>
      </c>
      <c r="AY10" s="339">
        <v>1.4</v>
      </c>
      <c r="AZ10" s="339">
        <v>20.705300000000001</v>
      </c>
      <c r="BA10" s="339">
        <v>20.74</v>
      </c>
      <c r="BB10" s="339">
        <v>7.2099999999999997E-2</v>
      </c>
      <c r="BC10" s="339">
        <v>7.0000000000000007E-2</v>
      </c>
      <c r="BD10" s="339">
        <v>59.317100000000003</v>
      </c>
      <c r="BE10" s="339">
        <v>57.8</v>
      </c>
      <c r="BF10" s="339">
        <v>10.058400000000001</v>
      </c>
      <c r="BG10" s="339">
        <v>9.44</v>
      </c>
      <c r="BH10" s="339">
        <v>0.58940000000000003</v>
      </c>
      <c r="BI10" s="339">
        <v>0.57999999999999996</v>
      </c>
      <c r="BJ10" s="464" t="s">
        <v>1029</v>
      </c>
      <c r="BK10" s="339">
        <v>82.442999999999998</v>
      </c>
      <c r="BL10" s="339">
        <v>84.03</v>
      </c>
      <c r="BM10" s="339">
        <v>0.43109999999999998</v>
      </c>
      <c r="BN10" s="339">
        <v>0.36</v>
      </c>
      <c r="BO10" s="339">
        <v>112.64660000000001</v>
      </c>
      <c r="BP10" s="339">
        <v>109.18</v>
      </c>
      <c r="BQ10" s="339">
        <v>2.3778999999999999</v>
      </c>
      <c r="BR10" s="339">
        <v>2.2999999999999998</v>
      </c>
      <c r="BS10" s="339">
        <v>21.147400000000001</v>
      </c>
      <c r="BT10" s="339">
        <v>21.18</v>
      </c>
      <c r="BU10" s="339">
        <v>77.674599999999998</v>
      </c>
      <c r="BV10" s="339">
        <v>77.81</v>
      </c>
      <c r="BW10" s="339">
        <v>122.4104</v>
      </c>
      <c r="BX10" s="339">
        <v>122.42</v>
      </c>
    </row>
    <row r="11" spans="1:76" s="237" customFormat="1" ht="11.45" customHeight="1" x14ac:dyDescent="0.2">
      <c r="A11" s="1820" t="s">
        <v>1150</v>
      </c>
      <c r="B11" s="1820"/>
      <c r="C11" s="1644">
        <v>57.023499999999999</v>
      </c>
      <c r="D11" s="1644">
        <v>58.42</v>
      </c>
      <c r="E11" s="1644">
        <v>78.2637</v>
      </c>
      <c r="F11" s="1644">
        <v>78.400000000000006</v>
      </c>
      <c r="G11" s="1644">
        <v>207.56620000000001</v>
      </c>
      <c r="H11" s="1644">
        <v>207.76</v>
      </c>
      <c r="I11" s="1644">
        <v>59.080199999999998</v>
      </c>
      <c r="J11" s="1644">
        <v>60.63</v>
      </c>
      <c r="K11" s="1644">
        <v>12.1837</v>
      </c>
      <c r="L11" s="1644">
        <v>11.82</v>
      </c>
      <c r="M11" s="1644">
        <v>11.653600000000001</v>
      </c>
      <c r="N11" s="1644">
        <v>11.73</v>
      </c>
      <c r="O11" s="1644">
        <v>86.882900000000006</v>
      </c>
      <c r="P11" s="1644">
        <v>87.21</v>
      </c>
      <c r="Q11" s="1820" t="s">
        <v>1150</v>
      </c>
      <c r="R11" s="1644">
        <v>10.0863</v>
      </c>
      <c r="S11" s="1644">
        <v>10.1</v>
      </c>
      <c r="T11" s="1644">
        <v>1.1812</v>
      </c>
      <c r="U11" s="1644">
        <v>1.1599999999999999</v>
      </c>
      <c r="V11" s="1644">
        <v>5.7999999999999996E-3</v>
      </c>
      <c r="W11" s="1644">
        <v>0.01</v>
      </c>
      <c r="X11" s="1644">
        <v>2.5999999999999999E-3</v>
      </c>
      <c r="Y11" s="1644">
        <v>0</v>
      </c>
      <c r="Z11" s="1644">
        <v>0.67200000000000004</v>
      </c>
      <c r="AA11" s="1644">
        <v>0.76</v>
      </c>
      <c r="AB11" s="1644">
        <v>258.94290000000001</v>
      </c>
      <c r="AC11" s="1644">
        <v>259.52</v>
      </c>
      <c r="AD11" s="1644">
        <v>18.955200000000001</v>
      </c>
      <c r="AE11" s="1644">
        <v>19.5</v>
      </c>
      <c r="AF11" s="1820" t="s">
        <v>1150</v>
      </c>
      <c r="AG11" s="1644">
        <v>6.3100000000000003E-2</v>
      </c>
      <c r="AH11" s="1644">
        <v>7.0000000000000007E-2</v>
      </c>
      <c r="AI11" s="1644">
        <v>0.73850000000000005</v>
      </c>
      <c r="AJ11" s="1644">
        <v>0.72</v>
      </c>
      <c r="AK11" s="1644">
        <v>52.3</v>
      </c>
      <c r="AL11" s="339">
        <v>55.76</v>
      </c>
      <c r="AM11" s="339">
        <v>9.3177000000000003</v>
      </c>
      <c r="AN11" s="339">
        <v>9.34</v>
      </c>
      <c r="AO11" s="339">
        <v>203.2773</v>
      </c>
      <c r="AP11" s="339">
        <v>203.63</v>
      </c>
      <c r="AQ11" s="339">
        <v>0.75029999999999997</v>
      </c>
      <c r="AR11" s="339">
        <v>0.75</v>
      </c>
      <c r="AS11" s="339">
        <v>1.6767000000000001</v>
      </c>
      <c r="AT11" s="339">
        <v>1.67</v>
      </c>
      <c r="AU11" s="464" t="s">
        <v>1150</v>
      </c>
      <c r="AV11" s="339">
        <v>21.494900000000001</v>
      </c>
      <c r="AW11" s="339">
        <v>21.53</v>
      </c>
      <c r="AX11" s="339">
        <v>1.1691</v>
      </c>
      <c r="AY11" s="339">
        <v>1.22</v>
      </c>
      <c r="AZ11" s="339">
        <v>20.8674</v>
      </c>
      <c r="BA11" s="339">
        <v>20.9</v>
      </c>
      <c r="BB11" s="339">
        <v>6.6699999999999995E-2</v>
      </c>
      <c r="BC11" s="339">
        <v>7.0000000000000007E-2</v>
      </c>
      <c r="BD11" s="339">
        <v>56.334699999999998</v>
      </c>
      <c r="BE11" s="339">
        <v>58.16</v>
      </c>
      <c r="BF11" s="339">
        <v>9.3073999999999995</v>
      </c>
      <c r="BG11" s="339">
        <v>9.25</v>
      </c>
      <c r="BH11" s="339">
        <v>0.55110000000000003</v>
      </c>
      <c r="BI11" s="339">
        <v>0.54</v>
      </c>
      <c r="BJ11" s="464" t="s">
        <v>1150</v>
      </c>
      <c r="BK11" s="339">
        <v>79.908100000000005</v>
      </c>
      <c r="BL11" s="339">
        <v>80.02</v>
      </c>
      <c r="BM11" s="339">
        <v>0.35630000000000001</v>
      </c>
      <c r="BN11" s="339">
        <v>0.36</v>
      </c>
      <c r="BO11" s="339">
        <v>109.4175</v>
      </c>
      <c r="BP11" s="339">
        <v>109.44</v>
      </c>
      <c r="BQ11" s="339">
        <v>2.2054999999999998</v>
      </c>
      <c r="BR11" s="339">
        <v>2.2200000000000002</v>
      </c>
      <c r="BS11" s="339">
        <v>21.308199999999999</v>
      </c>
      <c r="BT11" s="339">
        <v>21.35</v>
      </c>
      <c r="BU11" s="339">
        <v>78.2637</v>
      </c>
      <c r="BV11" s="339">
        <v>78.400000000000006</v>
      </c>
      <c r="BW11" s="339">
        <v>116.15600000000001</v>
      </c>
      <c r="BX11" s="339">
        <v>105.25</v>
      </c>
    </row>
    <row r="12" spans="1:76" s="237" customFormat="1" ht="11.45" customHeight="1" x14ac:dyDescent="0.2">
      <c r="A12" s="1820" t="s">
        <v>1174</v>
      </c>
      <c r="B12" s="1820"/>
      <c r="C12" s="1644">
        <v>59.658900000000003</v>
      </c>
      <c r="D12" s="1644">
        <v>61.93</v>
      </c>
      <c r="E12" s="1644">
        <v>79.119200000000006</v>
      </c>
      <c r="F12" s="1644">
        <v>80.599999999999994</v>
      </c>
      <c r="G12" s="1644">
        <v>209.82980000000001</v>
      </c>
      <c r="H12" s="1644">
        <v>213.64</v>
      </c>
      <c r="I12" s="1644">
        <v>59.645600000000002</v>
      </c>
      <c r="J12" s="1644">
        <v>61.98</v>
      </c>
      <c r="K12" s="1644">
        <v>11.6242</v>
      </c>
      <c r="L12" s="1644">
        <v>11.9</v>
      </c>
      <c r="M12" s="1644">
        <v>11.596</v>
      </c>
      <c r="N12" s="1644">
        <v>12.4</v>
      </c>
      <c r="O12" s="1644">
        <v>86.2637</v>
      </c>
      <c r="P12" s="1644">
        <v>92.21</v>
      </c>
      <c r="Q12" s="1820" t="s">
        <v>1174</v>
      </c>
      <c r="R12" s="1644">
        <v>10.189</v>
      </c>
      <c r="S12" s="1644">
        <v>10.33</v>
      </c>
      <c r="T12" s="1644">
        <v>1.1911</v>
      </c>
      <c r="U12" s="1644">
        <v>1.25</v>
      </c>
      <c r="V12" s="1644">
        <v>6.0000000000000001E-3</v>
      </c>
      <c r="W12" s="1644">
        <v>0.01</v>
      </c>
      <c r="X12" s="1644">
        <v>2.5000000000000001E-3</v>
      </c>
      <c r="Y12" s="1644">
        <v>0</v>
      </c>
      <c r="Z12" s="1644">
        <v>0.7268</v>
      </c>
      <c r="AA12" s="1644">
        <v>0.72</v>
      </c>
      <c r="AB12" s="1644">
        <v>260.45460000000003</v>
      </c>
      <c r="AC12" s="1644">
        <v>265.73</v>
      </c>
      <c r="AD12" s="1644">
        <v>18.4786</v>
      </c>
      <c r="AE12" s="1644">
        <v>18.77</v>
      </c>
      <c r="AF12" s="1820" t="s">
        <v>1174</v>
      </c>
      <c r="AG12" s="1644">
        <v>6.0699999999999997E-2</v>
      </c>
      <c r="AH12" s="1644">
        <v>0.06</v>
      </c>
      <c r="AI12" s="1644">
        <v>0.74399999999999999</v>
      </c>
      <c r="AJ12" s="1644">
        <v>0.78</v>
      </c>
      <c r="AK12" s="1644">
        <v>56.3782</v>
      </c>
      <c r="AL12" s="339">
        <v>58.84</v>
      </c>
      <c r="AM12" s="339">
        <v>9.4036000000000008</v>
      </c>
      <c r="AN12" s="339">
        <v>9.61</v>
      </c>
      <c r="AO12" s="339">
        <v>205.4922</v>
      </c>
      <c r="AP12" s="339">
        <v>209.23</v>
      </c>
      <c r="AQ12" s="339">
        <v>0.75529999999999997</v>
      </c>
      <c r="AR12" s="339">
        <v>0.77</v>
      </c>
      <c r="AS12" s="339">
        <v>1.6155999999999999</v>
      </c>
      <c r="AT12" s="339">
        <v>1.6</v>
      </c>
      <c r="AU12" s="464" t="s">
        <v>1174</v>
      </c>
      <c r="AV12" s="339">
        <v>21.713799999999999</v>
      </c>
      <c r="AW12" s="339">
        <v>21.58</v>
      </c>
      <c r="AX12" s="339">
        <v>1.3027</v>
      </c>
      <c r="AY12" s="339">
        <v>1.36</v>
      </c>
      <c r="AZ12" s="339">
        <v>21.095400000000001</v>
      </c>
      <c r="BA12" s="339">
        <v>21.49</v>
      </c>
      <c r="BB12" s="339">
        <v>6.9400000000000003E-2</v>
      </c>
      <c r="BC12" s="339">
        <v>7.0000000000000007E-2</v>
      </c>
      <c r="BD12" s="339">
        <v>56.838999999999999</v>
      </c>
      <c r="BE12" s="339">
        <v>58.43</v>
      </c>
      <c r="BF12" s="339">
        <v>8.9743999999999993</v>
      </c>
      <c r="BG12" s="339">
        <v>9.52</v>
      </c>
      <c r="BH12" s="339">
        <v>0.53</v>
      </c>
      <c r="BI12" s="339">
        <v>0.52</v>
      </c>
      <c r="BJ12" s="464" t="s">
        <v>1174</v>
      </c>
      <c r="BK12" s="339">
        <v>79.829700000000003</v>
      </c>
      <c r="BL12" s="339">
        <v>84.32</v>
      </c>
      <c r="BM12" s="339">
        <v>0.2079</v>
      </c>
      <c r="BN12" s="339">
        <v>0.16</v>
      </c>
      <c r="BO12" s="339">
        <v>108.5568</v>
      </c>
      <c r="BP12" s="339">
        <v>112.08</v>
      </c>
      <c r="BQ12" s="339">
        <v>2.2667000000000002</v>
      </c>
      <c r="BR12" s="339">
        <v>2.37</v>
      </c>
      <c r="BS12" s="339">
        <v>21.540900000000001</v>
      </c>
      <c r="BT12" s="339">
        <v>21.94</v>
      </c>
      <c r="BU12" s="339">
        <v>79.119200000000006</v>
      </c>
      <c r="BV12" s="339">
        <v>80.599999999999994</v>
      </c>
      <c r="BW12" s="339">
        <v>100.3793</v>
      </c>
      <c r="BX12" s="339">
        <v>104.82</v>
      </c>
    </row>
    <row r="13" spans="1:76" s="237" customFormat="1" ht="11.45" customHeight="1" x14ac:dyDescent="0.2">
      <c r="A13" s="1820" t="s">
        <v>1296</v>
      </c>
      <c r="B13" s="1820"/>
      <c r="C13" s="1644">
        <v>63.658630000000002</v>
      </c>
      <c r="D13" s="1644">
        <v>61.58</v>
      </c>
      <c r="E13" s="1644">
        <v>82.100874000000005</v>
      </c>
      <c r="F13" s="1644">
        <v>83.73</v>
      </c>
      <c r="G13" s="1644">
        <v>217.64671100000001</v>
      </c>
      <c r="H13" s="1644">
        <v>221.47</v>
      </c>
      <c r="I13" s="1644">
        <v>64.688146000000003</v>
      </c>
      <c r="J13" s="1644">
        <v>63.21</v>
      </c>
      <c r="K13" s="1644">
        <v>12.660601</v>
      </c>
      <c r="L13" s="1644">
        <v>12.65</v>
      </c>
      <c r="M13" s="1644">
        <v>13.163303000000001</v>
      </c>
      <c r="N13" s="1644">
        <v>13</v>
      </c>
      <c r="O13" s="1644">
        <v>97.992005000000006</v>
      </c>
      <c r="P13" s="1644">
        <v>96.86</v>
      </c>
      <c r="Q13" s="1820" t="s">
        <v>1296</v>
      </c>
      <c r="R13" s="1644">
        <v>10.493054000000001</v>
      </c>
      <c r="S13" s="1644">
        <v>10.67</v>
      </c>
      <c r="T13" s="1644">
        <v>1.2622720000000001</v>
      </c>
      <c r="U13" s="1644">
        <v>1.22</v>
      </c>
      <c r="V13" s="1644">
        <v>6.0390000000000001E-3</v>
      </c>
      <c r="W13" s="1644">
        <v>0.01</v>
      </c>
      <c r="X13" s="1644">
        <v>2.258E-3</v>
      </c>
      <c r="Y13" s="1644">
        <v>0</v>
      </c>
      <c r="Z13" s="1644">
        <v>0.74442600000000003</v>
      </c>
      <c r="AA13" s="1644">
        <v>0.76</v>
      </c>
      <c r="AB13" s="1644">
        <v>272.38111300000003</v>
      </c>
      <c r="AC13" s="1644">
        <v>276.82</v>
      </c>
      <c r="AD13" s="1644">
        <v>20.178184999999999</v>
      </c>
      <c r="AE13" s="1644">
        <v>20.74</v>
      </c>
      <c r="AF13" s="1820" t="s">
        <v>1296</v>
      </c>
      <c r="AG13" s="1644">
        <v>6.0657999999999997E-2</v>
      </c>
      <c r="AH13" s="1644">
        <v>0.06</v>
      </c>
      <c r="AI13" s="1644">
        <v>0.78928299999999996</v>
      </c>
      <c r="AJ13" s="1644">
        <v>0.77</v>
      </c>
      <c r="AK13" s="1644">
        <v>58.730638999999996</v>
      </c>
      <c r="AL13" s="339">
        <v>56.56</v>
      </c>
      <c r="AM13" s="339">
        <v>10.272456</v>
      </c>
      <c r="AN13" s="339">
        <v>10.220000000000001</v>
      </c>
      <c r="AO13" s="339">
        <v>213.226247</v>
      </c>
      <c r="AP13" s="339">
        <v>217.47</v>
      </c>
      <c r="AQ13" s="339">
        <v>0.74837200000000004</v>
      </c>
      <c r="AR13" s="339">
        <v>0.69</v>
      </c>
      <c r="AS13" s="339">
        <v>1.597353</v>
      </c>
      <c r="AT13" s="339">
        <v>1.57</v>
      </c>
      <c r="AU13" s="464" t="s">
        <v>1296</v>
      </c>
      <c r="AV13" s="501">
        <v>22.433156</v>
      </c>
      <c r="AW13" s="339">
        <v>23</v>
      </c>
      <c r="AX13" s="339">
        <v>1.392849</v>
      </c>
      <c r="AY13" s="339">
        <v>1.33</v>
      </c>
      <c r="AZ13" s="339">
        <v>21.892281000000001</v>
      </c>
      <c r="BA13" s="339">
        <v>22.32</v>
      </c>
      <c r="BB13" s="339">
        <v>7.4847999999999998E-2</v>
      </c>
      <c r="BC13" s="339">
        <v>0.08</v>
      </c>
      <c r="BD13" s="339">
        <v>61.194586000000001</v>
      </c>
      <c r="BE13" s="339">
        <v>61.21</v>
      </c>
      <c r="BF13" s="339">
        <v>9.896687</v>
      </c>
      <c r="BG13" s="339">
        <v>9.34</v>
      </c>
      <c r="BH13" s="339">
        <v>0.53053300000000003</v>
      </c>
      <c r="BI13" s="339">
        <v>0.53</v>
      </c>
      <c r="BJ13" s="464" t="s">
        <v>1296</v>
      </c>
      <c r="BK13" s="339">
        <v>84.626541000000003</v>
      </c>
      <c r="BL13" s="339">
        <v>83.94</v>
      </c>
      <c r="BM13" s="339">
        <v>0.159326</v>
      </c>
      <c r="BN13" s="339">
        <v>0.16</v>
      </c>
      <c r="BO13" s="339">
        <v>116.904573</v>
      </c>
      <c r="BP13" s="339">
        <v>117.62</v>
      </c>
      <c r="BQ13" s="339">
        <v>2.5323829999999998</v>
      </c>
      <c r="BR13" s="339">
        <v>2.5299999999999998</v>
      </c>
      <c r="BS13" s="339">
        <v>22.35247</v>
      </c>
      <c r="BT13" s="339">
        <v>22.79</v>
      </c>
      <c r="BU13" s="339">
        <v>82.100874000000005</v>
      </c>
      <c r="BV13" s="339">
        <v>83.73</v>
      </c>
      <c r="BW13" s="339">
        <v>110.612995</v>
      </c>
      <c r="BX13" s="339">
        <v>109.5</v>
      </c>
    </row>
    <row r="14" spans="1:76" s="237" customFormat="1" ht="11.45" customHeight="1" x14ac:dyDescent="0.2">
      <c r="A14" s="1847" t="s">
        <v>1404</v>
      </c>
      <c r="B14" s="1847"/>
      <c r="C14" s="1644">
        <v>60.13044</v>
      </c>
      <c r="D14" s="1644">
        <v>59.32</v>
      </c>
      <c r="E14" s="1644">
        <v>84.026285999999999</v>
      </c>
      <c r="F14" s="1644">
        <v>84.5</v>
      </c>
      <c r="G14" s="1644">
        <v>222.77708799999999</v>
      </c>
      <c r="H14" s="1644">
        <v>224.14</v>
      </c>
      <c r="I14" s="1644">
        <v>63.498502999999999</v>
      </c>
      <c r="J14" s="1644">
        <v>64.540000000000006</v>
      </c>
      <c r="K14" s="1644">
        <v>12.329136</v>
      </c>
      <c r="L14" s="1644">
        <v>12.29</v>
      </c>
      <c r="M14" s="1644">
        <v>12.848271</v>
      </c>
      <c r="N14" s="1644">
        <v>12.87</v>
      </c>
      <c r="O14" s="1644">
        <v>95.877876000000001</v>
      </c>
      <c r="P14" s="1644">
        <v>96.08</v>
      </c>
      <c r="Q14" s="1847" t="s">
        <v>1404</v>
      </c>
      <c r="R14" s="1644">
        <v>10.717393</v>
      </c>
      <c r="S14" s="1644">
        <v>10.82</v>
      </c>
      <c r="T14" s="1644">
        <v>1.1916819999999999</v>
      </c>
      <c r="U14" s="1644">
        <v>1.23</v>
      </c>
      <c r="V14" s="1644">
        <v>5.8180000000000003E-3</v>
      </c>
      <c r="W14" s="1644">
        <v>0.01</v>
      </c>
      <c r="X14" s="1644">
        <v>1.9940000000000001E-3</v>
      </c>
      <c r="Y14" s="1644">
        <v>0</v>
      </c>
      <c r="Z14" s="1644">
        <v>0.75638300000000003</v>
      </c>
      <c r="AA14" s="1644">
        <v>0.78</v>
      </c>
      <c r="AB14" s="1644">
        <v>276.78387400000003</v>
      </c>
      <c r="AC14" s="1644">
        <v>278.45999999999998</v>
      </c>
      <c r="AD14" s="1644">
        <v>20.365683000000001</v>
      </c>
      <c r="AE14" s="1644">
        <v>20.45</v>
      </c>
      <c r="AF14" s="1847" t="s">
        <v>1404</v>
      </c>
      <c r="AG14" s="1644">
        <v>5.4908999999999999E-2</v>
      </c>
      <c r="AH14" s="1644">
        <v>0.06</v>
      </c>
      <c r="AI14" s="1644">
        <v>0.738479</v>
      </c>
      <c r="AJ14" s="1644">
        <v>0.74</v>
      </c>
      <c r="AK14" s="1644">
        <v>56.357278000000001</v>
      </c>
      <c r="AL14" s="339">
        <v>56.78</v>
      </c>
      <c r="AM14" s="339">
        <v>9.9208660000000002</v>
      </c>
      <c r="AN14" s="339">
        <v>9.9</v>
      </c>
      <c r="AO14" s="339">
        <v>218.257195</v>
      </c>
      <c r="AP14" s="339">
        <v>219.48</v>
      </c>
      <c r="AQ14" s="339">
        <v>0.61963699999999999</v>
      </c>
      <c r="AR14" s="339">
        <v>0.52</v>
      </c>
      <c r="AS14" s="339">
        <v>1.5919129999999999</v>
      </c>
      <c r="AT14" s="339">
        <v>1.65</v>
      </c>
      <c r="AU14" s="491" t="s">
        <v>1404</v>
      </c>
      <c r="AV14" s="501">
        <v>23.075112000000001</v>
      </c>
      <c r="AW14" s="339">
        <v>23.21</v>
      </c>
      <c r="AX14" s="339">
        <v>1.2804949999999999</v>
      </c>
      <c r="AY14" s="339">
        <v>1.34</v>
      </c>
      <c r="AZ14" s="339">
        <v>22.402844999999999</v>
      </c>
      <c r="BA14" s="339">
        <v>22.53</v>
      </c>
      <c r="BB14" s="339">
        <v>7.4062000000000003E-2</v>
      </c>
      <c r="BC14" s="339">
        <v>7.0000000000000007E-2</v>
      </c>
      <c r="BD14" s="339">
        <v>61.545448</v>
      </c>
      <c r="BE14" s="339">
        <v>62.47</v>
      </c>
      <c r="BF14" s="339">
        <v>9.1900670000000009</v>
      </c>
      <c r="BG14" s="339">
        <v>9.1</v>
      </c>
      <c r="BH14" s="339">
        <v>0.48621799999999998</v>
      </c>
      <c r="BI14" s="339">
        <v>0.48</v>
      </c>
      <c r="BJ14" s="502" t="s">
        <v>1404</v>
      </c>
      <c r="BK14" s="339">
        <v>84.462277</v>
      </c>
      <c r="BL14" s="339">
        <v>86.56</v>
      </c>
      <c r="BM14" s="339">
        <v>0.16306300000000001</v>
      </c>
      <c r="BN14" s="339">
        <v>0.16</v>
      </c>
      <c r="BO14" s="339">
        <v>116.893812</v>
      </c>
      <c r="BP14" s="339">
        <v>117.48</v>
      </c>
      <c r="BQ14" s="339">
        <v>2.6052249999999999</v>
      </c>
      <c r="BR14" s="339">
        <v>2.75</v>
      </c>
      <c r="BS14" s="339">
        <v>22.875958000000001</v>
      </c>
      <c r="BT14" s="339">
        <v>23</v>
      </c>
      <c r="BU14" s="339">
        <v>84.026285999999999</v>
      </c>
      <c r="BV14" s="339">
        <v>84.5</v>
      </c>
      <c r="BW14" s="339">
        <v>108.79983300000001</v>
      </c>
      <c r="BX14" s="339">
        <v>107.27</v>
      </c>
    </row>
    <row r="15" spans="1:76" s="162" customFormat="1" ht="11.45" customHeight="1" x14ac:dyDescent="0.15">
      <c r="A15" s="1847" t="s">
        <v>1484</v>
      </c>
      <c r="B15" s="1847"/>
      <c r="C15" s="1643">
        <v>56.938333333333333</v>
      </c>
      <c r="D15" s="1644">
        <v>58.28</v>
      </c>
      <c r="E15" s="1643">
        <v>84.781146000000007</v>
      </c>
      <c r="F15" s="1644">
        <v>84.9</v>
      </c>
      <c r="G15" s="1643">
        <v>224.80451299999999</v>
      </c>
      <c r="H15" s="1644">
        <v>224.84</v>
      </c>
      <c r="I15" s="1644">
        <v>63.281075000000001</v>
      </c>
      <c r="J15" s="1644">
        <v>62.16</v>
      </c>
      <c r="K15" s="1643">
        <v>12.082319</v>
      </c>
      <c r="L15" s="1644">
        <v>11.99</v>
      </c>
      <c r="M15" s="1643">
        <v>12.557464</v>
      </c>
      <c r="N15" s="1644">
        <v>12.81</v>
      </c>
      <c r="O15" s="1643">
        <v>93.728005999999993</v>
      </c>
      <c r="P15" s="1644">
        <v>95.44</v>
      </c>
      <c r="Q15" s="1847" t="s">
        <v>1484</v>
      </c>
      <c r="R15" s="1644">
        <v>10.875048</v>
      </c>
      <c r="S15" s="1644">
        <v>10.95</v>
      </c>
      <c r="T15" s="1644">
        <v>1.1732959999999999</v>
      </c>
      <c r="U15" s="1644">
        <v>1.1200000000000001</v>
      </c>
      <c r="V15" s="1644">
        <v>5.947E-3</v>
      </c>
      <c r="W15" s="1644">
        <v>0.01</v>
      </c>
      <c r="X15" s="1644">
        <v>2.019E-3</v>
      </c>
      <c r="Y15" s="1644">
        <v>0</v>
      </c>
      <c r="Z15" s="1644">
        <v>0.78395800000000004</v>
      </c>
      <c r="AA15" s="1644">
        <v>0.79</v>
      </c>
      <c r="AB15" s="1644">
        <v>277.50460600000002</v>
      </c>
      <c r="AC15" s="1644">
        <v>275.87</v>
      </c>
      <c r="AD15" s="1644">
        <v>20.179838</v>
      </c>
      <c r="AE15" s="1644">
        <v>19.84</v>
      </c>
      <c r="AF15" s="1847" t="s">
        <v>1484</v>
      </c>
      <c r="AG15" s="1644">
        <v>5.7696999999999998E-2</v>
      </c>
      <c r="AH15" s="1644">
        <v>0.06</v>
      </c>
      <c r="AI15" s="1644">
        <v>0.73525200000000002</v>
      </c>
      <c r="AJ15" s="1644">
        <v>0.74</v>
      </c>
      <c r="AK15" s="1644">
        <v>54.053877999999997</v>
      </c>
      <c r="AL15" s="339">
        <v>54.51</v>
      </c>
      <c r="AM15" s="339">
        <v>9.1142979999999998</v>
      </c>
      <c r="AN15" s="339">
        <v>8.7799999999999994</v>
      </c>
      <c r="AO15" s="339">
        <v>220.280869</v>
      </c>
      <c r="AP15" s="339">
        <v>220.52</v>
      </c>
      <c r="AQ15" s="339">
        <v>0.53694600000000003</v>
      </c>
      <c r="AR15" s="339">
        <v>0.51</v>
      </c>
      <c r="AS15" s="339">
        <v>1.6620809999999999</v>
      </c>
      <c r="AT15" s="339">
        <v>1.71</v>
      </c>
      <c r="AU15" s="491" t="s">
        <v>1484</v>
      </c>
      <c r="AV15" s="501">
        <v>23.267150999999998</v>
      </c>
      <c r="AW15" s="339">
        <v>23.32</v>
      </c>
      <c r="AX15" s="339">
        <v>1.2791429999999999</v>
      </c>
      <c r="AY15" s="339">
        <v>1.21</v>
      </c>
      <c r="AZ15" s="339">
        <v>22.595566999999999</v>
      </c>
      <c r="BA15" s="339">
        <v>22.63</v>
      </c>
      <c r="BB15" s="339">
        <v>7.0989999999999998E-2</v>
      </c>
      <c r="BC15" s="339">
        <v>7.0000000000000007E-2</v>
      </c>
      <c r="BD15" s="339">
        <v>61.346919</v>
      </c>
      <c r="BE15" s="339">
        <v>60.92</v>
      </c>
      <c r="BF15" s="339">
        <v>8.8075340000000004</v>
      </c>
      <c r="BG15" s="339">
        <v>9.1</v>
      </c>
      <c r="BH15" s="339">
        <v>0.46550399999999997</v>
      </c>
      <c r="BI15" s="339">
        <v>0.46</v>
      </c>
      <c r="BJ15" s="502" t="s">
        <v>1484</v>
      </c>
      <c r="BK15" s="547">
        <v>86.748475999999997</v>
      </c>
      <c r="BL15" s="339">
        <v>89.24</v>
      </c>
      <c r="BM15" s="547">
        <v>0.180815</v>
      </c>
      <c r="BN15" s="339">
        <v>0.17</v>
      </c>
      <c r="BO15" s="547">
        <v>116.43907</v>
      </c>
      <c r="BP15" s="339">
        <v>117.14</v>
      </c>
      <c r="BQ15" s="547">
        <v>2.7366299999999999</v>
      </c>
      <c r="BR15" s="339">
        <v>2.75</v>
      </c>
      <c r="BS15" s="547">
        <v>23.081669999999999</v>
      </c>
      <c r="BT15" s="339">
        <v>23.11</v>
      </c>
      <c r="BU15" s="547">
        <v>84.781146000000007</v>
      </c>
      <c r="BV15" s="339">
        <v>84.9</v>
      </c>
      <c r="BW15" s="547">
        <v>106.809804</v>
      </c>
      <c r="BX15" s="339">
        <v>104.41</v>
      </c>
    </row>
    <row r="16" spans="1:76" s="162" customFormat="1" ht="11.45" customHeight="1" x14ac:dyDescent="0.15">
      <c r="A16" s="1847" t="s">
        <v>1536</v>
      </c>
      <c r="B16" s="1847"/>
      <c r="C16" s="1643">
        <v>63.341738999999997</v>
      </c>
      <c r="D16" s="1643">
        <v>63.71</v>
      </c>
      <c r="E16" s="1643">
        <v>84.806312000000005</v>
      </c>
      <c r="F16" s="1860">
        <v>84.81</v>
      </c>
      <c r="G16" s="1643">
        <v>224.924701</v>
      </c>
      <c r="H16" s="1860">
        <v>224.97</v>
      </c>
      <c r="I16" s="1643">
        <v>66.165549999999996</v>
      </c>
      <c r="J16" s="1643">
        <v>68.39</v>
      </c>
      <c r="K16" s="1643">
        <v>12.812291999999999</v>
      </c>
      <c r="L16" s="1643">
        <v>13.13</v>
      </c>
      <c r="M16" s="1643">
        <v>13.594389</v>
      </c>
      <c r="N16" s="1643">
        <v>13.57</v>
      </c>
      <c r="O16" s="1643">
        <v>101.153004</v>
      </c>
      <c r="P16" s="1643">
        <v>100.9</v>
      </c>
      <c r="Q16" s="1847" t="s">
        <v>1536</v>
      </c>
      <c r="R16" s="1644">
        <v>10.933994999999999</v>
      </c>
      <c r="S16" s="1644">
        <v>10.92</v>
      </c>
      <c r="T16" s="1644">
        <v>1.150649</v>
      </c>
      <c r="U16" s="1644">
        <v>1.1399999999999999</v>
      </c>
      <c r="V16" s="1644">
        <v>5.8910000000000004E-3</v>
      </c>
      <c r="W16" s="1644">
        <v>0.01</v>
      </c>
      <c r="X16" s="1644">
        <v>2.019E-3</v>
      </c>
      <c r="Y16" s="1644">
        <v>0</v>
      </c>
      <c r="Z16" s="1644">
        <v>0.79669900000000005</v>
      </c>
      <c r="AA16" s="1644">
        <v>0.77</v>
      </c>
      <c r="AB16" s="1644">
        <v>279.00494600000002</v>
      </c>
      <c r="AC16" s="1644">
        <v>281.68</v>
      </c>
      <c r="AD16" s="1644">
        <v>20.559958000000002</v>
      </c>
      <c r="AE16" s="1644">
        <v>20.420000000000002</v>
      </c>
      <c r="AF16" s="1847" t="s">
        <v>1536</v>
      </c>
      <c r="AG16" s="1644">
        <v>6.0921000000000003E-2</v>
      </c>
      <c r="AH16" s="1644">
        <v>0.05</v>
      </c>
      <c r="AI16" s="1644">
        <v>0.76285199999999997</v>
      </c>
      <c r="AJ16" s="1644">
        <v>0.77</v>
      </c>
      <c r="AK16" s="1644">
        <v>58.96931</v>
      </c>
      <c r="AL16" s="339">
        <v>59.29</v>
      </c>
      <c r="AM16" s="339">
        <v>9.6923999999999992</v>
      </c>
      <c r="AN16" s="339">
        <v>9.9</v>
      </c>
      <c r="AO16" s="339">
        <v>220.282085</v>
      </c>
      <c r="AP16" s="339">
        <v>220.29</v>
      </c>
      <c r="AQ16" s="339">
        <v>0.52952200000000005</v>
      </c>
      <c r="AR16" s="339">
        <v>0.54</v>
      </c>
      <c r="AS16" s="339">
        <v>1.751452</v>
      </c>
      <c r="AT16" s="339">
        <v>1.74</v>
      </c>
      <c r="AU16" s="491" t="s">
        <v>1536</v>
      </c>
      <c r="AV16" s="501">
        <v>23.249677999999999</v>
      </c>
      <c r="AW16" s="339">
        <v>22.91</v>
      </c>
      <c r="AX16" s="339">
        <v>1.13683</v>
      </c>
      <c r="AY16" s="339">
        <v>1.1599999999999999</v>
      </c>
      <c r="AZ16" s="339">
        <v>22.610361999999999</v>
      </c>
      <c r="BA16" s="339">
        <v>22.61</v>
      </c>
      <c r="BB16" s="339">
        <v>7.4756000000000003E-2</v>
      </c>
      <c r="BC16" s="339">
        <v>0.08</v>
      </c>
      <c r="BD16" s="339">
        <v>62.987192999999998</v>
      </c>
      <c r="BE16" s="339">
        <v>63.04</v>
      </c>
      <c r="BF16" s="339">
        <v>9.8980940000000004</v>
      </c>
      <c r="BG16" s="339">
        <v>9.9499999999999993</v>
      </c>
      <c r="BH16" s="339">
        <v>0.44517299999999999</v>
      </c>
      <c r="BI16" s="339">
        <v>0.43</v>
      </c>
      <c r="BJ16" s="491" t="s">
        <v>1536</v>
      </c>
      <c r="BK16" s="547">
        <v>93.197113000000002</v>
      </c>
      <c r="BL16" s="339">
        <v>92.11</v>
      </c>
      <c r="BM16" s="547">
        <v>6.0878000000000002E-2</v>
      </c>
      <c r="BN16" s="339">
        <v>0.03</v>
      </c>
      <c r="BO16" s="547">
        <v>120.843248</v>
      </c>
      <c r="BP16" s="339">
        <v>121.01</v>
      </c>
      <c r="BQ16" s="547">
        <v>2.7461980000000001</v>
      </c>
      <c r="BR16" s="339">
        <v>2.65</v>
      </c>
      <c r="BS16" s="547">
        <v>23.088276</v>
      </c>
      <c r="BT16" s="339">
        <v>23.09</v>
      </c>
      <c r="BU16" s="547">
        <v>84.806312000000005</v>
      </c>
      <c r="BV16" s="339">
        <v>84.81</v>
      </c>
      <c r="BW16" s="547">
        <v>114.20348300000001</v>
      </c>
      <c r="BX16" s="339">
        <v>117.36</v>
      </c>
    </row>
    <row r="17" spans="1:76" s="162" customFormat="1" ht="11.45" customHeight="1" x14ac:dyDescent="0.15">
      <c r="A17" s="1847" t="s">
        <v>1817</v>
      </c>
      <c r="B17" s="1847"/>
      <c r="C17" s="1643">
        <v>62.632107885953701</v>
      </c>
      <c r="D17" s="1643">
        <v>64.312288642109806</v>
      </c>
      <c r="E17" s="1643">
        <v>86.300625801282095</v>
      </c>
      <c r="F17" s="1860">
        <v>93.45</v>
      </c>
      <c r="G17" s="1643">
        <v>228.90339795048399</v>
      </c>
      <c r="H17" s="1643">
        <v>247.87798408488101</v>
      </c>
      <c r="I17" s="1643">
        <v>68.192807053052405</v>
      </c>
      <c r="J17" s="1643">
        <v>72.4811913441402</v>
      </c>
      <c r="K17" s="1643">
        <v>13.3677632698337</v>
      </c>
      <c r="L17" s="1643">
        <v>13.924069493697299</v>
      </c>
      <c r="M17" s="1643">
        <v>13.0828722420963</v>
      </c>
      <c r="N17" s="1643">
        <v>13.1145010314776</v>
      </c>
      <c r="O17" s="1643">
        <v>97.316128944854796</v>
      </c>
      <c r="P17" s="1643">
        <v>97.571141419883105</v>
      </c>
      <c r="Q17" s="1847" t="s">
        <v>1817</v>
      </c>
      <c r="R17" s="1644">
        <v>11.057872111094801</v>
      </c>
      <c r="S17" s="1644">
        <v>11.909465125466699</v>
      </c>
      <c r="T17" s="1644">
        <v>1.1454707387132601</v>
      </c>
      <c r="U17" s="1644">
        <v>1.1837355120653601</v>
      </c>
      <c r="V17" s="1644">
        <v>5.9986516404194898E-3</v>
      </c>
      <c r="W17" s="1644">
        <v>6.2791869645556896E-3</v>
      </c>
      <c r="X17" s="1644">
        <v>2.0547768047924301E-3</v>
      </c>
      <c r="Y17" s="1644">
        <v>2.225E-3</v>
      </c>
      <c r="Z17" s="1644">
        <v>0.73792922776657999</v>
      </c>
      <c r="AA17" s="1644">
        <v>0.68413924374977098</v>
      </c>
      <c r="AB17" s="1644">
        <v>284.79494477316598</v>
      </c>
      <c r="AC17" s="1644">
        <v>304.59582790091298</v>
      </c>
      <c r="AD17" s="1644">
        <v>20.4044480830926</v>
      </c>
      <c r="AE17" s="1644">
        <v>21.209714026327699</v>
      </c>
      <c r="AF17" s="1847" t="s">
        <v>1817</v>
      </c>
      <c r="AG17" s="1644">
        <v>4.8513262948088498E-2</v>
      </c>
      <c r="AH17" s="1644">
        <v>5.0472589792060499E-2</v>
      </c>
      <c r="AI17" s="1644">
        <v>0.75722637675896198</v>
      </c>
      <c r="AJ17" s="1644">
        <v>0.78847119274724597</v>
      </c>
      <c r="AK17" s="1644">
        <v>58.7731230587749</v>
      </c>
      <c r="AL17" s="339">
        <v>58.102537124246098</v>
      </c>
      <c r="AM17" s="339">
        <v>9.6705436584064195</v>
      </c>
      <c r="AN17" s="339">
        <v>9.4238303408007997</v>
      </c>
      <c r="AO17" s="339">
        <v>224.15752312170301</v>
      </c>
      <c r="AP17" s="339">
        <v>242.727272727273</v>
      </c>
      <c r="AQ17" s="339">
        <v>0.48789368554130003</v>
      </c>
      <c r="AR17" s="339">
        <v>0.45752753977968202</v>
      </c>
      <c r="AS17" s="339">
        <v>1.68568591537709</v>
      </c>
      <c r="AT17" s="339">
        <v>1.7028061224489801</v>
      </c>
      <c r="AU17" s="491" t="s">
        <v>1817</v>
      </c>
      <c r="AV17" s="501">
        <v>23.6001978973406</v>
      </c>
      <c r="AW17" s="339">
        <v>25.511875511875498</v>
      </c>
      <c r="AX17" s="339">
        <v>1.1694251333424299</v>
      </c>
      <c r="AY17" s="339">
        <v>1.7690487458589701</v>
      </c>
      <c r="AZ17" s="339">
        <v>23.005250020056899</v>
      </c>
      <c r="BA17" s="339">
        <v>24.906052610538101</v>
      </c>
      <c r="BB17" s="339">
        <v>7.18486640819683E-2</v>
      </c>
      <c r="BC17" s="339">
        <v>7.1928879310344807E-2</v>
      </c>
      <c r="BD17" s="339">
        <v>63.469752162503802</v>
      </c>
      <c r="BE17" s="339">
        <v>67.0493273542601</v>
      </c>
      <c r="BF17" s="339">
        <v>9.4821334587212203</v>
      </c>
      <c r="BG17" s="339">
        <v>9.1328886608517195</v>
      </c>
      <c r="BH17" s="339">
        <v>0.37657004942998001</v>
      </c>
      <c r="BI17" s="339">
        <v>0.25886426592797801</v>
      </c>
      <c r="BJ17" s="491" t="s">
        <v>1817</v>
      </c>
      <c r="BK17" s="547">
        <v>92.631618793016997</v>
      </c>
      <c r="BL17" s="339">
        <v>97.827793771264098</v>
      </c>
      <c r="BM17" s="547">
        <v>3.43529430421185E-2</v>
      </c>
      <c r="BN17" s="339">
        <v>3.7194029850746303E-2</v>
      </c>
      <c r="BO17" s="547">
        <v>120.167964158673</v>
      </c>
      <c r="BP17" s="339">
        <v>124.08710662594601</v>
      </c>
      <c r="BQ17" s="547">
        <v>2.5815933240538902</v>
      </c>
      <c r="BR17" s="339">
        <v>2.6476838079048002</v>
      </c>
      <c r="BS17" s="547">
        <v>23.495424609959599</v>
      </c>
      <c r="BT17" s="339">
        <v>25.441724973455699</v>
      </c>
      <c r="BU17" s="547">
        <v>86.300625801282095</v>
      </c>
      <c r="BV17" s="339">
        <v>93.45</v>
      </c>
      <c r="BW17" s="547">
        <v>114.891880227879</v>
      </c>
      <c r="BX17" s="339">
        <v>113.326811917622</v>
      </c>
    </row>
    <row r="18" spans="1:76" s="162" customFormat="1" ht="11.45" customHeight="1" x14ac:dyDescent="0.15">
      <c r="A18" s="1848" t="s">
        <v>2066</v>
      </c>
      <c r="B18" s="1848"/>
      <c r="C18" s="1850">
        <v>66.962726434477901</v>
      </c>
      <c r="D18" s="1850">
        <v>70.786798412698403</v>
      </c>
      <c r="E18" s="1850">
        <v>99.457405033238302</v>
      </c>
      <c r="F18" s="1850">
        <v>106</v>
      </c>
      <c r="G18" s="1850">
        <v>263.790933102991</v>
      </c>
      <c r="H18" s="1850">
        <v>281.16710875331597</v>
      </c>
      <c r="I18" s="1850">
        <v>74.260788473910196</v>
      </c>
      <c r="J18" s="1850">
        <v>80.403534721432095</v>
      </c>
      <c r="K18" s="1850">
        <v>14.3315080422354</v>
      </c>
      <c r="L18" s="1850">
        <v>14.7107805040524</v>
      </c>
      <c r="M18" s="1850">
        <v>14.0118337590119</v>
      </c>
      <c r="N18" s="1850">
        <v>15.507505047254</v>
      </c>
      <c r="O18" s="1850">
        <v>104.284585209852</v>
      </c>
      <c r="P18" s="1850">
        <v>115.444596106877</v>
      </c>
      <c r="Q18" s="1848" t="s">
        <v>2066</v>
      </c>
      <c r="R18" s="1849">
        <v>12.6905904001521</v>
      </c>
      <c r="S18" s="1850">
        <v>13.537762054674699</v>
      </c>
      <c r="T18" s="1849">
        <v>1.21949019522715</v>
      </c>
      <c r="U18" s="1850">
        <v>1.29291943648228</v>
      </c>
      <c r="V18" s="1849">
        <v>6.5674701106130402E-3</v>
      </c>
      <c r="W18" s="1850">
        <v>7.0537348194975903E-3</v>
      </c>
      <c r="X18" s="1849">
        <v>2.3679287805333199E-3</v>
      </c>
      <c r="Y18" s="1850">
        <v>2.5236593059936902E-3</v>
      </c>
      <c r="Z18" s="1849">
        <v>0.72529589117079796</v>
      </c>
      <c r="AA18" s="1850">
        <v>0.73767354466056601</v>
      </c>
      <c r="AB18" s="1849">
        <v>323.64031586335</v>
      </c>
      <c r="AC18" s="1850">
        <v>344.77150756220499</v>
      </c>
      <c r="AD18" s="1849">
        <v>22.156097467835</v>
      </c>
      <c r="AE18" s="1850">
        <v>22.627815135019699</v>
      </c>
      <c r="AF18" s="1848" t="s">
        <v>2066</v>
      </c>
      <c r="AG18" s="1849">
        <v>4.8009859112513299E-2</v>
      </c>
      <c r="AH18" s="1850">
        <v>5.0476190476190501E-2</v>
      </c>
      <c r="AI18" s="1849">
        <v>0.83168799222397405</v>
      </c>
      <c r="AJ18" s="1850">
        <v>0.89241890143233205</v>
      </c>
      <c r="AK18" s="1849">
        <v>61.334728638673099</v>
      </c>
      <c r="AL18" s="621">
        <v>65.105193096711204</v>
      </c>
      <c r="AM18" s="561">
        <v>9.6828386732266605</v>
      </c>
      <c r="AN18" s="621">
        <v>9.7922382654805098</v>
      </c>
      <c r="AO18" s="561">
        <v>258.33117304075</v>
      </c>
      <c r="AP18" s="621">
        <v>275.32467532467501</v>
      </c>
      <c r="AQ18" s="561">
        <v>0.40540064524465602</v>
      </c>
      <c r="AR18" s="621">
        <v>0.36949891067538099</v>
      </c>
      <c r="AS18" s="561">
        <v>1.77552705814055</v>
      </c>
      <c r="AT18" s="621">
        <v>1.9013452914798199</v>
      </c>
      <c r="AU18" s="513" t="s">
        <v>2066</v>
      </c>
      <c r="AV18" s="497">
        <v>27.1894410334999</v>
      </c>
      <c r="AW18" s="621">
        <v>29.0960994757212</v>
      </c>
      <c r="AX18" s="561">
        <v>1.4556590647005301</v>
      </c>
      <c r="AY18" s="621">
        <v>1.26718469814704</v>
      </c>
      <c r="AZ18" s="561">
        <v>26.4846636399181</v>
      </c>
      <c r="BA18" s="621">
        <v>28.2583775425875</v>
      </c>
      <c r="BB18" s="561">
        <v>7.5355456564335399E-2</v>
      </c>
      <c r="BC18" s="621">
        <v>8.1377896688457005E-2</v>
      </c>
      <c r="BD18" s="561">
        <v>72.992704996318196</v>
      </c>
      <c r="BE18" s="621">
        <v>78.405266466955098</v>
      </c>
      <c r="BF18" s="561">
        <v>9.4282679094709891</v>
      </c>
      <c r="BG18" s="621">
        <v>9.9008976191143407</v>
      </c>
      <c r="BH18" s="561">
        <v>0.28801197172235798</v>
      </c>
      <c r="BI18" s="621">
        <v>0.34527687296416898</v>
      </c>
      <c r="BJ18" s="513" t="s">
        <v>2066</v>
      </c>
      <c r="BK18" s="621">
        <v>106.17056906989799</v>
      </c>
      <c r="BL18" s="621">
        <v>118.11242966182</v>
      </c>
      <c r="BM18" s="621">
        <v>3.9590655314694898E-2</v>
      </c>
      <c r="BN18" s="621">
        <v>4.2189054726368198E-2</v>
      </c>
      <c r="BO18" s="621">
        <v>131.65247142856401</v>
      </c>
      <c r="BP18" s="621">
        <v>141.38988928904899</v>
      </c>
      <c r="BQ18" s="621">
        <v>2.82572198213329</v>
      </c>
      <c r="BR18" s="621">
        <v>3.0100809314212702</v>
      </c>
      <c r="BS18" s="621">
        <v>27.077377690671</v>
      </c>
      <c r="BT18" s="621">
        <v>28.860028860028901</v>
      </c>
      <c r="BU18" s="621">
        <v>99.457405033238302</v>
      </c>
      <c r="BV18" s="621">
        <v>106</v>
      </c>
      <c r="BW18" s="621">
        <v>119.88750660689399</v>
      </c>
      <c r="BX18" s="621">
        <v>134.75249812389399</v>
      </c>
    </row>
    <row r="19" spans="1:76" s="1284" customFormat="1" ht="11.45" customHeight="1" x14ac:dyDescent="0.15">
      <c r="A19" s="1848"/>
      <c r="B19" s="1848"/>
      <c r="C19" s="1850"/>
      <c r="D19" s="1850"/>
      <c r="E19" s="1850"/>
      <c r="F19" s="1850"/>
      <c r="G19" s="1850"/>
      <c r="H19" s="1850"/>
      <c r="I19" s="1850"/>
      <c r="J19" s="1850"/>
      <c r="K19" s="1850"/>
      <c r="L19" s="1850"/>
      <c r="M19" s="1850"/>
      <c r="N19" s="1850"/>
      <c r="O19" s="1850"/>
      <c r="P19" s="1850"/>
      <c r="Q19" s="1848"/>
      <c r="R19" s="1849"/>
      <c r="S19" s="1849"/>
      <c r="T19" s="1849"/>
      <c r="U19" s="1849"/>
      <c r="V19" s="1849"/>
      <c r="W19" s="1849"/>
      <c r="X19" s="1849"/>
      <c r="Y19" s="1849"/>
      <c r="Z19" s="1849"/>
      <c r="AA19" s="1849"/>
      <c r="AB19" s="1849"/>
      <c r="AC19" s="1849"/>
      <c r="AD19" s="1849"/>
      <c r="AE19" s="1849"/>
      <c r="AF19" s="1848"/>
      <c r="AG19" s="1849"/>
      <c r="AH19" s="1849"/>
      <c r="AI19" s="1849"/>
      <c r="AJ19" s="1849"/>
      <c r="AK19" s="1849"/>
      <c r="AL19" s="561"/>
      <c r="AM19" s="561"/>
      <c r="AN19" s="561"/>
      <c r="AO19" s="561"/>
      <c r="AP19" s="561"/>
      <c r="AQ19" s="561"/>
      <c r="AR19" s="561"/>
      <c r="AS19" s="561"/>
      <c r="AT19" s="561"/>
      <c r="AU19" s="513"/>
      <c r="AV19" s="497"/>
      <c r="AW19" s="561"/>
      <c r="AX19" s="561"/>
      <c r="AY19" s="561"/>
      <c r="AZ19" s="561"/>
      <c r="BA19" s="561"/>
      <c r="BB19" s="561"/>
      <c r="BC19" s="561"/>
      <c r="BD19" s="561"/>
      <c r="BE19" s="561"/>
      <c r="BF19" s="561"/>
      <c r="BG19" s="561"/>
      <c r="BH19" s="561"/>
      <c r="BI19" s="561"/>
      <c r="BJ19" s="513"/>
      <c r="BK19" s="621"/>
      <c r="BL19" s="621"/>
      <c r="BM19" s="621"/>
      <c r="BN19" s="621"/>
      <c r="BO19" s="621"/>
      <c r="BP19" s="621"/>
      <c r="BQ19" s="621"/>
      <c r="BR19" s="621"/>
      <c r="BS19" s="621"/>
      <c r="BT19" s="621"/>
      <c r="BU19" s="621"/>
      <c r="BV19" s="621"/>
      <c r="BW19" s="621"/>
      <c r="BX19" s="621"/>
    </row>
    <row r="20" spans="1:76" s="1284" customFormat="1" ht="11.45" customHeight="1" x14ac:dyDescent="0.15">
      <c r="A20" s="1848"/>
      <c r="B20" s="1848"/>
      <c r="C20" s="1850"/>
      <c r="D20" s="1850"/>
      <c r="E20" s="1850"/>
      <c r="F20" s="1850"/>
      <c r="G20" s="1850"/>
      <c r="H20" s="1850"/>
      <c r="I20" s="1850"/>
      <c r="J20" s="1850"/>
      <c r="K20" s="1850"/>
      <c r="L20" s="1850"/>
      <c r="M20" s="1850"/>
      <c r="N20" s="1850"/>
      <c r="O20" s="1850"/>
      <c r="P20" s="1850"/>
      <c r="Q20" s="1848"/>
      <c r="R20" s="1849"/>
      <c r="S20" s="1849"/>
      <c r="T20" s="1849"/>
      <c r="U20" s="1849"/>
      <c r="V20" s="1849"/>
      <c r="W20" s="1849"/>
      <c r="X20" s="1849"/>
      <c r="Y20" s="1849"/>
      <c r="Z20" s="1849"/>
      <c r="AA20" s="1849"/>
      <c r="AB20" s="1849"/>
      <c r="AC20" s="1849"/>
      <c r="AD20" s="1849"/>
      <c r="AE20" s="1849"/>
      <c r="AF20" s="1848"/>
      <c r="AG20" s="1849"/>
      <c r="AH20" s="1849"/>
      <c r="AI20" s="1849"/>
      <c r="AJ20" s="1849"/>
      <c r="AK20" s="1849"/>
      <c r="AL20" s="561"/>
      <c r="AM20" s="561"/>
      <c r="AN20" s="561"/>
      <c r="AO20" s="561"/>
      <c r="AP20" s="561"/>
      <c r="AQ20" s="561"/>
      <c r="AR20" s="561"/>
      <c r="AS20" s="561"/>
      <c r="AT20" s="561"/>
      <c r="AU20" s="513"/>
      <c r="AV20" s="497"/>
      <c r="AW20" s="561"/>
      <c r="AX20" s="561"/>
      <c r="AY20" s="561"/>
      <c r="AZ20" s="561"/>
      <c r="BA20" s="561"/>
      <c r="BB20" s="561"/>
      <c r="BC20" s="561"/>
      <c r="BD20" s="561"/>
      <c r="BE20" s="561"/>
      <c r="BF20" s="561"/>
      <c r="BG20" s="561"/>
      <c r="BH20" s="561"/>
      <c r="BI20" s="561"/>
      <c r="BJ20" s="513"/>
      <c r="BK20" s="621"/>
      <c r="BL20" s="621"/>
      <c r="BM20" s="621"/>
      <c r="BN20" s="621"/>
      <c r="BO20" s="621"/>
      <c r="BP20" s="621"/>
      <c r="BQ20" s="621"/>
      <c r="BR20" s="621"/>
      <c r="BS20" s="621"/>
      <c r="BT20" s="621"/>
      <c r="BU20" s="621"/>
      <c r="BV20" s="621"/>
      <c r="BW20" s="621"/>
      <c r="BX20" s="621"/>
    </row>
    <row r="21" spans="1:76" s="1284" customFormat="1" ht="11.45" customHeight="1" x14ac:dyDescent="0.15">
      <c r="A21" s="1848"/>
      <c r="B21" s="1848"/>
      <c r="C21" s="1850"/>
      <c r="D21" s="1850"/>
      <c r="E21" s="1850"/>
      <c r="F21" s="1850"/>
      <c r="G21" s="1850"/>
      <c r="H21" s="1850"/>
      <c r="I21" s="1850"/>
      <c r="J21" s="1850"/>
      <c r="K21" s="1850"/>
      <c r="L21" s="1850"/>
      <c r="M21" s="1850"/>
      <c r="N21" s="1850"/>
      <c r="O21" s="1850"/>
      <c r="P21" s="1850"/>
      <c r="Q21" s="1848"/>
      <c r="R21" s="1849"/>
      <c r="S21" s="1849"/>
      <c r="T21" s="1849"/>
      <c r="U21" s="1849"/>
      <c r="V21" s="1849"/>
      <c r="W21" s="1849"/>
      <c r="X21" s="1849"/>
      <c r="Y21" s="1849"/>
      <c r="Z21" s="1849"/>
      <c r="AA21" s="1849"/>
      <c r="AB21" s="1849"/>
      <c r="AC21" s="1849"/>
      <c r="AD21" s="1849"/>
      <c r="AE21" s="1849"/>
      <c r="AF21" s="1848"/>
      <c r="AG21" s="1849"/>
      <c r="AH21" s="1849"/>
      <c r="AI21" s="1849"/>
      <c r="AJ21" s="1849"/>
      <c r="AK21" s="1849"/>
      <c r="AL21" s="561"/>
      <c r="AM21" s="561"/>
      <c r="AN21" s="561"/>
      <c r="AO21" s="561"/>
      <c r="AP21" s="561"/>
      <c r="AQ21" s="561"/>
      <c r="AR21" s="561"/>
      <c r="AS21" s="561"/>
      <c r="AT21" s="561"/>
      <c r="AU21" s="513"/>
      <c r="AV21" s="497"/>
      <c r="AW21" s="561"/>
      <c r="AX21" s="561"/>
      <c r="AY21" s="561"/>
      <c r="AZ21" s="561"/>
      <c r="BA21" s="561"/>
      <c r="BB21" s="561"/>
      <c r="BC21" s="561"/>
      <c r="BD21" s="561"/>
      <c r="BE21" s="561"/>
      <c r="BF21" s="561"/>
      <c r="BG21" s="561"/>
      <c r="BH21" s="561"/>
      <c r="BI21" s="561"/>
      <c r="BJ21" s="513"/>
      <c r="BK21" s="621"/>
      <c r="BL21" s="621"/>
      <c r="BM21" s="621"/>
      <c r="BN21" s="621"/>
      <c r="BO21" s="621"/>
      <c r="BP21" s="621"/>
      <c r="BQ21" s="621"/>
      <c r="BR21" s="621"/>
      <c r="BS21" s="621"/>
      <c r="BT21" s="621"/>
      <c r="BU21" s="621"/>
      <c r="BV21" s="621"/>
      <c r="BW21" s="621"/>
      <c r="BX21" s="621"/>
    </row>
    <row r="22" spans="1:76" s="1284" customFormat="1" ht="11.45" customHeight="1" x14ac:dyDescent="0.15">
      <c r="A22" s="1848"/>
      <c r="B22" s="1848"/>
      <c r="C22" s="1850"/>
      <c r="D22" s="1850"/>
      <c r="E22" s="1850"/>
      <c r="F22" s="1850"/>
      <c r="G22" s="1850"/>
      <c r="H22" s="1850"/>
      <c r="I22" s="1850"/>
      <c r="J22" s="1850"/>
      <c r="K22" s="1850"/>
      <c r="L22" s="1850"/>
      <c r="M22" s="1850"/>
      <c r="N22" s="1850"/>
      <c r="O22" s="1850"/>
      <c r="P22" s="1850"/>
      <c r="Q22" s="1848"/>
      <c r="R22" s="1849"/>
      <c r="S22" s="1849"/>
      <c r="T22" s="1849"/>
      <c r="U22" s="1849"/>
      <c r="V22" s="1849"/>
      <c r="W22" s="1849"/>
      <c r="X22" s="1849"/>
      <c r="Y22" s="1849"/>
      <c r="Z22" s="1849"/>
      <c r="AA22" s="1849"/>
      <c r="AB22" s="1849"/>
      <c r="AC22" s="1849"/>
      <c r="AD22" s="1849"/>
      <c r="AE22" s="1849"/>
      <c r="AF22" s="1848"/>
      <c r="AG22" s="1849"/>
      <c r="AH22" s="1849"/>
      <c r="AI22" s="1849"/>
      <c r="AJ22" s="1849"/>
      <c r="AK22" s="1849"/>
      <c r="AL22" s="561"/>
      <c r="AM22" s="561"/>
      <c r="AN22" s="561"/>
      <c r="AO22" s="561"/>
      <c r="AP22" s="561"/>
      <c r="AQ22" s="561"/>
      <c r="AR22" s="561"/>
      <c r="AS22" s="561"/>
      <c r="AT22" s="561"/>
      <c r="AU22" s="513"/>
      <c r="AV22" s="497"/>
      <c r="AW22" s="561"/>
      <c r="AX22" s="561"/>
      <c r="AY22" s="561"/>
      <c r="AZ22" s="561"/>
      <c r="BA22" s="561"/>
      <c r="BB22" s="561"/>
      <c r="BC22" s="561"/>
      <c r="BD22" s="561"/>
      <c r="BE22" s="561"/>
      <c r="BF22" s="561"/>
      <c r="BG22" s="561"/>
      <c r="BH22" s="561"/>
      <c r="BI22" s="561"/>
      <c r="BJ22" s="513"/>
      <c r="BK22" s="621"/>
      <c r="BL22" s="621"/>
      <c r="BM22" s="621"/>
      <c r="BN22" s="621"/>
      <c r="BO22" s="621"/>
      <c r="BP22" s="621"/>
      <c r="BQ22" s="621"/>
      <c r="BR22" s="621"/>
      <c r="BS22" s="621"/>
      <c r="BT22" s="621"/>
      <c r="BU22" s="621"/>
      <c r="BV22" s="621"/>
      <c r="BW22" s="621"/>
      <c r="BX22" s="621"/>
    </row>
    <row r="23" spans="1:76" s="1284" customFormat="1" ht="11.45" customHeight="1" x14ac:dyDescent="0.15">
      <c r="A23" s="1848"/>
      <c r="B23" s="1848"/>
      <c r="C23" s="1850"/>
      <c r="D23" s="1850"/>
      <c r="E23" s="1850"/>
      <c r="F23" s="1850"/>
      <c r="G23" s="1850"/>
      <c r="H23" s="1850"/>
      <c r="I23" s="1850"/>
      <c r="J23" s="1850"/>
      <c r="K23" s="1850"/>
      <c r="L23" s="1850"/>
      <c r="M23" s="1850"/>
      <c r="N23" s="1850"/>
      <c r="O23" s="1850"/>
      <c r="P23" s="1850"/>
      <c r="Q23" s="1848"/>
      <c r="R23" s="1849"/>
      <c r="S23" s="1849"/>
      <c r="T23" s="1849"/>
      <c r="U23" s="1849"/>
      <c r="V23" s="1849"/>
      <c r="W23" s="1849"/>
      <c r="X23" s="1849"/>
      <c r="Y23" s="1849"/>
      <c r="Z23" s="1849"/>
      <c r="AA23" s="1849"/>
      <c r="AB23" s="1849"/>
      <c r="AC23" s="1849"/>
      <c r="AD23" s="1849"/>
      <c r="AE23" s="1849"/>
      <c r="AF23" s="1848"/>
      <c r="AG23" s="1849"/>
      <c r="AH23" s="1849"/>
      <c r="AI23" s="1849"/>
      <c r="AJ23" s="1849"/>
      <c r="AK23" s="1849"/>
      <c r="AL23" s="561"/>
      <c r="AM23" s="561"/>
      <c r="AN23" s="561"/>
      <c r="AO23" s="561"/>
      <c r="AP23" s="561"/>
      <c r="AQ23" s="561"/>
      <c r="AR23" s="561"/>
      <c r="AS23" s="561"/>
      <c r="AT23" s="561"/>
      <c r="AU23" s="513"/>
      <c r="AV23" s="497"/>
      <c r="AW23" s="561"/>
      <c r="AX23" s="561"/>
      <c r="AY23" s="561"/>
      <c r="AZ23" s="561"/>
      <c r="BA23" s="561"/>
      <c r="BB23" s="561"/>
      <c r="BC23" s="561"/>
      <c r="BD23" s="561"/>
      <c r="BE23" s="561"/>
      <c r="BF23" s="561"/>
      <c r="BG23" s="561"/>
      <c r="BH23" s="561"/>
      <c r="BI23" s="561"/>
      <c r="BJ23" s="513"/>
      <c r="BK23" s="621"/>
      <c r="BL23" s="621"/>
      <c r="BM23" s="621"/>
      <c r="BN23" s="621"/>
      <c r="BO23" s="621"/>
      <c r="BP23" s="621"/>
      <c r="BQ23" s="621"/>
      <c r="BR23" s="621"/>
      <c r="BS23" s="621"/>
      <c r="BT23" s="621"/>
      <c r="BU23" s="621"/>
      <c r="BV23" s="621"/>
      <c r="BW23" s="621"/>
      <c r="BX23" s="621"/>
    </row>
    <row r="24" spans="1:76" s="1284" customFormat="1" ht="11.45" customHeight="1" x14ac:dyDescent="0.15">
      <c r="A24" s="1848"/>
      <c r="B24" s="1848"/>
      <c r="C24" s="1850"/>
      <c r="D24" s="1850"/>
      <c r="E24" s="1850"/>
      <c r="F24" s="1850"/>
      <c r="G24" s="1850"/>
      <c r="H24" s="1850"/>
      <c r="I24" s="1850"/>
      <c r="J24" s="1850"/>
      <c r="K24" s="1850"/>
      <c r="L24" s="1850"/>
      <c r="M24" s="1850"/>
      <c r="N24" s="1850"/>
      <c r="O24" s="1850"/>
      <c r="P24" s="1850"/>
      <c r="Q24" s="1848"/>
      <c r="R24" s="1849"/>
      <c r="S24" s="1849"/>
      <c r="T24" s="1849"/>
      <c r="U24" s="1849"/>
      <c r="V24" s="1849"/>
      <c r="W24" s="1849"/>
      <c r="X24" s="1849"/>
      <c r="Y24" s="1849"/>
      <c r="Z24" s="1849"/>
      <c r="AA24" s="1849"/>
      <c r="AB24" s="1849"/>
      <c r="AC24" s="1849"/>
      <c r="AD24" s="1849"/>
      <c r="AE24" s="1849"/>
      <c r="AF24" s="1848"/>
      <c r="AG24" s="1849"/>
      <c r="AH24" s="1849"/>
      <c r="AI24" s="1849"/>
      <c r="AJ24" s="1849"/>
      <c r="AK24" s="1849"/>
      <c r="AL24" s="561"/>
      <c r="AM24" s="561"/>
      <c r="AN24" s="561"/>
      <c r="AO24" s="561"/>
      <c r="AP24" s="561"/>
      <c r="AQ24" s="561"/>
      <c r="AR24" s="561"/>
      <c r="AS24" s="561"/>
      <c r="AT24" s="561"/>
      <c r="AU24" s="513"/>
      <c r="AV24" s="497"/>
      <c r="AW24" s="561"/>
      <c r="AX24" s="561"/>
      <c r="AY24" s="561"/>
      <c r="AZ24" s="561"/>
      <c r="BA24" s="561"/>
      <c r="BB24" s="561"/>
      <c r="BC24" s="561"/>
      <c r="BD24" s="561"/>
      <c r="BE24" s="561"/>
      <c r="BF24" s="561"/>
      <c r="BG24" s="561"/>
      <c r="BH24" s="561"/>
      <c r="BI24" s="561"/>
      <c r="BJ24" s="513"/>
      <c r="BK24" s="621"/>
      <c r="BL24" s="621"/>
      <c r="BM24" s="621"/>
      <c r="BN24" s="621"/>
      <c r="BO24" s="621"/>
      <c r="BP24" s="621"/>
      <c r="BQ24" s="621"/>
      <c r="BR24" s="621"/>
      <c r="BS24" s="621"/>
      <c r="BT24" s="621"/>
      <c r="BU24" s="621"/>
      <c r="BV24" s="621"/>
      <c r="BW24" s="621"/>
      <c r="BX24" s="621"/>
    </row>
    <row r="25" spans="1:76" s="1284" customFormat="1" ht="11.45" customHeight="1" x14ac:dyDescent="0.15">
      <c r="A25" s="1848"/>
      <c r="B25" s="1848"/>
      <c r="C25" s="1850"/>
      <c r="D25" s="1850"/>
      <c r="E25" s="1850"/>
      <c r="F25" s="1850"/>
      <c r="G25" s="1850"/>
      <c r="H25" s="1850"/>
      <c r="I25" s="1850"/>
      <c r="J25" s="1850"/>
      <c r="K25" s="1850"/>
      <c r="L25" s="1850"/>
      <c r="M25" s="1850"/>
      <c r="N25" s="1850"/>
      <c r="O25" s="1850"/>
      <c r="P25" s="1850"/>
      <c r="Q25" s="1848"/>
      <c r="R25" s="1849"/>
      <c r="S25" s="1849"/>
      <c r="T25" s="1849"/>
      <c r="U25" s="1849"/>
      <c r="V25" s="1849"/>
      <c r="W25" s="1849"/>
      <c r="X25" s="1849"/>
      <c r="Y25" s="1849"/>
      <c r="Z25" s="1849"/>
      <c r="AA25" s="1849"/>
      <c r="AB25" s="1849"/>
      <c r="AC25" s="1849"/>
      <c r="AD25" s="1849"/>
      <c r="AE25" s="1849"/>
      <c r="AF25" s="1848"/>
      <c r="AG25" s="1849"/>
      <c r="AH25" s="1849"/>
      <c r="AI25" s="1849"/>
      <c r="AJ25" s="1849"/>
      <c r="AK25" s="1849"/>
      <c r="AL25" s="561"/>
      <c r="AM25" s="561"/>
      <c r="AN25" s="561"/>
      <c r="AO25" s="561"/>
      <c r="AP25" s="561"/>
      <c r="AQ25" s="561"/>
      <c r="AR25" s="561"/>
      <c r="AS25" s="561"/>
      <c r="AT25" s="561"/>
      <c r="AU25" s="513"/>
      <c r="AV25" s="497"/>
      <c r="AW25" s="561"/>
      <c r="AX25" s="561"/>
      <c r="AY25" s="561"/>
      <c r="AZ25" s="561"/>
      <c r="BA25" s="561"/>
      <c r="BB25" s="561"/>
      <c r="BC25" s="561"/>
      <c r="BD25" s="561"/>
      <c r="BE25" s="561"/>
      <c r="BF25" s="561"/>
      <c r="BG25" s="561"/>
      <c r="BH25" s="561"/>
      <c r="BI25" s="561"/>
      <c r="BJ25" s="513"/>
      <c r="BK25" s="621"/>
      <c r="BL25" s="621"/>
      <c r="BM25" s="621"/>
      <c r="BN25" s="621"/>
      <c r="BO25" s="621"/>
      <c r="BP25" s="621"/>
      <c r="BQ25" s="621"/>
      <c r="BR25" s="621"/>
      <c r="BS25" s="621"/>
      <c r="BT25" s="621"/>
      <c r="BU25" s="621"/>
      <c r="BV25" s="621"/>
      <c r="BW25" s="621"/>
      <c r="BX25" s="621"/>
    </row>
    <row r="26" spans="1:76" s="1284" customFormat="1" ht="11.45" customHeight="1" x14ac:dyDescent="0.15">
      <c r="A26" s="1848"/>
      <c r="B26" s="1848"/>
      <c r="C26" s="1850"/>
      <c r="D26" s="1850"/>
      <c r="E26" s="1850"/>
      <c r="F26" s="1850"/>
      <c r="G26" s="1850"/>
      <c r="H26" s="1850"/>
      <c r="I26" s="1850"/>
      <c r="J26" s="1850"/>
      <c r="K26" s="1850"/>
      <c r="L26" s="1850"/>
      <c r="M26" s="1850"/>
      <c r="N26" s="1850"/>
      <c r="O26" s="1850"/>
      <c r="P26" s="1850"/>
      <c r="Q26" s="1848"/>
      <c r="R26" s="1849"/>
      <c r="S26" s="1849"/>
      <c r="T26" s="1849"/>
      <c r="U26" s="1849"/>
      <c r="V26" s="1849"/>
      <c r="W26" s="1849"/>
      <c r="X26" s="1849"/>
      <c r="Y26" s="1849"/>
      <c r="Z26" s="1849"/>
      <c r="AA26" s="1849"/>
      <c r="AB26" s="1849"/>
      <c r="AC26" s="1849"/>
      <c r="AD26" s="1849"/>
      <c r="AE26" s="1849"/>
      <c r="AF26" s="1848"/>
      <c r="AG26" s="1849"/>
      <c r="AH26" s="1849"/>
      <c r="AI26" s="1849"/>
      <c r="AJ26" s="1849"/>
      <c r="AK26" s="1849"/>
      <c r="AL26" s="561"/>
      <c r="AM26" s="561"/>
      <c r="AN26" s="561"/>
      <c r="AO26" s="561"/>
      <c r="AP26" s="561"/>
      <c r="AQ26" s="561"/>
      <c r="AR26" s="561"/>
      <c r="AS26" s="561"/>
      <c r="AT26" s="561"/>
      <c r="AU26" s="513"/>
      <c r="AV26" s="497"/>
      <c r="AW26" s="561"/>
      <c r="AX26" s="561"/>
      <c r="AY26" s="561"/>
      <c r="AZ26" s="561"/>
      <c r="BA26" s="561"/>
      <c r="BB26" s="561"/>
      <c r="BC26" s="561"/>
      <c r="BD26" s="561"/>
      <c r="BE26" s="561"/>
      <c r="BF26" s="561"/>
      <c r="BG26" s="561"/>
      <c r="BH26" s="561"/>
      <c r="BI26" s="561"/>
      <c r="BJ26" s="513"/>
      <c r="BK26" s="621"/>
      <c r="BL26" s="621"/>
      <c r="BM26" s="621"/>
      <c r="BN26" s="621"/>
      <c r="BO26" s="621"/>
      <c r="BP26" s="621"/>
      <c r="BQ26" s="621"/>
      <c r="BR26" s="621"/>
      <c r="BS26" s="621"/>
      <c r="BT26" s="621"/>
      <c r="BU26" s="621"/>
      <c r="BV26" s="621"/>
      <c r="BW26" s="621"/>
      <c r="BX26" s="621"/>
    </row>
    <row r="27" spans="1:76" s="1284" customFormat="1" ht="11.45" customHeight="1" x14ac:dyDescent="0.15">
      <c r="A27" s="1848"/>
      <c r="B27" s="1848"/>
      <c r="C27" s="1850"/>
      <c r="D27" s="1850"/>
      <c r="E27" s="1850"/>
      <c r="F27" s="1850"/>
      <c r="G27" s="1850"/>
      <c r="H27" s="1850"/>
      <c r="I27" s="1850"/>
      <c r="J27" s="1850"/>
      <c r="K27" s="1850"/>
      <c r="L27" s="1850"/>
      <c r="M27" s="1850"/>
      <c r="N27" s="1850"/>
      <c r="O27" s="1850"/>
      <c r="P27" s="1850"/>
      <c r="Q27" s="1848"/>
      <c r="R27" s="1849"/>
      <c r="S27" s="1849"/>
      <c r="T27" s="1849"/>
      <c r="U27" s="1849"/>
      <c r="V27" s="1849"/>
      <c r="W27" s="1849"/>
      <c r="X27" s="1849"/>
      <c r="Y27" s="1849"/>
      <c r="Z27" s="1849"/>
      <c r="AA27" s="1849"/>
      <c r="AB27" s="1849"/>
      <c r="AC27" s="1849"/>
      <c r="AD27" s="1849"/>
      <c r="AE27" s="1849"/>
      <c r="AF27" s="1848"/>
      <c r="AG27" s="1849"/>
      <c r="AH27" s="1849"/>
      <c r="AI27" s="1849"/>
      <c r="AJ27" s="1849"/>
      <c r="AK27" s="1849"/>
      <c r="AL27" s="561"/>
      <c r="AM27" s="561"/>
      <c r="AN27" s="561"/>
      <c r="AO27" s="561"/>
      <c r="AP27" s="561"/>
      <c r="AQ27" s="561"/>
      <c r="AR27" s="561"/>
      <c r="AS27" s="561"/>
      <c r="AT27" s="561"/>
      <c r="AU27" s="513"/>
      <c r="AV27" s="497"/>
      <c r="AW27" s="561"/>
      <c r="AX27" s="561"/>
      <c r="AY27" s="561"/>
      <c r="AZ27" s="561"/>
      <c r="BA27" s="561"/>
      <c r="BB27" s="561"/>
      <c r="BC27" s="561"/>
      <c r="BD27" s="561"/>
      <c r="BE27" s="561"/>
      <c r="BF27" s="561"/>
      <c r="BG27" s="561"/>
      <c r="BH27" s="561"/>
      <c r="BI27" s="561"/>
      <c r="BJ27" s="513"/>
      <c r="BK27" s="621"/>
      <c r="BL27" s="621"/>
      <c r="BM27" s="621"/>
      <c r="BN27" s="621"/>
      <c r="BO27" s="621"/>
      <c r="BP27" s="621"/>
      <c r="BQ27" s="621"/>
      <c r="BR27" s="621"/>
      <c r="BS27" s="621"/>
      <c r="BT27" s="621"/>
      <c r="BU27" s="621"/>
      <c r="BV27" s="621"/>
      <c r="BW27" s="621"/>
      <c r="BX27" s="621"/>
    </row>
    <row r="28" spans="1:76" s="1284" customFormat="1" ht="11.45" customHeight="1" x14ac:dyDescent="0.15">
      <c r="A28" s="1848"/>
      <c r="B28" s="1848"/>
      <c r="C28" s="1850"/>
      <c r="D28" s="1850"/>
      <c r="E28" s="1850"/>
      <c r="F28" s="1850"/>
      <c r="G28" s="1850"/>
      <c r="H28" s="1850"/>
      <c r="I28" s="1850"/>
      <c r="J28" s="1850"/>
      <c r="K28" s="1850"/>
      <c r="L28" s="1850"/>
      <c r="M28" s="1850"/>
      <c r="N28" s="1850"/>
      <c r="O28" s="1850"/>
      <c r="P28" s="1850"/>
      <c r="Q28" s="1848"/>
      <c r="R28" s="1849"/>
      <c r="S28" s="1849"/>
      <c r="T28" s="1849"/>
      <c r="U28" s="1849"/>
      <c r="V28" s="1849"/>
      <c r="W28" s="1849"/>
      <c r="X28" s="1849"/>
      <c r="Y28" s="1849"/>
      <c r="Z28" s="1849"/>
      <c r="AA28" s="1849"/>
      <c r="AB28" s="1849"/>
      <c r="AC28" s="1849"/>
      <c r="AD28" s="1849"/>
      <c r="AE28" s="1849"/>
      <c r="AF28" s="1848"/>
      <c r="AG28" s="1849"/>
      <c r="AH28" s="1849"/>
      <c r="AI28" s="1849"/>
      <c r="AJ28" s="1849"/>
      <c r="AK28" s="1849"/>
      <c r="AL28" s="561"/>
      <c r="AM28" s="561"/>
      <c r="AN28" s="561"/>
      <c r="AO28" s="561"/>
      <c r="AP28" s="561"/>
      <c r="AQ28" s="561"/>
      <c r="AR28" s="561"/>
      <c r="AS28" s="561"/>
      <c r="AT28" s="561"/>
      <c r="AU28" s="513"/>
      <c r="AV28" s="497"/>
      <c r="AW28" s="561"/>
      <c r="AX28" s="561"/>
      <c r="AY28" s="561"/>
      <c r="AZ28" s="561"/>
      <c r="BA28" s="561"/>
      <c r="BB28" s="561"/>
      <c r="BC28" s="561"/>
      <c r="BD28" s="561"/>
      <c r="BE28" s="561"/>
      <c r="BF28" s="561"/>
      <c r="BG28" s="561"/>
      <c r="BH28" s="561"/>
      <c r="BI28" s="561"/>
      <c r="BJ28" s="513"/>
      <c r="BK28" s="621"/>
      <c r="BL28" s="621"/>
      <c r="BM28" s="621"/>
      <c r="BN28" s="621"/>
      <c r="BO28" s="621"/>
      <c r="BP28" s="621"/>
      <c r="BQ28" s="621"/>
      <c r="BR28" s="621"/>
      <c r="BS28" s="621"/>
      <c r="BT28" s="621"/>
      <c r="BU28" s="621"/>
      <c r="BV28" s="621"/>
      <c r="BW28" s="621"/>
      <c r="BX28" s="621"/>
    </row>
    <row r="29" spans="1:76" s="1284" customFormat="1" ht="11.45" customHeight="1" x14ac:dyDescent="0.15">
      <c r="A29" s="1848"/>
      <c r="B29" s="1848"/>
      <c r="C29" s="1850"/>
      <c r="D29" s="1850"/>
      <c r="E29" s="1850"/>
      <c r="F29" s="1850"/>
      <c r="G29" s="1850"/>
      <c r="H29" s="1850"/>
      <c r="I29" s="1850"/>
      <c r="J29" s="1850"/>
      <c r="K29" s="1850"/>
      <c r="L29" s="1850"/>
      <c r="M29" s="1850"/>
      <c r="N29" s="1850"/>
      <c r="O29" s="1850"/>
      <c r="P29" s="1850"/>
      <c r="Q29" s="1848"/>
      <c r="R29" s="1849"/>
      <c r="S29" s="1849"/>
      <c r="T29" s="1849"/>
      <c r="U29" s="1849"/>
      <c r="V29" s="1849"/>
      <c r="W29" s="1849"/>
      <c r="X29" s="1849"/>
      <c r="Y29" s="1849"/>
      <c r="Z29" s="1849"/>
      <c r="AA29" s="1849"/>
      <c r="AB29" s="1849"/>
      <c r="AC29" s="1849"/>
      <c r="AD29" s="1849"/>
      <c r="AE29" s="1849"/>
      <c r="AF29" s="1848"/>
      <c r="AG29" s="1849"/>
      <c r="AH29" s="1849"/>
      <c r="AI29" s="1849"/>
      <c r="AJ29" s="1849"/>
      <c r="AK29" s="1849"/>
      <c r="AL29" s="561"/>
      <c r="AM29" s="561"/>
      <c r="AN29" s="561"/>
      <c r="AO29" s="561"/>
      <c r="AP29" s="561"/>
      <c r="AQ29" s="561"/>
      <c r="AR29" s="561"/>
      <c r="AS29" s="561"/>
      <c r="AT29" s="561"/>
      <c r="AU29" s="513"/>
      <c r="AV29" s="497"/>
      <c r="AW29" s="561"/>
      <c r="AX29" s="561"/>
      <c r="AY29" s="561"/>
      <c r="AZ29" s="561"/>
      <c r="BA29" s="561"/>
      <c r="BB29" s="561"/>
      <c r="BC29" s="561"/>
      <c r="BD29" s="561"/>
      <c r="BE29" s="561"/>
      <c r="BF29" s="561"/>
      <c r="BG29" s="561"/>
      <c r="BH29" s="561"/>
      <c r="BI29" s="561"/>
      <c r="BJ29" s="513"/>
      <c r="BK29" s="621"/>
      <c r="BL29" s="621"/>
      <c r="BM29" s="621"/>
      <c r="BN29" s="621"/>
      <c r="BO29" s="621"/>
      <c r="BP29" s="621"/>
      <c r="BQ29" s="621"/>
      <c r="BR29" s="621"/>
      <c r="BS29" s="621"/>
      <c r="BT29" s="621"/>
      <c r="BU29" s="621"/>
      <c r="BV29" s="621"/>
      <c r="BW29" s="621"/>
      <c r="BX29" s="621"/>
    </row>
    <row r="30" spans="1:76" s="1284" customFormat="1" ht="11.45" customHeight="1" x14ac:dyDescent="0.15">
      <c r="A30" s="1848"/>
      <c r="B30" s="1848"/>
      <c r="C30" s="1850"/>
      <c r="D30" s="1850"/>
      <c r="E30" s="1850"/>
      <c r="F30" s="1850"/>
      <c r="G30" s="1850"/>
      <c r="H30" s="1850"/>
      <c r="I30" s="1850"/>
      <c r="J30" s="1850"/>
      <c r="K30" s="1850"/>
      <c r="L30" s="1850"/>
      <c r="M30" s="1850"/>
      <c r="N30" s="1850"/>
      <c r="O30" s="1850"/>
      <c r="P30" s="1850"/>
      <c r="Q30" s="1848"/>
      <c r="R30" s="1849"/>
      <c r="S30" s="1849"/>
      <c r="T30" s="1849"/>
      <c r="U30" s="1849"/>
      <c r="V30" s="1849"/>
      <c r="W30" s="1849"/>
      <c r="X30" s="1849"/>
      <c r="Y30" s="1849"/>
      <c r="Z30" s="1849"/>
      <c r="AA30" s="1849"/>
      <c r="AB30" s="1849"/>
      <c r="AC30" s="1849"/>
      <c r="AD30" s="1849"/>
      <c r="AE30" s="1849"/>
      <c r="AF30" s="1848"/>
      <c r="AG30" s="1849"/>
      <c r="AH30" s="1849"/>
      <c r="AI30" s="1849"/>
      <c r="AJ30" s="1849"/>
      <c r="AK30" s="1849"/>
      <c r="AL30" s="561"/>
      <c r="AM30" s="561"/>
      <c r="AN30" s="561"/>
      <c r="AO30" s="561"/>
      <c r="AP30" s="561"/>
      <c r="AQ30" s="561"/>
      <c r="AR30" s="561"/>
      <c r="AS30" s="561"/>
      <c r="AT30" s="561"/>
      <c r="AU30" s="513"/>
      <c r="AV30" s="497"/>
      <c r="AW30" s="561"/>
      <c r="AX30" s="561"/>
      <c r="AY30" s="561"/>
      <c r="AZ30" s="561"/>
      <c r="BA30" s="561"/>
      <c r="BB30" s="561"/>
      <c r="BC30" s="561"/>
      <c r="BD30" s="561"/>
      <c r="BE30" s="561"/>
      <c r="BF30" s="561"/>
      <c r="BG30" s="561"/>
      <c r="BH30" s="561"/>
      <c r="BI30" s="561"/>
      <c r="BJ30" s="513"/>
      <c r="BK30" s="621"/>
      <c r="BL30" s="621"/>
      <c r="BM30" s="621"/>
      <c r="BN30" s="621"/>
      <c r="BO30" s="621"/>
      <c r="BP30" s="621"/>
      <c r="BQ30" s="621"/>
      <c r="BR30" s="621"/>
      <c r="BS30" s="621"/>
      <c r="BT30" s="621"/>
      <c r="BU30" s="621"/>
      <c r="BV30" s="621"/>
      <c r="BW30" s="621"/>
      <c r="BX30" s="621"/>
    </row>
    <row r="31" spans="1:76" s="1284" customFormat="1" ht="11.45" customHeight="1" x14ac:dyDescent="0.2">
      <c r="A31" s="1848" t="s">
        <v>189</v>
      </c>
      <c r="B31" s="1867" t="s">
        <v>552</v>
      </c>
      <c r="C31" s="1841">
        <v>60.79</v>
      </c>
      <c r="D31" s="1841">
        <v>62.81</v>
      </c>
      <c r="E31" s="1841">
        <v>69.44</v>
      </c>
      <c r="F31" s="1841">
        <v>69.41</v>
      </c>
      <c r="G31" s="1841">
        <v>184.18</v>
      </c>
      <c r="H31" s="1841">
        <v>184.11</v>
      </c>
      <c r="I31" s="1841">
        <v>66.48</v>
      </c>
      <c r="J31" s="1841">
        <v>67.489999999999995</v>
      </c>
      <c r="K31" s="1841">
        <v>10.25</v>
      </c>
      <c r="L31" s="1841">
        <v>10.25</v>
      </c>
      <c r="M31" s="1841">
        <v>11.9</v>
      </c>
      <c r="N31" s="1841">
        <v>12.14</v>
      </c>
      <c r="O31" s="1841">
        <v>88.7</v>
      </c>
      <c r="P31" s="1841">
        <v>90.5</v>
      </c>
      <c r="Q31" s="1867" t="s">
        <v>552</v>
      </c>
      <c r="R31" s="1841">
        <v>8.93</v>
      </c>
      <c r="S31" s="1841">
        <v>8.94</v>
      </c>
      <c r="T31" s="1841">
        <v>1.48</v>
      </c>
      <c r="U31" s="1841">
        <v>1.5</v>
      </c>
      <c r="V31" s="1841">
        <v>0.01</v>
      </c>
      <c r="W31" s="1841">
        <v>0.01</v>
      </c>
      <c r="X31" s="1841">
        <v>0.01</v>
      </c>
      <c r="Y31" s="1841">
        <v>0.01</v>
      </c>
      <c r="Z31" s="1841">
        <v>0.79</v>
      </c>
      <c r="AA31" s="1841">
        <v>0.8</v>
      </c>
      <c r="AB31" s="1841">
        <v>240.23</v>
      </c>
      <c r="AC31" s="1841">
        <v>241.38</v>
      </c>
      <c r="AD31" s="1841">
        <v>21.65</v>
      </c>
      <c r="AE31" s="1841">
        <v>21.8</v>
      </c>
      <c r="AF31" s="1867" t="s">
        <v>552</v>
      </c>
      <c r="AG31" s="1841">
        <v>10.82</v>
      </c>
      <c r="AH31" s="1841">
        <v>10.81</v>
      </c>
      <c r="AI31" s="1841">
        <v>0.93</v>
      </c>
      <c r="AJ31" s="1841">
        <v>0.92</v>
      </c>
      <c r="AK31" s="1841">
        <v>49.45</v>
      </c>
      <c r="AL31" s="15">
        <v>50.37</v>
      </c>
      <c r="AM31" s="15">
        <v>11.05</v>
      </c>
      <c r="AN31" s="15">
        <v>11.42</v>
      </c>
      <c r="AO31" s="15">
        <v>180.36</v>
      </c>
      <c r="AP31" s="15">
        <v>180.29</v>
      </c>
      <c r="AQ31" s="15">
        <v>0.81</v>
      </c>
      <c r="AR31" s="15">
        <v>0.81</v>
      </c>
      <c r="AS31" s="15">
        <v>1.5</v>
      </c>
      <c r="AT31" s="15">
        <v>1.53</v>
      </c>
      <c r="AU31" s="1834" t="s">
        <v>552</v>
      </c>
      <c r="AV31" s="15">
        <v>19.079999999999998</v>
      </c>
      <c r="AW31" s="15">
        <v>19.07</v>
      </c>
      <c r="AX31" s="15">
        <v>2.2599999999999998</v>
      </c>
      <c r="AY31" s="15">
        <v>2.2999999999999998</v>
      </c>
      <c r="AZ31" s="15">
        <v>18.52</v>
      </c>
      <c r="BA31" s="15">
        <v>18.510000000000002</v>
      </c>
      <c r="BB31" s="15">
        <v>0.06</v>
      </c>
      <c r="BC31" s="15">
        <v>0.06</v>
      </c>
      <c r="BD31" s="15">
        <v>50.41</v>
      </c>
      <c r="BE31" s="15">
        <v>51.03</v>
      </c>
      <c r="BF31" s="15">
        <v>9.34</v>
      </c>
      <c r="BG31" s="15">
        <v>9.6199999999999992</v>
      </c>
      <c r="BH31" s="15">
        <v>0.61</v>
      </c>
      <c r="BI31" s="15">
        <v>0.62</v>
      </c>
      <c r="BJ31" s="1834" t="s">
        <v>552</v>
      </c>
      <c r="BK31" s="15">
        <v>65.849999999999994</v>
      </c>
      <c r="BL31" s="15">
        <v>66.63</v>
      </c>
      <c r="BM31" s="15">
        <v>1.48</v>
      </c>
      <c r="BN31" s="15">
        <v>1.49</v>
      </c>
      <c r="BO31" s="15">
        <v>104.34</v>
      </c>
      <c r="BP31" s="15">
        <v>105.41</v>
      </c>
      <c r="BQ31" s="15">
        <v>2.15</v>
      </c>
      <c r="BR31" s="15">
        <v>2.15</v>
      </c>
      <c r="BS31" s="15">
        <v>18.91</v>
      </c>
      <c r="BT31" s="15">
        <v>18.899999999999999</v>
      </c>
      <c r="BU31" s="15">
        <v>69.44</v>
      </c>
      <c r="BV31" s="15">
        <v>69.41</v>
      </c>
      <c r="BW31" s="15">
        <v>106.09</v>
      </c>
      <c r="BX31" s="15">
        <v>108.95</v>
      </c>
    </row>
    <row r="32" spans="1:76" s="1284" customFormat="1" ht="11.45" customHeight="1" x14ac:dyDescent="0.2">
      <c r="A32" s="1869" t="s">
        <v>804</v>
      </c>
      <c r="B32" s="1852" t="s">
        <v>552</v>
      </c>
      <c r="C32" s="1857">
        <v>2.5299999999999998</v>
      </c>
      <c r="D32" s="1857">
        <v>0.15</v>
      </c>
      <c r="E32" s="1856">
        <v>0</v>
      </c>
      <c r="F32" s="1857">
        <v>1.52</v>
      </c>
      <c r="G32" s="1857">
        <v>-0.11</v>
      </c>
      <c r="H32" s="1857">
        <v>-3.09</v>
      </c>
      <c r="I32" s="1857">
        <v>-3.04</v>
      </c>
      <c r="J32" s="1857">
        <v>0.03</v>
      </c>
      <c r="K32" s="1856">
        <v>0.13</v>
      </c>
      <c r="L32" s="1856">
        <v>-0.98</v>
      </c>
      <c r="M32" s="1856">
        <v>0.01</v>
      </c>
      <c r="N32" s="1856">
        <v>2.17</v>
      </c>
      <c r="O32" s="1856">
        <v>-0.74</v>
      </c>
      <c r="P32" s="1856">
        <v>0.75</v>
      </c>
      <c r="Q32" s="1856">
        <v>0</v>
      </c>
      <c r="R32" s="1856">
        <v>1.41</v>
      </c>
      <c r="S32" s="1856">
        <v>0.99</v>
      </c>
      <c r="T32" s="1852" t="s">
        <v>552</v>
      </c>
      <c r="U32" s="1856">
        <v>-1.31</v>
      </c>
      <c r="V32" s="1856">
        <v>-0.27</v>
      </c>
      <c r="W32" s="1856">
        <v>0.03</v>
      </c>
      <c r="X32" s="1856">
        <v>0.53</v>
      </c>
      <c r="Y32" s="1856">
        <v>-0.02</v>
      </c>
      <c r="Z32" s="1856">
        <v>2.31</v>
      </c>
      <c r="AA32" s="1856">
        <v>0.01</v>
      </c>
      <c r="AB32" s="1856">
        <v>0.69</v>
      </c>
      <c r="AC32" s="1856">
        <v>1.51</v>
      </c>
      <c r="AD32" s="1856">
        <v>2.0499999999999998</v>
      </c>
      <c r="AE32" s="1856">
        <v>1.07</v>
      </c>
      <c r="AF32" s="1856">
        <v>-3.04</v>
      </c>
      <c r="AG32" s="1856">
        <v>-1.7</v>
      </c>
      <c r="AH32" s="1856">
        <v>-0.63</v>
      </c>
      <c r="AI32" s="1856">
        <v>0.04</v>
      </c>
      <c r="AJ32" s="1856">
        <v>0</v>
      </c>
      <c r="AK32" s="1856">
        <v>0.26</v>
      </c>
      <c r="AL32" s="15">
        <v>51.76</v>
      </c>
      <c r="AM32" s="15">
        <v>11.49</v>
      </c>
      <c r="AN32" s="15">
        <v>12</v>
      </c>
      <c r="AO32" s="15">
        <v>180.97</v>
      </c>
      <c r="AP32" s="15">
        <v>182.38</v>
      </c>
      <c r="AQ32" s="15">
        <v>0.81</v>
      </c>
      <c r="AR32" s="15">
        <v>0.81</v>
      </c>
      <c r="AS32" s="15">
        <v>1.57</v>
      </c>
      <c r="AT32" s="15">
        <v>1.6</v>
      </c>
      <c r="AU32" s="1834" t="s">
        <v>547</v>
      </c>
      <c r="AV32" s="15">
        <v>19.14</v>
      </c>
      <c r="AW32" s="15">
        <v>19.29</v>
      </c>
      <c r="AX32" s="15">
        <v>2.2599999999999998</v>
      </c>
      <c r="AY32" s="15">
        <v>2.31</v>
      </c>
      <c r="AZ32" s="15">
        <v>18.579999999999998</v>
      </c>
      <c r="BA32" s="15">
        <v>18.72</v>
      </c>
      <c r="BB32" s="15">
        <v>0.06</v>
      </c>
      <c r="BC32" s="15">
        <v>0.06</v>
      </c>
      <c r="BD32" s="15">
        <v>52.17</v>
      </c>
      <c r="BE32" s="15">
        <v>53.35</v>
      </c>
      <c r="BF32" s="15">
        <v>9.86</v>
      </c>
      <c r="BG32" s="15">
        <v>10.43</v>
      </c>
      <c r="BH32" s="15">
        <v>0.62</v>
      </c>
      <c r="BI32" s="15">
        <v>0.63</v>
      </c>
      <c r="BJ32" s="1834" t="s">
        <v>547</v>
      </c>
      <c r="BK32" s="15">
        <v>69.45</v>
      </c>
      <c r="BL32" s="15">
        <v>71.83</v>
      </c>
      <c r="BM32" s="15">
        <v>1.5</v>
      </c>
      <c r="BN32" s="15">
        <v>1.51</v>
      </c>
      <c r="BO32" s="15">
        <v>106.21</v>
      </c>
      <c r="BP32" s="15">
        <v>108.99</v>
      </c>
      <c r="BQ32" s="15">
        <v>2.2599999999999998</v>
      </c>
      <c r="BR32" s="15">
        <v>2.31</v>
      </c>
      <c r="BS32" s="15">
        <v>18.97</v>
      </c>
      <c r="BT32" s="15">
        <v>19.12</v>
      </c>
      <c r="BU32" s="15">
        <v>69.67</v>
      </c>
      <c r="BV32" s="15">
        <v>70.22</v>
      </c>
      <c r="BW32" s="15">
        <v>108.42</v>
      </c>
      <c r="BX32" s="15">
        <v>110.82</v>
      </c>
    </row>
    <row r="33" spans="1:76" s="1284" customFormat="1" ht="11.45" customHeight="1" x14ac:dyDescent="0.2">
      <c r="A33" s="1869" t="s">
        <v>804</v>
      </c>
      <c r="B33" s="1852" t="s">
        <v>553</v>
      </c>
      <c r="C33" s="1858">
        <v>-1.97</v>
      </c>
      <c r="D33" s="1858">
        <v>-0.01</v>
      </c>
      <c r="E33" s="1644">
        <v>0</v>
      </c>
      <c r="F33" s="1858">
        <v>0.98</v>
      </c>
      <c r="G33" s="1644">
        <v>-0.2</v>
      </c>
      <c r="H33" s="1858">
        <v>1.85</v>
      </c>
      <c r="I33" s="1858">
        <v>2.02</v>
      </c>
      <c r="J33" s="1858">
        <v>-0.02</v>
      </c>
      <c r="K33" s="1858">
        <v>-0.35</v>
      </c>
      <c r="L33" s="1858">
        <v>-0.81</v>
      </c>
      <c r="M33" s="1858">
        <v>0.19</v>
      </c>
      <c r="N33" s="1858">
        <v>-0.57999999999999996</v>
      </c>
      <c r="O33" s="1858">
        <v>-0.09</v>
      </c>
      <c r="P33" s="1858">
        <v>0.72</v>
      </c>
      <c r="Q33" s="1644">
        <v>0</v>
      </c>
      <c r="R33" s="1858">
        <v>0.72</v>
      </c>
      <c r="S33" s="1858">
        <v>-1.33</v>
      </c>
      <c r="T33" s="1852" t="s">
        <v>553</v>
      </c>
      <c r="U33" s="1858">
        <v>3.85</v>
      </c>
      <c r="V33" s="1858">
        <v>0.28999999999999998</v>
      </c>
      <c r="W33" s="1858">
        <v>0.04</v>
      </c>
      <c r="X33" s="1858">
        <v>-0.78</v>
      </c>
      <c r="Y33" s="1858">
        <v>0.01</v>
      </c>
      <c r="Z33" s="1858">
        <v>-0.15</v>
      </c>
      <c r="AA33" s="1644">
        <v>0</v>
      </c>
      <c r="AB33" s="1858">
        <v>0.32</v>
      </c>
      <c r="AC33" s="1858">
        <v>-0.51</v>
      </c>
      <c r="AD33" s="1858">
        <v>1.57</v>
      </c>
      <c r="AE33" s="1644">
        <v>-0.4</v>
      </c>
      <c r="AF33" s="1858">
        <v>2.06</v>
      </c>
      <c r="AG33" s="1858">
        <v>-2.09</v>
      </c>
      <c r="AH33" s="1858">
        <v>0.82</v>
      </c>
      <c r="AI33" s="1858">
        <v>0.68</v>
      </c>
      <c r="AJ33" s="1644">
        <v>0</v>
      </c>
      <c r="AK33" s="1858">
        <v>0.49</v>
      </c>
      <c r="AL33" s="281">
        <v>54.02</v>
      </c>
      <c r="AM33" s="281">
        <v>12.08</v>
      </c>
      <c r="AN33" s="281">
        <v>12.09</v>
      </c>
      <c r="AO33" s="281">
        <v>182.99</v>
      </c>
      <c r="AP33" s="281">
        <v>183.79</v>
      </c>
      <c r="AQ33" s="281">
        <v>0.82</v>
      </c>
      <c r="AR33" s="281">
        <v>0.82</v>
      </c>
      <c r="AS33" s="281">
        <v>1.62</v>
      </c>
      <c r="AT33" s="281">
        <v>1.65</v>
      </c>
      <c r="AU33" s="1828" t="s">
        <v>554</v>
      </c>
      <c r="AV33" s="281">
        <v>19.36</v>
      </c>
      <c r="AW33" s="281">
        <v>19.440000000000001</v>
      </c>
      <c r="AX33" s="281">
        <v>2.33</v>
      </c>
      <c r="AY33" s="281">
        <v>2.31</v>
      </c>
      <c r="AZ33" s="281">
        <v>19.79</v>
      </c>
      <c r="BA33" s="281">
        <v>18.88</v>
      </c>
      <c r="BB33" s="281">
        <v>0.06</v>
      </c>
      <c r="BC33" s="281">
        <v>0.06</v>
      </c>
      <c r="BD33" s="281">
        <v>54.07</v>
      </c>
      <c r="BE33" s="281">
        <v>54.69</v>
      </c>
      <c r="BF33" s="281">
        <v>10.56</v>
      </c>
      <c r="BG33" s="281">
        <v>10.62</v>
      </c>
      <c r="BH33" s="281">
        <v>0.63</v>
      </c>
      <c r="BI33" s="281">
        <v>0.63</v>
      </c>
      <c r="BJ33" s="1828" t="s">
        <v>554</v>
      </c>
      <c r="BK33" s="281">
        <v>72.69</v>
      </c>
      <c r="BL33" s="281">
        <v>71.94</v>
      </c>
      <c r="BM33" s="281">
        <v>1.53</v>
      </c>
      <c r="BN33" s="281">
        <v>1.53</v>
      </c>
      <c r="BO33" s="281">
        <v>110.56</v>
      </c>
      <c r="BP33" s="281">
        <v>111.26</v>
      </c>
      <c r="BQ33" s="281">
        <v>2.34</v>
      </c>
      <c r="BR33" s="281">
        <v>2.36</v>
      </c>
      <c r="BS33" s="281">
        <v>19.18</v>
      </c>
      <c r="BT33" s="281">
        <v>19.440000000000001</v>
      </c>
      <c r="BU33" s="281">
        <v>70.459999999999994</v>
      </c>
      <c r="BV33" s="281">
        <v>70.790000000000006</v>
      </c>
      <c r="BW33" s="281">
        <v>111.7</v>
      </c>
      <c r="BX33" s="281">
        <v>113.44</v>
      </c>
    </row>
    <row r="34" spans="1:76" s="1284" customFormat="1" ht="11.45" customHeight="1" x14ac:dyDescent="0.2">
      <c r="A34" s="1869" t="s">
        <v>804</v>
      </c>
      <c r="B34" s="1852" t="s">
        <v>547</v>
      </c>
      <c r="C34" s="1644">
        <v>0.8</v>
      </c>
      <c r="D34" s="1644">
        <v>0.08</v>
      </c>
      <c r="E34" s="1644">
        <v>0</v>
      </c>
      <c r="F34" s="1644">
        <v>0.93</v>
      </c>
      <c r="G34" s="1644">
        <v>0.06</v>
      </c>
      <c r="H34" s="1644">
        <v>2.65</v>
      </c>
      <c r="I34" s="1644">
        <v>2.72</v>
      </c>
      <c r="J34" s="1644">
        <v>0.03</v>
      </c>
      <c r="K34" s="1644">
        <v>5.15</v>
      </c>
      <c r="L34" s="1644">
        <v>-0.08</v>
      </c>
      <c r="M34" s="1644">
        <v>-0.19</v>
      </c>
      <c r="N34" s="1644">
        <v>0.77</v>
      </c>
      <c r="O34" s="1644">
        <v>0.46</v>
      </c>
      <c r="P34" s="1644">
        <v>2.2200000000000002</v>
      </c>
      <c r="Q34" s="1644">
        <v>0</v>
      </c>
      <c r="R34" s="1644">
        <v>4.2699999999999996</v>
      </c>
      <c r="S34" s="1644">
        <v>3.87</v>
      </c>
      <c r="T34" s="1852" t="s">
        <v>547</v>
      </c>
      <c r="U34" s="1644">
        <v>1.6</v>
      </c>
      <c r="V34" s="1644">
        <v>-0.01</v>
      </c>
      <c r="W34" s="1644">
        <v>-0.41</v>
      </c>
      <c r="X34" s="1644">
        <v>1.27</v>
      </c>
      <c r="Y34" s="1644">
        <v>0</v>
      </c>
      <c r="Z34" s="1644">
        <v>2.83</v>
      </c>
      <c r="AA34" s="1644">
        <v>0</v>
      </c>
      <c r="AB34" s="1644">
        <v>2.04</v>
      </c>
      <c r="AC34" s="1644">
        <v>2.09</v>
      </c>
      <c r="AD34" s="1644">
        <v>1.71</v>
      </c>
      <c r="AE34" s="1644">
        <v>2.2799999999999998</v>
      </c>
      <c r="AF34" s="1644">
        <v>2.08</v>
      </c>
      <c r="AG34" s="1644">
        <v>-1.91</v>
      </c>
      <c r="AH34" s="1644">
        <v>1.45</v>
      </c>
      <c r="AI34" s="1644">
        <v>1.66</v>
      </c>
      <c r="AJ34" s="1644">
        <v>0</v>
      </c>
      <c r="AK34" s="1644">
        <v>2.2799999999999998</v>
      </c>
      <c r="AL34" s="15">
        <v>52.56</v>
      </c>
      <c r="AM34" s="15">
        <v>11.83</v>
      </c>
      <c r="AN34" s="15">
        <v>11.42</v>
      </c>
      <c r="AO34" s="15">
        <v>182.8</v>
      </c>
      <c r="AP34" s="15">
        <v>182.7</v>
      </c>
      <c r="AQ34" s="15">
        <v>0.82</v>
      </c>
      <c r="AR34" s="15">
        <v>0.82</v>
      </c>
      <c r="AS34" s="15">
        <v>1.62</v>
      </c>
      <c r="AT34" s="15">
        <v>1.59</v>
      </c>
      <c r="AU34" s="1834" t="s">
        <v>555</v>
      </c>
      <c r="AV34" s="15">
        <v>19.34</v>
      </c>
      <c r="AW34" s="15">
        <v>19.329999999999998</v>
      </c>
      <c r="AX34" s="15">
        <v>2.2799999999999998</v>
      </c>
      <c r="AY34" s="15">
        <v>2.2400000000000002</v>
      </c>
      <c r="AZ34" s="15">
        <v>18.77</v>
      </c>
      <c r="BA34" s="15">
        <v>18.760000000000002</v>
      </c>
      <c r="BB34" s="15">
        <v>0.06</v>
      </c>
      <c r="BC34" s="15">
        <v>0.06</v>
      </c>
      <c r="BD34" s="15">
        <v>54.24</v>
      </c>
      <c r="BE34" s="15">
        <v>53.31</v>
      </c>
      <c r="BF34" s="15">
        <v>10.34</v>
      </c>
      <c r="BG34" s="15">
        <v>10.08</v>
      </c>
      <c r="BH34" s="15">
        <v>0.63</v>
      </c>
      <c r="BI34" s="15">
        <v>0.63</v>
      </c>
      <c r="BJ34" s="1834" t="s">
        <v>555</v>
      </c>
      <c r="BK34" s="15">
        <v>71.53</v>
      </c>
      <c r="BL34" s="15">
        <v>70.39</v>
      </c>
      <c r="BM34" s="15">
        <v>1.52</v>
      </c>
      <c r="BN34" s="15">
        <v>1.51</v>
      </c>
      <c r="BO34" s="15">
        <v>109.97</v>
      </c>
      <c r="BP34" s="15">
        <v>107.76</v>
      </c>
      <c r="BQ34" s="15">
        <v>2.36</v>
      </c>
      <c r="BR34" s="15">
        <v>2.33</v>
      </c>
      <c r="BS34" s="15">
        <v>19.170000000000002</v>
      </c>
      <c r="BT34" s="15">
        <v>19.16</v>
      </c>
      <c r="BU34" s="15">
        <v>70.39</v>
      </c>
      <c r="BV34" s="15">
        <v>70.37</v>
      </c>
      <c r="BW34" s="15">
        <v>112.45</v>
      </c>
      <c r="BX34" s="15">
        <v>109.6</v>
      </c>
    </row>
    <row r="35" spans="1:76" s="1284" customFormat="1" ht="11.45" customHeight="1" x14ac:dyDescent="0.2">
      <c r="A35" s="1869" t="s">
        <v>804</v>
      </c>
      <c r="B35" s="1512" t="s">
        <v>554</v>
      </c>
      <c r="C35" s="1644">
        <v>-0.13</v>
      </c>
      <c r="D35" s="1644">
        <v>0.54</v>
      </c>
      <c r="E35" s="1644">
        <v>0</v>
      </c>
      <c r="F35" s="1644">
        <v>-1.64</v>
      </c>
      <c r="G35" s="1644">
        <v>0.65</v>
      </c>
      <c r="H35" s="1644">
        <v>0.81</v>
      </c>
      <c r="I35" s="1644">
        <v>0.88</v>
      </c>
      <c r="J35" s="1644">
        <v>0.05</v>
      </c>
      <c r="K35" s="1644">
        <v>-1.95</v>
      </c>
      <c r="L35" s="1644">
        <v>-0.47</v>
      </c>
      <c r="M35" s="1644">
        <v>0</v>
      </c>
      <c r="N35" s="1644">
        <v>-1.98</v>
      </c>
      <c r="O35" s="1644">
        <v>-7.0000000000000007E-2</v>
      </c>
      <c r="P35" s="1644">
        <v>0.11</v>
      </c>
      <c r="Q35" s="1644">
        <v>0</v>
      </c>
      <c r="R35" s="1644">
        <v>-0.41</v>
      </c>
      <c r="S35" s="1644">
        <v>-0.94</v>
      </c>
      <c r="T35" s="1512" t="s">
        <v>554</v>
      </c>
      <c r="U35" s="1644">
        <v>-0.16</v>
      </c>
      <c r="V35" s="1644">
        <v>0</v>
      </c>
      <c r="W35" s="1644">
        <v>-0.99</v>
      </c>
      <c r="X35" s="1644">
        <v>1.19</v>
      </c>
      <c r="Y35" s="1644">
        <v>0.01</v>
      </c>
      <c r="Z35" s="1644">
        <v>-0.22</v>
      </c>
      <c r="AA35" s="1644">
        <v>0</v>
      </c>
      <c r="AB35" s="1644">
        <v>1.32</v>
      </c>
      <c r="AC35" s="1644">
        <v>0.69</v>
      </c>
      <c r="AD35" s="1644">
        <v>-1.1200000000000001</v>
      </c>
      <c r="AE35" s="1644">
        <v>-0.28999999999999998</v>
      </c>
      <c r="AF35" s="1644">
        <v>0.86</v>
      </c>
      <c r="AG35" s="1644">
        <v>-1.45</v>
      </c>
      <c r="AH35" s="1644">
        <v>-0.41</v>
      </c>
      <c r="AI35" s="1644">
        <v>0.5</v>
      </c>
      <c r="AJ35" s="1644">
        <v>0</v>
      </c>
      <c r="AK35" s="1644">
        <v>-0.46</v>
      </c>
      <c r="AL35" s="281">
        <v>54.55</v>
      </c>
      <c r="AM35" s="281">
        <v>11.8</v>
      </c>
      <c r="AN35" s="281">
        <v>12.02</v>
      </c>
      <c r="AO35" s="281">
        <v>183.39</v>
      </c>
      <c r="AP35" s="281">
        <v>183.75</v>
      </c>
      <c r="AQ35" s="281">
        <v>0.82</v>
      </c>
      <c r="AR35" s="281">
        <v>0.83</v>
      </c>
      <c r="AS35" s="281">
        <v>1.61</v>
      </c>
      <c r="AT35" s="281">
        <v>1.61</v>
      </c>
      <c r="AU35" s="1828" t="s">
        <v>548</v>
      </c>
      <c r="AV35" s="281">
        <v>19.399999999999999</v>
      </c>
      <c r="AW35" s="281">
        <v>19.45</v>
      </c>
      <c r="AX35" s="281">
        <v>2.29</v>
      </c>
      <c r="AY35" s="281">
        <v>2.3199999999999998</v>
      </c>
      <c r="AZ35" s="281">
        <v>18.829999999999998</v>
      </c>
      <c r="BA35" s="281">
        <v>18.87</v>
      </c>
      <c r="BB35" s="281">
        <v>0.06</v>
      </c>
      <c r="BC35" s="281">
        <v>0.06</v>
      </c>
      <c r="BD35" s="281">
        <v>54.04</v>
      </c>
      <c r="BE35" s="281">
        <v>54.92</v>
      </c>
      <c r="BF35" s="281">
        <v>10.3</v>
      </c>
      <c r="BG35" s="281">
        <v>10.47</v>
      </c>
      <c r="BH35" s="281">
        <v>0.64</v>
      </c>
      <c r="BI35" s="281">
        <v>0.64</v>
      </c>
      <c r="BJ35" s="1828" t="s">
        <v>548</v>
      </c>
      <c r="BK35" s="281">
        <v>72.790000000000006</v>
      </c>
      <c r="BL35" s="281">
        <v>75.63</v>
      </c>
      <c r="BM35" s="281">
        <v>1.51</v>
      </c>
      <c r="BN35" s="281">
        <v>1.51</v>
      </c>
      <c r="BO35" s="281">
        <v>108.39</v>
      </c>
      <c r="BP35" s="281">
        <v>108.96</v>
      </c>
      <c r="BQ35" s="281">
        <v>2.34</v>
      </c>
      <c r="BR35" s="281">
        <v>2.35</v>
      </c>
      <c r="BS35" s="281">
        <v>19.23</v>
      </c>
      <c r="BT35" s="281">
        <v>19.260000000000002</v>
      </c>
      <c r="BU35" s="281">
        <v>70.62</v>
      </c>
      <c r="BV35" s="281">
        <v>70.75</v>
      </c>
      <c r="BW35" s="281">
        <v>110.2</v>
      </c>
      <c r="BX35" s="281">
        <v>109.11</v>
      </c>
    </row>
    <row r="36" spans="1:76" s="1284" customFormat="1" ht="11.45" customHeight="1" x14ac:dyDescent="0.2">
      <c r="A36" s="1869" t="s">
        <v>804</v>
      </c>
      <c r="B36" s="1512" t="s">
        <v>555</v>
      </c>
      <c r="C36" s="1644">
        <v>0.71</v>
      </c>
      <c r="D36" s="1644">
        <v>-0.34</v>
      </c>
      <c r="E36" s="1644">
        <v>0</v>
      </c>
      <c r="F36" s="1644">
        <v>0.66</v>
      </c>
      <c r="G36" s="1644">
        <v>-7.75</v>
      </c>
      <c r="H36" s="1644">
        <v>0.12</v>
      </c>
      <c r="I36" s="1644">
        <v>0.12</v>
      </c>
      <c r="J36" s="1644">
        <v>0</v>
      </c>
      <c r="K36" s="1644">
        <v>-1.38</v>
      </c>
      <c r="L36" s="1644">
        <v>0.1</v>
      </c>
      <c r="M36" s="1644">
        <v>-0.24</v>
      </c>
      <c r="N36" s="1644">
        <v>-3.01</v>
      </c>
      <c r="O36" s="1644">
        <v>-0.18</v>
      </c>
      <c r="P36" s="1644">
        <v>0.35</v>
      </c>
      <c r="Q36" s="1644">
        <v>0</v>
      </c>
      <c r="R36" s="1644">
        <v>-3.92</v>
      </c>
      <c r="S36" s="1644">
        <v>0.23</v>
      </c>
      <c r="T36" s="1512" t="s">
        <v>555</v>
      </c>
      <c r="U36" s="1644">
        <v>0.84</v>
      </c>
      <c r="V36" s="1644">
        <v>0</v>
      </c>
      <c r="W36" s="1644">
        <v>-0.7</v>
      </c>
      <c r="X36" s="1644">
        <v>0.83</v>
      </c>
      <c r="Y36" s="1644">
        <v>0</v>
      </c>
      <c r="Z36" s="1644">
        <v>1.01</v>
      </c>
      <c r="AA36" s="1644">
        <v>0</v>
      </c>
      <c r="AB36" s="1644">
        <v>1.01</v>
      </c>
      <c r="AC36" s="1644">
        <v>-0.09</v>
      </c>
      <c r="AD36" s="1644">
        <v>-0.28000000000000003</v>
      </c>
      <c r="AE36" s="1644">
        <v>-0.42</v>
      </c>
      <c r="AF36" s="1644">
        <v>0.51</v>
      </c>
      <c r="AG36" s="1644">
        <v>-2.96</v>
      </c>
      <c r="AH36" s="1644">
        <v>-0.09</v>
      </c>
      <c r="AI36" s="1644">
        <v>0.02</v>
      </c>
      <c r="AJ36" s="1644">
        <v>0</v>
      </c>
      <c r="AK36" s="1644">
        <v>-0.21</v>
      </c>
      <c r="AL36" s="15">
        <v>54.98</v>
      </c>
      <c r="AM36" s="15">
        <v>12.13</v>
      </c>
      <c r="AN36" s="15">
        <v>12.24</v>
      </c>
      <c r="AO36" s="15">
        <v>184.47</v>
      </c>
      <c r="AP36" s="15">
        <v>184.73</v>
      </c>
      <c r="AQ36" s="15">
        <v>0.83</v>
      </c>
      <c r="AR36" s="15">
        <v>0.83</v>
      </c>
      <c r="AS36" s="15">
        <v>1.61</v>
      </c>
      <c r="AT36" s="15">
        <v>1.61</v>
      </c>
      <c r="AU36" s="1834" t="s">
        <v>556</v>
      </c>
      <c r="AV36" s="15">
        <v>19.510000000000002</v>
      </c>
      <c r="AW36" s="15">
        <v>19.55</v>
      </c>
      <c r="AX36" s="15">
        <v>2.36</v>
      </c>
      <c r="AY36" s="15">
        <v>2.39</v>
      </c>
      <c r="AZ36" s="15">
        <v>18.940000000000001</v>
      </c>
      <c r="BA36" s="15">
        <v>18.97</v>
      </c>
      <c r="BB36" s="15">
        <v>0.06</v>
      </c>
      <c r="BC36" s="15">
        <v>0.06</v>
      </c>
      <c r="BD36" s="15">
        <v>55.21</v>
      </c>
      <c r="BE36" s="15">
        <v>55.37</v>
      </c>
      <c r="BF36" s="15">
        <v>10.64</v>
      </c>
      <c r="BG36" s="15">
        <v>10.9</v>
      </c>
      <c r="BH36" s="15">
        <v>0.64</v>
      </c>
      <c r="BI36" s="15">
        <v>0.64</v>
      </c>
      <c r="BJ36" s="1834" t="s">
        <v>556</v>
      </c>
      <c r="BK36" s="15">
        <v>74.31</v>
      </c>
      <c r="BL36" s="15">
        <v>75.5</v>
      </c>
      <c r="BM36" s="15">
        <v>1.52</v>
      </c>
      <c r="BN36" s="15">
        <v>1.53</v>
      </c>
      <c r="BO36" s="15">
        <v>109.8</v>
      </c>
      <c r="BP36" s="15">
        <v>111.29</v>
      </c>
      <c r="BQ36" s="15">
        <v>2.33</v>
      </c>
      <c r="BR36" s="15">
        <v>2.29</v>
      </c>
      <c r="BS36" s="15">
        <v>19.34</v>
      </c>
      <c r="BT36" s="15">
        <v>19.37</v>
      </c>
      <c r="BU36" s="15">
        <v>71.040000000000006</v>
      </c>
      <c r="BV36" s="15">
        <v>71.150000000000006</v>
      </c>
      <c r="BW36" s="15">
        <v>112.02</v>
      </c>
      <c r="BX36" s="15">
        <v>112.86</v>
      </c>
    </row>
    <row r="37" spans="1:76" s="1284" customFormat="1" ht="11.45" customHeight="1" x14ac:dyDescent="0.2">
      <c r="A37" s="1869" t="s">
        <v>804</v>
      </c>
      <c r="B37" s="1512" t="s">
        <v>548</v>
      </c>
      <c r="C37" s="1856">
        <v>-0.64</v>
      </c>
      <c r="D37" s="1856">
        <v>2.09</v>
      </c>
      <c r="E37" s="1856">
        <v>0</v>
      </c>
      <c r="F37" s="1856">
        <v>-0.38</v>
      </c>
      <c r="G37" s="1856">
        <v>8.65</v>
      </c>
      <c r="H37" s="1856">
        <v>1.89</v>
      </c>
      <c r="I37" s="1856">
        <v>1.9</v>
      </c>
      <c r="J37" s="1856">
        <v>-0.02</v>
      </c>
      <c r="K37" s="1856">
        <v>-0.08</v>
      </c>
      <c r="L37" s="1856">
        <v>-0.34</v>
      </c>
      <c r="M37" s="1856">
        <v>0.31</v>
      </c>
      <c r="N37" s="1856">
        <v>-4.6100000000000003</v>
      </c>
      <c r="O37" s="1856">
        <v>0.16</v>
      </c>
      <c r="P37" s="1856">
        <v>-0.56999999999999995</v>
      </c>
      <c r="Q37" s="1856">
        <v>0</v>
      </c>
      <c r="R37" s="1856">
        <v>1.63</v>
      </c>
      <c r="S37" s="1856">
        <v>-0.38</v>
      </c>
      <c r="T37" s="1512" t="s">
        <v>548</v>
      </c>
      <c r="U37" s="1856">
        <v>1.77</v>
      </c>
      <c r="V37" s="1856">
        <v>-0.01</v>
      </c>
      <c r="W37" s="1856">
        <v>-0.74</v>
      </c>
      <c r="X37" s="1856">
        <v>-0.5</v>
      </c>
      <c r="Y37" s="1856">
        <v>-0.01</v>
      </c>
      <c r="Z37" s="1856">
        <v>2.2999999999999998</v>
      </c>
      <c r="AA37" s="1856">
        <v>-0.01</v>
      </c>
      <c r="AB37" s="1856">
        <v>1.45</v>
      </c>
      <c r="AC37" s="1856">
        <v>-0.28999999999999998</v>
      </c>
      <c r="AD37" s="1856">
        <v>2.41</v>
      </c>
      <c r="AE37" s="1856">
        <v>2.64</v>
      </c>
      <c r="AF37" s="1856">
        <v>1.61</v>
      </c>
      <c r="AG37" s="1856">
        <v>0</v>
      </c>
      <c r="AH37" s="1856">
        <v>0.15</v>
      </c>
      <c r="AI37" s="1856">
        <v>0.3</v>
      </c>
      <c r="AJ37" s="1856">
        <v>0</v>
      </c>
      <c r="AK37" s="1856">
        <v>0.81</v>
      </c>
      <c r="AL37" s="281">
        <v>53.54</v>
      </c>
      <c r="AM37" s="281">
        <v>12.42</v>
      </c>
      <c r="AN37" s="281">
        <v>12.64</v>
      </c>
      <c r="AO37" s="281">
        <v>184.85</v>
      </c>
      <c r="AP37" s="281">
        <v>185.19</v>
      </c>
      <c r="AQ37" s="281">
        <v>0.83</v>
      </c>
      <c r="AR37" s="281">
        <v>0.83</v>
      </c>
      <c r="AS37" s="281">
        <v>1.63</v>
      </c>
      <c r="AT37" s="281">
        <v>1.63</v>
      </c>
      <c r="AU37" s="1828" t="s">
        <v>557</v>
      </c>
      <c r="AV37" s="281">
        <v>19.55</v>
      </c>
      <c r="AW37" s="281">
        <v>19.579999999999998</v>
      </c>
      <c r="AX37" s="281">
        <v>2.4300000000000002</v>
      </c>
      <c r="AY37" s="281">
        <v>2.46</v>
      </c>
      <c r="AZ37" s="281">
        <v>18.98</v>
      </c>
      <c r="BA37" s="281">
        <v>19.010000000000002</v>
      </c>
      <c r="BB37" s="281">
        <v>0.06</v>
      </c>
      <c r="BC37" s="281">
        <v>0.06</v>
      </c>
      <c r="BD37" s="281">
        <v>55.77</v>
      </c>
      <c r="BE37" s="281">
        <v>55.03</v>
      </c>
      <c r="BF37" s="281">
        <v>11.06</v>
      </c>
      <c r="BG37" s="281">
        <v>11.1</v>
      </c>
      <c r="BH37" s="281">
        <v>0.64</v>
      </c>
      <c r="BI37" s="281">
        <v>0.64</v>
      </c>
      <c r="BJ37" s="1828" t="s">
        <v>557</v>
      </c>
      <c r="BK37" s="281">
        <v>74.930000000000007</v>
      </c>
      <c r="BL37" s="281">
        <v>76.78</v>
      </c>
      <c r="BM37" s="281">
        <v>1.52</v>
      </c>
      <c r="BN37" s="281">
        <v>1.53</v>
      </c>
      <c r="BO37" s="281">
        <v>111.17</v>
      </c>
      <c r="BP37" s="281">
        <v>111.91</v>
      </c>
      <c r="BQ37" s="281">
        <v>2.3199999999999998</v>
      </c>
      <c r="BR37" s="281">
        <v>2.33</v>
      </c>
      <c r="BS37" s="281">
        <v>19.38</v>
      </c>
      <c r="BT37" s="281">
        <v>19.41</v>
      </c>
      <c r="BU37" s="281">
        <v>71.17</v>
      </c>
      <c r="BV37" s="281">
        <v>71.3</v>
      </c>
      <c r="BW37" s="281">
        <v>114.75</v>
      </c>
      <c r="BX37" s="281">
        <v>114.91</v>
      </c>
    </row>
    <row r="38" spans="1:76" s="1284" customFormat="1" ht="11.45" customHeight="1" x14ac:dyDescent="0.2">
      <c r="A38" s="1869" t="s">
        <v>804</v>
      </c>
      <c r="B38" s="1512" t="s">
        <v>556</v>
      </c>
      <c r="C38" s="1644">
        <v>0.44</v>
      </c>
      <c r="D38" s="1644">
        <v>0.78</v>
      </c>
      <c r="E38" s="1644">
        <v>0</v>
      </c>
      <c r="F38" s="1644">
        <v>-0.48</v>
      </c>
      <c r="G38" s="1644">
        <v>0.1</v>
      </c>
      <c r="H38" s="1644">
        <v>2.61</v>
      </c>
      <c r="I38" s="1644">
        <v>2.62</v>
      </c>
      <c r="J38" s="1644">
        <v>-0.08</v>
      </c>
      <c r="K38" s="1644">
        <v>2.85</v>
      </c>
      <c r="L38" s="1644">
        <v>-1.05</v>
      </c>
      <c r="M38" s="1644">
        <v>-0.03</v>
      </c>
      <c r="N38" s="1644">
        <v>-5.5</v>
      </c>
      <c r="O38" s="1644">
        <v>7.0000000000000007E-2</v>
      </c>
      <c r="P38" s="1644">
        <v>-1.19</v>
      </c>
      <c r="Q38" s="1644">
        <v>0</v>
      </c>
      <c r="R38" s="1644">
        <v>1.94</v>
      </c>
      <c r="S38" s="1644">
        <v>1.95</v>
      </c>
      <c r="T38" s="1512" t="s">
        <v>556</v>
      </c>
      <c r="U38" s="1644">
        <v>2.0699999999999998</v>
      </c>
      <c r="V38" s="1644">
        <v>0.01</v>
      </c>
      <c r="W38" s="1644">
        <v>-0.41</v>
      </c>
      <c r="X38" s="1644">
        <v>0.39</v>
      </c>
      <c r="Y38" s="1644">
        <v>0.02</v>
      </c>
      <c r="Z38" s="1644">
        <v>1.0900000000000001</v>
      </c>
      <c r="AA38" s="1644">
        <v>0.01</v>
      </c>
      <c r="AB38" s="1644">
        <v>-0.36</v>
      </c>
      <c r="AC38" s="1644">
        <v>-1</v>
      </c>
      <c r="AD38" s="1644">
        <v>2.42</v>
      </c>
      <c r="AE38" s="1644">
        <v>0.44</v>
      </c>
      <c r="AF38" s="1644">
        <v>0.24</v>
      </c>
      <c r="AG38" s="1644">
        <v>0</v>
      </c>
      <c r="AH38" s="1644">
        <v>0.25</v>
      </c>
      <c r="AI38" s="1644">
        <v>2.99</v>
      </c>
      <c r="AJ38" s="1644">
        <v>0</v>
      </c>
      <c r="AK38" s="1644">
        <v>-2.25</v>
      </c>
      <c r="AL38" s="15">
        <v>55.47</v>
      </c>
      <c r="AM38" s="15">
        <v>12.86</v>
      </c>
      <c r="AN38" s="15">
        <v>13.04</v>
      </c>
      <c r="AO38" s="15">
        <v>186.85</v>
      </c>
      <c r="AP38" s="15">
        <v>188.92</v>
      </c>
      <c r="AQ38" s="15">
        <v>0.84</v>
      </c>
      <c r="AR38" s="15">
        <v>0.85</v>
      </c>
      <c r="AS38" s="15">
        <v>1.65</v>
      </c>
      <c r="AT38" s="15">
        <v>1.65</v>
      </c>
      <c r="AU38" s="1834" t="s">
        <v>549</v>
      </c>
      <c r="AV38" s="15">
        <v>19.760000000000002</v>
      </c>
      <c r="AW38" s="15">
        <v>19.97</v>
      </c>
      <c r="AX38" s="15">
        <v>2.5299999999999998</v>
      </c>
      <c r="AY38" s="15">
        <v>2.5499999999999998</v>
      </c>
      <c r="AZ38" s="15">
        <v>19.18</v>
      </c>
      <c r="BA38" s="15">
        <v>19.39</v>
      </c>
      <c r="BB38" s="15">
        <v>0.06</v>
      </c>
      <c r="BC38" s="15">
        <v>7.0000000000000007E-2</v>
      </c>
      <c r="BD38" s="15">
        <v>56.72</v>
      </c>
      <c r="BE38" s="15">
        <v>57.66</v>
      </c>
      <c r="BF38" s="15">
        <v>11.33</v>
      </c>
      <c r="BG38" s="15">
        <v>11.51</v>
      </c>
      <c r="BH38" s="15">
        <v>0.65</v>
      </c>
      <c r="BI38" s="15">
        <v>0.66</v>
      </c>
      <c r="BJ38" s="1834" t="s">
        <v>549</v>
      </c>
      <c r="BK38" s="15">
        <v>78.28</v>
      </c>
      <c r="BL38" s="15">
        <v>79.19</v>
      </c>
      <c r="BM38" s="15">
        <v>1.54</v>
      </c>
      <c r="BN38" s="15">
        <v>1.53</v>
      </c>
      <c r="BO38" s="15">
        <v>113.65</v>
      </c>
      <c r="BP38" s="15">
        <v>114.91</v>
      </c>
      <c r="BQ38" s="15">
        <v>2.36</v>
      </c>
      <c r="BR38" s="15">
        <v>2.34</v>
      </c>
      <c r="BS38" s="15">
        <v>19.59</v>
      </c>
      <c r="BT38" s="15">
        <v>19.8</v>
      </c>
      <c r="BU38" s="15">
        <v>71.95</v>
      </c>
      <c r="BV38" s="15">
        <v>72.739999999999995</v>
      </c>
      <c r="BW38" s="15">
        <v>116.32</v>
      </c>
      <c r="BX38" s="15">
        <v>116.93</v>
      </c>
    </row>
    <row r="39" spans="1:76" s="1284" customFormat="1" ht="11.45" customHeight="1" x14ac:dyDescent="0.2">
      <c r="A39" s="1869" t="s">
        <v>804</v>
      </c>
      <c r="B39" s="1512" t="s">
        <v>557</v>
      </c>
      <c r="C39" s="1644">
        <v>-1.75</v>
      </c>
      <c r="D39" s="1644">
        <v>0.46</v>
      </c>
      <c r="E39" s="1644">
        <v>0</v>
      </c>
      <c r="F39" s="1644">
        <v>-2.14</v>
      </c>
      <c r="G39" s="1644">
        <v>0.03</v>
      </c>
      <c r="H39" s="1644">
        <v>-3.14</v>
      </c>
      <c r="I39" s="1644">
        <v>-3.17</v>
      </c>
      <c r="J39" s="1644">
        <v>0.01</v>
      </c>
      <c r="K39" s="1644">
        <v>-0.91</v>
      </c>
      <c r="L39" s="1644">
        <v>0.76</v>
      </c>
      <c r="M39" s="1644">
        <v>0</v>
      </c>
      <c r="N39" s="1644">
        <v>-1.24</v>
      </c>
      <c r="O39" s="1644">
        <v>-0.74</v>
      </c>
      <c r="P39" s="1644">
        <v>0.11</v>
      </c>
      <c r="Q39" s="1644">
        <v>0</v>
      </c>
      <c r="R39" s="1644">
        <v>-0.28999999999999998</v>
      </c>
      <c r="S39" s="1644">
        <v>-1.1000000000000001</v>
      </c>
      <c r="T39" s="1512" t="s">
        <v>557</v>
      </c>
      <c r="U39" s="1644">
        <v>-3.83</v>
      </c>
      <c r="V39" s="1644">
        <v>0</v>
      </c>
      <c r="W39" s="1644">
        <v>-0.56000000000000005</v>
      </c>
      <c r="X39" s="1644">
        <v>0.12</v>
      </c>
      <c r="Y39" s="1644">
        <v>-0.01</v>
      </c>
      <c r="Z39" s="1644">
        <v>-1.51</v>
      </c>
      <c r="AA39" s="1644">
        <v>0</v>
      </c>
      <c r="AB39" s="1644">
        <v>-0.7</v>
      </c>
      <c r="AC39" s="1644">
        <v>-0.05</v>
      </c>
      <c r="AD39" s="1644">
        <v>-1.2</v>
      </c>
      <c r="AE39" s="1644">
        <v>-0.82</v>
      </c>
      <c r="AF39" s="1644">
        <v>-2.0499999999999998</v>
      </c>
      <c r="AG39" s="1644">
        <v>0.38</v>
      </c>
      <c r="AH39" s="1644">
        <v>-1.71</v>
      </c>
      <c r="AI39" s="1644">
        <v>-0.34</v>
      </c>
      <c r="AJ39" s="1644">
        <v>0</v>
      </c>
      <c r="AK39" s="1644">
        <v>-4.13</v>
      </c>
      <c r="AL39" s="281">
        <v>59.04</v>
      </c>
      <c r="AM39" s="281">
        <v>13.48</v>
      </c>
      <c r="AN39" s="281">
        <v>13.89</v>
      </c>
      <c r="AO39" s="281">
        <v>189.15</v>
      </c>
      <c r="AP39" s="281">
        <v>189.35</v>
      </c>
      <c r="AQ39" s="281">
        <v>0.86</v>
      </c>
      <c r="AR39" s="281">
        <v>0.86</v>
      </c>
      <c r="AS39" s="281">
        <v>1.69</v>
      </c>
      <c r="AT39" s="281">
        <v>1.7</v>
      </c>
      <c r="AU39" s="1828" t="s">
        <v>558</v>
      </c>
      <c r="AV39" s="281">
        <v>20</v>
      </c>
      <c r="AW39" s="281">
        <v>20.03</v>
      </c>
      <c r="AX39" s="281">
        <v>2.59</v>
      </c>
      <c r="AY39" s="281">
        <v>2.65</v>
      </c>
      <c r="AZ39" s="281">
        <v>19.420000000000002</v>
      </c>
      <c r="BA39" s="281">
        <v>19.440000000000001</v>
      </c>
      <c r="BB39" s="281">
        <v>7.0000000000000007E-2</v>
      </c>
      <c r="BC39" s="281">
        <v>7.0000000000000007E-2</v>
      </c>
      <c r="BD39" s="281">
        <v>58.41</v>
      </c>
      <c r="BE39" s="281">
        <v>59.56</v>
      </c>
      <c r="BF39" s="281">
        <v>11.75</v>
      </c>
      <c r="BG39" s="281">
        <v>12.07</v>
      </c>
      <c r="BH39" s="281">
        <v>0.66</v>
      </c>
      <c r="BI39" s="281">
        <v>0.66</v>
      </c>
      <c r="BJ39" s="1828" t="s">
        <v>558</v>
      </c>
      <c r="BK39" s="281">
        <v>81.8</v>
      </c>
      <c r="BL39" s="281">
        <v>84.25</v>
      </c>
      <c r="BM39" s="281">
        <v>1.53</v>
      </c>
      <c r="BN39" s="281">
        <v>1.53</v>
      </c>
      <c r="BO39" s="281">
        <v>116.33</v>
      </c>
      <c r="BP39" s="281">
        <v>118.17</v>
      </c>
      <c r="BQ39" s="281">
        <v>2.42</v>
      </c>
      <c r="BR39" s="281">
        <v>2.44</v>
      </c>
      <c r="BS39" s="281">
        <v>19.829999999999998</v>
      </c>
      <c r="BT39" s="281">
        <v>19.850000000000001</v>
      </c>
      <c r="BU39" s="281">
        <v>72.819999999999993</v>
      </c>
      <c r="BV39" s="281">
        <v>72.900000000000006</v>
      </c>
      <c r="BW39" s="281">
        <v>119.15</v>
      </c>
      <c r="BX39" s="281">
        <v>121.79</v>
      </c>
    </row>
    <row r="40" spans="1:76" s="1284" customFormat="1" ht="11.45" customHeight="1" x14ac:dyDescent="0.2">
      <c r="A40" s="1869" t="s">
        <v>804</v>
      </c>
      <c r="B40" s="1512" t="s">
        <v>549</v>
      </c>
      <c r="C40" s="1644">
        <v>1.75</v>
      </c>
      <c r="D40" s="1644">
        <v>0.82</v>
      </c>
      <c r="E40" s="1644">
        <v>0</v>
      </c>
      <c r="F40" s="1644">
        <v>0.59</v>
      </c>
      <c r="G40" s="1644">
        <v>0.14000000000000001</v>
      </c>
      <c r="H40" s="1644">
        <v>-2.38</v>
      </c>
      <c r="I40" s="1644">
        <v>-2.41</v>
      </c>
      <c r="J40" s="1644">
        <v>-7.0000000000000007E-2</v>
      </c>
      <c r="K40" s="1644">
        <v>-1.01</v>
      </c>
      <c r="L40" s="1644">
        <v>-0.52</v>
      </c>
      <c r="M40" s="1644">
        <v>0</v>
      </c>
      <c r="N40" s="1644">
        <v>-2.1</v>
      </c>
      <c r="O40" s="1644">
        <v>-0.77</v>
      </c>
      <c r="P40" s="1644">
        <v>0</v>
      </c>
      <c r="Q40" s="1644">
        <v>0</v>
      </c>
      <c r="R40" s="1644">
        <v>-0.3</v>
      </c>
      <c r="S40" s="1644">
        <v>1.25</v>
      </c>
      <c r="T40" s="1512" t="s">
        <v>549</v>
      </c>
      <c r="U40" s="1644">
        <v>-2.64</v>
      </c>
      <c r="V40" s="1644">
        <v>0</v>
      </c>
      <c r="W40" s="1644">
        <v>-0.25</v>
      </c>
      <c r="X40" s="1644">
        <v>-0.21</v>
      </c>
      <c r="Y40" s="1644">
        <v>-0.01</v>
      </c>
      <c r="Z40" s="1644">
        <v>-1.77</v>
      </c>
      <c r="AA40" s="1644">
        <v>0</v>
      </c>
      <c r="AB40" s="1644">
        <v>-2.63</v>
      </c>
      <c r="AC40" s="1644">
        <v>-0.34</v>
      </c>
      <c r="AD40" s="1644">
        <v>-1.54</v>
      </c>
      <c r="AE40" s="1644">
        <v>0.59</v>
      </c>
      <c r="AF40" s="1644">
        <v>-2.0099999999999998</v>
      </c>
      <c r="AG40" s="1644">
        <v>0.23</v>
      </c>
      <c r="AH40" s="1644">
        <v>-0.99</v>
      </c>
      <c r="AI40" s="1644">
        <v>1.91</v>
      </c>
      <c r="AJ40" s="1644">
        <v>0</v>
      </c>
      <c r="AK40" s="1644">
        <v>0.26</v>
      </c>
      <c r="AL40" s="15">
        <v>59.94</v>
      </c>
      <c r="AM40" s="15">
        <v>13.36</v>
      </c>
      <c r="AN40" s="15">
        <v>13.52</v>
      </c>
      <c r="AO40" s="15">
        <v>190.11</v>
      </c>
      <c r="AP40" s="15">
        <v>190.87</v>
      </c>
      <c r="AQ40" s="15">
        <v>0.86</v>
      </c>
      <c r="AR40" s="15">
        <v>0.86</v>
      </c>
      <c r="AS40" s="15">
        <v>1.7</v>
      </c>
      <c r="AT40" s="15">
        <v>1.7</v>
      </c>
      <c r="AU40" s="1834" t="s">
        <v>559</v>
      </c>
      <c r="AV40" s="15">
        <v>20.100000000000001</v>
      </c>
      <c r="AW40" s="15">
        <v>20.18</v>
      </c>
      <c r="AX40" s="15">
        <v>2.62</v>
      </c>
      <c r="AY40" s="15">
        <v>2.63</v>
      </c>
      <c r="AZ40" s="15">
        <v>19.52</v>
      </c>
      <c r="BA40" s="15">
        <v>19.59</v>
      </c>
      <c r="BB40" s="15">
        <v>7.0000000000000007E-2</v>
      </c>
      <c r="BC40" s="15">
        <v>7.0000000000000007E-2</v>
      </c>
      <c r="BD40" s="15">
        <v>59.1</v>
      </c>
      <c r="BE40" s="15">
        <v>59.49</v>
      </c>
      <c r="BF40" s="15">
        <v>11.7</v>
      </c>
      <c r="BG40" s="15">
        <v>11.89</v>
      </c>
      <c r="BH40" s="15">
        <v>0.67</v>
      </c>
      <c r="BI40" s="15">
        <v>0.67</v>
      </c>
      <c r="BJ40" s="1834" t="s">
        <v>559</v>
      </c>
      <c r="BK40" s="15">
        <v>83.76</v>
      </c>
      <c r="BL40" s="15">
        <v>86.18</v>
      </c>
      <c r="BM40" s="15">
        <v>1.54</v>
      </c>
      <c r="BN40" s="15">
        <v>1.55</v>
      </c>
      <c r="BO40" s="15">
        <v>116.96</v>
      </c>
      <c r="BP40" s="15">
        <v>117.05</v>
      </c>
      <c r="BQ40" s="15">
        <v>2.42</v>
      </c>
      <c r="BR40" s="15">
        <v>2.42</v>
      </c>
      <c r="BS40" s="15">
        <v>19.93</v>
      </c>
      <c r="BT40" s="15">
        <v>20.010000000000002</v>
      </c>
      <c r="BU40" s="15">
        <v>73.19</v>
      </c>
      <c r="BV40" s="15">
        <v>73.489999999999995</v>
      </c>
      <c r="BW40" s="15">
        <v>119.64</v>
      </c>
      <c r="BX40" s="15">
        <v>120.99</v>
      </c>
    </row>
    <row r="41" spans="1:76" s="1284" customFormat="1" ht="11.45" customHeight="1" x14ac:dyDescent="0.2">
      <c r="A41" s="1869" t="s">
        <v>804</v>
      </c>
      <c r="B41" s="1512" t="s">
        <v>558</v>
      </c>
      <c r="C41" s="1856">
        <v>-0.54</v>
      </c>
      <c r="D41" s="1856">
        <v>0.35</v>
      </c>
      <c r="E41" s="1856">
        <v>0</v>
      </c>
      <c r="F41" s="1856">
        <v>0.57999999999999996</v>
      </c>
      <c r="G41" s="1856">
        <v>0.77</v>
      </c>
      <c r="H41" s="1856">
        <v>2.17</v>
      </c>
      <c r="I41" s="1856">
        <v>2.1800000000000002</v>
      </c>
      <c r="J41" s="1856">
        <v>0.02</v>
      </c>
      <c r="K41" s="1856">
        <v>0.17</v>
      </c>
      <c r="L41" s="1856">
        <v>-0.04</v>
      </c>
      <c r="M41" s="1856">
        <v>0</v>
      </c>
      <c r="N41" s="1856">
        <v>-3.65</v>
      </c>
      <c r="O41" s="1856">
        <v>0.3</v>
      </c>
      <c r="P41" s="1856">
        <v>2.06</v>
      </c>
      <c r="Q41" s="1856">
        <v>0</v>
      </c>
      <c r="R41" s="1856">
        <v>-0.16</v>
      </c>
      <c r="S41" s="1856">
        <v>2.34</v>
      </c>
      <c r="T41" s="1512" t="s">
        <v>558</v>
      </c>
      <c r="U41" s="1856">
        <v>0.56000000000000005</v>
      </c>
      <c r="V41" s="1856">
        <v>0</v>
      </c>
      <c r="W41" s="1856">
        <v>-0.05</v>
      </c>
      <c r="X41" s="1856">
        <v>-0.55000000000000004</v>
      </c>
      <c r="Y41" s="1856">
        <v>0.02</v>
      </c>
      <c r="Z41" s="1856">
        <v>0.14000000000000001</v>
      </c>
      <c r="AA41" s="1856">
        <v>0</v>
      </c>
      <c r="AB41" s="1856">
        <v>0.35</v>
      </c>
      <c r="AC41" s="1856">
        <v>0.59</v>
      </c>
      <c r="AD41" s="1856">
        <v>-0.44</v>
      </c>
      <c r="AE41" s="1856">
        <v>0</v>
      </c>
      <c r="AF41" s="1856">
        <v>1.28</v>
      </c>
      <c r="AG41" s="1856">
        <v>0.67</v>
      </c>
      <c r="AH41" s="1856">
        <v>0.66</v>
      </c>
      <c r="AI41" s="1856">
        <v>0</v>
      </c>
      <c r="AJ41" s="1856">
        <v>0</v>
      </c>
      <c r="AK41" s="1856">
        <v>2.0099999999999998</v>
      </c>
      <c r="AL41" s="281">
        <v>61.19</v>
      </c>
      <c r="AM41" s="281">
        <v>13.57</v>
      </c>
      <c r="AN41" s="281">
        <v>13.78</v>
      </c>
      <c r="AO41" s="281">
        <v>191.91</v>
      </c>
      <c r="AP41" s="281">
        <v>192.58</v>
      </c>
      <c r="AQ41" s="281">
        <v>0.86</v>
      </c>
      <c r="AR41" s="281">
        <v>0.86</v>
      </c>
      <c r="AS41" s="281">
        <v>1.7</v>
      </c>
      <c r="AT41" s="281">
        <v>1.71</v>
      </c>
      <c r="AU41" s="1828" t="s">
        <v>550</v>
      </c>
      <c r="AV41" s="281">
        <v>20.29</v>
      </c>
      <c r="AW41" s="281">
        <v>20.36</v>
      </c>
      <c r="AX41" s="281">
        <v>2.64</v>
      </c>
      <c r="AY41" s="281">
        <v>2.65</v>
      </c>
      <c r="AZ41" s="281">
        <v>19.7</v>
      </c>
      <c r="BA41" s="281">
        <v>19.77</v>
      </c>
      <c r="BB41" s="281">
        <v>7.0000000000000007E-2</v>
      </c>
      <c r="BC41" s="281">
        <v>7.0000000000000007E-2</v>
      </c>
      <c r="BD41" s="281">
        <v>59.85</v>
      </c>
      <c r="BE41" s="281">
        <v>60.14</v>
      </c>
      <c r="BF41" s="281">
        <v>11.68</v>
      </c>
      <c r="BG41" s="281">
        <v>11.75</v>
      </c>
      <c r="BH41" s="281">
        <v>0.67</v>
      </c>
      <c r="BI41" s="281">
        <v>0.68</v>
      </c>
      <c r="BJ41" s="1828" t="s">
        <v>550</v>
      </c>
      <c r="BK41" s="281">
        <v>87.85</v>
      </c>
      <c r="BL41" s="281">
        <v>88.84</v>
      </c>
      <c r="BM41" s="281">
        <v>1.56</v>
      </c>
      <c r="BN41" s="281">
        <v>1.56</v>
      </c>
      <c r="BO41" s="281">
        <v>118.14</v>
      </c>
      <c r="BP41" s="281">
        <v>118.42</v>
      </c>
      <c r="BQ41" s="281">
        <v>2.42</v>
      </c>
      <c r="BR41" s="281">
        <v>2.41</v>
      </c>
      <c r="BS41" s="281">
        <v>20.12</v>
      </c>
      <c r="BT41" s="281">
        <v>20.190000000000001</v>
      </c>
      <c r="BU41" s="281">
        <v>73.88</v>
      </c>
      <c r="BV41" s="281">
        <v>74.150000000000006</v>
      </c>
      <c r="BW41" s="281">
        <v>119.91</v>
      </c>
      <c r="BX41" s="281">
        <v>119.13</v>
      </c>
    </row>
    <row r="42" spans="1:76" s="1284" customFormat="1" ht="11.45" customHeight="1" x14ac:dyDescent="0.2">
      <c r="A42" s="1869" t="s">
        <v>804</v>
      </c>
      <c r="B42" s="1512" t="s">
        <v>559</v>
      </c>
      <c r="C42" s="1644">
        <v>-6.67</v>
      </c>
      <c r="D42" s="1644">
        <v>0.23</v>
      </c>
      <c r="E42" s="1644">
        <v>0</v>
      </c>
      <c r="F42" s="1644">
        <v>-1.76</v>
      </c>
      <c r="G42" s="1644">
        <v>0.67</v>
      </c>
      <c r="H42" s="1644">
        <v>-0.41</v>
      </c>
      <c r="I42" s="1644">
        <v>-0.42</v>
      </c>
      <c r="J42" s="1644">
        <v>-0.03</v>
      </c>
      <c r="K42" s="1644">
        <v>-3.88</v>
      </c>
      <c r="L42" s="1644">
        <v>-0.83</v>
      </c>
      <c r="M42" s="1644">
        <v>0</v>
      </c>
      <c r="N42" s="1644">
        <v>-2.93</v>
      </c>
      <c r="O42" s="1644">
        <v>-0.49</v>
      </c>
      <c r="P42" s="1644">
        <v>-1.8</v>
      </c>
      <c r="Q42" s="1644">
        <v>0</v>
      </c>
      <c r="R42" s="1644">
        <v>-2.44</v>
      </c>
      <c r="S42" s="1644">
        <v>-5.72</v>
      </c>
      <c r="T42" s="1512" t="s">
        <v>559</v>
      </c>
      <c r="U42" s="1644">
        <v>-0.19</v>
      </c>
      <c r="V42" s="1644">
        <v>0</v>
      </c>
      <c r="W42" s="1644">
        <v>-0.03</v>
      </c>
      <c r="X42" s="1644">
        <v>-2.77</v>
      </c>
      <c r="Y42" s="1644">
        <v>-0.02</v>
      </c>
      <c r="Z42" s="1644">
        <v>-1.94</v>
      </c>
      <c r="AA42" s="1644">
        <v>0</v>
      </c>
      <c r="AB42" s="1644">
        <v>-1.8</v>
      </c>
      <c r="AC42" s="1644">
        <v>-1.91</v>
      </c>
      <c r="AD42" s="1644">
        <v>-0.21</v>
      </c>
      <c r="AE42" s="1644">
        <v>0.2</v>
      </c>
      <c r="AF42" s="1644">
        <v>-1.7</v>
      </c>
      <c r="AG42" s="1644">
        <v>-28.03</v>
      </c>
      <c r="AH42" s="1644">
        <v>-0.82</v>
      </c>
      <c r="AI42" s="1644">
        <v>-2.86</v>
      </c>
      <c r="AJ42" s="1644">
        <v>0</v>
      </c>
      <c r="AK42" s="1644">
        <v>-1.75</v>
      </c>
      <c r="AL42" s="281">
        <v>65.650000000000006</v>
      </c>
      <c r="AM42" s="281">
        <v>13.68</v>
      </c>
      <c r="AN42" s="281">
        <v>13.89</v>
      </c>
      <c r="AO42" s="281">
        <v>193.38</v>
      </c>
      <c r="AP42" s="281">
        <v>194.04</v>
      </c>
      <c r="AQ42" s="281">
        <v>0.86</v>
      </c>
      <c r="AR42" s="281">
        <v>0.86</v>
      </c>
      <c r="AS42" s="281">
        <v>1.74</v>
      </c>
      <c r="AT42" s="281">
        <v>1.77</v>
      </c>
      <c r="AU42" s="1828" t="s">
        <v>552</v>
      </c>
      <c r="AV42" s="281">
        <v>20.45</v>
      </c>
      <c r="AW42" s="281">
        <v>20.52</v>
      </c>
      <c r="AX42" s="281">
        <v>2.67</v>
      </c>
      <c r="AY42" s="281">
        <v>2.72</v>
      </c>
      <c r="AZ42" s="281">
        <v>19.86</v>
      </c>
      <c r="BA42" s="281">
        <v>19.920000000000002</v>
      </c>
      <c r="BB42" s="281">
        <v>7.0000000000000007E-2</v>
      </c>
      <c r="BC42" s="281">
        <v>7.0000000000000007E-2</v>
      </c>
      <c r="BD42" s="281">
        <v>61.19</v>
      </c>
      <c r="BE42" s="281">
        <v>62.06</v>
      </c>
      <c r="BF42" s="281">
        <v>11.67</v>
      </c>
      <c r="BG42" s="281">
        <v>11.9</v>
      </c>
      <c r="BH42" s="281">
        <v>0.68</v>
      </c>
      <c r="BI42" s="281">
        <v>0.68</v>
      </c>
      <c r="BJ42" s="1828" t="s">
        <v>552</v>
      </c>
      <c r="BK42" s="281">
        <v>90.44</v>
      </c>
      <c r="BL42" s="281">
        <v>95</v>
      </c>
      <c r="BM42" s="281">
        <v>1.57</v>
      </c>
      <c r="BN42" s="281">
        <v>1.57</v>
      </c>
      <c r="BO42" s="281">
        <v>118.83</v>
      </c>
      <c r="BP42" s="281">
        <v>119.53</v>
      </c>
      <c r="BQ42" s="281">
        <v>2.4700000000000002</v>
      </c>
      <c r="BR42" s="281">
        <v>2.5099999999999998</v>
      </c>
      <c r="BS42" s="281">
        <v>20.28</v>
      </c>
      <c r="BT42" s="281">
        <v>20.34</v>
      </c>
      <c r="BU42" s="281">
        <v>74.48</v>
      </c>
      <c r="BV42" s="281">
        <v>74.709999999999994</v>
      </c>
      <c r="BW42" s="281">
        <v>120.24</v>
      </c>
      <c r="BX42" s="281">
        <v>122.65</v>
      </c>
    </row>
    <row r="43" spans="1:76" s="1284" customFormat="1" ht="11.45" customHeight="1" x14ac:dyDescent="0.2">
      <c r="A43" s="1869" t="s">
        <v>804</v>
      </c>
      <c r="B43" s="1512" t="s">
        <v>550</v>
      </c>
      <c r="C43" s="1644">
        <v>-5.39</v>
      </c>
      <c r="D43" s="1644">
        <v>-0.01</v>
      </c>
      <c r="E43" s="1644">
        <v>0</v>
      </c>
      <c r="F43" s="1644">
        <v>-2.15</v>
      </c>
      <c r="G43" s="1644">
        <v>0.01</v>
      </c>
      <c r="H43" s="1644">
        <v>-0.3</v>
      </c>
      <c r="I43" s="1644">
        <v>-0.25</v>
      </c>
      <c r="J43" s="1644">
        <v>0.1</v>
      </c>
      <c r="K43" s="1644">
        <v>-5.28</v>
      </c>
      <c r="L43" s="1644">
        <v>-1.23</v>
      </c>
      <c r="M43" s="1644">
        <v>0</v>
      </c>
      <c r="N43" s="1644">
        <v>1.45</v>
      </c>
      <c r="O43" s="1644">
        <v>0.23</v>
      </c>
      <c r="P43" s="1644">
        <v>-2.31</v>
      </c>
      <c r="Q43" s="1644">
        <v>0</v>
      </c>
      <c r="R43" s="1644">
        <v>-6.94</v>
      </c>
      <c r="S43" s="1644">
        <v>-4.0599999999999996</v>
      </c>
      <c r="T43" s="1512" t="s">
        <v>550</v>
      </c>
      <c r="U43" s="1644">
        <v>-4.03</v>
      </c>
      <c r="V43" s="1644">
        <v>0</v>
      </c>
      <c r="W43" s="1644">
        <v>-1.03</v>
      </c>
      <c r="X43" s="1644">
        <v>-2.04</v>
      </c>
      <c r="Y43" s="1644">
        <v>0.02</v>
      </c>
      <c r="Z43" s="1644">
        <v>-4.0599999999999996</v>
      </c>
      <c r="AA43" s="1644">
        <v>0</v>
      </c>
      <c r="AB43" s="1644">
        <v>-1.28</v>
      </c>
      <c r="AC43" s="1644">
        <v>-0.77</v>
      </c>
      <c r="AD43" s="1644">
        <v>-2.0299999999999998</v>
      </c>
      <c r="AE43" s="1644">
        <v>-3.14</v>
      </c>
      <c r="AF43" s="1644">
        <v>0.91</v>
      </c>
      <c r="AG43" s="1644">
        <v>-3.11</v>
      </c>
      <c r="AH43" s="1644">
        <v>0.48</v>
      </c>
      <c r="AI43" s="1644">
        <v>-2.99</v>
      </c>
      <c r="AJ43" s="1644">
        <v>0</v>
      </c>
      <c r="AK43" s="1644">
        <v>-0.14000000000000001</v>
      </c>
      <c r="AL43" s="15">
        <v>62.23</v>
      </c>
      <c r="AM43" s="15">
        <v>13.67</v>
      </c>
      <c r="AN43" s="15">
        <v>13.76</v>
      </c>
      <c r="AO43" s="15">
        <v>193.33</v>
      </c>
      <c r="AP43" s="15">
        <v>191.21</v>
      </c>
      <c r="AQ43" s="15">
        <v>0.86</v>
      </c>
      <c r="AR43" s="15">
        <v>0.84</v>
      </c>
      <c r="AS43" s="15">
        <v>1.76</v>
      </c>
      <c r="AT43" s="15">
        <v>1.74</v>
      </c>
      <c r="AU43" s="1834" t="s">
        <v>553</v>
      </c>
      <c r="AV43" s="15">
        <v>20.45</v>
      </c>
      <c r="AW43" s="15">
        <v>20.22</v>
      </c>
      <c r="AX43" s="15">
        <v>2.59</v>
      </c>
      <c r="AY43" s="15">
        <v>2.56</v>
      </c>
      <c r="AZ43" s="15">
        <v>19.850000000000001</v>
      </c>
      <c r="BA43" s="15">
        <v>19.63</v>
      </c>
      <c r="BB43" s="15">
        <v>7.0000000000000007E-2</v>
      </c>
      <c r="BC43" s="15">
        <v>7.0000000000000007E-2</v>
      </c>
      <c r="BD43" s="15">
        <v>61.57</v>
      </c>
      <c r="BE43" s="15">
        <v>61.07</v>
      </c>
      <c r="BF43" s="15">
        <v>11.63</v>
      </c>
      <c r="BG43" s="15">
        <v>11.63</v>
      </c>
      <c r="BH43" s="15">
        <v>0.68</v>
      </c>
      <c r="BI43" s="15">
        <v>0.67</v>
      </c>
      <c r="BJ43" s="1834" t="s">
        <v>553</v>
      </c>
      <c r="BK43" s="15">
        <v>95.62</v>
      </c>
      <c r="BL43" s="15">
        <v>90.2</v>
      </c>
      <c r="BM43" s="15">
        <v>1.57</v>
      </c>
      <c r="BN43" s="15">
        <v>1.55</v>
      </c>
      <c r="BO43" s="15">
        <v>119.49</v>
      </c>
      <c r="BP43" s="15">
        <v>118.73</v>
      </c>
      <c r="BQ43" s="15">
        <v>2.4900000000000002</v>
      </c>
      <c r="BR43" s="15">
        <v>2.4500000000000002</v>
      </c>
      <c r="BS43" s="15">
        <v>20.27</v>
      </c>
      <c r="BT43" s="15">
        <v>20.04</v>
      </c>
      <c r="BU43" s="15">
        <v>74.45</v>
      </c>
      <c r="BV43" s="15">
        <v>73.62</v>
      </c>
      <c r="BW43" s="15">
        <v>121.89</v>
      </c>
      <c r="BX43" s="15">
        <v>120.77</v>
      </c>
    </row>
    <row r="44" spans="1:76" s="1284" customFormat="1" ht="11.45" customHeight="1" x14ac:dyDescent="0.2">
      <c r="A44" s="1848" t="s">
        <v>696</v>
      </c>
      <c r="B44" s="1867" t="s">
        <v>550</v>
      </c>
      <c r="C44" s="1857">
        <v>81.64</v>
      </c>
      <c r="D44" s="1857">
        <v>83.78</v>
      </c>
      <c r="E44" s="1857">
        <v>81.87</v>
      </c>
      <c r="F44" s="1857">
        <v>81.819999999999993</v>
      </c>
      <c r="G44" s="1857">
        <v>217.16</v>
      </c>
      <c r="H44" s="1857">
        <v>217.03</v>
      </c>
      <c r="I44" s="1857">
        <v>79.650000000000006</v>
      </c>
      <c r="J44" s="1857">
        <v>80.45</v>
      </c>
      <c r="K44" s="1857">
        <v>12.96</v>
      </c>
      <c r="L44" s="1857">
        <v>12.94</v>
      </c>
      <c r="M44" s="1857">
        <v>13.81</v>
      </c>
      <c r="N44" s="1857">
        <v>13.91</v>
      </c>
      <c r="O44" s="1857">
        <v>102.64</v>
      </c>
      <c r="P44" s="1857">
        <v>103.45</v>
      </c>
      <c r="Q44" s="1867" t="s">
        <v>550</v>
      </c>
      <c r="R44" s="1856">
        <v>10.55</v>
      </c>
      <c r="S44" s="1856">
        <v>10.55</v>
      </c>
      <c r="T44" s="1856">
        <v>1.46</v>
      </c>
      <c r="U44" s="1856">
        <v>1.47</v>
      </c>
      <c r="V44" s="1856">
        <v>0.01</v>
      </c>
      <c r="W44" s="1856">
        <v>0.01</v>
      </c>
      <c r="X44" s="1856">
        <v>0.01</v>
      </c>
      <c r="Y44" s="1856">
        <v>0.01</v>
      </c>
      <c r="Z44" s="1856">
        <v>1.03</v>
      </c>
      <c r="AA44" s="1856">
        <v>1.02</v>
      </c>
      <c r="AB44" s="1856">
        <v>292.10000000000002</v>
      </c>
      <c r="AC44" s="1856">
        <v>292.27</v>
      </c>
      <c r="AD44" s="1856">
        <v>25.76</v>
      </c>
      <c r="AE44" s="1856">
        <v>25.81</v>
      </c>
      <c r="AF44" s="1867" t="s">
        <v>550</v>
      </c>
      <c r="AG44" s="1857">
        <v>12.75</v>
      </c>
      <c r="AH44" s="1857">
        <v>12.74</v>
      </c>
      <c r="AI44" s="1857">
        <v>0.92</v>
      </c>
      <c r="AJ44" s="1857">
        <v>0.9</v>
      </c>
      <c r="AK44" s="1857">
        <v>63.74</v>
      </c>
      <c r="AL44" s="1836">
        <v>65.52</v>
      </c>
      <c r="AM44" s="1836">
        <v>13.61</v>
      </c>
      <c r="AN44" s="1836">
        <v>13.72</v>
      </c>
      <c r="AO44" s="1836">
        <v>212.3</v>
      </c>
      <c r="AP44" s="1836">
        <v>212.52</v>
      </c>
      <c r="AQ44" s="1836">
        <v>0.87</v>
      </c>
      <c r="AR44" s="1836">
        <v>0.87</v>
      </c>
      <c r="AS44" s="1836">
        <v>1.92</v>
      </c>
      <c r="AT44" s="1836">
        <v>1.94</v>
      </c>
      <c r="AU44" s="1835" t="s">
        <v>550</v>
      </c>
      <c r="AV44" s="1836">
        <v>22.49</v>
      </c>
      <c r="AW44" s="1836">
        <v>22.47</v>
      </c>
      <c r="AX44" s="1836">
        <v>2.5</v>
      </c>
      <c r="AY44" s="1836">
        <v>2.4900000000000002</v>
      </c>
      <c r="AZ44" s="1836">
        <v>21.83</v>
      </c>
      <c r="BA44" s="1836">
        <v>21.82</v>
      </c>
      <c r="BB44" s="1836">
        <v>7.0000000000000007E-2</v>
      </c>
      <c r="BC44" s="1836">
        <v>7.0000000000000007E-2</v>
      </c>
      <c r="BD44" s="1836">
        <v>64.02</v>
      </c>
      <c r="BE44" s="1836">
        <v>64.650000000000006</v>
      </c>
      <c r="BF44" s="1836">
        <v>11.57</v>
      </c>
      <c r="BG44" s="1836">
        <v>11.82</v>
      </c>
      <c r="BH44" s="1836">
        <v>0.62</v>
      </c>
      <c r="BI44" s="1836">
        <v>0.61</v>
      </c>
      <c r="BJ44" s="1835" t="s">
        <v>550</v>
      </c>
      <c r="BK44" s="1836">
        <v>85.44</v>
      </c>
      <c r="BL44" s="1836">
        <v>86.11</v>
      </c>
      <c r="BM44" s="1836">
        <v>1.28</v>
      </c>
      <c r="BN44" s="1836">
        <v>1.28</v>
      </c>
      <c r="BO44" s="1836">
        <v>124.02</v>
      </c>
      <c r="BP44" s="1836">
        <v>124.16</v>
      </c>
      <c r="BQ44" s="1836">
        <v>2.59</v>
      </c>
      <c r="BR44" s="1836">
        <v>2.59</v>
      </c>
      <c r="BS44" s="1836">
        <v>22.29</v>
      </c>
      <c r="BT44" s="1836">
        <v>22.28</v>
      </c>
      <c r="BU44" s="1836">
        <v>81.87</v>
      </c>
      <c r="BV44" s="1836">
        <v>81.819999999999993</v>
      </c>
      <c r="BW44" s="1836">
        <v>127.27</v>
      </c>
      <c r="BX44" s="1837">
        <v>128.19999999999999</v>
      </c>
    </row>
    <row r="45" spans="1:76" s="1284" customFormat="1" ht="11.45" customHeight="1" x14ac:dyDescent="0.2">
      <c r="A45" s="1848" t="s">
        <v>804</v>
      </c>
      <c r="B45" s="1867" t="s">
        <v>552</v>
      </c>
      <c r="C45" s="1858">
        <v>84.24</v>
      </c>
      <c r="D45" s="1858">
        <v>85.78</v>
      </c>
      <c r="E45" s="1858">
        <v>81.77</v>
      </c>
      <c r="F45" s="1644">
        <v>81.7</v>
      </c>
      <c r="G45" s="1644">
        <v>216.9</v>
      </c>
      <c r="H45" s="1858">
        <v>216.71</v>
      </c>
      <c r="I45" s="1858">
        <v>80.650000000000006</v>
      </c>
      <c r="J45" s="1858">
        <v>81.55</v>
      </c>
      <c r="K45" s="1858">
        <v>12.93</v>
      </c>
      <c r="L45" s="1644">
        <v>12.9</v>
      </c>
      <c r="M45" s="1858">
        <v>13.52</v>
      </c>
      <c r="N45" s="1858">
        <v>13.47</v>
      </c>
      <c r="O45" s="1858">
        <v>100.59</v>
      </c>
      <c r="P45" s="1858">
        <v>100.16</v>
      </c>
      <c r="Q45" s="1867" t="s">
        <v>552</v>
      </c>
      <c r="R45" s="1858">
        <v>10.54</v>
      </c>
      <c r="S45" s="1858">
        <v>10.53</v>
      </c>
      <c r="T45" s="1858">
        <v>1.48</v>
      </c>
      <c r="U45" s="1858">
        <v>1.47</v>
      </c>
      <c r="V45" s="1858">
        <v>0.01</v>
      </c>
      <c r="W45" s="1858">
        <v>0.01</v>
      </c>
      <c r="X45" s="1858">
        <v>0.01</v>
      </c>
      <c r="Y45" s="1858">
        <v>0.01</v>
      </c>
      <c r="Z45" s="1858">
        <v>1.03</v>
      </c>
      <c r="AA45" s="1858">
        <v>1.05</v>
      </c>
      <c r="AB45" s="1858">
        <v>290.49</v>
      </c>
      <c r="AC45" s="1858">
        <v>289.66000000000003</v>
      </c>
      <c r="AD45" s="1858">
        <v>25.81</v>
      </c>
      <c r="AE45" s="1858">
        <v>25.96</v>
      </c>
      <c r="AF45" s="1867" t="s">
        <v>552</v>
      </c>
      <c r="AG45" s="1858">
        <v>12.74</v>
      </c>
      <c r="AH45" s="1858">
        <v>12.73</v>
      </c>
      <c r="AI45" s="1858">
        <v>0.92</v>
      </c>
      <c r="AJ45" s="1858">
        <v>0.91</v>
      </c>
      <c r="AK45" s="1858">
        <v>65.34</v>
      </c>
      <c r="AL45" s="1827">
        <v>66.069999999999993</v>
      </c>
      <c r="AM45" s="1827">
        <v>13.49</v>
      </c>
      <c r="AN45" s="1827">
        <v>13.52</v>
      </c>
      <c r="AO45" s="1827">
        <v>212.09</v>
      </c>
      <c r="AP45" s="1827">
        <v>211.63</v>
      </c>
      <c r="AQ45" s="1827">
        <v>0.87</v>
      </c>
      <c r="AR45" s="1827">
        <v>0.86</v>
      </c>
      <c r="AS45" s="1827">
        <v>1.95</v>
      </c>
      <c r="AT45" s="1827">
        <v>1.95</v>
      </c>
      <c r="AU45" s="1761" t="s">
        <v>552</v>
      </c>
      <c r="AV45" s="1827">
        <v>22.46</v>
      </c>
      <c r="AW45" s="1827">
        <v>22.44</v>
      </c>
      <c r="AX45" s="1827">
        <v>2.52</v>
      </c>
      <c r="AY45" s="1827">
        <v>2.54</v>
      </c>
      <c r="AZ45" s="1827">
        <v>21.8</v>
      </c>
      <c r="BA45" s="1827">
        <v>21.79</v>
      </c>
      <c r="BB45" s="1827">
        <v>7.0000000000000007E-2</v>
      </c>
      <c r="BC45" s="1827">
        <v>7.0000000000000007E-2</v>
      </c>
      <c r="BD45" s="1827">
        <v>64.849999999999994</v>
      </c>
      <c r="BE45" s="1827">
        <v>65.53</v>
      </c>
      <c r="BF45" s="1827">
        <v>11.76</v>
      </c>
      <c r="BG45" s="1827">
        <v>12.04</v>
      </c>
      <c r="BH45" s="1827">
        <v>0.62</v>
      </c>
      <c r="BI45" s="1827">
        <v>0.62</v>
      </c>
      <c r="BJ45" s="1761" t="s">
        <v>552</v>
      </c>
      <c r="BK45" s="1827">
        <v>83.75</v>
      </c>
      <c r="BL45" s="1827">
        <v>83.37</v>
      </c>
      <c r="BM45" s="1827">
        <v>1.27</v>
      </c>
      <c r="BN45" s="1827">
        <v>1.25</v>
      </c>
      <c r="BO45" s="1827">
        <v>123.23</v>
      </c>
      <c r="BP45" s="1827">
        <v>123.19</v>
      </c>
      <c r="BQ45" s="1827">
        <v>2.59</v>
      </c>
      <c r="BR45" s="1827">
        <v>2.59</v>
      </c>
      <c r="BS45" s="1827">
        <v>22.26</v>
      </c>
      <c r="BT45" s="1827">
        <v>22.24</v>
      </c>
      <c r="BU45" s="1827">
        <v>81.77</v>
      </c>
      <c r="BV45" s="339">
        <v>81.7</v>
      </c>
      <c r="BW45" s="1827">
        <v>127.56</v>
      </c>
      <c r="BX45" s="1827">
        <v>128.35</v>
      </c>
    </row>
    <row r="46" spans="1:76" s="1284" customFormat="1" ht="11.45" customHeight="1" x14ac:dyDescent="0.2">
      <c r="A46" s="1848" t="s">
        <v>804</v>
      </c>
      <c r="B46" s="1867" t="s">
        <v>553</v>
      </c>
      <c r="C46" s="1858">
        <v>85.41</v>
      </c>
      <c r="D46" s="1644">
        <v>84.1</v>
      </c>
      <c r="E46" s="1858">
        <v>81.52</v>
      </c>
      <c r="F46" s="1858">
        <v>81.709999999999994</v>
      </c>
      <c r="G46" s="1858">
        <v>216.22</v>
      </c>
      <c r="H46" s="1858">
        <v>216.74</v>
      </c>
      <c r="I46" s="1858">
        <v>82.04</v>
      </c>
      <c r="J46" s="1858">
        <v>82.36</v>
      </c>
      <c r="K46" s="1858">
        <v>12.86</v>
      </c>
      <c r="L46" s="1858">
        <v>12.88</v>
      </c>
      <c r="M46" s="1858">
        <v>13.56</v>
      </c>
      <c r="N46" s="1858">
        <v>13.72</v>
      </c>
      <c r="O46" s="1858">
        <v>100.98</v>
      </c>
      <c r="P46" s="1858">
        <v>102.19</v>
      </c>
      <c r="Q46" s="1867" t="s">
        <v>553</v>
      </c>
      <c r="R46" s="1858">
        <v>10.51</v>
      </c>
      <c r="S46" s="1858">
        <v>10.53</v>
      </c>
      <c r="T46" s="1858">
        <v>1.47</v>
      </c>
      <c r="U46" s="1858">
        <v>1.47</v>
      </c>
      <c r="V46" s="1858">
        <v>0.01</v>
      </c>
      <c r="W46" s="1858">
        <v>0.01</v>
      </c>
      <c r="X46" s="1858">
        <v>0.01</v>
      </c>
      <c r="Y46" s="1858">
        <v>0.01</v>
      </c>
      <c r="Z46" s="1858">
        <v>1.04</v>
      </c>
      <c r="AA46" s="1858">
        <v>1.04</v>
      </c>
      <c r="AB46" s="1858">
        <v>288.94</v>
      </c>
      <c r="AC46" s="1858">
        <v>289.44</v>
      </c>
      <c r="AD46" s="1858">
        <v>26.13</v>
      </c>
      <c r="AE46" s="1858">
        <v>26.15</v>
      </c>
      <c r="AF46" s="1867" t="s">
        <v>553</v>
      </c>
      <c r="AG46" s="1644">
        <v>12.7</v>
      </c>
      <c r="AH46" s="1644">
        <v>12.73</v>
      </c>
      <c r="AI46" s="1644">
        <v>0.92</v>
      </c>
      <c r="AJ46" s="1644">
        <v>0.92</v>
      </c>
      <c r="AK46" s="1644">
        <v>66.06</v>
      </c>
      <c r="AL46" s="353">
        <v>65.2</v>
      </c>
      <c r="AM46" s="353">
        <v>13.79</v>
      </c>
      <c r="AN46" s="353">
        <v>14.04</v>
      </c>
      <c r="AO46" s="353">
        <v>211.71</v>
      </c>
      <c r="AP46" s="353">
        <v>212.26</v>
      </c>
      <c r="AQ46" s="353">
        <v>0.86</v>
      </c>
      <c r="AR46" s="353">
        <v>0.86</v>
      </c>
      <c r="AS46" s="353">
        <v>1.94</v>
      </c>
      <c r="AT46" s="1824">
        <v>1.94</v>
      </c>
      <c r="AU46" s="1828" t="s">
        <v>553</v>
      </c>
      <c r="AV46" s="353">
        <v>22.39</v>
      </c>
      <c r="AW46" s="353">
        <v>22.44</v>
      </c>
      <c r="AX46" s="353">
        <v>2.56</v>
      </c>
      <c r="AY46" s="353">
        <v>2.54</v>
      </c>
      <c r="AZ46" s="353">
        <v>21.74</v>
      </c>
      <c r="BA46" s="353">
        <v>21.79</v>
      </c>
      <c r="BB46" s="353">
        <v>7.0000000000000007E-2</v>
      </c>
      <c r="BC46" s="353">
        <v>7.0000000000000007E-2</v>
      </c>
      <c r="BD46" s="353">
        <v>65.31</v>
      </c>
      <c r="BE46" s="353">
        <v>65.2</v>
      </c>
      <c r="BF46" s="353">
        <v>12.2</v>
      </c>
      <c r="BG46" s="353">
        <v>12.24</v>
      </c>
      <c r="BH46" s="353">
        <v>0.62</v>
      </c>
      <c r="BI46" s="353">
        <v>0.62</v>
      </c>
      <c r="BJ46" s="1828" t="s">
        <v>553</v>
      </c>
      <c r="BK46" s="353">
        <v>84.07</v>
      </c>
      <c r="BL46" s="353">
        <v>85.1</v>
      </c>
      <c r="BM46" s="353">
        <v>1.24</v>
      </c>
      <c r="BN46" s="353">
        <v>1.23</v>
      </c>
      <c r="BO46" s="353">
        <v>123.23</v>
      </c>
      <c r="BP46" s="353">
        <v>124.22</v>
      </c>
      <c r="BQ46" s="353">
        <v>2.59</v>
      </c>
      <c r="BR46" s="353">
        <v>2.6</v>
      </c>
      <c r="BS46" s="353">
        <v>22.19</v>
      </c>
      <c r="BT46" s="353">
        <v>22.25</v>
      </c>
      <c r="BU46" s="353">
        <v>81.52</v>
      </c>
      <c r="BV46" s="353">
        <v>81.709999999999994</v>
      </c>
      <c r="BW46" s="353">
        <v>128.05000000000001</v>
      </c>
      <c r="BX46" s="353">
        <v>129</v>
      </c>
    </row>
    <row r="47" spans="1:76" s="1284" customFormat="1" ht="11.45" customHeight="1" x14ac:dyDescent="0.15">
      <c r="A47" s="1848" t="s">
        <v>804</v>
      </c>
      <c r="B47" s="1870" t="s">
        <v>547</v>
      </c>
      <c r="C47" s="1858">
        <v>84.99</v>
      </c>
      <c r="D47" s="1858">
        <v>84.71</v>
      </c>
      <c r="E47" s="1858">
        <v>81.73</v>
      </c>
      <c r="F47" s="1858">
        <v>81.650000000000006</v>
      </c>
      <c r="G47" s="1858">
        <v>216.79</v>
      </c>
      <c r="H47" s="1858">
        <v>216.56</v>
      </c>
      <c r="I47" s="1858">
        <v>83.49</v>
      </c>
      <c r="J47" s="1858">
        <v>83.06</v>
      </c>
      <c r="K47" s="1858">
        <v>12.89</v>
      </c>
      <c r="L47" s="1858">
        <v>12.88</v>
      </c>
      <c r="M47" s="1858">
        <v>14.1</v>
      </c>
      <c r="N47" s="1858">
        <v>14.07</v>
      </c>
      <c r="O47" s="1858">
        <v>105.11</v>
      </c>
      <c r="P47" s="1858">
        <v>104.89</v>
      </c>
      <c r="Q47" s="1870" t="s">
        <v>547</v>
      </c>
      <c r="R47" s="1858">
        <v>10.54</v>
      </c>
      <c r="S47" s="1858">
        <v>10.53</v>
      </c>
      <c r="T47" s="1644">
        <v>1.5</v>
      </c>
      <c r="U47" s="1858">
        <v>1.54</v>
      </c>
      <c r="V47" s="1858">
        <v>0.01</v>
      </c>
      <c r="W47" s="1858">
        <v>0.01</v>
      </c>
      <c r="X47" s="1858">
        <v>0.01</v>
      </c>
      <c r="Y47" s="1858">
        <v>0.01</v>
      </c>
      <c r="Z47" s="1858">
        <v>1.05</v>
      </c>
      <c r="AA47" s="1858">
        <v>1.05</v>
      </c>
      <c r="AB47" s="1858">
        <v>290.74</v>
      </c>
      <c r="AC47" s="1858">
        <v>290.55</v>
      </c>
      <c r="AD47" s="1858">
        <v>26.55</v>
      </c>
      <c r="AE47" s="1858">
        <v>26.71</v>
      </c>
      <c r="AF47" s="1870" t="s">
        <v>547</v>
      </c>
      <c r="AG47" s="1858">
        <v>12.73</v>
      </c>
      <c r="AH47" s="1858">
        <v>12.72</v>
      </c>
      <c r="AI47" s="1858">
        <v>0.93</v>
      </c>
      <c r="AJ47" s="1858">
        <v>0.96</v>
      </c>
      <c r="AK47" s="1858">
        <v>66.849999999999994</v>
      </c>
      <c r="AL47" s="1827">
        <v>67.67</v>
      </c>
      <c r="AM47" s="1827">
        <v>14.22</v>
      </c>
      <c r="AN47" s="1827">
        <v>14.26</v>
      </c>
      <c r="AO47" s="1827">
        <v>212.28</v>
      </c>
      <c r="AP47" s="1827">
        <v>212.06</v>
      </c>
      <c r="AQ47" s="1827">
        <v>0.86</v>
      </c>
      <c r="AR47" s="1827">
        <v>0.86</v>
      </c>
      <c r="AS47" s="1827">
        <v>1.96</v>
      </c>
      <c r="AT47" s="1827">
        <v>1.96</v>
      </c>
      <c r="AU47" s="1207" t="s">
        <v>547</v>
      </c>
      <c r="AV47" s="1827">
        <v>22.45</v>
      </c>
      <c r="AW47" s="1827">
        <v>22.42</v>
      </c>
      <c r="AX47" s="1827">
        <v>2.59</v>
      </c>
      <c r="AY47" s="1827">
        <v>2.61</v>
      </c>
      <c r="AZ47" s="1827">
        <v>21.79</v>
      </c>
      <c r="BA47" s="1827">
        <v>21.77</v>
      </c>
      <c r="BB47" s="1827">
        <v>7.0000000000000007E-2</v>
      </c>
      <c r="BC47" s="1827">
        <v>7.0000000000000007E-2</v>
      </c>
      <c r="BD47" s="1827">
        <v>66.349999999999994</v>
      </c>
      <c r="BE47" s="1827">
        <v>66.52</v>
      </c>
      <c r="BF47" s="1827">
        <v>12.39</v>
      </c>
      <c r="BG47" s="1827">
        <v>12.44</v>
      </c>
      <c r="BH47" s="1827">
        <v>0.62</v>
      </c>
      <c r="BI47" s="1827">
        <v>0.63</v>
      </c>
      <c r="BJ47" s="1207" t="s">
        <v>547</v>
      </c>
      <c r="BK47" s="1827">
        <v>86.94</v>
      </c>
      <c r="BL47" s="339">
        <v>86.8</v>
      </c>
      <c r="BM47" s="1827">
        <v>1.22</v>
      </c>
      <c r="BN47" s="339">
        <v>1.2</v>
      </c>
      <c r="BO47" s="1827">
        <v>125.58</v>
      </c>
      <c r="BP47" s="1827">
        <v>125.92</v>
      </c>
      <c r="BQ47" s="1827">
        <v>2.64</v>
      </c>
      <c r="BR47" s="1827">
        <v>2.65</v>
      </c>
      <c r="BS47" s="1827">
        <v>22.25</v>
      </c>
      <c r="BT47" s="1827">
        <v>22.23</v>
      </c>
      <c r="BU47" s="1827">
        <v>81.73</v>
      </c>
      <c r="BV47" s="1827">
        <v>81.650000000000006</v>
      </c>
      <c r="BW47" s="1827">
        <v>131.57</v>
      </c>
      <c r="BX47" s="1827">
        <v>131.83000000000001</v>
      </c>
    </row>
    <row r="48" spans="1:76" s="1284" customFormat="1" ht="11.45" customHeight="1" x14ac:dyDescent="0.15">
      <c r="A48" s="1848" t="s">
        <v>804</v>
      </c>
      <c r="B48" s="1870" t="s">
        <v>554</v>
      </c>
      <c r="C48" s="1871">
        <v>83.67</v>
      </c>
      <c r="D48" s="1871">
        <v>84.15</v>
      </c>
      <c r="E48" s="1871">
        <v>81.31</v>
      </c>
      <c r="F48" s="1871">
        <v>81.209999999999994</v>
      </c>
      <c r="G48" s="1871">
        <v>215.68</v>
      </c>
      <c r="H48" s="1871">
        <v>215.41</v>
      </c>
      <c r="I48" s="1871">
        <v>82.43</v>
      </c>
      <c r="J48" s="1871">
        <v>81.260000000000005</v>
      </c>
      <c r="K48" s="1871">
        <v>12.87</v>
      </c>
      <c r="L48" s="1871">
        <v>12.89</v>
      </c>
      <c r="M48" s="1871">
        <v>14.14</v>
      </c>
      <c r="N48" s="1871">
        <v>14.11</v>
      </c>
      <c r="O48" s="1871">
        <v>105.45</v>
      </c>
      <c r="P48" s="1871">
        <v>105.24</v>
      </c>
      <c r="Q48" s="1870" t="s">
        <v>554</v>
      </c>
      <c r="R48" s="1508">
        <v>10.49</v>
      </c>
      <c r="S48" s="1508">
        <v>10.48</v>
      </c>
      <c r="T48" s="1508">
        <v>1.53</v>
      </c>
      <c r="U48" s="1508">
        <v>1.5</v>
      </c>
      <c r="V48" s="1508">
        <v>0.01</v>
      </c>
      <c r="W48" s="1508">
        <v>0.01</v>
      </c>
      <c r="X48" s="1508">
        <v>0.01</v>
      </c>
      <c r="Y48" s="1508">
        <v>0.01</v>
      </c>
      <c r="Z48" s="1508">
        <v>1.03</v>
      </c>
      <c r="AA48" s="1508">
        <v>1.02</v>
      </c>
      <c r="AB48" s="1508">
        <v>289.32</v>
      </c>
      <c r="AC48" s="1508">
        <v>288.8</v>
      </c>
      <c r="AD48" s="1508">
        <v>26.6</v>
      </c>
      <c r="AE48" s="1508">
        <v>26.6</v>
      </c>
      <c r="AF48" s="1870" t="s">
        <v>554</v>
      </c>
      <c r="AG48" s="1871">
        <v>12.67</v>
      </c>
      <c r="AH48" s="1871">
        <v>12.65</v>
      </c>
      <c r="AI48" s="1871">
        <v>0.96</v>
      </c>
      <c r="AJ48" s="1871">
        <v>0.95</v>
      </c>
      <c r="AK48" s="1871">
        <v>66.63</v>
      </c>
      <c r="AL48" s="1818">
        <v>66.680000000000007</v>
      </c>
      <c r="AM48" s="1818">
        <v>14.24</v>
      </c>
      <c r="AN48" s="1818">
        <v>14.16</v>
      </c>
      <c r="AO48" s="418">
        <v>211.2</v>
      </c>
      <c r="AP48" s="1818">
        <v>210.94</v>
      </c>
      <c r="AQ48" s="1818">
        <v>0.85</v>
      </c>
      <c r="AR48" s="1818">
        <v>0.85</v>
      </c>
      <c r="AS48" s="1818">
        <v>1.97</v>
      </c>
      <c r="AT48" s="1818">
        <v>1.97</v>
      </c>
      <c r="AU48" s="1829" t="s">
        <v>554</v>
      </c>
      <c r="AV48" s="1818">
        <v>22.33</v>
      </c>
      <c r="AW48" s="1818">
        <v>22.31</v>
      </c>
      <c r="AX48" s="1818">
        <v>2.61</v>
      </c>
      <c r="AY48" s="1818">
        <v>2.59</v>
      </c>
      <c r="AZ48" s="1818">
        <v>21.68</v>
      </c>
      <c r="BA48" s="1818">
        <v>21.66</v>
      </c>
      <c r="BB48" s="1818">
        <v>7.0000000000000007E-2</v>
      </c>
      <c r="BC48" s="1818">
        <v>7.0000000000000007E-2</v>
      </c>
      <c r="BD48" s="1818">
        <v>66.41</v>
      </c>
      <c r="BE48" s="1818">
        <v>66.62</v>
      </c>
      <c r="BF48" s="1818">
        <v>12.24</v>
      </c>
      <c r="BG48" s="1818">
        <v>12.23</v>
      </c>
      <c r="BH48" s="1818">
        <v>0.63</v>
      </c>
      <c r="BI48" s="1818">
        <v>0.63</v>
      </c>
      <c r="BJ48" s="1829" t="s">
        <v>554</v>
      </c>
      <c r="BK48" s="1818">
        <v>87.17</v>
      </c>
      <c r="BL48" s="1818">
        <v>87.08</v>
      </c>
      <c r="BM48" s="1818">
        <v>1.19</v>
      </c>
      <c r="BN48" s="1818">
        <v>1.18</v>
      </c>
      <c r="BO48" s="1818">
        <v>125.27</v>
      </c>
      <c r="BP48" s="1818">
        <v>124.73</v>
      </c>
      <c r="BQ48" s="1818">
        <v>2.65</v>
      </c>
      <c r="BR48" s="1818">
        <v>2.64</v>
      </c>
      <c r="BS48" s="1818">
        <v>22.14</v>
      </c>
      <c r="BT48" s="1818">
        <v>22.11</v>
      </c>
      <c r="BU48" s="1818">
        <v>81.31</v>
      </c>
      <c r="BV48" s="1818">
        <v>81.209999999999994</v>
      </c>
      <c r="BW48" s="1818">
        <v>130.69999999999999</v>
      </c>
      <c r="BX48" s="1818">
        <v>130.53</v>
      </c>
    </row>
    <row r="49" spans="1:76" s="1284" customFormat="1" ht="11.45" customHeight="1" x14ac:dyDescent="0.2">
      <c r="A49" s="1848" t="s">
        <v>804</v>
      </c>
      <c r="B49" s="1867" t="s">
        <v>555</v>
      </c>
      <c r="C49" s="1856">
        <v>84.7</v>
      </c>
      <c r="D49" s="1856">
        <v>85.04</v>
      </c>
      <c r="E49" s="1856">
        <v>81.45</v>
      </c>
      <c r="F49" s="1856">
        <v>81.489999999999995</v>
      </c>
      <c r="G49" s="1856">
        <v>216.06</v>
      </c>
      <c r="H49" s="1856">
        <v>216.15</v>
      </c>
      <c r="I49" s="1856">
        <v>81.67</v>
      </c>
      <c r="J49" s="1856">
        <v>82.08</v>
      </c>
      <c r="K49" s="1856">
        <v>12.9</v>
      </c>
      <c r="L49" s="1856">
        <v>11.93</v>
      </c>
      <c r="M49" s="1856">
        <v>14.01</v>
      </c>
      <c r="N49" s="1856">
        <v>14.17</v>
      </c>
      <c r="O49" s="1856">
        <v>104.52</v>
      </c>
      <c r="P49" s="1856">
        <v>105.74</v>
      </c>
      <c r="Q49" s="1867" t="s">
        <v>555</v>
      </c>
      <c r="R49" s="1856">
        <v>10.51</v>
      </c>
      <c r="S49" s="1856">
        <v>10.51</v>
      </c>
      <c r="T49" s="1856">
        <v>1.49</v>
      </c>
      <c r="U49" s="1856">
        <v>1.49</v>
      </c>
      <c r="V49" s="1856">
        <v>0.01</v>
      </c>
      <c r="W49" s="1856">
        <v>0.01</v>
      </c>
      <c r="X49" s="1856">
        <v>0.01</v>
      </c>
      <c r="Y49" s="1856">
        <v>0.01</v>
      </c>
      <c r="Z49" s="1856">
        <v>1.01</v>
      </c>
      <c r="AA49" s="1856">
        <v>0.99</v>
      </c>
      <c r="AB49" s="1856">
        <v>288.83999999999997</v>
      </c>
      <c r="AC49" s="1856">
        <v>289.27999999999997</v>
      </c>
      <c r="AD49" s="1856">
        <v>26.63</v>
      </c>
      <c r="AE49" s="1856">
        <v>26.78</v>
      </c>
      <c r="AF49" s="1867" t="s">
        <v>555</v>
      </c>
      <c r="AG49" s="1856">
        <v>12.69</v>
      </c>
      <c r="AH49" s="1856">
        <v>12.69</v>
      </c>
      <c r="AI49" s="1856">
        <v>0.93</v>
      </c>
      <c r="AJ49" s="1856">
        <v>0.91</v>
      </c>
      <c r="AK49" s="1856">
        <v>66.73</v>
      </c>
      <c r="AL49" s="313">
        <v>67.06</v>
      </c>
      <c r="AM49" s="313">
        <v>14.24</v>
      </c>
      <c r="AN49" s="313">
        <v>14.33</v>
      </c>
      <c r="AO49" s="313">
        <v>211.54</v>
      </c>
      <c r="AP49" s="313">
        <v>211.66</v>
      </c>
      <c r="AQ49" s="313">
        <v>0.85</v>
      </c>
      <c r="AR49" s="313">
        <v>0.84</v>
      </c>
      <c r="AS49" s="313">
        <v>1.98</v>
      </c>
      <c r="AT49" s="313">
        <v>2</v>
      </c>
      <c r="AU49" s="1761" t="s">
        <v>555</v>
      </c>
      <c r="AV49" s="313">
        <v>22.37</v>
      </c>
      <c r="AW49" s="313">
        <v>22.38</v>
      </c>
      <c r="AX49" s="313">
        <v>2.59</v>
      </c>
      <c r="AY49" s="313">
        <v>2.62</v>
      </c>
      <c r="AZ49" s="313">
        <v>21.72</v>
      </c>
      <c r="BA49" s="313">
        <v>21.73</v>
      </c>
      <c r="BB49" s="313">
        <v>0.08</v>
      </c>
      <c r="BC49" s="313">
        <v>0.08</v>
      </c>
      <c r="BD49" s="313">
        <v>66.58</v>
      </c>
      <c r="BE49" s="313">
        <v>66.78</v>
      </c>
      <c r="BF49" s="313">
        <v>12.15</v>
      </c>
      <c r="BG49" s="313">
        <v>12.24</v>
      </c>
      <c r="BH49" s="313">
        <v>0.63</v>
      </c>
      <c r="BI49" s="313">
        <v>0.63</v>
      </c>
      <c r="BJ49" s="1761" t="s">
        <v>555</v>
      </c>
      <c r="BK49" s="313">
        <v>86.71</v>
      </c>
      <c r="BL49" s="313">
        <v>87.83</v>
      </c>
      <c r="BM49" s="313">
        <v>1.1599999999999999</v>
      </c>
      <c r="BN49" s="313">
        <v>1.1499999999999999</v>
      </c>
      <c r="BO49" s="313">
        <v>124.55</v>
      </c>
      <c r="BP49" s="313">
        <v>125.04</v>
      </c>
      <c r="BQ49" s="313">
        <v>2.65</v>
      </c>
      <c r="BR49" s="313">
        <v>2.65</v>
      </c>
      <c r="BS49" s="313">
        <v>22.18</v>
      </c>
      <c r="BT49" s="313">
        <v>22.19</v>
      </c>
      <c r="BU49" s="313">
        <v>81.45</v>
      </c>
      <c r="BV49" s="313">
        <v>81.489999999999995</v>
      </c>
      <c r="BW49" s="313">
        <v>130.07</v>
      </c>
      <c r="BX49" s="313">
        <v>130.69999999999999</v>
      </c>
    </row>
    <row r="50" spans="1:76" s="1284" customFormat="1" ht="11.45" customHeight="1" x14ac:dyDescent="0.2">
      <c r="A50" s="1848" t="s">
        <v>804</v>
      </c>
      <c r="B50" s="1870" t="s">
        <v>548</v>
      </c>
      <c r="C50" s="1856">
        <v>-1.36</v>
      </c>
      <c r="D50" s="1856">
        <v>82.77</v>
      </c>
      <c r="E50" s="1856">
        <v>80.53</v>
      </c>
      <c r="F50" s="1856">
        <v>79.83</v>
      </c>
      <c r="G50" s="1856">
        <v>213.62</v>
      </c>
      <c r="H50" s="1856">
        <v>211.74</v>
      </c>
      <c r="I50" s="1856">
        <v>81.31</v>
      </c>
      <c r="J50" s="1856">
        <v>80.099999999999994</v>
      </c>
      <c r="K50" s="1856">
        <v>12.8</v>
      </c>
      <c r="L50" s="1856">
        <v>12.7</v>
      </c>
      <c r="M50" s="1856">
        <v>14.16</v>
      </c>
      <c r="N50" s="1856">
        <v>14.15</v>
      </c>
      <c r="O50" s="1856">
        <v>105.61</v>
      </c>
      <c r="P50" s="1856">
        <v>105.54</v>
      </c>
      <c r="Q50" s="1870" t="s">
        <v>548</v>
      </c>
      <c r="R50" s="1856">
        <v>10.39</v>
      </c>
      <c r="S50" s="1856">
        <v>10.3</v>
      </c>
      <c r="T50" s="1856">
        <v>1.47</v>
      </c>
      <c r="U50" s="1856">
        <v>1.46</v>
      </c>
      <c r="V50" s="1856">
        <v>0.01</v>
      </c>
      <c r="W50" s="1856">
        <v>0.01</v>
      </c>
      <c r="X50" s="1856">
        <v>0.01</v>
      </c>
      <c r="Y50" s="1856">
        <v>0.01</v>
      </c>
      <c r="Z50" s="1856">
        <v>0.96</v>
      </c>
      <c r="AA50" s="1856">
        <v>0.93</v>
      </c>
      <c r="AB50" s="1856">
        <v>286.2</v>
      </c>
      <c r="AC50" s="1856">
        <v>283.82</v>
      </c>
      <c r="AD50" s="1856">
        <v>26.35</v>
      </c>
      <c r="AE50" s="1856">
        <v>26.09</v>
      </c>
      <c r="AF50" s="1870" t="s">
        <v>548</v>
      </c>
      <c r="AG50" s="1856">
        <v>12.54</v>
      </c>
      <c r="AH50" s="1856">
        <v>12.43</v>
      </c>
      <c r="AI50" s="1856">
        <v>0.92</v>
      </c>
      <c r="AJ50" s="1856">
        <v>0.91</v>
      </c>
      <c r="AK50" s="1856">
        <v>66.89</v>
      </c>
      <c r="AL50" s="1316">
        <v>65.44</v>
      </c>
      <c r="AM50" s="1316">
        <v>14.33</v>
      </c>
      <c r="AN50" s="1316">
        <v>14.28</v>
      </c>
      <c r="AO50" s="1316">
        <v>209.18</v>
      </c>
      <c r="AP50" s="1316">
        <v>207.31</v>
      </c>
      <c r="AQ50" s="1316">
        <v>0.83</v>
      </c>
      <c r="AR50" s="1316">
        <v>0.82</v>
      </c>
      <c r="AS50" s="1316">
        <v>1.97</v>
      </c>
      <c r="AT50" s="1316">
        <v>1.95</v>
      </c>
      <c r="AU50" s="1829" t="s">
        <v>548</v>
      </c>
      <c r="AV50" s="1316">
        <v>22.12</v>
      </c>
      <c r="AW50" s="1316">
        <v>21.92</v>
      </c>
      <c r="AX50" s="1316">
        <v>2.62</v>
      </c>
      <c r="AY50" s="1316">
        <v>2.63</v>
      </c>
      <c r="AZ50" s="1316">
        <v>21.47</v>
      </c>
      <c r="BA50" s="1316">
        <v>21.28</v>
      </c>
      <c r="BB50" s="1316">
        <v>0.08</v>
      </c>
      <c r="BC50" s="1316">
        <v>7.0000000000000007E-2</v>
      </c>
      <c r="BD50" s="1316">
        <v>65.98</v>
      </c>
      <c r="BE50" s="1316">
        <v>65.23</v>
      </c>
      <c r="BF50" s="1316">
        <v>12.19</v>
      </c>
      <c r="BG50" s="1316">
        <v>12.28</v>
      </c>
      <c r="BH50" s="1316">
        <v>0.63</v>
      </c>
      <c r="BI50" s="1316">
        <v>0.63</v>
      </c>
      <c r="BJ50" s="1829" t="s">
        <v>548</v>
      </c>
      <c r="BK50" s="1316">
        <v>87.39</v>
      </c>
      <c r="BL50" s="1316">
        <v>87.42</v>
      </c>
      <c r="BM50" s="1316">
        <v>1.1299999999999999</v>
      </c>
      <c r="BN50" s="1316">
        <v>1.1200000000000001</v>
      </c>
      <c r="BO50" s="1316">
        <v>123.89</v>
      </c>
      <c r="BP50" s="1316">
        <v>122.68</v>
      </c>
      <c r="BQ50" s="1316">
        <v>2.63</v>
      </c>
      <c r="BR50" s="1316">
        <v>2.61</v>
      </c>
      <c r="BS50" s="1316">
        <v>21.93</v>
      </c>
      <c r="BT50" s="1316">
        <v>21.73</v>
      </c>
      <c r="BU50" s="1316">
        <v>80.53</v>
      </c>
      <c r="BV50" s="1316">
        <v>79.83</v>
      </c>
      <c r="BW50" s="1316">
        <v>129.88999999999999</v>
      </c>
      <c r="BX50" s="1316">
        <v>129.07</v>
      </c>
    </row>
    <row r="51" spans="1:76" s="1284" customFormat="1" ht="11.45" customHeight="1" x14ac:dyDescent="0.15">
      <c r="A51" s="1848" t="s">
        <v>804</v>
      </c>
      <c r="B51" s="1870" t="s">
        <v>556</v>
      </c>
      <c r="C51" s="1644">
        <v>83.48</v>
      </c>
      <c r="D51" s="1644">
        <v>82.49</v>
      </c>
      <c r="E51" s="1644">
        <v>79.55</v>
      </c>
      <c r="F51" s="1644">
        <v>79.209999999999994</v>
      </c>
      <c r="G51" s="1644">
        <v>211</v>
      </c>
      <c r="H51" s="1644">
        <v>210.11</v>
      </c>
      <c r="I51" s="1644">
        <v>80.19</v>
      </c>
      <c r="J51" s="1644">
        <v>79.099999999999994</v>
      </c>
      <c r="K51" s="1644">
        <v>12.67</v>
      </c>
      <c r="L51" s="1644">
        <v>12.61</v>
      </c>
      <c r="M51" s="1644">
        <v>14.17</v>
      </c>
      <c r="N51" s="1644">
        <v>14.41</v>
      </c>
      <c r="O51" s="1644">
        <v>105.69</v>
      </c>
      <c r="P51" s="1644">
        <v>107.47</v>
      </c>
      <c r="Q51" s="1870" t="s">
        <v>556</v>
      </c>
      <c r="R51" s="1644">
        <v>10.26</v>
      </c>
      <c r="S51" s="1644">
        <v>10.210000000000001</v>
      </c>
      <c r="T51" s="1644">
        <v>1.46</v>
      </c>
      <c r="U51" s="1644">
        <v>1.49</v>
      </c>
      <c r="V51" s="1644">
        <v>0.01</v>
      </c>
      <c r="W51" s="1644">
        <v>0.01</v>
      </c>
      <c r="X51" s="1644">
        <v>0.01</v>
      </c>
      <c r="Y51" s="1644">
        <v>0.01</v>
      </c>
      <c r="Z51" s="1644">
        <v>0.89</v>
      </c>
      <c r="AA51" s="1644">
        <v>0.87</v>
      </c>
      <c r="AB51" s="1644">
        <v>282.45999999999998</v>
      </c>
      <c r="AC51" s="1644">
        <v>281.83999999999997</v>
      </c>
      <c r="AD51" s="1644">
        <v>26.18</v>
      </c>
      <c r="AE51" s="1644">
        <v>25.58</v>
      </c>
      <c r="AF51" s="1870" t="s">
        <v>556</v>
      </c>
      <c r="AG51" s="1644">
        <v>12.39</v>
      </c>
      <c r="AH51" s="1644">
        <v>12.34</v>
      </c>
      <c r="AI51" s="1644">
        <v>0.91</v>
      </c>
      <c r="AJ51" s="1644">
        <v>0.92</v>
      </c>
      <c r="AK51" s="1644">
        <v>66.540000000000006</v>
      </c>
      <c r="AL51" s="339">
        <v>66.2</v>
      </c>
      <c r="AM51" s="339">
        <v>14.31</v>
      </c>
      <c r="AN51" s="339">
        <v>14.47</v>
      </c>
      <c r="AO51" s="339">
        <v>206.62</v>
      </c>
      <c r="AP51" s="339">
        <v>205.74</v>
      </c>
      <c r="AQ51" s="339">
        <v>0.82</v>
      </c>
      <c r="AR51" s="339">
        <v>0.81</v>
      </c>
      <c r="AS51" s="339">
        <v>1.95</v>
      </c>
      <c r="AT51" s="339">
        <v>1.94</v>
      </c>
      <c r="AU51" s="1207" t="s">
        <v>556</v>
      </c>
      <c r="AV51" s="339">
        <v>21.85</v>
      </c>
      <c r="AW51" s="339">
        <v>21.76</v>
      </c>
      <c r="AX51" s="339">
        <v>2.63</v>
      </c>
      <c r="AY51" s="339">
        <v>2.64</v>
      </c>
      <c r="AZ51" s="339">
        <v>21.21</v>
      </c>
      <c r="BA51" s="339">
        <v>21.12</v>
      </c>
      <c r="BB51" s="339">
        <v>0.08</v>
      </c>
      <c r="BC51" s="339">
        <v>7.0000000000000007E-2</v>
      </c>
      <c r="BD51" s="339">
        <v>64.8</v>
      </c>
      <c r="BE51" s="339">
        <v>64.08</v>
      </c>
      <c r="BF51" s="339">
        <v>12.26</v>
      </c>
      <c r="BG51" s="339">
        <v>12.48</v>
      </c>
      <c r="BH51" s="339">
        <v>0.63</v>
      </c>
      <c r="BI51" s="339">
        <v>0.63</v>
      </c>
      <c r="BJ51" s="1207" t="s">
        <v>556</v>
      </c>
      <c r="BK51" s="339">
        <v>86.08</v>
      </c>
      <c r="BL51" s="339">
        <v>86.96</v>
      </c>
      <c r="BM51" s="339">
        <v>1.1200000000000001</v>
      </c>
      <c r="BN51" s="339">
        <v>1.1200000000000001</v>
      </c>
      <c r="BO51" s="339">
        <v>122.1</v>
      </c>
      <c r="BP51" s="339">
        <v>122.03</v>
      </c>
      <c r="BQ51" s="339">
        <v>2.64</v>
      </c>
      <c r="BR51" s="339">
        <v>2.66</v>
      </c>
      <c r="BS51" s="339">
        <v>21.66</v>
      </c>
      <c r="BT51" s="339">
        <v>21.56</v>
      </c>
      <c r="BU51" s="339">
        <v>79.55</v>
      </c>
      <c r="BV51" s="339">
        <v>79.209999999999994</v>
      </c>
      <c r="BW51" s="339">
        <v>127.17</v>
      </c>
      <c r="BX51" s="339">
        <v>125.2</v>
      </c>
    </row>
    <row r="52" spans="1:76" s="1284" customFormat="1" ht="11.45" customHeight="1" x14ac:dyDescent="0.15">
      <c r="A52" s="1848" t="s">
        <v>804</v>
      </c>
      <c r="B52" s="1870" t="s">
        <v>557</v>
      </c>
      <c r="C52" s="1644">
        <v>81.55</v>
      </c>
      <c r="D52" s="1644">
        <v>80.680000000000007</v>
      </c>
      <c r="E52" s="1644">
        <v>79.010000000000005</v>
      </c>
      <c r="F52" s="1644">
        <v>78.849999999999994</v>
      </c>
      <c r="G52" s="1644">
        <v>209.58</v>
      </c>
      <c r="H52" s="1644">
        <v>209.15</v>
      </c>
      <c r="I52" s="1644">
        <v>78.430000000000007</v>
      </c>
      <c r="J52" s="1644">
        <v>77.05</v>
      </c>
      <c r="K52" s="1644">
        <v>12.58</v>
      </c>
      <c r="L52" s="1644">
        <v>12.56</v>
      </c>
      <c r="M52" s="1644">
        <v>14.16</v>
      </c>
      <c r="N52" s="1644">
        <v>13.89</v>
      </c>
      <c r="O52" s="1644">
        <v>105.63</v>
      </c>
      <c r="P52" s="1644">
        <v>103.59</v>
      </c>
      <c r="Q52" s="1870" t="s">
        <v>557</v>
      </c>
      <c r="R52" s="1644">
        <v>10.19</v>
      </c>
      <c r="S52" s="1644">
        <v>10.16</v>
      </c>
      <c r="T52" s="1644">
        <v>1.47</v>
      </c>
      <c r="U52" s="1644">
        <v>1.47</v>
      </c>
      <c r="V52" s="1644">
        <v>0.01</v>
      </c>
      <c r="W52" s="1644">
        <v>0.01</v>
      </c>
      <c r="X52" s="1644">
        <v>0.01</v>
      </c>
      <c r="Y52" s="1644">
        <v>0.01</v>
      </c>
      <c r="Z52" s="1644">
        <v>0.85</v>
      </c>
      <c r="AA52" s="1644">
        <v>0.86</v>
      </c>
      <c r="AB52" s="1644">
        <v>280.02999999999997</v>
      </c>
      <c r="AC52" s="1644">
        <v>278.47000000000003</v>
      </c>
      <c r="AD52" s="1644">
        <v>25.5</v>
      </c>
      <c r="AE52" s="1644">
        <v>25.49</v>
      </c>
      <c r="AF52" s="1870" t="s">
        <v>557</v>
      </c>
      <c r="AG52" s="1644">
        <v>12.31</v>
      </c>
      <c r="AH52" s="1644">
        <v>12.28</v>
      </c>
      <c r="AI52" s="1644">
        <v>0.92</v>
      </c>
      <c r="AJ52" s="1644">
        <v>0.91</v>
      </c>
      <c r="AK52" s="1644">
        <v>66.3</v>
      </c>
      <c r="AL52" s="353">
        <v>65.17</v>
      </c>
      <c r="AM52" s="353">
        <v>14.23</v>
      </c>
      <c r="AN52" s="353">
        <v>13.85</v>
      </c>
      <c r="AO52" s="353">
        <v>205.23</v>
      </c>
      <c r="AP52" s="353">
        <v>204.81</v>
      </c>
      <c r="AQ52" s="353">
        <v>0.81</v>
      </c>
      <c r="AR52" s="353">
        <v>0.8</v>
      </c>
      <c r="AS52" s="353">
        <v>1.94</v>
      </c>
      <c r="AT52" s="353">
        <v>1.93</v>
      </c>
      <c r="AU52" s="1829" t="s">
        <v>557</v>
      </c>
      <c r="AV52" s="353">
        <v>21.7</v>
      </c>
      <c r="AW52" s="353">
        <v>21.66</v>
      </c>
      <c r="AX52" s="353">
        <v>2.62</v>
      </c>
      <c r="AY52" s="353">
        <v>2.58</v>
      </c>
      <c r="AZ52" s="353">
        <v>21.07</v>
      </c>
      <c r="BA52" s="353">
        <v>21.03</v>
      </c>
      <c r="BB52" s="353">
        <v>7.0000000000000007E-2</v>
      </c>
      <c r="BC52" s="353">
        <v>7.0000000000000007E-2</v>
      </c>
      <c r="BD52" s="353">
        <v>63.8</v>
      </c>
      <c r="BE52" s="353">
        <v>63.76</v>
      </c>
      <c r="BF52" s="353">
        <v>12.41</v>
      </c>
      <c r="BG52" s="353">
        <v>12.27</v>
      </c>
      <c r="BH52" s="353">
        <v>0.62</v>
      </c>
      <c r="BI52" s="353">
        <v>0.62</v>
      </c>
      <c r="BJ52" s="1829" t="s">
        <v>557</v>
      </c>
      <c r="BK52" s="353">
        <v>85.89</v>
      </c>
      <c r="BL52" s="353">
        <v>84.79</v>
      </c>
      <c r="BM52" s="353">
        <v>1.1100000000000001</v>
      </c>
      <c r="BN52" s="353">
        <v>1.1100000000000001</v>
      </c>
      <c r="BO52" s="353">
        <v>120.78</v>
      </c>
      <c r="BP52" s="353">
        <v>119.4</v>
      </c>
      <c r="BQ52" s="353">
        <v>2.65</v>
      </c>
      <c r="BR52" s="353">
        <v>2.64</v>
      </c>
      <c r="BS52" s="353">
        <v>21.51</v>
      </c>
      <c r="BT52" s="353">
        <v>21.47</v>
      </c>
      <c r="BU52" s="353">
        <v>79.010000000000005</v>
      </c>
      <c r="BV52" s="353">
        <v>78.849999999999994</v>
      </c>
      <c r="BW52" s="353">
        <v>122.6</v>
      </c>
      <c r="BX52" s="353">
        <v>119.49</v>
      </c>
    </row>
    <row r="53" spans="1:76" s="1284" customFormat="1" ht="11.45" customHeight="1" x14ac:dyDescent="0.15">
      <c r="A53" s="1848" t="s">
        <v>804</v>
      </c>
      <c r="B53" s="1870" t="s">
        <v>549</v>
      </c>
      <c r="C53" s="1644">
        <v>81.19</v>
      </c>
      <c r="D53" s="1644">
        <v>81.42</v>
      </c>
      <c r="E53" s="1644">
        <v>78.58</v>
      </c>
      <c r="F53" s="1644">
        <v>78.209999999999994</v>
      </c>
      <c r="G53" s="1644">
        <v>208.44</v>
      </c>
      <c r="H53" s="1644">
        <v>207.45</v>
      </c>
      <c r="I53" s="1644">
        <v>76.72</v>
      </c>
      <c r="J53" s="1644">
        <v>76.88</v>
      </c>
      <c r="K53" s="1644">
        <v>12.52</v>
      </c>
      <c r="L53" s="1644">
        <v>12.48</v>
      </c>
      <c r="M53" s="1644">
        <v>13.67</v>
      </c>
      <c r="N53" s="1644">
        <v>13.45</v>
      </c>
      <c r="O53" s="1644">
        <v>101.93</v>
      </c>
      <c r="P53" s="1644">
        <v>100.27</v>
      </c>
      <c r="Q53" s="1870" t="s">
        <v>549</v>
      </c>
      <c r="R53" s="1644">
        <v>10.130000000000001</v>
      </c>
      <c r="S53" s="1644">
        <v>10.07</v>
      </c>
      <c r="T53" s="1644">
        <v>1.44</v>
      </c>
      <c r="U53" s="1644">
        <v>1.44</v>
      </c>
      <c r="V53" s="1644">
        <v>0.01</v>
      </c>
      <c r="W53" s="1644">
        <v>0.01</v>
      </c>
      <c r="X53" s="1644">
        <v>0.01</v>
      </c>
      <c r="Y53" s="1644">
        <v>0.01</v>
      </c>
      <c r="Z53" s="1644">
        <v>0.83</v>
      </c>
      <c r="AA53" s="1644">
        <v>0.83</v>
      </c>
      <c r="AB53" s="1644">
        <v>276.31</v>
      </c>
      <c r="AC53" s="1644">
        <v>274.08</v>
      </c>
      <c r="AD53" s="1644">
        <v>25.29</v>
      </c>
      <c r="AE53" s="1644">
        <v>25.28</v>
      </c>
      <c r="AF53" s="1870" t="s">
        <v>549</v>
      </c>
      <c r="AG53" s="1644">
        <v>12.24</v>
      </c>
      <c r="AH53" s="1644">
        <v>12.18</v>
      </c>
      <c r="AI53" s="1644">
        <v>0.9</v>
      </c>
      <c r="AJ53" s="1644">
        <v>0.9</v>
      </c>
      <c r="AK53" s="1644">
        <v>65.16</v>
      </c>
      <c r="AL53" s="339">
        <v>65.45</v>
      </c>
      <c r="AM53" s="339">
        <v>13.62</v>
      </c>
      <c r="AN53" s="339">
        <v>13.37</v>
      </c>
      <c r="AO53" s="339">
        <v>204.11</v>
      </c>
      <c r="AP53" s="339">
        <v>203.14</v>
      </c>
      <c r="AQ53" s="339">
        <v>0.8</v>
      </c>
      <c r="AR53" s="339">
        <v>0.79</v>
      </c>
      <c r="AS53" s="339">
        <v>1.92</v>
      </c>
      <c r="AT53" s="339">
        <v>1.91</v>
      </c>
      <c r="AU53" s="1207" t="s">
        <v>549</v>
      </c>
      <c r="AV53" s="339">
        <v>21.58</v>
      </c>
      <c r="AW53" s="339">
        <v>21.48</v>
      </c>
      <c r="AX53" s="339">
        <v>2.5499999999999998</v>
      </c>
      <c r="AY53" s="339">
        <v>2.52</v>
      </c>
      <c r="AZ53" s="339">
        <v>20.95</v>
      </c>
      <c r="BA53" s="339">
        <v>20.85</v>
      </c>
      <c r="BB53" s="339">
        <v>7.0000000000000007E-2</v>
      </c>
      <c r="BC53" s="339">
        <v>7.0000000000000007E-2</v>
      </c>
      <c r="BD53" s="339">
        <v>63.11</v>
      </c>
      <c r="BE53" s="339">
        <v>63.02</v>
      </c>
      <c r="BF53" s="339">
        <v>12.2</v>
      </c>
      <c r="BG53" s="339">
        <v>11.98</v>
      </c>
      <c r="BH53" s="339">
        <v>0.62</v>
      </c>
      <c r="BI53" s="339">
        <v>0.62</v>
      </c>
      <c r="BJ53" s="1207" t="s">
        <v>549</v>
      </c>
      <c r="BK53" s="339">
        <v>83.04</v>
      </c>
      <c r="BL53" s="339">
        <v>82.41</v>
      </c>
      <c r="BM53" s="339">
        <v>1.1100000000000001</v>
      </c>
      <c r="BN53" s="339">
        <v>1.1100000000000001</v>
      </c>
      <c r="BO53" s="339">
        <v>118.2</v>
      </c>
      <c r="BP53" s="339">
        <v>117.26</v>
      </c>
      <c r="BQ53" s="339">
        <v>2.66</v>
      </c>
      <c r="BR53" s="339">
        <v>2.67</v>
      </c>
      <c r="BS53" s="339">
        <v>21.39</v>
      </c>
      <c r="BT53" s="339">
        <v>21.29</v>
      </c>
      <c r="BU53" s="339">
        <v>78.58</v>
      </c>
      <c r="BV53" s="339">
        <v>78.209999999999994</v>
      </c>
      <c r="BW53" s="339">
        <v>118.53</v>
      </c>
      <c r="BX53" s="339">
        <v>118.83</v>
      </c>
    </row>
    <row r="54" spans="1:76" s="1284" customFormat="1" ht="11.45" customHeight="1" x14ac:dyDescent="0.2">
      <c r="A54" s="1848" t="s">
        <v>804</v>
      </c>
      <c r="B54" s="1870" t="s">
        <v>558</v>
      </c>
      <c r="C54" s="1856">
        <v>80.989999999999995</v>
      </c>
      <c r="D54" s="1856">
        <v>80.7</v>
      </c>
      <c r="E54" s="1856">
        <v>78.03</v>
      </c>
      <c r="F54" s="1856">
        <v>77.94</v>
      </c>
      <c r="G54" s="1856">
        <v>206.98</v>
      </c>
      <c r="H54" s="1856">
        <v>206.72</v>
      </c>
      <c r="I54" s="1856">
        <v>76.58</v>
      </c>
      <c r="J54" s="1856">
        <v>77.05</v>
      </c>
      <c r="K54" s="1856">
        <v>12.49</v>
      </c>
      <c r="L54" s="1856">
        <v>12.53</v>
      </c>
      <c r="M54" s="1856">
        <v>13.62</v>
      </c>
      <c r="N54" s="1856">
        <v>13.69</v>
      </c>
      <c r="O54" s="1856">
        <v>101.55</v>
      </c>
      <c r="P54" s="1856">
        <v>102.09</v>
      </c>
      <c r="Q54" s="1870" t="s">
        <v>558</v>
      </c>
      <c r="R54" s="1856">
        <v>10.050000000000001</v>
      </c>
      <c r="S54" s="1856">
        <v>10.039999999999999</v>
      </c>
      <c r="T54" s="1856">
        <v>1.44</v>
      </c>
      <c r="U54" s="1856">
        <v>1.44</v>
      </c>
      <c r="V54" s="1856">
        <v>0.01</v>
      </c>
      <c r="W54" s="1856">
        <v>0.01</v>
      </c>
      <c r="X54" s="1856">
        <v>0.01</v>
      </c>
      <c r="Y54" s="1856">
        <v>0.01</v>
      </c>
      <c r="Z54" s="1856">
        <v>0.8</v>
      </c>
      <c r="AA54" s="1856">
        <v>0.8</v>
      </c>
      <c r="AB54" s="1856">
        <v>273.63</v>
      </c>
      <c r="AC54" s="1856">
        <v>273.94</v>
      </c>
      <c r="AD54" s="1856">
        <v>25.59</v>
      </c>
      <c r="AE54" s="1856">
        <v>25.71</v>
      </c>
      <c r="AF54" s="1870" t="s">
        <v>558</v>
      </c>
      <c r="AG54" s="1856">
        <v>12.15</v>
      </c>
      <c r="AH54" s="1856">
        <v>12.14</v>
      </c>
      <c r="AI54" s="1856">
        <v>0.9</v>
      </c>
      <c r="AJ54" s="1856">
        <v>0.9</v>
      </c>
      <c r="AK54" s="1856">
        <v>66.069999999999993</v>
      </c>
      <c r="AL54" s="1316">
        <v>66.75</v>
      </c>
      <c r="AM54" s="1316">
        <v>13.46</v>
      </c>
      <c r="AN54" s="1316">
        <v>13.4</v>
      </c>
      <c r="AO54" s="1316">
        <v>202.68</v>
      </c>
      <c r="AP54" s="1316">
        <v>202.43</v>
      </c>
      <c r="AQ54" s="1316">
        <v>0.79</v>
      </c>
      <c r="AR54" s="1316">
        <v>0.79</v>
      </c>
      <c r="AS54" s="1316">
        <v>1.9</v>
      </c>
      <c r="AT54" s="1316">
        <v>1.9</v>
      </c>
      <c r="AU54" s="1829" t="s">
        <v>558</v>
      </c>
      <c r="AV54" s="1316">
        <v>21.43</v>
      </c>
      <c r="AW54" s="1316">
        <v>21.41</v>
      </c>
      <c r="AX54" s="1316">
        <v>2.4900000000000002</v>
      </c>
      <c r="AY54" s="1316">
        <v>2.5099999999999998</v>
      </c>
      <c r="AZ54" s="1316">
        <v>20.81</v>
      </c>
      <c r="BA54" s="1316">
        <v>20.78</v>
      </c>
      <c r="BB54" s="1316">
        <v>7.0000000000000007E-2</v>
      </c>
      <c r="BC54" s="1316">
        <v>7.0000000000000007E-2</v>
      </c>
      <c r="BD54" s="1316">
        <v>63.01</v>
      </c>
      <c r="BE54" s="1316">
        <v>63.17</v>
      </c>
      <c r="BF54" s="1316">
        <v>12.03</v>
      </c>
      <c r="BG54" s="1316">
        <v>11.89</v>
      </c>
      <c r="BH54" s="1316">
        <v>0.62</v>
      </c>
      <c r="BI54" s="1316">
        <v>0.62</v>
      </c>
      <c r="BJ54" s="1829" t="s">
        <v>558</v>
      </c>
      <c r="BK54" s="1316">
        <v>83.26</v>
      </c>
      <c r="BL54" s="1316">
        <v>83.18</v>
      </c>
      <c r="BM54" s="1316">
        <v>1.1100000000000001</v>
      </c>
      <c r="BN54" s="1316">
        <v>1.1100000000000001</v>
      </c>
      <c r="BO54" s="1316">
        <v>117.35</v>
      </c>
      <c r="BP54" s="1316">
        <v>117.62</v>
      </c>
      <c r="BQ54" s="1316">
        <v>2.69</v>
      </c>
      <c r="BR54" s="1316">
        <v>2.66</v>
      </c>
      <c r="BS54" s="1316">
        <v>21.24</v>
      </c>
      <c r="BT54" s="1316">
        <v>21.22</v>
      </c>
      <c r="BU54" s="1316">
        <v>78.03</v>
      </c>
      <c r="BV54" s="1316">
        <v>77.94</v>
      </c>
      <c r="BW54" s="1316">
        <v>119.4</v>
      </c>
      <c r="BX54" s="1316">
        <v>120.79</v>
      </c>
    </row>
    <row r="55" spans="1:76" s="1284" customFormat="1" ht="11.45" customHeight="1" x14ac:dyDescent="0.15">
      <c r="A55" s="1848" t="s">
        <v>804</v>
      </c>
      <c r="B55" s="1870" t="s">
        <v>559</v>
      </c>
      <c r="C55" s="1858">
        <v>77.319999999999993</v>
      </c>
      <c r="D55" s="1858">
        <v>75.14</v>
      </c>
      <c r="E55" s="1858">
        <v>77.84</v>
      </c>
      <c r="F55" s="1858">
        <v>77.760000000000005</v>
      </c>
      <c r="G55" s="1858">
        <v>206.48</v>
      </c>
      <c r="H55" s="1858">
        <v>206.25</v>
      </c>
      <c r="I55" s="1858">
        <v>76.37</v>
      </c>
      <c r="J55" s="1858">
        <v>75.52</v>
      </c>
      <c r="K55" s="1858">
        <v>12.56</v>
      </c>
      <c r="L55" s="1858">
        <v>12.58</v>
      </c>
      <c r="M55" s="1858">
        <v>13.56</v>
      </c>
      <c r="N55" s="1858">
        <v>13.61</v>
      </c>
      <c r="O55" s="1858">
        <v>101.06</v>
      </c>
      <c r="P55" s="1858">
        <v>101.43</v>
      </c>
      <c r="Q55" s="1870" t="s">
        <v>559</v>
      </c>
      <c r="R55" s="1858">
        <v>10.029999999999999</v>
      </c>
      <c r="S55" s="1858">
        <v>10.02</v>
      </c>
      <c r="T55" s="1858">
        <v>1.42</v>
      </c>
      <c r="U55" s="1858">
        <v>1.38</v>
      </c>
      <c r="V55" s="1858">
        <v>0.01</v>
      </c>
      <c r="W55" s="1858">
        <v>0.01</v>
      </c>
      <c r="X55" s="1858">
        <v>0.01</v>
      </c>
      <c r="Y55" s="1858">
        <v>0.01</v>
      </c>
      <c r="Z55" s="1858">
        <v>0.77</v>
      </c>
      <c r="AA55" s="1858">
        <v>0.77</v>
      </c>
      <c r="AB55" s="1858">
        <v>272.67</v>
      </c>
      <c r="AC55" s="1858">
        <v>271.97000000000003</v>
      </c>
      <c r="AD55" s="1858">
        <v>25.79</v>
      </c>
      <c r="AE55" s="1858">
        <v>25.19</v>
      </c>
      <c r="AF55" s="1870" t="s">
        <v>559</v>
      </c>
      <c r="AG55" s="1858">
        <v>12.13</v>
      </c>
      <c r="AH55" s="1858">
        <v>12.11</v>
      </c>
      <c r="AI55" s="1858">
        <v>0.89</v>
      </c>
      <c r="AJ55" s="1858">
        <v>0.87</v>
      </c>
      <c r="AK55" s="1644">
        <v>64.3</v>
      </c>
      <c r="AL55" s="1827">
        <v>62.78</v>
      </c>
      <c r="AM55" s="1827">
        <v>13.37</v>
      </c>
      <c r="AN55" s="1827">
        <v>13.34</v>
      </c>
      <c r="AO55" s="1827">
        <v>202.19</v>
      </c>
      <c r="AP55" s="1827">
        <v>201.96</v>
      </c>
      <c r="AQ55" s="1827">
        <v>0.79</v>
      </c>
      <c r="AR55" s="1827">
        <v>0.79</v>
      </c>
      <c r="AS55" s="1827">
        <v>1.89</v>
      </c>
      <c r="AT55" s="1827">
        <v>1.84</v>
      </c>
      <c r="AU55" s="1207" t="s">
        <v>559</v>
      </c>
      <c r="AV55" s="1827">
        <v>21.38</v>
      </c>
      <c r="AW55" s="1827">
        <v>21.35</v>
      </c>
      <c r="AX55" s="1827">
        <v>2.4900000000000002</v>
      </c>
      <c r="AY55" s="1827">
        <v>2.46</v>
      </c>
      <c r="AZ55" s="1827">
        <v>20.76</v>
      </c>
      <c r="BA55" s="1827">
        <v>20.73</v>
      </c>
      <c r="BB55" s="1827">
        <v>7.0000000000000007E-2</v>
      </c>
      <c r="BC55" s="1827">
        <v>7.0000000000000007E-2</v>
      </c>
      <c r="BD55" s="1827">
        <v>62.38</v>
      </c>
      <c r="BE55" s="1827">
        <v>61.82</v>
      </c>
      <c r="BF55" s="1827">
        <v>11.79</v>
      </c>
      <c r="BG55" s="1827">
        <v>11.84</v>
      </c>
      <c r="BH55" s="1827">
        <v>0.62</v>
      </c>
      <c r="BI55" s="1827">
        <v>0.61</v>
      </c>
      <c r="BJ55" s="1207" t="s">
        <v>559</v>
      </c>
      <c r="BK55" s="339">
        <v>81.489999999999995</v>
      </c>
      <c r="BL55" s="339">
        <v>81.569999999999993</v>
      </c>
      <c r="BM55" s="339">
        <v>0.94</v>
      </c>
      <c r="BN55" s="339">
        <v>0.8</v>
      </c>
      <c r="BO55" s="339">
        <v>116.74</v>
      </c>
      <c r="BP55" s="339">
        <v>116.38</v>
      </c>
      <c r="BQ55" s="339">
        <v>2.62</v>
      </c>
      <c r="BR55" s="339">
        <v>2.58</v>
      </c>
      <c r="BS55" s="339">
        <v>21.19</v>
      </c>
      <c r="BT55" s="339">
        <v>21.17</v>
      </c>
      <c r="BU55" s="339">
        <v>77.84</v>
      </c>
      <c r="BV55" s="339">
        <v>77.760000000000005</v>
      </c>
      <c r="BW55" s="339">
        <v>119.13</v>
      </c>
      <c r="BX55" s="339">
        <v>118.4</v>
      </c>
    </row>
    <row r="56" spans="1:76" s="1284" customFormat="1" ht="11.45" customHeight="1" thickBot="1" x14ac:dyDescent="0.25">
      <c r="A56" s="1848" t="s">
        <v>804</v>
      </c>
      <c r="B56" s="1870" t="s">
        <v>550</v>
      </c>
      <c r="C56" s="1856">
        <v>73.430000000000007</v>
      </c>
      <c r="D56" s="1856">
        <v>71.099999999999994</v>
      </c>
      <c r="E56" s="1856">
        <v>77.760000000000005</v>
      </c>
      <c r="F56" s="1856">
        <v>77.77</v>
      </c>
      <c r="G56" s="1856">
        <v>206.25</v>
      </c>
      <c r="H56" s="1856">
        <v>206.27</v>
      </c>
      <c r="I56" s="1856">
        <v>75.400000000000006</v>
      </c>
      <c r="J56" s="1856">
        <v>73.900000000000006</v>
      </c>
      <c r="K56" s="1856">
        <v>12.6</v>
      </c>
      <c r="L56" s="1856">
        <v>12.59</v>
      </c>
      <c r="M56" s="1856">
        <v>13.75</v>
      </c>
      <c r="N56" s="1856">
        <v>13.57</v>
      </c>
      <c r="O56" s="1856">
        <v>102.54</v>
      </c>
      <c r="P56" s="1856">
        <v>101.19</v>
      </c>
      <c r="Q56" s="1870" t="s">
        <v>550</v>
      </c>
      <c r="R56" s="1856">
        <v>10.02</v>
      </c>
      <c r="S56" s="1856">
        <v>10.029999999999999</v>
      </c>
      <c r="T56" s="1856">
        <v>1.34</v>
      </c>
      <c r="U56" s="1856">
        <v>1.31</v>
      </c>
      <c r="V56" s="1856">
        <v>0.01</v>
      </c>
      <c r="W56" s="1856">
        <v>0.01</v>
      </c>
      <c r="X56" s="1856">
        <v>0.01</v>
      </c>
      <c r="Y56" s="1856">
        <v>0.01</v>
      </c>
      <c r="Z56" s="1856">
        <v>0.8</v>
      </c>
      <c r="AA56" s="1856">
        <v>0.78</v>
      </c>
      <c r="AB56" s="1856">
        <v>273.33999999999997</v>
      </c>
      <c r="AC56" s="1856">
        <v>272.62</v>
      </c>
      <c r="AD56" s="1856">
        <v>24.73</v>
      </c>
      <c r="AE56" s="1856">
        <v>24.61</v>
      </c>
      <c r="AF56" s="1870" t="s">
        <v>550</v>
      </c>
      <c r="AG56" s="1856">
        <v>12.11</v>
      </c>
      <c r="AH56" s="1856">
        <v>12.11</v>
      </c>
      <c r="AI56" s="1856">
        <v>0.84</v>
      </c>
      <c r="AJ56" s="1856">
        <v>0.81</v>
      </c>
      <c r="AK56" s="1856">
        <v>61.48</v>
      </c>
      <c r="AL56" s="1588">
        <v>60.24</v>
      </c>
      <c r="AM56" s="1588">
        <v>13.26</v>
      </c>
      <c r="AN56" s="1588">
        <v>12.81</v>
      </c>
      <c r="AO56" s="1588">
        <v>201.96</v>
      </c>
      <c r="AP56" s="1588">
        <v>201.99</v>
      </c>
      <c r="AQ56" s="1588">
        <v>0.79</v>
      </c>
      <c r="AR56" s="1588">
        <v>0.78</v>
      </c>
      <c r="AS56" s="1588">
        <v>1.82</v>
      </c>
      <c r="AT56" s="1588">
        <v>1.8</v>
      </c>
      <c r="AU56" s="1633" t="s">
        <v>550</v>
      </c>
      <c r="AV56" s="1588">
        <v>21.35</v>
      </c>
      <c r="AW56" s="1588">
        <v>21.36</v>
      </c>
      <c r="AX56" s="1588">
        <v>2.41</v>
      </c>
      <c r="AY56" s="1588">
        <v>2.36</v>
      </c>
      <c r="AZ56" s="1588">
        <v>20.73</v>
      </c>
      <c r="BA56" s="1588">
        <v>20.74</v>
      </c>
      <c r="BB56" s="1588">
        <v>7.0000000000000007E-2</v>
      </c>
      <c r="BC56" s="1588">
        <v>7.0000000000000007E-2</v>
      </c>
      <c r="BD56" s="1588">
        <v>61.71</v>
      </c>
      <c r="BE56" s="1588">
        <v>61.36</v>
      </c>
      <c r="BF56" s="1588">
        <v>11.82</v>
      </c>
      <c r="BG56" s="1588">
        <v>11.6</v>
      </c>
      <c r="BH56" s="1588">
        <v>0.61</v>
      </c>
      <c r="BI56" s="1588">
        <v>0.6</v>
      </c>
      <c r="BJ56" s="1633" t="s">
        <v>550</v>
      </c>
      <c r="BK56" s="1588">
        <v>83.22</v>
      </c>
      <c r="BL56" s="1588">
        <v>82.32</v>
      </c>
      <c r="BM56" s="1588">
        <v>0.78</v>
      </c>
      <c r="BN56" s="1588">
        <v>0.77</v>
      </c>
      <c r="BO56" s="1588">
        <v>117.68</v>
      </c>
      <c r="BP56" s="1588">
        <v>116.96</v>
      </c>
      <c r="BQ56" s="1588">
        <v>2.52</v>
      </c>
      <c r="BR56" s="1588">
        <v>2.5</v>
      </c>
      <c r="BS56" s="1588">
        <v>21.17</v>
      </c>
      <c r="BT56" s="1588">
        <v>21.17</v>
      </c>
      <c r="BU56" s="1588">
        <v>77.760000000000005</v>
      </c>
      <c r="BV56" s="1588">
        <v>77.77</v>
      </c>
      <c r="BW56" s="1588">
        <v>120.36</v>
      </c>
      <c r="BX56" s="1588">
        <v>118.24</v>
      </c>
    </row>
    <row r="57" spans="1:76" s="1284" customFormat="1" ht="11.45" customHeight="1" x14ac:dyDescent="0.15">
      <c r="A57" s="1848" t="s">
        <v>978</v>
      </c>
      <c r="B57" s="1820" t="s">
        <v>552</v>
      </c>
      <c r="C57" s="1644">
        <v>71.28</v>
      </c>
      <c r="D57" s="1644">
        <v>70.489999999999995</v>
      </c>
      <c r="E57" s="1644">
        <v>77.760000000000005</v>
      </c>
      <c r="F57" s="1644">
        <v>77.75</v>
      </c>
      <c r="G57" s="1644">
        <v>206.25</v>
      </c>
      <c r="H57" s="1644">
        <v>206.23</v>
      </c>
      <c r="I57" s="1644">
        <v>74.680000000000007</v>
      </c>
      <c r="J57" s="1644">
        <v>75.459999999999994</v>
      </c>
      <c r="K57" s="1644">
        <v>12.6</v>
      </c>
      <c r="L57" s="1644">
        <v>12.58</v>
      </c>
      <c r="M57" s="1644">
        <v>13.64</v>
      </c>
      <c r="N57" s="1644">
        <v>13.83</v>
      </c>
      <c r="O57" s="1644">
        <v>101.7</v>
      </c>
      <c r="P57" s="1644">
        <v>103.12</v>
      </c>
      <c r="Q57" s="1820" t="s">
        <v>552</v>
      </c>
      <c r="R57" s="1644">
        <v>10.02</v>
      </c>
      <c r="S57" s="1644">
        <v>10.029999999999999</v>
      </c>
      <c r="T57" s="1644">
        <v>1.3</v>
      </c>
      <c r="U57" s="1644">
        <v>1.28</v>
      </c>
      <c r="V57" s="1644">
        <v>0.01</v>
      </c>
      <c r="W57" s="1644">
        <v>0.01</v>
      </c>
      <c r="X57" s="1644">
        <v>0</v>
      </c>
      <c r="Y57" s="1644">
        <v>0</v>
      </c>
      <c r="Z57" s="1644">
        <v>0.78</v>
      </c>
      <c r="AA57" s="1644">
        <v>0.79</v>
      </c>
      <c r="AB57" s="1644">
        <v>272.36</v>
      </c>
      <c r="AC57" s="1644">
        <v>273.43</v>
      </c>
      <c r="AD57" s="1644">
        <v>24.36</v>
      </c>
      <c r="AE57" s="1644">
        <v>23.95</v>
      </c>
      <c r="AF57" s="1820" t="s">
        <v>552</v>
      </c>
      <c r="AG57" s="1644">
        <v>12.11</v>
      </c>
      <c r="AH57" s="1644">
        <v>12.11</v>
      </c>
      <c r="AI57" s="1644">
        <v>0.81</v>
      </c>
      <c r="AJ57" s="1644">
        <v>0.82</v>
      </c>
      <c r="AK57" s="1644">
        <v>61.28</v>
      </c>
      <c r="AL57" s="353">
        <v>62.13</v>
      </c>
      <c r="AM57" s="353">
        <v>12.98</v>
      </c>
      <c r="AN57" s="353">
        <v>13.1</v>
      </c>
      <c r="AO57" s="353">
        <v>201.97</v>
      </c>
      <c r="AP57" s="353">
        <v>201.95</v>
      </c>
      <c r="AQ57" s="353">
        <v>0.77</v>
      </c>
      <c r="AR57" s="353">
        <v>0.76</v>
      </c>
      <c r="AS57" s="353">
        <v>1.79</v>
      </c>
      <c r="AT57" s="353">
        <v>1.8</v>
      </c>
      <c r="AU57" s="1815" t="s">
        <v>552</v>
      </c>
      <c r="AV57" s="353">
        <v>21.35</v>
      </c>
      <c r="AW57" s="353">
        <v>21.35</v>
      </c>
      <c r="AX57" s="353">
        <v>2.37</v>
      </c>
      <c r="AY57" s="353">
        <v>2.36</v>
      </c>
      <c r="AZ57" s="353">
        <v>20.73</v>
      </c>
      <c r="BA57" s="353">
        <v>20.73</v>
      </c>
      <c r="BB57" s="353">
        <v>7.0000000000000007E-2</v>
      </c>
      <c r="BC57" s="353">
        <v>7.0000000000000007E-2</v>
      </c>
      <c r="BD57" s="353">
        <v>61.34</v>
      </c>
      <c r="BE57" s="353">
        <v>60.99</v>
      </c>
      <c r="BF57" s="353">
        <v>11.75</v>
      </c>
      <c r="BG57" s="353">
        <v>11.87</v>
      </c>
      <c r="BH57" s="353">
        <v>0.59</v>
      </c>
      <c r="BI57" s="353">
        <v>0.59</v>
      </c>
      <c r="BJ57" s="1815" t="s">
        <v>552</v>
      </c>
      <c r="BK57" s="353">
        <v>82.27</v>
      </c>
      <c r="BL57" s="353">
        <v>83.62</v>
      </c>
      <c r="BM57" s="353">
        <v>0.75</v>
      </c>
      <c r="BN57" s="353">
        <v>0.74</v>
      </c>
      <c r="BO57" s="353">
        <v>116.92</v>
      </c>
      <c r="BP57" s="353">
        <v>117.77</v>
      </c>
      <c r="BQ57" s="353">
        <v>2.5</v>
      </c>
      <c r="BR57" s="353">
        <v>2.48</v>
      </c>
      <c r="BS57" s="353">
        <v>21.17</v>
      </c>
      <c r="BT57" s="353">
        <v>21.17</v>
      </c>
      <c r="BU57" s="353">
        <v>77.760000000000005</v>
      </c>
      <c r="BV57" s="353">
        <v>77.75</v>
      </c>
      <c r="BW57" s="353">
        <v>118.06</v>
      </c>
      <c r="BX57" s="353">
        <v>118.5</v>
      </c>
    </row>
    <row r="58" spans="1:76" s="1284" customFormat="1" ht="11.45" customHeight="1" x14ac:dyDescent="0.15">
      <c r="A58" s="1848" t="s">
        <v>978</v>
      </c>
      <c r="B58" s="1820" t="s">
        <v>553</v>
      </c>
      <c r="C58" s="1644">
        <v>70.290000000000006</v>
      </c>
      <c r="D58" s="1644">
        <v>69.23</v>
      </c>
      <c r="E58" s="1644">
        <v>77.75</v>
      </c>
      <c r="F58" s="1644">
        <v>77.75</v>
      </c>
      <c r="G58" s="1644">
        <v>206.24</v>
      </c>
      <c r="H58" s="1644">
        <v>206.23</v>
      </c>
      <c r="I58" s="1644">
        <v>74.8</v>
      </c>
      <c r="J58" s="1644">
        <v>73.790000000000006</v>
      </c>
      <c r="K58" s="1644">
        <v>12.6</v>
      </c>
      <c r="L58" s="1644">
        <v>12.6</v>
      </c>
      <c r="M58" s="1644">
        <v>13.89</v>
      </c>
      <c r="N58" s="1644">
        <v>13.77</v>
      </c>
      <c r="O58" s="1644">
        <v>103.58</v>
      </c>
      <c r="P58" s="1644">
        <v>102.75</v>
      </c>
      <c r="Q58" s="1820" t="s">
        <v>553</v>
      </c>
      <c r="R58" s="1644">
        <v>10.029999999999999</v>
      </c>
      <c r="S58" s="1644">
        <v>10.029999999999999</v>
      </c>
      <c r="T58" s="1644">
        <v>1.24</v>
      </c>
      <c r="U58" s="1644">
        <v>1.18</v>
      </c>
      <c r="V58" s="1644">
        <v>0.01</v>
      </c>
      <c r="W58" s="1644">
        <v>0.01</v>
      </c>
      <c r="X58" s="1644">
        <v>0</v>
      </c>
      <c r="Y58" s="1644">
        <v>0</v>
      </c>
      <c r="Z58" s="1644">
        <v>0.8</v>
      </c>
      <c r="AA58" s="1644">
        <v>0.79</v>
      </c>
      <c r="AB58" s="1644">
        <v>273.20999999999998</v>
      </c>
      <c r="AC58" s="1644">
        <v>272.57</v>
      </c>
      <c r="AD58" s="1644">
        <v>23.72</v>
      </c>
      <c r="AE58" s="1644">
        <v>23.66</v>
      </c>
      <c r="AF58" s="1820" t="s">
        <v>553</v>
      </c>
      <c r="AG58" s="1644">
        <v>12.11</v>
      </c>
      <c r="AH58" s="1644">
        <v>12.11</v>
      </c>
      <c r="AI58" s="1644">
        <v>0.79</v>
      </c>
      <c r="AJ58" s="1644">
        <v>0.76</v>
      </c>
      <c r="AK58" s="1644">
        <v>61.61</v>
      </c>
      <c r="AL58" s="339">
        <v>60.1</v>
      </c>
      <c r="AM58" s="339">
        <v>13.05</v>
      </c>
      <c r="AN58" s="339">
        <v>12.71</v>
      </c>
      <c r="AO58" s="339">
        <v>201.96</v>
      </c>
      <c r="AP58" s="339">
        <v>201.95</v>
      </c>
      <c r="AQ58" s="339">
        <v>0.76</v>
      </c>
      <c r="AR58" s="339">
        <v>0.74</v>
      </c>
      <c r="AS58" s="339">
        <v>1.78</v>
      </c>
      <c r="AT58" s="339">
        <v>1.74</v>
      </c>
      <c r="AU58" s="464" t="s">
        <v>553</v>
      </c>
      <c r="AV58" s="339">
        <v>21.35</v>
      </c>
      <c r="AW58" s="339">
        <v>21.35</v>
      </c>
      <c r="AX58" s="339">
        <v>2.35</v>
      </c>
      <c r="AY58" s="339">
        <v>2.34</v>
      </c>
      <c r="AZ58" s="339">
        <v>20.73</v>
      </c>
      <c r="BA58" s="339">
        <v>20.73</v>
      </c>
      <c r="BB58" s="339">
        <v>7.0000000000000007E-2</v>
      </c>
      <c r="BC58" s="339">
        <v>7.0000000000000007E-2</v>
      </c>
      <c r="BD58" s="339">
        <v>61.13</v>
      </c>
      <c r="BE58" s="339">
        <v>60.94</v>
      </c>
      <c r="BF58" s="339">
        <v>11.9</v>
      </c>
      <c r="BG58" s="339">
        <v>11.74</v>
      </c>
      <c r="BH58" s="339">
        <v>0.59</v>
      </c>
      <c r="BI58" s="339">
        <v>0.59</v>
      </c>
      <c r="BJ58" s="464" t="s">
        <v>553</v>
      </c>
      <c r="BK58" s="339">
        <v>84.02</v>
      </c>
      <c r="BL58" s="339">
        <v>83.52</v>
      </c>
      <c r="BM58" s="339">
        <v>0.71</v>
      </c>
      <c r="BN58" s="339">
        <v>0.61</v>
      </c>
      <c r="BO58" s="339">
        <v>118.08</v>
      </c>
      <c r="BP58" s="339">
        <v>117.82</v>
      </c>
      <c r="BQ58" s="339">
        <v>2.46</v>
      </c>
      <c r="BR58" s="339">
        <v>2.42</v>
      </c>
      <c r="BS58" s="339">
        <v>21.17</v>
      </c>
      <c r="BT58" s="339">
        <v>21.17</v>
      </c>
      <c r="BU58" s="339">
        <v>77.75</v>
      </c>
      <c r="BV58" s="339">
        <v>77.75</v>
      </c>
      <c r="BW58" s="339">
        <v>120.47</v>
      </c>
      <c r="BX58" s="339">
        <v>120.41</v>
      </c>
    </row>
    <row r="59" spans="1:76" s="1284" customFormat="1" ht="11.45" customHeight="1" x14ac:dyDescent="0.15">
      <c r="A59" s="1848" t="s">
        <v>978</v>
      </c>
      <c r="B59" s="1820" t="s">
        <v>547</v>
      </c>
      <c r="C59" s="1844">
        <v>72.12</v>
      </c>
      <c r="D59" s="1844">
        <v>72.44</v>
      </c>
      <c r="E59" s="1844">
        <v>77.75</v>
      </c>
      <c r="F59" s="1844">
        <v>77.75</v>
      </c>
      <c r="G59" s="1844">
        <v>206.23</v>
      </c>
      <c r="H59" s="1844">
        <v>206.23</v>
      </c>
      <c r="I59" s="1844">
        <v>75.05</v>
      </c>
      <c r="J59" s="1844">
        <v>75.459999999999994</v>
      </c>
      <c r="K59" s="1844">
        <v>12.62</v>
      </c>
      <c r="L59" s="1844">
        <v>12.65</v>
      </c>
      <c r="M59" s="1844">
        <v>13.92</v>
      </c>
      <c r="N59" s="1844">
        <v>14.1</v>
      </c>
      <c r="O59" s="1844">
        <v>103.82</v>
      </c>
      <c r="P59" s="1844">
        <v>105.14</v>
      </c>
      <c r="Q59" s="1820" t="s">
        <v>547</v>
      </c>
      <c r="R59" s="1844">
        <v>10.029999999999999</v>
      </c>
      <c r="S59" s="1844">
        <v>10.029999999999999</v>
      </c>
      <c r="T59" s="1844">
        <v>1.22</v>
      </c>
      <c r="U59" s="1844">
        <v>1.24</v>
      </c>
      <c r="V59" s="1844">
        <v>0.01</v>
      </c>
      <c r="W59" s="1844">
        <v>0.01</v>
      </c>
      <c r="X59" s="1844">
        <v>0</v>
      </c>
      <c r="Y59" s="1844">
        <v>0</v>
      </c>
      <c r="Z59" s="1844">
        <v>0.78</v>
      </c>
      <c r="AA59" s="1844">
        <v>0.79</v>
      </c>
      <c r="AB59" s="1844">
        <v>273.36</v>
      </c>
      <c r="AC59" s="1844">
        <v>274.64</v>
      </c>
      <c r="AD59" s="1844">
        <v>23.91</v>
      </c>
      <c r="AE59" s="1844">
        <v>23.86</v>
      </c>
      <c r="AF59" s="1820" t="s">
        <v>547</v>
      </c>
      <c r="AG59" s="1844">
        <v>12.11</v>
      </c>
      <c r="AH59" s="1844">
        <v>12.11</v>
      </c>
      <c r="AI59" s="1844">
        <v>0.76</v>
      </c>
      <c r="AJ59" s="1844">
        <v>0.78</v>
      </c>
      <c r="AK59" s="1844">
        <v>63.25</v>
      </c>
      <c r="AL59" s="271">
        <v>64.36</v>
      </c>
      <c r="AM59" s="271">
        <v>13.01</v>
      </c>
      <c r="AN59" s="271">
        <v>12.98</v>
      </c>
      <c r="AO59" s="271">
        <v>201.95</v>
      </c>
      <c r="AP59" s="271">
        <v>201.95</v>
      </c>
      <c r="AQ59" s="271">
        <v>0.74</v>
      </c>
      <c r="AR59" s="271">
        <v>0.74</v>
      </c>
      <c r="AS59" s="271">
        <v>1.78</v>
      </c>
      <c r="AT59" s="271">
        <v>1.8</v>
      </c>
      <c r="AU59" s="1815" t="s">
        <v>547</v>
      </c>
      <c r="AV59" s="754">
        <v>21.36</v>
      </c>
      <c r="AW59" s="754">
        <v>21.35</v>
      </c>
      <c r="AX59" s="754">
        <v>2.39</v>
      </c>
      <c r="AY59" s="754">
        <v>2.41</v>
      </c>
      <c r="AZ59" s="754">
        <v>20.73</v>
      </c>
      <c r="BA59" s="754">
        <v>20.73</v>
      </c>
      <c r="BB59" s="754">
        <v>7.0000000000000007E-2</v>
      </c>
      <c r="BC59" s="754">
        <v>7.0000000000000007E-2</v>
      </c>
      <c r="BD59" s="754">
        <v>61.54</v>
      </c>
      <c r="BE59" s="754">
        <v>61.89</v>
      </c>
      <c r="BF59" s="754">
        <v>11.96</v>
      </c>
      <c r="BG59" s="754">
        <v>12.09</v>
      </c>
      <c r="BH59" s="754">
        <v>0.59</v>
      </c>
      <c r="BI59" s="754">
        <v>0.59</v>
      </c>
      <c r="BJ59" s="1815" t="s">
        <v>547</v>
      </c>
      <c r="BK59" s="271">
        <v>84.17</v>
      </c>
      <c r="BL59" s="271">
        <v>85.82</v>
      </c>
      <c r="BM59" s="271">
        <v>0.6</v>
      </c>
      <c r="BN59" s="271">
        <v>0.57999999999999996</v>
      </c>
      <c r="BO59" s="271">
        <v>118.34</v>
      </c>
      <c r="BP59" s="271">
        <v>119.16</v>
      </c>
      <c r="BQ59" s="271">
        <v>2.4500000000000002</v>
      </c>
      <c r="BR59" s="271">
        <v>2.48</v>
      </c>
      <c r="BS59" s="271">
        <v>21.17</v>
      </c>
      <c r="BT59" s="271">
        <v>21.17</v>
      </c>
      <c r="BU59" s="271">
        <v>77.75</v>
      </c>
      <c r="BV59" s="271">
        <v>77.75</v>
      </c>
      <c r="BW59" s="271">
        <v>123.27</v>
      </c>
      <c r="BX59" s="271">
        <v>125.5</v>
      </c>
    </row>
    <row r="60" spans="1:76" s="1284" customFormat="1" ht="11.45" customHeight="1" x14ac:dyDescent="0.15">
      <c r="A60" s="1848" t="s">
        <v>978</v>
      </c>
      <c r="B60" s="1820" t="s">
        <v>554</v>
      </c>
      <c r="C60" s="1844">
        <v>73.97</v>
      </c>
      <c r="D60" s="1844">
        <v>73.73</v>
      </c>
      <c r="E60" s="1844">
        <v>77.75</v>
      </c>
      <c r="F60" s="1844">
        <v>77.75</v>
      </c>
      <c r="G60" s="1844">
        <v>206.24</v>
      </c>
      <c r="H60" s="1844">
        <v>206.23</v>
      </c>
      <c r="I60" s="1844">
        <v>75.03</v>
      </c>
      <c r="J60" s="1844">
        <v>74.19</v>
      </c>
      <c r="K60" s="1844">
        <v>12.66</v>
      </c>
      <c r="L60" s="1844">
        <v>12.66</v>
      </c>
      <c r="M60" s="1844">
        <v>14.22</v>
      </c>
      <c r="N60" s="1844">
        <v>14.32</v>
      </c>
      <c r="O60" s="1844">
        <v>106.04</v>
      </c>
      <c r="P60" s="1844">
        <v>106.8</v>
      </c>
      <c r="Q60" s="1820" t="s">
        <v>554</v>
      </c>
      <c r="R60" s="1844">
        <v>10.029999999999999</v>
      </c>
      <c r="S60" s="1844">
        <v>10.029999999999999</v>
      </c>
      <c r="T60" s="1844">
        <v>1.26</v>
      </c>
      <c r="U60" s="1844">
        <v>1.27</v>
      </c>
      <c r="V60" s="1844">
        <v>0.01</v>
      </c>
      <c r="W60" s="1844">
        <v>0.01</v>
      </c>
      <c r="X60" s="1844">
        <v>0</v>
      </c>
      <c r="Y60" s="1844">
        <v>0</v>
      </c>
      <c r="Z60" s="1844">
        <v>0.79</v>
      </c>
      <c r="AA60" s="1844">
        <v>0.79</v>
      </c>
      <c r="AB60" s="1844">
        <v>275.32</v>
      </c>
      <c r="AC60" s="1844">
        <v>275.95</v>
      </c>
      <c r="AD60" s="1844">
        <v>24.48</v>
      </c>
      <c r="AE60" s="1844">
        <v>24.62</v>
      </c>
      <c r="AF60" s="1820" t="s">
        <v>554</v>
      </c>
      <c r="AG60" s="1844">
        <v>12.11</v>
      </c>
      <c r="AH60" s="1844">
        <v>12.11</v>
      </c>
      <c r="AI60" s="1844">
        <v>0.79</v>
      </c>
      <c r="AJ60" s="1844">
        <v>0.79</v>
      </c>
      <c r="AK60" s="1844">
        <v>64.91</v>
      </c>
      <c r="AL60" s="215">
        <v>64.23</v>
      </c>
      <c r="AM60" s="215">
        <v>13.06</v>
      </c>
      <c r="AN60" s="215">
        <v>13.18</v>
      </c>
      <c r="AO60" s="215">
        <v>201.95</v>
      </c>
      <c r="AP60" s="215">
        <v>201.95</v>
      </c>
      <c r="AQ60" s="215">
        <v>0.73</v>
      </c>
      <c r="AR60" s="215">
        <v>0.73</v>
      </c>
      <c r="AS60" s="215">
        <v>1.8</v>
      </c>
      <c r="AT60" s="215">
        <v>1.8</v>
      </c>
      <c r="AU60" s="464" t="s">
        <v>554</v>
      </c>
      <c r="AV60" s="215">
        <v>21.35</v>
      </c>
      <c r="AW60" s="215">
        <v>21.35</v>
      </c>
      <c r="AX60" s="215">
        <v>2.42</v>
      </c>
      <c r="AY60" s="215">
        <v>2.4300000000000002</v>
      </c>
      <c r="AZ60" s="215">
        <v>20.73</v>
      </c>
      <c r="BA60" s="215">
        <v>20.73</v>
      </c>
      <c r="BB60" s="215">
        <v>7.0000000000000007E-2</v>
      </c>
      <c r="BC60" s="215">
        <v>7.0000000000000007E-2</v>
      </c>
      <c r="BD60" s="215">
        <v>62.53</v>
      </c>
      <c r="BE60" s="215">
        <v>62.73</v>
      </c>
      <c r="BF60" s="215">
        <v>12.13</v>
      </c>
      <c r="BG60" s="215">
        <v>12.14</v>
      </c>
      <c r="BH60" s="215">
        <v>0.59</v>
      </c>
      <c r="BI60" s="215">
        <v>0.59</v>
      </c>
      <c r="BJ60" s="464" t="s">
        <v>554</v>
      </c>
      <c r="BK60" s="215">
        <v>86.11</v>
      </c>
      <c r="BL60" s="215">
        <v>86.5</v>
      </c>
      <c r="BM60" s="215">
        <v>0.56000000000000005</v>
      </c>
      <c r="BN60" s="215">
        <v>0.56000000000000005</v>
      </c>
      <c r="BO60" s="215">
        <v>119.67</v>
      </c>
      <c r="BP60" s="215">
        <v>120</v>
      </c>
      <c r="BQ60" s="215">
        <v>2.4900000000000002</v>
      </c>
      <c r="BR60" s="215">
        <v>2.5</v>
      </c>
      <c r="BS60" s="215">
        <v>21.17</v>
      </c>
      <c r="BT60" s="215">
        <v>21.17</v>
      </c>
      <c r="BU60" s="215">
        <v>77.75</v>
      </c>
      <c r="BV60" s="215">
        <v>77.75</v>
      </c>
      <c r="BW60" s="215">
        <v>125.12</v>
      </c>
      <c r="BX60" s="215">
        <v>124.7</v>
      </c>
    </row>
    <row r="61" spans="1:76" s="1284" customFormat="1" ht="11.45" customHeight="1" x14ac:dyDescent="0.15">
      <c r="A61" s="1848" t="s">
        <v>978</v>
      </c>
      <c r="B61" s="1820" t="s">
        <v>555</v>
      </c>
      <c r="C61" s="1858">
        <v>72.48</v>
      </c>
      <c r="D61" s="1858">
        <v>70.84</v>
      </c>
      <c r="E61" s="1858">
        <v>77.75</v>
      </c>
      <c r="F61" s="1858">
        <v>77.75</v>
      </c>
      <c r="G61" s="1858">
        <v>206.24</v>
      </c>
      <c r="H61" s="1858">
        <v>206.24</v>
      </c>
      <c r="I61" s="1858">
        <v>74.17</v>
      </c>
      <c r="J61" s="1858">
        <v>73.27</v>
      </c>
      <c r="K61" s="1858">
        <v>12.67</v>
      </c>
      <c r="L61" s="1858">
        <v>12.68</v>
      </c>
      <c r="M61" s="1858">
        <v>14.07</v>
      </c>
      <c r="N61" s="1858">
        <v>14.16</v>
      </c>
      <c r="O61" s="1858">
        <v>104.92</v>
      </c>
      <c r="P61" s="1858">
        <v>105.61</v>
      </c>
      <c r="Q61" s="1820" t="s">
        <v>555</v>
      </c>
      <c r="R61" s="1858">
        <v>10.029999999999999</v>
      </c>
      <c r="S61" s="1858">
        <v>10.029999999999999</v>
      </c>
      <c r="T61" s="1858">
        <v>1.24</v>
      </c>
      <c r="U61" s="1858">
        <v>1.25</v>
      </c>
      <c r="V61" s="1858">
        <v>0.01</v>
      </c>
      <c r="W61" s="1858">
        <v>0.01</v>
      </c>
      <c r="X61" s="1644">
        <v>0</v>
      </c>
      <c r="Y61" s="1644">
        <v>0</v>
      </c>
      <c r="Z61" s="1858">
        <v>0.78</v>
      </c>
      <c r="AA61" s="1858">
        <v>0.76</v>
      </c>
      <c r="AB61" s="1858">
        <v>274.69</v>
      </c>
      <c r="AC61" s="1858">
        <v>275.02999999999997</v>
      </c>
      <c r="AD61" s="1858">
        <v>24.3</v>
      </c>
      <c r="AE61" s="1858">
        <v>24.11</v>
      </c>
      <c r="AF61" s="1820" t="s">
        <v>555</v>
      </c>
      <c r="AG61" s="1644">
        <v>12.11</v>
      </c>
      <c r="AH61" s="1644">
        <v>12.11</v>
      </c>
      <c r="AI61" s="1644">
        <v>0.78</v>
      </c>
      <c r="AJ61" s="1644">
        <v>0.78</v>
      </c>
      <c r="AK61" s="1644">
        <v>64.180000000000007</v>
      </c>
      <c r="AL61" s="353">
        <v>63.24</v>
      </c>
      <c r="AM61" s="353">
        <v>12.78</v>
      </c>
      <c r="AN61" s="353">
        <v>12.68</v>
      </c>
      <c r="AO61" s="353">
        <v>201.95</v>
      </c>
      <c r="AP61" s="353">
        <v>201.93</v>
      </c>
      <c r="AQ61" s="353">
        <v>0.72</v>
      </c>
      <c r="AR61" s="353">
        <v>0.72</v>
      </c>
      <c r="AS61" s="353">
        <v>1.8</v>
      </c>
      <c r="AT61" s="353">
        <v>1.8</v>
      </c>
      <c r="AU61" s="1815" t="s">
        <v>555</v>
      </c>
      <c r="AV61" s="353">
        <v>21.36</v>
      </c>
      <c r="AW61" s="353">
        <v>21.36</v>
      </c>
      <c r="AX61" s="353">
        <v>2.38</v>
      </c>
      <c r="AY61" s="353">
        <v>2.34</v>
      </c>
      <c r="AZ61" s="353">
        <v>20.73</v>
      </c>
      <c r="BA61" s="353">
        <v>20.73</v>
      </c>
      <c r="BB61" s="353">
        <v>7.0000000000000007E-2</v>
      </c>
      <c r="BC61" s="353">
        <v>7.0000000000000007E-2</v>
      </c>
      <c r="BD61" s="353">
        <v>62.34</v>
      </c>
      <c r="BE61" s="353">
        <v>61.94</v>
      </c>
      <c r="BF61" s="353">
        <v>11.81</v>
      </c>
      <c r="BG61" s="353">
        <v>11.84</v>
      </c>
      <c r="BH61" s="353">
        <v>0.59</v>
      </c>
      <c r="BI61" s="353">
        <v>0.59</v>
      </c>
      <c r="BJ61" s="1815" t="s">
        <v>555</v>
      </c>
      <c r="BK61" s="353">
        <v>85.17</v>
      </c>
      <c r="BL61" s="353">
        <v>85.73</v>
      </c>
      <c r="BM61" s="353">
        <v>0.56000000000000005</v>
      </c>
      <c r="BN61" s="353">
        <v>0.56000000000000005</v>
      </c>
      <c r="BO61" s="353">
        <v>119.01</v>
      </c>
      <c r="BP61" s="353">
        <v>119.36</v>
      </c>
      <c r="BQ61" s="353">
        <v>2.4900000000000002</v>
      </c>
      <c r="BR61" s="353">
        <v>2.4900000000000002</v>
      </c>
      <c r="BS61" s="353">
        <v>21.17</v>
      </c>
      <c r="BT61" s="353">
        <v>21.17</v>
      </c>
      <c r="BU61" s="353">
        <v>77.75</v>
      </c>
      <c r="BV61" s="353">
        <v>77.75</v>
      </c>
      <c r="BW61" s="353">
        <v>125.18</v>
      </c>
      <c r="BX61" s="353">
        <v>127.16</v>
      </c>
    </row>
    <row r="62" spans="1:76" s="1284" customFormat="1" ht="11.45" customHeight="1" x14ac:dyDescent="0.15">
      <c r="A62" s="1848" t="s">
        <v>978</v>
      </c>
      <c r="B62" s="1820" t="s">
        <v>548</v>
      </c>
      <c r="C62" s="1872">
        <v>69.849999999999994</v>
      </c>
      <c r="D62" s="1872">
        <v>69.25</v>
      </c>
      <c r="E62" s="1872">
        <v>77.75</v>
      </c>
      <c r="F62" s="1872">
        <v>77.75</v>
      </c>
      <c r="G62" s="1872">
        <v>206.24</v>
      </c>
      <c r="H62" s="1872">
        <v>206.23</v>
      </c>
      <c r="I62" s="1872">
        <v>73.09</v>
      </c>
      <c r="J62" s="1872">
        <v>73.06</v>
      </c>
      <c r="K62" s="1872">
        <v>12.71</v>
      </c>
      <c r="L62" s="1872">
        <v>12.75</v>
      </c>
      <c r="M62" s="1872">
        <v>14.28</v>
      </c>
      <c r="N62" s="1872">
        <v>14.38</v>
      </c>
      <c r="O62" s="1873">
        <v>106.5</v>
      </c>
      <c r="P62" s="1872">
        <v>107.28</v>
      </c>
      <c r="Q62" s="1820" t="s">
        <v>548</v>
      </c>
      <c r="R62" s="1872">
        <v>10.029999999999999</v>
      </c>
      <c r="S62" s="1872">
        <v>10.029999999999999</v>
      </c>
      <c r="T62" s="1872">
        <v>1.26</v>
      </c>
      <c r="U62" s="1872">
        <v>1.26</v>
      </c>
      <c r="V62" s="1872">
        <v>0.01</v>
      </c>
      <c r="W62" s="1872">
        <v>0.01</v>
      </c>
      <c r="X62" s="1873">
        <v>0</v>
      </c>
      <c r="Y62" s="1873">
        <v>0</v>
      </c>
      <c r="Z62" s="1872">
        <v>0.75</v>
      </c>
      <c r="AA62" s="1872">
        <v>0.74</v>
      </c>
      <c r="AB62" s="1872">
        <v>275.13</v>
      </c>
      <c r="AC62" s="1872">
        <v>275.32</v>
      </c>
      <c r="AD62" s="1872">
        <v>23.91</v>
      </c>
      <c r="AE62" s="1872">
        <v>23.69</v>
      </c>
      <c r="AF62" s="1820" t="s">
        <v>548</v>
      </c>
      <c r="AG62" s="1873">
        <v>12.11</v>
      </c>
      <c r="AH62" s="1873">
        <v>12.11</v>
      </c>
      <c r="AI62" s="1873">
        <v>0.78</v>
      </c>
      <c r="AJ62" s="1873">
        <v>0.78</v>
      </c>
      <c r="AK62" s="1873">
        <v>63.94</v>
      </c>
      <c r="AL62" s="1826">
        <v>63.75</v>
      </c>
      <c r="AM62" s="1826">
        <v>12.66</v>
      </c>
      <c r="AN62" s="1826">
        <v>12.81</v>
      </c>
      <c r="AO62" s="1826">
        <v>201.97</v>
      </c>
      <c r="AP62" s="1826">
        <v>201.95</v>
      </c>
      <c r="AQ62" s="1826">
        <v>0.73</v>
      </c>
      <c r="AR62" s="1826">
        <v>0.74</v>
      </c>
      <c r="AS62" s="1826">
        <v>1.8</v>
      </c>
      <c r="AT62" s="1826">
        <v>1.8</v>
      </c>
      <c r="AU62" s="464" t="s">
        <v>548</v>
      </c>
      <c r="AV62" s="1825">
        <v>21.35</v>
      </c>
      <c r="AW62" s="1825">
        <v>21.35</v>
      </c>
      <c r="AX62" s="1825">
        <v>2.37</v>
      </c>
      <c r="AY62" s="1825">
        <v>2.38</v>
      </c>
      <c r="AZ62" s="1825">
        <v>20.73</v>
      </c>
      <c r="BA62" s="1825">
        <v>20.73</v>
      </c>
      <c r="BB62" s="1825">
        <v>7.0000000000000007E-2</v>
      </c>
      <c r="BC62" s="1825">
        <v>7.0000000000000007E-2</v>
      </c>
      <c r="BD62" s="1825">
        <v>61.76</v>
      </c>
      <c r="BE62" s="1825">
        <v>61.35</v>
      </c>
      <c r="BF62" s="1825">
        <v>11.88</v>
      </c>
      <c r="BG62" s="1826">
        <v>12.1</v>
      </c>
      <c r="BH62" s="1825">
        <v>0.59</v>
      </c>
      <c r="BI62" s="1825">
        <v>0.59</v>
      </c>
      <c r="BJ62" s="464" t="s">
        <v>548</v>
      </c>
      <c r="BK62" s="1825">
        <v>86.96</v>
      </c>
      <c r="BL62" s="1825">
        <v>87.55</v>
      </c>
      <c r="BM62" s="1825">
        <v>0.55000000000000004</v>
      </c>
      <c r="BN62" s="1825">
        <v>0.55000000000000004</v>
      </c>
      <c r="BO62" s="1825">
        <v>119.59</v>
      </c>
      <c r="BP62" s="1825">
        <v>119.73</v>
      </c>
      <c r="BQ62" s="1825">
        <v>2.4900000000000002</v>
      </c>
      <c r="BR62" s="1825">
        <v>2.4900000000000002</v>
      </c>
      <c r="BS62" s="1825">
        <v>21.17</v>
      </c>
      <c r="BT62" s="1825">
        <v>21.17</v>
      </c>
      <c r="BU62" s="1825">
        <v>77.75</v>
      </c>
      <c r="BV62" s="1825">
        <v>77.75</v>
      </c>
      <c r="BW62" s="1825">
        <v>127.29</v>
      </c>
      <c r="BX62" s="1825">
        <v>128.31</v>
      </c>
    </row>
    <row r="63" spans="1:76" s="1284" customFormat="1" ht="11.45" customHeight="1" x14ac:dyDescent="0.15">
      <c r="A63" s="1848" t="s">
        <v>978</v>
      </c>
      <c r="B63" s="1820" t="s">
        <v>556</v>
      </c>
      <c r="C63" s="1644">
        <v>68.900000000000006</v>
      </c>
      <c r="D63" s="1644">
        <v>68.3</v>
      </c>
      <c r="E63" s="1644">
        <v>77.75</v>
      </c>
      <c r="F63" s="1644">
        <v>77.75</v>
      </c>
      <c r="G63" s="1644">
        <v>206.23</v>
      </c>
      <c r="H63" s="1644">
        <v>206.23</v>
      </c>
      <c r="I63" s="1644">
        <v>71.3</v>
      </c>
      <c r="J63" s="1644">
        <v>69.63</v>
      </c>
      <c r="K63" s="1644">
        <v>12.74</v>
      </c>
      <c r="L63" s="1644">
        <v>12.74</v>
      </c>
      <c r="M63" s="1644">
        <v>14.21</v>
      </c>
      <c r="N63" s="1644">
        <v>14.12</v>
      </c>
      <c r="O63" s="1644">
        <v>106.01</v>
      </c>
      <c r="P63" s="1644">
        <v>105.37</v>
      </c>
      <c r="Q63" s="1820" t="s">
        <v>556</v>
      </c>
      <c r="R63" s="1858">
        <v>10.02</v>
      </c>
      <c r="S63" s="1858">
        <v>10.01</v>
      </c>
      <c r="T63" s="1858">
        <v>1.25</v>
      </c>
      <c r="U63" s="1858">
        <v>1.24</v>
      </c>
      <c r="V63" s="1858">
        <v>0.01</v>
      </c>
      <c r="W63" s="1858">
        <v>0.01</v>
      </c>
      <c r="X63" s="1644">
        <v>0</v>
      </c>
      <c r="Y63" s="1644">
        <v>0</v>
      </c>
      <c r="Z63" s="1858">
        <v>0.75</v>
      </c>
      <c r="AA63" s="1858">
        <v>0.76</v>
      </c>
      <c r="AB63" s="1858">
        <v>275.17</v>
      </c>
      <c r="AC63" s="1858">
        <v>275.12</v>
      </c>
      <c r="AD63" s="1858">
        <v>23.55</v>
      </c>
      <c r="AE63" s="1858">
        <v>23.23</v>
      </c>
      <c r="AF63" s="1820" t="s">
        <v>556</v>
      </c>
      <c r="AG63" s="1858">
        <v>12.11</v>
      </c>
      <c r="AH63" s="1858">
        <v>12.11</v>
      </c>
      <c r="AI63" s="1858">
        <v>0.78</v>
      </c>
      <c r="AJ63" s="1858">
        <v>0.77</v>
      </c>
      <c r="AK63" s="1858">
        <v>64.319999999999993</v>
      </c>
      <c r="AL63" s="1824">
        <v>63.37</v>
      </c>
      <c r="AM63" s="1824">
        <v>12.66</v>
      </c>
      <c r="AN63" s="1824">
        <v>12.44</v>
      </c>
      <c r="AO63" s="1824">
        <v>201.95</v>
      </c>
      <c r="AP63" s="1824">
        <v>201.95</v>
      </c>
      <c r="AQ63" s="1824">
        <v>0.74</v>
      </c>
      <c r="AR63" s="1824">
        <v>0.74</v>
      </c>
      <c r="AS63" s="353">
        <v>1.8</v>
      </c>
      <c r="AT63" s="353">
        <v>1.8</v>
      </c>
      <c r="AU63" s="1815" t="s">
        <v>556</v>
      </c>
      <c r="AV63" s="353">
        <v>21.35</v>
      </c>
      <c r="AW63" s="353">
        <v>21.35</v>
      </c>
      <c r="AX63" s="353">
        <v>2.31</v>
      </c>
      <c r="AY63" s="353">
        <v>2.21</v>
      </c>
      <c r="AZ63" s="353">
        <v>20.73</v>
      </c>
      <c r="BA63" s="353">
        <v>20.73</v>
      </c>
      <c r="BB63" s="353">
        <v>7.0000000000000007E-2</v>
      </c>
      <c r="BC63" s="353">
        <v>7.0000000000000007E-2</v>
      </c>
      <c r="BD63" s="353">
        <v>61.14</v>
      </c>
      <c r="BE63" s="353">
        <v>60.99</v>
      </c>
      <c r="BF63" s="353">
        <v>12</v>
      </c>
      <c r="BG63" s="353">
        <v>11.92</v>
      </c>
      <c r="BH63" s="353">
        <v>0.59</v>
      </c>
      <c r="BI63" s="353">
        <v>0.59</v>
      </c>
      <c r="BJ63" s="1815" t="s">
        <v>556</v>
      </c>
      <c r="BK63" s="1824">
        <v>86.14</v>
      </c>
      <c r="BL63" s="1824">
        <v>86.1</v>
      </c>
      <c r="BM63" s="1824">
        <v>0.54</v>
      </c>
      <c r="BN63" s="1824">
        <v>0.54</v>
      </c>
      <c r="BO63" s="1824">
        <v>119.43</v>
      </c>
      <c r="BP63" s="1824">
        <v>119.45</v>
      </c>
      <c r="BQ63" s="1824">
        <v>2.4900000000000002</v>
      </c>
      <c r="BR63" s="1824">
        <v>2.4900000000000002</v>
      </c>
      <c r="BS63" s="1824">
        <v>21.17</v>
      </c>
      <c r="BT63" s="1824">
        <v>21.17</v>
      </c>
      <c r="BU63" s="1824">
        <v>77.75</v>
      </c>
      <c r="BV63" s="1824">
        <v>77.75</v>
      </c>
      <c r="BW63" s="1824">
        <v>128.13999999999999</v>
      </c>
      <c r="BX63" s="1824">
        <v>128.15</v>
      </c>
    </row>
    <row r="64" spans="1:76" s="1284" customFormat="1" ht="11.45" customHeight="1" x14ac:dyDescent="0.15">
      <c r="A64" s="1848" t="s">
        <v>978</v>
      </c>
      <c r="B64" s="1820" t="s">
        <v>557</v>
      </c>
      <c r="C64" s="1644">
        <v>69.67</v>
      </c>
      <c r="D64" s="1644">
        <v>69.7</v>
      </c>
      <c r="E64" s="1644">
        <v>77.75</v>
      </c>
      <c r="F64" s="1644">
        <v>77.75</v>
      </c>
      <c r="G64" s="1644">
        <v>206.23</v>
      </c>
      <c r="H64" s="1644">
        <v>206.24</v>
      </c>
      <c r="I64" s="1644">
        <v>70.3</v>
      </c>
      <c r="J64" s="1644">
        <v>69.849999999999994</v>
      </c>
      <c r="K64" s="1644">
        <v>12.72</v>
      </c>
      <c r="L64" s="1644">
        <v>12.7</v>
      </c>
      <c r="M64" s="1644">
        <v>14.22</v>
      </c>
      <c r="N64" s="1644">
        <v>14.29</v>
      </c>
      <c r="O64" s="1644">
        <v>106.14</v>
      </c>
      <c r="P64" s="1644">
        <v>106.62</v>
      </c>
      <c r="Q64" s="1820" t="s">
        <v>557</v>
      </c>
      <c r="R64" s="1644">
        <v>10.02</v>
      </c>
      <c r="S64" s="1644">
        <v>10.02</v>
      </c>
      <c r="T64" s="1644">
        <v>1.25</v>
      </c>
      <c r="U64" s="1644">
        <v>1.25</v>
      </c>
      <c r="V64" s="1644">
        <v>0.01</v>
      </c>
      <c r="W64" s="1644">
        <v>0.01</v>
      </c>
      <c r="X64" s="1644">
        <v>0</v>
      </c>
      <c r="Y64" s="1644">
        <v>0</v>
      </c>
      <c r="Z64" s="1644">
        <v>0.76</v>
      </c>
      <c r="AA64" s="1644">
        <v>0.76</v>
      </c>
      <c r="AB64" s="1644">
        <v>275.58</v>
      </c>
      <c r="AC64" s="1644">
        <v>276.06</v>
      </c>
      <c r="AD64" s="1644">
        <v>23.48</v>
      </c>
      <c r="AE64" s="1644">
        <v>23.69</v>
      </c>
      <c r="AF64" s="1820" t="s">
        <v>557</v>
      </c>
      <c r="AG64" s="1644">
        <v>12.11</v>
      </c>
      <c r="AH64" s="1644">
        <v>12.11</v>
      </c>
      <c r="AI64" s="1644">
        <v>0.78</v>
      </c>
      <c r="AJ64" s="1644">
        <v>0.78</v>
      </c>
      <c r="AK64" s="1644">
        <v>64.36</v>
      </c>
      <c r="AL64" s="339">
        <v>65.069999999999993</v>
      </c>
      <c r="AM64" s="339">
        <v>12.68</v>
      </c>
      <c r="AN64" s="339">
        <v>12.87</v>
      </c>
      <c r="AO64" s="339">
        <v>201.95</v>
      </c>
      <c r="AP64" s="339">
        <v>201.95</v>
      </c>
      <c r="AQ64" s="339">
        <v>0.74</v>
      </c>
      <c r="AR64" s="339">
        <v>0.74</v>
      </c>
      <c r="AS64" s="339">
        <v>1.8</v>
      </c>
      <c r="AT64" s="339">
        <v>1.8</v>
      </c>
      <c r="AU64" s="464" t="s">
        <v>557</v>
      </c>
      <c r="AV64" s="339">
        <v>21.35</v>
      </c>
      <c r="AW64" s="339">
        <v>21.35</v>
      </c>
      <c r="AX64" s="339">
        <v>2.21</v>
      </c>
      <c r="AY64" s="339">
        <v>2.16</v>
      </c>
      <c r="AZ64" s="339">
        <v>20.73</v>
      </c>
      <c r="BA64" s="339">
        <v>20.73</v>
      </c>
      <c r="BB64" s="339">
        <v>7.0000000000000007E-2</v>
      </c>
      <c r="BC64" s="339">
        <v>7.0000000000000007E-2</v>
      </c>
      <c r="BD64" s="339">
        <v>61.39</v>
      </c>
      <c r="BE64" s="339">
        <v>61.51</v>
      </c>
      <c r="BF64" s="339">
        <v>11.96</v>
      </c>
      <c r="BG64" s="339">
        <v>11.92</v>
      </c>
      <c r="BH64" s="339">
        <v>0.59</v>
      </c>
      <c r="BI64" s="339">
        <v>0.59</v>
      </c>
      <c r="BJ64" s="464" t="s">
        <v>557</v>
      </c>
      <c r="BK64" s="339">
        <v>86.88</v>
      </c>
      <c r="BL64" s="339">
        <v>87.52</v>
      </c>
      <c r="BM64" s="339">
        <v>0.54</v>
      </c>
      <c r="BN64" s="339">
        <v>0.54</v>
      </c>
      <c r="BO64" s="339">
        <v>119.53</v>
      </c>
      <c r="BP64" s="339">
        <v>119.84</v>
      </c>
      <c r="BQ64" s="339">
        <v>2.4900000000000002</v>
      </c>
      <c r="BR64" s="339">
        <v>2.4900000000000002</v>
      </c>
      <c r="BS64" s="339">
        <v>21.17</v>
      </c>
      <c r="BT64" s="339">
        <v>21.17</v>
      </c>
      <c r="BU64" s="339">
        <v>77.75</v>
      </c>
      <c r="BV64" s="339">
        <v>77.75</v>
      </c>
      <c r="BW64" s="339">
        <v>128.69999999999999</v>
      </c>
      <c r="BX64" s="339">
        <v>129.75</v>
      </c>
    </row>
    <row r="65" spans="1:76" s="1284" customFormat="1" ht="11.45" customHeight="1" x14ac:dyDescent="0.2">
      <c r="A65" s="1848" t="s">
        <v>978</v>
      </c>
      <c r="B65" s="1820" t="s">
        <v>549</v>
      </c>
      <c r="C65" s="1856">
        <v>70.459999999999994</v>
      </c>
      <c r="D65" s="1856">
        <v>71.87</v>
      </c>
      <c r="E65" s="1856">
        <v>77.709999999999994</v>
      </c>
      <c r="F65" s="1856">
        <v>77.67</v>
      </c>
      <c r="G65" s="1856">
        <v>206.13</v>
      </c>
      <c r="H65" s="1856">
        <v>206.02</v>
      </c>
      <c r="I65" s="1856">
        <v>69.95</v>
      </c>
      <c r="J65" s="1856">
        <v>70.25</v>
      </c>
      <c r="K65" s="1856">
        <v>12.67</v>
      </c>
      <c r="L65" s="1856">
        <v>12.63</v>
      </c>
      <c r="M65" s="1856">
        <v>14.4</v>
      </c>
      <c r="N65" s="1856">
        <v>14.31</v>
      </c>
      <c r="O65" s="1856">
        <v>107.41</v>
      </c>
      <c r="P65" s="1856">
        <v>106.84</v>
      </c>
      <c r="Q65" s="1820" t="s">
        <v>549</v>
      </c>
      <c r="R65" s="1856">
        <v>10.01</v>
      </c>
      <c r="S65" s="1856">
        <v>10.01</v>
      </c>
      <c r="T65" s="1856">
        <v>1.27</v>
      </c>
      <c r="U65" s="1856">
        <v>1.3</v>
      </c>
      <c r="V65" s="1856">
        <v>0.01</v>
      </c>
      <c r="W65" s="1856">
        <v>0.01</v>
      </c>
      <c r="X65" s="1856">
        <v>0</v>
      </c>
      <c r="Y65" s="1856">
        <v>0</v>
      </c>
      <c r="Z65" s="1856">
        <v>0.76</v>
      </c>
      <c r="AA65" s="1856">
        <v>0.76</v>
      </c>
      <c r="AB65" s="1856">
        <v>276</v>
      </c>
      <c r="AC65" s="1856">
        <v>275.63</v>
      </c>
      <c r="AD65" s="1856">
        <v>23.68</v>
      </c>
      <c r="AE65" s="1856">
        <v>23.8</v>
      </c>
      <c r="AF65" s="1820" t="s">
        <v>549</v>
      </c>
      <c r="AG65" s="1856">
        <v>12.1</v>
      </c>
      <c r="AH65" s="1856">
        <v>12.1</v>
      </c>
      <c r="AI65" s="1856">
        <v>0.79</v>
      </c>
      <c r="AJ65" s="1856">
        <v>0.8</v>
      </c>
      <c r="AK65" s="1856">
        <v>66.2</v>
      </c>
      <c r="AL65" s="1316">
        <v>67.23</v>
      </c>
      <c r="AM65" s="1316">
        <v>12.95</v>
      </c>
      <c r="AN65" s="1316">
        <v>12.94</v>
      </c>
      <c r="AO65" s="1316">
        <v>201.85</v>
      </c>
      <c r="AP65" s="1316">
        <v>201.74</v>
      </c>
      <c r="AQ65" s="1316">
        <v>0.78</v>
      </c>
      <c r="AR65" s="1316">
        <v>0.79</v>
      </c>
      <c r="AS65" s="1316">
        <v>1.8</v>
      </c>
      <c r="AT65" s="1316">
        <v>1.8</v>
      </c>
      <c r="AU65" s="1815" t="s">
        <v>549</v>
      </c>
      <c r="AV65" s="1316">
        <v>21.34</v>
      </c>
      <c r="AW65" s="1316">
        <v>21.33</v>
      </c>
      <c r="AX65" s="1316">
        <v>2.15</v>
      </c>
      <c r="AY65" s="1316">
        <v>2.17</v>
      </c>
      <c r="AZ65" s="1316">
        <v>20.72</v>
      </c>
      <c r="BA65" s="1316">
        <v>20.71</v>
      </c>
      <c r="BB65" s="1316">
        <v>7.0000000000000007E-2</v>
      </c>
      <c r="BC65" s="1316">
        <v>7.0000000000000007E-2</v>
      </c>
      <c r="BD65" s="1316">
        <v>61.3</v>
      </c>
      <c r="BE65" s="1316">
        <v>61.72</v>
      </c>
      <c r="BF65" s="1316">
        <v>12.12</v>
      </c>
      <c r="BG65" s="1316">
        <v>11.95</v>
      </c>
      <c r="BH65" s="1316">
        <v>0.59</v>
      </c>
      <c r="BI65" s="1316">
        <v>0.59</v>
      </c>
      <c r="BJ65" s="1815" t="s">
        <v>549</v>
      </c>
      <c r="BK65" s="1316">
        <v>88.28</v>
      </c>
      <c r="BL65" s="1316">
        <v>87.6</v>
      </c>
      <c r="BM65" s="1316">
        <v>0.54</v>
      </c>
      <c r="BN65" s="1316">
        <v>0.54</v>
      </c>
      <c r="BO65" s="1316">
        <v>120.28</v>
      </c>
      <c r="BP65" s="1316">
        <v>120.01</v>
      </c>
      <c r="BQ65" s="1316">
        <v>2.48</v>
      </c>
      <c r="BR65" s="1316">
        <v>2.48</v>
      </c>
      <c r="BS65" s="1316">
        <v>21.16</v>
      </c>
      <c r="BT65" s="1316">
        <v>21.15</v>
      </c>
      <c r="BU65" s="1316">
        <v>77.709999999999994</v>
      </c>
      <c r="BV65" s="1316">
        <v>77.67</v>
      </c>
      <c r="BW65" s="1316">
        <v>129.19</v>
      </c>
      <c r="BX65" s="1316">
        <v>129.28</v>
      </c>
    </row>
    <row r="66" spans="1:76" s="1284" customFormat="1" ht="11.45" customHeight="1" x14ac:dyDescent="0.2">
      <c r="A66" s="1848" t="s">
        <v>978</v>
      </c>
      <c r="B66" s="1820" t="s">
        <v>558</v>
      </c>
      <c r="C66" s="1856">
        <v>72.36</v>
      </c>
      <c r="D66" s="1856">
        <v>71.97</v>
      </c>
      <c r="E66" s="1856">
        <v>77.66</v>
      </c>
      <c r="F66" s="1856">
        <v>77.650000000000006</v>
      </c>
      <c r="G66" s="1856">
        <v>206</v>
      </c>
      <c r="H66" s="1856">
        <v>205.97</v>
      </c>
      <c r="I66" s="1856">
        <v>70.62</v>
      </c>
      <c r="J66" s="1856">
        <v>70.900000000000006</v>
      </c>
      <c r="K66" s="1856">
        <v>12.62</v>
      </c>
      <c r="L66" s="1856">
        <v>12.61</v>
      </c>
      <c r="M66" s="1856">
        <v>14.36</v>
      </c>
      <c r="N66" s="1856">
        <v>14.37</v>
      </c>
      <c r="O66" s="1856">
        <v>107.22</v>
      </c>
      <c r="P66" s="1856">
        <v>107.23</v>
      </c>
      <c r="Q66" s="1820" t="s">
        <v>558</v>
      </c>
      <c r="R66" s="1856">
        <v>10.02</v>
      </c>
      <c r="S66" s="1856">
        <v>10.01</v>
      </c>
      <c r="T66" s="1856">
        <v>1.29</v>
      </c>
      <c r="U66" s="1856">
        <v>1.29</v>
      </c>
      <c r="V66" s="1856">
        <v>0.01</v>
      </c>
      <c r="W66" s="1856">
        <v>0.01</v>
      </c>
      <c r="X66" s="1856">
        <v>0</v>
      </c>
      <c r="Y66" s="1856">
        <v>0</v>
      </c>
      <c r="Z66" s="1856">
        <v>0.76</v>
      </c>
      <c r="AA66" s="1856">
        <v>0.76</v>
      </c>
      <c r="AB66" s="1856">
        <v>275.95999999999998</v>
      </c>
      <c r="AC66" s="1856">
        <v>275.94</v>
      </c>
      <c r="AD66" s="1856">
        <v>23.84</v>
      </c>
      <c r="AE66" s="1856">
        <v>23.78</v>
      </c>
      <c r="AF66" s="1820" t="s">
        <v>558</v>
      </c>
      <c r="AG66" s="1856">
        <v>12.1</v>
      </c>
      <c r="AH66" s="1856">
        <v>12.1</v>
      </c>
      <c r="AI66" s="1856">
        <v>0.81</v>
      </c>
      <c r="AJ66" s="1856">
        <v>0.8</v>
      </c>
      <c r="AK66" s="1856">
        <v>66.88</v>
      </c>
      <c r="AL66" s="313">
        <v>66.37</v>
      </c>
      <c r="AM66" s="313">
        <v>12.98</v>
      </c>
      <c r="AN66" s="313">
        <v>12.92</v>
      </c>
      <c r="AO66" s="313">
        <v>201.72</v>
      </c>
      <c r="AP66" s="313">
        <v>201.69</v>
      </c>
      <c r="AQ66" s="313">
        <v>0.8</v>
      </c>
      <c r="AR66" s="313">
        <v>0.79</v>
      </c>
      <c r="AS66" s="313">
        <v>1.77</v>
      </c>
      <c r="AT66" s="313">
        <v>1.74</v>
      </c>
      <c r="AU66" s="464" t="s">
        <v>558</v>
      </c>
      <c r="AV66" s="313">
        <v>21.33</v>
      </c>
      <c r="AW66" s="313">
        <v>21.33</v>
      </c>
      <c r="AX66" s="313">
        <v>2.1800000000000002</v>
      </c>
      <c r="AY66" s="313">
        <v>2.1800000000000002</v>
      </c>
      <c r="AZ66" s="313">
        <v>20.71</v>
      </c>
      <c r="BA66" s="313">
        <v>20.7</v>
      </c>
      <c r="BB66" s="313">
        <v>7.0000000000000007E-2</v>
      </c>
      <c r="BC66" s="313">
        <v>0.08</v>
      </c>
      <c r="BD66" s="313">
        <v>61.89</v>
      </c>
      <c r="BE66" s="313">
        <v>61.83</v>
      </c>
      <c r="BF66" s="313">
        <v>11.86</v>
      </c>
      <c r="BG66" s="313">
        <v>11.83</v>
      </c>
      <c r="BH66" s="313">
        <v>0.59</v>
      </c>
      <c r="BI66" s="313">
        <v>0.59</v>
      </c>
      <c r="BJ66" s="464" t="s">
        <v>558</v>
      </c>
      <c r="BK66" s="313">
        <v>87.93</v>
      </c>
      <c r="BL66" s="313">
        <v>87.87</v>
      </c>
      <c r="BM66" s="313">
        <v>0.53</v>
      </c>
      <c r="BN66" s="313">
        <v>0.52</v>
      </c>
      <c r="BO66" s="313">
        <v>120.22</v>
      </c>
      <c r="BP66" s="313">
        <v>120.41</v>
      </c>
      <c r="BQ66" s="313">
        <v>2.44</v>
      </c>
      <c r="BR66" s="313">
        <v>2.4</v>
      </c>
      <c r="BS66" s="313">
        <v>21.14</v>
      </c>
      <c r="BT66" s="313">
        <v>21.14</v>
      </c>
      <c r="BU66" s="313">
        <v>77.66</v>
      </c>
      <c r="BV66" s="313">
        <v>77.650000000000006</v>
      </c>
      <c r="BW66" s="313">
        <v>129.97999999999999</v>
      </c>
      <c r="BX66" s="313">
        <v>130.66999999999999</v>
      </c>
    </row>
    <row r="67" spans="1:76" s="1284" customFormat="1" ht="11.45" customHeight="1" x14ac:dyDescent="0.15">
      <c r="A67" s="1848" t="s">
        <v>978</v>
      </c>
      <c r="B67" s="1820" t="s">
        <v>559</v>
      </c>
      <c r="C67" s="1644">
        <v>72.23</v>
      </c>
      <c r="D67" s="1644">
        <v>72.28</v>
      </c>
      <c r="E67" s="1644">
        <v>77.64</v>
      </c>
      <c r="F67" s="1644">
        <v>77.63</v>
      </c>
      <c r="G67" s="1644">
        <v>205.94</v>
      </c>
      <c r="H67" s="1644">
        <v>205.92</v>
      </c>
      <c r="I67" s="1644">
        <v>71.28</v>
      </c>
      <c r="J67" s="1644">
        <v>71.59</v>
      </c>
      <c r="K67" s="1644">
        <v>12.6</v>
      </c>
      <c r="L67" s="1644">
        <v>12.58</v>
      </c>
      <c r="M67" s="1644">
        <v>14.29</v>
      </c>
      <c r="N67" s="1644">
        <v>14.18</v>
      </c>
      <c r="O67" s="1644">
        <v>106.67</v>
      </c>
      <c r="P67" s="1644">
        <v>105.84</v>
      </c>
      <c r="Q67" s="1820" t="s">
        <v>559</v>
      </c>
      <c r="R67" s="1644">
        <v>10.01</v>
      </c>
      <c r="S67" s="1644">
        <v>10.01</v>
      </c>
      <c r="T67" s="1644">
        <v>1.31</v>
      </c>
      <c r="U67" s="1644">
        <v>1.31</v>
      </c>
      <c r="V67" s="1644">
        <v>0.01</v>
      </c>
      <c r="W67" s="1644">
        <v>0.01</v>
      </c>
      <c r="X67" s="1644">
        <v>0</v>
      </c>
      <c r="Y67" s="1644">
        <v>0</v>
      </c>
      <c r="Z67" s="1644">
        <v>0.76</v>
      </c>
      <c r="AA67" s="1644">
        <v>0.76</v>
      </c>
      <c r="AB67" s="1644">
        <v>275.81</v>
      </c>
      <c r="AC67" s="1644">
        <v>275.43</v>
      </c>
      <c r="AD67" s="1644">
        <v>24.03</v>
      </c>
      <c r="AE67" s="1644">
        <v>24.14</v>
      </c>
      <c r="AF67" s="1820" t="s">
        <v>559</v>
      </c>
      <c r="AG67" s="1644">
        <v>12.09</v>
      </c>
      <c r="AH67" s="1644">
        <v>12.09</v>
      </c>
      <c r="AI67" s="1644">
        <v>0.81</v>
      </c>
      <c r="AJ67" s="1644">
        <v>0.82</v>
      </c>
      <c r="AK67" s="1644">
        <v>66.819999999999993</v>
      </c>
      <c r="AL67" s="353">
        <v>65.930000000000007</v>
      </c>
      <c r="AM67" s="353">
        <v>13.07</v>
      </c>
      <c r="AN67" s="353">
        <v>12.99</v>
      </c>
      <c r="AO67" s="353">
        <v>201.67</v>
      </c>
      <c r="AP67" s="353">
        <v>201.64</v>
      </c>
      <c r="AQ67" s="353">
        <v>0.79</v>
      </c>
      <c r="AR67" s="353">
        <v>0.79</v>
      </c>
      <c r="AS67" s="353">
        <v>1.77</v>
      </c>
      <c r="AT67" s="353">
        <v>1.77</v>
      </c>
      <c r="AU67" s="1815" t="s">
        <v>559</v>
      </c>
      <c r="AV67" s="353">
        <v>21.33</v>
      </c>
      <c r="AW67" s="353">
        <v>21.33</v>
      </c>
      <c r="AX67" s="353">
        <v>2.23</v>
      </c>
      <c r="AY67" s="353">
        <v>2.25</v>
      </c>
      <c r="AZ67" s="353">
        <v>20.7</v>
      </c>
      <c r="BA67" s="353">
        <v>20.7</v>
      </c>
      <c r="BB67" s="353">
        <v>0.08</v>
      </c>
      <c r="BC67" s="353">
        <v>0.08</v>
      </c>
      <c r="BD67" s="353">
        <v>62.03</v>
      </c>
      <c r="BE67" s="353">
        <v>61.91</v>
      </c>
      <c r="BF67" s="353">
        <v>11.81</v>
      </c>
      <c r="BG67" s="353">
        <v>11.61</v>
      </c>
      <c r="BH67" s="353">
        <v>0.6</v>
      </c>
      <c r="BI67" s="353">
        <v>0.6</v>
      </c>
      <c r="BJ67" s="1815" t="s">
        <v>559</v>
      </c>
      <c r="BK67" s="353">
        <v>87.4</v>
      </c>
      <c r="BL67" s="353">
        <v>86.69</v>
      </c>
      <c r="BM67" s="353">
        <v>0.52</v>
      </c>
      <c r="BN67" s="353">
        <v>0.52</v>
      </c>
      <c r="BO67" s="353">
        <v>120.11</v>
      </c>
      <c r="BP67" s="353">
        <v>119.58</v>
      </c>
      <c r="BQ67" s="353">
        <v>2.39</v>
      </c>
      <c r="BR67" s="353">
        <v>2.36</v>
      </c>
      <c r="BS67" s="353">
        <v>21.14</v>
      </c>
      <c r="BT67" s="353">
        <v>21.14</v>
      </c>
      <c r="BU67" s="353">
        <v>77.64</v>
      </c>
      <c r="BV67" s="353">
        <v>77.63</v>
      </c>
      <c r="BW67" s="353">
        <v>130.76</v>
      </c>
      <c r="BX67" s="353">
        <v>130.13</v>
      </c>
    </row>
    <row r="68" spans="1:76" s="1284" customFormat="1" ht="11.45" customHeight="1" x14ac:dyDescent="0.15">
      <c r="A68" s="1848" t="s">
        <v>978</v>
      </c>
      <c r="B68" s="1820" t="s">
        <v>550</v>
      </c>
      <c r="C68" s="1644">
        <v>72.73</v>
      </c>
      <c r="D68" s="1644">
        <v>73.17</v>
      </c>
      <c r="E68" s="1644">
        <v>77.63</v>
      </c>
      <c r="F68" s="1644">
        <v>77.63</v>
      </c>
      <c r="G68" s="1644">
        <v>205.92</v>
      </c>
      <c r="H68" s="1644">
        <v>205.92</v>
      </c>
      <c r="I68" s="1644">
        <v>71.7</v>
      </c>
      <c r="J68" s="1644">
        <v>72.81</v>
      </c>
      <c r="K68" s="1644">
        <v>12.61</v>
      </c>
      <c r="L68" s="1644">
        <v>12.62</v>
      </c>
      <c r="M68" s="1644">
        <v>14.15</v>
      </c>
      <c r="N68" s="1644">
        <v>14.21</v>
      </c>
      <c r="O68" s="1644">
        <v>105.57</v>
      </c>
      <c r="P68" s="1644">
        <v>105.96</v>
      </c>
      <c r="Q68" s="1820" t="s">
        <v>550</v>
      </c>
      <c r="R68" s="1644">
        <v>10.01</v>
      </c>
      <c r="S68" s="1644">
        <v>10.02</v>
      </c>
      <c r="T68" s="1644">
        <v>1.3</v>
      </c>
      <c r="U68" s="1644">
        <v>1.29</v>
      </c>
      <c r="V68" s="1644">
        <v>0.01</v>
      </c>
      <c r="W68" s="1644">
        <v>0.01</v>
      </c>
      <c r="X68" s="1644">
        <v>0</v>
      </c>
      <c r="Y68" s="1644">
        <v>0</v>
      </c>
      <c r="Z68" s="1644">
        <v>0.76</v>
      </c>
      <c r="AA68" s="1644">
        <v>0.77</v>
      </c>
      <c r="AB68" s="1644">
        <v>275.27</v>
      </c>
      <c r="AC68" s="1644">
        <v>275.48</v>
      </c>
      <c r="AD68" s="1644">
        <v>24.12</v>
      </c>
      <c r="AE68" s="1644">
        <v>24.19</v>
      </c>
      <c r="AF68" s="1820" t="s">
        <v>550</v>
      </c>
      <c r="AG68" s="1644">
        <v>12.09</v>
      </c>
      <c r="AH68" s="1644">
        <v>12.09</v>
      </c>
      <c r="AI68" s="1644">
        <v>0.81</v>
      </c>
      <c r="AJ68" s="1644">
        <v>0.81</v>
      </c>
      <c r="AK68" s="1644">
        <v>66.930000000000007</v>
      </c>
      <c r="AL68" s="339">
        <v>68.16</v>
      </c>
      <c r="AM68" s="339">
        <v>12.87</v>
      </c>
      <c r="AN68" s="339">
        <v>12.68</v>
      </c>
      <c r="AO68" s="339">
        <v>201.64</v>
      </c>
      <c r="AP68" s="339">
        <v>201.64</v>
      </c>
      <c r="AQ68" s="339">
        <v>0.79</v>
      </c>
      <c r="AR68" s="339">
        <v>0.79</v>
      </c>
      <c r="AS68" s="339">
        <v>1.77</v>
      </c>
      <c r="AT68" s="339">
        <v>1.78</v>
      </c>
      <c r="AU68" s="464" t="s">
        <v>550</v>
      </c>
      <c r="AV68" s="339">
        <v>21.32</v>
      </c>
      <c r="AW68" s="339">
        <v>21.32</v>
      </c>
      <c r="AX68" s="339">
        <v>2.25</v>
      </c>
      <c r="AY68" s="339">
        <v>2.2999999999999998</v>
      </c>
      <c r="AZ68" s="339">
        <v>20.7</v>
      </c>
      <c r="BA68" s="339">
        <v>20.7</v>
      </c>
      <c r="BB68" s="339">
        <v>0.08</v>
      </c>
      <c r="BC68" s="339">
        <v>0.08</v>
      </c>
      <c r="BD68" s="339">
        <v>62.05</v>
      </c>
      <c r="BE68" s="339">
        <v>62.12</v>
      </c>
      <c r="BF68" s="339">
        <v>11.61</v>
      </c>
      <c r="BG68" s="339">
        <v>11.52</v>
      </c>
      <c r="BH68" s="339">
        <v>0.6</v>
      </c>
      <c r="BI68" s="339">
        <v>0.6</v>
      </c>
      <c r="BJ68" s="464" t="s">
        <v>550</v>
      </c>
      <c r="BK68" s="339">
        <v>86.66</v>
      </c>
      <c r="BL68" s="339">
        <v>87.15</v>
      </c>
      <c r="BM68" s="339">
        <v>0.52</v>
      </c>
      <c r="BN68" s="339">
        <v>0.52</v>
      </c>
      <c r="BO68" s="339">
        <v>119.63</v>
      </c>
      <c r="BP68" s="339">
        <v>119.87</v>
      </c>
      <c r="BQ68" s="339">
        <v>2.39</v>
      </c>
      <c r="BR68" s="339">
        <v>2.39</v>
      </c>
      <c r="BS68" s="339">
        <v>21.14</v>
      </c>
      <c r="BT68" s="339">
        <v>21.14</v>
      </c>
      <c r="BU68" s="339">
        <v>77.63</v>
      </c>
      <c r="BV68" s="339">
        <v>77.63</v>
      </c>
      <c r="BW68" s="339">
        <v>131.26</v>
      </c>
      <c r="BX68" s="339">
        <v>132.24</v>
      </c>
    </row>
    <row r="69" spans="1:76" s="1284" customFormat="1" ht="11.45" customHeight="1" x14ac:dyDescent="0.15">
      <c r="A69" s="1848" t="s">
        <v>1029</v>
      </c>
      <c r="B69" s="1820" t="s">
        <v>552</v>
      </c>
      <c r="C69" s="1644">
        <v>72.89</v>
      </c>
      <c r="D69" s="1644">
        <v>72.319999999999993</v>
      </c>
      <c r="E69" s="1644">
        <v>77.59</v>
      </c>
      <c r="F69" s="1644">
        <v>77.52</v>
      </c>
      <c r="G69" s="1644">
        <v>205.81</v>
      </c>
      <c r="H69" s="1644">
        <v>205.62</v>
      </c>
      <c r="I69" s="1644">
        <v>72.34</v>
      </c>
      <c r="J69" s="1644">
        <v>71.12</v>
      </c>
      <c r="K69" s="1644">
        <v>12.6</v>
      </c>
      <c r="L69" s="1644">
        <v>12.57</v>
      </c>
      <c r="M69" s="1644">
        <v>14.1</v>
      </c>
      <c r="N69" s="1644">
        <v>13.93</v>
      </c>
      <c r="O69" s="1644">
        <v>105.13</v>
      </c>
      <c r="P69" s="1644">
        <v>103.83</v>
      </c>
      <c r="Q69" s="1820" t="s">
        <v>552</v>
      </c>
      <c r="R69" s="1644">
        <v>10.01</v>
      </c>
      <c r="S69" s="1644">
        <v>10</v>
      </c>
      <c r="T69" s="1644">
        <v>1.29</v>
      </c>
      <c r="U69" s="1644">
        <v>1.29</v>
      </c>
      <c r="V69" s="1644">
        <v>0.01</v>
      </c>
      <c r="W69" s="1644">
        <v>0.01</v>
      </c>
      <c r="X69" s="1644">
        <v>0</v>
      </c>
      <c r="Y69" s="1644">
        <v>0</v>
      </c>
      <c r="Z69" s="1644">
        <v>0.76</v>
      </c>
      <c r="AA69" s="1644">
        <v>0.75</v>
      </c>
      <c r="AB69" s="1644">
        <v>274.82</v>
      </c>
      <c r="AC69" s="1644">
        <v>273.63</v>
      </c>
      <c r="AD69" s="1644">
        <v>24.37</v>
      </c>
      <c r="AE69" s="1644">
        <v>24.3</v>
      </c>
      <c r="AF69" s="1820" t="s">
        <v>552</v>
      </c>
      <c r="AG69" s="1644">
        <v>0.08</v>
      </c>
      <c r="AH69" s="1644">
        <v>0.08</v>
      </c>
      <c r="AI69" s="1644">
        <v>0.81</v>
      </c>
      <c r="AJ69" s="1644">
        <v>0.81</v>
      </c>
      <c r="AK69" s="1644">
        <v>67.53</v>
      </c>
      <c r="AL69" s="339">
        <v>65.78</v>
      </c>
      <c r="AM69" s="339">
        <v>12.53</v>
      </c>
      <c r="AN69" s="339">
        <v>12.39</v>
      </c>
      <c r="AO69" s="339">
        <v>201.53</v>
      </c>
      <c r="AP69" s="339">
        <v>201.35</v>
      </c>
      <c r="AQ69" s="339">
        <v>0.79</v>
      </c>
      <c r="AR69" s="339">
        <v>0.78</v>
      </c>
      <c r="AS69" s="339">
        <v>1.79</v>
      </c>
      <c r="AT69" s="339">
        <v>1.78</v>
      </c>
      <c r="AU69" s="464" t="s">
        <v>552</v>
      </c>
      <c r="AV69" s="339">
        <v>21.31</v>
      </c>
      <c r="AW69" s="339">
        <v>21.29</v>
      </c>
      <c r="AX69" s="339">
        <v>2.2400000000000002</v>
      </c>
      <c r="AY69" s="339">
        <v>2.1800000000000002</v>
      </c>
      <c r="AZ69" s="339">
        <v>20.69</v>
      </c>
      <c r="BA69" s="339">
        <v>20.67</v>
      </c>
      <c r="BB69" s="339">
        <v>0.08</v>
      </c>
      <c r="BC69" s="339">
        <v>0.08</v>
      </c>
      <c r="BD69" s="339">
        <v>62.44</v>
      </c>
      <c r="BE69" s="339">
        <v>62.29</v>
      </c>
      <c r="BF69" s="339">
        <v>11.39</v>
      </c>
      <c r="BG69" s="339">
        <v>11.26</v>
      </c>
      <c r="BH69" s="339">
        <v>0.6</v>
      </c>
      <c r="BI69" s="339">
        <v>0.6</v>
      </c>
      <c r="BJ69" s="464" t="s">
        <v>552</v>
      </c>
      <c r="BK69" s="339">
        <v>86.52</v>
      </c>
      <c r="BL69" s="339">
        <v>85.29</v>
      </c>
      <c r="BM69" s="339">
        <v>0.52</v>
      </c>
      <c r="BN69" s="339">
        <v>0.52</v>
      </c>
      <c r="BO69" s="339">
        <v>119.67</v>
      </c>
      <c r="BP69" s="339">
        <v>118.86</v>
      </c>
      <c r="BQ69" s="339">
        <v>2.42</v>
      </c>
      <c r="BR69" s="339">
        <v>2.42</v>
      </c>
      <c r="BS69" s="339">
        <v>21.12</v>
      </c>
      <c r="BT69" s="339">
        <v>21.11</v>
      </c>
      <c r="BU69" s="339">
        <v>77.59</v>
      </c>
      <c r="BV69" s="339">
        <v>77.52</v>
      </c>
      <c r="BW69" s="339">
        <v>132.56</v>
      </c>
      <c r="BX69" s="339">
        <v>131.13999999999999</v>
      </c>
    </row>
    <row r="70" spans="1:76" s="1284" customFormat="1" ht="11.45" customHeight="1" x14ac:dyDescent="0.15">
      <c r="A70" s="1848" t="s">
        <v>1029</v>
      </c>
      <c r="B70" s="1820" t="s">
        <v>553</v>
      </c>
      <c r="C70" s="1644">
        <v>72.099999999999994</v>
      </c>
      <c r="D70" s="1644">
        <v>72.290000000000006</v>
      </c>
      <c r="E70" s="1644">
        <v>77.459999999999994</v>
      </c>
      <c r="F70" s="1644">
        <v>77.41</v>
      </c>
      <c r="G70" s="1644">
        <v>205.46</v>
      </c>
      <c r="H70" s="1644">
        <v>205.32</v>
      </c>
      <c r="I70" s="1644">
        <v>70.92</v>
      </c>
      <c r="J70" s="1644">
        <v>71.19</v>
      </c>
      <c r="K70" s="1644">
        <v>12.57</v>
      </c>
      <c r="L70" s="1644">
        <v>12.56</v>
      </c>
      <c r="M70" s="1644">
        <v>13.85</v>
      </c>
      <c r="N70" s="1644">
        <v>13.66</v>
      </c>
      <c r="O70" s="1644">
        <v>103.22</v>
      </c>
      <c r="P70" s="1644">
        <v>101.71</v>
      </c>
      <c r="Q70" s="1820" t="s">
        <v>553</v>
      </c>
      <c r="R70" s="1644">
        <v>9.99</v>
      </c>
      <c r="S70" s="1644">
        <v>9.99</v>
      </c>
      <c r="T70" s="1644">
        <v>1.27</v>
      </c>
      <c r="U70" s="1644">
        <v>1.28</v>
      </c>
      <c r="V70" s="1644">
        <v>0.01</v>
      </c>
      <c r="W70" s="1644">
        <v>0.01</v>
      </c>
      <c r="X70" s="1644">
        <v>0</v>
      </c>
      <c r="Y70" s="1644">
        <v>0</v>
      </c>
      <c r="Z70" s="1644">
        <v>0.75</v>
      </c>
      <c r="AA70" s="1644">
        <v>0.74</v>
      </c>
      <c r="AB70" s="1644">
        <v>273.04000000000002</v>
      </c>
      <c r="AC70" s="1644">
        <v>271.83</v>
      </c>
      <c r="AD70" s="1644">
        <v>24.37</v>
      </c>
      <c r="AE70" s="1644">
        <v>24.56</v>
      </c>
      <c r="AF70" s="1820" t="s">
        <v>553</v>
      </c>
      <c r="AG70" s="1644">
        <v>0.08</v>
      </c>
      <c r="AH70" s="1644">
        <v>0.08</v>
      </c>
      <c r="AI70" s="1644">
        <v>0.8</v>
      </c>
      <c r="AJ70" s="1644">
        <v>0.8</v>
      </c>
      <c r="AK70" s="1644">
        <v>65.39</v>
      </c>
      <c r="AL70" s="353">
        <v>64.739999999999995</v>
      </c>
      <c r="AM70" s="353">
        <v>12.49</v>
      </c>
      <c r="AN70" s="353">
        <v>12.49</v>
      </c>
      <c r="AO70" s="353">
        <v>201.19</v>
      </c>
      <c r="AP70" s="353">
        <v>201.05</v>
      </c>
      <c r="AQ70" s="353">
        <v>0.77</v>
      </c>
      <c r="AR70" s="353">
        <v>0.76</v>
      </c>
      <c r="AS70" s="353">
        <v>1.77</v>
      </c>
      <c r="AT70" s="353">
        <v>1.77</v>
      </c>
      <c r="AU70" s="1815" t="s">
        <v>553</v>
      </c>
      <c r="AV70" s="353">
        <v>21.27</v>
      </c>
      <c r="AW70" s="353">
        <v>21.26</v>
      </c>
      <c r="AX70" s="353">
        <v>2.15</v>
      </c>
      <c r="AY70" s="353">
        <v>2.14</v>
      </c>
      <c r="AZ70" s="353">
        <v>20.65</v>
      </c>
      <c r="BA70" s="353">
        <v>20.64</v>
      </c>
      <c r="BB70" s="353">
        <v>0.08</v>
      </c>
      <c r="BC70" s="353">
        <v>0.08</v>
      </c>
      <c r="BD70" s="353">
        <v>62.04</v>
      </c>
      <c r="BE70" s="353">
        <v>61.97</v>
      </c>
      <c r="BF70" s="353">
        <v>11.23</v>
      </c>
      <c r="BG70" s="353">
        <v>11.07</v>
      </c>
      <c r="BH70" s="353">
        <v>0.59</v>
      </c>
      <c r="BI70" s="353">
        <v>0.59</v>
      </c>
      <c r="BJ70" s="1815" t="s">
        <v>553</v>
      </c>
      <c r="BK70" s="353">
        <v>85.17</v>
      </c>
      <c r="BL70" s="353">
        <v>84.33</v>
      </c>
      <c r="BM70" s="353">
        <v>0.51</v>
      </c>
      <c r="BN70" s="353">
        <v>0.5</v>
      </c>
      <c r="BO70" s="353">
        <v>118.35</v>
      </c>
      <c r="BP70" s="353">
        <v>117.53</v>
      </c>
      <c r="BQ70" s="353">
        <v>2.4300000000000002</v>
      </c>
      <c r="BR70" s="353">
        <v>2.42</v>
      </c>
      <c r="BS70" s="353">
        <v>21.09</v>
      </c>
      <c r="BT70" s="353">
        <v>21.07</v>
      </c>
      <c r="BU70" s="353">
        <v>77.459999999999994</v>
      </c>
      <c r="BV70" s="353">
        <v>77.41</v>
      </c>
      <c r="BW70" s="353">
        <v>129.43</v>
      </c>
      <c r="BX70" s="353">
        <v>128.53</v>
      </c>
    </row>
    <row r="71" spans="1:76" s="1284" customFormat="1" ht="11.45" customHeight="1" x14ac:dyDescent="0.15">
      <c r="A71" s="1848" t="s">
        <v>1029</v>
      </c>
      <c r="B71" s="1820" t="s">
        <v>547</v>
      </c>
      <c r="C71" s="1644">
        <v>70.19</v>
      </c>
      <c r="D71" s="1644">
        <v>67.47</v>
      </c>
      <c r="E71" s="1644">
        <v>77.400000000000006</v>
      </c>
      <c r="F71" s="1644">
        <v>77.400000000000006</v>
      </c>
      <c r="G71" s="1644">
        <v>205.31</v>
      </c>
      <c r="H71" s="1644">
        <v>205.31</v>
      </c>
      <c r="I71" s="1644">
        <v>70.39</v>
      </c>
      <c r="J71" s="1644">
        <v>69.400000000000006</v>
      </c>
      <c r="K71" s="1644">
        <v>12.58</v>
      </c>
      <c r="L71" s="1644">
        <v>12.58</v>
      </c>
      <c r="M71" s="1644">
        <v>13.42</v>
      </c>
      <c r="N71" s="1644">
        <v>13.2</v>
      </c>
      <c r="O71" s="1644">
        <v>99.91</v>
      </c>
      <c r="P71" s="1644">
        <v>98.21</v>
      </c>
      <c r="Q71" s="1820" t="s">
        <v>547</v>
      </c>
      <c r="R71" s="1644">
        <v>9.98</v>
      </c>
      <c r="S71" s="1644">
        <v>9.9600000000000009</v>
      </c>
      <c r="T71" s="1644">
        <v>1.27</v>
      </c>
      <c r="U71" s="1644">
        <v>1.26</v>
      </c>
      <c r="V71" s="1644">
        <v>0.01</v>
      </c>
      <c r="W71" s="1644">
        <v>0.01</v>
      </c>
      <c r="X71" s="1644">
        <v>0</v>
      </c>
      <c r="Y71" s="1644">
        <v>0</v>
      </c>
      <c r="Z71" s="1644">
        <v>0.72</v>
      </c>
      <c r="AA71" s="1644">
        <v>0.71</v>
      </c>
      <c r="AB71" s="1644">
        <v>270.02</v>
      </c>
      <c r="AC71" s="1644">
        <v>268.7</v>
      </c>
      <c r="AD71" s="1644">
        <v>24.08</v>
      </c>
      <c r="AE71" s="1644">
        <v>23.66</v>
      </c>
      <c r="AF71" s="1820" t="s">
        <v>547</v>
      </c>
      <c r="AG71" s="1644">
        <v>0.08</v>
      </c>
      <c r="AH71" s="1644">
        <v>0.08</v>
      </c>
      <c r="AI71" s="1644">
        <v>0.8</v>
      </c>
      <c r="AJ71" s="1644">
        <v>0.79</v>
      </c>
      <c r="AK71" s="1644">
        <v>63.15</v>
      </c>
      <c r="AL71" s="339">
        <v>60.07</v>
      </c>
      <c r="AM71" s="339">
        <v>12.21</v>
      </c>
      <c r="AN71" s="339">
        <v>12.01</v>
      </c>
      <c r="AO71" s="339">
        <v>201.04</v>
      </c>
      <c r="AP71" s="339">
        <v>201.04</v>
      </c>
      <c r="AQ71" s="339">
        <v>0.76</v>
      </c>
      <c r="AR71" s="339">
        <v>0.75</v>
      </c>
      <c r="AS71" s="339">
        <v>1.75</v>
      </c>
      <c r="AT71" s="339">
        <v>1.73</v>
      </c>
      <c r="AU71" s="464" t="s">
        <v>547</v>
      </c>
      <c r="AV71" s="339">
        <v>21.26</v>
      </c>
      <c r="AW71" s="339">
        <v>21.25</v>
      </c>
      <c r="AX71" s="339">
        <v>2.0499999999999998</v>
      </c>
      <c r="AY71" s="339">
        <v>1.96</v>
      </c>
      <c r="AZ71" s="339">
        <v>20.64</v>
      </c>
      <c r="BA71" s="339">
        <v>20.63</v>
      </c>
      <c r="BB71" s="339">
        <v>7.0000000000000007E-2</v>
      </c>
      <c r="BC71" s="339">
        <v>7.0000000000000007E-2</v>
      </c>
      <c r="BD71" s="339">
        <v>61.3</v>
      </c>
      <c r="BE71" s="339">
        <v>60.69</v>
      </c>
      <c r="BF71" s="339">
        <v>10.86</v>
      </c>
      <c r="BG71" s="339">
        <v>10.7</v>
      </c>
      <c r="BH71" s="339">
        <v>0.59</v>
      </c>
      <c r="BI71" s="339">
        <v>0.59</v>
      </c>
      <c r="BJ71" s="464" t="s">
        <v>547</v>
      </c>
      <c r="BK71" s="339">
        <v>82.73</v>
      </c>
      <c r="BL71" s="339">
        <v>81.37</v>
      </c>
      <c r="BM71" s="339">
        <v>0.49</v>
      </c>
      <c r="BN71" s="339">
        <v>0.48</v>
      </c>
      <c r="BO71" s="339">
        <v>116.18</v>
      </c>
      <c r="BP71" s="339">
        <v>115.13</v>
      </c>
      <c r="BQ71" s="339">
        <v>2.4</v>
      </c>
      <c r="BR71" s="339">
        <v>2.39</v>
      </c>
      <c r="BS71" s="339">
        <v>21.07</v>
      </c>
      <c r="BT71" s="339">
        <v>21.07</v>
      </c>
      <c r="BU71" s="339">
        <v>77.400000000000006</v>
      </c>
      <c r="BV71" s="339">
        <v>77.400000000000006</v>
      </c>
      <c r="BW71" s="339">
        <v>126.29</v>
      </c>
      <c r="BX71" s="339">
        <v>125.72</v>
      </c>
    </row>
    <row r="72" spans="1:76" s="1284" customFormat="1" ht="11.45" customHeight="1" x14ac:dyDescent="0.15">
      <c r="A72" s="1848" t="s">
        <v>1029</v>
      </c>
      <c r="B72" s="1820" t="s">
        <v>554</v>
      </c>
      <c r="C72" s="1644">
        <v>67.91</v>
      </c>
      <c r="D72" s="1644">
        <v>68.36</v>
      </c>
      <c r="E72" s="1644">
        <v>77.400000000000006</v>
      </c>
      <c r="F72" s="1644">
        <v>77.41</v>
      </c>
      <c r="G72" s="1644">
        <v>205.31</v>
      </c>
      <c r="H72" s="1644">
        <v>205.33</v>
      </c>
      <c r="I72" s="1644">
        <v>69.040000000000006</v>
      </c>
      <c r="J72" s="1644">
        <v>69.14</v>
      </c>
      <c r="K72" s="1644">
        <v>12.59</v>
      </c>
      <c r="L72" s="1644">
        <v>12.59</v>
      </c>
      <c r="M72" s="1644">
        <v>13.19</v>
      </c>
      <c r="N72" s="1644">
        <v>13.11</v>
      </c>
      <c r="O72" s="1644">
        <v>98.18</v>
      </c>
      <c r="P72" s="1644">
        <v>97.61</v>
      </c>
      <c r="Q72" s="1820" t="s">
        <v>554</v>
      </c>
      <c r="R72" s="1644">
        <v>9.98</v>
      </c>
      <c r="S72" s="1644">
        <v>9.98</v>
      </c>
      <c r="T72" s="1644">
        <v>1.26</v>
      </c>
      <c r="U72" s="1644">
        <v>1.26</v>
      </c>
      <c r="V72" s="1644">
        <v>0.01</v>
      </c>
      <c r="W72" s="1644">
        <v>0.01</v>
      </c>
      <c r="X72" s="1644">
        <v>0</v>
      </c>
      <c r="Y72" s="1644">
        <v>0</v>
      </c>
      <c r="Z72" s="1644">
        <v>0.72</v>
      </c>
      <c r="AA72" s="1644">
        <v>0.71</v>
      </c>
      <c r="AB72" s="1644">
        <v>268.02999999999997</v>
      </c>
      <c r="AC72" s="1644">
        <v>267.35000000000002</v>
      </c>
      <c r="AD72" s="1644">
        <v>23.69</v>
      </c>
      <c r="AE72" s="1644">
        <v>23.58</v>
      </c>
      <c r="AF72" s="1820" t="s">
        <v>554</v>
      </c>
      <c r="AG72" s="1644">
        <v>0.08</v>
      </c>
      <c r="AH72" s="1644">
        <v>0.08</v>
      </c>
      <c r="AI72" s="1644">
        <v>0.79</v>
      </c>
      <c r="AJ72" s="1644">
        <v>0.79</v>
      </c>
      <c r="AK72" s="1644">
        <v>60.94</v>
      </c>
      <c r="AL72" s="353">
        <v>60.71</v>
      </c>
      <c r="AM72" s="353">
        <v>11.84</v>
      </c>
      <c r="AN72" s="353">
        <v>11.55</v>
      </c>
      <c r="AO72" s="353">
        <v>201.05</v>
      </c>
      <c r="AP72" s="353">
        <v>201.06</v>
      </c>
      <c r="AQ72" s="353">
        <v>0.75</v>
      </c>
      <c r="AR72" s="353">
        <v>0.75</v>
      </c>
      <c r="AS72" s="353">
        <v>1.73</v>
      </c>
      <c r="AT72" s="353">
        <v>1.73</v>
      </c>
      <c r="AU72" s="1815" t="s">
        <v>554</v>
      </c>
      <c r="AV72" s="353">
        <v>21.26</v>
      </c>
      <c r="AW72" s="353">
        <v>21.26</v>
      </c>
      <c r="AX72" s="353">
        <v>1.9</v>
      </c>
      <c r="AY72" s="353">
        <v>1.79</v>
      </c>
      <c r="AZ72" s="353">
        <v>20.63</v>
      </c>
      <c r="BA72" s="353">
        <v>20.63</v>
      </c>
      <c r="BB72" s="353">
        <v>7.0000000000000007E-2</v>
      </c>
      <c r="BC72" s="353">
        <v>7.0000000000000007E-2</v>
      </c>
      <c r="BD72" s="353">
        <v>60.74</v>
      </c>
      <c r="BE72" s="353">
        <v>60.59</v>
      </c>
      <c r="BF72" s="353">
        <v>10.71</v>
      </c>
      <c r="BG72" s="353">
        <v>10.54</v>
      </c>
      <c r="BH72" s="353">
        <v>0.59</v>
      </c>
      <c r="BI72" s="353">
        <v>0.59</v>
      </c>
      <c r="BJ72" s="1815" t="s">
        <v>554</v>
      </c>
      <c r="BK72" s="353">
        <v>81.260000000000005</v>
      </c>
      <c r="BL72" s="353">
        <v>80.959999999999994</v>
      </c>
      <c r="BM72" s="353">
        <v>0.48</v>
      </c>
      <c r="BN72" s="353">
        <v>0.47</v>
      </c>
      <c r="BO72" s="353">
        <v>115.07</v>
      </c>
      <c r="BP72" s="353">
        <v>114.63</v>
      </c>
      <c r="BQ72" s="353">
        <v>2.39</v>
      </c>
      <c r="BR72" s="353">
        <v>2.38</v>
      </c>
      <c r="BS72" s="353">
        <v>21.07</v>
      </c>
      <c r="BT72" s="353">
        <v>21.08</v>
      </c>
      <c r="BU72" s="353">
        <v>77.400000000000006</v>
      </c>
      <c r="BV72" s="353">
        <v>77.41</v>
      </c>
      <c r="BW72" s="353">
        <v>124.51</v>
      </c>
      <c r="BX72" s="353">
        <v>123.86</v>
      </c>
    </row>
    <row r="73" spans="1:76" s="1284" customFormat="1" ht="11.45" customHeight="1" x14ac:dyDescent="0.15">
      <c r="A73" s="1848" t="s">
        <v>1029</v>
      </c>
      <c r="B73" s="1820" t="s">
        <v>555</v>
      </c>
      <c r="C73" s="1644">
        <v>67.12</v>
      </c>
      <c r="D73" s="1644">
        <v>66.099999999999994</v>
      </c>
      <c r="E73" s="1644">
        <v>77.510000000000005</v>
      </c>
      <c r="F73" s="1644">
        <v>77.7</v>
      </c>
      <c r="G73" s="1644">
        <v>205.61</v>
      </c>
      <c r="H73" s="1644">
        <v>206.09</v>
      </c>
      <c r="I73" s="1644">
        <v>68.48</v>
      </c>
      <c r="J73" s="1644">
        <v>68.02</v>
      </c>
      <c r="K73" s="1644">
        <v>12.62</v>
      </c>
      <c r="L73" s="1644">
        <v>12.67</v>
      </c>
      <c r="M73" s="1644">
        <v>13</v>
      </c>
      <c r="N73" s="1644">
        <v>12.99</v>
      </c>
      <c r="O73" s="1644">
        <v>96.72</v>
      </c>
      <c r="P73" s="1644">
        <v>96.7</v>
      </c>
      <c r="Q73" s="1820" t="s">
        <v>555</v>
      </c>
      <c r="R73" s="1644">
        <v>10</v>
      </c>
      <c r="S73" s="1644">
        <v>10.02</v>
      </c>
      <c r="T73" s="1644">
        <v>1.26</v>
      </c>
      <c r="U73" s="1644">
        <v>1.25</v>
      </c>
      <c r="V73" s="1644">
        <v>0.01</v>
      </c>
      <c r="W73" s="1644">
        <v>0.01</v>
      </c>
      <c r="X73" s="1644">
        <v>0</v>
      </c>
      <c r="Y73" s="1644">
        <v>0</v>
      </c>
      <c r="Z73" s="1644">
        <v>0.67</v>
      </c>
      <c r="AA73" s="1644">
        <v>0.65</v>
      </c>
      <c r="AB73" s="1644">
        <v>266.37</v>
      </c>
      <c r="AC73" s="1644">
        <v>266.54000000000002</v>
      </c>
      <c r="AD73" s="1644">
        <v>23.18</v>
      </c>
      <c r="AE73" s="1644">
        <v>22.97</v>
      </c>
      <c r="AF73" s="1820" t="s">
        <v>555</v>
      </c>
      <c r="AG73" s="1644">
        <v>0.08</v>
      </c>
      <c r="AH73" s="1644">
        <v>0.08</v>
      </c>
      <c r="AI73" s="1644">
        <v>0.79</v>
      </c>
      <c r="AJ73" s="1644">
        <v>0.78</v>
      </c>
      <c r="AK73" s="1644">
        <v>60.69</v>
      </c>
      <c r="AL73" s="339">
        <v>60.9</v>
      </c>
      <c r="AM73" s="339">
        <v>11.39</v>
      </c>
      <c r="AN73" s="339">
        <v>11.03</v>
      </c>
      <c r="AO73" s="339">
        <v>201.34</v>
      </c>
      <c r="AP73" s="339">
        <v>201.81</v>
      </c>
      <c r="AQ73" s="339">
        <v>0.76</v>
      </c>
      <c r="AR73" s="339">
        <v>0.76</v>
      </c>
      <c r="AS73" s="339">
        <v>1.72</v>
      </c>
      <c r="AT73" s="339">
        <v>1.73</v>
      </c>
      <c r="AU73" s="464" t="s">
        <v>555</v>
      </c>
      <c r="AV73" s="339">
        <v>21.29</v>
      </c>
      <c r="AW73" s="339">
        <v>21.34</v>
      </c>
      <c r="AX73" s="339">
        <v>1.69</v>
      </c>
      <c r="AY73" s="339">
        <v>1.64</v>
      </c>
      <c r="AZ73" s="339">
        <v>20.66</v>
      </c>
      <c r="BA73" s="339">
        <v>20.7</v>
      </c>
      <c r="BB73" s="339">
        <v>7.0000000000000007E-2</v>
      </c>
      <c r="BC73" s="339">
        <v>7.0000000000000007E-2</v>
      </c>
      <c r="BD73" s="339">
        <v>59.86</v>
      </c>
      <c r="BE73" s="339">
        <v>59.61</v>
      </c>
      <c r="BF73" s="339">
        <v>10.46</v>
      </c>
      <c r="BG73" s="339">
        <v>10.42</v>
      </c>
      <c r="BH73" s="339">
        <v>0.59</v>
      </c>
      <c r="BI73" s="339">
        <v>0.59</v>
      </c>
      <c r="BJ73" s="464" t="s">
        <v>555</v>
      </c>
      <c r="BK73" s="339">
        <v>80.41</v>
      </c>
      <c r="BL73" s="339">
        <v>80.430000000000007</v>
      </c>
      <c r="BM73" s="339">
        <v>0.46</v>
      </c>
      <c r="BN73" s="339">
        <v>0.46</v>
      </c>
      <c r="BO73" s="339">
        <v>113.73</v>
      </c>
      <c r="BP73" s="339">
        <v>113.77</v>
      </c>
      <c r="BQ73" s="339">
        <v>2.36</v>
      </c>
      <c r="BR73" s="339">
        <v>2.36</v>
      </c>
      <c r="BS73" s="339">
        <v>21.1</v>
      </c>
      <c r="BT73" s="339">
        <v>21.15</v>
      </c>
      <c r="BU73" s="339">
        <v>77.510000000000005</v>
      </c>
      <c r="BV73" s="339">
        <v>77.7</v>
      </c>
      <c r="BW73" s="339">
        <v>122.38</v>
      </c>
      <c r="BX73" s="339">
        <v>121.52</v>
      </c>
    </row>
    <row r="74" spans="1:76" s="1284" customFormat="1" ht="11.45" customHeight="1" x14ac:dyDescent="0.15">
      <c r="A74" s="1848" t="s">
        <v>1029</v>
      </c>
      <c r="B74" s="1820" t="s">
        <v>548</v>
      </c>
      <c r="C74" s="1644">
        <v>64.180000000000007</v>
      </c>
      <c r="D74" s="1644">
        <v>63.8</v>
      </c>
      <c r="E74" s="1644">
        <v>77.86</v>
      </c>
      <c r="F74" s="1644">
        <v>77.95</v>
      </c>
      <c r="G74" s="1644">
        <v>206.51</v>
      </c>
      <c r="H74" s="1644">
        <v>206.73</v>
      </c>
      <c r="I74" s="1644">
        <v>67.47</v>
      </c>
      <c r="J74" s="1644">
        <v>67.17</v>
      </c>
      <c r="K74" s="1644">
        <v>12.71</v>
      </c>
      <c r="L74" s="1644">
        <v>12.74</v>
      </c>
      <c r="M74" s="1644">
        <v>12.89</v>
      </c>
      <c r="N74" s="1644">
        <v>12.72</v>
      </c>
      <c r="O74" s="1644">
        <v>95.89</v>
      </c>
      <c r="P74" s="1644">
        <v>94.76</v>
      </c>
      <c r="Q74" s="1820" t="s">
        <v>548</v>
      </c>
      <c r="R74" s="1644">
        <v>10.039999999999999</v>
      </c>
      <c r="S74" s="1644">
        <v>10.050000000000001</v>
      </c>
      <c r="T74" s="1644">
        <v>1.24</v>
      </c>
      <c r="U74" s="1644">
        <v>1.23</v>
      </c>
      <c r="V74" s="1644">
        <v>0.01</v>
      </c>
      <c r="W74" s="1644">
        <v>0.01</v>
      </c>
      <c r="X74" s="1644">
        <v>0</v>
      </c>
      <c r="Y74" s="1644">
        <v>0</v>
      </c>
      <c r="Z74" s="1644">
        <v>0.65</v>
      </c>
      <c r="AA74" s="1644">
        <v>0.65</v>
      </c>
      <c r="AB74" s="1644">
        <v>266.48</v>
      </c>
      <c r="AC74" s="1644">
        <v>266.20999999999998</v>
      </c>
      <c r="AD74" s="1644">
        <v>22.37</v>
      </c>
      <c r="AE74" s="1644">
        <v>22.3</v>
      </c>
      <c r="AF74" s="1820" t="s">
        <v>548</v>
      </c>
      <c r="AG74" s="1644">
        <v>0.08</v>
      </c>
      <c r="AH74" s="1644">
        <v>0.08</v>
      </c>
      <c r="AI74" s="1644">
        <v>0.78</v>
      </c>
      <c r="AJ74" s="1644">
        <v>0.77</v>
      </c>
      <c r="AK74" s="1644">
        <v>60.42</v>
      </c>
      <c r="AL74" s="353">
        <v>61.01</v>
      </c>
      <c r="AM74" s="353">
        <v>10.68</v>
      </c>
      <c r="AN74" s="353">
        <v>10.51</v>
      </c>
      <c r="AO74" s="353">
        <v>202.22</v>
      </c>
      <c r="AP74" s="353">
        <v>202.43</v>
      </c>
      <c r="AQ74" s="353">
        <v>0.77</v>
      </c>
      <c r="AR74" s="353">
        <v>0.77</v>
      </c>
      <c r="AS74" s="353">
        <v>1.74</v>
      </c>
      <c r="AT74" s="353">
        <v>1.74</v>
      </c>
      <c r="AU74" s="1815" t="s">
        <v>548</v>
      </c>
      <c r="AV74" s="353">
        <v>21.38</v>
      </c>
      <c r="AW74" s="353">
        <v>21.4</v>
      </c>
      <c r="AX74" s="353">
        <v>1.39</v>
      </c>
      <c r="AY74" s="353">
        <v>1.32</v>
      </c>
      <c r="AZ74" s="353">
        <v>20.74</v>
      </c>
      <c r="BA74" s="353">
        <v>20.77</v>
      </c>
      <c r="BB74" s="353">
        <v>7.0000000000000007E-2</v>
      </c>
      <c r="BC74" s="353">
        <v>7.0000000000000007E-2</v>
      </c>
      <c r="BD74" s="353">
        <v>59.16</v>
      </c>
      <c r="BE74" s="353">
        <v>58.97</v>
      </c>
      <c r="BF74" s="353">
        <v>10.19</v>
      </c>
      <c r="BG74" s="353">
        <v>10.07</v>
      </c>
      <c r="BH74" s="353">
        <v>0.59</v>
      </c>
      <c r="BI74" s="353">
        <v>0.59</v>
      </c>
      <c r="BJ74" s="1815" t="s">
        <v>548</v>
      </c>
      <c r="BK74" s="353">
        <v>79.709999999999994</v>
      </c>
      <c r="BL74" s="353">
        <v>78.819999999999993</v>
      </c>
      <c r="BM74" s="353">
        <v>0.44</v>
      </c>
      <c r="BN74" s="353">
        <v>0.43</v>
      </c>
      <c r="BO74" s="353">
        <v>113.41</v>
      </c>
      <c r="BP74" s="353">
        <v>112.9</v>
      </c>
      <c r="BQ74" s="353">
        <v>2.37</v>
      </c>
      <c r="BR74" s="353">
        <v>2.37</v>
      </c>
      <c r="BS74" s="353">
        <v>21.2</v>
      </c>
      <c r="BT74" s="353">
        <v>21.22</v>
      </c>
      <c r="BU74" s="353">
        <v>77.86</v>
      </c>
      <c r="BV74" s="353">
        <v>77.95</v>
      </c>
      <c r="BW74" s="353">
        <v>121.68</v>
      </c>
      <c r="BX74" s="353">
        <v>121.32</v>
      </c>
    </row>
    <row r="75" spans="1:76" s="1284" customFormat="1" ht="11.45" customHeight="1" x14ac:dyDescent="0.15">
      <c r="A75" s="1848" t="s">
        <v>1029</v>
      </c>
      <c r="B75" s="1820" t="s">
        <v>556</v>
      </c>
      <c r="C75" s="1644">
        <v>62.89</v>
      </c>
      <c r="D75" s="1644">
        <v>60.57</v>
      </c>
      <c r="E75" s="1644">
        <v>77.87</v>
      </c>
      <c r="F75" s="1644">
        <v>77.8</v>
      </c>
      <c r="G75" s="1644">
        <v>206.56</v>
      </c>
      <c r="H75" s="1644">
        <v>206.37</v>
      </c>
      <c r="I75" s="1644">
        <v>64.56</v>
      </c>
      <c r="J75" s="1644">
        <v>61.24</v>
      </c>
      <c r="K75" s="1644">
        <v>12.71</v>
      </c>
      <c r="L75" s="1644">
        <v>12.68</v>
      </c>
      <c r="M75" s="1644">
        <v>12.19</v>
      </c>
      <c r="N75" s="1644">
        <v>11.81</v>
      </c>
      <c r="O75" s="1644">
        <v>90.71</v>
      </c>
      <c r="P75" s="1644">
        <v>87.84</v>
      </c>
      <c r="Q75" s="1820" t="s">
        <v>556</v>
      </c>
      <c r="R75" s="1644">
        <v>10.039999999999999</v>
      </c>
      <c r="S75" s="1644">
        <v>10.039999999999999</v>
      </c>
      <c r="T75" s="1644">
        <v>1.25</v>
      </c>
      <c r="U75" s="1644">
        <v>1.25</v>
      </c>
      <c r="V75" s="1644">
        <v>0.01</v>
      </c>
      <c r="W75" s="1644">
        <v>0.01</v>
      </c>
      <c r="X75" s="1644">
        <v>0</v>
      </c>
      <c r="Y75" s="1644">
        <v>0</v>
      </c>
      <c r="Z75" s="1644">
        <v>0.66</v>
      </c>
      <c r="AA75" s="1644">
        <v>0.66</v>
      </c>
      <c r="AB75" s="1644">
        <v>264.63</v>
      </c>
      <c r="AC75" s="1644">
        <v>263.45999999999998</v>
      </c>
      <c r="AD75" s="1644">
        <v>21.77</v>
      </c>
      <c r="AE75" s="1644">
        <v>21.43</v>
      </c>
      <c r="AF75" s="1820" t="s">
        <v>556</v>
      </c>
      <c r="AG75" s="1644">
        <v>0.08</v>
      </c>
      <c r="AH75" s="1644">
        <v>0.08</v>
      </c>
      <c r="AI75" s="1644">
        <v>0.78</v>
      </c>
      <c r="AJ75" s="1644">
        <v>0.79</v>
      </c>
      <c r="AK75" s="1644">
        <v>59.55</v>
      </c>
      <c r="AL75" s="339">
        <v>56.55</v>
      </c>
      <c r="AM75" s="339">
        <v>10.16</v>
      </c>
      <c r="AN75" s="339">
        <v>10.07</v>
      </c>
      <c r="AO75" s="339">
        <v>202.27</v>
      </c>
      <c r="AP75" s="339">
        <v>202.05</v>
      </c>
      <c r="AQ75" s="339">
        <v>0.77</v>
      </c>
      <c r="AR75" s="339">
        <v>0.77</v>
      </c>
      <c r="AS75" s="339">
        <v>1.75</v>
      </c>
      <c r="AT75" s="339">
        <v>1.76</v>
      </c>
      <c r="AU75" s="464" t="s">
        <v>556</v>
      </c>
      <c r="AV75" s="339">
        <v>21.39</v>
      </c>
      <c r="AW75" s="339">
        <v>21.36</v>
      </c>
      <c r="AX75" s="339">
        <v>1.22</v>
      </c>
      <c r="AY75" s="339">
        <v>1.1399999999999999</v>
      </c>
      <c r="AZ75" s="339">
        <v>20.74</v>
      </c>
      <c r="BA75" s="339">
        <v>20.7</v>
      </c>
      <c r="BB75" s="339">
        <v>7.0000000000000007E-2</v>
      </c>
      <c r="BC75" s="339">
        <v>7.0000000000000007E-2</v>
      </c>
      <c r="BD75" s="339">
        <v>58.27</v>
      </c>
      <c r="BE75" s="339">
        <v>57.48</v>
      </c>
      <c r="BF75" s="339">
        <v>9.61</v>
      </c>
      <c r="BG75" s="339">
        <v>9.4</v>
      </c>
      <c r="BH75" s="339">
        <v>0.59</v>
      </c>
      <c r="BI75" s="339">
        <v>0.59</v>
      </c>
      <c r="BJ75" s="464" t="s">
        <v>556</v>
      </c>
      <c r="BK75" s="339">
        <v>82.8</v>
      </c>
      <c r="BL75" s="339">
        <v>84.6</v>
      </c>
      <c r="BM75" s="339">
        <v>0.43</v>
      </c>
      <c r="BN75" s="339">
        <v>0.41</v>
      </c>
      <c r="BO75" s="339">
        <v>110.95</v>
      </c>
      <c r="BP75" s="339">
        <v>109.69</v>
      </c>
      <c r="BQ75" s="339">
        <v>2.38</v>
      </c>
      <c r="BR75" s="339">
        <v>2.38</v>
      </c>
      <c r="BS75" s="339">
        <v>21.2</v>
      </c>
      <c r="BT75" s="339">
        <v>21.18</v>
      </c>
      <c r="BU75" s="339">
        <v>77.87</v>
      </c>
      <c r="BV75" s="339">
        <v>77.8</v>
      </c>
      <c r="BW75" s="339">
        <v>118.17</v>
      </c>
      <c r="BX75" s="339">
        <v>117.29</v>
      </c>
    </row>
    <row r="76" spans="1:76" s="1284" customFormat="1" ht="11.45" customHeight="1" x14ac:dyDescent="0.15">
      <c r="A76" s="1848" t="s">
        <v>1029</v>
      </c>
      <c r="B76" s="1820" t="s">
        <v>557</v>
      </c>
      <c r="C76" s="1644">
        <v>60.66</v>
      </c>
      <c r="D76" s="1644">
        <v>60.79</v>
      </c>
      <c r="E76" s="1644">
        <v>77.8</v>
      </c>
      <c r="F76" s="1644">
        <v>77.8</v>
      </c>
      <c r="G76" s="1644">
        <v>206.36</v>
      </c>
      <c r="H76" s="1644">
        <v>206.37</v>
      </c>
      <c r="I76" s="1644">
        <v>62.2</v>
      </c>
      <c r="J76" s="1644">
        <v>62.25</v>
      </c>
      <c r="K76" s="1644">
        <v>12.68</v>
      </c>
      <c r="L76" s="1644">
        <v>12.66</v>
      </c>
      <c r="M76" s="1644">
        <v>11.86</v>
      </c>
      <c r="N76" s="1644">
        <v>11.67</v>
      </c>
      <c r="O76" s="1644">
        <v>88.31</v>
      </c>
      <c r="P76" s="1644">
        <v>87.08</v>
      </c>
      <c r="Q76" s="1820" t="s">
        <v>557</v>
      </c>
      <c r="R76" s="1644">
        <v>10.029999999999999</v>
      </c>
      <c r="S76" s="1644">
        <v>10.029999999999999</v>
      </c>
      <c r="T76" s="1644">
        <v>1.25</v>
      </c>
      <c r="U76" s="1644">
        <v>1.26</v>
      </c>
      <c r="V76" s="1644">
        <v>0.01</v>
      </c>
      <c r="W76" s="1644">
        <v>0.01</v>
      </c>
      <c r="X76" s="1644">
        <v>0</v>
      </c>
      <c r="Y76" s="1644">
        <v>0</v>
      </c>
      <c r="Z76" s="1644">
        <v>0.66</v>
      </c>
      <c r="AA76" s="1644">
        <v>0.65</v>
      </c>
      <c r="AB76" s="1644">
        <v>263.32</v>
      </c>
      <c r="AC76" s="1644">
        <v>262.79000000000002</v>
      </c>
      <c r="AD76" s="1644">
        <v>21.63</v>
      </c>
      <c r="AE76" s="1644">
        <v>21.55</v>
      </c>
      <c r="AF76" s="1820" t="s">
        <v>557</v>
      </c>
      <c r="AG76" s="1644">
        <v>0.08</v>
      </c>
      <c r="AH76" s="1644">
        <v>0.08</v>
      </c>
      <c r="AI76" s="1644">
        <v>0.78</v>
      </c>
      <c r="AJ76" s="1644">
        <v>0.78</v>
      </c>
      <c r="AK76" s="1644">
        <v>57.95</v>
      </c>
      <c r="AL76" s="353">
        <v>58.84</v>
      </c>
      <c r="AM76" s="353">
        <v>10.25</v>
      </c>
      <c r="AN76" s="353">
        <v>10.15</v>
      </c>
      <c r="AO76" s="353">
        <v>202.07</v>
      </c>
      <c r="AP76" s="353">
        <v>201.97</v>
      </c>
      <c r="AQ76" s="353">
        <v>0.77</v>
      </c>
      <c r="AR76" s="353">
        <v>0.76</v>
      </c>
      <c r="AS76" s="353">
        <v>1.76</v>
      </c>
      <c r="AT76" s="353">
        <v>1.76</v>
      </c>
      <c r="AU76" s="1815" t="s">
        <v>557</v>
      </c>
      <c r="AV76" s="353">
        <v>21.36</v>
      </c>
      <c r="AW76" s="353">
        <v>21.37</v>
      </c>
      <c r="AX76" s="353">
        <v>1.21</v>
      </c>
      <c r="AY76" s="353">
        <v>1.27</v>
      </c>
      <c r="AZ76" s="353">
        <v>20.74</v>
      </c>
      <c r="BA76" s="353">
        <v>20.75</v>
      </c>
      <c r="BB76" s="353">
        <v>7.0000000000000007E-2</v>
      </c>
      <c r="BC76" s="353">
        <v>7.0000000000000007E-2</v>
      </c>
      <c r="BD76" s="353">
        <v>57.41</v>
      </c>
      <c r="BE76" s="353">
        <v>57.09</v>
      </c>
      <c r="BF76" s="353">
        <v>9.31</v>
      </c>
      <c r="BG76" s="353">
        <v>9.32</v>
      </c>
      <c r="BH76" s="353">
        <v>0.59</v>
      </c>
      <c r="BI76" s="353">
        <v>0.57999999999999996</v>
      </c>
      <c r="BJ76" s="1815" t="s">
        <v>557</v>
      </c>
      <c r="BK76" s="353">
        <v>83.22</v>
      </c>
      <c r="BL76" s="353">
        <v>81.61</v>
      </c>
      <c r="BM76" s="353">
        <v>0.39</v>
      </c>
      <c r="BN76" s="353">
        <v>0.38</v>
      </c>
      <c r="BO76" s="353">
        <v>109.91</v>
      </c>
      <c r="BP76" s="353">
        <v>109.5</v>
      </c>
      <c r="BQ76" s="353">
        <v>2.39</v>
      </c>
      <c r="BR76" s="353">
        <v>2.4</v>
      </c>
      <c r="BS76" s="353">
        <v>21.18</v>
      </c>
      <c r="BT76" s="353">
        <v>21.18</v>
      </c>
      <c r="BU76" s="353">
        <v>77.8</v>
      </c>
      <c r="BV76" s="353">
        <v>77.8</v>
      </c>
      <c r="BW76" s="353">
        <v>119.23</v>
      </c>
      <c r="BX76" s="353">
        <v>120.12</v>
      </c>
    </row>
    <row r="77" spans="1:76" s="1284" customFormat="1" ht="11.45" customHeight="1" x14ac:dyDescent="0.15">
      <c r="A77" s="1848" t="s">
        <v>1029</v>
      </c>
      <c r="B77" s="1820" t="s">
        <v>549</v>
      </c>
      <c r="C77" s="1644">
        <v>60.2</v>
      </c>
      <c r="D77" s="1644">
        <v>59.46</v>
      </c>
      <c r="E77" s="1644">
        <v>77.8</v>
      </c>
      <c r="F77" s="1644">
        <v>77.8</v>
      </c>
      <c r="G77" s="1644">
        <v>206.36</v>
      </c>
      <c r="H77" s="1644">
        <v>206.37</v>
      </c>
      <c r="I77" s="1644">
        <v>61.72</v>
      </c>
      <c r="J77" s="1644">
        <v>61.27</v>
      </c>
      <c r="K77" s="1644">
        <v>12.65</v>
      </c>
      <c r="L77" s="1644">
        <v>12.67</v>
      </c>
      <c r="M77" s="1644">
        <v>11.3</v>
      </c>
      <c r="N77" s="1644">
        <v>11.27</v>
      </c>
      <c r="O77" s="1644">
        <v>84.32</v>
      </c>
      <c r="P77" s="1644">
        <v>84.21</v>
      </c>
      <c r="Q77" s="1820" t="s">
        <v>549</v>
      </c>
      <c r="R77" s="1644">
        <v>10.029999999999999</v>
      </c>
      <c r="S77" s="1644">
        <v>10.029999999999999</v>
      </c>
      <c r="T77" s="1644">
        <v>1.25</v>
      </c>
      <c r="U77" s="1644">
        <v>1.24</v>
      </c>
      <c r="V77" s="1644">
        <v>0.01</v>
      </c>
      <c r="W77" s="1644">
        <v>0.01</v>
      </c>
      <c r="X77" s="1644">
        <v>0</v>
      </c>
      <c r="Y77" s="1644">
        <v>0</v>
      </c>
      <c r="Z77" s="1644">
        <v>0.65</v>
      </c>
      <c r="AA77" s="1644">
        <v>0.65</v>
      </c>
      <c r="AB77" s="1644">
        <v>260.2</v>
      </c>
      <c r="AC77" s="1644">
        <v>258.82</v>
      </c>
      <c r="AD77" s="1644">
        <v>21.13</v>
      </c>
      <c r="AE77" s="1644">
        <v>20.93</v>
      </c>
      <c r="AF77" s="1820" t="s">
        <v>549</v>
      </c>
      <c r="AG77" s="1644">
        <v>0.08</v>
      </c>
      <c r="AH77" s="1644">
        <v>0.08</v>
      </c>
      <c r="AI77" s="1644">
        <v>0.78</v>
      </c>
      <c r="AJ77" s="1644">
        <v>0.78</v>
      </c>
      <c r="AK77" s="1644">
        <v>58.14</v>
      </c>
      <c r="AL77" s="339">
        <v>58.32</v>
      </c>
      <c r="AM77" s="339">
        <v>9.76</v>
      </c>
      <c r="AN77" s="339">
        <v>9.6999999999999993</v>
      </c>
      <c r="AO77" s="339">
        <v>202.08</v>
      </c>
      <c r="AP77" s="339">
        <v>202.08</v>
      </c>
      <c r="AQ77" s="339">
        <v>0.76</v>
      </c>
      <c r="AR77" s="339">
        <v>0.76</v>
      </c>
      <c r="AS77" s="339">
        <v>1.75</v>
      </c>
      <c r="AT77" s="339">
        <v>1.74</v>
      </c>
      <c r="AU77" s="464" t="s">
        <v>549</v>
      </c>
      <c r="AV77" s="339">
        <v>21.37</v>
      </c>
      <c r="AW77" s="339">
        <v>21.37</v>
      </c>
      <c r="AX77" s="339">
        <v>1.29</v>
      </c>
      <c r="AY77" s="339">
        <v>1.35</v>
      </c>
      <c r="AZ77" s="339">
        <v>20.74</v>
      </c>
      <c r="BA77" s="339">
        <v>20.74</v>
      </c>
      <c r="BB77" s="339">
        <v>7.0000000000000007E-2</v>
      </c>
      <c r="BC77" s="339">
        <v>7.0000000000000007E-2</v>
      </c>
      <c r="BD77" s="339">
        <v>56.51</v>
      </c>
      <c r="BE77" s="339">
        <v>56.55</v>
      </c>
      <c r="BF77" s="339">
        <v>9.11</v>
      </c>
      <c r="BG77" s="339">
        <v>9.02</v>
      </c>
      <c r="BH77" s="339">
        <v>0.57999999999999996</v>
      </c>
      <c r="BI77" s="339">
        <v>0.57999999999999996</v>
      </c>
      <c r="BJ77" s="464" t="s">
        <v>549</v>
      </c>
      <c r="BK77" s="339">
        <v>79.489999999999995</v>
      </c>
      <c r="BL77" s="339">
        <v>80.430000000000007</v>
      </c>
      <c r="BM77" s="339">
        <v>0.37</v>
      </c>
      <c r="BN77" s="339">
        <v>0.37</v>
      </c>
      <c r="BO77" s="339">
        <v>107.82</v>
      </c>
      <c r="BP77" s="339">
        <v>107.64</v>
      </c>
      <c r="BQ77" s="339">
        <v>2.38</v>
      </c>
      <c r="BR77" s="339">
        <v>2.39</v>
      </c>
      <c r="BS77" s="339">
        <v>21.18</v>
      </c>
      <c r="BT77" s="339">
        <v>21.18</v>
      </c>
      <c r="BU77" s="339">
        <v>77.8</v>
      </c>
      <c r="BV77" s="339">
        <v>77.8</v>
      </c>
      <c r="BW77" s="339">
        <v>116.58</v>
      </c>
      <c r="BX77" s="339">
        <v>115.11</v>
      </c>
    </row>
    <row r="78" spans="1:76" s="1284" customFormat="1" ht="11.45" customHeight="1" x14ac:dyDescent="0.15">
      <c r="A78" s="1848" t="s">
        <v>1029</v>
      </c>
      <c r="B78" s="1820" t="s">
        <v>558</v>
      </c>
      <c r="C78" s="1644">
        <v>60.08</v>
      </c>
      <c r="D78" s="1644">
        <v>62.4</v>
      </c>
      <c r="E78" s="1644">
        <v>77.8</v>
      </c>
      <c r="F78" s="1644">
        <v>77.8</v>
      </c>
      <c r="G78" s="1644">
        <v>206.37</v>
      </c>
      <c r="H78" s="1644">
        <v>206.37</v>
      </c>
      <c r="I78" s="1644">
        <v>62.91</v>
      </c>
      <c r="J78" s="1644">
        <v>64.73</v>
      </c>
      <c r="K78" s="1644">
        <v>12.69</v>
      </c>
      <c r="L78" s="1644">
        <v>12.73</v>
      </c>
      <c r="M78" s="1644">
        <v>11.25</v>
      </c>
      <c r="N78" s="1644">
        <v>11.59</v>
      </c>
      <c r="O78" s="1644">
        <v>84</v>
      </c>
      <c r="P78" s="1644">
        <v>86.48</v>
      </c>
      <c r="Q78" s="1820" t="s">
        <v>558</v>
      </c>
      <c r="R78" s="1644">
        <v>10.039999999999999</v>
      </c>
      <c r="S78" s="1644">
        <v>10.039999999999999</v>
      </c>
      <c r="T78" s="1644">
        <v>1.24</v>
      </c>
      <c r="U78" s="1644">
        <v>1.23</v>
      </c>
      <c r="V78" s="1644">
        <v>0.01</v>
      </c>
      <c r="W78" s="1644">
        <v>0.01</v>
      </c>
      <c r="X78" s="1644">
        <v>0</v>
      </c>
      <c r="Y78" s="1644">
        <v>0</v>
      </c>
      <c r="Z78" s="1644">
        <v>0.65</v>
      </c>
      <c r="AA78" s="1644">
        <v>0.65</v>
      </c>
      <c r="AB78" s="1644">
        <v>258.01</v>
      </c>
      <c r="AC78" s="1644">
        <v>258.17</v>
      </c>
      <c r="AD78" s="1644">
        <v>21.4</v>
      </c>
      <c r="AE78" s="1644">
        <v>21.81</v>
      </c>
      <c r="AF78" s="1820" t="s">
        <v>558</v>
      </c>
      <c r="AG78" s="1644">
        <v>7.0000000000000007E-2</v>
      </c>
      <c r="AH78" s="1644">
        <v>7.0000000000000007E-2</v>
      </c>
      <c r="AI78" s="1644">
        <v>0.78</v>
      </c>
      <c r="AJ78" s="1644">
        <v>0.77</v>
      </c>
      <c r="AK78" s="1644">
        <v>59.03</v>
      </c>
      <c r="AL78" s="353">
        <v>59.81</v>
      </c>
      <c r="AM78" s="353">
        <v>9.84</v>
      </c>
      <c r="AN78" s="353">
        <v>10.34</v>
      </c>
      <c r="AO78" s="353">
        <v>202.1</v>
      </c>
      <c r="AP78" s="353">
        <v>202.08</v>
      </c>
      <c r="AQ78" s="353">
        <v>0.76</v>
      </c>
      <c r="AR78" s="353">
        <v>0.77</v>
      </c>
      <c r="AS78" s="353">
        <v>1.75</v>
      </c>
      <c r="AT78" s="353">
        <v>1.74</v>
      </c>
      <c r="AU78" s="1815" t="s">
        <v>558</v>
      </c>
      <c r="AV78" s="353">
        <v>21.37</v>
      </c>
      <c r="AW78" s="353">
        <v>21.37</v>
      </c>
      <c r="AX78" s="353">
        <v>1.46</v>
      </c>
      <c r="AY78" s="353">
        <v>1.54</v>
      </c>
      <c r="AZ78" s="353">
        <v>20.74</v>
      </c>
      <c r="BA78" s="353">
        <v>20.75</v>
      </c>
      <c r="BB78" s="353">
        <v>7.0000000000000007E-2</v>
      </c>
      <c r="BC78" s="353">
        <v>7.0000000000000007E-2</v>
      </c>
      <c r="BD78" s="353">
        <v>57.62</v>
      </c>
      <c r="BE78" s="353">
        <v>58.87</v>
      </c>
      <c r="BF78" s="353">
        <v>8.99</v>
      </c>
      <c r="BG78" s="353">
        <v>9.32</v>
      </c>
      <c r="BH78" s="353">
        <v>0.57999999999999996</v>
      </c>
      <c r="BI78" s="353">
        <v>0.57999999999999996</v>
      </c>
      <c r="BJ78" s="1815" t="s">
        <v>558</v>
      </c>
      <c r="BK78" s="353">
        <v>80.91</v>
      </c>
      <c r="BL78" s="353">
        <v>82.79</v>
      </c>
      <c r="BM78" s="353">
        <v>0.36</v>
      </c>
      <c r="BN78" s="353">
        <v>0.35</v>
      </c>
      <c r="BO78" s="353">
        <v>107.59</v>
      </c>
      <c r="BP78" s="353">
        <v>108.69</v>
      </c>
      <c r="BQ78" s="353">
        <v>2.39</v>
      </c>
      <c r="BR78" s="353">
        <v>2.37</v>
      </c>
      <c r="BS78" s="353">
        <v>21.18</v>
      </c>
      <c r="BT78" s="353">
        <v>21.18</v>
      </c>
      <c r="BU78" s="353">
        <v>77.8</v>
      </c>
      <c r="BV78" s="353">
        <v>77.8</v>
      </c>
      <c r="BW78" s="353">
        <v>116.18</v>
      </c>
      <c r="BX78" s="353">
        <v>120.08</v>
      </c>
    </row>
    <row r="79" spans="1:76" s="1284" customFormat="1" ht="11.45" customHeight="1" x14ac:dyDescent="0.15">
      <c r="A79" s="1848" t="s">
        <v>1029</v>
      </c>
      <c r="B79" s="1820" t="s">
        <v>559</v>
      </c>
      <c r="C79" s="1858">
        <v>61.36</v>
      </c>
      <c r="D79" s="1858">
        <v>59.46</v>
      </c>
      <c r="E79" s="1644">
        <v>77.8</v>
      </c>
      <c r="F79" s="1644">
        <v>77.8</v>
      </c>
      <c r="G79" s="1858">
        <v>206.34</v>
      </c>
      <c r="H79" s="1858">
        <v>206.34</v>
      </c>
      <c r="I79" s="1858">
        <v>63.92</v>
      </c>
      <c r="J79" s="1858">
        <v>62.52</v>
      </c>
      <c r="K79" s="1858">
        <v>12.72</v>
      </c>
      <c r="L79" s="1858">
        <v>12.71</v>
      </c>
      <c r="M79" s="1858">
        <v>11.65</v>
      </c>
      <c r="N79" s="1858">
        <v>11.46</v>
      </c>
      <c r="O79" s="1644">
        <v>86.9</v>
      </c>
      <c r="P79" s="1858">
        <v>85.47</v>
      </c>
      <c r="Q79" s="1874" t="s">
        <v>559</v>
      </c>
      <c r="R79" s="1858">
        <v>10.039999999999999</v>
      </c>
      <c r="S79" s="1858">
        <v>10.029999999999999</v>
      </c>
      <c r="T79" s="1858">
        <v>1.22</v>
      </c>
      <c r="U79" s="1858">
        <v>1.22</v>
      </c>
      <c r="V79" s="1858">
        <v>0.01</v>
      </c>
      <c r="W79" s="1858">
        <v>0.01</v>
      </c>
      <c r="X79" s="1644">
        <v>0</v>
      </c>
      <c r="Y79" s="1644">
        <v>0</v>
      </c>
      <c r="Z79" s="1858">
        <v>0.64</v>
      </c>
      <c r="AA79" s="1858">
        <v>0.63</v>
      </c>
      <c r="AB79" s="1858">
        <v>257.64999999999998</v>
      </c>
      <c r="AC79" s="1858">
        <v>256.81</v>
      </c>
      <c r="AD79" s="1858">
        <v>21.62</v>
      </c>
      <c r="AE79" s="1858">
        <v>21.22</v>
      </c>
      <c r="AF79" s="1874" t="s">
        <v>559</v>
      </c>
      <c r="AG79" s="1858">
        <v>7.0000000000000007E-2</v>
      </c>
      <c r="AH79" s="1858">
        <v>7.0000000000000007E-2</v>
      </c>
      <c r="AI79" s="1858">
        <v>0.76</v>
      </c>
      <c r="AJ79" s="1858">
        <v>0.76</v>
      </c>
      <c r="AK79" s="1858">
        <v>57.57</v>
      </c>
      <c r="AL79" s="1821">
        <v>55.24</v>
      </c>
      <c r="AM79" s="1821">
        <v>10.31</v>
      </c>
      <c r="AN79" s="1821">
        <v>10.02</v>
      </c>
      <c r="AO79" s="1816">
        <v>202.1</v>
      </c>
      <c r="AP79" s="1816">
        <v>202.1</v>
      </c>
      <c r="AQ79" s="1821">
        <v>0.76</v>
      </c>
      <c r="AR79" s="1821">
        <v>0.76</v>
      </c>
      <c r="AS79" s="1821">
        <v>1.74</v>
      </c>
      <c r="AT79" s="1821">
        <v>1.75</v>
      </c>
      <c r="AU79" s="1822" t="s">
        <v>559</v>
      </c>
      <c r="AV79" s="1821">
        <v>21.37</v>
      </c>
      <c r="AW79" s="1821">
        <v>21.38</v>
      </c>
      <c r="AX79" s="1821">
        <v>1.54</v>
      </c>
      <c r="AY79" s="1816">
        <v>1.5</v>
      </c>
      <c r="AZ79" s="1821">
        <v>20.75</v>
      </c>
      <c r="BA79" s="1821">
        <v>20.74</v>
      </c>
      <c r="BB79" s="1821">
        <v>7.0000000000000007E-2</v>
      </c>
      <c r="BC79" s="1821">
        <v>7.0000000000000007E-2</v>
      </c>
      <c r="BD79" s="1821">
        <v>58.35</v>
      </c>
      <c r="BE79" s="1821">
        <v>57.72</v>
      </c>
      <c r="BF79" s="1821">
        <v>9.33</v>
      </c>
      <c r="BG79" s="1821">
        <v>9.1300000000000008</v>
      </c>
      <c r="BH79" s="1821">
        <v>0.57999999999999996</v>
      </c>
      <c r="BI79" s="1821">
        <v>0.57999999999999996</v>
      </c>
      <c r="BJ79" s="1822" t="s">
        <v>559</v>
      </c>
      <c r="BK79" s="1821">
        <v>83.47</v>
      </c>
      <c r="BL79" s="1821">
        <v>82.77</v>
      </c>
      <c r="BM79" s="1821">
        <v>0.36</v>
      </c>
      <c r="BN79" s="1821">
        <v>0.36</v>
      </c>
      <c r="BO79" s="1821">
        <v>109.34</v>
      </c>
      <c r="BP79" s="1821">
        <v>108.18</v>
      </c>
      <c r="BQ79" s="1821">
        <v>2.3199999999999998</v>
      </c>
      <c r="BR79" s="1821">
        <v>2.31</v>
      </c>
      <c r="BS79" s="1821">
        <v>21.18</v>
      </c>
      <c r="BT79" s="1821">
        <v>21.18</v>
      </c>
      <c r="BU79" s="1816">
        <v>77.8</v>
      </c>
      <c r="BV79" s="1816">
        <v>77.8</v>
      </c>
      <c r="BW79" s="1821">
        <v>120.22</v>
      </c>
      <c r="BX79" s="1821">
        <v>118.94</v>
      </c>
    </row>
    <row r="80" spans="1:76" s="1284" customFormat="1" ht="11.45" customHeight="1" x14ac:dyDescent="0.15">
      <c r="A80" s="1848" t="s">
        <v>1029</v>
      </c>
      <c r="B80" s="1820" t="s">
        <v>550</v>
      </c>
      <c r="C80" s="1644">
        <v>60.04</v>
      </c>
      <c r="D80" s="1644">
        <v>59.81</v>
      </c>
      <c r="E80" s="1644">
        <v>77.8</v>
      </c>
      <c r="F80" s="1644">
        <v>77.81</v>
      </c>
      <c r="G80" s="1644">
        <v>206.35</v>
      </c>
      <c r="H80" s="1644">
        <v>206.35</v>
      </c>
      <c r="I80" s="1644">
        <v>63</v>
      </c>
      <c r="J80" s="1644">
        <v>62.78</v>
      </c>
      <c r="K80" s="1644">
        <v>12.72</v>
      </c>
      <c r="L80" s="1644">
        <v>12.73</v>
      </c>
      <c r="M80" s="1644">
        <v>11.71</v>
      </c>
      <c r="N80" s="1644">
        <v>11.72</v>
      </c>
      <c r="O80" s="1644">
        <v>87.35</v>
      </c>
      <c r="P80" s="1644">
        <v>87.43</v>
      </c>
      <c r="Q80" s="1874" t="s">
        <v>550</v>
      </c>
      <c r="R80" s="1644">
        <v>10.039999999999999</v>
      </c>
      <c r="S80" s="1644">
        <v>10.039999999999999</v>
      </c>
      <c r="T80" s="1644">
        <v>1.22</v>
      </c>
      <c r="U80" s="1644">
        <v>1.22</v>
      </c>
      <c r="V80" s="1644">
        <v>0.01</v>
      </c>
      <c r="W80" s="1644">
        <v>0.01</v>
      </c>
      <c r="X80" s="1644">
        <v>0</v>
      </c>
      <c r="Y80" s="1644">
        <v>0</v>
      </c>
      <c r="Z80" s="1644">
        <v>0.63</v>
      </c>
      <c r="AA80" s="1644">
        <v>0.63</v>
      </c>
      <c r="AB80" s="1644">
        <v>257.49</v>
      </c>
      <c r="AC80" s="1644">
        <v>257.42</v>
      </c>
      <c r="AD80" s="1644">
        <v>20.8</v>
      </c>
      <c r="AE80" s="1644">
        <v>20.55</v>
      </c>
      <c r="AF80" s="1874" t="s">
        <v>550</v>
      </c>
      <c r="AG80" s="1644">
        <v>7.0000000000000007E-2</v>
      </c>
      <c r="AH80" s="1644">
        <v>7.0000000000000007E-2</v>
      </c>
      <c r="AI80" s="1644">
        <v>0.76</v>
      </c>
      <c r="AJ80" s="1644">
        <v>0.76</v>
      </c>
      <c r="AK80" s="1644">
        <v>54.46</v>
      </c>
      <c r="AL80" s="353">
        <v>53.34</v>
      </c>
      <c r="AM80" s="353">
        <v>9.9700000000000006</v>
      </c>
      <c r="AN80" s="353">
        <v>9.9</v>
      </c>
      <c r="AO80" s="353">
        <v>202.07</v>
      </c>
      <c r="AP80" s="353">
        <v>202.12</v>
      </c>
      <c r="AQ80" s="353">
        <v>0.76</v>
      </c>
      <c r="AR80" s="353">
        <v>0.76</v>
      </c>
      <c r="AS80" s="353">
        <v>1.73</v>
      </c>
      <c r="AT80" s="353">
        <v>1.72</v>
      </c>
      <c r="AU80" s="1823" t="s">
        <v>550</v>
      </c>
      <c r="AV80" s="353">
        <v>21.37</v>
      </c>
      <c r="AW80" s="353">
        <v>21.37</v>
      </c>
      <c r="AX80" s="353">
        <v>1.43</v>
      </c>
      <c r="AY80" s="353">
        <v>1.4</v>
      </c>
      <c r="AZ80" s="353">
        <v>20.75</v>
      </c>
      <c r="BA80" s="353">
        <v>20.74</v>
      </c>
      <c r="BB80" s="353">
        <v>7.0000000000000007E-2</v>
      </c>
      <c r="BC80" s="353">
        <v>7.0000000000000007E-2</v>
      </c>
      <c r="BD80" s="353">
        <v>57.85</v>
      </c>
      <c r="BE80" s="353">
        <v>57.8</v>
      </c>
      <c r="BF80" s="353">
        <v>9.41</v>
      </c>
      <c r="BG80" s="353">
        <v>9.44</v>
      </c>
      <c r="BH80" s="353">
        <v>0.57999999999999996</v>
      </c>
      <c r="BI80" s="353">
        <v>0.57999999999999996</v>
      </c>
      <c r="BJ80" s="1823" t="s">
        <v>550</v>
      </c>
      <c r="BK80" s="353">
        <v>83.58</v>
      </c>
      <c r="BL80" s="353">
        <v>84.03</v>
      </c>
      <c r="BM80" s="353">
        <v>0.36</v>
      </c>
      <c r="BN80" s="353">
        <v>0.36</v>
      </c>
      <c r="BO80" s="353">
        <v>109.25</v>
      </c>
      <c r="BP80" s="353">
        <v>109.18</v>
      </c>
      <c r="BQ80" s="353">
        <v>2.31</v>
      </c>
      <c r="BR80" s="353">
        <v>2.2999999999999998</v>
      </c>
      <c r="BS80" s="353">
        <v>21.18</v>
      </c>
      <c r="BT80" s="353">
        <v>21.18</v>
      </c>
      <c r="BU80" s="353">
        <v>77.8</v>
      </c>
      <c r="BV80" s="353">
        <v>77.81</v>
      </c>
      <c r="BW80" s="353">
        <v>121.17</v>
      </c>
      <c r="BX80" s="353">
        <v>122.42</v>
      </c>
    </row>
    <row r="81" spans="1:76" s="1284" customFormat="1" ht="11.45" customHeight="1" x14ac:dyDescent="0.15">
      <c r="A81" s="1848" t="s">
        <v>1150</v>
      </c>
      <c r="B81" s="1642" t="s">
        <v>552</v>
      </c>
      <c r="C81" s="1644">
        <v>57.76</v>
      </c>
      <c r="D81" s="1644">
        <v>56.73</v>
      </c>
      <c r="E81" s="1644">
        <v>77.8</v>
      </c>
      <c r="F81" s="1644">
        <v>77.8</v>
      </c>
      <c r="G81" s="1644">
        <v>206.35</v>
      </c>
      <c r="H81" s="1644">
        <v>206.34</v>
      </c>
      <c r="I81" s="1644">
        <v>60.68</v>
      </c>
      <c r="J81" s="1644">
        <v>59.83</v>
      </c>
      <c r="K81" s="1644">
        <v>12.72</v>
      </c>
      <c r="L81" s="1644">
        <v>12.72</v>
      </c>
      <c r="M81" s="1644">
        <v>11.48</v>
      </c>
      <c r="N81" s="1644">
        <v>11.4</v>
      </c>
      <c r="O81" s="1644">
        <v>85.63</v>
      </c>
      <c r="P81" s="1644">
        <v>85.04</v>
      </c>
      <c r="Q81" s="1820" t="s">
        <v>552</v>
      </c>
      <c r="R81" s="1644">
        <v>10.039999999999999</v>
      </c>
      <c r="S81" s="1644">
        <v>10.029999999999999</v>
      </c>
      <c r="T81" s="1644">
        <v>1.22</v>
      </c>
      <c r="U81" s="1644">
        <v>1.21</v>
      </c>
      <c r="V81" s="1644">
        <v>0.01</v>
      </c>
      <c r="W81" s="1644">
        <v>0.01</v>
      </c>
      <c r="X81" s="1644">
        <v>0</v>
      </c>
      <c r="Y81" s="1644">
        <v>0</v>
      </c>
      <c r="Z81" s="1644">
        <v>0.63</v>
      </c>
      <c r="AA81" s="1644">
        <v>0.63</v>
      </c>
      <c r="AB81" s="1644">
        <v>256.95</v>
      </c>
      <c r="AC81" s="1644">
        <v>256.81</v>
      </c>
      <c r="AD81" s="1644">
        <v>20.47</v>
      </c>
      <c r="AE81" s="1644">
        <v>20.38</v>
      </c>
      <c r="AF81" s="1820" t="s">
        <v>552</v>
      </c>
      <c r="AG81" s="1644">
        <v>7.0000000000000007E-2</v>
      </c>
      <c r="AH81" s="1644">
        <v>0.06</v>
      </c>
      <c r="AI81" s="1644">
        <v>0.76</v>
      </c>
      <c r="AJ81" s="1644">
        <v>0.76</v>
      </c>
      <c r="AK81" s="1644">
        <v>51.73</v>
      </c>
      <c r="AL81" s="353">
        <v>51.41</v>
      </c>
      <c r="AM81" s="353">
        <v>9.6</v>
      </c>
      <c r="AN81" s="353">
        <v>9.52</v>
      </c>
      <c r="AO81" s="353">
        <v>202.06</v>
      </c>
      <c r="AP81" s="353">
        <v>202.08</v>
      </c>
      <c r="AQ81" s="353">
        <v>0.76</v>
      </c>
      <c r="AR81" s="353">
        <v>0.76</v>
      </c>
      <c r="AS81" s="353">
        <v>1.72</v>
      </c>
      <c r="AT81" s="353">
        <v>1.7</v>
      </c>
      <c r="AU81" s="1815" t="s">
        <v>552</v>
      </c>
      <c r="AV81" s="353">
        <v>21.37</v>
      </c>
      <c r="AW81" s="353">
        <v>21.37</v>
      </c>
      <c r="AX81" s="353">
        <v>1.36</v>
      </c>
      <c r="AY81" s="353">
        <v>1.32</v>
      </c>
      <c r="AZ81" s="353">
        <v>20.74</v>
      </c>
      <c r="BA81" s="353">
        <v>20.75</v>
      </c>
      <c r="BB81" s="353">
        <v>7.0000000000000007E-2</v>
      </c>
      <c r="BC81" s="353">
        <v>7.0000000000000007E-2</v>
      </c>
      <c r="BD81" s="353">
        <v>57.21</v>
      </c>
      <c r="BE81" s="353">
        <v>56.57</v>
      </c>
      <c r="BF81" s="353">
        <v>9.1300000000000008</v>
      </c>
      <c r="BG81" s="353">
        <v>9.0299999999999994</v>
      </c>
      <c r="BH81" s="353">
        <v>0.57999999999999996</v>
      </c>
      <c r="BI81" s="353">
        <v>0.57999999999999996</v>
      </c>
      <c r="BJ81" s="1815" t="s">
        <v>552</v>
      </c>
      <c r="BK81" s="353">
        <v>81.66</v>
      </c>
      <c r="BL81" s="353">
        <v>80.239999999999995</v>
      </c>
      <c r="BM81" s="353">
        <v>0.36</v>
      </c>
      <c r="BN81" s="353">
        <v>0.36</v>
      </c>
      <c r="BO81" s="353">
        <v>108.66</v>
      </c>
      <c r="BP81" s="353">
        <v>108.48</v>
      </c>
      <c r="BQ81" s="353">
        <v>2.27</v>
      </c>
      <c r="BR81" s="353">
        <v>2.21</v>
      </c>
      <c r="BS81" s="353">
        <v>21.18</v>
      </c>
      <c r="BT81" s="353">
        <v>21.18</v>
      </c>
      <c r="BU81" s="353">
        <v>77.8</v>
      </c>
      <c r="BV81" s="353">
        <v>77.8</v>
      </c>
      <c r="BW81" s="353">
        <v>121.07</v>
      </c>
      <c r="BX81" s="353">
        <v>121.34</v>
      </c>
    </row>
    <row r="82" spans="1:76" s="1284" customFormat="1" ht="11.45" customHeight="1" x14ac:dyDescent="0.15">
      <c r="A82" s="1848" t="s">
        <v>1150</v>
      </c>
      <c r="B82" s="1642" t="s">
        <v>553</v>
      </c>
      <c r="C82" s="1644">
        <v>56.86</v>
      </c>
      <c r="D82" s="1644">
        <v>55.79</v>
      </c>
      <c r="E82" s="1644">
        <v>77.8</v>
      </c>
      <c r="F82" s="1644">
        <v>77.8</v>
      </c>
      <c r="G82" s="1644">
        <v>206.21</v>
      </c>
      <c r="H82" s="1644">
        <v>206.15</v>
      </c>
      <c r="I82" s="1644">
        <v>59.21</v>
      </c>
      <c r="J82" s="1644">
        <v>58.89</v>
      </c>
      <c r="K82" s="1644">
        <v>12.35</v>
      </c>
      <c r="L82" s="1644">
        <v>12.18</v>
      </c>
      <c r="M82" s="1644">
        <v>11.61</v>
      </c>
      <c r="N82" s="1644">
        <v>11.67</v>
      </c>
      <c r="O82" s="1644">
        <v>86.61</v>
      </c>
      <c r="P82" s="1644">
        <v>87.04</v>
      </c>
      <c r="Q82" s="1820" t="s">
        <v>553</v>
      </c>
      <c r="R82" s="1644">
        <v>10.029999999999999</v>
      </c>
      <c r="S82" s="1644">
        <v>10.039999999999999</v>
      </c>
      <c r="T82" s="1644">
        <v>1.2</v>
      </c>
      <c r="U82" s="1644">
        <v>1.18</v>
      </c>
      <c r="V82" s="1644">
        <v>0.01</v>
      </c>
      <c r="W82" s="1644">
        <v>0.01</v>
      </c>
      <c r="X82" s="1644">
        <v>0</v>
      </c>
      <c r="Y82" s="1644">
        <v>0</v>
      </c>
      <c r="Z82" s="1644">
        <v>0.63</v>
      </c>
      <c r="AA82" s="1644">
        <v>0.64</v>
      </c>
      <c r="AB82" s="1644">
        <v>257.2</v>
      </c>
      <c r="AC82" s="1644">
        <v>257.66000000000003</v>
      </c>
      <c r="AD82" s="1644">
        <v>19.190000000000001</v>
      </c>
      <c r="AE82" s="1644">
        <v>18.55</v>
      </c>
      <c r="AF82" s="1820" t="s">
        <v>553</v>
      </c>
      <c r="AG82" s="1644">
        <v>0.06</v>
      </c>
      <c r="AH82" s="1644">
        <v>0.06</v>
      </c>
      <c r="AI82" s="1644">
        <v>0.75</v>
      </c>
      <c r="AJ82" s="1644">
        <v>0.74</v>
      </c>
      <c r="AK82" s="1644">
        <v>51.05</v>
      </c>
      <c r="AL82" s="1816">
        <v>50.31</v>
      </c>
      <c r="AM82" s="1816">
        <v>9.44</v>
      </c>
      <c r="AN82" s="1816">
        <v>9.39</v>
      </c>
      <c r="AO82" s="1816">
        <v>202.02</v>
      </c>
      <c r="AP82" s="1816">
        <v>202.03</v>
      </c>
      <c r="AQ82" s="1816">
        <v>0.76</v>
      </c>
      <c r="AR82" s="1816">
        <v>0.75</v>
      </c>
      <c r="AS82" s="1816">
        <v>1.68</v>
      </c>
      <c r="AT82" s="1816">
        <v>1.66</v>
      </c>
      <c r="AU82" s="464" t="s">
        <v>553</v>
      </c>
      <c r="AV82" s="1816">
        <v>21.36</v>
      </c>
      <c r="AW82" s="1816">
        <v>21.36</v>
      </c>
      <c r="AX82" s="1816">
        <v>1.19</v>
      </c>
      <c r="AY82" s="1816">
        <v>1.19</v>
      </c>
      <c r="AZ82" s="1816">
        <v>20.74</v>
      </c>
      <c r="BA82" s="1816">
        <v>20.74</v>
      </c>
      <c r="BB82" s="1816">
        <v>7.0000000000000007E-2</v>
      </c>
      <c r="BC82" s="1816">
        <v>7.0000000000000007E-2</v>
      </c>
      <c r="BD82" s="1816">
        <v>55.72</v>
      </c>
      <c r="BE82" s="1816">
        <v>55.23</v>
      </c>
      <c r="BF82" s="1816">
        <v>9.1</v>
      </c>
      <c r="BG82" s="1816">
        <v>9.23</v>
      </c>
      <c r="BH82" s="1816">
        <v>0.57999999999999996</v>
      </c>
      <c r="BI82" s="1816">
        <v>0.57999999999999996</v>
      </c>
      <c r="BJ82" s="464" t="s">
        <v>553</v>
      </c>
      <c r="BK82" s="1816">
        <v>80.37</v>
      </c>
      <c r="BL82" s="1816">
        <v>80.84</v>
      </c>
      <c r="BM82" s="1816">
        <v>0.35</v>
      </c>
      <c r="BN82" s="1816">
        <v>0.35</v>
      </c>
      <c r="BO82" s="1816">
        <v>109.07</v>
      </c>
      <c r="BP82" s="1816">
        <v>109.55</v>
      </c>
      <c r="BQ82" s="1816">
        <v>2.2000000000000002</v>
      </c>
      <c r="BR82" s="1816">
        <v>2.17</v>
      </c>
      <c r="BS82" s="1816">
        <v>21.18</v>
      </c>
      <c r="BT82" s="1816">
        <v>21.18</v>
      </c>
      <c r="BU82" s="1816">
        <v>77.8</v>
      </c>
      <c r="BV82" s="1816">
        <v>77.8</v>
      </c>
      <c r="BW82" s="1816">
        <v>121.29</v>
      </c>
      <c r="BX82" s="1816">
        <v>119.79</v>
      </c>
    </row>
    <row r="83" spans="1:76" s="1284" customFormat="1" ht="11.45" customHeight="1" x14ac:dyDescent="0.15">
      <c r="A83" s="1848" t="s">
        <v>1150</v>
      </c>
      <c r="B83" s="1642" t="s">
        <v>547</v>
      </c>
      <c r="C83" s="1644">
        <v>54.92</v>
      </c>
      <c r="D83" s="1644">
        <v>54.39</v>
      </c>
      <c r="E83" s="1644">
        <v>77.8</v>
      </c>
      <c r="F83" s="1644">
        <v>77.8</v>
      </c>
      <c r="G83" s="1644">
        <v>206.23</v>
      </c>
      <c r="H83" s="1644">
        <v>206.07</v>
      </c>
      <c r="I83" s="1644">
        <v>58.68</v>
      </c>
      <c r="J83" s="1644">
        <v>57.98</v>
      </c>
      <c r="K83" s="1644">
        <v>12.22</v>
      </c>
      <c r="L83" s="1644">
        <v>12.23</v>
      </c>
      <c r="M83" s="1644">
        <v>11.72</v>
      </c>
      <c r="N83" s="1644">
        <v>11.73</v>
      </c>
      <c r="O83" s="1644">
        <v>87.44</v>
      </c>
      <c r="P83" s="1644">
        <v>87.52</v>
      </c>
      <c r="Q83" s="1820" t="s">
        <v>547</v>
      </c>
      <c r="R83" s="1644">
        <v>10.039999999999999</v>
      </c>
      <c r="S83" s="1644">
        <v>10.039999999999999</v>
      </c>
      <c r="T83" s="1644">
        <v>1.17</v>
      </c>
      <c r="U83" s="1644">
        <v>1.18</v>
      </c>
      <c r="V83" s="1644">
        <v>0.01</v>
      </c>
      <c r="W83" s="1644">
        <v>0.01</v>
      </c>
      <c r="X83" s="1644">
        <v>0</v>
      </c>
      <c r="Y83" s="1644">
        <v>0</v>
      </c>
      <c r="Z83" s="1644">
        <v>0.65</v>
      </c>
      <c r="AA83" s="1644">
        <v>0.65</v>
      </c>
      <c r="AB83" s="1644">
        <v>257.52999999999997</v>
      </c>
      <c r="AC83" s="1644">
        <v>257.52999999999997</v>
      </c>
      <c r="AD83" s="1644">
        <v>18.07</v>
      </c>
      <c r="AE83" s="1644">
        <v>17.48</v>
      </c>
      <c r="AF83" s="1820" t="s">
        <v>547</v>
      </c>
      <c r="AG83" s="1644">
        <v>0.06</v>
      </c>
      <c r="AH83" s="1644">
        <v>0.06</v>
      </c>
      <c r="AI83" s="1644">
        <v>0.73</v>
      </c>
      <c r="AJ83" s="1644">
        <v>0.73</v>
      </c>
      <c r="AK83" s="1644">
        <v>49.31</v>
      </c>
      <c r="AL83" s="353">
        <v>49.42</v>
      </c>
      <c r="AM83" s="353">
        <v>9.4</v>
      </c>
      <c r="AN83" s="353">
        <v>9.18</v>
      </c>
      <c r="AO83" s="353">
        <v>202.07</v>
      </c>
      <c r="AP83" s="353">
        <v>202.08</v>
      </c>
      <c r="AQ83" s="353">
        <v>0.75</v>
      </c>
      <c r="AR83" s="353">
        <v>0.75</v>
      </c>
      <c r="AS83" s="353">
        <v>1.66</v>
      </c>
      <c r="AT83" s="353">
        <v>1.66</v>
      </c>
      <c r="AU83" s="1815" t="s">
        <v>547</v>
      </c>
      <c r="AV83" s="353">
        <v>21.37</v>
      </c>
      <c r="AW83" s="353">
        <v>21.36</v>
      </c>
      <c r="AX83" s="353">
        <v>1.17</v>
      </c>
      <c r="AY83" s="353">
        <v>1.18</v>
      </c>
      <c r="AZ83" s="353">
        <v>20.75</v>
      </c>
      <c r="BA83" s="353">
        <v>20.74</v>
      </c>
      <c r="BB83" s="353">
        <v>7.0000000000000007E-2</v>
      </c>
      <c r="BC83" s="353">
        <v>7.0000000000000007E-2</v>
      </c>
      <c r="BD83" s="353">
        <v>54.97</v>
      </c>
      <c r="BE83" s="353">
        <v>54.48</v>
      </c>
      <c r="BF83" s="353">
        <v>9.31</v>
      </c>
      <c r="BG83" s="353">
        <v>9.2799999999999994</v>
      </c>
      <c r="BH83" s="353">
        <v>0.56000000000000005</v>
      </c>
      <c r="BI83" s="353">
        <v>0.55000000000000004</v>
      </c>
      <c r="BJ83" s="1815" t="s">
        <v>547</v>
      </c>
      <c r="BK83" s="353">
        <v>80.05</v>
      </c>
      <c r="BL83" s="353">
        <v>80.010000000000005</v>
      </c>
      <c r="BM83" s="353">
        <v>0.35</v>
      </c>
      <c r="BN83" s="353">
        <v>0.35</v>
      </c>
      <c r="BO83" s="353">
        <v>109.41</v>
      </c>
      <c r="BP83" s="353">
        <v>109.29</v>
      </c>
      <c r="BQ83" s="353">
        <v>2.16</v>
      </c>
      <c r="BR83" s="353">
        <v>2.14</v>
      </c>
      <c r="BS83" s="353">
        <v>21.18</v>
      </c>
      <c r="BT83" s="353">
        <v>21.18</v>
      </c>
      <c r="BU83" s="353">
        <v>77.8</v>
      </c>
      <c r="BV83" s="353">
        <v>77.8</v>
      </c>
      <c r="BW83" s="353">
        <v>119.37</v>
      </c>
      <c r="BX83" s="353">
        <v>117.88</v>
      </c>
    </row>
    <row r="84" spans="1:76" s="1284" customFormat="1" ht="11.45" customHeight="1" x14ac:dyDescent="0.15">
      <c r="A84" s="1848" t="s">
        <v>1150</v>
      </c>
      <c r="B84" s="1642" t="s">
        <v>554</v>
      </c>
      <c r="C84" s="1644">
        <v>56.04</v>
      </c>
      <c r="D84" s="1644">
        <v>55.62</v>
      </c>
      <c r="E84" s="1644">
        <v>77.819999999999993</v>
      </c>
      <c r="F84" s="1644">
        <v>77.959999999999994</v>
      </c>
      <c r="G84" s="1644">
        <v>206.33</v>
      </c>
      <c r="H84" s="1644">
        <v>206.75</v>
      </c>
      <c r="I84" s="1644">
        <v>59.52</v>
      </c>
      <c r="J84" s="1644">
        <v>59.61</v>
      </c>
      <c r="K84" s="1644">
        <v>12.25</v>
      </c>
      <c r="L84" s="1644">
        <v>12.28</v>
      </c>
      <c r="M84" s="1644">
        <v>11.7</v>
      </c>
      <c r="N84" s="1644">
        <v>11.49</v>
      </c>
      <c r="O84" s="1644">
        <v>87.31</v>
      </c>
      <c r="P84" s="1644">
        <v>85.73</v>
      </c>
      <c r="Q84" s="1820" t="s">
        <v>554</v>
      </c>
      <c r="R84" s="1644">
        <v>10.039999999999999</v>
      </c>
      <c r="S84" s="1644">
        <v>10.06</v>
      </c>
      <c r="T84" s="1644">
        <v>1.2</v>
      </c>
      <c r="U84" s="1644">
        <v>1.19</v>
      </c>
      <c r="V84" s="1644">
        <v>0.01</v>
      </c>
      <c r="W84" s="1644">
        <v>0.01</v>
      </c>
      <c r="X84" s="1644">
        <v>0</v>
      </c>
      <c r="Y84" s="1644">
        <v>0</v>
      </c>
      <c r="Z84" s="1644">
        <v>0.65</v>
      </c>
      <c r="AA84" s="1644">
        <v>0.65</v>
      </c>
      <c r="AB84" s="1644">
        <v>257.52999999999997</v>
      </c>
      <c r="AC84" s="1644">
        <v>257.07</v>
      </c>
      <c r="AD84" s="1644">
        <v>18.260000000000002</v>
      </c>
      <c r="AE84" s="1644">
        <v>18.149999999999999</v>
      </c>
      <c r="AF84" s="1820" t="s">
        <v>554</v>
      </c>
      <c r="AG84" s="1644">
        <v>0.06</v>
      </c>
      <c r="AH84" s="1644">
        <v>0.06</v>
      </c>
      <c r="AI84" s="1644">
        <v>0.75</v>
      </c>
      <c r="AJ84" s="1644">
        <v>0.75</v>
      </c>
      <c r="AK84" s="1644">
        <v>51.97</v>
      </c>
      <c r="AL84" s="339">
        <v>52.77</v>
      </c>
      <c r="AM84" s="339">
        <v>9.41</v>
      </c>
      <c r="AN84" s="339">
        <v>9.18</v>
      </c>
      <c r="AO84" s="339">
        <v>202.12</v>
      </c>
      <c r="AP84" s="339">
        <v>202.48</v>
      </c>
      <c r="AQ84" s="339">
        <v>0.74</v>
      </c>
      <c r="AR84" s="339">
        <v>0.74</v>
      </c>
      <c r="AS84" s="339">
        <v>1.68</v>
      </c>
      <c r="AT84" s="339">
        <v>1.67</v>
      </c>
      <c r="AU84" s="464" t="s">
        <v>554</v>
      </c>
      <c r="AV84" s="339">
        <v>21.37</v>
      </c>
      <c r="AW84" s="339">
        <v>21.41</v>
      </c>
      <c r="AX84" s="339">
        <v>1.23</v>
      </c>
      <c r="AY84" s="339">
        <v>1.22</v>
      </c>
      <c r="AZ84" s="339">
        <v>20.76</v>
      </c>
      <c r="BA84" s="339">
        <v>20.79</v>
      </c>
      <c r="BB84" s="339">
        <v>7.0000000000000007E-2</v>
      </c>
      <c r="BC84" s="339">
        <v>7.0000000000000007E-2</v>
      </c>
      <c r="BD84" s="339">
        <v>55.51</v>
      </c>
      <c r="BE84" s="339">
        <v>55.65</v>
      </c>
      <c r="BF84" s="339">
        <v>9.34</v>
      </c>
      <c r="BG84" s="339">
        <v>9.1300000000000008</v>
      </c>
      <c r="BH84" s="339">
        <v>0.55000000000000004</v>
      </c>
      <c r="BI84" s="339">
        <v>0.55000000000000004</v>
      </c>
      <c r="BJ84" s="464" t="s">
        <v>554</v>
      </c>
      <c r="BK84" s="339">
        <v>80.290000000000006</v>
      </c>
      <c r="BL84" s="339">
        <v>78.92</v>
      </c>
      <c r="BM84" s="339">
        <v>0.35</v>
      </c>
      <c r="BN84" s="339">
        <v>0.35</v>
      </c>
      <c r="BO84" s="339">
        <v>109.43</v>
      </c>
      <c r="BP84" s="339">
        <v>108.89</v>
      </c>
      <c r="BQ84" s="339">
        <v>2.1800000000000002</v>
      </c>
      <c r="BR84" s="339">
        <v>2.19</v>
      </c>
      <c r="BS84" s="339">
        <v>21.19</v>
      </c>
      <c r="BT84" s="339">
        <v>21.23</v>
      </c>
      <c r="BU84" s="339">
        <v>77.819999999999993</v>
      </c>
      <c r="BV84" s="339">
        <v>77.959999999999994</v>
      </c>
      <c r="BW84" s="339">
        <v>119.23</v>
      </c>
      <c r="BX84" s="339">
        <v>120.19</v>
      </c>
    </row>
    <row r="85" spans="1:76" s="1284" customFormat="1" ht="11.45" customHeight="1" x14ac:dyDescent="0.15">
      <c r="A85" s="1848" t="s">
        <v>1150</v>
      </c>
      <c r="B85" s="1642" t="s">
        <v>555</v>
      </c>
      <c r="C85" s="1644">
        <v>56.11</v>
      </c>
      <c r="D85" s="1644">
        <v>56.8</v>
      </c>
      <c r="E85" s="1644">
        <v>78.53</v>
      </c>
      <c r="F85" s="1644">
        <v>78.930000000000007</v>
      </c>
      <c r="G85" s="1644">
        <v>208.25</v>
      </c>
      <c r="H85" s="1644">
        <v>209.45</v>
      </c>
      <c r="I85" s="1644">
        <v>59.17</v>
      </c>
      <c r="J85" s="1644">
        <v>59.05</v>
      </c>
      <c r="K85" s="1644">
        <v>12.33</v>
      </c>
      <c r="L85" s="1644">
        <v>12.34</v>
      </c>
      <c r="M85" s="1644">
        <v>11.3</v>
      </c>
      <c r="N85" s="1644">
        <v>11.21</v>
      </c>
      <c r="O85" s="1644">
        <v>84.29</v>
      </c>
      <c r="P85" s="1644">
        <v>83.65</v>
      </c>
      <c r="Q85" s="1820" t="s">
        <v>555</v>
      </c>
      <c r="R85" s="1644">
        <v>10.130000000000001</v>
      </c>
      <c r="S85" s="1644">
        <v>10.18</v>
      </c>
      <c r="T85" s="1644">
        <v>1.19</v>
      </c>
      <c r="U85" s="1644">
        <v>1.18</v>
      </c>
      <c r="V85" s="1644">
        <v>0.01</v>
      </c>
      <c r="W85" s="1644">
        <v>0.01</v>
      </c>
      <c r="X85" s="1644">
        <v>0</v>
      </c>
      <c r="Y85" s="1644">
        <v>0</v>
      </c>
      <c r="Z85" s="1644">
        <v>0.64</v>
      </c>
      <c r="AA85" s="1644">
        <v>0.64</v>
      </c>
      <c r="AB85" s="1644">
        <v>258.45</v>
      </c>
      <c r="AC85" s="1644">
        <v>259</v>
      </c>
      <c r="AD85" s="1644">
        <v>18.2</v>
      </c>
      <c r="AE85" s="1644">
        <v>18.52</v>
      </c>
      <c r="AF85" s="1820" t="s">
        <v>555</v>
      </c>
      <c r="AG85" s="1644">
        <v>0.06</v>
      </c>
      <c r="AH85" s="1644">
        <v>0.06</v>
      </c>
      <c r="AI85" s="1644">
        <v>0.74</v>
      </c>
      <c r="AJ85" s="1644">
        <v>0.74</v>
      </c>
      <c r="AK85" s="1644">
        <v>51.52</v>
      </c>
      <c r="AL85" s="353">
        <v>51.58</v>
      </c>
      <c r="AM85" s="353">
        <v>9.09</v>
      </c>
      <c r="AN85" s="353">
        <v>9.07</v>
      </c>
      <c r="AO85" s="353">
        <v>203.96</v>
      </c>
      <c r="AP85" s="353">
        <v>205.01</v>
      </c>
      <c r="AQ85" s="353">
        <v>0.74</v>
      </c>
      <c r="AR85" s="353">
        <v>0.75</v>
      </c>
      <c r="AS85" s="353">
        <v>1.67</v>
      </c>
      <c r="AT85" s="353">
        <v>1.67</v>
      </c>
      <c r="AU85" s="1815" t="s">
        <v>555</v>
      </c>
      <c r="AV85" s="353">
        <v>21.57</v>
      </c>
      <c r="AW85" s="353">
        <v>21.68</v>
      </c>
      <c r="AX85" s="353">
        <v>1.21</v>
      </c>
      <c r="AY85" s="353">
        <v>1.19</v>
      </c>
      <c r="AZ85" s="353">
        <v>20.93</v>
      </c>
      <c r="BA85" s="353">
        <v>21.03</v>
      </c>
      <c r="BB85" s="353">
        <v>7.0000000000000007E-2</v>
      </c>
      <c r="BC85" s="353">
        <v>7.0000000000000007E-2</v>
      </c>
      <c r="BD85" s="353">
        <v>55.54</v>
      </c>
      <c r="BE85" s="353">
        <v>55.84</v>
      </c>
      <c r="BF85" s="353">
        <v>9.0500000000000007</v>
      </c>
      <c r="BG85" s="353">
        <v>9.0299999999999994</v>
      </c>
      <c r="BH85" s="353">
        <v>0.55000000000000004</v>
      </c>
      <c r="BI85" s="353">
        <v>0.55000000000000004</v>
      </c>
      <c r="BJ85" s="1815" t="s">
        <v>555</v>
      </c>
      <c r="BK85" s="353">
        <v>77.790000000000006</v>
      </c>
      <c r="BL85" s="353">
        <v>76.650000000000006</v>
      </c>
      <c r="BM85" s="353">
        <v>0.36</v>
      </c>
      <c r="BN85" s="353">
        <v>0.36</v>
      </c>
      <c r="BO85" s="353">
        <v>108.56</v>
      </c>
      <c r="BP85" s="353">
        <v>108.42</v>
      </c>
      <c r="BQ85" s="353">
        <v>2.19</v>
      </c>
      <c r="BR85" s="353">
        <v>2.2000000000000002</v>
      </c>
      <c r="BS85" s="353">
        <v>21.38</v>
      </c>
      <c r="BT85" s="353">
        <v>21.49</v>
      </c>
      <c r="BU85" s="353">
        <v>78.53</v>
      </c>
      <c r="BV85" s="353">
        <v>78.930000000000007</v>
      </c>
      <c r="BW85" s="353">
        <v>119.31</v>
      </c>
      <c r="BX85" s="353">
        <v>118.71</v>
      </c>
    </row>
    <row r="86" spans="1:76" s="1284" customFormat="1" ht="11.45" customHeight="1" x14ac:dyDescent="0.15">
      <c r="A86" s="1848" t="s">
        <v>1150</v>
      </c>
      <c r="B86" s="1642" t="s">
        <v>548</v>
      </c>
      <c r="C86" s="1644">
        <v>57.08</v>
      </c>
      <c r="D86" s="1644">
        <v>57.22</v>
      </c>
      <c r="E86" s="1644">
        <v>78.78</v>
      </c>
      <c r="F86" s="1644">
        <v>78.510000000000005</v>
      </c>
      <c r="G86" s="1644">
        <v>208.96</v>
      </c>
      <c r="H86" s="1644">
        <v>208.61</v>
      </c>
      <c r="I86" s="1644">
        <v>57.53</v>
      </c>
      <c r="J86" s="1644">
        <v>56.52</v>
      </c>
      <c r="K86" s="1644">
        <v>12.22</v>
      </c>
      <c r="L86" s="1644">
        <v>12.09</v>
      </c>
      <c r="M86" s="1644">
        <v>11.5</v>
      </c>
      <c r="N86" s="1644">
        <v>11.5</v>
      </c>
      <c r="O86" s="1644">
        <v>85.8</v>
      </c>
      <c r="P86" s="1644">
        <v>85.83</v>
      </c>
      <c r="Q86" s="1820" t="s">
        <v>548</v>
      </c>
      <c r="R86" s="1644">
        <v>10.16</v>
      </c>
      <c r="S86" s="1644">
        <v>10.130000000000001</v>
      </c>
      <c r="T86" s="1644">
        <v>1.18</v>
      </c>
      <c r="U86" s="1644">
        <v>1.18</v>
      </c>
      <c r="V86" s="1644">
        <v>0.01</v>
      </c>
      <c r="W86" s="1644">
        <v>0.01</v>
      </c>
      <c r="X86" s="1644">
        <v>0</v>
      </c>
      <c r="Y86" s="1644">
        <v>0</v>
      </c>
      <c r="Z86" s="1644">
        <v>0.65</v>
      </c>
      <c r="AA86" s="1644">
        <v>0.65</v>
      </c>
      <c r="AB86" s="1644">
        <v>259.41000000000003</v>
      </c>
      <c r="AC86" s="1644">
        <v>258.60000000000002</v>
      </c>
      <c r="AD86" s="1644">
        <v>18.399999999999999</v>
      </c>
      <c r="AE86" s="1644">
        <v>18.28</v>
      </c>
      <c r="AF86" s="1820" t="s">
        <v>548</v>
      </c>
      <c r="AG86" s="1644">
        <v>0.06</v>
      </c>
      <c r="AH86" s="1644">
        <v>0.06</v>
      </c>
      <c r="AI86" s="1644">
        <v>0.74</v>
      </c>
      <c r="AJ86" s="1644">
        <v>0.74</v>
      </c>
      <c r="AK86" s="1644">
        <v>53.15</v>
      </c>
      <c r="AL86" s="339">
        <v>53.76</v>
      </c>
      <c r="AM86" s="339">
        <v>9.07</v>
      </c>
      <c r="AN86" s="339">
        <v>8.93</v>
      </c>
      <c r="AO86" s="339">
        <v>204.72</v>
      </c>
      <c r="AP86" s="339">
        <v>203.92</v>
      </c>
      <c r="AQ86" s="339">
        <v>0.75</v>
      </c>
      <c r="AR86" s="339">
        <v>0.75</v>
      </c>
      <c r="AS86" s="339">
        <v>1.67</v>
      </c>
      <c r="AT86" s="339">
        <v>1.67</v>
      </c>
      <c r="AU86" s="464" t="s">
        <v>548</v>
      </c>
      <c r="AV86" s="339">
        <v>21.64</v>
      </c>
      <c r="AW86" s="339">
        <v>21.56</v>
      </c>
      <c r="AX86" s="339">
        <v>1.1299999999999999</v>
      </c>
      <c r="AY86" s="339">
        <v>1.07</v>
      </c>
      <c r="AZ86" s="339">
        <v>20.99</v>
      </c>
      <c r="BA86" s="339">
        <v>20.92</v>
      </c>
      <c r="BB86" s="339">
        <v>7.0000000000000007E-2</v>
      </c>
      <c r="BC86" s="339">
        <v>7.0000000000000007E-2</v>
      </c>
      <c r="BD86" s="339">
        <v>55.97</v>
      </c>
      <c r="BE86" s="339">
        <v>55.51</v>
      </c>
      <c r="BF86" s="339">
        <v>9.27</v>
      </c>
      <c r="BG86" s="339">
        <v>9.33</v>
      </c>
      <c r="BH86" s="339">
        <v>0.55000000000000004</v>
      </c>
      <c r="BI86" s="339">
        <v>0.54</v>
      </c>
      <c r="BJ86" s="464" t="s">
        <v>548</v>
      </c>
      <c r="BK86" s="339">
        <v>79.25</v>
      </c>
      <c r="BL86" s="339">
        <v>79.53</v>
      </c>
      <c r="BM86" s="339">
        <v>0.36</v>
      </c>
      <c r="BN86" s="339">
        <v>0.36</v>
      </c>
      <c r="BO86" s="339">
        <v>109.16</v>
      </c>
      <c r="BP86" s="339">
        <v>108.88</v>
      </c>
      <c r="BQ86" s="339">
        <v>2.19</v>
      </c>
      <c r="BR86" s="339">
        <v>2.1800000000000002</v>
      </c>
      <c r="BS86" s="339">
        <v>21.45</v>
      </c>
      <c r="BT86" s="339">
        <v>21.38</v>
      </c>
      <c r="BU86" s="339">
        <v>78.78</v>
      </c>
      <c r="BV86" s="339">
        <v>78.510000000000005</v>
      </c>
      <c r="BW86" s="339">
        <v>118.19</v>
      </c>
      <c r="BX86" s="339">
        <v>116.3</v>
      </c>
    </row>
    <row r="87" spans="1:76" s="1284" customFormat="1" ht="11.45" customHeight="1" x14ac:dyDescent="0.15">
      <c r="A87" s="1848" t="s">
        <v>1150</v>
      </c>
      <c r="B87" s="1642" t="s">
        <v>556</v>
      </c>
      <c r="C87" s="1644">
        <v>55.19</v>
      </c>
      <c r="D87" s="1644">
        <v>55.57</v>
      </c>
      <c r="E87" s="1644">
        <v>78.5</v>
      </c>
      <c r="F87" s="1644">
        <v>78.5</v>
      </c>
      <c r="G87" s="1644">
        <v>208.38</v>
      </c>
      <c r="H87" s="1644">
        <v>208.42</v>
      </c>
      <c r="I87" s="1644">
        <v>55.34</v>
      </c>
      <c r="J87" s="1644">
        <v>56.1</v>
      </c>
      <c r="K87" s="1644">
        <v>11.99</v>
      </c>
      <c r="L87" s="1644">
        <v>11.98</v>
      </c>
      <c r="M87" s="1644">
        <v>11.43</v>
      </c>
      <c r="N87" s="1644">
        <v>11.4</v>
      </c>
      <c r="O87" s="1644">
        <v>85.32</v>
      </c>
      <c r="P87" s="1644">
        <v>85.06</v>
      </c>
      <c r="Q87" s="1820" t="s">
        <v>556</v>
      </c>
      <c r="R87" s="1644">
        <v>10.09</v>
      </c>
      <c r="S87" s="1644">
        <v>10.09</v>
      </c>
      <c r="T87" s="1644">
        <v>1.17</v>
      </c>
      <c r="U87" s="1644">
        <v>1.1599999999999999</v>
      </c>
      <c r="V87" s="1644">
        <v>0.01</v>
      </c>
      <c r="W87" s="1644">
        <v>0.01</v>
      </c>
      <c r="X87" s="1644">
        <v>0</v>
      </c>
      <c r="Y87" s="1644">
        <v>0</v>
      </c>
      <c r="Z87" s="1644">
        <v>0.66</v>
      </c>
      <c r="AA87" s="1644">
        <v>0.65</v>
      </c>
      <c r="AB87" s="1644">
        <v>258.23</v>
      </c>
      <c r="AC87" s="1644">
        <v>258.39</v>
      </c>
      <c r="AD87" s="1644">
        <v>18.12</v>
      </c>
      <c r="AE87" s="1644">
        <v>18.89</v>
      </c>
      <c r="AF87" s="1820" t="s">
        <v>556</v>
      </c>
      <c r="AG87" s="1644">
        <v>0.06</v>
      </c>
      <c r="AH87" s="1644">
        <v>0.06</v>
      </c>
      <c r="AI87" s="1644">
        <v>0.73</v>
      </c>
      <c r="AJ87" s="1644">
        <v>0.72</v>
      </c>
      <c r="AK87" s="1644">
        <v>51.51</v>
      </c>
      <c r="AL87" s="353">
        <v>50.84</v>
      </c>
      <c r="AM87" s="353">
        <v>8.9</v>
      </c>
      <c r="AN87" s="353">
        <v>9.0399999999999991</v>
      </c>
      <c r="AO87" s="353">
        <v>203.89</v>
      </c>
      <c r="AP87" s="353">
        <v>203.98</v>
      </c>
      <c r="AQ87" s="353">
        <v>0.75</v>
      </c>
      <c r="AR87" s="353">
        <v>0.75</v>
      </c>
      <c r="AS87" s="353">
        <v>1.65</v>
      </c>
      <c r="AT87" s="353">
        <v>1.65</v>
      </c>
      <c r="AU87" s="1815" t="s">
        <v>556</v>
      </c>
      <c r="AV87" s="353">
        <v>21.56</v>
      </c>
      <c r="AW87" s="353">
        <v>21.56</v>
      </c>
      <c r="AX87" s="353">
        <v>1.02</v>
      </c>
      <c r="AY87" s="353">
        <v>1.01</v>
      </c>
      <c r="AZ87" s="353">
        <v>20.92</v>
      </c>
      <c r="BA87" s="353">
        <v>20.93</v>
      </c>
      <c r="BB87" s="353">
        <v>7.0000000000000007E-2</v>
      </c>
      <c r="BC87" s="353">
        <v>0.06</v>
      </c>
      <c r="BD87" s="353">
        <v>54.83</v>
      </c>
      <c r="BE87" s="353">
        <v>55.12</v>
      </c>
      <c r="BF87" s="353">
        <v>9.1999999999999993</v>
      </c>
      <c r="BG87" s="353">
        <v>9.15</v>
      </c>
      <c r="BH87" s="353">
        <v>0.55000000000000004</v>
      </c>
      <c r="BI87" s="353">
        <v>0.54</v>
      </c>
      <c r="BJ87" s="1815" t="s">
        <v>556</v>
      </c>
      <c r="BK87" s="353">
        <v>78.010000000000005</v>
      </c>
      <c r="BL87" s="353">
        <v>76.709999999999994</v>
      </c>
      <c r="BM87" s="353">
        <v>0.36</v>
      </c>
      <c r="BN87" s="353">
        <v>0.36</v>
      </c>
      <c r="BO87" s="353">
        <v>108.54</v>
      </c>
      <c r="BP87" s="353">
        <v>108.37</v>
      </c>
      <c r="BQ87" s="353">
        <v>2.17</v>
      </c>
      <c r="BR87" s="353">
        <v>2.2000000000000002</v>
      </c>
      <c r="BS87" s="353">
        <v>21.37</v>
      </c>
      <c r="BT87" s="353">
        <v>21.37</v>
      </c>
      <c r="BU87" s="353">
        <v>78.5</v>
      </c>
      <c r="BV87" s="353">
        <v>78.5</v>
      </c>
      <c r="BW87" s="353">
        <v>113.23</v>
      </c>
      <c r="BX87" s="353">
        <v>111.83</v>
      </c>
    </row>
    <row r="88" spans="1:76" s="1284" customFormat="1" ht="11.45" customHeight="1" x14ac:dyDescent="0.15">
      <c r="A88" s="1848" t="s">
        <v>1150</v>
      </c>
      <c r="B88" s="1642" t="s">
        <v>557</v>
      </c>
      <c r="C88" s="1644">
        <v>56.04</v>
      </c>
      <c r="D88" s="1644">
        <v>55.94</v>
      </c>
      <c r="E88" s="1644">
        <v>78.55</v>
      </c>
      <c r="F88" s="1644">
        <v>78.45</v>
      </c>
      <c r="G88" s="1644">
        <v>208.35</v>
      </c>
      <c r="H88" s="1644">
        <v>208.12</v>
      </c>
      <c r="I88" s="1644">
        <v>56.92</v>
      </c>
      <c r="J88" s="1644">
        <v>58.03</v>
      </c>
      <c r="K88" s="1644">
        <v>12.03</v>
      </c>
      <c r="L88" s="1644">
        <v>11.98</v>
      </c>
      <c r="M88" s="1644">
        <v>11.69</v>
      </c>
      <c r="N88" s="1644">
        <v>11.5</v>
      </c>
      <c r="O88" s="1644">
        <v>87.24</v>
      </c>
      <c r="P88" s="1644">
        <v>85.82</v>
      </c>
      <c r="Q88" s="1820" t="s">
        <v>557</v>
      </c>
      <c r="R88" s="1644">
        <v>10.09</v>
      </c>
      <c r="S88" s="1644">
        <v>10.09</v>
      </c>
      <c r="T88" s="1644">
        <v>1.1499999999999999</v>
      </c>
      <c r="U88" s="1644">
        <v>1.1399999999999999</v>
      </c>
      <c r="V88" s="1644">
        <v>0.01</v>
      </c>
      <c r="W88" s="1644">
        <v>0.01</v>
      </c>
      <c r="X88" s="1644">
        <v>0</v>
      </c>
      <c r="Y88" s="1644">
        <v>0</v>
      </c>
      <c r="Z88" s="1644">
        <v>0.68</v>
      </c>
      <c r="AA88" s="1644">
        <v>0.68</v>
      </c>
      <c r="AB88" s="1644">
        <v>261.77999999999997</v>
      </c>
      <c r="AC88" s="1644">
        <v>260.93</v>
      </c>
      <c r="AD88" s="1644">
        <v>18.77</v>
      </c>
      <c r="AE88" s="1644">
        <v>18.59</v>
      </c>
      <c r="AF88" s="1820" t="s">
        <v>557</v>
      </c>
      <c r="AG88" s="1644">
        <v>0.06</v>
      </c>
      <c r="AH88" s="1644">
        <v>0.06</v>
      </c>
      <c r="AI88" s="1644">
        <v>0.72</v>
      </c>
      <c r="AJ88" s="1644">
        <v>0.71</v>
      </c>
      <c r="AK88" s="1644">
        <v>52.11</v>
      </c>
      <c r="AL88" s="339">
        <v>52.01</v>
      </c>
      <c r="AM88" s="339">
        <v>9.1300000000000008</v>
      </c>
      <c r="AN88" s="339">
        <v>9.0399999999999991</v>
      </c>
      <c r="AO88" s="339">
        <v>203.99</v>
      </c>
      <c r="AP88" s="339">
        <v>203.76</v>
      </c>
      <c r="AQ88" s="339">
        <v>0.75</v>
      </c>
      <c r="AR88" s="339">
        <v>0.75</v>
      </c>
      <c r="AS88" s="339">
        <v>1.65</v>
      </c>
      <c r="AT88" s="339">
        <v>1.65</v>
      </c>
      <c r="AU88" s="464" t="s">
        <v>557</v>
      </c>
      <c r="AV88" s="339">
        <v>21.57</v>
      </c>
      <c r="AW88" s="339">
        <v>21.54</v>
      </c>
      <c r="AX88" s="339">
        <v>1.02</v>
      </c>
      <c r="AY88" s="339">
        <v>1.03</v>
      </c>
      <c r="AZ88" s="339">
        <v>20.94</v>
      </c>
      <c r="BA88" s="339">
        <v>20.92</v>
      </c>
      <c r="BB88" s="339">
        <v>0.06</v>
      </c>
      <c r="BC88" s="339">
        <v>0.06</v>
      </c>
      <c r="BD88" s="339">
        <v>55.91</v>
      </c>
      <c r="BE88" s="339">
        <v>55.72</v>
      </c>
      <c r="BF88" s="339">
        <v>9.27</v>
      </c>
      <c r="BG88" s="339">
        <v>9.16</v>
      </c>
      <c r="BH88" s="339">
        <v>0.54</v>
      </c>
      <c r="BI88" s="339">
        <v>0.54</v>
      </c>
      <c r="BJ88" s="464" t="s">
        <v>557</v>
      </c>
      <c r="BK88" s="339">
        <v>79.180000000000007</v>
      </c>
      <c r="BL88" s="339">
        <v>78.75</v>
      </c>
      <c r="BM88" s="339">
        <v>0.36</v>
      </c>
      <c r="BN88" s="339">
        <v>0.36</v>
      </c>
      <c r="BO88" s="339">
        <v>109.48</v>
      </c>
      <c r="BP88" s="339">
        <v>108.93</v>
      </c>
      <c r="BQ88" s="339">
        <v>2.21</v>
      </c>
      <c r="BR88" s="339">
        <v>2.19</v>
      </c>
      <c r="BS88" s="339">
        <v>21.39</v>
      </c>
      <c r="BT88" s="339">
        <v>21.36</v>
      </c>
      <c r="BU88" s="339">
        <v>78.55</v>
      </c>
      <c r="BV88" s="339">
        <v>78.45</v>
      </c>
      <c r="BW88" s="339">
        <v>112.52</v>
      </c>
      <c r="BX88" s="339">
        <v>108.83</v>
      </c>
    </row>
    <row r="89" spans="1:76" s="1284" customFormat="1" ht="11.45" customHeight="1" x14ac:dyDescent="0.15">
      <c r="A89" s="1848" t="s">
        <v>1150</v>
      </c>
      <c r="B89" s="1642" t="s">
        <v>549</v>
      </c>
      <c r="C89" s="1644">
        <v>58.74</v>
      </c>
      <c r="D89" s="1644">
        <v>60.14</v>
      </c>
      <c r="E89" s="1644">
        <v>78.41</v>
      </c>
      <c r="F89" s="1644">
        <v>78.400000000000006</v>
      </c>
      <c r="G89" s="1644">
        <v>207.98</v>
      </c>
      <c r="H89" s="1644">
        <v>207.93</v>
      </c>
      <c r="I89" s="1644">
        <v>59.27</v>
      </c>
      <c r="J89" s="1644">
        <v>60.5</v>
      </c>
      <c r="K89" s="1644">
        <v>12.05</v>
      </c>
      <c r="L89" s="1644">
        <v>12.13</v>
      </c>
      <c r="M89" s="1644">
        <v>11.7</v>
      </c>
      <c r="N89" s="1644">
        <v>11.92</v>
      </c>
      <c r="O89" s="1644">
        <v>87.24</v>
      </c>
      <c r="P89" s="1644">
        <v>88.87</v>
      </c>
      <c r="Q89" s="1820" t="s">
        <v>549</v>
      </c>
      <c r="R89" s="1644">
        <v>10.1</v>
      </c>
      <c r="S89" s="1644">
        <v>10.11</v>
      </c>
      <c r="T89" s="1644">
        <v>1.17</v>
      </c>
      <c r="U89" s="1644">
        <v>1.18</v>
      </c>
      <c r="V89" s="1644">
        <v>0.01</v>
      </c>
      <c r="W89" s="1644">
        <v>0.01</v>
      </c>
      <c r="X89" s="1644">
        <v>0</v>
      </c>
      <c r="Y89" s="1644">
        <v>0</v>
      </c>
      <c r="Z89" s="1644">
        <v>0.69</v>
      </c>
      <c r="AA89" s="1644">
        <v>0.7</v>
      </c>
      <c r="AB89" s="1644">
        <v>260.41000000000003</v>
      </c>
      <c r="AC89" s="1644">
        <v>259.60000000000002</v>
      </c>
      <c r="AD89" s="1644">
        <v>19.239999999999998</v>
      </c>
      <c r="AE89" s="1644">
        <v>20.02</v>
      </c>
      <c r="AF89" s="1820" t="s">
        <v>549</v>
      </c>
      <c r="AG89" s="1644">
        <v>0.06</v>
      </c>
      <c r="AH89" s="1644">
        <v>0.06</v>
      </c>
      <c r="AI89" s="1644">
        <v>0.73</v>
      </c>
      <c r="AJ89" s="1644">
        <v>0.74</v>
      </c>
      <c r="AK89" s="1644">
        <v>52.8</v>
      </c>
      <c r="AL89" s="353">
        <v>54.33</v>
      </c>
      <c r="AM89" s="353">
        <v>9.25</v>
      </c>
      <c r="AN89" s="353">
        <v>9.44</v>
      </c>
      <c r="AO89" s="353">
        <v>203.68</v>
      </c>
      <c r="AP89" s="353">
        <v>203.64</v>
      </c>
      <c r="AQ89" s="353">
        <v>0.75</v>
      </c>
      <c r="AR89" s="353">
        <v>0.75</v>
      </c>
      <c r="AS89" s="353">
        <v>1.68</v>
      </c>
      <c r="AT89" s="353">
        <v>1.7</v>
      </c>
      <c r="AU89" s="1815" t="s">
        <v>549</v>
      </c>
      <c r="AV89" s="353">
        <v>21.53</v>
      </c>
      <c r="AW89" s="353">
        <v>21.53</v>
      </c>
      <c r="AX89" s="353">
        <v>1.1100000000000001</v>
      </c>
      <c r="AY89" s="353">
        <v>1.1499999999999999</v>
      </c>
      <c r="AZ89" s="353">
        <v>20.91</v>
      </c>
      <c r="BA89" s="353">
        <v>20.9</v>
      </c>
      <c r="BB89" s="353">
        <v>7.0000000000000007E-2</v>
      </c>
      <c r="BC89" s="353">
        <v>7.0000000000000007E-2</v>
      </c>
      <c r="BD89" s="353">
        <v>57.1</v>
      </c>
      <c r="BE89" s="353">
        <v>58.06</v>
      </c>
      <c r="BF89" s="353">
        <v>9.39</v>
      </c>
      <c r="BG89" s="353">
        <v>9.6199999999999992</v>
      </c>
      <c r="BH89" s="353">
        <v>0.54</v>
      </c>
      <c r="BI89" s="353">
        <v>0.53</v>
      </c>
      <c r="BJ89" s="1815" t="s">
        <v>549</v>
      </c>
      <c r="BK89" s="353">
        <v>79.83</v>
      </c>
      <c r="BL89" s="353">
        <v>81.25</v>
      </c>
      <c r="BM89" s="353">
        <v>0.36</v>
      </c>
      <c r="BN89" s="353">
        <v>0.36</v>
      </c>
      <c r="BO89" s="353">
        <v>109.27</v>
      </c>
      <c r="BP89" s="353">
        <v>110.28</v>
      </c>
      <c r="BQ89" s="353">
        <v>2.2200000000000002</v>
      </c>
      <c r="BR89" s="353">
        <v>2.2200000000000002</v>
      </c>
      <c r="BS89" s="353">
        <v>21.35</v>
      </c>
      <c r="BT89" s="353">
        <v>21.35</v>
      </c>
      <c r="BU89" s="353">
        <v>78.41</v>
      </c>
      <c r="BV89" s="353">
        <v>78.400000000000006</v>
      </c>
      <c r="BW89" s="353">
        <v>111.71</v>
      </c>
      <c r="BX89" s="353">
        <v>112.72</v>
      </c>
    </row>
    <row r="90" spans="1:76" s="1284" customFormat="1" ht="11.45" customHeight="1" x14ac:dyDescent="0.15">
      <c r="A90" s="1848" t="s">
        <v>1150</v>
      </c>
      <c r="B90" s="1642" t="s">
        <v>558</v>
      </c>
      <c r="C90" s="1644">
        <v>60.07</v>
      </c>
      <c r="D90" s="1644">
        <v>59.63</v>
      </c>
      <c r="E90" s="1644">
        <v>78.400000000000006</v>
      </c>
      <c r="F90" s="1644">
        <v>78.400000000000006</v>
      </c>
      <c r="G90" s="1644">
        <v>207.95</v>
      </c>
      <c r="H90" s="1644">
        <v>207.96</v>
      </c>
      <c r="I90" s="1644">
        <v>61.12</v>
      </c>
      <c r="J90" s="1644">
        <v>62.51</v>
      </c>
      <c r="K90" s="1644">
        <v>12.11</v>
      </c>
      <c r="L90" s="1644">
        <v>12.14</v>
      </c>
      <c r="M90" s="1644">
        <v>11.94</v>
      </c>
      <c r="N90" s="1644">
        <v>12.06</v>
      </c>
      <c r="O90" s="1644">
        <v>88.89</v>
      </c>
      <c r="P90" s="1644">
        <v>89.78</v>
      </c>
      <c r="Q90" s="1820" t="s">
        <v>558</v>
      </c>
      <c r="R90" s="1644">
        <v>10.11</v>
      </c>
      <c r="S90" s="1644">
        <v>10.11</v>
      </c>
      <c r="T90" s="1644">
        <v>1.18</v>
      </c>
      <c r="U90" s="1644">
        <v>1.18</v>
      </c>
      <c r="V90" s="1644">
        <v>0.01</v>
      </c>
      <c r="W90" s="1644">
        <v>0.01</v>
      </c>
      <c r="X90" s="1644">
        <v>0</v>
      </c>
      <c r="Y90" s="1644">
        <v>0</v>
      </c>
      <c r="Z90" s="1644">
        <v>0.71</v>
      </c>
      <c r="AA90" s="1644">
        <v>0.74</v>
      </c>
      <c r="AB90" s="1644">
        <v>259.92</v>
      </c>
      <c r="AC90" s="1644">
        <v>260.51</v>
      </c>
      <c r="AD90" s="1644">
        <v>20.09</v>
      </c>
      <c r="AE90" s="1644">
        <v>20.07</v>
      </c>
      <c r="AF90" s="1820" t="s">
        <v>558</v>
      </c>
      <c r="AG90" s="1644">
        <v>7.0000000000000007E-2</v>
      </c>
      <c r="AH90" s="1644">
        <v>7.0000000000000007E-2</v>
      </c>
      <c r="AI90" s="1644">
        <v>0.74</v>
      </c>
      <c r="AJ90" s="1644">
        <v>0.73</v>
      </c>
      <c r="AK90" s="1644">
        <v>53.99</v>
      </c>
      <c r="AL90" s="339">
        <v>54.74</v>
      </c>
      <c r="AM90" s="339">
        <v>9.5299999999999994</v>
      </c>
      <c r="AN90" s="339">
        <v>9.74</v>
      </c>
      <c r="AO90" s="339">
        <v>203.62</v>
      </c>
      <c r="AP90" s="339">
        <v>203.61</v>
      </c>
      <c r="AQ90" s="339">
        <v>0.75</v>
      </c>
      <c r="AR90" s="339">
        <v>0.75</v>
      </c>
      <c r="AS90" s="339">
        <v>1.69</v>
      </c>
      <c r="AT90" s="339">
        <v>1.67</v>
      </c>
      <c r="AU90" s="464" t="s">
        <v>558</v>
      </c>
      <c r="AV90" s="339">
        <v>21.53</v>
      </c>
      <c r="AW90" s="339">
        <v>21.54</v>
      </c>
      <c r="AX90" s="339">
        <v>1.18</v>
      </c>
      <c r="AY90" s="339">
        <v>1.2</v>
      </c>
      <c r="AZ90" s="339">
        <v>20.91</v>
      </c>
      <c r="BA90" s="339">
        <v>20.91</v>
      </c>
      <c r="BB90" s="339">
        <v>7.0000000000000007E-2</v>
      </c>
      <c r="BC90" s="339">
        <v>7.0000000000000007E-2</v>
      </c>
      <c r="BD90" s="339">
        <v>58.06</v>
      </c>
      <c r="BE90" s="339">
        <v>58.31</v>
      </c>
      <c r="BF90" s="339">
        <v>9.65</v>
      </c>
      <c r="BG90" s="339">
        <v>9.76</v>
      </c>
      <c r="BH90" s="339">
        <v>0.54</v>
      </c>
      <c r="BI90" s="339">
        <v>0.54</v>
      </c>
      <c r="BJ90" s="464" t="s">
        <v>558</v>
      </c>
      <c r="BK90" s="339">
        <v>81.31</v>
      </c>
      <c r="BL90" s="339">
        <v>81.7</v>
      </c>
      <c r="BM90" s="339">
        <v>0.36</v>
      </c>
      <c r="BN90" s="339">
        <v>0.36</v>
      </c>
      <c r="BO90" s="339">
        <v>110.43</v>
      </c>
      <c r="BP90" s="339">
        <v>111.11</v>
      </c>
      <c r="BQ90" s="339">
        <v>2.23</v>
      </c>
      <c r="BR90" s="339">
        <v>2.25</v>
      </c>
      <c r="BS90" s="339">
        <v>21.34</v>
      </c>
      <c r="BT90" s="339">
        <v>21.34</v>
      </c>
      <c r="BU90" s="339">
        <v>78.400000000000006</v>
      </c>
      <c r="BV90" s="339">
        <v>78.400000000000006</v>
      </c>
      <c r="BW90" s="339">
        <v>112.14</v>
      </c>
      <c r="BX90" s="339">
        <v>114.5</v>
      </c>
    </row>
    <row r="91" spans="1:76" s="1284" customFormat="1" ht="11.45" customHeight="1" x14ac:dyDescent="0.15">
      <c r="A91" s="1848" t="s">
        <v>1150</v>
      </c>
      <c r="B91" s="1642" t="s">
        <v>559</v>
      </c>
      <c r="C91" s="1644">
        <v>57.37</v>
      </c>
      <c r="D91" s="1644">
        <v>56.31</v>
      </c>
      <c r="E91" s="1644">
        <v>78.400000000000006</v>
      </c>
      <c r="F91" s="1644">
        <v>78.400000000000006</v>
      </c>
      <c r="G91" s="1644">
        <v>207.96</v>
      </c>
      <c r="H91" s="1644">
        <v>207.93</v>
      </c>
      <c r="I91" s="1644">
        <v>60.64</v>
      </c>
      <c r="J91" s="1644">
        <v>60.09</v>
      </c>
      <c r="K91" s="1644">
        <v>12.01</v>
      </c>
      <c r="L91" s="1644">
        <v>11.92</v>
      </c>
      <c r="M91" s="1644">
        <v>11.92</v>
      </c>
      <c r="N91" s="1644">
        <v>11.74</v>
      </c>
      <c r="O91" s="1644">
        <v>88.66</v>
      </c>
      <c r="P91" s="1644">
        <v>87.39</v>
      </c>
      <c r="Q91" s="1820" t="s">
        <v>559</v>
      </c>
      <c r="R91" s="1644">
        <v>10.09</v>
      </c>
      <c r="S91" s="1644">
        <v>10.09</v>
      </c>
      <c r="T91" s="1644">
        <v>1.17</v>
      </c>
      <c r="U91" s="1644">
        <v>1.17</v>
      </c>
      <c r="V91" s="1644">
        <v>0.01</v>
      </c>
      <c r="W91" s="1644">
        <v>0.01</v>
      </c>
      <c r="X91" s="1644">
        <v>0</v>
      </c>
      <c r="Y91" s="1644">
        <v>0</v>
      </c>
      <c r="Z91" s="1644">
        <v>0.72</v>
      </c>
      <c r="AA91" s="1644">
        <v>0.71</v>
      </c>
      <c r="AB91" s="1644">
        <v>260.05</v>
      </c>
      <c r="AC91" s="1644">
        <v>259.60000000000002</v>
      </c>
      <c r="AD91" s="1644">
        <v>19.399999999999999</v>
      </c>
      <c r="AE91" s="1644">
        <v>19.07</v>
      </c>
      <c r="AF91" s="1820" t="s">
        <v>559</v>
      </c>
      <c r="AG91" s="1644">
        <v>7.0000000000000007E-2</v>
      </c>
      <c r="AH91" s="1644">
        <v>7.0000000000000007E-2</v>
      </c>
      <c r="AI91" s="1644">
        <v>0.73</v>
      </c>
      <c r="AJ91" s="1644">
        <v>0.73</v>
      </c>
      <c r="AK91" s="1644">
        <v>53.32</v>
      </c>
      <c r="AL91" s="353">
        <v>52.48</v>
      </c>
      <c r="AM91" s="353">
        <v>9.5299999999999994</v>
      </c>
      <c r="AN91" s="353">
        <v>9.39</v>
      </c>
      <c r="AO91" s="353">
        <v>203.63</v>
      </c>
      <c r="AP91" s="353">
        <v>203.61</v>
      </c>
      <c r="AQ91" s="353">
        <v>0.75</v>
      </c>
      <c r="AR91" s="353">
        <v>0.75</v>
      </c>
      <c r="AS91" s="353">
        <v>1.67</v>
      </c>
      <c r="AT91" s="353">
        <v>1.68</v>
      </c>
      <c r="AU91" s="1815" t="s">
        <v>559</v>
      </c>
      <c r="AV91" s="353">
        <v>21.53</v>
      </c>
      <c r="AW91" s="353">
        <v>21.53</v>
      </c>
      <c r="AX91" s="353">
        <v>1.19</v>
      </c>
      <c r="AY91" s="353">
        <v>1.19</v>
      </c>
      <c r="AZ91" s="353">
        <v>20.9</v>
      </c>
      <c r="BA91" s="353">
        <v>20.9</v>
      </c>
      <c r="BB91" s="353">
        <v>7.0000000000000007E-2</v>
      </c>
      <c r="BC91" s="353">
        <v>7.0000000000000007E-2</v>
      </c>
      <c r="BD91" s="353">
        <v>57.23</v>
      </c>
      <c r="BE91" s="353">
        <v>56.74</v>
      </c>
      <c r="BF91" s="353">
        <v>9.5399999999999991</v>
      </c>
      <c r="BG91" s="353">
        <v>9.43</v>
      </c>
      <c r="BH91" s="353">
        <v>0.53</v>
      </c>
      <c r="BI91" s="353">
        <v>0.53</v>
      </c>
      <c r="BJ91" s="1815" t="s">
        <v>559</v>
      </c>
      <c r="BK91" s="353">
        <v>80.14</v>
      </c>
      <c r="BL91" s="353">
        <v>79.02</v>
      </c>
      <c r="BM91" s="353">
        <v>0.36</v>
      </c>
      <c r="BN91" s="353">
        <v>0.36</v>
      </c>
      <c r="BO91" s="353">
        <v>110.66</v>
      </c>
      <c r="BP91" s="353">
        <v>110.22</v>
      </c>
      <c r="BQ91" s="353">
        <v>2.21</v>
      </c>
      <c r="BR91" s="353">
        <v>2.19</v>
      </c>
      <c r="BS91" s="353">
        <v>21.34</v>
      </c>
      <c r="BT91" s="353">
        <v>21.34</v>
      </c>
      <c r="BU91" s="353">
        <v>78.400000000000006</v>
      </c>
      <c r="BV91" s="353">
        <v>78.400000000000006</v>
      </c>
      <c r="BW91" s="353">
        <v>113.87</v>
      </c>
      <c r="BX91" s="353">
        <v>114.77</v>
      </c>
    </row>
    <row r="92" spans="1:76" s="1284" customFormat="1" ht="11.45" customHeight="1" x14ac:dyDescent="0.15">
      <c r="A92" s="1848" t="s">
        <v>1150</v>
      </c>
      <c r="B92" s="1642" t="s">
        <v>550</v>
      </c>
      <c r="C92" s="1644">
        <v>57.97</v>
      </c>
      <c r="D92" s="1644">
        <v>58.42</v>
      </c>
      <c r="E92" s="1644">
        <v>78.400000000000006</v>
      </c>
      <c r="F92" s="1644">
        <v>78.400000000000006</v>
      </c>
      <c r="G92" s="1644">
        <v>207.91</v>
      </c>
      <c r="H92" s="1644">
        <v>207.76</v>
      </c>
      <c r="I92" s="1644">
        <v>60.78</v>
      </c>
      <c r="J92" s="1644">
        <v>60.63</v>
      </c>
      <c r="K92" s="1644">
        <v>11.91</v>
      </c>
      <c r="L92" s="1644">
        <v>11.82</v>
      </c>
      <c r="M92" s="1644">
        <v>11.85</v>
      </c>
      <c r="N92" s="1644">
        <v>11.73</v>
      </c>
      <c r="O92" s="1644">
        <v>88.13</v>
      </c>
      <c r="P92" s="1644">
        <v>87.21</v>
      </c>
      <c r="Q92" s="1820" t="s">
        <v>550</v>
      </c>
      <c r="R92" s="1644">
        <v>10.09</v>
      </c>
      <c r="S92" s="1644">
        <v>10.1</v>
      </c>
      <c r="T92" s="1644">
        <v>1.1599999999999999</v>
      </c>
      <c r="U92" s="1644">
        <v>1.1599999999999999</v>
      </c>
      <c r="V92" s="1644">
        <v>0.01</v>
      </c>
      <c r="W92" s="1644">
        <v>0.01</v>
      </c>
      <c r="X92" s="1644">
        <v>0</v>
      </c>
      <c r="Y92" s="1644">
        <v>0</v>
      </c>
      <c r="Z92" s="1644">
        <v>0.74</v>
      </c>
      <c r="AA92" s="1644">
        <v>0.76</v>
      </c>
      <c r="AB92" s="1644">
        <v>260</v>
      </c>
      <c r="AC92" s="1644">
        <v>259.52</v>
      </c>
      <c r="AD92" s="1644">
        <v>19.18</v>
      </c>
      <c r="AE92" s="1644">
        <v>19.5</v>
      </c>
      <c r="AF92" s="1820" t="s">
        <v>550</v>
      </c>
      <c r="AG92" s="1644">
        <v>7.0000000000000007E-2</v>
      </c>
      <c r="AH92" s="1644">
        <v>7.0000000000000007E-2</v>
      </c>
      <c r="AI92" s="1644">
        <v>0.73</v>
      </c>
      <c r="AJ92" s="1644">
        <v>0.72</v>
      </c>
      <c r="AK92" s="1644">
        <v>55.08</v>
      </c>
      <c r="AL92" s="339">
        <v>55.76</v>
      </c>
      <c r="AM92" s="339">
        <v>9.44</v>
      </c>
      <c r="AN92" s="339">
        <v>9.34</v>
      </c>
      <c r="AO92" s="339">
        <v>203.63</v>
      </c>
      <c r="AP92" s="339">
        <v>203.63</v>
      </c>
      <c r="AQ92" s="339">
        <v>0.75</v>
      </c>
      <c r="AR92" s="339">
        <v>0.75</v>
      </c>
      <c r="AS92" s="339">
        <v>1.67</v>
      </c>
      <c r="AT92" s="339">
        <v>1.67</v>
      </c>
      <c r="AU92" s="464" t="s">
        <v>550</v>
      </c>
      <c r="AV92" s="339">
        <v>21.54</v>
      </c>
      <c r="AW92" s="339">
        <v>21.53</v>
      </c>
      <c r="AX92" s="339">
        <v>1.2</v>
      </c>
      <c r="AY92" s="339">
        <v>1.22</v>
      </c>
      <c r="AZ92" s="339">
        <v>20.9</v>
      </c>
      <c r="BA92" s="339">
        <v>20.9</v>
      </c>
      <c r="BB92" s="339">
        <v>7.0000000000000007E-2</v>
      </c>
      <c r="BC92" s="339">
        <v>7.0000000000000007E-2</v>
      </c>
      <c r="BD92" s="339">
        <v>57.89</v>
      </c>
      <c r="BE92" s="339">
        <v>58.16</v>
      </c>
      <c r="BF92" s="339">
        <v>9.44</v>
      </c>
      <c r="BG92" s="339">
        <v>9.25</v>
      </c>
      <c r="BH92" s="339">
        <v>0.54</v>
      </c>
      <c r="BI92" s="339">
        <v>0.54</v>
      </c>
      <c r="BJ92" s="464" t="s">
        <v>550</v>
      </c>
      <c r="BK92" s="339">
        <v>80.849999999999994</v>
      </c>
      <c r="BL92" s="339">
        <v>80.02</v>
      </c>
      <c r="BM92" s="339">
        <v>0.36</v>
      </c>
      <c r="BN92" s="339">
        <v>0.36</v>
      </c>
      <c r="BO92" s="339">
        <v>110.35</v>
      </c>
      <c r="BP92" s="339">
        <v>109.44</v>
      </c>
      <c r="BQ92" s="339">
        <v>2.2200000000000002</v>
      </c>
      <c r="BR92" s="339">
        <v>2.2200000000000002</v>
      </c>
      <c r="BS92" s="339">
        <v>21.34</v>
      </c>
      <c r="BT92" s="339">
        <v>21.35</v>
      </c>
      <c r="BU92" s="339">
        <v>78.400000000000006</v>
      </c>
      <c r="BV92" s="339">
        <v>78.400000000000006</v>
      </c>
      <c r="BW92" s="339">
        <v>111.7</v>
      </c>
      <c r="BX92" s="339">
        <v>105.25</v>
      </c>
    </row>
    <row r="93" spans="1:76" s="1284" customFormat="1" ht="11.45" customHeight="1" x14ac:dyDescent="0.15">
      <c r="A93" s="1848" t="s">
        <v>1174</v>
      </c>
      <c r="B93" s="1820" t="s">
        <v>552</v>
      </c>
      <c r="C93" s="1644">
        <v>59.02</v>
      </c>
      <c r="D93" s="1644">
        <v>59.56</v>
      </c>
      <c r="E93" s="1644">
        <v>78.400000000000006</v>
      </c>
      <c r="F93" s="1644">
        <v>78.400000000000006</v>
      </c>
      <c r="G93" s="1644">
        <v>207.79</v>
      </c>
      <c r="H93" s="1644">
        <v>207.85</v>
      </c>
      <c r="I93" s="1644">
        <v>60.19</v>
      </c>
      <c r="J93" s="1644">
        <v>60.17</v>
      </c>
      <c r="K93" s="1644">
        <v>11.75</v>
      </c>
      <c r="L93" s="1644">
        <v>11.79</v>
      </c>
      <c r="M93" s="1644">
        <v>11.66</v>
      </c>
      <c r="N93" s="1644">
        <v>11.78</v>
      </c>
      <c r="O93" s="1644">
        <v>86.75</v>
      </c>
      <c r="P93" s="1644">
        <v>87.6</v>
      </c>
      <c r="Q93" s="1820" t="s">
        <v>552</v>
      </c>
      <c r="R93" s="1644">
        <v>10.11</v>
      </c>
      <c r="S93" s="1644">
        <v>10.11</v>
      </c>
      <c r="T93" s="1644">
        <v>1.17</v>
      </c>
      <c r="U93" s="1644">
        <v>1.18</v>
      </c>
      <c r="V93" s="1644">
        <v>0.01</v>
      </c>
      <c r="W93" s="1644">
        <v>0.01</v>
      </c>
      <c r="X93" s="1644">
        <v>0</v>
      </c>
      <c r="Y93" s="1644">
        <v>0</v>
      </c>
      <c r="Z93" s="1644">
        <v>0.75</v>
      </c>
      <c r="AA93" s="1644">
        <v>0.77</v>
      </c>
      <c r="AB93" s="1644">
        <v>259.44</v>
      </c>
      <c r="AC93" s="1644">
        <v>259.26</v>
      </c>
      <c r="AD93" s="1644">
        <v>19.510000000000002</v>
      </c>
      <c r="AE93" s="1644">
        <v>19.260000000000002</v>
      </c>
      <c r="AF93" s="1820" t="s">
        <v>552</v>
      </c>
      <c r="AG93" s="1644">
        <v>7.0000000000000007E-2</v>
      </c>
      <c r="AH93" s="1644">
        <v>7.0000000000000007E-2</v>
      </c>
      <c r="AI93" s="1644">
        <v>0.73</v>
      </c>
      <c r="AJ93" s="1644">
        <v>0.73</v>
      </c>
      <c r="AK93" s="1644">
        <v>56.04</v>
      </c>
      <c r="AL93" s="339">
        <v>56.51</v>
      </c>
      <c r="AM93" s="339">
        <v>9.26</v>
      </c>
      <c r="AN93" s="339">
        <v>9.2799999999999994</v>
      </c>
      <c r="AO93" s="339">
        <v>203.63</v>
      </c>
      <c r="AP93" s="339">
        <v>203.56</v>
      </c>
      <c r="AQ93" s="339">
        <v>0.75</v>
      </c>
      <c r="AR93" s="339">
        <v>0.75</v>
      </c>
      <c r="AS93" s="339">
        <v>1.67</v>
      </c>
      <c r="AT93" s="339">
        <v>1.67</v>
      </c>
      <c r="AU93" s="464" t="s">
        <v>552</v>
      </c>
      <c r="AV93" s="1817">
        <v>21.53</v>
      </c>
      <c r="AW93" s="339">
        <v>21.53</v>
      </c>
      <c r="AX93" s="339">
        <v>1.22</v>
      </c>
      <c r="AY93" s="339">
        <v>1.19</v>
      </c>
      <c r="AZ93" s="339">
        <v>20.9</v>
      </c>
      <c r="BA93" s="339">
        <v>20.9</v>
      </c>
      <c r="BB93" s="339">
        <v>7.0000000000000007E-2</v>
      </c>
      <c r="BC93" s="339">
        <v>7.0000000000000007E-2</v>
      </c>
      <c r="BD93" s="339">
        <v>58.07</v>
      </c>
      <c r="BE93" s="339">
        <v>58.052</v>
      </c>
      <c r="BF93" s="339">
        <v>9.16</v>
      </c>
      <c r="BG93" s="339">
        <v>9.16</v>
      </c>
      <c r="BH93" s="339">
        <v>0.54</v>
      </c>
      <c r="BI93" s="339">
        <v>0.54</v>
      </c>
      <c r="BJ93" s="464" t="s">
        <v>552</v>
      </c>
      <c r="BK93" s="339">
        <v>79.87</v>
      </c>
      <c r="BL93" s="339">
        <v>80.88</v>
      </c>
      <c r="BM93" s="339">
        <v>0.36</v>
      </c>
      <c r="BN93" s="339">
        <v>0.36</v>
      </c>
      <c r="BO93" s="339">
        <v>109.06</v>
      </c>
      <c r="BP93" s="339">
        <v>109.24</v>
      </c>
      <c r="BQ93" s="339">
        <v>2.2400000000000002</v>
      </c>
      <c r="BR93" s="339">
        <v>2.25</v>
      </c>
      <c r="BS93" s="339">
        <v>21.35</v>
      </c>
      <c r="BT93" s="339">
        <v>21.35</v>
      </c>
      <c r="BU93" s="339">
        <v>78.400000000000006</v>
      </c>
      <c r="BV93" s="339">
        <v>78.400000000000006</v>
      </c>
      <c r="BW93" s="339">
        <v>103.18</v>
      </c>
      <c r="BX93" s="339">
        <v>103.73</v>
      </c>
    </row>
    <row r="94" spans="1:76" s="1284" customFormat="1" ht="11.45" customHeight="1" x14ac:dyDescent="0.15">
      <c r="A94" s="1848" t="s">
        <v>1174</v>
      </c>
      <c r="B94" s="1820" t="s">
        <v>553</v>
      </c>
      <c r="C94" s="1644">
        <v>59.77</v>
      </c>
      <c r="D94" s="1644">
        <v>58.87</v>
      </c>
      <c r="E94" s="1644">
        <v>78.400000000000006</v>
      </c>
      <c r="F94" s="1644">
        <v>78.400000000000006</v>
      </c>
      <c r="G94" s="1644">
        <v>207.91</v>
      </c>
      <c r="H94" s="1644">
        <v>207.93</v>
      </c>
      <c r="I94" s="1644">
        <v>60.33</v>
      </c>
      <c r="J94" s="1644">
        <v>59.85</v>
      </c>
      <c r="K94" s="1644">
        <v>11.79</v>
      </c>
      <c r="L94" s="1644">
        <v>11.72</v>
      </c>
      <c r="M94" s="1644">
        <v>11.8</v>
      </c>
      <c r="N94" s="1644">
        <v>11.73</v>
      </c>
      <c r="O94" s="1644">
        <v>87.84</v>
      </c>
      <c r="P94" s="1644">
        <v>87.36</v>
      </c>
      <c r="Q94" s="1820" t="s">
        <v>553</v>
      </c>
      <c r="R94" s="1644">
        <v>10.11</v>
      </c>
      <c r="S94" s="1644">
        <v>10.11</v>
      </c>
      <c r="T94" s="1644">
        <v>1.17</v>
      </c>
      <c r="U94" s="1644">
        <v>1.17</v>
      </c>
      <c r="V94" s="1644">
        <v>0.01</v>
      </c>
      <c r="W94" s="1644">
        <v>0.01</v>
      </c>
      <c r="X94" s="1644">
        <v>0</v>
      </c>
      <c r="Y94" s="1644">
        <v>0</v>
      </c>
      <c r="Z94" s="1644">
        <v>0.77</v>
      </c>
      <c r="AA94" s="1644">
        <v>0.76</v>
      </c>
      <c r="AB94" s="1644">
        <v>259.99</v>
      </c>
      <c r="AC94" s="1644">
        <v>259.69</v>
      </c>
      <c r="AD94" s="1644">
        <v>19.47</v>
      </c>
      <c r="AE94" s="1644">
        <v>19.36</v>
      </c>
      <c r="AF94" s="1820" t="s">
        <v>553</v>
      </c>
      <c r="AG94" s="1644">
        <v>7.0000000000000007E-2</v>
      </c>
      <c r="AH94" s="1644">
        <v>0.06</v>
      </c>
      <c r="AI94" s="1644">
        <v>0.73</v>
      </c>
      <c r="AJ94" s="1644">
        <v>0.73</v>
      </c>
      <c r="AK94" s="1644">
        <v>56.65</v>
      </c>
      <c r="AL94" s="353">
        <v>56.6</v>
      </c>
      <c r="AM94" s="353">
        <v>9.44</v>
      </c>
      <c r="AN94" s="353">
        <v>9.4</v>
      </c>
      <c r="AO94" s="353">
        <v>203.64</v>
      </c>
      <c r="AP94" s="353">
        <v>203.64</v>
      </c>
      <c r="AQ94" s="353">
        <v>0.75</v>
      </c>
      <c r="AR94" s="353">
        <v>0.75</v>
      </c>
      <c r="AS94" s="353">
        <v>1.68</v>
      </c>
      <c r="AT94" s="353">
        <v>1.68</v>
      </c>
      <c r="AU94" s="1815" t="s">
        <v>553</v>
      </c>
      <c r="AV94" s="1818">
        <v>21.53</v>
      </c>
      <c r="AW94" s="353">
        <v>21.53</v>
      </c>
      <c r="AX94" s="353">
        <v>1.21</v>
      </c>
      <c r="AY94" s="353">
        <v>1.2</v>
      </c>
      <c r="AZ94" s="353">
        <v>20.91</v>
      </c>
      <c r="BA94" s="353">
        <v>20.9</v>
      </c>
      <c r="BB94" s="353">
        <v>7.0000000000000007E-2</v>
      </c>
      <c r="BC94" s="353">
        <v>7.0000000000000007E-2</v>
      </c>
      <c r="BD94" s="353">
        <v>58.19</v>
      </c>
      <c r="BE94" s="353">
        <v>57.44</v>
      </c>
      <c r="BF94" s="353">
        <v>9.25</v>
      </c>
      <c r="BG94" s="353">
        <v>9.19</v>
      </c>
      <c r="BH94" s="353">
        <v>0.54</v>
      </c>
      <c r="BI94" s="353">
        <v>0.54</v>
      </c>
      <c r="BJ94" s="1815" t="s">
        <v>553</v>
      </c>
      <c r="BK94" s="353">
        <v>80.709999999999994</v>
      </c>
      <c r="BL94" s="353">
        <v>79.680000000000007</v>
      </c>
      <c r="BM94" s="353">
        <v>0.36</v>
      </c>
      <c r="BN94" s="353">
        <v>0.37</v>
      </c>
      <c r="BO94" s="353">
        <v>109.71</v>
      </c>
      <c r="BP94" s="353">
        <v>109.44</v>
      </c>
      <c r="BQ94" s="353">
        <v>2.2599999999999998</v>
      </c>
      <c r="BR94" s="353">
        <v>2.2599999999999998</v>
      </c>
      <c r="BS94" s="353">
        <v>21.34</v>
      </c>
      <c r="BT94" s="353">
        <v>21.34</v>
      </c>
      <c r="BU94" s="353">
        <v>78.400000000000006</v>
      </c>
      <c r="BV94" s="353">
        <v>78.400000000000006</v>
      </c>
      <c r="BW94" s="353">
        <v>102.71</v>
      </c>
      <c r="BX94" s="353">
        <v>102.57</v>
      </c>
    </row>
    <row r="95" spans="1:76" s="1284" customFormat="1" ht="11.45" customHeight="1" x14ac:dyDescent="0.15">
      <c r="A95" s="1848" t="s">
        <v>1174</v>
      </c>
      <c r="B95" s="1820" t="s">
        <v>547</v>
      </c>
      <c r="C95" s="1644">
        <v>59.46</v>
      </c>
      <c r="D95" s="1644">
        <v>59.86</v>
      </c>
      <c r="E95" s="1644">
        <v>78.400000000000006</v>
      </c>
      <c r="F95" s="1644">
        <v>78.400000000000006</v>
      </c>
      <c r="G95" s="1644">
        <v>207.96</v>
      </c>
      <c r="H95" s="1644">
        <v>207.96</v>
      </c>
      <c r="I95" s="1644">
        <v>59.91</v>
      </c>
      <c r="J95" s="1644">
        <v>59.65</v>
      </c>
      <c r="K95" s="1644">
        <v>11.75</v>
      </c>
      <c r="L95" s="1644">
        <v>11.74</v>
      </c>
      <c r="M95" s="1644">
        <v>11.79</v>
      </c>
      <c r="N95" s="1644">
        <v>11.81</v>
      </c>
      <c r="O95" s="1644">
        <v>87.87</v>
      </c>
      <c r="P95" s="1644">
        <v>87.98</v>
      </c>
      <c r="Q95" s="1820" t="s">
        <v>547</v>
      </c>
      <c r="R95" s="1644">
        <v>10.11</v>
      </c>
      <c r="S95" s="1644">
        <v>10.11</v>
      </c>
      <c r="T95" s="1644">
        <v>1.17</v>
      </c>
      <c r="U95" s="1644">
        <v>1.17</v>
      </c>
      <c r="V95" s="1644">
        <v>0.01</v>
      </c>
      <c r="W95" s="1644">
        <v>0.01</v>
      </c>
      <c r="X95" s="1644">
        <v>0</v>
      </c>
      <c r="Y95" s="1644">
        <v>0</v>
      </c>
      <c r="Z95" s="1644">
        <v>0.77</v>
      </c>
      <c r="AA95" s="1644">
        <v>0.78</v>
      </c>
      <c r="AB95" s="1644">
        <v>260.02999999999997</v>
      </c>
      <c r="AC95" s="1644">
        <v>260.16000000000003</v>
      </c>
      <c r="AD95" s="1644">
        <v>19.09</v>
      </c>
      <c r="AE95" s="1644">
        <v>18.920000000000002</v>
      </c>
      <c r="AF95" s="1820" t="s">
        <v>547</v>
      </c>
      <c r="AG95" s="1644">
        <v>0.06</v>
      </c>
      <c r="AH95" s="1644">
        <v>0.06</v>
      </c>
      <c r="AI95" s="1644">
        <v>0.73</v>
      </c>
      <c r="AJ95" s="1644">
        <v>0.73</v>
      </c>
      <c r="AK95" s="1644">
        <v>57.3</v>
      </c>
      <c r="AL95" s="339">
        <v>56.87</v>
      </c>
      <c r="AM95" s="339">
        <v>9.5399999999999991</v>
      </c>
      <c r="AN95" s="339">
        <v>9.74</v>
      </c>
      <c r="AO95" s="339">
        <v>203.62</v>
      </c>
      <c r="AP95" s="339">
        <v>203.63</v>
      </c>
      <c r="AQ95" s="339">
        <v>0.75</v>
      </c>
      <c r="AR95" s="339">
        <v>0.75</v>
      </c>
      <c r="AS95" s="339">
        <v>1.65</v>
      </c>
      <c r="AT95" s="339">
        <v>1.62</v>
      </c>
      <c r="AU95" s="464" t="s">
        <v>547</v>
      </c>
      <c r="AV95" s="1817">
        <v>21.53</v>
      </c>
      <c r="AW95" s="339">
        <v>21.53</v>
      </c>
      <c r="AX95" s="339">
        <v>1.22</v>
      </c>
      <c r="AY95" s="339">
        <v>1.24</v>
      </c>
      <c r="AZ95" s="339">
        <v>20.9</v>
      </c>
      <c r="BA95" s="339">
        <v>20.88</v>
      </c>
      <c r="BB95" s="339">
        <v>7.0000000000000007E-2</v>
      </c>
      <c r="BC95" s="339">
        <v>7.0000000000000007E-2</v>
      </c>
      <c r="BD95" s="339">
        <v>57.68</v>
      </c>
      <c r="BE95" s="339">
        <v>57.46</v>
      </c>
      <c r="BF95" s="339">
        <v>9.19</v>
      </c>
      <c r="BG95" s="339">
        <v>9.14</v>
      </c>
      <c r="BH95" s="339">
        <v>0.54</v>
      </c>
      <c r="BI95" s="339">
        <v>0.53</v>
      </c>
      <c r="BJ95" s="464" t="s">
        <v>547</v>
      </c>
      <c r="BK95" s="339">
        <v>80.430000000000007</v>
      </c>
      <c r="BL95" s="339">
        <v>81.150000000000006</v>
      </c>
      <c r="BM95" s="339">
        <v>0.36</v>
      </c>
      <c r="BN95" s="339">
        <v>0.37</v>
      </c>
      <c r="BO95" s="339">
        <v>109.69</v>
      </c>
      <c r="BP95" s="339">
        <v>109.62</v>
      </c>
      <c r="BQ95" s="339">
        <v>2.2599999999999998</v>
      </c>
      <c r="BR95" s="339">
        <v>2.2599999999999998</v>
      </c>
      <c r="BS95" s="339">
        <v>21.34</v>
      </c>
      <c r="BT95" s="339">
        <v>21.34</v>
      </c>
      <c r="BU95" s="339">
        <v>78.400000000000006</v>
      </c>
      <c r="BV95" s="339">
        <v>78.400000000000006</v>
      </c>
      <c r="BW95" s="339">
        <v>103.1</v>
      </c>
      <c r="BX95" s="339">
        <v>101.68</v>
      </c>
    </row>
    <row r="96" spans="1:76" s="1284" customFormat="1" ht="11.45" customHeight="1" x14ac:dyDescent="0.15">
      <c r="A96" s="1848" t="s">
        <v>1174</v>
      </c>
      <c r="B96" s="1820" t="s">
        <v>554</v>
      </c>
      <c r="C96" s="1644">
        <v>59.72</v>
      </c>
      <c r="D96" s="1644">
        <v>59.59</v>
      </c>
      <c r="E96" s="1644">
        <v>78.400000000000006</v>
      </c>
      <c r="F96" s="1644">
        <v>78.42</v>
      </c>
      <c r="G96" s="1644">
        <v>207.95</v>
      </c>
      <c r="H96" s="1644">
        <v>207.97</v>
      </c>
      <c r="I96" s="1644">
        <v>59.23</v>
      </c>
      <c r="J96" s="1644">
        <v>58.53</v>
      </c>
      <c r="K96" s="1644">
        <v>11.65</v>
      </c>
      <c r="L96" s="1644">
        <v>11.59</v>
      </c>
      <c r="M96" s="1644">
        <v>11.63</v>
      </c>
      <c r="N96" s="1644">
        <v>11.57</v>
      </c>
      <c r="O96" s="1644">
        <v>86.56</v>
      </c>
      <c r="P96" s="1644">
        <v>86.15</v>
      </c>
      <c r="Q96" s="1820" t="s">
        <v>554</v>
      </c>
      <c r="R96" s="1644">
        <v>10.11</v>
      </c>
      <c r="S96" s="1644">
        <v>10.11</v>
      </c>
      <c r="T96" s="1644">
        <v>1.17</v>
      </c>
      <c r="U96" s="1644">
        <v>1.17</v>
      </c>
      <c r="V96" s="1644">
        <v>0.01</v>
      </c>
      <c r="W96" s="1644">
        <v>0.01</v>
      </c>
      <c r="X96" s="1644">
        <v>0</v>
      </c>
      <c r="Y96" s="1644">
        <v>0</v>
      </c>
      <c r="Z96" s="1644">
        <v>0.76</v>
      </c>
      <c r="AA96" s="1644">
        <v>0.75</v>
      </c>
      <c r="AB96" s="1644">
        <v>259.14</v>
      </c>
      <c r="AC96" s="1644">
        <v>258.58</v>
      </c>
      <c r="AD96" s="1644">
        <v>18.78</v>
      </c>
      <c r="AE96" s="1644">
        <v>18.66</v>
      </c>
      <c r="AF96" s="1820" t="s">
        <v>554</v>
      </c>
      <c r="AG96" s="1644">
        <v>0.06</v>
      </c>
      <c r="AH96" s="1644">
        <v>0.06</v>
      </c>
      <c r="AI96" s="1644">
        <v>0.73</v>
      </c>
      <c r="AJ96" s="1644">
        <v>0.73</v>
      </c>
      <c r="AK96" s="1644">
        <v>56.16</v>
      </c>
      <c r="AL96" s="353">
        <v>56.16</v>
      </c>
      <c r="AM96" s="353">
        <v>9.61</v>
      </c>
      <c r="AN96" s="353">
        <v>9.49</v>
      </c>
      <c r="AO96" s="353">
        <v>203.63</v>
      </c>
      <c r="AP96" s="353">
        <v>203.68</v>
      </c>
      <c r="AQ96" s="353">
        <v>0.75</v>
      </c>
      <c r="AR96" s="353">
        <v>0.75</v>
      </c>
      <c r="AS96" s="353">
        <v>1.62</v>
      </c>
      <c r="AT96" s="353">
        <v>1.62</v>
      </c>
      <c r="AU96" s="1815" t="s">
        <v>554</v>
      </c>
      <c r="AV96" s="1818">
        <v>21.53</v>
      </c>
      <c r="AW96" s="353">
        <v>21.54</v>
      </c>
      <c r="AX96" s="353">
        <v>1.25</v>
      </c>
      <c r="AY96" s="353">
        <v>1.24</v>
      </c>
      <c r="AZ96" s="353">
        <v>20.9</v>
      </c>
      <c r="BA96" s="353">
        <v>20.91</v>
      </c>
      <c r="BB96" s="353">
        <v>7.0000000000000007E-2</v>
      </c>
      <c r="BC96" s="353">
        <v>7.0000000000000007E-2</v>
      </c>
      <c r="BD96" s="353">
        <v>56.71</v>
      </c>
      <c r="BE96" s="353">
        <v>56.33</v>
      </c>
      <c r="BF96" s="353">
        <v>8.92</v>
      </c>
      <c r="BG96" s="353">
        <v>8.69</v>
      </c>
      <c r="BH96" s="353">
        <v>0.53</v>
      </c>
      <c r="BI96" s="353">
        <v>0.53</v>
      </c>
      <c r="BJ96" s="1815" t="s">
        <v>554</v>
      </c>
      <c r="BK96" s="353">
        <v>79.53</v>
      </c>
      <c r="BL96" s="353">
        <v>79.319999999999993</v>
      </c>
      <c r="BM96" s="353">
        <v>0.16</v>
      </c>
      <c r="BN96" s="353">
        <v>0.15</v>
      </c>
      <c r="BO96" s="353">
        <v>108.32</v>
      </c>
      <c r="BP96" s="353">
        <v>107.57</v>
      </c>
      <c r="BQ96" s="353">
        <v>2.2400000000000002</v>
      </c>
      <c r="BR96" s="353">
        <v>2.2400000000000002</v>
      </c>
      <c r="BS96" s="353">
        <v>21.35</v>
      </c>
      <c r="BT96" s="353">
        <v>21.35</v>
      </c>
      <c r="BU96" s="353">
        <v>78.400000000000006</v>
      </c>
      <c r="BV96" s="353">
        <v>78.42</v>
      </c>
      <c r="BW96" s="353">
        <v>97.03</v>
      </c>
      <c r="BX96" s="353">
        <v>95.55</v>
      </c>
    </row>
    <row r="97" spans="1:76" s="1284" customFormat="1" ht="11.45" customHeight="1" x14ac:dyDescent="0.15">
      <c r="A97" s="1848" t="s">
        <v>1174</v>
      </c>
      <c r="B97" s="1820" t="s">
        <v>555</v>
      </c>
      <c r="C97" s="1644">
        <v>59.17</v>
      </c>
      <c r="D97" s="1644">
        <v>58.91</v>
      </c>
      <c r="E97" s="1644">
        <v>78.540000000000006</v>
      </c>
      <c r="F97" s="1644">
        <v>78.72</v>
      </c>
      <c r="G97" s="1644">
        <v>208.32</v>
      </c>
      <c r="H97" s="1644">
        <v>208.82</v>
      </c>
      <c r="I97" s="1644">
        <v>58.37</v>
      </c>
      <c r="J97" s="1644">
        <v>58.6</v>
      </c>
      <c r="K97" s="1644">
        <v>11.49</v>
      </c>
      <c r="L97" s="1644">
        <v>11.43</v>
      </c>
      <c r="M97" s="1644">
        <v>11.4</v>
      </c>
      <c r="N97" s="1644">
        <v>11.27</v>
      </c>
      <c r="O97" s="1644">
        <v>84.84</v>
      </c>
      <c r="P97" s="1644">
        <v>83.83</v>
      </c>
      <c r="Q97" s="1820" t="s">
        <v>555</v>
      </c>
      <c r="R97" s="1644">
        <v>10.130000000000001</v>
      </c>
      <c r="S97" s="1644">
        <v>10.15</v>
      </c>
      <c r="T97" s="1644">
        <v>1.1599999999999999</v>
      </c>
      <c r="U97" s="1644">
        <v>1.1499999999999999</v>
      </c>
      <c r="V97" s="1644">
        <v>0.01</v>
      </c>
      <c r="W97" s="1644">
        <v>0.01</v>
      </c>
      <c r="X97" s="1644">
        <v>0</v>
      </c>
      <c r="Y97" s="1644">
        <v>0</v>
      </c>
      <c r="Z97" s="1644">
        <v>0.73</v>
      </c>
      <c r="AA97" s="1644">
        <v>0.7</v>
      </c>
      <c r="AB97" s="1644">
        <v>258.51</v>
      </c>
      <c r="AC97" s="1644">
        <v>258.04000000000002</v>
      </c>
      <c r="AD97" s="1644">
        <v>18.13</v>
      </c>
      <c r="AE97" s="1644">
        <v>17.63</v>
      </c>
      <c r="AF97" s="1820" t="s">
        <v>555</v>
      </c>
      <c r="AG97" s="1644">
        <v>0.06</v>
      </c>
      <c r="AH97" s="1644">
        <v>0.06</v>
      </c>
      <c r="AI97" s="1644">
        <v>0.73</v>
      </c>
      <c r="AJ97" s="1644">
        <v>0.72</v>
      </c>
      <c r="AK97" s="1644">
        <v>56.14</v>
      </c>
      <c r="AL97" s="339">
        <v>56.09</v>
      </c>
      <c r="AM97" s="339">
        <v>9.34</v>
      </c>
      <c r="AN97" s="339">
        <v>9.23</v>
      </c>
      <c r="AO97" s="339">
        <v>204</v>
      </c>
      <c r="AP97" s="339">
        <v>204.45</v>
      </c>
      <c r="AQ97" s="339">
        <v>0.75</v>
      </c>
      <c r="AR97" s="339">
        <v>0.75</v>
      </c>
      <c r="AS97" s="339">
        <v>1.6</v>
      </c>
      <c r="AT97" s="339">
        <v>1.58</v>
      </c>
      <c r="AU97" s="464" t="s">
        <v>555</v>
      </c>
      <c r="AV97" s="1817">
        <v>21.57</v>
      </c>
      <c r="AW97" s="339">
        <v>21.62</v>
      </c>
      <c r="AX97" s="339">
        <v>1.22</v>
      </c>
      <c r="AY97" s="339">
        <v>1.21</v>
      </c>
      <c r="AZ97" s="339">
        <v>20.95</v>
      </c>
      <c r="BA97" s="339">
        <v>20.99</v>
      </c>
      <c r="BB97" s="339">
        <v>7.0000000000000007E-2</v>
      </c>
      <c r="BC97" s="339">
        <v>7.0000000000000007E-2</v>
      </c>
      <c r="BD97" s="339">
        <v>55.71</v>
      </c>
      <c r="BE97" s="339">
        <v>55.24</v>
      </c>
      <c r="BF97" s="339">
        <v>8.61</v>
      </c>
      <c r="BG97" s="339">
        <v>8.57</v>
      </c>
      <c r="BH97" s="339">
        <v>0.53</v>
      </c>
      <c r="BI97" s="339">
        <v>0.53</v>
      </c>
      <c r="BJ97" s="464" t="s">
        <v>555</v>
      </c>
      <c r="BK97" s="339">
        <v>78.92</v>
      </c>
      <c r="BL97" s="339">
        <v>77.8</v>
      </c>
      <c r="BM97" s="339">
        <v>0.15</v>
      </c>
      <c r="BN97" s="339">
        <v>0.15</v>
      </c>
      <c r="BO97" s="339">
        <v>107.36</v>
      </c>
      <c r="BP97" s="339">
        <v>106.43</v>
      </c>
      <c r="BQ97" s="339">
        <v>2.2200000000000002</v>
      </c>
      <c r="BR97" s="339">
        <v>2.21</v>
      </c>
      <c r="BS97" s="339">
        <v>21.38</v>
      </c>
      <c r="BT97" s="339">
        <v>21.43</v>
      </c>
      <c r="BU97" s="339">
        <v>78.540000000000006</v>
      </c>
      <c r="BV97" s="339">
        <v>78.72</v>
      </c>
      <c r="BW97" s="339">
        <v>97.69</v>
      </c>
      <c r="BX97" s="339">
        <v>98.32</v>
      </c>
    </row>
    <row r="98" spans="1:76" s="1284" customFormat="1" ht="11.45" customHeight="1" x14ac:dyDescent="0.15">
      <c r="A98" s="1848" t="s">
        <v>1174</v>
      </c>
      <c r="B98" s="1820" t="s">
        <v>548</v>
      </c>
      <c r="C98" s="1644">
        <v>57.85</v>
      </c>
      <c r="D98" s="1644">
        <v>56.79</v>
      </c>
      <c r="E98" s="1644">
        <v>78.8</v>
      </c>
      <c r="F98" s="1644">
        <v>78.7</v>
      </c>
      <c r="G98" s="1644">
        <v>209.02</v>
      </c>
      <c r="H98" s="1644">
        <v>208.84</v>
      </c>
      <c r="I98" s="1644">
        <v>59.01</v>
      </c>
      <c r="J98" s="1644">
        <v>58.59</v>
      </c>
      <c r="K98" s="1644">
        <v>11.39</v>
      </c>
      <c r="L98" s="1644">
        <v>11.34</v>
      </c>
      <c r="M98" s="1644">
        <v>11.17</v>
      </c>
      <c r="N98" s="1644">
        <v>11.14</v>
      </c>
      <c r="O98" s="1644">
        <v>83.1</v>
      </c>
      <c r="P98" s="1644">
        <v>82.76</v>
      </c>
      <c r="Q98" s="1820" t="s">
        <v>548</v>
      </c>
      <c r="R98" s="1644">
        <v>10.16</v>
      </c>
      <c r="S98" s="1644">
        <v>10.15</v>
      </c>
      <c r="T98" s="1644">
        <v>1.1599999999999999</v>
      </c>
      <c r="U98" s="1644">
        <v>1.1599999999999999</v>
      </c>
      <c r="V98" s="1644">
        <v>0.01</v>
      </c>
      <c r="W98" s="1644">
        <v>0.01</v>
      </c>
      <c r="X98" s="1644">
        <v>0</v>
      </c>
      <c r="Y98" s="1644">
        <v>0</v>
      </c>
      <c r="Z98" s="1644">
        <v>0.68</v>
      </c>
      <c r="AA98" s="1644">
        <v>0.67</v>
      </c>
      <c r="AB98" s="1644">
        <v>257.88</v>
      </c>
      <c r="AC98" s="1644">
        <v>257.48</v>
      </c>
      <c r="AD98" s="1644">
        <v>17.670000000000002</v>
      </c>
      <c r="AE98" s="1644">
        <v>17.54</v>
      </c>
      <c r="AF98" s="1820" t="s">
        <v>548</v>
      </c>
      <c r="AG98" s="1644">
        <v>0.06</v>
      </c>
      <c r="AH98" s="1644">
        <v>0.06</v>
      </c>
      <c r="AI98" s="1644">
        <v>0.73</v>
      </c>
      <c r="AJ98" s="1644">
        <v>0.72</v>
      </c>
      <c r="AK98" s="1644">
        <v>55.41</v>
      </c>
      <c r="AL98" s="353">
        <v>54.67</v>
      </c>
      <c r="AM98" s="353">
        <v>9.1999999999999993</v>
      </c>
      <c r="AN98" s="353">
        <v>9.11</v>
      </c>
      <c r="AO98" s="353">
        <v>204.68</v>
      </c>
      <c r="AP98" s="353">
        <v>204.36</v>
      </c>
      <c r="AQ98" s="353">
        <v>0.75</v>
      </c>
      <c r="AR98" s="353">
        <v>0.75</v>
      </c>
      <c r="AS98" s="353">
        <v>1.58</v>
      </c>
      <c r="AT98" s="353">
        <v>1.59</v>
      </c>
      <c r="AU98" s="1815" t="s">
        <v>548</v>
      </c>
      <c r="AV98" s="1818">
        <v>21.64</v>
      </c>
      <c r="AW98" s="353">
        <v>21.61</v>
      </c>
      <c r="AX98" s="353">
        <v>1.27</v>
      </c>
      <c r="AY98" s="353">
        <v>1.28</v>
      </c>
      <c r="AZ98" s="353">
        <v>21.01</v>
      </c>
      <c r="BA98" s="353">
        <v>20.98</v>
      </c>
      <c r="BB98" s="353">
        <v>7.0000000000000007E-2</v>
      </c>
      <c r="BC98" s="353">
        <v>7.0000000000000007E-2</v>
      </c>
      <c r="BD98" s="353">
        <v>54.87</v>
      </c>
      <c r="BE98" s="353">
        <v>54.34</v>
      </c>
      <c r="BF98" s="353">
        <v>8.56</v>
      </c>
      <c r="BG98" s="353">
        <v>8.64</v>
      </c>
      <c r="BH98" s="353">
        <v>0.53</v>
      </c>
      <c r="BI98" s="353">
        <v>0.53</v>
      </c>
      <c r="BJ98" s="1815" t="s">
        <v>548</v>
      </c>
      <c r="BK98" s="353">
        <v>77.28</v>
      </c>
      <c r="BL98" s="353">
        <v>77.28</v>
      </c>
      <c r="BM98" s="353">
        <v>0.15</v>
      </c>
      <c r="BN98" s="353">
        <v>0.15</v>
      </c>
      <c r="BO98" s="353">
        <v>106.14</v>
      </c>
      <c r="BP98" s="353">
        <v>105.79</v>
      </c>
      <c r="BQ98" s="353">
        <v>2.2000000000000002</v>
      </c>
      <c r="BR98" s="353">
        <v>2.2000000000000002</v>
      </c>
      <c r="BS98" s="353">
        <v>21.46</v>
      </c>
      <c r="BT98" s="353">
        <v>21.43</v>
      </c>
      <c r="BU98" s="353">
        <v>78.8</v>
      </c>
      <c r="BV98" s="353">
        <v>78.7</v>
      </c>
      <c r="BW98" s="353">
        <v>98.37</v>
      </c>
      <c r="BX98" s="353">
        <v>97.11</v>
      </c>
    </row>
    <row r="99" spans="1:76" s="1284" customFormat="1" ht="11.45" customHeight="1" x14ac:dyDescent="0.15">
      <c r="A99" s="1848" t="s">
        <v>1174</v>
      </c>
      <c r="B99" s="1820" t="s">
        <v>556</v>
      </c>
      <c r="C99" s="1644">
        <v>58.73</v>
      </c>
      <c r="D99" s="1644">
        <v>59.74</v>
      </c>
      <c r="E99" s="1644">
        <v>78.86</v>
      </c>
      <c r="F99" s="1644">
        <v>79.069999999999993</v>
      </c>
      <c r="G99" s="1644">
        <v>209.17</v>
      </c>
      <c r="H99" s="1644">
        <v>209.72</v>
      </c>
      <c r="I99" s="1644">
        <v>59.65</v>
      </c>
      <c r="J99" s="1644">
        <v>60.27</v>
      </c>
      <c r="K99" s="1644">
        <v>11.45</v>
      </c>
      <c r="L99" s="1644">
        <v>11.53</v>
      </c>
      <c r="M99" s="1644">
        <v>11.26</v>
      </c>
      <c r="N99" s="1644">
        <v>11.37</v>
      </c>
      <c r="O99" s="1644">
        <v>83.77</v>
      </c>
      <c r="P99" s="1644">
        <v>84.56</v>
      </c>
      <c r="Q99" s="1820" t="s">
        <v>556</v>
      </c>
      <c r="R99" s="1644">
        <v>10.17</v>
      </c>
      <c r="S99" s="1644">
        <v>10.19</v>
      </c>
      <c r="T99" s="1644">
        <v>1.1599999999999999</v>
      </c>
      <c r="U99" s="1644">
        <v>1.17</v>
      </c>
      <c r="V99" s="1644">
        <v>0.01</v>
      </c>
      <c r="W99" s="1644">
        <v>0.01</v>
      </c>
      <c r="X99" s="1644">
        <v>0</v>
      </c>
      <c r="Y99" s="1644">
        <v>0</v>
      </c>
      <c r="Z99" s="1644">
        <v>0.69</v>
      </c>
      <c r="AA99" s="1644">
        <v>0.69</v>
      </c>
      <c r="AB99" s="1644">
        <v>258.13</v>
      </c>
      <c r="AC99" s="1644">
        <v>259.44</v>
      </c>
      <c r="AD99" s="1644">
        <v>17.690000000000001</v>
      </c>
      <c r="AE99" s="1644">
        <v>17.850000000000001</v>
      </c>
      <c r="AF99" s="1820" t="s">
        <v>556</v>
      </c>
      <c r="AG99" s="1644">
        <v>0.06</v>
      </c>
      <c r="AH99" s="1644">
        <v>0.06</v>
      </c>
      <c r="AI99" s="1644">
        <v>0.72</v>
      </c>
      <c r="AJ99" s="1644">
        <v>0.73</v>
      </c>
      <c r="AK99" s="1644">
        <v>56.09</v>
      </c>
      <c r="AL99" s="339">
        <v>57.6</v>
      </c>
      <c r="AM99" s="339">
        <v>9.3000000000000007</v>
      </c>
      <c r="AN99" s="339">
        <v>9.51</v>
      </c>
      <c r="AO99" s="339">
        <v>204.81</v>
      </c>
      <c r="AP99" s="339">
        <v>205.36</v>
      </c>
      <c r="AQ99" s="339">
        <v>0.75</v>
      </c>
      <c r="AR99" s="339">
        <v>0.75</v>
      </c>
      <c r="AS99" s="339">
        <v>1.59</v>
      </c>
      <c r="AT99" s="339">
        <v>1.59</v>
      </c>
      <c r="AU99" s="464" t="s">
        <v>556</v>
      </c>
      <c r="AV99" s="1817">
        <v>21.66</v>
      </c>
      <c r="AW99" s="339">
        <v>21.71</v>
      </c>
      <c r="AX99" s="339">
        <v>1.32</v>
      </c>
      <c r="AY99" s="339">
        <v>1.32</v>
      </c>
      <c r="AZ99" s="339">
        <v>21.03</v>
      </c>
      <c r="BA99" s="339">
        <v>21.08</v>
      </c>
      <c r="BB99" s="339">
        <v>7.0000000000000007E-2</v>
      </c>
      <c r="BC99" s="339">
        <v>7.0000000000000007E-2</v>
      </c>
      <c r="BD99" s="339">
        <v>55.13</v>
      </c>
      <c r="BE99" s="339">
        <v>55.63</v>
      </c>
      <c r="BF99" s="339">
        <v>8.81</v>
      </c>
      <c r="BG99" s="339">
        <v>8.9600000000000009</v>
      </c>
      <c r="BH99" s="339">
        <v>0.53</v>
      </c>
      <c r="BI99" s="339">
        <v>0.53</v>
      </c>
      <c r="BJ99" s="464" t="s">
        <v>556</v>
      </c>
      <c r="BK99" s="339">
        <v>78.16</v>
      </c>
      <c r="BL99" s="339">
        <v>79.45</v>
      </c>
      <c r="BM99" s="339">
        <v>0.15</v>
      </c>
      <c r="BN99" s="339">
        <v>0.15</v>
      </c>
      <c r="BO99" s="339">
        <v>106.53</v>
      </c>
      <c r="BP99" s="339">
        <v>107.09</v>
      </c>
      <c r="BQ99" s="339">
        <v>2.2200000000000002</v>
      </c>
      <c r="BR99" s="339">
        <v>2.25</v>
      </c>
      <c r="BS99" s="339">
        <v>21.47</v>
      </c>
      <c r="BT99" s="339">
        <v>21.53</v>
      </c>
      <c r="BU99" s="339">
        <v>78.86</v>
      </c>
      <c r="BV99" s="339">
        <v>79.069999999999993</v>
      </c>
      <c r="BW99" s="339">
        <v>97.34</v>
      </c>
      <c r="BX99" s="339">
        <v>98.72</v>
      </c>
    </row>
    <row r="100" spans="1:76" s="1284" customFormat="1" ht="11.45" customHeight="1" x14ac:dyDescent="0.15">
      <c r="A100" s="1848" t="s">
        <v>1174</v>
      </c>
      <c r="B100" s="1820" t="s">
        <v>557</v>
      </c>
      <c r="C100" s="1644">
        <v>60.73</v>
      </c>
      <c r="D100" s="1644">
        <v>60.9</v>
      </c>
      <c r="E100" s="1644">
        <v>79.239999999999995</v>
      </c>
      <c r="F100" s="1644">
        <v>79.37</v>
      </c>
      <c r="G100" s="1644">
        <v>210.17</v>
      </c>
      <c r="H100" s="1644">
        <v>210.49</v>
      </c>
      <c r="I100" s="1644">
        <v>60.52</v>
      </c>
      <c r="J100" s="1644">
        <v>60.21</v>
      </c>
      <c r="K100" s="1644">
        <v>11.54</v>
      </c>
      <c r="L100" s="1644">
        <v>11.54</v>
      </c>
      <c r="M100" s="1644">
        <v>11.35</v>
      </c>
      <c r="N100" s="1644">
        <v>11.3</v>
      </c>
      <c r="O100" s="1644">
        <v>84.4</v>
      </c>
      <c r="P100" s="1644">
        <v>84.03</v>
      </c>
      <c r="Q100" s="1820" t="s">
        <v>557</v>
      </c>
      <c r="R100" s="1644">
        <v>10.210000000000001</v>
      </c>
      <c r="S100" s="1644">
        <v>10.23</v>
      </c>
      <c r="T100" s="1644">
        <v>1.18</v>
      </c>
      <c r="U100" s="1644">
        <v>1.19</v>
      </c>
      <c r="V100" s="1644">
        <v>0.01</v>
      </c>
      <c r="W100" s="1644">
        <v>0.01</v>
      </c>
      <c r="X100" s="1644">
        <v>0</v>
      </c>
      <c r="Y100" s="1644">
        <v>0</v>
      </c>
      <c r="Z100" s="1644">
        <v>0.7</v>
      </c>
      <c r="AA100" s="1644">
        <v>0.7</v>
      </c>
      <c r="AB100" s="1644">
        <v>259.60000000000002</v>
      </c>
      <c r="AC100" s="1644">
        <v>259.87</v>
      </c>
      <c r="AD100" s="1644">
        <v>17.829999999999998</v>
      </c>
      <c r="AE100" s="1644">
        <v>17.850000000000001</v>
      </c>
      <c r="AF100" s="1820" t="s">
        <v>557</v>
      </c>
      <c r="AG100" s="1644">
        <v>0.06</v>
      </c>
      <c r="AH100" s="1644">
        <v>0.06</v>
      </c>
      <c r="AI100" s="1644">
        <v>0.74</v>
      </c>
      <c r="AJ100" s="1644">
        <v>0.74</v>
      </c>
      <c r="AK100" s="1644">
        <v>57.29</v>
      </c>
      <c r="AL100" s="353">
        <v>57.08</v>
      </c>
      <c r="AM100" s="353">
        <v>9.52</v>
      </c>
      <c r="AN100" s="353">
        <v>9.48</v>
      </c>
      <c r="AO100" s="353">
        <v>205.8</v>
      </c>
      <c r="AP100" s="353">
        <v>206.14</v>
      </c>
      <c r="AQ100" s="353">
        <v>0.76</v>
      </c>
      <c r="AR100" s="353">
        <v>0.76</v>
      </c>
      <c r="AS100" s="353">
        <v>1.59</v>
      </c>
      <c r="AT100" s="353">
        <v>1.58</v>
      </c>
      <c r="AU100" s="1815" t="s">
        <v>557</v>
      </c>
      <c r="AV100" s="1818">
        <v>21.76</v>
      </c>
      <c r="AW100" s="353">
        <v>21.8</v>
      </c>
      <c r="AX100" s="353">
        <v>1.35</v>
      </c>
      <c r="AY100" s="353">
        <v>1.37</v>
      </c>
      <c r="AZ100" s="353">
        <v>21.13</v>
      </c>
      <c r="BA100" s="353">
        <v>21.16</v>
      </c>
      <c r="BB100" s="353">
        <v>7.0000000000000007E-2</v>
      </c>
      <c r="BC100" s="353">
        <v>7.0000000000000007E-2</v>
      </c>
      <c r="BD100" s="353">
        <v>56.02</v>
      </c>
      <c r="BE100" s="353">
        <v>56.52</v>
      </c>
      <c r="BF100" s="353">
        <v>8.91</v>
      </c>
      <c r="BG100" s="353">
        <v>8.76</v>
      </c>
      <c r="BH100" s="353">
        <v>0.52</v>
      </c>
      <c r="BI100" s="353">
        <v>0.52</v>
      </c>
      <c r="BJ100" s="1815" t="s">
        <v>557</v>
      </c>
      <c r="BK100" s="353">
        <v>79.16</v>
      </c>
      <c r="BL100" s="353">
        <v>78.66</v>
      </c>
      <c r="BM100" s="353">
        <v>0.15</v>
      </c>
      <c r="BN100" s="353">
        <v>0.15</v>
      </c>
      <c r="BO100" s="353">
        <v>107.41</v>
      </c>
      <c r="BP100" s="353">
        <v>107.37</v>
      </c>
      <c r="BQ100" s="353">
        <v>2.2599999999999998</v>
      </c>
      <c r="BR100" s="353">
        <v>2.27</v>
      </c>
      <c r="BS100" s="353">
        <v>21.57</v>
      </c>
      <c r="BT100" s="353">
        <v>21.61</v>
      </c>
      <c r="BU100" s="353">
        <v>79.239999999999995</v>
      </c>
      <c r="BV100" s="353">
        <v>79.37</v>
      </c>
      <c r="BW100" s="353">
        <v>98.97</v>
      </c>
      <c r="BX100" s="353">
        <v>98.76</v>
      </c>
    </row>
    <row r="101" spans="1:76" s="1284" customFormat="1" ht="11.45" customHeight="1" x14ac:dyDescent="0.15">
      <c r="A101" s="1848" t="s">
        <v>1174</v>
      </c>
      <c r="B101" s="1820" t="s">
        <v>549</v>
      </c>
      <c r="C101" s="1644">
        <v>60.65</v>
      </c>
      <c r="D101" s="1644">
        <v>60.78</v>
      </c>
      <c r="E101" s="1644">
        <v>79.540000000000006</v>
      </c>
      <c r="F101" s="1644">
        <v>79.67</v>
      </c>
      <c r="G101" s="1644">
        <v>210.95</v>
      </c>
      <c r="H101" s="1644">
        <v>211.24</v>
      </c>
      <c r="I101" s="1644">
        <v>59.44</v>
      </c>
      <c r="J101" s="1644">
        <v>59.84</v>
      </c>
      <c r="K101" s="1644">
        <v>11.54</v>
      </c>
      <c r="L101" s="1644">
        <v>11.55</v>
      </c>
      <c r="M101" s="1644">
        <v>11.43</v>
      </c>
      <c r="N101" s="1644">
        <v>11.41</v>
      </c>
      <c r="O101" s="1644">
        <v>85.01</v>
      </c>
      <c r="P101" s="1644">
        <v>84.86</v>
      </c>
      <c r="Q101" s="1820" t="s">
        <v>549</v>
      </c>
      <c r="R101" s="1644">
        <v>10.24</v>
      </c>
      <c r="S101" s="1644">
        <v>10.25</v>
      </c>
      <c r="T101" s="1644">
        <v>1.21</v>
      </c>
      <c r="U101" s="1644">
        <v>1.23</v>
      </c>
      <c r="V101" s="1644">
        <v>0.01</v>
      </c>
      <c r="W101" s="1644">
        <v>0.01</v>
      </c>
      <c r="X101" s="1644">
        <v>0</v>
      </c>
      <c r="Y101" s="1644">
        <v>0</v>
      </c>
      <c r="Z101" s="1644">
        <v>0.7</v>
      </c>
      <c r="AA101" s="1644">
        <v>0.72</v>
      </c>
      <c r="AB101" s="1644">
        <v>260.56</v>
      </c>
      <c r="AC101" s="1644">
        <v>261.26</v>
      </c>
      <c r="AD101" s="1644">
        <v>17.920000000000002</v>
      </c>
      <c r="AE101" s="1644">
        <v>18</v>
      </c>
      <c r="AF101" s="1820" t="s">
        <v>549</v>
      </c>
      <c r="AG101" s="1644">
        <v>0.06</v>
      </c>
      <c r="AH101" s="1644">
        <v>0.06</v>
      </c>
      <c r="AI101" s="1644">
        <v>0.75</v>
      </c>
      <c r="AJ101" s="1644">
        <v>0.77</v>
      </c>
      <c r="AK101" s="1644">
        <v>55.79</v>
      </c>
      <c r="AL101" s="339">
        <v>56.02</v>
      </c>
      <c r="AM101" s="339">
        <v>9.36</v>
      </c>
      <c r="AN101" s="339">
        <v>9.27</v>
      </c>
      <c r="AO101" s="339">
        <v>206.59</v>
      </c>
      <c r="AP101" s="339">
        <v>206.85</v>
      </c>
      <c r="AQ101" s="339">
        <v>0.76</v>
      </c>
      <c r="AR101" s="339">
        <v>0.76</v>
      </c>
      <c r="AS101" s="339">
        <v>1.58</v>
      </c>
      <c r="AT101" s="339">
        <v>1.59</v>
      </c>
      <c r="AU101" s="464" t="s">
        <v>549</v>
      </c>
      <c r="AV101" s="1817">
        <v>21.84</v>
      </c>
      <c r="AW101" s="339">
        <v>21.88</v>
      </c>
      <c r="AX101" s="339">
        <v>1.37</v>
      </c>
      <c r="AY101" s="339">
        <v>1.4</v>
      </c>
      <c r="AZ101" s="339">
        <v>21.21</v>
      </c>
      <c r="BA101" s="339">
        <v>21.24</v>
      </c>
      <c r="BB101" s="339">
        <v>7.0000000000000007E-2</v>
      </c>
      <c r="BC101" s="339">
        <v>7.0000000000000007E-2</v>
      </c>
      <c r="BD101" s="339">
        <v>56.61</v>
      </c>
      <c r="BE101" s="339">
        <v>57.03</v>
      </c>
      <c r="BF101" s="339">
        <v>8.92</v>
      </c>
      <c r="BG101" s="339">
        <v>8.89</v>
      </c>
      <c r="BH101" s="339">
        <v>0.52</v>
      </c>
      <c r="BI101" s="339">
        <v>0.52</v>
      </c>
      <c r="BJ101" s="464" t="s">
        <v>549</v>
      </c>
      <c r="BK101" s="339">
        <v>79.36</v>
      </c>
      <c r="BL101" s="339">
        <v>79.42</v>
      </c>
      <c r="BM101" s="339">
        <v>0.15</v>
      </c>
      <c r="BN101" s="339">
        <v>0.15</v>
      </c>
      <c r="BO101" s="339">
        <v>107.75</v>
      </c>
      <c r="BP101" s="339">
        <v>108.35</v>
      </c>
      <c r="BQ101" s="339">
        <v>2.2799999999999998</v>
      </c>
      <c r="BR101" s="339">
        <v>2.3199999999999998</v>
      </c>
      <c r="BS101" s="339">
        <v>21.66</v>
      </c>
      <c r="BT101" s="339">
        <v>21.69</v>
      </c>
      <c r="BU101" s="339">
        <v>79.540000000000006</v>
      </c>
      <c r="BV101" s="339">
        <v>79.67</v>
      </c>
      <c r="BW101" s="339">
        <v>98.16</v>
      </c>
      <c r="BX101" s="339">
        <v>99.99</v>
      </c>
    </row>
    <row r="102" spans="1:76" s="1284" customFormat="1" ht="11.45" customHeight="1" x14ac:dyDescent="0.15">
      <c r="A102" s="1848" t="s">
        <v>1174</v>
      </c>
      <c r="B102" s="1820" t="s">
        <v>558</v>
      </c>
      <c r="C102" s="1644">
        <v>60.21</v>
      </c>
      <c r="D102" s="1644">
        <v>60.08</v>
      </c>
      <c r="E102" s="1644">
        <v>79.84</v>
      </c>
      <c r="F102" s="1644">
        <v>80.23</v>
      </c>
      <c r="G102" s="1644">
        <v>211.76</v>
      </c>
      <c r="H102" s="1644">
        <v>212.81</v>
      </c>
      <c r="I102" s="1644">
        <v>59.49</v>
      </c>
      <c r="J102" s="1644">
        <v>58.77</v>
      </c>
      <c r="K102" s="1644">
        <v>11.59</v>
      </c>
      <c r="L102" s="1644">
        <v>11.64</v>
      </c>
      <c r="M102" s="1644">
        <v>11.49</v>
      </c>
      <c r="N102" s="1644">
        <v>11.75</v>
      </c>
      <c r="O102" s="1644">
        <v>85.48</v>
      </c>
      <c r="P102" s="1644">
        <v>87.43</v>
      </c>
      <c r="Q102" s="1820" t="s">
        <v>558</v>
      </c>
      <c r="R102" s="1644">
        <v>10.27</v>
      </c>
      <c r="S102" s="1644">
        <v>10.31</v>
      </c>
      <c r="T102" s="1644">
        <v>1.24</v>
      </c>
      <c r="U102" s="1644">
        <v>1.25</v>
      </c>
      <c r="V102" s="1644">
        <v>0.01</v>
      </c>
      <c r="W102" s="1644">
        <v>0.01</v>
      </c>
      <c r="X102" s="1644">
        <v>0</v>
      </c>
      <c r="Y102" s="1644">
        <v>0</v>
      </c>
      <c r="Z102" s="1644">
        <v>0.73</v>
      </c>
      <c r="AA102" s="1644">
        <v>0.72</v>
      </c>
      <c r="AB102" s="1644">
        <v>261.94</v>
      </c>
      <c r="AC102" s="1644">
        <v>263.7</v>
      </c>
      <c r="AD102" s="1644">
        <v>18.12</v>
      </c>
      <c r="AE102" s="1644">
        <v>18.48</v>
      </c>
      <c r="AF102" s="1820" t="s">
        <v>558</v>
      </c>
      <c r="AG102" s="1644">
        <v>0.06</v>
      </c>
      <c r="AH102" s="1644">
        <v>0.06</v>
      </c>
      <c r="AI102" s="1644">
        <v>0.77</v>
      </c>
      <c r="AJ102" s="1644">
        <v>0.78</v>
      </c>
      <c r="AK102" s="1644">
        <v>55.69</v>
      </c>
      <c r="AL102" s="353">
        <v>55.1</v>
      </c>
      <c r="AM102" s="353">
        <v>9.2899999999999991</v>
      </c>
      <c r="AN102" s="353">
        <v>9.35</v>
      </c>
      <c r="AO102" s="353">
        <v>207.36</v>
      </c>
      <c r="AP102" s="353">
        <v>208.34</v>
      </c>
      <c r="AQ102" s="353">
        <v>0.76</v>
      </c>
      <c r="AR102" s="353">
        <v>0.77</v>
      </c>
      <c r="AS102" s="353">
        <v>1.6</v>
      </c>
      <c r="AT102" s="353">
        <v>1.6</v>
      </c>
      <c r="AU102" s="1815" t="s">
        <v>558</v>
      </c>
      <c r="AV102" s="1818">
        <v>21.93</v>
      </c>
      <c r="AW102" s="353">
        <v>22.03</v>
      </c>
      <c r="AX102" s="353">
        <v>1.41</v>
      </c>
      <c r="AY102" s="353">
        <v>1.41</v>
      </c>
      <c r="AZ102" s="353">
        <v>21.29</v>
      </c>
      <c r="BA102" s="353">
        <v>21.39</v>
      </c>
      <c r="BB102" s="353">
        <v>7.0000000000000007E-2</v>
      </c>
      <c r="BC102" s="353">
        <v>7.0000000000000007E-2</v>
      </c>
      <c r="BD102" s="353">
        <v>57.1</v>
      </c>
      <c r="BE102" s="353">
        <v>57.43</v>
      </c>
      <c r="BF102" s="353">
        <v>8.92</v>
      </c>
      <c r="BG102" s="353">
        <v>9.06</v>
      </c>
      <c r="BH102" s="353">
        <v>0.52</v>
      </c>
      <c r="BI102" s="353">
        <v>0.53</v>
      </c>
      <c r="BJ102" s="1815" t="s">
        <v>558</v>
      </c>
      <c r="BK102" s="353">
        <v>79.739999999999995</v>
      </c>
      <c r="BL102" s="353">
        <v>80.62</v>
      </c>
      <c r="BM102" s="353">
        <v>0.15</v>
      </c>
      <c r="BN102" s="353">
        <v>0.16</v>
      </c>
      <c r="BO102" s="353">
        <v>108.61</v>
      </c>
      <c r="BP102" s="353">
        <v>109.99</v>
      </c>
      <c r="BQ102" s="353">
        <v>2.3199999999999998</v>
      </c>
      <c r="BR102" s="353">
        <v>2.3199999999999998</v>
      </c>
      <c r="BS102" s="353">
        <v>21.74</v>
      </c>
      <c r="BT102" s="353">
        <v>21.84</v>
      </c>
      <c r="BU102" s="353">
        <v>79.84</v>
      </c>
      <c r="BV102" s="353">
        <v>80.23</v>
      </c>
      <c r="BW102" s="353">
        <v>100.8</v>
      </c>
      <c r="BX102" s="353">
        <v>103.9</v>
      </c>
    </row>
    <row r="103" spans="1:76" s="1284" customFormat="1" ht="11.45" customHeight="1" x14ac:dyDescent="0.15">
      <c r="A103" s="1848" t="s">
        <v>1174</v>
      </c>
      <c r="B103" s="1820" t="s">
        <v>559</v>
      </c>
      <c r="C103" s="1644">
        <v>59.88</v>
      </c>
      <c r="D103" s="1644">
        <v>60.14</v>
      </c>
      <c r="E103" s="1644">
        <v>80.489999999999995</v>
      </c>
      <c r="F103" s="1644">
        <v>80.56</v>
      </c>
      <c r="G103" s="1644">
        <v>213.48</v>
      </c>
      <c r="H103" s="1644">
        <v>213.66</v>
      </c>
      <c r="I103" s="1644">
        <v>59.23</v>
      </c>
      <c r="J103" s="1644">
        <v>59.85</v>
      </c>
      <c r="K103" s="1644">
        <v>11.7</v>
      </c>
      <c r="L103" s="1644">
        <v>11.74</v>
      </c>
      <c r="M103" s="1644">
        <v>11.96</v>
      </c>
      <c r="N103" s="1644">
        <v>12.11</v>
      </c>
      <c r="O103" s="1644">
        <v>88.97</v>
      </c>
      <c r="P103" s="1644">
        <v>90.11</v>
      </c>
      <c r="Q103" s="1820" t="s">
        <v>559</v>
      </c>
      <c r="R103" s="1644">
        <v>10.34</v>
      </c>
      <c r="S103" s="1644">
        <v>10.34</v>
      </c>
      <c r="T103" s="1644">
        <v>1.25</v>
      </c>
      <c r="U103" s="1644">
        <v>1.25</v>
      </c>
      <c r="V103" s="1644">
        <v>0.01</v>
      </c>
      <c r="W103" s="1644">
        <v>0.01</v>
      </c>
      <c r="X103" s="1644">
        <v>0</v>
      </c>
      <c r="Y103" s="1644">
        <v>0</v>
      </c>
      <c r="Z103" s="1644">
        <v>0.72</v>
      </c>
      <c r="AA103" s="1644">
        <v>0.73</v>
      </c>
      <c r="AB103" s="1644">
        <v>264.70999999999998</v>
      </c>
      <c r="AC103" s="1644">
        <v>265.48</v>
      </c>
      <c r="AD103" s="1644">
        <v>18.649999999999999</v>
      </c>
      <c r="AE103" s="1644">
        <v>18.84</v>
      </c>
      <c r="AF103" s="1820" t="s">
        <v>559</v>
      </c>
      <c r="AG103" s="1644">
        <v>0.06</v>
      </c>
      <c r="AH103" s="1644">
        <v>0.06</v>
      </c>
      <c r="AI103" s="1644">
        <v>0.78</v>
      </c>
      <c r="AJ103" s="1644">
        <v>0.78</v>
      </c>
      <c r="AK103" s="1644">
        <v>55.95</v>
      </c>
      <c r="AL103" s="339">
        <v>57.17</v>
      </c>
      <c r="AM103" s="339">
        <v>9.48</v>
      </c>
      <c r="AN103" s="339">
        <v>9.5500000000000007</v>
      </c>
      <c r="AO103" s="339">
        <v>209.02</v>
      </c>
      <c r="AP103" s="339">
        <v>209.25</v>
      </c>
      <c r="AQ103" s="339">
        <v>0.77</v>
      </c>
      <c r="AR103" s="339">
        <v>0.77</v>
      </c>
      <c r="AS103" s="339">
        <v>1.62</v>
      </c>
      <c r="AT103" s="339">
        <v>1.62</v>
      </c>
      <c r="AU103" s="464" t="s">
        <v>559</v>
      </c>
      <c r="AV103" s="501">
        <v>22.1</v>
      </c>
      <c r="AW103" s="339">
        <v>22.12</v>
      </c>
      <c r="AX103" s="339">
        <v>1.41</v>
      </c>
      <c r="AY103" s="339">
        <v>1.42</v>
      </c>
      <c r="AZ103" s="339">
        <v>21.46</v>
      </c>
      <c r="BA103" s="339">
        <v>21.48</v>
      </c>
      <c r="BB103" s="339">
        <v>7.0000000000000007E-2</v>
      </c>
      <c r="BC103" s="339">
        <v>7.0000000000000007E-2</v>
      </c>
      <c r="BD103" s="339">
        <v>57.72</v>
      </c>
      <c r="BE103" s="339">
        <v>58.19</v>
      </c>
      <c r="BF103" s="339">
        <v>9.17</v>
      </c>
      <c r="BG103" s="339">
        <v>9.23</v>
      </c>
      <c r="BH103" s="339">
        <v>0.53</v>
      </c>
      <c r="BI103" s="339">
        <v>0.53</v>
      </c>
      <c r="BJ103" s="464" t="s">
        <v>559</v>
      </c>
      <c r="BK103" s="339">
        <v>81.599999999999994</v>
      </c>
      <c r="BL103" s="339">
        <v>82.65</v>
      </c>
      <c r="BM103" s="339">
        <v>0.16</v>
      </c>
      <c r="BN103" s="339">
        <v>0.16</v>
      </c>
      <c r="BO103" s="339">
        <v>110.65</v>
      </c>
      <c r="BP103" s="339">
        <v>111.22</v>
      </c>
      <c r="BQ103" s="339">
        <v>2.34</v>
      </c>
      <c r="BR103" s="339">
        <v>2.36</v>
      </c>
      <c r="BS103" s="339">
        <v>21.91</v>
      </c>
      <c r="BT103" s="339">
        <v>21.93</v>
      </c>
      <c r="BU103" s="339">
        <v>80.489999999999995</v>
      </c>
      <c r="BV103" s="339">
        <v>80.56</v>
      </c>
      <c r="BW103" s="339">
        <v>104.05</v>
      </c>
      <c r="BX103" s="339">
        <v>103.59</v>
      </c>
    </row>
    <row r="104" spans="1:76" s="1284" customFormat="1" ht="11.45" customHeight="1" x14ac:dyDescent="0.15">
      <c r="A104" s="1848" t="s">
        <v>1174</v>
      </c>
      <c r="B104" s="1820" t="s">
        <v>550</v>
      </c>
      <c r="C104" s="1644">
        <v>60.83</v>
      </c>
      <c r="D104" s="1644">
        <v>61.93</v>
      </c>
      <c r="E104" s="1644">
        <v>80.59</v>
      </c>
      <c r="F104" s="1644">
        <v>80.599999999999994</v>
      </c>
      <c r="G104" s="1644">
        <v>213.64</v>
      </c>
      <c r="H104" s="1644">
        <v>213.64</v>
      </c>
      <c r="I104" s="1644">
        <v>60.43</v>
      </c>
      <c r="J104" s="1644">
        <v>61.98</v>
      </c>
      <c r="K104" s="1644">
        <v>11.85</v>
      </c>
      <c r="L104" s="1644">
        <v>11.9</v>
      </c>
      <c r="M104" s="1644">
        <v>12.17</v>
      </c>
      <c r="N104" s="1644">
        <v>12.4</v>
      </c>
      <c r="O104" s="1644">
        <v>90.51</v>
      </c>
      <c r="P104" s="1644">
        <v>92.21</v>
      </c>
      <c r="Q104" s="1820" t="s">
        <v>550</v>
      </c>
      <c r="R104" s="1644">
        <v>10.33</v>
      </c>
      <c r="S104" s="1644">
        <v>10.33</v>
      </c>
      <c r="T104" s="1644">
        <v>1.25</v>
      </c>
      <c r="U104" s="1644">
        <v>1.25</v>
      </c>
      <c r="V104" s="1644">
        <v>0.01</v>
      </c>
      <c r="W104" s="1644">
        <v>0.01</v>
      </c>
      <c r="X104" s="1644">
        <v>0</v>
      </c>
      <c r="Y104" s="1644">
        <v>0</v>
      </c>
      <c r="Z104" s="1644">
        <v>0.73</v>
      </c>
      <c r="AA104" s="1644">
        <v>0.72</v>
      </c>
      <c r="AB104" s="1644">
        <v>265.63</v>
      </c>
      <c r="AC104" s="1644">
        <v>265.73</v>
      </c>
      <c r="AD104" s="1644">
        <v>18.84</v>
      </c>
      <c r="AE104" s="1644">
        <v>18.77</v>
      </c>
      <c r="AF104" s="1820" t="s">
        <v>550</v>
      </c>
      <c r="AG104" s="1644">
        <v>0.06</v>
      </c>
      <c r="AH104" s="1644">
        <v>0.06</v>
      </c>
      <c r="AI104" s="1644">
        <v>0.78</v>
      </c>
      <c r="AJ104" s="1644">
        <v>0.78</v>
      </c>
      <c r="AK104" s="1644">
        <v>58.12</v>
      </c>
      <c r="AL104" s="353">
        <v>58.84</v>
      </c>
      <c r="AM104" s="353">
        <v>9.52</v>
      </c>
      <c r="AN104" s="353">
        <v>9.61</v>
      </c>
      <c r="AO104" s="353">
        <v>209.3</v>
      </c>
      <c r="AP104" s="353">
        <v>209.23</v>
      </c>
      <c r="AQ104" s="353">
        <v>0.77</v>
      </c>
      <c r="AR104" s="353">
        <v>0.77</v>
      </c>
      <c r="AS104" s="353">
        <v>1.62</v>
      </c>
      <c r="AT104" s="353">
        <v>1.6</v>
      </c>
      <c r="AU104" s="1815" t="s">
        <v>550</v>
      </c>
      <c r="AV104" s="1818">
        <v>21.96</v>
      </c>
      <c r="AW104" s="353">
        <v>21.58</v>
      </c>
      <c r="AX104" s="353">
        <v>1.39</v>
      </c>
      <c r="AY104" s="353">
        <v>1.36</v>
      </c>
      <c r="AZ104" s="353">
        <v>21.49</v>
      </c>
      <c r="BA104" s="353">
        <v>21.49</v>
      </c>
      <c r="BB104" s="353">
        <v>7.0000000000000007E-2</v>
      </c>
      <c r="BC104" s="353">
        <v>7.0000000000000007E-2</v>
      </c>
      <c r="BD104" s="353">
        <v>58.24</v>
      </c>
      <c r="BE104" s="353">
        <v>58.43</v>
      </c>
      <c r="BF104" s="353">
        <v>9.2799999999999994</v>
      </c>
      <c r="BG104" s="353">
        <v>9.52</v>
      </c>
      <c r="BH104" s="353">
        <v>0.53</v>
      </c>
      <c r="BI104" s="353">
        <v>0.52</v>
      </c>
      <c r="BJ104" s="1815" t="s">
        <v>550</v>
      </c>
      <c r="BK104" s="353">
        <v>83.24</v>
      </c>
      <c r="BL104" s="353">
        <v>84.32</v>
      </c>
      <c r="BM104" s="353">
        <v>0.16</v>
      </c>
      <c r="BN104" s="353">
        <v>0.16</v>
      </c>
      <c r="BO104" s="353">
        <v>111.44</v>
      </c>
      <c r="BP104" s="353">
        <v>112.08</v>
      </c>
      <c r="BQ104" s="353">
        <v>2.37</v>
      </c>
      <c r="BR104" s="353">
        <v>2.37</v>
      </c>
      <c r="BS104" s="353">
        <v>21.94</v>
      </c>
      <c r="BT104" s="353">
        <v>21.94</v>
      </c>
      <c r="BU104" s="353">
        <v>80.59</v>
      </c>
      <c r="BV104" s="353">
        <v>80.599999999999994</v>
      </c>
      <c r="BW104" s="353">
        <v>103.12</v>
      </c>
      <c r="BX104" s="353">
        <v>104.82</v>
      </c>
    </row>
    <row r="105" spans="1:76" s="1284" customFormat="1" ht="11.45" customHeight="1" x14ac:dyDescent="0.15">
      <c r="A105" s="1848" t="s">
        <v>1296</v>
      </c>
      <c r="B105" s="1820" t="s">
        <v>552</v>
      </c>
      <c r="C105" s="1644">
        <v>62.84</v>
      </c>
      <c r="D105" s="1644">
        <v>64.42</v>
      </c>
      <c r="E105" s="1644">
        <v>80.63</v>
      </c>
      <c r="F105" s="1644">
        <v>80.66</v>
      </c>
      <c r="G105" s="1644">
        <v>213.77</v>
      </c>
      <c r="H105" s="1644">
        <v>213.9</v>
      </c>
      <c r="I105" s="1644">
        <v>63.44</v>
      </c>
      <c r="J105" s="1644">
        <v>64.87</v>
      </c>
      <c r="K105" s="1644">
        <v>11.92</v>
      </c>
      <c r="L105" s="1644">
        <v>11.99</v>
      </c>
      <c r="M105" s="1644">
        <v>12.48</v>
      </c>
      <c r="N105" s="1644">
        <v>12.75</v>
      </c>
      <c r="O105" s="1644">
        <v>92.83</v>
      </c>
      <c r="P105" s="1644">
        <v>94.79</v>
      </c>
      <c r="Q105" s="1820" t="s">
        <v>552</v>
      </c>
      <c r="R105" s="1644">
        <v>10.33</v>
      </c>
      <c r="S105" s="1644">
        <v>10.33</v>
      </c>
      <c r="T105" s="1644">
        <v>1.25</v>
      </c>
      <c r="U105" s="1644">
        <v>1.26</v>
      </c>
      <c r="V105" s="1644">
        <v>0.01</v>
      </c>
      <c r="W105" s="1644">
        <v>0.01</v>
      </c>
      <c r="X105" s="1644">
        <v>0</v>
      </c>
      <c r="Y105" s="1644">
        <v>0</v>
      </c>
      <c r="Z105" s="1644">
        <v>0.72</v>
      </c>
      <c r="AA105" s="1644">
        <v>0.73</v>
      </c>
      <c r="AB105" s="1644">
        <v>266.27999999999997</v>
      </c>
      <c r="AC105" s="1644">
        <v>267.04000000000002</v>
      </c>
      <c r="AD105" s="1644">
        <v>18.8</v>
      </c>
      <c r="AE105" s="1644">
        <v>18.850000000000001</v>
      </c>
      <c r="AF105" s="1820" t="s">
        <v>552</v>
      </c>
      <c r="AG105" s="1644">
        <v>0.06</v>
      </c>
      <c r="AH105" s="1644">
        <v>0.06</v>
      </c>
      <c r="AI105" s="1644">
        <v>0.78</v>
      </c>
      <c r="AJ105" s="1644">
        <v>0.79</v>
      </c>
      <c r="AK105" s="1644">
        <v>59.33</v>
      </c>
      <c r="AL105" s="353">
        <v>60.6</v>
      </c>
      <c r="AM105" s="353">
        <v>9.8699999999999992</v>
      </c>
      <c r="AN105" s="353">
        <v>10.19</v>
      </c>
      <c r="AO105" s="353">
        <v>209.32</v>
      </c>
      <c r="AP105" s="353">
        <v>209.51</v>
      </c>
      <c r="AQ105" s="353">
        <v>0.76</v>
      </c>
      <c r="AR105" s="353">
        <v>0.77</v>
      </c>
      <c r="AS105" s="353">
        <v>1.59</v>
      </c>
      <c r="AT105" s="353">
        <v>1.6</v>
      </c>
      <c r="AU105" s="1815" t="s">
        <v>552</v>
      </c>
      <c r="AV105" s="1818">
        <v>21.96</v>
      </c>
      <c r="AW105" s="353">
        <v>22.15</v>
      </c>
      <c r="AX105" s="353">
        <v>1.35</v>
      </c>
      <c r="AY105" s="353">
        <v>1.35</v>
      </c>
      <c r="AZ105" s="353">
        <v>21.5</v>
      </c>
      <c r="BA105" s="353">
        <v>21.51</v>
      </c>
      <c r="BB105" s="353">
        <v>7.0000000000000007E-2</v>
      </c>
      <c r="BC105" s="353">
        <v>7.0000000000000007E-2</v>
      </c>
      <c r="BD105" s="353">
        <v>58.79</v>
      </c>
      <c r="BE105" s="353">
        <v>59.46</v>
      </c>
      <c r="BF105" s="353">
        <v>9.68</v>
      </c>
      <c r="BG105" s="353">
        <v>9.93</v>
      </c>
      <c r="BH105" s="353">
        <v>0.52</v>
      </c>
      <c r="BI105" s="353">
        <v>0.52</v>
      </c>
      <c r="BJ105" s="1815" t="s">
        <v>552</v>
      </c>
      <c r="BK105" s="353">
        <v>84.03</v>
      </c>
      <c r="BL105" s="353">
        <v>83.26</v>
      </c>
      <c r="BM105" s="353">
        <v>0.16</v>
      </c>
      <c r="BN105" s="353">
        <v>0.16</v>
      </c>
      <c r="BO105" s="353">
        <v>112.45</v>
      </c>
      <c r="BP105" s="353">
        <v>113.37</v>
      </c>
      <c r="BQ105" s="353">
        <v>2.39</v>
      </c>
      <c r="BR105" s="353">
        <v>2.42</v>
      </c>
      <c r="BS105" s="353">
        <v>21.95</v>
      </c>
      <c r="BT105" s="353">
        <v>21.96</v>
      </c>
      <c r="BU105" s="353">
        <v>80.63</v>
      </c>
      <c r="BV105" s="353">
        <v>80.66</v>
      </c>
      <c r="BW105" s="353">
        <v>104.8</v>
      </c>
      <c r="BX105" s="353">
        <v>105.95</v>
      </c>
    </row>
    <row r="106" spans="1:76" s="1284" customFormat="1" ht="11.45" customHeight="1" x14ac:dyDescent="0.15">
      <c r="A106" s="1848" t="s">
        <v>1296</v>
      </c>
      <c r="B106" s="1820" t="s">
        <v>553</v>
      </c>
      <c r="C106" s="1644">
        <v>63.94</v>
      </c>
      <c r="D106" s="1644">
        <v>63.79</v>
      </c>
      <c r="E106" s="1644">
        <v>80.69</v>
      </c>
      <c r="F106" s="1644">
        <v>80.7</v>
      </c>
      <c r="G106" s="1644">
        <v>213.99</v>
      </c>
      <c r="H106" s="1644">
        <v>214.03</v>
      </c>
      <c r="I106" s="1644">
        <v>64.040000000000006</v>
      </c>
      <c r="J106" s="1644">
        <v>63.94</v>
      </c>
      <c r="K106" s="1644">
        <v>12.09</v>
      </c>
      <c r="L106" s="1644">
        <v>12.23</v>
      </c>
      <c r="M106" s="1644">
        <v>12.82</v>
      </c>
      <c r="N106" s="1644">
        <v>12.89</v>
      </c>
      <c r="O106" s="1644">
        <v>95.37</v>
      </c>
      <c r="P106" s="1644">
        <v>95.9</v>
      </c>
      <c r="Q106" s="1820" t="s">
        <v>553</v>
      </c>
      <c r="R106" s="1644">
        <v>10.32</v>
      </c>
      <c r="S106" s="1644">
        <v>10.31</v>
      </c>
      <c r="T106" s="1644">
        <v>1.26</v>
      </c>
      <c r="U106" s="1644">
        <v>1.26</v>
      </c>
      <c r="V106" s="1644">
        <v>0.01</v>
      </c>
      <c r="W106" s="1644">
        <v>0.01</v>
      </c>
      <c r="X106" s="1644">
        <v>0</v>
      </c>
      <c r="Y106" s="1644">
        <v>0</v>
      </c>
      <c r="Z106" s="1644">
        <v>0.73</v>
      </c>
      <c r="AA106" s="1644">
        <v>0.73</v>
      </c>
      <c r="AB106" s="1644">
        <v>267.31</v>
      </c>
      <c r="AC106" s="1644">
        <v>267.70999999999998</v>
      </c>
      <c r="AD106" s="1644">
        <v>18.84</v>
      </c>
      <c r="AE106" s="1644">
        <v>18.899999999999999</v>
      </c>
      <c r="AF106" s="1820" t="s">
        <v>553</v>
      </c>
      <c r="AG106" s="1644">
        <v>0.06</v>
      </c>
      <c r="AH106" s="1644">
        <v>0.06</v>
      </c>
      <c r="AI106" s="1644">
        <v>0.79</v>
      </c>
      <c r="AJ106" s="1644">
        <v>0.79</v>
      </c>
      <c r="AK106" s="1644">
        <v>59.1</v>
      </c>
      <c r="AL106" s="339">
        <v>58.13</v>
      </c>
      <c r="AM106" s="339">
        <v>10.23</v>
      </c>
      <c r="AN106" s="339">
        <v>10.33</v>
      </c>
      <c r="AO106" s="339">
        <v>209.55</v>
      </c>
      <c r="AP106" s="339">
        <v>209.61</v>
      </c>
      <c r="AQ106" s="339">
        <v>0.77</v>
      </c>
      <c r="AR106" s="339">
        <v>0.77</v>
      </c>
      <c r="AS106" s="339">
        <v>1.59</v>
      </c>
      <c r="AT106" s="339">
        <v>1.58</v>
      </c>
      <c r="AU106" s="464" t="s">
        <v>553</v>
      </c>
      <c r="AV106" s="1817">
        <v>22.04</v>
      </c>
      <c r="AW106" s="339">
        <v>21.94</v>
      </c>
      <c r="AX106" s="339">
        <v>1.36</v>
      </c>
      <c r="AY106" s="339">
        <v>1.38</v>
      </c>
      <c r="AZ106" s="339">
        <v>21.52</v>
      </c>
      <c r="BA106" s="339">
        <v>21.52</v>
      </c>
      <c r="BB106" s="339">
        <v>7.0000000000000007E-2</v>
      </c>
      <c r="BC106" s="339">
        <v>7.0000000000000007E-2</v>
      </c>
      <c r="BD106" s="339">
        <v>59.32</v>
      </c>
      <c r="BE106" s="339">
        <v>59.4</v>
      </c>
      <c r="BF106" s="339">
        <v>9.98</v>
      </c>
      <c r="BG106" s="339">
        <v>10.11</v>
      </c>
      <c r="BH106" s="339">
        <v>0.53</v>
      </c>
      <c r="BI106" s="339">
        <v>0.53</v>
      </c>
      <c r="BJ106" s="464" t="s">
        <v>553</v>
      </c>
      <c r="BK106" s="339">
        <v>83.6</v>
      </c>
      <c r="BL106" s="339">
        <v>83.75</v>
      </c>
      <c r="BM106" s="339">
        <v>0.16</v>
      </c>
      <c r="BN106" s="339">
        <v>0.16</v>
      </c>
      <c r="BO106" s="339">
        <v>113.86</v>
      </c>
      <c r="BP106" s="339">
        <v>114.45</v>
      </c>
      <c r="BQ106" s="339">
        <v>2.4300000000000002</v>
      </c>
      <c r="BR106" s="339">
        <v>2.4300000000000002</v>
      </c>
      <c r="BS106" s="339">
        <v>21.97</v>
      </c>
      <c r="BT106" s="339">
        <v>21.97</v>
      </c>
      <c r="BU106" s="339">
        <v>80.69</v>
      </c>
      <c r="BV106" s="339">
        <v>80.7</v>
      </c>
      <c r="BW106" s="339">
        <v>104.69</v>
      </c>
      <c r="BX106" s="339">
        <v>104.31</v>
      </c>
    </row>
    <row r="107" spans="1:76" s="1284" customFormat="1" ht="11.45" customHeight="1" x14ac:dyDescent="0.15">
      <c r="A107" s="1848" t="s">
        <v>1296</v>
      </c>
      <c r="B107" s="1820" t="s">
        <v>547</v>
      </c>
      <c r="C107" s="1644">
        <v>64.38</v>
      </c>
      <c r="D107" s="1644">
        <v>63.42</v>
      </c>
      <c r="E107" s="1644">
        <v>80.739999999999995</v>
      </c>
      <c r="F107" s="1644">
        <v>80.8</v>
      </c>
      <c r="G107" s="1644">
        <v>214.09</v>
      </c>
      <c r="H107" s="1644">
        <v>214.24</v>
      </c>
      <c r="I107" s="1644">
        <v>65.59</v>
      </c>
      <c r="J107" s="1644">
        <v>64.77</v>
      </c>
      <c r="K107" s="1644">
        <v>12.3</v>
      </c>
      <c r="L107" s="1644">
        <v>12.19</v>
      </c>
      <c r="M107" s="1644">
        <v>12.92</v>
      </c>
      <c r="N107" s="1644">
        <v>12.75</v>
      </c>
      <c r="O107" s="1644">
        <v>96.14</v>
      </c>
      <c r="P107" s="1644">
        <v>94.9</v>
      </c>
      <c r="Q107" s="1820" t="s">
        <v>547</v>
      </c>
      <c r="R107" s="1644">
        <v>10.33</v>
      </c>
      <c r="S107" s="1644">
        <v>10.35</v>
      </c>
      <c r="T107" s="1644">
        <v>1.25</v>
      </c>
      <c r="U107" s="1644">
        <v>1.23</v>
      </c>
      <c r="V107" s="1644">
        <v>0.01</v>
      </c>
      <c r="W107" s="1644">
        <v>0.01</v>
      </c>
      <c r="X107" s="1644">
        <v>0</v>
      </c>
      <c r="Y107" s="1644">
        <v>0</v>
      </c>
      <c r="Z107" s="1644">
        <v>0.73</v>
      </c>
      <c r="AA107" s="1644">
        <v>0.72</v>
      </c>
      <c r="AB107" s="1644">
        <v>267.86</v>
      </c>
      <c r="AC107" s="1644">
        <v>268.13</v>
      </c>
      <c r="AD107" s="1644">
        <v>19.149999999999999</v>
      </c>
      <c r="AE107" s="1644">
        <v>19.09</v>
      </c>
      <c r="AF107" s="1820" t="s">
        <v>547</v>
      </c>
      <c r="AG107" s="1644">
        <v>0.06</v>
      </c>
      <c r="AH107" s="1644">
        <v>0.06</v>
      </c>
      <c r="AI107" s="1644">
        <v>0.79</v>
      </c>
      <c r="AJ107" s="1644">
        <v>0.78</v>
      </c>
      <c r="AK107" s="1644">
        <v>58.56</v>
      </c>
      <c r="AL107" s="353">
        <v>58.18</v>
      </c>
      <c r="AM107" s="353">
        <v>10.31</v>
      </c>
      <c r="AN107" s="353">
        <v>10.16</v>
      </c>
      <c r="AO107" s="353">
        <v>209.69</v>
      </c>
      <c r="AP107" s="353">
        <v>209.87</v>
      </c>
      <c r="AQ107" s="353">
        <v>0.77</v>
      </c>
      <c r="AR107" s="353">
        <v>0.77</v>
      </c>
      <c r="AS107" s="353">
        <v>1.58</v>
      </c>
      <c r="AT107" s="353">
        <v>1.58</v>
      </c>
      <c r="AU107" s="1815" t="s">
        <v>547</v>
      </c>
      <c r="AV107" s="1818">
        <v>21.99</v>
      </c>
      <c r="AW107" s="353">
        <v>21.75</v>
      </c>
      <c r="AX107" s="353">
        <v>1.4</v>
      </c>
      <c r="AY107" s="353">
        <v>1.39</v>
      </c>
      <c r="AZ107" s="353">
        <v>21.53</v>
      </c>
      <c r="BA107" s="353">
        <v>21.55</v>
      </c>
      <c r="BB107" s="353">
        <v>7.0000000000000007E-2</v>
      </c>
      <c r="BC107" s="353">
        <v>7.0000000000000007E-2</v>
      </c>
      <c r="BD107" s="353">
        <v>59.78</v>
      </c>
      <c r="BE107" s="353">
        <v>59.42</v>
      </c>
      <c r="BF107" s="353">
        <v>10.09</v>
      </c>
      <c r="BG107" s="353">
        <v>9.9</v>
      </c>
      <c r="BH107" s="353">
        <v>0.53</v>
      </c>
      <c r="BI107" s="353">
        <v>0.53</v>
      </c>
      <c r="BJ107" s="1815" t="s">
        <v>547</v>
      </c>
      <c r="BK107" s="353">
        <v>83.92</v>
      </c>
      <c r="BL107" s="353">
        <v>83.11</v>
      </c>
      <c r="BM107" s="353">
        <v>0.16</v>
      </c>
      <c r="BN107" s="353">
        <v>0.16</v>
      </c>
      <c r="BO107" s="353">
        <v>114.7</v>
      </c>
      <c r="BP107" s="353">
        <v>114.06</v>
      </c>
      <c r="BQ107" s="353">
        <v>2.4300000000000002</v>
      </c>
      <c r="BR107" s="353">
        <v>2.41</v>
      </c>
      <c r="BS107" s="353">
        <v>21.98</v>
      </c>
      <c r="BT107" s="353">
        <v>22</v>
      </c>
      <c r="BU107" s="353">
        <v>80.739999999999995</v>
      </c>
      <c r="BV107" s="353">
        <v>80.8</v>
      </c>
      <c r="BW107" s="353">
        <v>107.21</v>
      </c>
      <c r="BX107" s="353">
        <v>108.17</v>
      </c>
    </row>
    <row r="108" spans="1:76" s="1284" customFormat="1" ht="11.45" customHeight="1" x14ac:dyDescent="0.15">
      <c r="A108" s="1848" t="s">
        <v>1296</v>
      </c>
      <c r="B108" s="1820" t="s">
        <v>554</v>
      </c>
      <c r="C108" s="1644">
        <v>63.02</v>
      </c>
      <c r="D108" s="1644">
        <v>62.17</v>
      </c>
      <c r="E108" s="1644">
        <v>80.819999999999993</v>
      </c>
      <c r="F108" s="1644">
        <v>80.86</v>
      </c>
      <c r="G108" s="1644">
        <v>214.28</v>
      </c>
      <c r="H108" s="1644">
        <v>214.34</v>
      </c>
      <c r="I108" s="1644">
        <v>64.290000000000006</v>
      </c>
      <c r="J108" s="1644">
        <v>63.02</v>
      </c>
      <c r="K108" s="1644">
        <v>12.21</v>
      </c>
      <c r="L108" s="1644">
        <v>12.18</v>
      </c>
      <c r="M108" s="1644">
        <v>12.78</v>
      </c>
      <c r="N108" s="1644">
        <v>12.66</v>
      </c>
      <c r="O108" s="1644">
        <v>95.1</v>
      </c>
      <c r="P108" s="1644">
        <v>94.21</v>
      </c>
      <c r="Q108" s="1820" t="s">
        <v>554</v>
      </c>
      <c r="R108" s="1644">
        <v>10.35</v>
      </c>
      <c r="S108" s="1644">
        <v>10.37</v>
      </c>
      <c r="T108" s="1644">
        <v>1.24</v>
      </c>
      <c r="U108" s="1644">
        <v>1.25</v>
      </c>
      <c r="V108" s="1644">
        <v>0.01</v>
      </c>
      <c r="W108" s="1644">
        <v>0.01</v>
      </c>
      <c r="X108" s="1644">
        <v>0</v>
      </c>
      <c r="Y108" s="1644">
        <v>0</v>
      </c>
      <c r="Z108" s="1644">
        <v>0.72</v>
      </c>
      <c r="AA108" s="1644">
        <v>0.71</v>
      </c>
      <c r="AB108" s="1644">
        <v>267.49</v>
      </c>
      <c r="AC108" s="1644">
        <v>267.52999999999997</v>
      </c>
      <c r="AD108" s="1644">
        <v>19.11</v>
      </c>
      <c r="AE108" s="1644">
        <v>19.11</v>
      </c>
      <c r="AF108" s="1820" t="s">
        <v>554</v>
      </c>
      <c r="AG108" s="1644">
        <v>0.06</v>
      </c>
      <c r="AH108" s="1644">
        <v>0.06</v>
      </c>
      <c r="AI108" s="1644">
        <v>0.78</v>
      </c>
      <c r="AJ108" s="1644">
        <v>0.78</v>
      </c>
      <c r="AK108" s="1644">
        <v>57.11</v>
      </c>
      <c r="AL108" s="339">
        <v>55.61</v>
      </c>
      <c r="AM108" s="339">
        <v>10.119999999999999</v>
      </c>
      <c r="AN108" s="339">
        <v>9.92</v>
      </c>
      <c r="AO108" s="339">
        <v>209.96</v>
      </c>
      <c r="AP108" s="339">
        <v>210.03</v>
      </c>
      <c r="AQ108" s="339">
        <v>0.77</v>
      </c>
      <c r="AR108" s="339">
        <v>0.77</v>
      </c>
      <c r="AS108" s="339">
        <v>1.57</v>
      </c>
      <c r="AT108" s="339">
        <v>1.57</v>
      </c>
      <c r="AU108" s="464" t="s">
        <v>554</v>
      </c>
      <c r="AV108" s="1817">
        <v>21.78</v>
      </c>
      <c r="AW108" s="339">
        <v>21.06</v>
      </c>
      <c r="AX108" s="339">
        <v>1.4</v>
      </c>
      <c r="AY108" s="339">
        <v>1.39</v>
      </c>
      <c r="AZ108" s="339">
        <v>21.55</v>
      </c>
      <c r="BA108" s="339">
        <v>21.56</v>
      </c>
      <c r="BB108" s="339">
        <v>7.0000000000000007E-2</v>
      </c>
      <c r="BC108" s="339">
        <v>7.0000000000000007E-2</v>
      </c>
      <c r="BD108" s="339">
        <v>59.46</v>
      </c>
      <c r="BE108" s="339">
        <v>59.42</v>
      </c>
      <c r="BF108" s="339">
        <v>9.9</v>
      </c>
      <c r="BG108" s="339">
        <v>9.67</v>
      </c>
      <c r="BH108" s="339">
        <v>0.53</v>
      </c>
      <c r="BI108" s="339">
        <v>0.53</v>
      </c>
      <c r="BJ108" s="464" t="s">
        <v>554</v>
      </c>
      <c r="BK108" s="339">
        <v>82.44</v>
      </c>
      <c r="BL108" s="339">
        <v>81.319999999999993</v>
      </c>
      <c r="BM108" s="339">
        <v>0.16</v>
      </c>
      <c r="BN108" s="339">
        <v>0.16</v>
      </c>
      <c r="BO108" s="339">
        <v>113.94</v>
      </c>
      <c r="BP108" s="339">
        <v>113.49</v>
      </c>
      <c r="BQ108" s="339">
        <v>2.4300000000000002</v>
      </c>
      <c r="BR108" s="339">
        <v>2.4300000000000002</v>
      </c>
      <c r="BS108" s="339">
        <v>22</v>
      </c>
      <c r="BT108" s="339">
        <v>22.01</v>
      </c>
      <c r="BU108" s="339">
        <v>80.819999999999993</v>
      </c>
      <c r="BV108" s="339">
        <v>80.86</v>
      </c>
      <c r="BW108" s="339">
        <v>106.82</v>
      </c>
      <c r="BX108" s="339">
        <v>106.8</v>
      </c>
    </row>
    <row r="109" spans="1:76" s="1284" customFormat="1" ht="11.45" customHeight="1" x14ac:dyDescent="0.15">
      <c r="A109" s="1848" t="s">
        <v>1296</v>
      </c>
      <c r="B109" s="1820" t="s">
        <v>555</v>
      </c>
      <c r="C109" s="1644">
        <v>61.96</v>
      </c>
      <c r="D109" s="1644">
        <v>62.31</v>
      </c>
      <c r="E109" s="1644">
        <v>81.260000000000005</v>
      </c>
      <c r="F109" s="1644">
        <v>82.3</v>
      </c>
      <c r="G109" s="1644">
        <v>215.33</v>
      </c>
      <c r="H109" s="1644">
        <v>218.16</v>
      </c>
      <c r="I109" s="1644">
        <v>63.67</v>
      </c>
      <c r="J109" s="1644">
        <v>63.97</v>
      </c>
      <c r="K109" s="1644">
        <v>12.28</v>
      </c>
      <c r="L109" s="1644">
        <v>12.46</v>
      </c>
      <c r="M109" s="1644">
        <v>12.81</v>
      </c>
      <c r="N109" s="1644">
        <v>13.1</v>
      </c>
      <c r="O109" s="1644">
        <v>95.33</v>
      </c>
      <c r="P109" s="1644">
        <v>97.5</v>
      </c>
      <c r="Q109" s="1820" t="s">
        <v>555</v>
      </c>
      <c r="R109" s="1644">
        <v>10.41</v>
      </c>
      <c r="S109" s="1644">
        <v>10.54</v>
      </c>
      <c r="T109" s="1644">
        <v>1.25</v>
      </c>
      <c r="U109" s="1644">
        <v>1.28</v>
      </c>
      <c r="V109" s="1644">
        <v>0.01</v>
      </c>
      <c r="W109" s="1644">
        <v>0.01</v>
      </c>
      <c r="X109" s="1644">
        <v>0</v>
      </c>
      <c r="Y109" s="1644">
        <v>0</v>
      </c>
      <c r="Z109" s="1644">
        <v>0.72</v>
      </c>
      <c r="AA109" s="1644">
        <v>0.74</v>
      </c>
      <c r="AB109" s="1644">
        <v>268.88</v>
      </c>
      <c r="AC109" s="1644">
        <v>272.79000000000002</v>
      </c>
      <c r="AD109" s="1644">
        <v>19.47</v>
      </c>
      <c r="AE109" s="1644">
        <v>20.14</v>
      </c>
      <c r="AF109" s="1820" t="s">
        <v>555</v>
      </c>
      <c r="AG109" s="1644">
        <v>0.06</v>
      </c>
      <c r="AH109" s="1644">
        <v>0.06</v>
      </c>
      <c r="AI109" s="1644">
        <v>0.78</v>
      </c>
      <c r="AJ109" s="1644">
        <v>0.8</v>
      </c>
      <c r="AK109" s="1644">
        <v>55.97</v>
      </c>
      <c r="AL109" s="353">
        <v>56.63</v>
      </c>
      <c r="AM109" s="353">
        <v>9.93</v>
      </c>
      <c r="AN109" s="353">
        <v>9.9700000000000006</v>
      </c>
      <c r="AO109" s="353">
        <v>211.05</v>
      </c>
      <c r="AP109" s="353">
        <v>213.77</v>
      </c>
      <c r="AQ109" s="353">
        <v>0.77</v>
      </c>
      <c r="AR109" s="353">
        <v>0.78</v>
      </c>
      <c r="AS109" s="353">
        <v>1.59</v>
      </c>
      <c r="AT109" s="353">
        <v>1.63</v>
      </c>
      <c r="AU109" s="1815" t="s">
        <v>555</v>
      </c>
      <c r="AV109" s="418">
        <v>21.9</v>
      </c>
      <c r="AW109" s="353">
        <v>22.61</v>
      </c>
      <c r="AX109" s="353">
        <v>1.38</v>
      </c>
      <c r="AY109" s="353">
        <v>1.41</v>
      </c>
      <c r="AZ109" s="353">
        <v>21.67</v>
      </c>
      <c r="BA109" s="353">
        <v>21.95</v>
      </c>
      <c r="BB109" s="353">
        <v>7.0000000000000007E-2</v>
      </c>
      <c r="BC109" s="353">
        <v>0.08</v>
      </c>
      <c r="BD109" s="353">
        <v>59.91</v>
      </c>
      <c r="BE109" s="353">
        <v>61.09</v>
      </c>
      <c r="BF109" s="353">
        <v>9.69</v>
      </c>
      <c r="BG109" s="353">
        <v>9.84</v>
      </c>
      <c r="BH109" s="353">
        <v>0.53</v>
      </c>
      <c r="BI109" s="353">
        <v>0.54</v>
      </c>
      <c r="BJ109" s="1815" t="s">
        <v>555</v>
      </c>
      <c r="BK109" s="353">
        <v>81.91</v>
      </c>
      <c r="BL109" s="353">
        <v>83.59</v>
      </c>
      <c r="BM109" s="353">
        <v>0.16</v>
      </c>
      <c r="BN109" s="353">
        <v>0.16</v>
      </c>
      <c r="BO109" s="353">
        <v>114.4</v>
      </c>
      <c r="BP109" s="353">
        <v>116.57</v>
      </c>
      <c r="BQ109" s="353">
        <v>2.4700000000000002</v>
      </c>
      <c r="BR109" s="353">
        <v>2.52</v>
      </c>
      <c r="BS109" s="353">
        <v>22.12</v>
      </c>
      <c r="BT109" s="353">
        <v>22.41</v>
      </c>
      <c r="BU109" s="353">
        <v>81.260000000000005</v>
      </c>
      <c r="BV109" s="353">
        <v>82.3</v>
      </c>
      <c r="BW109" s="353">
        <v>107.45</v>
      </c>
      <c r="BX109" s="353">
        <v>110.35</v>
      </c>
    </row>
    <row r="110" spans="1:76" s="1284" customFormat="1" ht="11.45" customHeight="1" x14ac:dyDescent="0.15">
      <c r="A110" s="1848" t="s">
        <v>1296</v>
      </c>
      <c r="B110" s="1820" t="s">
        <v>548</v>
      </c>
      <c r="C110" s="1644">
        <v>63.05</v>
      </c>
      <c r="D110" s="1644">
        <v>64.52</v>
      </c>
      <c r="E110" s="1644">
        <v>82.55</v>
      </c>
      <c r="F110" s="1644">
        <v>82.7</v>
      </c>
      <c r="G110" s="1644">
        <v>218.87</v>
      </c>
      <c r="H110" s="1644">
        <v>219.31</v>
      </c>
      <c r="I110" s="1644">
        <v>64.62</v>
      </c>
      <c r="J110" s="1644">
        <v>65.739999999999995</v>
      </c>
      <c r="K110" s="1644">
        <v>12.52</v>
      </c>
      <c r="L110" s="1644">
        <v>12.66</v>
      </c>
      <c r="M110" s="1644">
        <v>13.12</v>
      </c>
      <c r="N110" s="1644">
        <v>13.33</v>
      </c>
      <c r="O110" s="1644">
        <v>97.69</v>
      </c>
      <c r="P110" s="1644">
        <v>99.22</v>
      </c>
      <c r="Q110" s="1820" t="s">
        <v>548</v>
      </c>
      <c r="R110" s="1644">
        <v>10.57</v>
      </c>
      <c r="S110" s="1644">
        <v>10.59</v>
      </c>
      <c r="T110" s="1644">
        <v>1.28</v>
      </c>
      <c r="U110" s="1644">
        <v>1.3</v>
      </c>
      <c r="V110" s="1644">
        <v>0.01</v>
      </c>
      <c r="W110" s="1644">
        <v>0.01</v>
      </c>
      <c r="X110" s="1644">
        <v>0</v>
      </c>
      <c r="Y110" s="1644">
        <v>0</v>
      </c>
      <c r="Z110" s="1644">
        <v>0.73</v>
      </c>
      <c r="AA110" s="1644">
        <v>0.73</v>
      </c>
      <c r="AB110" s="1644">
        <v>273.31</v>
      </c>
      <c r="AC110" s="1644">
        <v>274.3</v>
      </c>
      <c r="AD110" s="1644">
        <v>20.239999999999998</v>
      </c>
      <c r="AE110" s="1644">
        <v>20.43</v>
      </c>
      <c r="AF110" s="1820" t="s">
        <v>548</v>
      </c>
      <c r="AG110" s="1644">
        <v>0.06</v>
      </c>
      <c r="AH110" s="1644">
        <v>0.06</v>
      </c>
      <c r="AI110" s="1644">
        <v>0.8</v>
      </c>
      <c r="AJ110" s="1644">
        <v>0.81</v>
      </c>
      <c r="AK110" s="1644">
        <v>57.45</v>
      </c>
      <c r="AL110" s="339">
        <v>58.61</v>
      </c>
      <c r="AM110" s="339">
        <v>9.93</v>
      </c>
      <c r="AN110" s="339">
        <v>10.07</v>
      </c>
      <c r="AO110" s="339">
        <v>214.42</v>
      </c>
      <c r="AP110" s="339">
        <v>214.78</v>
      </c>
      <c r="AQ110" s="339">
        <v>0.76</v>
      </c>
      <c r="AR110" s="339">
        <v>0.75</v>
      </c>
      <c r="AS110" s="339">
        <v>1.64</v>
      </c>
      <c r="AT110" s="339">
        <v>1.65</v>
      </c>
      <c r="AU110" s="464" t="s">
        <v>548</v>
      </c>
      <c r="AV110" s="501">
        <v>22.67</v>
      </c>
      <c r="AW110" s="339">
        <v>22.71</v>
      </c>
      <c r="AX110" s="339">
        <v>1.41</v>
      </c>
      <c r="AY110" s="339">
        <v>1.43</v>
      </c>
      <c r="AZ110" s="339">
        <v>22.01</v>
      </c>
      <c r="BA110" s="339">
        <v>22.05</v>
      </c>
      <c r="BB110" s="339">
        <v>0.08</v>
      </c>
      <c r="BC110" s="339">
        <v>0.08</v>
      </c>
      <c r="BD110" s="339">
        <v>61.31</v>
      </c>
      <c r="BE110" s="339">
        <v>61.83</v>
      </c>
      <c r="BF110" s="339">
        <v>9.84</v>
      </c>
      <c r="BG110" s="339">
        <v>10.08</v>
      </c>
      <c r="BH110" s="339">
        <v>0.54</v>
      </c>
      <c r="BI110" s="339">
        <v>0.54</v>
      </c>
      <c r="BJ110" s="464" t="s">
        <v>548</v>
      </c>
      <c r="BK110" s="339">
        <v>83.66</v>
      </c>
      <c r="BL110" s="339">
        <v>84.88</v>
      </c>
      <c r="BM110" s="339">
        <v>0.16</v>
      </c>
      <c r="BN110" s="339">
        <v>0.16</v>
      </c>
      <c r="BO110" s="339">
        <v>116.82</v>
      </c>
      <c r="BP110" s="339">
        <v>117.77</v>
      </c>
      <c r="BQ110" s="339">
        <v>2.5299999999999998</v>
      </c>
      <c r="BR110" s="339">
        <v>2.54</v>
      </c>
      <c r="BS110" s="339">
        <v>22.48</v>
      </c>
      <c r="BT110" s="339">
        <v>22.52</v>
      </c>
      <c r="BU110" s="339">
        <v>82.55</v>
      </c>
      <c r="BV110" s="339">
        <v>82.7</v>
      </c>
      <c r="BW110" s="339">
        <v>110.59</v>
      </c>
      <c r="BX110" s="339">
        <v>111.76</v>
      </c>
    </row>
    <row r="111" spans="1:76" s="1284" customFormat="1" ht="11.45" customHeight="1" x14ac:dyDescent="0.15">
      <c r="A111" s="1848" t="s">
        <v>1296</v>
      </c>
      <c r="B111" s="1820" t="s">
        <v>556</v>
      </c>
      <c r="C111" s="1644">
        <v>65.510000000000005</v>
      </c>
      <c r="D111" s="1644">
        <v>67.010000000000005</v>
      </c>
      <c r="E111" s="1644">
        <v>82.82</v>
      </c>
      <c r="F111" s="1644">
        <v>82.9</v>
      </c>
      <c r="G111" s="1644">
        <v>219.63</v>
      </c>
      <c r="H111" s="1644">
        <v>219.89</v>
      </c>
      <c r="I111" s="1644">
        <v>66.55</v>
      </c>
      <c r="J111" s="1644">
        <v>67.209999999999994</v>
      </c>
      <c r="K111" s="1644">
        <v>13.21</v>
      </c>
      <c r="L111" s="1644">
        <v>13.09</v>
      </c>
      <c r="M111" s="1644">
        <v>13.54</v>
      </c>
      <c r="N111" s="1644">
        <v>13.81</v>
      </c>
      <c r="O111" s="1644">
        <v>100.81</v>
      </c>
      <c r="P111" s="1644">
        <v>102.81</v>
      </c>
      <c r="Q111" s="1820" t="s">
        <v>556</v>
      </c>
      <c r="R111" s="1644">
        <v>10.59</v>
      </c>
      <c r="S111" s="1644">
        <v>10.6</v>
      </c>
      <c r="T111" s="1644">
        <v>1.3</v>
      </c>
      <c r="U111" s="1644">
        <v>1.3</v>
      </c>
      <c r="V111" s="1644">
        <v>0.01</v>
      </c>
      <c r="W111" s="1644">
        <v>0.01</v>
      </c>
      <c r="X111" s="1644">
        <v>0</v>
      </c>
      <c r="Y111" s="1644">
        <v>0</v>
      </c>
      <c r="Z111" s="1644">
        <v>0.75</v>
      </c>
      <c r="AA111" s="1644">
        <v>0.76</v>
      </c>
      <c r="AB111" s="1644">
        <v>275.27999999999997</v>
      </c>
      <c r="AC111" s="1644">
        <v>276.66000000000003</v>
      </c>
      <c r="AD111" s="1644">
        <v>20.91</v>
      </c>
      <c r="AE111" s="1644">
        <v>21.25</v>
      </c>
      <c r="AF111" s="1820" t="s">
        <v>556</v>
      </c>
      <c r="AG111" s="1644">
        <v>0.06</v>
      </c>
      <c r="AH111" s="1644">
        <v>0.06</v>
      </c>
      <c r="AI111" s="1644">
        <v>0.81</v>
      </c>
      <c r="AJ111" s="1644">
        <v>0.82</v>
      </c>
      <c r="AK111" s="1644">
        <v>60.17</v>
      </c>
      <c r="AL111" s="353">
        <v>60.77</v>
      </c>
      <c r="AM111" s="353">
        <v>10.44</v>
      </c>
      <c r="AN111" s="353">
        <v>10.74</v>
      </c>
      <c r="AO111" s="353">
        <v>215.1</v>
      </c>
      <c r="AP111" s="353">
        <v>215.32</v>
      </c>
      <c r="AQ111" s="353">
        <v>0.75</v>
      </c>
      <c r="AR111" s="353">
        <v>0.75</v>
      </c>
      <c r="AS111" s="353">
        <v>1.64</v>
      </c>
      <c r="AT111" s="353">
        <v>1.62</v>
      </c>
      <c r="AU111" s="1815" t="s">
        <v>556</v>
      </c>
      <c r="AV111" s="418">
        <v>22.73</v>
      </c>
      <c r="AW111" s="353">
        <v>22.77</v>
      </c>
      <c r="AX111" s="353">
        <v>1.46</v>
      </c>
      <c r="AY111" s="353">
        <v>1.47</v>
      </c>
      <c r="AZ111" s="353">
        <v>22.08</v>
      </c>
      <c r="BA111" s="353">
        <v>22.11</v>
      </c>
      <c r="BB111" s="353">
        <v>0.08</v>
      </c>
      <c r="BC111" s="353">
        <v>0.08</v>
      </c>
      <c r="BD111" s="353">
        <v>62.59</v>
      </c>
      <c r="BE111" s="353">
        <v>63.21</v>
      </c>
      <c r="BF111" s="353">
        <v>10.28</v>
      </c>
      <c r="BG111" s="353">
        <v>10.53</v>
      </c>
      <c r="BH111" s="353">
        <v>0.54</v>
      </c>
      <c r="BI111" s="353">
        <v>0.54</v>
      </c>
      <c r="BJ111" s="1815" t="s">
        <v>556</v>
      </c>
      <c r="BK111" s="353">
        <v>86</v>
      </c>
      <c r="BL111" s="353">
        <v>88.73</v>
      </c>
      <c r="BM111" s="353">
        <v>0.16</v>
      </c>
      <c r="BN111" s="353">
        <v>0.16</v>
      </c>
      <c r="BO111" s="353">
        <v>118.98</v>
      </c>
      <c r="BP111" s="353">
        <v>120.63</v>
      </c>
      <c r="BQ111" s="353">
        <v>2.59</v>
      </c>
      <c r="BR111" s="353">
        <v>2.64</v>
      </c>
      <c r="BS111" s="353">
        <v>22.55</v>
      </c>
      <c r="BT111" s="353">
        <v>22.57</v>
      </c>
      <c r="BU111" s="353">
        <v>82.82</v>
      </c>
      <c r="BV111" s="353">
        <v>82.9</v>
      </c>
      <c r="BW111" s="353">
        <v>114.21</v>
      </c>
      <c r="BX111" s="353">
        <v>117.27</v>
      </c>
    </row>
    <row r="112" spans="1:76" s="1284" customFormat="1" ht="11.45" customHeight="1" x14ac:dyDescent="0.15">
      <c r="A112" s="1848" t="s">
        <v>1296</v>
      </c>
      <c r="B112" s="1820" t="s">
        <v>557</v>
      </c>
      <c r="C112" s="1644">
        <v>65.36</v>
      </c>
      <c r="D112" s="1644">
        <v>64.62</v>
      </c>
      <c r="E112" s="1644">
        <v>82.92</v>
      </c>
      <c r="F112" s="1644">
        <v>82.96</v>
      </c>
      <c r="G112" s="1644">
        <v>219.94</v>
      </c>
      <c r="H112" s="1644">
        <v>220.05</v>
      </c>
      <c r="I112" s="1644">
        <v>66.05</v>
      </c>
      <c r="J112" s="1644">
        <v>64.930000000000007</v>
      </c>
      <c r="K112" s="1644">
        <v>13.12</v>
      </c>
      <c r="L112" s="1644">
        <v>13.11</v>
      </c>
      <c r="M112" s="1644">
        <v>13.75</v>
      </c>
      <c r="N112" s="1644">
        <v>13.63</v>
      </c>
      <c r="O112" s="1644">
        <v>102.4</v>
      </c>
      <c r="P112" s="1644">
        <v>101.48</v>
      </c>
      <c r="Q112" s="1820" t="s">
        <v>557</v>
      </c>
      <c r="R112" s="1644">
        <v>10.6</v>
      </c>
      <c r="S112" s="1644">
        <v>10.6</v>
      </c>
      <c r="T112" s="1644">
        <v>1.29</v>
      </c>
      <c r="U112" s="1644">
        <v>1.28</v>
      </c>
      <c r="V112" s="1644">
        <v>0.01</v>
      </c>
      <c r="W112" s="1644">
        <v>0.01</v>
      </c>
      <c r="X112" s="1644">
        <v>0</v>
      </c>
      <c r="Y112" s="1644">
        <v>0</v>
      </c>
      <c r="Z112" s="1644">
        <v>0.77</v>
      </c>
      <c r="AA112" s="1644">
        <v>0.77</v>
      </c>
      <c r="AB112" s="1644">
        <v>276.57</v>
      </c>
      <c r="AC112" s="1644">
        <v>276.86</v>
      </c>
      <c r="AD112" s="1644">
        <v>21.21</v>
      </c>
      <c r="AE112" s="1644">
        <v>21.13</v>
      </c>
      <c r="AF112" s="1820" t="s">
        <v>557</v>
      </c>
      <c r="AG112" s="1644">
        <v>0.06</v>
      </c>
      <c r="AH112" s="1644">
        <v>0.06</v>
      </c>
      <c r="AI112" s="1644">
        <v>0.81</v>
      </c>
      <c r="AJ112" s="1644">
        <v>0.8</v>
      </c>
      <c r="AK112" s="1644">
        <v>60.62</v>
      </c>
      <c r="AL112" s="339">
        <v>60.03</v>
      </c>
      <c r="AM112" s="339">
        <v>10.59</v>
      </c>
      <c r="AN112" s="339">
        <v>10.54</v>
      </c>
      <c r="AO112" s="339">
        <v>215.38</v>
      </c>
      <c r="AP112" s="339">
        <v>215.48</v>
      </c>
      <c r="AQ112" s="339">
        <v>0.75</v>
      </c>
      <c r="AR112" s="339">
        <v>0.75</v>
      </c>
      <c r="AS112" s="339">
        <v>1.6</v>
      </c>
      <c r="AT112" s="339">
        <v>1.59</v>
      </c>
      <c r="AU112" s="464" t="s">
        <v>557</v>
      </c>
      <c r="AV112" s="501">
        <v>22.76</v>
      </c>
      <c r="AW112" s="339">
        <v>22.78</v>
      </c>
      <c r="AX112" s="339">
        <v>1.46</v>
      </c>
      <c r="AY112" s="339">
        <v>1.47</v>
      </c>
      <c r="AZ112" s="339">
        <v>22.11</v>
      </c>
      <c r="BA112" s="339">
        <v>22.12</v>
      </c>
      <c r="BB112" s="339">
        <v>0.08</v>
      </c>
      <c r="BC112" s="339">
        <v>0.08</v>
      </c>
      <c r="BD112" s="339">
        <v>62.85</v>
      </c>
      <c r="BE112" s="339">
        <v>62.64</v>
      </c>
      <c r="BF112" s="339">
        <v>10.33</v>
      </c>
      <c r="BG112" s="339">
        <v>10.08</v>
      </c>
      <c r="BH112" s="339">
        <v>0.54</v>
      </c>
      <c r="BI112" s="339">
        <v>0.54</v>
      </c>
      <c r="BJ112" s="464" t="s">
        <v>557</v>
      </c>
      <c r="BK112" s="339">
        <v>88.71</v>
      </c>
      <c r="BL112" s="339">
        <v>88.35</v>
      </c>
      <c r="BM112" s="339">
        <v>0.16</v>
      </c>
      <c r="BN112" s="339">
        <v>0.16</v>
      </c>
      <c r="BO112" s="339">
        <v>120.45</v>
      </c>
      <c r="BP112" s="339">
        <v>120.41</v>
      </c>
      <c r="BQ112" s="339">
        <v>2.63</v>
      </c>
      <c r="BR112" s="339">
        <v>2.64</v>
      </c>
      <c r="BS112" s="339">
        <v>22.58</v>
      </c>
      <c r="BT112" s="339">
        <v>22.59</v>
      </c>
      <c r="BU112" s="339">
        <v>82.92</v>
      </c>
      <c r="BV112" s="339">
        <v>82.96</v>
      </c>
      <c r="BW112" s="339">
        <v>115.89</v>
      </c>
      <c r="BX112" s="339">
        <v>115.39</v>
      </c>
    </row>
    <row r="113" spans="1:76" s="1284" customFormat="1" ht="11.45" customHeight="1" x14ac:dyDescent="0.15">
      <c r="A113" s="1848" t="s">
        <v>1296</v>
      </c>
      <c r="B113" s="1820" t="s">
        <v>549</v>
      </c>
      <c r="C113" s="1644">
        <v>64.45</v>
      </c>
      <c r="D113" s="1644">
        <v>63.56</v>
      </c>
      <c r="E113" s="1644">
        <v>82.96</v>
      </c>
      <c r="F113" s="1644">
        <v>82.96</v>
      </c>
      <c r="G113" s="1644">
        <v>220.03</v>
      </c>
      <c r="H113" s="1644">
        <v>219.99</v>
      </c>
      <c r="I113" s="1644">
        <v>64.209999999999994</v>
      </c>
      <c r="J113" s="1644">
        <v>64.2</v>
      </c>
      <c r="K113" s="1644">
        <v>13.12</v>
      </c>
      <c r="L113" s="1644">
        <v>13.16</v>
      </c>
      <c r="M113" s="1644">
        <v>13.74</v>
      </c>
      <c r="N113" s="1644">
        <v>13.7</v>
      </c>
      <c r="O113" s="1644">
        <v>102.32</v>
      </c>
      <c r="P113" s="1644">
        <v>102.11</v>
      </c>
      <c r="Q113" s="1820" t="s">
        <v>549</v>
      </c>
      <c r="R113" s="1644">
        <v>10.58</v>
      </c>
      <c r="S113" s="1644">
        <v>10.57</v>
      </c>
      <c r="T113" s="1644">
        <v>1.28</v>
      </c>
      <c r="U113" s="1644">
        <v>1.27</v>
      </c>
      <c r="V113" s="1644">
        <v>0.01</v>
      </c>
      <c r="W113" s="1644">
        <v>0.01</v>
      </c>
      <c r="X113" s="1644">
        <v>0</v>
      </c>
      <c r="Y113" s="1644">
        <v>0</v>
      </c>
      <c r="Z113" s="1644">
        <v>0.78</v>
      </c>
      <c r="AA113" s="1644">
        <v>0.78</v>
      </c>
      <c r="AB113" s="1644">
        <v>276.73</v>
      </c>
      <c r="AC113" s="1644">
        <v>277.13</v>
      </c>
      <c r="AD113" s="1644">
        <v>21.25</v>
      </c>
      <c r="AE113" s="1644">
        <v>21.45</v>
      </c>
      <c r="AF113" s="1820" t="s">
        <v>549</v>
      </c>
      <c r="AG113" s="1644">
        <v>0.06</v>
      </c>
      <c r="AH113" s="1644">
        <v>0.06</v>
      </c>
      <c r="AI113" s="1644">
        <v>0.8</v>
      </c>
      <c r="AJ113" s="1644">
        <v>0.8</v>
      </c>
      <c r="AK113" s="1644">
        <v>60.19</v>
      </c>
      <c r="AL113" s="353">
        <v>59.83</v>
      </c>
      <c r="AM113" s="353">
        <v>10.68</v>
      </c>
      <c r="AN113" s="353">
        <v>10.55</v>
      </c>
      <c r="AO113" s="353">
        <v>215.48</v>
      </c>
      <c r="AP113" s="353">
        <v>215.48</v>
      </c>
      <c r="AQ113" s="353">
        <v>0.74</v>
      </c>
      <c r="AR113" s="353">
        <v>0.72</v>
      </c>
      <c r="AS113" s="353">
        <v>1.59</v>
      </c>
      <c r="AT113" s="353">
        <v>1.59</v>
      </c>
      <c r="AU113" s="1815" t="s">
        <v>549</v>
      </c>
      <c r="AV113" s="418">
        <v>22.77</v>
      </c>
      <c r="AW113" s="353">
        <v>22.78</v>
      </c>
      <c r="AX113" s="353">
        <v>1.46</v>
      </c>
      <c r="AY113" s="353">
        <v>1.44</v>
      </c>
      <c r="AZ113" s="353">
        <v>22.12</v>
      </c>
      <c r="BA113" s="353">
        <v>22.12</v>
      </c>
      <c r="BB113" s="353">
        <v>0.08</v>
      </c>
      <c r="BC113" s="353">
        <v>0.08</v>
      </c>
      <c r="BD113" s="353">
        <v>63.07</v>
      </c>
      <c r="BE113" s="353">
        <v>63.24</v>
      </c>
      <c r="BF113" s="353">
        <v>10.08</v>
      </c>
      <c r="BG113" s="353">
        <v>9.94</v>
      </c>
      <c r="BH113" s="353">
        <v>0.53</v>
      </c>
      <c r="BI113" s="353">
        <v>0.53</v>
      </c>
      <c r="BJ113" s="1815" t="s">
        <v>549</v>
      </c>
      <c r="BK113" s="353">
        <v>87.58</v>
      </c>
      <c r="BL113" s="353">
        <v>86.71</v>
      </c>
      <c r="BM113" s="353">
        <v>0.16</v>
      </c>
      <c r="BN113" s="353">
        <v>0.16</v>
      </c>
      <c r="BO113" s="353">
        <v>120.49</v>
      </c>
      <c r="BP113" s="353">
        <v>120.6</v>
      </c>
      <c r="BQ113" s="353">
        <v>2.65</v>
      </c>
      <c r="BR113" s="353">
        <v>2.65</v>
      </c>
      <c r="BS113" s="353">
        <v>22.59</v>
      </c>
      <c r="BT113" s="353">
        <v>22.59</v>
      </c>
      <c r="BU113" s="353">
        <v>82.96</v>
      </c>
      <c r="BV113" s="353">
        <v>82.96</v>
      </c>
      <c r="BW113" s="353">
        <v>115.87</v>
      </c>
      <c r="BX113" s="353">
        <v>116.79</v>
      </c>
    </row>
    <row r="114" spans="1:76" s="1284" customFormat="1" ht="11.45" customHeight="1" x14ac:dyDescent="0.15">
      <c r="A114" s="1848" t="s">
        <v>1296</v>
      </c>
      <c r="B114" s="1820" t="s">
        <v>558</v>
      </c>
      <c r="C114" s="1644">
        <v>63.81</v>
      </c>
      <c r="D114" s="1644">
        <v>62.92</v>
      </c>
      <c r="E114" s="1644">
        <v>82.97</v>
      </c>
      <c r="F114" s="1644">
        <v>82.98</v>
      </c>
      <c r="G114" s="1644">
        <v>220.06</v>
      </c>
      <c r="H114" s="1644">
        <v>220.08</v>
      </c>
      <c r="I114" s="1644">
        <v>65.14</v>
      </c>
      <c r="J114" s="1644">
        <v>64.69</v>
      </c>
      <c r="K114" s="1644">
        <v>13.17</v>
      </c>
      <c r="L114" s="1644">
        <v>13.09</v>
      </c>
      <c r="M114" s="1644">
        <v>13.69</v>
      </c>
      <c r="N114" s="1644">
        <v>13.51</v>
      </c>
      <c r="O114" s="1644">
        <v>101.97</v>
      </c>
      <c r="P114" s="1644">
        <v>100.65</v>
      </c>
      <c r="Q114" s="1820" t="s">
        <v>558</v>
      </c>
      <c r="R114" s="1644">
        <v>10.57</v>
      </c>
      <c r="S114" s="1644">
        <v>10.57</v>
      </c>
      <c r="T114" s="1644">
        <v>1.26</v>
      </c>
      <c r="U114" s="1644">
        <v>1.25</v>
      </c>
      <c r="V114" s="1644">
        <v>0.01</v>
      </c>
      <c r="W114" s="1644">
        <v>0.01</v>
      </c>
      <c r="X114" s="1644">
        <v>0</v>
      </c>
      <c r="Y114" s="1644">
        <v>0</v>
      </c>
      <c r="Z114" s="1644">
        <v>0.77</v>
      </c>
      <c r="AA114" s="1644">
        <v>0.76</v>
      </c>
      <c r="AB114" s="1644">
        <v>276.52</v>
      </c>
      <c r="AC114" s="1644">
        <v>275.68</v>
      </c>
      <c r="AD114" s="1644">
        <v>21.35</v>
      </c>
      <c r="AE114" s="1644">
        <v>21.17</v>
      </c>
      <c r="AF114" s="1820" t="s">
        <v>558</v>
      </c>
      <c r="AG114" s="1644">
        <v>0.06</v>
      </c>
      <c r="AH114" s="1644">
        <v>0.06</v>
      </c>
      <c r="AI114" s="1644">
        <v>0.79</v>
      </c>
      <c r="AJ114" s="1644">
        <v>0.78</v>
      </c>
      <c r="AK114" s="1644">
        <v>60.17</v>
      </c>
      <c r="AL114" s="339">
        <v>58.79</v>
      </c>
      <c r="AM114" s="339">
        <v>10.59</v>
      </c>
      <c r="AN114" s="339">
        <v>10.43</v>
      </c>
      <c r="AO114" s="339">
        <v>215.52</v>
      </c>
      <c r="AP114" s="339">
        <v>215.53</v>
      </c>
      <c r="AQ114" s="339">
        <v>0.72</v>
      </c>
      <c r="AR114" s="339">
        <v>0.72</v>
      </c>
      <c r="AS114" s="339">
        <v>1.59</v>
      </c>
      <c r="AT114" s="339">
        <v>1.6</v>
      </c>
      <c r="AU114" s="464" t="s">
        <v>558</v>
      </c>
      <c r="AV114" s="501">
        <v>22.79</v>
      </c>
      <c r="AW114" s="339">
        <v>22.79</v>
      </c>
      <c r="AX114" s="339">
        <v>1.37</v>
      </c>
      <c r="AY114" s="339">
        <v>1.33</v>
      </c>
      <c r="AZ114" s="339">
        <v>22.13</v>
      </c>
      <c r="BA114" s="339">
        <v>22.13</v>
      </c>
      <c r="BB114" s="339">
        <v>0.08</v>
      </c>
      <c r="BC114" s="339">
        <v>0.08</v>
      </c>
      <c r="BD114" s="339">
        <v>63.1</v>
      </c>
      <c r="BE114" s="339">
        <v>62.69</v>
      </c>
      <c r="BF114" s="339">
        <v>9.84</v>
      </c>
      <c r="BG114" s="339">
        <v>9.57</v>
      </c>
      <c r="BH114" s="339">
        <v>0.53</v>
      </c>
      <c r="BI114" s="339">
        <v>0.53</v>
      </c>
      <c r="BJ114" s="464" t="s">
        <v>558</v>
      </c>
      <c r="BK114" s="339">
        <v>85.86</v>
      </c>
      <c r="BL114" s="339">
        <v>84</v>
      </c>
      <c r="BM114" s="339">
        <v>0.16</v>
      </c>
      <c r="BN114" s="339">
        <v>0.16</v>
      </c>
      <c r="BO114" s="339">
        <v>120.41</v>
      </c>
      <c r="BP114" s="339">
        <v>119.31</v>
      </c>
      <c r="BQ114" s="339">
        <v>2.65</v>
      </c>
      <c r="BR114" s="339">
        <v>2.63</v>
      </c>
      <c r="BS114" s="339">
        <v>22.59</v>
      </c>
      <c r="BT114" s="339">
        <v>22.59</v>
      </c>
      <c r="BU114" s="339">
        <v>82.97</v>
      </c>
      <c r="BV114" s="339">
        <v>82.98</v>
      </c>
      <c r="BW114" s="339">
        <v>116.81</v>
      </c>
      <c r="BX114" s="339">
        <v>114.35</v>
      </c>
    </row>
    <row r="115" spans="1:76" s="1284" customFormat="1" ht="11.45" customHeight="1" x14ac:dyDescent="0.15">
      <c r="A115" s="1848" t="s">
        <v>1296</v>
      </c>
      <c r="B115" s="1820" t="s">
        <v>559</v>
      </c>
      <c r="C115" s="1644">
        <v>62.74</v>
      </c>
      <c r="D115" s="1644">
        <v>63.42</v>
      </c>
      <c r="E115" s="1644">
        <v>83.38</v>
      </c>
      <c r="F115" s="1644">
        <v>83.7</v>
      </c>
      <c r="G115" s="1644">
        <v>220.98</v>
      </c>
      <c r="H115" s="1644">
        <v>221.66</v>
      </c>
      <c r="I115" s="1644">
        <v>64.8</v>
      </c>
      <c r="J115" s="1644">
        <v>65.02</v>
      </c>
      <c r="K115" s="1644">
        <v>13.08</v>
      </c>
      <c r="L115" s="1644">
        <v>13.05</v>
      </c>
      <c r="M115" s="1644">
        <v>13.23</v>
      </c>
      <c r="N115" s="1644">
        <v>13.12</v>
      </c>
      <c r="O115" s="1644">
        <v>98.51</v>
      </c>
      <c r="P115" s="1644">
        <v>97.62</v>
      </c>
      <c r="Q115" s="1820" t="s">
        <v>559</v>
      </c>
      <c r="R115" s="1644">
        <v>10.62</v>
      </c>
      <c r="S115" s="1644">
        <v>10.67</v>
      </c>
      <c r="T115" s="1644">
        <v>1.23</v>
      </c>
      <c r="U115" s="1644">
        <v>1.24</v>
      </c>
      <c r="V115" s="1644">
        <v>0.01</v>
      </c>
      <c r="W115" s="1644">
        <v>0.01</v>
      </c>
      <c r="X115" s="1644">
        <v>0</v>
      </c>
      <c r="Y115" s="1644">
        <v>0</v>
      </c>
      <c r="Z115" s="1644">
        <v>0.76</v>
      </c>
      <c r="AA115" s="1644">
        <v>0.77</v>
      </c>
      <c r="AB115" s="1644">
        <v>276.32</v>
      </c>
      <c r="AC115" s="1644">
        <v>276.74</v>
      </c>
      <c r="AD115" s="1644">
        <v>21.04</v>
      </c>
      <c r="AE115" s="1644">
        <v>21.04</v>
      </c>
      <c r="AF115" s="1820" t="s">
        <v>559</v>
      </c>
      <c r="AG115" s="1644">
        <v>0.06</v>
      </c>
      <c r="AH115" s="1644">
        <v>0.06</v>
      </c>
      <c r="AI115" s="1644">
        <v>0.77</v>
      </c>
      <c r="AJ115" s="1644">
        <v>0.78</v>
      </c>
      <c r="AK115" s="1644">
        <v>57.92</v>
      </c>
      <c r="AL115" s="353">
        <v>58.49</v>
      </c>
      <c r="AM115" s="353">
        <v>10.29</v>
      </c>
      <c r="AN115" s="353">
        <v>10.23</v>
      </c>
      <c r="AO115" s="353">
        <v>216.44</v>
      </c>
      <c r="AP115" s="353">
        <v>217.4</v>
      </c>
      <c r="AQ115" s="353">
        <v>0.72</v>
      </c>
      <c r="AR115" s="353">
        <v>0.72</v>
      </c>
      <c r="AS115" s="353">
        <v>1.6</v>
      </c>
      <c r="AT115" s="353">
        <v>1.59</v>
      </c>
      <c r="AU115" s="1815" t="s">
        <v>559</v>
      </c>
      <c r="AV115" s="418">
        <v>22.9</v>
      </c>
      <c r="AW115" s="353">
        <v>22.99</v>
      </c>
      <c r="AX115" s="353">
        <v>1.34</v>
      </c>
      <c r="AY115" s="353">
        <v>1.35</v>
      </c>
      <c r="AZ115" s="353">
        <v>22.23</v>
      </c>
      <c r="BA115" s="353">
        <v>22.32</v>
      </c>
      <c r="BB115" s="353">
        <v>0.08</v>
      </c>
      <c r="BC115" s="353">
        <v>0.08</v>
      </c>
      <c r="BD115" s="353">
        <v>62.22</v>
      </c>
      <c r="BE115" s="353">
        <v>62.5</v>
      </c>
      <c r="BF115" s="353">
        <v>9.52</v>
      </c>
      <c r="BG115" s="353">
        <v>9.5</v>
      </c>
      <c r="BH115" s="353">
        <v>0.53</v>
      </c>
      <c r="BI115" s="353">
        <v>0.53</v>
      </c>
      <c r="BJ115" s="1815" t="s">
        <v>559</v>
      </c>
      <c r="BK115" s="353">
        <v>83.55</v>
      </c>
      <c r="BL115" s="353">
        <v>84.61</v>
      </c>
      <c r="BM115" s="353">
        <v>0.16</v>
      </c>
      <c r="BN115" s="353">
        <v>0.16</v>
      </c>
      <c r="BO115" s="353">
        <v>118.41</v>
      </c>
      <c r="BP115" s="353">
        <v>118.37</v>
      </c>
      <c r="BQ115" s="353">
        <v>2.61</v>
      </c>
      <c r="BR115" s="353">
        <v>2.62</v>
      </c>
      <c r="BS115" s="353">
        <v>22.7</v>
      </c>
      <c r="BT115" s="353">
        <v>22.79</v>
      </c>
      <c r="BU115" s="353">
        <v>83.38</v>
      </c>
      <c r="BV115" s="353">
        <v>83.7</v>
      </c>
      <c r="BW115" s="353">
        <v>112.28</v>
      </c>
      <c r="BX115" s="353">
        <v>111.25</v>
      </c>
    </row>
    <row r="116" spans="1:76" s="1284" customFormat="1" ht="11.45" customHeight="1" x14ac:dyDescent="0.15">
      <c r="A116" s="1848" t="s">
        <v>1296</v>
      </c>
      <c r="B116" s="1820" t="s">
        <v>550</v>
      </c>
      <c r="C116" s="1644">
        <v>62.87</v>
      </c>
      <c r="D116" s="1644">
        <v>61.58</v>
      </c>
      <c r="E116" s="1644">
        <v>83.7</v>
      </c>
      <c r="F116" s="1644">
        <v>83.73</v>
      </c>
      <c r="G116" s="1644">
        <v>221.36</v>
      </c>
      <c r="H116" s="1644">
        <v>221.47</v>
      </c>
      <c r="I116" s="1644">
        <v>63.91</v>
      </c>
      <c r="J116" s="1644">
        <v>63.21</v>
      </c>
      <c r="K116" s="1644">
        <v>12.98</v>
      </c>
      <c r="L116" s="1644">
        <v>12.65</v>
      </c>
      <c r="M116" s="1644">
        <v>13.13</v>
      </c>
      <c r="N116" s="1644">
        <v>13</v>
      </c>
      <c r="O116" s="1644">
        <v>97.79</v>
      </c>
      <c r="P116" s="1644">
        <v>96.86</v>
      </c>
      <c r="Q116" s="1820" t="s">
        <v>550</v>
      </c>
      <c r="R116" s="1644">
        <v>10.67</v>
      </c>
      <c r="S116" s="1644">
        <v>10.67</v>
      </c>
      <c r="T116" s="1644">
        <v>1.24</v>
      </c>
      <c r="U116" s="1644">
        <v>1.22</v>
      </c>
      <c r="V116" s="1644">
        <v>0.01</v>
      </c>
      <c r="W116" s="1644">
        <v>0.01</v>
      </c>
      <c r="X116" s="1644">
        <v>0</v>
      </c>
      <c r="Y116" s="1644">
        <v>0</v>
      </c>
      <c r="Z116" s="1644">
        <v>0.76</v>
      </c>
      <c r="AA116" s="1644">
        <v>0.76</v>
      </c>
      <c r="AB116" s="1644">
        <v>276.81</v>
      </c>
      <c r="AC116" s="1644">
        <v>276.82</v>
      </c>
      <c r="AD116" s="1644">
        <v>20.94</v>
      </c>
      <c r="AE116" s="1644">
        <v>20.74</v>
      </c>
      <c r="AF116" s="1820" t="s">
        <v>550</v>
      </c>
      <c r="AG116" s="1644">
        <v>0.06</v>
      </c>
      <c r="AH116" s="1644">
        <v>0.06</v>
      </c>
      <c r="AI116" s="1644">
        <v>0.77</v>
      </c>
      <c r="AJ116" s="1644">
        <v>0.77</v>
      </c>
      <c r="AK116" s="1644">
        <v>58.22</v>
      </c>
      <c r="AL116" s="339">
        <v>56.56</v>
      </c>
      <c r="AM116" s="339">
        <v>10.31</v>
      </c>
      <c r="AN116" s="339">
        <v>10.220000000000001</v>
      </c>
      <c r="AO116" s="339">
        <v>217.41</v>
      </c>
      <c r="AP116" s="339">
        <v>217.47</v>
      </c>
      <c r="AQ116" s="339">
        <v>0.71</v>
      </c>
      <c r="AR116" s="339">
        <v>0.69</v>
      </c>
      <c r="AS116" s="339">
        <v>1.58</v>
      </c>
      <c r="AT116" s="339">
        <v>1.57</v>
      </c>
      <c r="AU116" s="464" t="s">
        <v>550</v>
      </c>
      <c r="AV116" s="501">
        <v>22.99</v>
      </c>
      <c r="AW116" s="339">
        <v>23</v>
      </c>
      <c r="AX116" s="339">
        <v>1.33</v>
      </c>
      <c r="AY116" s="339">
        <v>1.33</v>
      </c>
      <c r="AZ116" s="339">
        <v>22.32</v>
      </c>
      <c r="BA116" s="339">
        <v>22.32</v>
      </c>
      <c r="BB116" s="339">
        <v>0.08</v>
      </c>
      <c r="BC116" s="339">
        <v>0.08</v>
      </c>
      <c r="BD116" s="339">
        <v>62.16</v>
      </c>
      <c r="BE116" s="339">
        <v>61.21</v>
      </c>
      <c r="BF116" s="339">
        <v>9.52</v>
      </c>
      <c r="BG116" s="339">
        <v>9.34</v>
      </c>
      <c r="BH116" s="339">
        <v>0.53</v>
      </c>
      <c r="BI116" s="339">
        <v>0.53</v>
      </c>
      <c r="BJ116" s="464" t="s">
        <v>550</v>
      </c>
      <c r="BK116" s="339">
        <v>84.58</v>
      </c>
      <c r="BL116" s="339">
        <v>83.94</v>
      </c>
      <c r="BM116" s="339">
        <v>0.16</v>
      </c>
      <c r="BN116" s="339">
        <v>0.16</v>
      </c>
      <c r="BO116" s="339">
        <v>118.41</v>
      </c>
      <c r="BP116" s="339">
        <v>117.62</v>
      </c>
      <c r="BQ116" s="339">
        <v>2.58</v>
      </c>
      <c r="BR116" s="339">
        <v>2.5299999999999998</v>
      </c>
      <c r="BS116" s="339">
        <v>22.79</v>
      </c>
      <c r="BT116" s="339">
        <v>22.79</v>
      </c>
      <c r="BU116" s="339">
        <v>83.7</v>
      </c>
      <c r="BV116" s="339">
        <v>83.73</v>
      </c>
      <c r="BW116" s="339">
        <v>111.3</v>
      </c>
      <c r="BX116" s="339">
        <v>109.5</v>
      </c>
    </row>
    <row r="117" spans="1:76" s="1284" customFormat="1" ht="11.45" customHeight="1" x14ac:dyDescent="0.15">
      <c r="A117" s="1848" t="s">
        <v>1404</v>
      </c>
      <c r="B117" s="1642" t="s">
        <v>552</v>
      </c>
      <c r="C117" s="1644">
        <v>62.05</v>
      </c>
      <c r="D117" s="1644">
        <v>62.03</v>
      </c>
      <c r="E117" s="1644">
        <v>83.75</v>
      </c>
      <c r="F117" s="1644">
        <v>83.75</v>
      </c>
      <c r="G117" s="1644">
        <v>221.25</v>
      </c>
      <c r="H117" s="1644">
        <v>221.59</v>
      </c>
      <c r="I117" s="1644">
        <v>63.78</v>
      </c>
      <c r="J117" s="1644">
        <v>64.25</v>
      </c>
      <c r="K117" s="1644">
        <v>12.5</v>
      </c>
      <c r="L117" s="1644">
        <v>12.29</v>
      </c>
      <c r="M117" s="1644">
        <v>13.14</v>
      </c>
      <c r="N117" s="1644">
        <v>13.16</v>
      </c>
      <c r="O117" s="1644">
        <v>97.9</v>
      </c>
      <c r="P117" s="1644">
        <v>98.04</v>
      </c>
      <c r="Q117" s="1642" t="s">
        <v>552</v>
      </c>
      <c r="R117" s="1644">
        <v>10.67</v>
      </c>
      <c r="S117" s="1644">
        <v>10.67</v>
      </c>
      <c r="T117" s="1644">
        <v>1.22</v>
      </c>
      <c r="U117" s="1644">
        <v>1.22</v>
      </c>
      <c r="V117" s="1644">
        <v>0.01</v>
      </c>
      <c r="W117" s="1644">
        <v>0.01</v>
      </c>
      <c r="X117" s="1644">
        <v>0</v>
      </c>
      <c r="Y117" s="1644">
        <v>0</v>
      </c>
      <c r="Z117" s="1644">
        <v>0.75</v>
      </c>
      <c r="AA117" s="1644">
        <v>0.75</v>
      </c>
      <c r="AB117" s="1644">
        <v>276.63</v>
      </c>
      <c r="AC117" s="1644">
        <v>276.68</v>
      </c>
      <c r="AD117" s="1644">
        <v>20.68</v>
      </c>
      <c r="AE117" s="1644">
        <v>20.63</v>
      </c>
      <c r="AF117" s="1642" t="s">
        <v>552</v>
      </c>
      <c r="AG117" s="1644">
        <v>0.06</v>
      </c>
      <c r="AH117" s="1644">
        <v>0.06</v>
      </c>
      <c r="AI117" s="1644">
        <v>0.76</v>
      </c>
      <c r="AJ117" s="1644">
        <v>0.76</v>
      </c>
      <c r="AK117" s="1644">
        <v>56.87</v>
      </c>
      <c r="AL117" s="339">
        <v>57.14</v>
      </c>
      <c r="AM117" s="339">
        <v>10.3</v>
      </c>
      <c r="AN117" s="339">
        <v>10.3</v>
      </c>
      <c r="AO117" s="339">
        <v>217.55</v>
      </c>
      <c r="AP117" s="339">
        <v>217.56</v>
      </c>
      <c r="AQ117" s="339">
        <v>0.67</v>
      </c>
      <c r="AR117" s="339">
        <v>0.69</v>
      </c>
      <c r="AS117" s="339">
        <v>1.57</v>
      </c>
      <c r="AT117" s="339">
        <v>1.58</v>
      </c>
      <c r="AU117" s="502" t="s">
        <v>552</v>
      </c>
      <c r="AV117" s="501">
        <v>22.99</v>
      </c>
      <c r="AW117" s="339">
        <v>23</v>
      </c>
      <c r="AX117" s="339">
        <v>1.33</v>
      </c>
      <c r="AY117" s="339">
        <v>1.34</v>
      </c>
      <c r="AZ117" s="339">
        <v>22.33</v>
      </c>
      <c r="BA117" s="339">
        <v>22.33</v>
      </c>
      <c r="BB117" s="339">
        <v>7.0000000000000007E-2</v>
      </c>
      <c r="BC117" s="339">
        <v>7.0000000000000007E-2</v>
      </c>
      <c r="BD117" s="339">
        <v>61.46</v>
      </c>
      <c r="BE117" s="339">
        <v>61.54</v>
      </c>
      <c r="BF117" s="339">
        <v>9.49</v>
      </c>
      <c r="BG117" s="339">
        <v>9.56</v>
      </c>
      <c r="BH117" s="339">
        <v>0.53</v>
      </c>
      <c r="BI117" s="339">
        <v>0.52</v>
      </c>
      <c r="BJ117" s="502" t="s">
        <v>552</v>
      </c>
      <c r="BK117" s="339">
        <v>84.25</v>
      </c>
      <c r="BL117" s="339">
        <v>84.74</v>
      </c>
      <c r="BM117" s="339">
        <v>0.16</v>
      </c>
      <c r="BN117" s="339">
        <v>0.16</v>
      </c>
      <c r="BO117" s="339">
        <v>117.67</v>
      </c>
      <c r="BP117" s="339">
        <v>117.53</v>
      </c>
      <c r="BQ117" s="339">
        <v>2.52</v>
      </c>
      <c r="BR117" s="339">
        <v>2.5099999999999998</v>
      </c>
      <c r="BS117" s="339">
        <v>22.8</v>
      </c>
      <c r="BT117" s="339">
        <v>22.8</v>
      </c>
      <c r="BU117" s="339">
        <v>83.75</v>
      </c>
      <c r="BV117" s="339">
        <v>83.75</v>
      </c>
      <c r="BW117" s="339">
        <v>110.4</v>
      </c>
      <c r="BX117" s="339">
        <v>109.99</v>
      </c>
    </row>
    <row r="118" spans="1:76" s="1284" customFormat="1" ht="11.45" customHeight="1" x14ac:dyDescent="0.15">
      <c r="A118" s="1848" t="s">
        <v>1404</v>
      </c>
      <c r="B118" s="1642" t="s">
        <v>553</v>
      </c>
      <c r="C118" s="1860">
        <v>61.48</v>
      </c>
      <c r="D118" s="1860">
        <v>61.23</v>
      </c>
      <c r="E118" s="1860">
        <v>83.75</v>
      </c>
      <c r="F118" s="1860">
        <v>83.75</v>
      </c>
      <c r="G118" s="1860">
        <v>221.88</v>
      </c>
      <c r="H118" s="1860">
        <v>222.03</v>
      </c>
      <c r="I118" s="1860">
        <v>64.239999999999995</v>
      </c>
      <c r="J118" s="1643">
        <v>64.900000000000006</v>
      </c>
      <c r="K118" s="1860">
        <v>12.23</v>
      </c>
      <c r="L118" s="1643">
        <v>12.3</v>
      </c>
      <c r="M118" s="1860">
        <v>12.98</v>
      </c>
      <c r="N118" s="1860">
        <v>13.15</v>
      </c>
      <c r="O118" s="1860">
        <v>96.74</v>
      </c>
      <c r="P118" s="1860">
        <v>98.05</v>
      </c>
      <c r="Q118" s="1642" t="s">
        <v>553</v>
      </c>
      <c r="R118" s="1644">
        <v>10.67</v>
      </c>
      <c r="S118" s="1644">
        <v>10.67</v>
      </c>
      <c r="T118" s="1644">
        <v>1.21</v>
      </c>
      <c r="U118" s="1644">
        <v>1.19</v>
      </c>
      <c r="V118" s="1644">
        <v>0.01</v>
      </c>
      <c r="W118" s="1644">
        <v>0.01</v>
      </c>
      <c r="X118" s="1644">
        <v>0</v>
      </c>
      <c r="Y118" s="1644">
        <v>0</v>
      </c>
      <c r="Z118" s="1644">
        <v>0.75</v>
      </c>
      <c r="AA118" s="1644">
        <v>0.75</v>
      </c>
      <c r="AB118" s="1644">
        <v>276.36</v>
      </c>
      <c r="AC118" s="1644">
        <v>276.72000000000003</v>
      </c>
      <c r="AD118" s="1644">
        <v>20.47</v>
      </c>
      <c r="AE118" s="1644">
        <v>20.39</v>
      </c>
      <c r="AF118" s="1642" t="s">
        <v>553</v>
      </c>
      <c r="AG118" s="1644">
        <v>0.06</v>
      </c>
      <c r="AH118" s="1644">
        <v>0.05</v>
      </c>
      <c r="AI118" s="1644">
        <v>0.75</v>
      </c>
      <c r="AJ118" s="1644">
        <v>0.75</v>
      </c>
      <c r="AK118" s="1644">
        <v>55.98</v>
      </c>
      <c r="AL118" s="353">
        <v>56.26</v>
      </c>
      <c r="AM118" s="353">
        <v>10.06</v>
      </c>
      <c r="AN118" s="353">
        <v>10.050000000000001</v>
      </c>
      <c r="AO118" s="353">
        <v>217.55</v>
      </c>
      <c r="AP118" s="353">
        <v>217.53</v>
      </c>
      <c r="AQ118" s="353">
        <v>0.68</v>
      </c>
      <c r="AR118" s="353">
        <v>0.68</v>
      </c>
      <c r="AS118" s="353">
        <v>1.57</v>
      </c>
      <c r="AT118" s="353">
        <v>1.57</v>
      </c>
      <c r="AU118" s="505" t="s">
        <v>553</v>
      </c>
      <c r="AV118" s="418">
        <v>23</v>
      </c>
      <c r="AW118" s="353">
        <v>23</v>
      </c>
      <c r="AX118" s="353">
        <v>1.27</v>
      </c>
      <c r="AY118" s="353">
        <v>1.23</v>
      </c>
      <c r="AZ118" s="353">
        <v>22.33</v>
      </c>
      <c r="BA118" s="353">
        <v>22.33</v>
      </c>
      <c r="BB118" s="353">
        <v>7.0000000000000007E-2</v>
      </c>
      <c r="BC118" s="353">
        <v>0.08</v>
      </c>
      <c r="BD118" s="353">
        <v>61.23</v>
      </c>
      <c r="BE118" s="353">
        <v>61.38</v>
      </c>
      <c r="BF118" s="353">
        <v>9.25</v>
      </c>
      <c r="BG118" s="353">
        <v>9.16</v>
      </c>
      <c r="BH118" s="353">
        <v>0.52</v>
      </c>
      <c r="BI118" s="353">
        <v>0.52</v>
      </c>
      <c r="BJ118" s="505" t="s">
        <v>553</v>
      </c>
      <c r="BK118" s="1819">
        <v>84.63</v>
      </c>
      <c r="BL118" s="1819">
        <v>86.29</v>
      </c>
      <c r="BM118" s="1819">
        <v>0.16</v>
      </c>
      <c r="BN118" s="1819">
        <v>0.16</v>
      </c>
      <c r="BO118" s="1819">
        <v>116.83</v>
      </c>
      <c r="BP118" s="1819">
        <v>117.44</v>
      </c>
      <c r="BQ118" s="1819">
        <v>2.5299999999999998</v>
      </c>
      <c r="BR118" s="1819">
        <v>2.56</v>
      </c>
      <c r="BS118" s="546">
        <v>22.8</v>
      </c>
      <c r="BT118" s="546">
        <v>22.8</v>
      </c>
      <c r="BU118" s="1819">
        <v>83.75</v>
      </c>
      <c r="BV118" s="1819">
        <v>83.75</v>
      </c>
      <c r="BW118" s="1819">
        <v>107.86</v>
      </c>
      <c r="BX118" s="546">
        <v>109.1</v>
      </c>
    </row>
    <row r="119" spans="1:76" s="1284" customFormat="1" ht="11.45" customHeight="1" x14ac:dyDescent="0.15">
      <c r="A119" s="1848" t="s">
        <v>1404</v>
      </c>
      <c r="B119" s="1642" t="s">
        <v>547</v>
      </c>
      <c r="C119" s="1643">
        <v>60.3</v>
      </c>
      <c r="D119" s="1860">
        <v>60.56</v>
      </c>
      <c r="E119" s="1860">
        <v>83.75</v>
      </c>
      <c r="F119" s="1860">
        <v>83.75</v>
      </c>
      <c r="G119" s="1860">
        <v>222.11</v>
      </c>
      <c r="H119" s="1860">
        <v>222.15</v>
      </c>
      <c r="I119" s="1860">
        <v>64.260000000000005</v>
      </c>
      <c r="J119" s="1643">
        <v>64.89</v>
      </c>
      <c r="K119" s="1860">
        <v>12.24</v>
      </c>
      <c r="L119" s="1643">
        <v>12.17</v>
      </c>
      <c r="M119" s="1860">
        <v>13.08</v>
      </c>
      <c r="N119" s="1860">
        <v>13.03</v>
      </c>
      <c r="O119" s="1860">
        <v>97.58</v>
      </c>
      <c r="P119" s="1860">
        <v>97.23</v>
      </c>
      <c r="Q119" s="1642" t="s">
        <v>547</v>
      </c>
      <c r="R119" s="1644">
        <v>10.68</v>
      </c>
      <c r="S119" s="1644">
        <v>10.7</v>
      </c>
      <c r="T119" s="1644">
        <v>1.1599999999999999</v>
      </c>
      <c r="U119" s="1644">
        <v>1.1599999999999999</v>
      </c>
      <c r="V119" s="1644">
        <v>0.01</v>
      </c>
      <c r="W119" s="1644">
        <v>0.01</v>
      </c>
      <c r="X119" s="1644">
        <v>0</v>
      </c>
      <c r="Y119" s="1644">
        <v>0</v>
      </c>
      <c r="Z119" s="1644">
        <v>0.75</v>
      </c>
      <c r="AA119" s="1644">
        <v>0.74</v>
      </c>
      <c r="AB119" s="1644">
        <v>276.52</v>
      </c>
      <c r="AC119" s="1644">
        <v>276.17</v>
      </c>
      <c r="AD119" s="1644">
        <v>20.23</v>
      </c>
      <c r="AE119" s="1644">
        <v>20.239999999999998</v>
      </c>
      <c r="AF119" s="1642" t="s">
        <v>547</v>
      </c>
      <c r="AG119" s="1644">
        <v>0.05</v>
      </c>
      <c r="AH119" s="1644">
        <v>0.05</v>
      </c>
      <c r="AI119" s="1644">
        <v>0.73</v>
      </c>
      <c r="AJ119" s="1644">
        <v>0.72</v>
      </c>
      <c r="AK119" s="1644">
        <v>55.25</v>
      </c>
      <c r="AL119" s="339">
        <v>55.43</v>
      </c>
      <c r="AM119" s="339">
        <v>10.14</v>
      </c>
      <c r="AN119" s="339">
        <v>10.28</v>
      </c>
      <c r="AO119" s="339">
        <v>217.54</v>
      </c>
      <c r="AP119" s="339">
        <v>217.53</v>
      </c>
      <c r="AQ119" s="339">
        <v>0.68</v>
      </c>
      <c r="AR119" s="339">
        <v>0.68</v>
      </c>
      <c r="AS119" s="339">
        <v>1.55</v>
      </c>
      <c r="AT119" s="339">
        <v>1.55</v>
      </c>
      <c r="AU119" s="502" t="s">
        <v>547</v>
      </c>
      <c r="AV119" s="501">
        <v>23</v>
      </c>
      <c r="AW119" s="339">
        <v>23</v>
      </c>
      <c r="AX119" s="339">
        <v>1.24</v>
      </c>
      <c r="AY119" s="339">
        <v>1.28</v>
      </c>
      <c r="AZ119" s="339">
        <v>22.33</v>
      </c>
      <c r="BA119" s="339">
        <v>22.33</v>
      </c>
      <c r="BB119" s="339">
        <v>7.0000000000000007E-2</v>
      </c>
      <c r="BC119" s="339">
        <v>0.08</v>
      </c>
      <c r="BD119" s="339">
        <v>61.07</v>
      </c>
      <c r="BE119" s="339">
        <v>61.29</v>
      </c>
      <c r="BF119" s="339">
        <v>9.34</v>
      </c>
      <c r="BG119" s="339">
        <v>9.42</v>
      </c>
      <c r="BH119" s="339">
        <v>0.51</v>
      </c>
      <c r="BI119" s="339">
        <v>0.5</v>
      </c>
      <c r="BJ119" s="502" t="s">
        <v>547</v>
      </c>
      <c r="BK119" s="1423">
        <v>86.49</v>
      </c>
      <c r="BL119" s="1423">
        <v>85.28</v>
      </c>
      <c r="BM119" s="1423">
        <v>0.16</v>
      </c>
      <c r="BN119" s="1423">
        <v>0.16</v>
      </c>
      <c r="BO119" s="1423">
        <v>117.32</v>
      </c>
      <c r="BP119" s="1423">
        <v>116.86</v>
      </c>
      <c r="BQ119" s="1423">
        <v>2.57</v>
      </c>
      <c r="BR119" s="1423">
        <v>2.59</v>
      </c>
      <c r="BS119" s="547">
        <v>22.8</v>
      </c>
      <c r="BT119" s="547">
        <v>22.8</v>
      </c>
      <c r="BU119" s="1423">
        <v>83.75</v>
      </c>
      <c r="BV119" s="1423">
        <v>83.75</v>
      </c>
      <c r="BW119" s="1423">
        <v>109.22</v>
      </c>
      <c r="BX119" s="547">
        <v>109.13</v>
      </c>
    </row>
    <row r="120" spans="1:76" s="1284" customFormat="1" ht="11.45" customHeight="1" x14ac:dyDescent="0.15">
      <c r="A120" s="1848" t="s">
        <v>1404</v>
      </c>
      <c r="B120" s="1642" t="s">
        <v>554</v>
      </c>
      <c r="C120" s="1643">
        <v>59.57</v>
      </c>
      <c r="D120" s="1860">
        <v>59.58</v>
      </c>
      <c r="E120" s="1860">
        <v>83.82</v>
      </c>
      <c r="F120" s="1860">
        <v>83.85</v>
      </c>
      <c r="G120" s="1860">
        <v>222.32</v>
      </c>
      <c r="H120" s="1860">
        <v>222.44</v>
      </c>
      <c r="I120" s="1860">
        <v>64.45</v>
      </c>
      <c r="J120" s="1643">
        <v>63.97</v>
      </c>
      <c r="K120" s="1860">
        <v>12.12</v>
      </c>
      <c r="L120" s="1643">
        <v>12.04</v>
      </c>
      <c r="M120" s="1860">
        <v>12.91</v>
      </c>
      <c r="N120" s="1860">
        <v>12.75</v>
      </c>
      <c r="O120" s="1860">
        <v>96.33</v>
      </c>
      <c r="P120" s="1860">
        <v>95.12</v>
      </c>
      <c r="Q120" s="1642" t="s">
        <v>554</v>
      </c>
      <c r="R120" s="1644">
        <v>10.69</v>
      </c>
      <c r="S120" s="1644">
        <v>10.69</v>
      </c>
      <c r="T120" s="1644">
        <v>1.1399999999999999</v>
      </c>
      <c r="U120" s="1644">
        <v>1.1399999999999999</v>
      </c>
      <c r="V120" s="1644">
        <v>0.01</v>
      </c>
      <c r="W120" s="1644">
        <v>0.01</v>
      </c>
      <c r="X120" s="1644">
        <v>0</v>
      </c>
      <c r="Y120" s="1644">
        <v>0</v>
      </c>
      <c r="Z120" s="1644">
        <v>0.74</v>
      </c>
      <c r="AA120" s="1644">
        <v>0.74</v>
      </c>
      <c r="AB120" s="1644">
        <v>276.27999999999997</v>
      </c>
      <c r="AC120" s="1644">
        <v>275.95999999999998</v>
      </c>
      <c r="AD120" s="1644">
        <v>20.16</v>
      </c>
      <c r="AE120" s="1644">
        <v>20.05</v>
      </c>
      <c r="AF120" s="1642" t="s">
        <v>554</v>
      </c>
      <c r="AG120" s="1644">
        <v>0.05</v>
      </c>
      <c r="AH120" s="1644">
        <v>0.05</v>
      </c>
      <c r="AI120" s="1644">
        <v>0.71</v>
      </c>
      <c r="AJ120" s="1644">
        <v>0.71</v>
      </c>
      <c r="AK120" s="1644">
        <v>54.72</v>
      </c>
      <c r="AL120" s="353">
        <v>54.96</v>
      </c>
      <c r="AM120" s="353">
        <v>10.16</v>
      </c>
      <c r="AN120" s="353">
        <v>9.9700000000000006</v>
      </c>
      <c r="AO120" s="353">
        <v>217.71</v>
      </c>
      <c r="AP120" s="353">
        <v>217.85</v>
      </c>
      <c r="AQ120" s="353">
        <v>0.64</v>
      </c>
      <c r="AR120" s="353">
        <v>0.63</v>
      </c>
      <c r="AS120" s="353">
        <v>1.55</v>
      </c>
      <c r="AT120" s="353">
        <v>1.57</v>
      </c>
      <c r="AU120" s="505" t="s">
        <v>554</v>
      </c>
      <c r="AV120" s="418">
        <v>23.02</v>
      </c>
      <c r="AW120" s="353">
        <v>23.03</v>
      </c>
      <c r="AX120" s="353">
        <v>1.27</v>
      </c>
      <c r="AY120" s="353">
        <v>1.28</v>
      </c>
      <c r="AZ120" s="353">
        <v>22.35</v>
      </c>
      <c r="BA120" s="353">
        <v>22.35</v>
      </c>
      <c r="BB120" s="353">
        <v>7.0000000000000007E-2</v>
      </c>
      <c r="BC120" s="353">
        <v>7.0000000000000007E-2</v>
      </c>
      <c r="BD120" s="353">
        <v>60.77</v>
      </c>
      <c r="BE120" s="353">
        <v>60.54</v>
      </c>
      <c r="BF120" s="353">
        <v>9.27</v>
      </c>
      <c r="BG120" s="353">
        <v>9.14</v>
      </c>
      <c r="BH120" s="353">
        <v>0.49</v>
      </c>
      <c r="BI120" s="353">
        <v>0.48</v>
      </c>
      <c r="BJ120" s="505" t="s">
        <v>554</v>
      </c>
      <c r="BK120" s="1819">
        <v>84.39</v>
      </c>
      <c r="BL120" s="1819">
        <v>83.42</v>
      </c>
      <c r="BM120" s="1819">
        <v>0.16</v>
      </c>
      <c r="BN120" s="1819">
        <v>0.16</v>
      </c>
      <c r="BO120" s="1819">
        <v>116.62</v>
      </c>
      <c r="BP120" s="1819">
        <v>115.89</v>
      </c>
      <c r="BQ120" s="1819">
        <v>2.56</v>
      </c>
      <c r="BR120" s="1819">
        <v>2.52</v>
      </c>
      <c r="BS120" s="546">
        <v>22.82</v>
      </c>
      <c r="BT120" s="546">
        <v>22.83</v>
      </c>
      <c r="BU120" s="1819">
        <v>83.82</v>
      </c>
      <c r="BV120" s="1819">
        <v>83.85</v>
      </c>
      <c r="BW120" s="1819">
        <v>109.23</v>
      </c>
      <c r="BX120" s="546">
        <v>106.54</v>
      </c>
    </row>
    <row r="121" spans="1:76" s="1284" customFormat="1" ht="11.45" customHeight="1" x14ac:dyDescent="0.15">
      <c r="A121" s="1848" t="s">
        <v>1404</v>
      </c>
      <c r="B121" s="1642" t="s">
        <v>555</v>
      </c>
      <c r="C121" s="1643">
        <v>60.76</v>
      </c>
      <c r="D121" s="1860">
        <v>61.41</v>
      </c>
      <c r="E121" s="1860">
        <v>83.87</v>
      </c>
      <c r="F121" s="1643">
        <v>83.9</v>
      </c>
      <c r="G121" s="1860">
        <v>222.48</v>
      </c>
      <c r="H121" s="1860">
        <v>222.58</v>
      </c>
      <c r="I121" s="1643">
        <v>63.6</v>
      </c>
      <c r="J121" s="1643">
        <v>63.16</v>
      </c>
      <c r="K121" s="1643">
        <v>12.1</v>
      </c>
      <c r="L121" s="1643">
        <v>12.1</v>
      </c>
      <c r="M121" s="1860">
        <v>12.78</v>
      </c>
      <c r="N121" s="1860">
        <v>12.81</v>
      </c>
      <c r="O121" s="1860">
        <v>95.34</v>
      </c>
      <c r="P121" s="1860">
        <v>95.59</v>
      </c>
      <c r="Q121" s="1642" t="s">
        <v>555</v>
      </c>
      <c r="R121" s="1644">
        <v>10.71</v>
      </c>
      <c r="S121" s="1644">
        <v>10.73</v>
      </c>
      <c r="T121" s="1644">
        <v>1.17</v>
      </c>
      <c r="U121" s="1644">
        <v>1.2</v>
      </c>
      <c r="V121" s="1644">
        <v>0.01</v>
      </c>
      <c r="W121" s="1644">
        <v>0.01</v>
      </c>
      <c r="X121" s="1644">
        <v>0</v>
      </c>
      <c r="Y121" s="1644">
        <v>0</v>
      </c>
      <c r="Z121" s="1644">
        <v>0.74</v>
      </c>
      <c r="AA121" s="1644">
        <v>0.74</v>
      </c>
      <c r="AB121" s="1644">
        <v>275.87</v>
      </c>
      <c r="AC121" s="1644">
        <v>275.67</v>
      </c>
      <c r="AD121" s="1644">
        <v>20.04</v>
      </c>
      <c r="AE121" s="1644">
        <v>20.02</v>
      </c>
      <c r="AF121" s="1642" t="s">
        <v>555</v>
      </c>
      <c r="AG121" s="1644">
        <v>0.05</v>
      </c>
      <c r="AH121" s="1644">
        <v>0.05</v>
      </c>
      <c r="AI121" s="1644">
        <v>0.72</v>
      </c>
      <c r="AJ121" s="1644">
        <v>0.74</v>
      </c>
      <c r="AK121" s="1644">
        <v>56.76</v>
      </c>
      <c r="AL121" s="339">
        <v>57.54</v>
      </c>
      <c r="AM121" s="339">
        <v>9.9</v>
      </c>
      <c r="AN121" s="339">
        <v>9.83</v>
      </c>
      <c r="AO121" s="339">
        <v>217.85</v>
      </c>
      <c r="AP121" s="339">
        <v>217.92</v>
      </c>
      <c r="AQ121" s="339">
        <v>0.63</v>
      </c>
      <c r="AR121" s="339">
        <v>0.62</v>
      </c>
      <c r="AS121" s="339">
        <v>1.59</v>
      </c>
      <c r="AT121" s="339">
        <v>1.6</v>
      </c>
      <c r="AU121" s="502" t="s">
        <v>555</v>
      </c>
      <c r="AV121" s="501">
        <v>23.03</v>
      </c>
      <c r="AW121" s="339">
        <v>23.04</v>
      </c>
      <c r="AX121" s="339">
        <v>1.26</v>
      </c>
      <c r="AY121" s="339">
        <v>1.25</v>
      </c>
      <c r="AZ121" s="339">
        <v>22.36</v>
      </c>
      <c r="BA121" s="339">
        <v>22.36</v>
      </c>
      <c r="BB121" s="339">
        <v>7.0000000000000007E-2</v>
      </c>
      <c r="BC121" s="339">
        <v>7.0000000000000007E-2</v>
      </c>
      <c r="BD121" s="339">
        <v>60.97</v>
      </c>
      <c r="BE121" s="339">
        <v>61.23</v>
      </c>
      <c r="BF121" s="339">
        <v>9.26</v>
      </c>
      <c r="BG121" s="339">
        <v>9.2899999999999991</v>
      </c>
      <c r="BH121" s="339">
        <v>0.47</v>
      </c>
      <c r="BI121" s="339">
        <v>0.47</v>
      </c>
      <c r="BJ121" s="502" t="s">
        <v>555</v>
      </c>
      <c r="BK121" s="1423">
        <v>83.77</v>
      </c>
      <c r="BL121" s="1423">
        <v>84.25</v>
      </c>
      <c r="BM121" s="1423">
        <v>0.16</v>
      </c>
      <c r="BN121" s="1423">
        <v>0.16</v>
      </c>
      <c r="BO121" s="1423">
        <v>116.13</v>
      </c>
      <c r="BP121" s="1423">
        <v>115.76</v>
      </c>
      <c r="BQ121" s="1423">
        <v>2.54</v>
      </c>
      <c r="BR121" s="1423">
        <v>2.5499999999999998</v>
      </c>
      <c r="BS121" s="547">
        <v>22.83</v>
      </c>
      <c r="BT121" s="547">
        <v>22.84</v>
      </c>
      <c r="BU121" s="1423">
        <v>83.87</v>
      </c>
      <c r="BV121" s="547">
        <v>83.9</v>
      </c>
      <c r="BW121" s="1423">
        <v>108.22</v>
      </c>
      <c r="BX121" s="547">
        <v>107.35</v>
      </c>
    </row>
    <row r="122" spans="1:76" s="1284" customFormat="1" ht="11.45" customHeight="1" x14ac:dyDescent="0.15">
      <c r="A122" s="1848" t="s">
        <v>1404</v>
      </c>
      <c r="B122" s="1642" t="s">
        <v>548</v>
      </c>
      <c r="C122" s="1643">
        <v>60.14</v>
      </c>
      <c r="D122" s="1860">
        <v>59.09</v>
      </c>
      <c r="E122" s="1860">
        <v>83.9</v>
      </c>
      <c r="F122" s="1643">
        <v>83.9</v>
      </c>
      <c r="G122" s="1860">
        <v>222.56</v>
      </c>
      <c r="H122" s="1860">
        <v>222.55</v>
      </c>
      <c r="I122" s="1643">
        <v>62.53</v>
      </c>
      <c r="J122" s="1643">
        <v>61.51</v>
      </c>
      <c r="K122" s="1643">
        <v>12.18</v>
      </c>
      <c r="L122" s="1643">
        <v>12.22</v>
      </c>
      <c r="M122" s="1860">
        <v>12.77</v>
      </c>
      <c r="N122" s="1860">
        <v>12.86</v>
      </c>
      <c r="O122" s="1860">
        <v>95.33</v>
      </c>
      <c r="P122" s="1860">
        <v>95.96</v>
      </c>
      <c r="Q122" s="1642" t="s">
        <v>548</v>
      </c>
      <c r="R122" s="1644">
        <v>10.73</v>
      </c>
      <c r="S122" s="1644">
        <v>10.71</v>
      </c>
      <c r="T122" s="1644">
        <v>1.18</v>
      </c>
      <c r="U122" s="1644">
        <v>1.2</v>
      </c>
      <c r="V122" s="1644">
        <v>0.01</v>
      </c>
      <c r="W122" s="1644">
        <v>0.01</v>
      </c>
      <c r="X122" s="1644">
        <v>0</v>
      </c>
      <c r="Y122" s="1644">
        <v>0</v>
      </c>
      <c r="Z122" s="1644">
        <v>0.75</v>
      </c>
      <c r="AA122" s="1644">
        <v>0.76</v>
      </c>
      <c r="AB122" s="1644">
        <v>275.93</v>
      </c>
      <c r="AC122" s="1644">
        <v>276.08</v>
      </c>
      <c r="AD122" s="1644">
        <v>20.100000000000001</v>
      </c>
      <c r="AE122" s="1644">
        <v>20.27</v>
      </c>
      <c r="AF122" s="1642" t="s">
        <v>548</v>
      </c>
      <c r="AG122" s="1644">
        <v>0.05</v>
      </c>
      <c r="AH122" s="1644">
        <v>0.05</v>
      </c>
      <c r="AI122" s="1644">
        <v>0.74</v>
      </c>
      <c r="AJ122" s="1644">
        <v>0.75</v>
      </c>
      <c r="AK122" s="1644">
        <v>57.09</v>
      </c>
      <c r="AL122" s="353">
        <v>56.33</v>
      </c>
      <c r="AM122" s="353">
        <v>9.73</v>
      </c>
      <c r="AN122" s="353">
        <v>9.6300000000000008</v>
      </c>
      <c r="AO122" s="353">
        <v>217.92</v>
      </c>
      <c r="AP122" s="353">
        <v>217.92</v>
      </c>
      <c r="AQ122" s="353">
        <v>0.6</v>
      </c>
      <c r="AR122" s="353">
        <v>0.6</v>
      </c>
      <c r="AS122" s="353">
        <v>1.59</v>
      </c>
      <c r="AT122" s="353">
        <v>1.6</v>
      </c>
      <c r="AU122" s="505" t="s">
        <v>548</v>
      </c>
      <c r="AV122" s="418">
        <v>23.04</v>
      </c>
      <c r="AW122" s="353">
        <v>23.04</v>
      </c>
      <c r="AX122" s="353">
        <v>1.25</v>
      </c>
      <c r="AY122" s="353">
        <v>1.22</v>
      </c>
      <c r="AZ122" s="353">
        <v>22.36</v>
      </c>
      <c r="BA122" s="353">
        <v>22.36</v>
      </c>
      <c r="BB122" s="353">
        <v>7.0000000000000007E-2</v>
      </c>
      <c r="BC122" s="353">
        <v>0.08</v>
      </c>
      <c r="BD122" s="353">
        <v>61.16</v>
      </c>
      <c r="BE122" s="353">
        <v>61.4</v>
      </c>
      <c r="BF122" s="353">
        <v>9.27</v>
      </c>
      <c r="BG122" s="353">
        <v>9.36</v>
      </c>
      <c r="BH122" s="353">
        <v>0.47</v>
      </c>
      <c r="BI122" s="353">
        <v>0.46</v>
      </c>
      <c r="BJ122" s="505" t="s">
        <v>548</v>
      </c>
      <c r="BK122" s="1819">
        <v>84.42</v>
      </c>
      <c r="BL122" s="1819">
        <v>85.24</v>
      </c>
      <c r="BM122" s="1819">
        <v>0.16</v>
      </c>
      <c r="BN122" s="1819">
        <v>0.16</v>
      </c>
      <c r="BO122" s="1819">
        <v>116.27</v>
      </c>
      <c r="BP122" s="1819">
        <v>116.69</v>
      </c>
      <c r="BQ122" s="1819">
        <v>2.56</v>
      </c>
      <c r="BR122" s="1819">
        <v>2.58</v>
      </c>
      <c r="BS122" s="546">
        <v>22.84</v>
      </c>
      <c r="BT122" s="546">
        <v>22.84</v>
      </c>
      <c r="BU122" s="1819">
        <v>83.9</v>
      </c>
      <c r="BV122" s="546">
        <v>83.9</v>
      </c>
      <c r="BW122" s="1819">
        <v>106.36</v>
      </c>
      <c r="BX122" s="546">
        <v>106.61</v>
      </c>
    </row>
    <row r="123" spans="1:76" s="1284" customFormat="1" ht="11.45" customHeight="1" x14ac:dyDescent="0.15">
      <c r="A123" s="1848" t="s">
        <v>1404</v>
      </c>
      <c r="B123" s="1642" t="s">
        <v>556</v>
      </c>
      <c r="C123" s="1643">
        <v>59.98</v>
      </c>
      <c r="D123" s="1860">
        <v>60.84</v>
      </c>
      <c r="E123" s="1860">
        <v>83.94</v>
      </c>
      <c r="F123" s="1643">
        <v>83.95</v>
      </c>
      <c r="G123" s="1860">
        <v>222.65</v>
      </c>
      <c r="H123" s="1860">
        <v>222.68</v>
      </c>
      <c r="I123" s="1643">
        <v>63.01</v>
      </c>
      <c r="J123" s="1643">
        <v>63.85</v>
      </c>
      <c r="K123" s="1643">
        <v>12.35</v>
      </c>
      <c r="L123" s="1643">
        <v>12.53</v>
      </c>
      <c r="M123" s="1860">
        <v>12.84</v>
      </c>
      <c r="N123" s="1860">
        <v>12.91</v>
      </c>
      <c r="O123" s="1860">
        <v>95.89</v>
      </c>
      <c r="P123" s="1860">
        <v>96.36</v>
      </c>
      <c r="Q123" s="1642" t="s">
        <v>556</v>
      </c>
      <c r="R123" s="1644">
        <v>10.71</v>
      </c>
      <c r="S123" s="1644">
        <v>10.7</v>
      </c>
      <c r="T123" s="1644">
        <v>1.19</v>
      </c>
      <c r="U123" s="1644">
        <v>1.18</v>
      </c>
      <c r="V123" s="1644">
        <v>0.01</v>
      </c>
      <c r="W123" s="1644">
        <v>0.01</v>
      </c>
      <c r="X123" s="1644">
        <v>0</v>
      </c>
      <c r="Y123" s="1644">
        <v>0</v>
      </c>
      <c r="Z123" s="1644">
        <v>0.77</v>
      </c>
      <c r="AA123" s="1644">
        <v>0.77</v>
      </c>
      <c r="AB123" s="1644">
        <v>276.87</v>
      </c>
      <c r="AC123" s="1644">
        <v>276.97000000000003</v>
      </c>
      <c r="AD123" s="1644">
        <v>20.39</v>
      </c>
      <c r="AE123" s="1644">
        <v>20.54</v>
      </c>
      <c r="AF123" s="1642" t="s">
        <v>556</v>
      </c>
      <c r="AG123" s="1644">
        <v>0.05</v>
      </c>
      <c r="AH123" s="1644">
        <v>0.06</v>
      </c>
      <c r="AI123" s="1644">
        <v>0.74</v>
      </c>
      <c r="AJ123" s="1644">
        <v>0.74</v>
      </c>
      <c r="AK123" s="1644">
        <v>56.86</v>
      </c>
      <c r="AL123" s="339">
        <v>57.87</v>
      </c>
      <c r="AM123" s="339">
        <v>9.81</v>
      </c>
      <c r="AN123" s="339">
        <v>9.9600000000000009</v>
      </c>
      <c r="AO123" s="339">
        <v>218.04</v>
      </c>
      <c r="AP123" s="339">
        <v>218.05</v>
      </c>
      <c r="AQ123" s="339">
        <v>0.6</v>
      </c>
      <c r="AR123" s="339">
        <v>0.6</v>
      </c>
      <c r="AS123" s="339">
        <v>1.6</v>
      </c>
      <c r="AT123" s="339">
        <v>1.61</v>
      </c>
      <c r="AU123" s="502" t="s">
        <v>556</v>
      </c>
      <c r="AV123" s="501">
        <v>23.05</v>
      </c>
      <c r="AW123" s="339">
        <v>23.06</v>
      </c>
      <c r="AX123" s="339">
        <v>1.25</v>
      </c>
      <c r="AY123" s="339">
        <v>1.28</v>
      </c>
      <c r="AZ123" s="339">
        <v>22.38</v>
      </c>
      <c r="BA123" s="339">
        <v>22.38</v>
      </c>
      <c r="BB123" s="339">
        <v>7.0000000000000007E-2</v>
      </c>
      <c r="BC123" s="339">
        <v>0.08</v>
      </c>
      <c r="BD123" s="339">
        <v>61.86</v>
      </c>
      <c r="BE123" s="339">
        <v>62.31</v>
      </c>
      <c r="BF123" s="339">
        <v>9.35</v>
      </c>
      <c r="BG123" s="339">
        <v>9.31</v>
      </c>
      <c r="BH123" s="339">
        <v>0.46</v>
      </c>
      <c r="BI123" s="339">
        <v>0.47</v>
      </c>
      <c r="BJ123" s="502" t="s">
        <v>556</v>
      </c>
      <c r="BK123" s="1423">
        <v>84.93</v>
      </c>
      <c r="BL123" s="1423">
        <v>84.43</v>
      </c>
      <c r="BM123" s="1423">
        <v>0.16</v>
      </c>
      <c r="BN123" s="1423">
        <v>0.16</v>
      </c>
      <c r="BO123" s="1423">
        <v>116.99</v>
      </c>
      <c r="BP123" s="547">
        <v>117.3</v>
      </c>
      <c r="BQ123" s="1423">
        <v>2.64</v>
      </c>
      <c r="BR123" s="1423">
        <v>2.69</v>
      </c>
      <c r="BS123" s="547">
        <v>22.85</v>
      </c>
      <c r="BT123" s="547">
        <v>22.86</v>
      </c>
      <c r="BU123" s="1423">
        <v>83.94</v>
      </c>
      <c r="BV123" s="547">
        <v>83.95</v>
      </c>
      <c r="BW123" s="1423">
        <v>108.17</v>
      </c>
      <c r="BX123" s="547">
        <v>110.11</v>
      </c>
    </row>
    <row r="124" spans="1:76" s="1284" customFormat="1" ht="11.45" customHeight="1" x14ac:dyDescent="0.15">
      <c r="A124" s="1848" t="s">
        <v>1404</v>
      </c>
      <c r="B124" s="1642" t="s">
        <v>557</v>
      </c>
      <c r="C124" s="1643">
        <v>60.12</v>
      </c>
      <c r="D124" s="1860">
        <v>60.49</v>
      </c>
      <c r="E124" s="1860">
        <v>84.04</v>
      </c>
      <c r="F124" s="1643">
        <v>84.15</v>
      </c>
      <c r="G124" s="1860">
        <v>222.92</v>
      </c>
      <c r="H124" s="1860">
        <v>223.21</v>
      </c>
      <c r="I124" s="1643">
        <v>63.67</v>
      </c>
      <c r="J124" s="1643">
        <v>63.9</v>
      </c>
      <c r="K124" s="1643">
        <v>12.49</v>
      </c>
      <c r="L124" s="1643">
        <v>12.59</v>
      </c>
      <c r="M124" s="1860">
        <v>12.78</v>
      </c>
      <c r="N124" s="1860">
        <v>12.84</v>
      </c>
      <c r="O124" s="1860">
        <v>95.43</v>
      </c>
      <c r="P124" s="1860">
        <v>95.83</v>
      </c>
      <c r="Q124" s="1642" t="s">
        <v>557</v>
      </c>
      <c r="R124" s="1644">
        <v>10.71</v>
      </c>
      <c r="S124" s="1644">
        <v>10.72</v>
      </c>
      <c r="T124" s="1644">
        <v>1.18</v>
      </c>
      <c r="U124" s="1644">
        <v>1.19</v>
      </c>
      <c r="V124" s="1644">
        <v>0.01</v>
      </c>
      <c r="W124" s="1644">
        <v>0.01</v>
      </c>
      <c r="X124" s="1644">
        <v>0</v>
      </c>
      <c r="Y124" s="1644">
        <v>0</v>
      </c>
      <c r="Z124" s="1644">
        <v>0.76</v>
      </c>
      <c r="AA124" s="1644">
        <v>0.76</v>
      </c>
      <c r="AB124" s="1644">
        <v>276.87</v>
      </c>
      <c r="AC124" s="1644">
        <v>277.45</v>
      </c>
      <c r="AD124" s="1644">
        <v>20.61</v>
      </c>
      <c r="AE124" s="1644">
        <v>20.7</v>
      </c>
      <c r="AF124" s="1642" t="s">
        <v>557</v>
      </c>
      <c r="AG124" s="1644">
        <v>0.06</v>
      </c>
      <c r="AH124" s="1644">
        <v>0.06</v>
      </c>
      <c r="AI124" s="1644">
        <v>0.74</v>
      </c>
      <c r="AJ124" s="1644">
        <v>0.74</v>
      </c>
      <c r="AK124" s="1644">
        <v>57.5</v>
      </c>
      <c r="AL124" s="353">
        <v>57.96</v>
      </c>
      <c r="AM124" s="353">
        <v>9.8000000000000007</v>
      </c>
      <c r="AN124" s="353">
        <v>9.83</v>
      </c>
      <c r="AO124" s="353">
        <v>218.29</v>
      </c>
      <c r="AP124" s="353">
        <v>218.57</v>
      </c>
      <c r="AQ124" s="353">
        <v>0.6</v>
      </c>
      <c r="AR124" s="353">
        <v>0.6</v>
      </c>
      <c r="AS124" s="353">
        <v>1.61</v>
      </c>
      <c r="AT124" s="353">
        <v>1.62</v>
      </c>
      <c r="AU124" s="505" t="s">
        <v>557</v>
      </c>
      <c r="AV124" s="418">
        <v>23.08</v>
      </c>
      <c r="AW124" s="353">
        <v>23.11</v>
      </c>
      <c r="AX124" s="353">
        <v>1.28</v>
      </c>
      <c r="AY124" s="353">
        <v>1.28</v>
      </c>
      <c r="AZ124" s="353">
        <v>22.41</v>
      </c>
      <c r="BA124" s="353">
        <v>22.44</v>
      </c>
      <c r="BB124" s="353">
        <v>7.0000000000000007E-2</v>
      </c>
      <c r="BC124" s="353">
        <v>0.08</v>
      </c>
      <c r="BD124" s="353">
        <v>62.09</v>
      </c>
      <c r="BE124" s="353">
        <v>62.46</v>
      </c>
      <c r="BF124" s="353">
        <v>9.1</v>
      </c>
      <c r="BG124" s="353">
        <v>9.06</v>
      </c>
      <c r="BH124" s="353">
        <v>0.47</v>
      </c>
      <c r="BI124" s="353">
        <v>0.47</v>
      </c>
      <c r="BJ124" s="505" t="s">
        <v>557</v>
      </c>
      <c r="BK124" s="1819">
        <v>83.93</v>
      </c>
      <c r="BL124" s="1819">
        <v>84.17</v>
      </c>
      <c r="BM124" s="1819">
        <v>0.16</v>
      </c>
      <c r="BN124" s="1819">
        <v>0.16</v>
      </c>
      <c r="BO124" s="1819">
        <v>116.96</v>
      </c>
      <c r="BP124" s="1819">
        <v>117.38</v>
      </c>
      <c r="BQ124" s="1819">
        <v>2.69</v>
      </c>
      <c r="BR124" s="1819">
        <v>2.68</v>
      </c>
      <c r="BS124" s="546">
        <v>22.88</v>
      </c>
      <c r="BT124" s="546">
        <v>22.91</v>
      </c>
      <c r="BU124" s="1819">
        <v>84.04</v>
      </c>
      <c r="BV124" s="546">
        <v>84.15</v>
      </c>
      <c r="BW124" s="1819">
        <v>109.26</v>
      </c>
      <c r="BX124" s="546">
        <v>111.51</v>
      </c>
    </row>
    <row r="125" spans="1:76" s="1284" customFormat="1" ht="11.45" customHeight="1" x14ac:dyDescent="0.15">
      <c r="A125" s="1848" t="s">
        <v>1404</v>
      </c>
      <c r="B125" s="1642" t="s">
        <v>549</v>
      </c>
      <c r="C125" s="1643">
        <v>59.65</v>
      </c>
      <c r="D125" s="1860">
        <v>59.79</v>
      </c>
      <c r="E125" s="1860">
        <v>84.21</v>
      </c>
      <c r="F125" s="1643">
        <v>84.25</v>
      </c>
      <c r="G125" s="1860">
        <v>223.36</v>
      </c>
      <c r="H125" s="1860">
        <v>223.47</v>
      </c>
      <c r="I125" s="1643">
        <v>63.05</v>
      </c>
      <c r="J125" s="1643">
        <v>63.13</v>
      </c>
      <c r="K125" s="1643">
        <v>12.55</v>
      </c>
      <c r="L125" s="1643">
        <v>12.51</v>
      </c>
      <c r="M125" s="1860">
        <v>12.76</v>
      </c>
      <c r="N125" s="1860">
        <v>12.66</v>
      </c>
      <c r="O125" s="1860">
        <v>95.27</v>
      </c>
      <c r="P125" s="1860">
        <v>94.51</v>
      </c>
      <c r="Q125" s="1642" t="s">
        <v>549</v>
      </c>
      <c r="R125" s="1644">
        <v>10.73</v>
      </c>
      <c r="S125" s="1644">
        <v>10.73</v>
      </c>
      <c r="T125" s="1644">
        <v>1.21</v>
      </c>
      <c r="U125" s="1644">
        <v>1.22</v>
      </c>
      <c r="V125" s="1644">
        <v>0.01</v>
      </c>
      <c r="W125" s="1644">
        <v>0.01</v>
      </c>
      <c r="X125" s="1644">
        <v>0</v>
      </c>
      <c r="Y125" s="1644">
        <v>0</v>
      </c>
      <c r="Z125" s="1644">
        <v>0.76</v>
      </c>
      <c r="AA125" s="1644">
        <v>0.76</v>
      </c>
      <c r="AB125" s="1644">
        <v>277.27</v>
      </c>
      <c r="AC125" s="1644">
        <v>276.91000000000003</v>
      </c>
      <c r="AD125" s="1644">
        <v>20.65</v>
      </c>
      <c r="AE125" s="1644">
        <v>20.64</v>
      </c>
      <c r="AF125" s="1642" t="s">
        <v>549</v>
      </c>
      <c r="AG125" s="1644">
        <v>0.06</v>
      </c>
      <c r="AH125" s="1644">
        <v>0.06</v>
      </c>
      <c r="AI125" s="1644">
        <v>0.74</v>
      </c>
      <c r="AJ125" s="1644">
        <v>0.74</v>
      </c>
      <c r="AK125" s="1644">
        <v>57.55</v>
      </c>
      <c r="AL125" s="339">
        <v>57.32</v>
      </c>
      <c r="AM125" s="339">
        <v>9.8000000000000007</v>
      </c>
      <c r="AN125" s="339">
        <v>9.77</v>
      </c>
      <c r="AO125" s="339">
        <v>218.72</v>
      </c>
      <c r="AP125" s="339">
        <v>218.83</v>
      </c>
      <c r="AQ125" s="339">
        <v>0.6</v>
      </c>
      <c r="AR125" s="339">
        <v>0.6</v>
      </c>
      <c r="AS125" s="339">
        <v>1.6</v>
      </c>
      <c r="AT125" s="339">
        <v>1.6</v>
      </c>
      <c r="AU125" s="502" t="s">
        <v>549</v>
      </c>
      <c r="AV125" s="501">
        <v>23.12</v>
      </c>
      <c r="AW125" s="339">
        <v>23.14</v>
      </c>
      <c r="AX125" s="339">
        <v>1.29</v>
      </c>
      <c r="AY125" s="339">
        <v>1.28</v>
      </c>
      <c r="AZ125" s="339">
        <v>22.45</v>
      </c>
      <c r="BA125" s="339">
        <v>22.46</v>
      </c>
      <c r="BB125" s="339">
        <v>7.0000000000000007E-2</v>
      </c>
      <c r="BC125" s="339">
        <v>7.0000000000000007E-2</v>
      </c>
      <c r="BD125" s="339">
        <v>62.2</v>
      </c>
      <c r="BE125" s="339">
        <v>62.14</v>
      </c>
      <c r="BF125" s="339">
        <v>9.07</v>
      </c>
      <c r="BG125" s="339">
        <v>9.06</v>
      </c>
      <c r="BH125" s="339">
        <v>0.47</v>
      </c>
      <c r="BI125" s="339">
        <v>0.48</v>
      </c>
      <c r="BJ125" s="502" t="s">
        <v>549</v>
      </c>
      <c r="BK125" s="547">
        <v>84.2</v>
      </c>
      <c r="BL125" s="1423">
        <v>84.64</v>
      </c>
      <c r="BM125" s="1423">
        <v>0.16</v>
      </c>
      <c r="BN125" s="1423">
        <v>0.16</v>
      </c>
      <c r="BO125" s="1423">
        <v>117.22</v>
      </c>
      <c r="BP125" s="1423">
        <v>116.97</v>
      </c>
      <c r="BQ125" s="1423">
        <v>2.65</v>
      </c>
      <c r="BR125" s="1423">
        <v>2.66</v>
      </c>
      <c r="BS125" s="547">
        <v>22.93</v>
      </c>
      <c r="BT125" s="547">
        <v>22.94</v>
      </c>
      <c r="BU125" s="1423">
        <v>84.21</v>
      </c>
      <c r="BV125" s="547">
        <v>84.25</v>
      </c>
      <c r="BW125" s="1423">
        <v>111.12</v>
      </c>
      <c r="BX125" s="547">
        <v>109.8</v>
      </c>
    </row>
    <row r="126" spans="1:76" s="1284" customFormat="1" ht="11.45" customHeight="1" x14ac:dyDescent="0.15">
      <c r="A126" s="1848" t="s">
        <v>1404</v>
      </c>
      <c r="B126" s="1642" t="s">
        <v>558</v>
      </c>
      <c r="C126" s="1643">
        <v>60.03</v>
      </c>
      <c r="D126" s="1643">
        <v>59.6</v>
      </c>
      <c r="E126" s="1860">
        <v>84.33</v>
      </c>
      <c r="F126" s="1643">
        <v>84.45</v>
      </c>
      <c r="G126" s="1860">
        <v>223.67</v>
      </c>
      <c r="H126" s="1860">
        <v>224.01</v>
      </c>
      <c r="I126" s="1643">
        <v>63.06</v>
      </c>
      <c r="J126" s="1643">
        <v>62.75</v>
      </c>
      <c r="K126" s="1643">
        <v>12.56</v>
      </c>
      <c r="L126" s="1643">
        <v>12.55</v>
      </c>
      <c r="M126" s="1860">
        <v>12.69</v>
      </c>
      <c r="N126" s="1860">
        <v>12.65</v>
      </c>
      <c r="O126" s="1860">
        <v>94.77</v>
      </c>
      <c r="P126" s="1860">
        <v>94.47</v>
      </c>
      <c r="Q126" s="1642" t="s">
        <v>558</v>
      </c>
      <c r="R126" s="1644">
        <v>10.75</v>
      </c>
      <c r="S126" s="1644">
        <v>10.77</v>
      </c>
      <c r="T126" s="1644">
        <v>1.22</v>
      </c>
      <c r="U126" s="1644">
        <v>1.21</v>
      </c>
      <c r="V126" s="1644">
        <v>0.01</v>
      </c>
      <c r="W126" s="1644">
        <v>0.01</v>
      </c>
      <c r="X126" s="1644">
        <v>0</v>
      </c>
      <c r="Y126" s="1644">
        <v>0</v>
      </c>
      <c r="Z126" s="1644">
        <v>0.76</v>
      </c>
      <c r="AA126" s="1644">
        <v>0.76</v>
      </c>
      <c r="AB126" s="1644">
        <v>277.14</v>
      </c>
      <c r="AC126" s="1644">
        <v>277.39</v>
      </c>
      <c r="AD126" s="1644">
        <v>20.5</v>
      </c>
      <c r="AE126" s="1644">
        <v>20.420000000000002</v>
      </c>
      <c r="AF126" s="1642" t="s">
        <v>558</v>
      </c>
      <c r="AG126" s="1644">
        <v>0.06</v>
      </c>
      <c r="AH126" s="1644">
        <v>0.06</v>
      </c>
      <c r="AI126" s="1644">
        <v>0.74</v>
      </c>
      <c r="AJ126" s="1644">
        <v>0.74</v>
      </c>
      <c r="AK126" s="1644">
        <v>56.7</v>
      </c>
      <c r="AL126" s="353">
        <v>56.32</v>
      </c>
      <c r="AM126" s="353">
        <v>9.85</v>
      </c>
      <c r="AN126" s="353">
        <v>9.75</v>
      </c>
      <c r="AO126" s="353">
        <v>219.05</v>
      </c>
      <c r="AP126" s="353">
        <v>219.35</v>
      </c>
      <c r="AQ126" s="353">
        <v>0.6</v>
      </c>
      <c r="AR126" s="353">
        <v>0.6</v>
      </c>
      <c r="AS126" s="353">
        <v>1.62</v>
      </c>
      <c r="AT126" s="353">
        <v>1.62</v>
      </c>
      <c r="AU126" s="505" t="s">
        <v>558</v>
      </c>
      <c r="AV126" s="418">
        <v>23.16</v>
      </c>
      <c r="AW126" s="353">
        <v>23.19</v>
      </c>
      <c r="AX126" s="353">
        <v>1.31</v>
      </c>
      <c r="AY126" s="353">
        <v>1.31</v>
      </c>
      <c r="AZ126" s="353">
        <v>22.49</v>
      </c>
      <c r="BA126" s="353">
        <v>22.52</v>
      </c>
      <c r="BB126" s="353">
        <v>7.0000000000000007E-2</v>
      </c>
      <c r="BC126" s="353">
        <v>7.0000000000000007E-2</v>
      </c>
      <c r="BD126" s="353">
        <v>62.21</v>
      </c>
      <c r="BE126" s="353">
        <v>62.02</v>
      </c>
      <c r="BF126" s="353">
        <v>9.0500000000000007</v>
      </c>
      <c r="BG126" s="353">
        <v>8.8800000000000008</v>
      </c>
      <c r="BH126" s="353">
        <v>0.48</v>
      </c>
      <c r="BI126" s="353">
        <v>0.48</v>
      </c>
      <c r="BJ126" s="505" t="s">
        <v>558</v>
      </c>
      <c r="BK126" s="546">
        <v>83.71</v>
      </c>
      <c r="BL126" s="1819">
        <v>82.82</v>
      </c>
      <c r="BM126" s="1819">
        <v>0.16</v>
      </c>
      <c r="BN126" s="1819">
        <v>0.16</v>
      </c>
      <c r="BO126" s="1819">
        <v>116.99</v>
      </c>
      <c r="BP126" s="1819">
        <v>116.74</v>
      </c>
      <c r="BQ126" s="1819">
        <v>2.65</v>
      </c>
      <c r="BR126" s="1819">
        <v>2.65</v>
      </c>
      <c r="BS126" s="546">
        <v>22.96</v>
      </c>
      <c r="BT126" s="546">
        <v>22.99</v>
      </c>
      <c r="BU126" s="1819">
        <v>84.33</v>
      </c>
      <c r="BV126" s="546">
        <v>84.45</v>
      </c>
      <c r="BW126" s="1819">
        <v>109.91</v>
      </c>
      <c r="BX126" s="546">
        <v>109.26</v>
      </c>
    </row>
    <row r="127" spans="1:76" s="1284" customFormat="1" ht="11.45" customHeight="1" x14ac:dyDescent="0.15">
      <c r="A127" s="1848" t="s">
        <v>1404</v>
      </c>
      <c r="B127" s="1642" t="s">
        <v>559</v>
      </c>
      <c r="C127" s="1643">
        <v>58.7</v>
      </c>
      <c r="D127" s="1860">
        <v>58.45</v>
      </c>
      <c r="E127" s="1860">
        <v>84.49</v>
      </c>
      <c r="F127" s="1643">
        <v>84.5</v>
      </c>
      <c r="G127" s="1860">
        <v>224.11</v>
      </c>
      <c r="H127" s="1860">
        <v>224.14</v>
      </c>
      <c r="I127" s="1643">
        <v>62.82</v>
      </c>
      <c r="J127" s="1643">
        <v>62.5</v>
      </c>
      <c r="K127" s="1643">
        <v>12.36</v>
      </c>
      <c r="L127" s="1643">
        <v>12.25</v>
      </c>
      <c r="M127" s="1860">
        <v>12.66</v>
      </c>
      <c r="N127" s="1643">
        <v>12.6</v>
      </c>
      <c r="O127" s="1860">
        <v>94.52</v>
      </c>
      <c r="P127" s="1860">
        <v>94.06</v>
      </c>
      <c r="Q127" s="1642" t="s">
        <v>559</v>
      </c>
      <c r="R127" s="1644">
        <v>10.77</v>
      </c>
      <c r="S127" s="1644">
        <v>10.77</v>
      </c>
      <c r="T127" s="1644">
        <v>1.21</v>
      </c>
      <c r="U127" s="1644">
        <v>1.21</v>
      </c>
      <c r="V127" s="1644">
        <v>0.01</v>
      </c>
      <c r="W127" s="1644">
        <v>0.01</v>
      </c>
      <c r="X127" s="1644">
        <v>0</v>
      </c>
      <c r="Y127" s="1644">
        <v>0</v>
      </c>
      <c r="Z127" s="1644">
        <v>0.77</v>
      </c>
      <c r="AA127" s="1644">
        <v>0.77</v>
      </c>
      <c r="AB127" s="1644">
        <v>277.7</v>
      </c>
      <c r="AC127" s="1644">
        <v>277.64</v>
      </c>
      <c r="AD127" s="1644">
        <v>20.260000000000002</v>
      </c>
      <c r="AE127" s="1644">
        <v>20.14</v>
      </c>
      <c r="AF127" s="1642" t="s">
        <v>559</v>
      </c>
      <c r="AG127" s="1644">
        <v>0.06</v>
      </c>
      <c r="AH127" s="1644">
        <v>0.06</v>
      </c>
      <c r="AI127" s="1644">
        <v>0.74</v>
      </c>
      <c r="AJ127" s="1644">
        <v>0.74</v>
      </c>
      <c r="AK127" s="1644">
        <v>55.46</v>
      </c>
      <c r="AL127" s="339">
        <v>55.02</v>
      </c>
      <c r="AM127" s="339">
        <v>9.67</v>
      </c>
      <c r="AN127" s="339">
        <v>9.65</v>
      </c>
      <c r="AO127" s="339">
        <v>219.46</v>
      </c>
      <c r="AP127" s="339">
        <v>219.48</v>
      </c>
      <c r="AQ127" s="339">
        <v>0.57999999999999996</v>
      </c>
      <c r="AR127" s="339">
        <v>0.56000000000000005</v>
      </c>
      <c r="AS127" s="339">
        <v>1.62</v>
      </c>
      <c r="AT127" s="339">
        <v>1.62</v>
      </c>
      <c r="AU127" s="502" t="s">
        <v>559</v>
      </c>
      <c r="AV127" s="501">
        <v>23.21</v>
      </c>
      <c r="AW127" s="339">
        <v>23.21</v>
      </c>
      <c r="AX127" s="339">
        <v>1.3</v>
      </c>
      <c r="AY127" s="339">
        <v>1.3</v>
      </c>
      <c r="AZ127" s="339">
        <v>22.53</v>
      </c>
      <c r="BA127" s="339">
        <v>22.53</v>
      </c>
      <c r="BB127" s="339">
        <v>7.0000000000000007E-2</v>
      </c>
      <c r="BC127" s="339">
        <v>7.0000000000000007E-2</v>
      </c>
      <c r="BD127" s="339">
        <v>61.65</v>
      </c>
      <c r="BE127" s="339">
        <v>61.18</v>
      </c>
      <c r="BF127" s="339">
        <v>8.81</v>
      </c>
      <c r="BG127" s="339">
        <v>8.85</v>
      </c>
      <c r="BH127" s="339">
        <v>0.48</v>
      </c>
      <c r="BI127" s="339">
        <v>0.48</v>
      </c>
      <c r="BJ127" s="502" t="s">
        <v>559</v>
      </c>
      <c r="BK127" s="547">
        <v>83.55</v>
      </c>
      <c r="BL127" s="1423">
        <v>83.85</v>
      </c>
      <c r="BM127" s="1423">
        <v>0.16</v>
      </c>
      <c r="BN127" s="1423">
        <v>0.16</v>
      </c>
      <c r="BO127" s="1423">
        <v>116.76</v>
      </c>
      <c r="BP127" s="1423">
        <v>116.47</v>
      </c>
      <c r="BQ127" s="1423">
        <v>2.66</v>
      </c>
      <c r="BR127" s="1423">
        <v>2.66</v>
      </c>
      <c r="BS127" s="547">
        <v>23</v>
      </c>
      <c r="BT127" s="547">
        <v>23</v>
      </c>
      <c r="BU127" s="1423">
        <v>84.49</v>
      </c>
      <c r="BV127" s="547">
        <v>84.5</v>
      </c>
      <c r="BW127" s="1423">
        <v>108.67</v>
      </c>
      <c r="BX127" s="547">
        <v>106.7</v>
      </c>
    </row>
    <row r="128" spans="1:76" s="1741" customFormat="1" ht="11.45" customHeight="1" x14ac:dyDescent="0.15">
      <c r="A128" s="1848" t="s">
        <v>2479</v>
      </c>
      <c r="B128" s="1642" t="s">
        <v>553</v>
      </c>
      <c r="C128" s="1643">
        <v>78.888199288878099</v>
      </c>
      <c r="D128" s="1643">
        <v>81.4259995578808</v>
      </c>
      <c r="E128" s="1643">
        <v>118.72499999999999</v>
      </c>
      <c r="F128" s="1643">
        <v>120</v>
      </c>
      <c r="G128" s="1643">
        <v>315.007571553199</v>
      </c>
      <c r="H128" s="1643">
        <v>318.34460803820099</v>
      </c>
      <c r="I128" s="1643">
        <v>86.833432068604097</v>
      </c>
      <c r="J128" s="1643">
        <v>89.017469678424405</v>
      </c>
      <c r="K128" s="1643">
        <v>16.637535650241201</v>
      </c>
      <c r="L128" s="1643">
        <v>16.830530582476602</v>
      </c>
      <c r="M128" s="1643">
        <v>17.5360521480643</v>
      </c>
      <c r="N128" s="1643">
        <v>17.891488124524699</v>
      </c>
      <c r="O128" s="1643">
        <v>130.84620189203801</v>
      </c>
      <c r="P128" s="1643">
        <v>133.44599973022801</v>
      </c>
      <c r="Q128" s="1642" t="s">
        <v>553</v>
      </c>
      <c r="R128" s="1644">
        <v>15.2268036834223</v>
      </c>
      <c r="S128" s="1644">
        <v>15.382446065298501</v>
      </c>
      <c r="T128" s="1644">
        <v>1.4153963561957601</v>
      </c>
      <c r="U128" s="1644">
        <v>1.4300184710719199</v>
      </c>
      <c r="V128" s="1644">
        <v>7.5301541699894703E-3</v>
      </c>
      <c r="W128" s="1644">
        <v>7.78765656434551E-3</v>
      </c>
      <c r="X128" s="1644">
        <v>2.82661746324624E-3</v>
      </c>
      <c r="Y128" s="1644">
        <v>2.8569727992381398E-3</v>
      </c>
      <c r="Z128" s="1644">
        <v>0.81226068072259705</v>
      </c>
      <c r="AA128" s="1644">
        <v>0.82999031677963797</v>
      </c>
      <c r="AB128" s="1644">
        <v>388.45148997724601</v>
      </c>
      <c r="AC128" s="1644">
        <v>393.12039312039298</v>
      </c>
      <c r="AD128" s="1644">
        <v>26.837389452909001</v>
      </c>
      <c r="AE128" s="1644">
        <v>27.729636048526899</v>
      </c>
      <c r="AF128" s="1642" t="s">
        <v>553</v>
      </c>
      <c r="AG128" s="1644">
        <v>5.65357142857143E-2</v>
      </c>
      <c r="AH128" s="1644">
        <v>5.7142857142857099E-2</v>
      </c>
      <c r="AI128" s="1644">
        <v>1.0027727215482201</v>
      </c>
      <c r="AJ128" s="1644">
        <v>1.0224844326745099</v>
      </c>
      <c r="AK128" s="1644">
        <v>72.105624128281306</v>
      </c>
      <c r="AL128" s="339">
        <v>74.939998078462807</v>
      </c>
      <c r="AM128" s="339">
        <v>11.0999178797111</v>
      </c>
      <c r="AN128" s="339">
        <v>11.4284625860706</v>
      </c>
      <c r="AO128" s="339">
        <v>308.37670047754699</v>
      </c>
      <c r="AP128" s="339">
        <v>311.68831168831201</v>
      </c>
      <c r="AQ128" s="339">
        <v>0.42584602437067998</v>
      </c>
      <c r="AR128" s="339">
        <v>0.42979942693409701</v>
      </c>
      <c r="AS128" s="339">
        <v>2.0814175150985901</v>
      </c>
      <c r="AT128" s="339">
        <v>2.1309655937846799</v>
      </c>
      <c r="AU128" s="502" t="s">
        <v>553</v>
      </c>
      <c r="AV128" s="501">
        <v>32.559324522199702</v>
      </c>
      <c r="AW128" s="339">
        <v>32.921810699588498</v>
      </c>
      <c r="AX128" s="339">
        <v>1.3335820257928299</v>
      </c>
      <c r="AY128" s="339">
        <v>1.3114754098360699</v>
      </c>
      <c r="AZ128" s="339">
        <v>31.636230153193999</v>
      </c>
      <c r="BA128" s="339">
        <v>31.977828705430898</v>
      </c>
      <c r="BB128" s="339">
        <v>8.7873166943541706E-2</v>
      </c>
      <c r="BC128" s="339">
        <v>8.9870810709604898E-2</v>
      </c>
      <c r="BD128" s="339">
        <v>90.208652889328405</v>
      </c>
      <c r="BE128" s="339">
        <v>92.059838895281899</v>
      </c>
      <c r="BF128" s="339">
        <v>11.4213308217047</v>
      </c>
      <c r="BG128" s="339">
        <v>11.795756476607499</v>
      </c>
      <c r="BH128" s="339">
        <v>0.39527889144198403</v>
      </c>
      <c r="BI128" s="339">
        <v>0.39933444259567402</v>
      </c>
      <c r="BJ128" s="502" t="s">
        <v>553</v>
      </c>
      <c r="BK128" s="547">
        <v>138.37306318495899</v>
      </c>
      <c r="BL128" s="547">
        <v>142.475512021371</v>
      </c>
      <c r="BM128" s="547">
        <v>9.1316386570780301E-3</v>
      </c>
      <c r="BN128" s="547">
        <v>9.2297042648925107E-3</v>
      </c>
      <c r="BO128" s="547">
        <v>159.03639671628301</v>
      </c>
      <c r="BP128" s="547">
        <v>161.59439806086701</v>
      </c>
      <c r="BQ128" s="547">
        <v>3.4129770973743199</v>
      </c>
      <c r="BR128" s="547">
        <v>3.5299308721870899</v>
      </c>
      <c r="BS128" s="547">
        <v>32.324359068179199</v>
      </c>
      <c r="BT128" s="547">
        <v>32.672620344151603</v>
      </c>
      <c r="BU128" s="547">
        <v>118.72499999999999</v>
      </c>
      <c r="BV128" s="547">
        <v>120</v>
      </c>
      <c r="BW128" s="547">
        <v>153.59415947609301</v>
      </c>
      <c r="BX128" s="547">
        <v>158.297997953227</v>
      </c>
    </row>
    <row r="129" spans="1:76" s="1741" customFormat="1" ht="11.45" customHeight="1" x14ac:dyDescent="0.15">
      <c r="A129" s="1848" t="s">
        <v>2479</v>
      </c>
      <c r="B129" s="1642" t="s">
        <v>547</v>
      </c>
      <c r="C129" s="1643">
        <v>81.101075037182994</v>
      </c>
      <c r="D129" s="1643">
        <v>82.829999565374905</v>
      </c>
      <c r="E129" s="1643">
        <v>120</v>
      </c>
      <c r="F129" s="1643">
        <v>120</v>
      </c>
      <c r="G129" s="1643">
        <v>318.46330364422801</v>
      </c>
      <c r="H129" s="1643">
        <v>318.34460803820099</v>
      </c>
      <c r="I129" s="1643">
        <v>88.5896018199184</v>
      </c>
      <c r="J129" s="1643">
        <v>88.786948318597197</v>
      </c>
      <c r="K129" s="1643">
        <v>16.940879641638801</v>
      </c>
      <c r="L129" s="1643">
        <v>17.1247538316637</v>
      </c>
      <c r="M129" s="1643">
        <v>17.847426836828401</v>
      </c>
      <c r="N129" s="1643">
        <v>17.966492491503299</v>
      </c>
      <c r="O129" s="1643">
        <v>133.140230030244</v>
      </c>
      <c r="P129" s="1643">
        <v>133.96199973126701</v>
      </c>
      <c r="Q129" s="1642" t="s">
        <v>547</v>
      </c>
      <c r="R129" s="1644">
        <v>15.3995162967831</v>
      </c>
      <c r="S129" s="1644">
        <v>15.439743185605</v>
      </c>
      <c r="T129" s="1644">
        <v>1.4319156432086699</v>
      </c>
      <c r="U129" s="1644">
        <v>1.43334925943622</v>
      </c>
      <c r="V129" s="1644">
        <v>7.8274607265153406E-3</v>
      </c>
      <c r="W129" s="1644">
        <v>7.9207920792079192E-3</v>
      </c>
      <c r="X129" s="1644">
        <v>2.8565808478587902E-3</v>
      </c>
      <c r="Y129" s="1644">
        <v>2.8569727992381398E-3</v>
      </c>
      <c r="Z129" s="1644">
        <v>0.83768843774616597</v>
      </c>
      <c r="AA129" s="1644">
        <v>0.84391152994127805</v>
      </c>
      <c r="AB129" s="1644">
        <v>393.12558167184199</v>
      </c>
      <c r="AC129" s="1644">
        <v>393.44262295082001</v>
      </c>
      <c r="AD129" s="1644">
        <v>28.131812769300399</v>
      </c>
      <c r="AE129" s="1644">
        <v>29.186428310835499</v>
      </c>
      <c r="AF129" s="1642" t="s">
        <v>547</v>
      </c>
      <c r="AG129" s="1644">
        <v>5.7142857142857099E-2</v>
      </c>
      <c r="AH129" s="1644">
        <v>5.7142857142857099E-2</v>
      </c>
      <c r="AI129" s="1644">
        <v>1.0221114765193</v>
      </c>
      <c r="AJ129" s="1644">
        <v>1.0266510045352299</v>
      </c>
      <c r="AK129" s="1644">
        <v>74.600536140859504</v>
      </c>
      <c r="AL129" s="339">
        <v>76.085999526851197</v>
      </c>
      <c r="AM129" s="339">
        <v>11.2935812970331</v>
      </c>
      <c r="AN129" s="339">
        <v>11.426721387965699</v>
      </c>
      <c r="AO129" s="339">
        <v>311.70078822438097</v>
      </c>
      <c r="AP129" s="339">
        <v>312.09362808842701</v>
      </c>
      <c r="AQ129" s="339">
        <v>0.43102828723160203</v>
      </c>
      <c r="AR129" s="339">
        <v>0.43212099387828601</v>
      </c>
      <c r="AS129" s="339">
        <v>2.1402879445623202</v>
      </c>
      <c r="AT129" s="339">
        <v>2.1417097983223301</v>
      </c>
      <c r="AU129" s="502" t="s">
        <v>547</v>
      </c>
      <c r="AV129" s="501">
        <v>32.915654625138203</v>
      </c>
      <c r="AW129" s="339">
        <v>32.921810699588498</v>
      </c>
      <c r="AX129" s="339">
        <v>1.3188159057300199</v>
      </c>
      <c r="AY129" s="339">
        <v>1.2721971905645399</v>
      </c>
      <c r="AZ129" s="339">
        <v>31.9769285857199</v>
      </c>
      <c r="BA129" s="339">
        <v>31.988057791757701</v>
      </c>
      <c r="BB129" s="339">
        <v>9.0051679047771505E-2</v>
      </c>
      <c r="BC129" s="339">
        <v>9.1641878811252103E-2</v>
      </c>
      <c r="BD129" s="339">
        <v>92.489810711962505</v>
      </c>
      <c r="BE129" s="339">
        <v>93.662191695285699</v>
      </c>
      <c r="BF129" s="339">
        <v>11.722294951740199</v>
      </c>
      <c r="BG129" s="339">
        <v>11.88430627838</v>
      </c>
      <c r="BH129" s="339">
        <v>0.399077797471938</v>
      </c>
      <c r="BI129" s="339">
        <v>0.40451710770268001</v>
      </c>
      <c r="BJ129" s="502" t="s">
        <v>547</v>
      </c>
      <c r="BK129" s="547">
        <v>141.57651090562399</v>
      </c>
      <c r="BL129" s="547">
        <v>142.763666646838</v>
      </c>
      <c r="BM129" s="547">
        <v>9.2297042648925107E-3</v>
      </c>
      <c r="BN129" s="547">
        <v>9.2297042648925107E-3</v>
      </c>
      <c r="BO129" s="547">
        <v>161.95536959027399</v>
      </c>
      <c r="BP129" s="547">
        <v>162.75600162756001</v>
      </c>
      <c r="BQ129" s="547">
        <v>3.5967130179929598</v>
      </c>
      <c r="BR129" s="547">
        <v>3.7319234955683398</v>
      </c>
      <c r="BS129" s="547">
        <v>32.671303132499801</v>
      </c>
      <c r="BT129" s="547">
        <v>32.670841274162797</v>
      </c>
      <c r="BU129" s="547">
        <v>120</v>
      </c>
      <c r="BV129" s="547">
        <v>120</v>
      </c>
      <c r="BW129" s="547">
        <v>158.38384154976799</v>
      </c>
      <c r="BX129" s="547">
        <v>160.49399798123301</v>
      </c>
    </row>
    <row r="130" spans="1:76" s="1741" customFormat="1" ht="11.45" customHeight="1" x14ac:dyDescent="0.15">
      <c r="A130" s="1848" t="s">
        <v>2479</v>
      </c>
      <c r="B130" s="1642" t="s">
        <v>554</v>
      </c>
      <c r="C130" s="1643">
        <v>80.605610840370204</v>
      </c>
      <c r="D130" s="1643">
        <v>78.863998174071796</v>
      </c>
      <c r="E130" s="1643">
        <v>119.998148148148</v>
      </c>
      <c r="F130" s="1643">
        <v>120</v>
      </c>
      <c r="G130" s="1643">
        <v>318.264649671391</v>
      </c>
      <c r="H130" s="1643">
        <v>318.26017769526601</v>
      </c>
      <c r="I130" s="1643">
        <v>87.425482976505606</v>
      </c>
      <c r="J130" s="1643">
        <v>86.309202718739897</v>
      </c>
      <c r="K130" s="1643">
        <v>16.944116441307902</v>
      </c>
      <c r="L130" s="1643">
        <v>16.842105263157901</v>
      </c>
      <c r="M130" s="1643">
        <v>17.5542866858564</v>
      </c>
      <c r="N130" s="1643">
        <v>17.463817153834398</v>
      </c>
      <c r="O130" s="1643">
        <v>130.93195295406699</v>
      </c>
      <c r="P130" s="1643">
        <v>130.27199889462</v>
      </c>
      <c r="Q130" s="1642" t="s">
        <v>554</v>
      </c>
      <c r="R130" s="1644">
        <v>15.443514981061201</v>
      </c>
      <c r="S130" s="1644">
        <v>15.439842513606401</v>
      </c>
      <c r="T130" s="1644">
        <v>1.42811661997608</v>
      </c>
      <c r="U130" s="1644">
        <v>1.42704245451302</v>
      </c>
      <c r="V130" s="1644">
        <v>7.71548464537373E-3</v>
      </c>
      <c r="W130" s="1644">
        <v>7.6420952077694603E-3</v>
      </c>
      <c r="X130" s="1644">
        <v>2.85680289859787E-3</v>
      </c>
      <c r="Y130" s="1644">
        <v>2.8569727992381398E-3</v>
      </c>
      <c r="Z130" s="1644">
        <v>0.80278728412784695</v>
      </c>
      <c r="AA130" s="1644">
        <v>0.78216660148611605</v>
      </c>
      <c r="AB130" s="1644">
        <v>391.56129501059598</v>
      </c>
      <c r="AC130" s="1644">
        <v>391.51712887438799</v>
      </c>
      <c r="AD130" s="1644">
        <v>27.9338499351446</v>
      </c>
      <c r="AE130" s="1644">
        <v>27.403516784653998</v>
      </c>
      <c r="AF130" s="1642" t="s">
        <v>554</v>
      </c>
      <c r="AG130" s="1644">
        <v>5.7141975308641998E-2</v>
      </c>
      <c r="AH130" s="1644">
        <v>5.7142857142857099E-2</v>
      </c>
      <c r="AI130" s="1644">
        <v>1.01390926807349</v>
      </c>
      <c r="AJ130" s="1644">
        <v>1.0061180360911299</v>
      </c>
      <c r="AK130" s="1644">
        <v>73.182837738905903</v>
      </c>
      <c r="AL130" s="339">
        <v>71.675997990959303</v>
      </c>
      <c r="AM130" s="339">
        <v>11.106183042852299</v>
      </c>
      <c r="AN130" s="339">
        <v>10.9493047191503</v>
      </c>
      <c r="AO130" s="339">
        <v>311.69100134017799</v>
      </c>
      <c r="AP130" s="339">
        <v>311.68831168831201</v>
      </c>
      <c r="AQ130" s="339">
        <v>0.43190489548933902</v>
      </c>
      <c r="AR130" s="339">
        <v>0.4320043200432</v>
      </c>
      <c r="AS130" s="339">
        <v>2.09120699945306</v>
      </c>
      <c r="AT130" s="339">
        <v>2.0639834881320902</v>
      </c>
      <c r="AU130" s="502" t="s">
        <v>554</v>
      </c>
      <c r="AV130" s="501">
        <v>32.914614076892697</v>
      </c>
      <c r="AW130" s="339">
        <v>32.912781130005499</v>
      </c>
      <c r="AX130" s="339">
        <v>1.2494170436435099</v>
      </c>
      <c r="AY130" s="339">
        <v>1.2382623052316599</v>
      </c>
      <c r="AZ130" s="339">
        <v>31.9567742844281</v>
      </c>
      <c r="BA130" s="339">
        <v>31.951433820592701</v>
      </c>
      <c r="BB130" s="339">
        <v>8.8236945331789496E-2</v>
      </c>
      <c r="BC130" s="339">
        <v>8.70760936213133E-2</v>
      </c>
      <c r="BD130" s="339">
        <v>91.6627773043855</v>
      </c>
      <c r="BE130" s="339">
        <v>90.747532801451996</v>
      </c>
      <c r="BF130" s="339">
        <v>11.4783000299519</v>
      </c>
      <c r="BG130" s="339">
        <v>11.2269671751547</v>
      </c>
      <c r="BH130" s="339">
        <v>0.40894600182199797</v>
      </c>
      <c r="BI130" s="339">
        <v>0.40962621607782901</v>
      </c>
      <c r="BJ130" s="502" t="s">
        <v>554</v>
      </c>
      <c r="BK130" s="547">
        <v>139.47144896225899</v>
      </c>
      <c r="BL130" s="547">
        <v>138.448226132103</v>
      </c>
      <c r="BM130" s="547">
        <v>9.2282738493288004E-3</v>
      </c>
      <c r="BN130" s="547">
        <v>9.22722029988466E-3</v>
      </c>
      <c r="BO130" s="547">
        <v>160.34066406445001</v>
      </c>
      <c r="BP130" s="547">
        <v>159.78695073235701</v>
      </c>
      <c r="BQ130" s="547">
        <v>3.5950224697469402</v>
      </c>
      <c r="BR130" s="547">
        <v>3.5571365051133799</v>
      </c>
      <c r="BS130" s="547">
        <v>32.670254764158997</v>
      </c>
      <c r="BT130" s="547">
        <v>32.670396536938</v>
      </c>
      <c r="BU130" s="547">
        <v>119.998148148148</v>
      </c>
      <c r="BV130" s="547">
        <v>120</v>
      </c>
      <c r="BW130" s="547">
        <v>156.844650634544</v>
      </c>
      <c r="BX130" s="547">
        <v>155.549999768563</v>
      </c>
    </row>
    <row r="131" spans="1:76" s="1741" customFormat="1" ht="11.45" customHeight="1" x14ac:dyDescent="0.15">
      <c r="A131" s="1848" t="s">
        <v>2479</v>
      </c>
      <c r="B131" s="1642" t="s">
        <v>555</v>
      </c>
      <c r="C131" s="1643">
        <v>78.359514758875093</v>
      </c>
      <c r="D131" s="1643">
        <v>77.963992611974703</v>
      </c>
      <c r="E131" s="1643">
        <v>120</v>
      </c>
      <c r="F131" s="1643">
        <v>120</v>
      </c>
      <c r="G131" s="1643">
        <v>318.317590329175</v>
      </c>
      <c r="H131" s="1643">
        <v>318.30238726790498</v>
      </c>
      <c r="I131" s="1643">
        <v>85.897106130729199</v>
      </c>
      <c r="J131" s="1643">
        <v>85.531004989308599</v>
      </c>
      <c r="K131" s="1643">
        <v>16.7308122660239</v>
      </c>
      <c r="L131" s="1643">
        <v>16.6912398809358</v>
      </c>
      <c r="M131" s="1643">
        <v>17.115525926106201</v>
      </c>
      <c r="N131" s="1643">
        <v>17.0010200612037</v>
      </c>
      <c r="O131" s="1643">
        <v>127.657438663956</v>
      </c>
      <c r="P131" s="1643">
        <v>126.791995457127</v>
      </c>
      <c r="Q131" s="1642" t="s">
        <v>555</v>
      </c>
      <c r="R131" s="1644">
        <v>15.4248511908828</v>
      </c>
      <c r="S131" s="1644">
        <v>15.420894026331201</v>
      </c>
      <c r="T131" s="1644">
        <v>1.42296419201441</v>
      </c>
      <c r="U131" s="1644">
        <v>1.42146410803127</v>
      </c>
      <c r="V131" s="1644">
        <v>7.5852482485636204E-3</v>
      </c>
      <c r="W131" s="1644">
        <v>7.5662042875157603E-3</v>
      </c>
      <c r="X131" s="1644">
        <v>2.8569727992381398E-3</v>
      </c>
      <c r="Y131" s="1644">
        <v>2.8569727992381398E-3</v>
      </c>
      <c r="Z131" s="1644">
        <v>0.78030803226088896</v>
      </c>
      <c r="AA131" s="1644">
        <v>0.794097210733547</v>
      </c>
      <c r="AB131" s="1644">
        <v>390.53684667703101</v>
      </c>
      <c r="AC131" s="1644">
        <v>390.37085230969399</v>
      </c>
      <c r="AD131" s="1644">
        <v>27.05564112231</v>
      </c>
      <c r="AE131" s="1644">
        <v>27.002700270026999</v>
      </c>
      <c r="AF131" s="1642" t="s">
        <v>555</v>
      </c>
      <c r="AG131" s="1644">
        <v>5.7142857142857099E-2</v>
      </c>
      <c r="AH131" s="1644">
        <v>5.7142857142857099E-2</v>
      </c>
      <c r="AI131" s="1644">
        <v>1.0002385596497001</v>
      </c>
      <c r="AJ131" s="1644">
        <v>0.99391969625814103</v>
      </c>
      <c r="AK131" s="1644">
        <v>70.932234013297204</v>
      </c>
      <c r="AL131" s="339">
        <v>70.733999491050994</v>
      </c>
      <c r="AM131" s="339">
        <v>10.8542629278978</v>
      </c>
      <c r="AN131" s="339">
        <v>10.8478498657578</v>
      </c>
      <c r="AO131" s="339">
        <v>311.68507378869703</v>
      </c>
      <c r="AP131" s="339">
        <v>311.64783794312399</v>
      </c>
      <c r="AQ131" s="339">
        <v>0.43165172168162702</v>
      </c>
      <c r="AR131" s="339">
        <v>0.4320043200432</v>
      </c>
      <c r="AS131" s="339">
        <v>2.0441073650074602</v>
      </c>
      <c r="AT131" s="339">
        <v>2.0467337540508299</v>
      </c>
      <c r="AU131" s="502" t="s">
        <v>555</v>
      </c>
      <c r="AV131" s="501">
        <v>32.914533494497199</v>
      </c>
      <c r="AW131" s="339">
        <v>32.917746780232903</v>
      </c>
      <c r="AX131" s="339">
        <v>1.1950946914163101</v>
      </c>
      <c r="AY131" s="339">
        <v>1.06053910737958</v>
      </c>
      <c r="AZ131" s="339">
        <v>31.954177952341698</v>
      </c>
      <c r="BA131" s="339">
        <v>31.953135401411298</v>
      </c>
      <c r="BB131" s="339">
        <v>8.6017282157839006E-2</v>
      </c>
      <c r="BC131" s="339">
        <v>8.5966043412851897E-2</v>
      </c>
      <c r="BD131" s="339">
        <v>89.827027543271498</v>
      </c>
      <c r="BE131" s="339">
        <v>89.528854403700507</v>
      </c>
      <c r="BF131" s="339">
        <v>11.012100769412299</v>
      </c>
      <c r="BG131" s="339">
        <v>10.975040927756799</v>
      </c>
      <c r="BH131" s="339">
        <v>0.41107762451966201</v>
      </c>
      <c r="BI131" s="339">
        <v>0.41244200034370199</v>
      </c>
      <c r="BJ131" s="502" t="s">
        <v>555</v>
      </c>
      <c r="BK131" s="547">
        <v>136.33441836686899</v>
      </c>
      <c r="BL131" s="547">
        <v>136.092996881202</v>
      </c>
      <c r="BM131" s="547">
        <v>9.22722029988466E-3</v>
      </c>
      <c r="BN131" s="547">
        <v>9.22722029988466E-3</v>
      </c>
      <c r="BO131" s="547">
        <v>158.13035780940601</v>
      </c>
      <c r="BP131" s="547">
        <v>157.66653527788699</v>
      </c>
      <c r="BQ131" s="547">
        <v>3.4842833561882101</v>
      </c>
      <c r="BR131" s="547">
        <v>3.4853325588149899</v>
      </c>
      <c r="BS131" s="547">
        <v>32.671143740522503</v>
      </c>
      <c r="BT131" s="547">
        <v>32.671730784938298</v>
      </c>
      <c r="BU131" s="547">
        <v>120</v>
      </c>
      <c r="BV131" s="547">
        <v>120</v>
      </c>
      <c r="BW131" s="547">
        <v>153.08159620054201</v>
      </c>
      <c r="BX131" s="547">
        <v>152.153997870578</v>
      </c>
    </row>
    <row r="132" spans="1:76" s="1741" customFormat="1" ht="11.45" customHeight="1" x14ac:dyDescent="0.15">
      <c r="A132" s="1848" t="s">
        <v>2479</v>
      </c>
      <c r="B132" s="1642" t="s">
        <v>548</v>
      </c>
      <c r="C132" s="1643">
        <v>76.081546944185504</v>
      </c>
      <c r="D132" s="1643">
        <v>74.651982639446999</v>
      </c>
      <c r="E132" s="1643">
        <v>120</v>
      </c>
      <c r="F132" s="1643">
        <v>120</v>
      </c>
      <c r="G132" s="1643">
        <v>318.13052965008302</v>
      </c>
      <c r="H132" s="1643">
        <v>318.09145129224697</v>
      </c>
      <c r="I132" s="1643">
        <v>84.261948838928205</v>
      </c>
      <c r="J132" s="1643">
        <v>83.594566353187005</v>
      </c>
      <c r="K132" s="1643">
        <v>16.693091579266301</v>
      </c>
      <c r="L132" s="1643">
        <v>16.693561849646599</v>
      </c>
      <c r="M132" s="1643">
        <v>16.853946982387399</v>
      </c>
      <c r="N132" s="1643">
        <v>16.745626949295598</v>
      </c>
      <c r="O132" s="1643">
        <v>125.71177613752501</v>
      </c>
      <c r="P132" s="1643">
        <v>124.889999711746</v>
      </c>
      <c r="Q132" s="1642" t="s">
        <v>548</v>
      </c>
      <c r="R132" s="1644">
        <v>15.4355348699365</v>
      </c>
      <c r="S132" s="1644">
        <v>15.451174289246</v>
      </c>
      <c r="T132" s="1644">
        <v>1.4131540556825299</v>
      </c>
      <c r="U132" s="1644">
        <v>1.4034841494008901</v>
      </c>
      <c r="V132" s="1644">
        <v>7.4804528785265998E-3</v>
      </c>
      <c r="W132" s="1644">
        <v>7.4360960495739696E-3</v>
      </c>
      <c r="X132" s="1644">
        <v>2.85684698768427E-3</v>
      </c>
      <c r="Y132" s="1644">
        <v>2.8569727992381398E-3</v>
      </c>
      <c r="Z132" s="1644">
        <v>0.78151948954206196</v>
      </c>
      <c r="AA132" s="1644">
        <v>0.76508655041601603</v>
      </c>
      <c r="AB132" s="1644">
        <v>389.94611230972299</v>
      </c>
      <c r="AC132" s="1644">
        <v>389.61038961038997</v>
      </c>
      <c r="AD132" s="1644">
        <v>26.9074050708671</v>
      </c>
      <c r="AE132" s="1644">
        <v>26.8456375838926</v>
      </c>
      <c r="AF132" s="1642" t="s">
        <v>548</v>
      </c>
      <c r="AG132" s="1644">
        <v>5.7142857142857099E-2</v>
      </c>
      <c r="AH132" s="1644">
        <v>5.7142857142857099E-2</v>
      </c>
      <c r="AI132" s="1644">
        <v>0.99306093622990699</v>
      </c>
      <c r="AJ132" s="1644">
        <v>0.98808533763699402</v>
      </c>
      <c r="AK132" s="1644">
        <v>69.023994736024093</v>
      </c>
      <c r="AL132" s="339">
        <v>67.673999468037906</v>
      </c>
      <c r="AM132" s="339">
        <v>10.699012025547299</v>
      </c>
      <c r="AN132" s="339">
        <v>10.5936879276098</v>
      </c>
      <c r="AO132" s="339">
        <v>311.68681577597903</v>
      </c>
      <c r="AP132" s="339">
        <v>311.68831168831201</v>
      </c>
      <c r="AQ132" s="339">
        <v>0.43139488643833801</v>
      </c>
      <c r="AR132" s="339">
        <v>0.43111190946649902</v>
      </c>
      <c r="AS132" s="339">
        <v>2.0547640162456302</v>
      </c>
      <c r="AT132" s="339">
        <v>2.0750475531730901</v>
      </c>
      <c r="AU132" s="502" t="s">
        <v>548</v>
      </c>
      <c r="AV132" s="501">
        <v>32.916944363669998</v>
      </c>
      <c r="AW132" s="339">
        <v>32.9172952955699</v>
      </c>
      <c r="AX132" s="339">
        <v>1.1575102093701499</v>
      </c>
      <c r="AY132" s="339">
        <v>1.1347517730496499</v>
      </c>
      <c r="AZ132" s="339">
        <v>31.942349631606</v>
      </c>
      <c r="BA132" s="339">
        <v>31.953135401411298</v>
      </c>
      <c r="BB132" s="339">
        <v>8.34684712690444E-2</v>
      </c>
      <c r="BC132" s="339">
        <v>8.1430461778577004E-2</v>
      </c>
      <c r="BD132" s="339">
        <v>88.880180543925405</v>
      </c>
      <c r="BE132" s="339">
        <v>88.232050292268696</v>
      </c>
      <c r="BF132" s="339">
        <v>10.9160887479092</v>
      </c>
      <c r="BG132" s="339">
        <v>10.8917136750003</v>
      </c>
      <c r="BH132" s="339">
        <v>0.41132143248157599</v>
      </c>
      <c r="BI132" s="339">
        <v>0.41032655154727299</v>
      </c>
      <c r="BJ132" s="502" t="s">
        <v>548</v>
      </c>
      <c r="BK132" s="547">
        <v>134.70471290203599</v>
      </c>
      <c r="BL132" s="547">
        <v>132.765392487692</v>
      </c>
      <c r="BM132" s="547">
        <v>9.22722029988466E-3</v>
      </c>
      <c r="BN132" s="547">
        <v>9.22722029988466E-3</v>
      </c>
      <c r="BO132" s="547">
        <v>157.19083157398899</v>
      </c>
      <c r="BP132" s="547">
        <v>156.49452269170601</v>
      </c>
      <c r="BQ132" s="547">
        <v>3.51101039027697</v>
      </c>
      <c r="BR132" s="547">
        <v>3.5010940919037199</v>
      </c>
      <c r="BS132" s="547">
        <v>32.670841281786601</v>
      </c>
      <c r="BT132" s="547">
        <v>32.670841274162797</v>
      </c>
      <c r="BU132" s="547">
        <v>120</v>
      </c>
      <c r="BV132" s="547">
        <v>120</v>
      </c>
      <c r="BW132" s="547">
        <v>151.79377527937399</v>
      </c>
      <c r="BX132" s="547">
        <v>150.62399904397699</v>
      </c>
    </row>
    <row r="133" spans="1:76" s="1741" customFormat="1" ht="11.45" customHeight="1" x14ac:dyDescent="0.15">
      <c r="A133" s="1848" t="s">
        <v>2479</v>
      </c>
      <c r="B133" s="1642" t="s">
        <v>556</v>
      </c>
      <c r="C133" s="1643">
        <v>75.928300564742003</v>
      </c>
      <c r="D133" s="1643">
        <v>76.024295594961103</v>
      </c>
      <c r="E133" s="1643">
        <v>121.92592592592599</v>
      </c>
      <c r="F133" s="1643">
        <v>122</v>
      </c>
      <c r="G133" s="1643">
        <v>323.41413211892399</v>
      </c>
      <c r="H133" s="1643">
        <v>323.607427055703</v>
      </c>
      <c r="I133" s="1643">
        <v>84.758451714869693</v>
      </c>
      <c r="J133" s="1643">
        <v>84.607649363708902</v>
      </c>
      <c r="K133" s="1643">
        <v>16.9777013163656</v>
      </c>
      <c r="L133" s="1643">
        <v>17.015816340762601</v>
      </c>
      <c r="M133" s="1643">
        <v>16.925244722490898</v>
      </c>
      <c r="N133" s="1643">
        <v>17.037916346623799</v>
      </c>
      <c r="O133" s="1643">
        <v>126.27576889928299</v>
      </c>
      <c r="P133" s="1643">
        <v>127.13009970730801</v>
      </c>
      <c r="Q133" s="1642" t="s">
        <v>556</v>
      </c>
      <c r="R133" s="1644">
        <v>15.6654311579058</v>
      </c>
      <c r="S133" s="1644">
        <v>15.656883253551699</v>
      </c>
      <c r="T133" s="1644">
        <v>1.41440530809868</v>
      </c>
      <c r="U133" s="1644">
        <v>1.40812557710065</v>
      </c>
      <c r="V133" s="1644">
        <v>7.5051326352812003E-3</v>
      </c>
      <c r="W133" s="1644">
        <v>7.5081543479598696E-3</v>
      </c>
      <c r="X133" s="1644">
        <v>2.9026975406893601E-3</v>
      </c>
      <c r="Y133" s="1644">
        <v>2.9045890125587799E-3</v>
      </c>
      <c r="Z133" s="1644">
        <v>0.77809729978810804</v>
      </c>
      <c r="AA133" s="1644">
        <v>0.78595587051054905</v>
      </c>
      <c r="AB133" s="1644">
        <v>395.36187279014399</v>
      </c>
      <c r="AC133" s="1644">
        <v>395.65428895735403</v>
      </c>
      <c r="AD133" s="1644">
        <v>27.299359297185401</v>
      </c>
      <c r="AE133" s="1644">
        <v>27.771454586842701</v>
      </c>
      <c r="AF133" s="1642" t="s">
        <v>556</v>
      </c>
      <c r="AG133" s="1644">
        <v>5.80599647266314E-2</v>
      </c>
      <c r="AH133" s="1644">
        <v>5.8095238095238103E-2</v>
      </c>
      <c r="AI133" s="1644">
        <v>1.0019123435106501</v>
      </c>
      <c r="AJ133" s="1644">
        <v>1.0060171369247</v>
      </c>
      <c r="AK133" s="1644">
        <v>68.630551655448897</v>
      </c>
      <c r="AL133" s="339">
        <v>69.033699460987904</v>
      </c>
      <c r="AM133" s="339">
        <v>10.748671443048099</v>
      </c>
      <c r="AN133" s="339">
        <v>10.806023029229401</v>
      </c>
      <c r="AO133" s="339">
        <v>316.70901314253501</v>
      </c>
      <c r="AP133" s="339">
        <v>316.883116883117</v>
      </c>
      <c r="AQ133" s="339">
        <v>0.43756655401266198</v>
      </c>
      <c r="AR133" s="339">
        <v>0.43751120674197602</v>
      </c>
      <c r="AS133" s="339">
        <v>2.0876804809355298</v>
      </c>
      <c r="AT133" s="339">
        <v>2.0897567660157601</v>
      </c>
      <c r="AU133" s="502" t="s">
        <v>556</v>
      </c>
      <c r="AV133" s="501">
        <v>33.443488486644597</v>
      </c>
      <c r="AW133" s="339">
        <v>33.463163091776799</v>
      </c>
      <c r="AX133" s="339">
        <v>1.1828411241058401</v>
      </c>
      <c r="AY133" s="339">
        <v>1.2409724341369099</v>
      </c>
      <c r="AZ133" s="339">
        <v>32.4857153498887</v>
      </c>
      <c r="BA133" s="339">
        <v>32.5272615778388</v>
      </c>
      <c r="BB133" s="339">
        <v>8.3885532280718503E-2</v>
      </c>
      <c r="BC133" s="339">
        <v>8.46237883018017E-2</v>
      </c>
      <c r="BD133" s="339">
        <v>89.560997014799199</v>
      </c>
      <c r="BE133" s="339">
        <v>90.403853278992202</v>
      </c>
      <c r="BF133" s="339">
        <v>10.9999808560773</v>
      </c>
      <c r="BG133" s="339">
        <v>11.100849396959999</v>
      </c>
      <c r="BH133" s="339">
        <v>0.41201960117089897</v>
      </c>
      <c r="BI133" s="339">
        <v>0.41164065795023203</v>
      </c>
      <c r="BJ133" s="502" t="s">
        <v>556</v>
      </c>
      <c r="BK133" s="547">
        <v>134.10026975887399</v>
      </c>
      <c r="BL133" s="547">
        <v>134.531620444395</v>
      </c>
      <c r="BM133" s="547">
        <v>9.3753114898828104E-3</v>
      </c>
      <c r="BN133" s="547">
        <v>9.3810073048827408E-3</v>
      </c>
      <c r="BO133" s="547">
        <v>158.63477034598401</v>
      </c>
      <c r="BP133" s="547">
        <v>158.44155844155799</v>
      </c>
      <c r="BQ133" s="547">
        <v>3.55801195345349</v>
      </c>
      <c r="BR133" s="547">
        <v>3.6142793660198498</v>
      </c>
      <c r="BS133" s="547">
        <v>33.195288608070499</v>
      </c>
      <c r="BT133" s="547">
        <v>33.216259631353999</v>
      </c>
      <c r="BU133" s="547">
        <v>121.92592592592599</v>
      </c>
      <c r="BV133" s="547">
        <v>122</v>
      </c>
      <c r="BW133" s="547">
        <v>150.77746961059</v>
      </c>
      <c r="BX133" s="547">
        <v>151.90828015901701</v>
      </c>
    </row>
    <row r="134" spans="1:76" s="1741" customFormat="1" ht="11.45" customHeight="1" x14ac:dyDescent="0.15">
      <c r="A134" s="1848" t="s">
        <v>2479</v>
      </c>
      <c r="B134" s="1642" t="s">
        <v>557</v>
      </c>
      <c r="C134" s="1643">
        <v>76.899644782234503</v>
      </c>
      <c r="D134" s="1643">
        <v>76.939299516372003</v>
      </c>
      <c r="E134" s="1643">
        <v>122</v>
      </c>
      <c r="F134" s="1643">
        <v>122</v>
      </c>
      <c r="G134" s="1643">
        <v>323.662880628133</v>
      </c>
      <c r="H134" s="1643">
        <v>323.69328734412301</v>
      </c>
      <c r="I134" s="1643">
        <v>85.330878627184504</v>
      </c>
      <c r="J134" s="1643">
        <v>85.091543156059302</v>
      </c>
      <c r="K134" s="1643">
        <v>17.013127733911102</v>
      </c>
      <c r="L134" s="1643">
        <v>17.005854474491201</v>
      </c>
      <c r="M134" s="1643">
        <v>17.034209978134701</v>
      </c>
      <c r="N134" s="1643">
        <v>17.149885784572099</v>
      </c>
      <c r="O134" s="1643">
        <v>127.06960638426</v>
      </c>
      <c r="P134" s="1643">
        <v>127.910897381849</v>
      </c>
      <c r="Q134" s="1642" t="s">
        <v>557</v>
      </c>
      <c r="R134" s="1644">
        <v>15.674957702059301</v>
      </c>
      <c r="S134" s="1644">
        <v>15.693235829458301</v>
      </c>
      <c r="T134" s="1644">
        <v>1.4027674136913699</v>
      </c>
      <c r="U134" s="1644">
        <v>1.4000378698768099</v>
      </c>
      <c r="V134" s="1644">
        <v>7.4655968286859798E-3</v>
      </c>
      <c r="W134" s="1644">
        <v>7.4197962596928698E-3</v>
      </c>
      <c r="X134" s="1644">
        <v>2.9044451155940398E-3</v>
      </c>
      <c r="Y134" s="1644">
        <v>2.9045890125587799E-3</v>
      </c>
      <c r="Z134" s="1644">
        <v>0.802849584712644</v>
      </c>
      <c r="AA134" s="1644">
        <v>0.81829767254678398</v>
      </c>
      <c r="AB134" s="1644">
        <v>395.28320430438902</v>
      </c>
      <c r="AC134" s="1644">
        <v>395.52601718268801</v>
      </c>
      <c r="AD134" s="1644">
        <v>27.460285981932302</v>
      </c>
      <c r="AE134" s="1644">
        <v>27.443482172983899</v>
      </c>
      <c r="AF134" s="1642" t="s">
        <v>557</v>
      </c>
      <c r="AG134" s="1644">
        <v>5.8095238095238103E-2</v>
      </c>
      <c r="AH134" s="1644">
        <v>5.8095238095238103E-2</v>
      </c>
      <c r="AI134" s="1644">
        <v>1.0071984045397</v>
      </c>
      <c r="AJ134" s="1644">
        <v>1.01194845698597</v>
      </c>
      <c r="AK134" s="1644">
        <v>69.372501549491304</v>
      </c>
      <c r="AL134" s="339">
        <v>69.485095180405594</v>
      </c>
      <c r="AM134" s="339">
        <v>10.897059586212601</v>
      </c>
      <c r="AN134" s="339">
        <v>10.9422928588085</v>
      </c>
      <c r="AO134" s="339">
        <v>316.883116883117</v>
      </c>
      <c r="AP134" s="339">
        <v>316.883116883117</v>
      </c>
      <c r="AQ134" s="339">
        <v>0.43688642743010597</v>
      </c>
      <c r="AR134" s="339">
        <v>0.43590888789638199</v>
      </c>
      <c r="AS134" s="339">
        <v>2.1001273903128901</v>
      </c>
      <c r="AT134" s="339">
        <v>2.1065354398687699</v>
      </c>
      <c r="AU134" s="502" t="s">
        <v>557</v>
      </c>
      <c r="AV134" s="501">
        <v>33.466223321924303</v>
      </c>
      <c r="AW134" s="339">
        <v>33.475099464947199</v>
      </c>
      <c r="AX134" s="339">
        <v>1.31199133261596</v>
      </c>
      <c r="AY134" s="339">
        <v>1.40512525194356</v>
      </c>
      <c r="AZ134" s="339">
        <v>32.529755286378297</v>
      </c>
      <c r="BA134" s="339">
        <v>32.530730874863302</v>
      </c>
      <c r="BB134" s="339">
        <v>8.4387771730699904E-2</v>
      </c>
      <c r="BC134" s="339">
        <v>8.4610583258201005E-2</v>
      </c>
      <c r="BD134" s="339">
        <v>90.587270271411995</v>
      </c>
      <c r="BE134" s="339">
        <v>91.1331889146186</v>
      </c>
      <c r="BF134" s="339">
        <v>11.273753151074599</v>
      </c>
      <c r="BG134" s="339">
        <v>11.4291067497307</v>
      </c>
      <c r="BH134" s="339">
        <v>0.411018906805035</v>
      </c>
      <c r="BI134" s="339">
        <v>0.41296437336041297</v>
      </c>
      <c r="BJ134" s="502" t="s">
        <v>557</v>
      </c>
      <c r="BK134" s="547">
        <v>134.93847311484399</v>
      </c>
      <c r="BL134" s="547">
        <v>136.35093601564699</v>
      </c>
      <c r="BM134" s="547">
        <v>9.3810073048827408E-3</v>
      </c>
      <c r="BN134" s="547">
        <v>9.3810073048827408E-3</v>
      </c>
      <c r="BO134" s="547">
        <v>159.56087739124601</v>
      </c>
      <c r="BP134" s="547">
        <v>159.70676790155801</v>
      </c>
      <c r="BQ134" s="547">
        <v>3.6106655508998702</v>
      </c>
      <c r="BR134" s="547">
        <v>3.5998819710829202</v>
      </c>
      <c r="BS134" s="547">
        <v>33.215732134364998</v>
      </c>
      <c r="BT134" s="547">
        <v>33.217164016554101</v>
      </c>
      <c r="BU134" s="547">
        <v>122</v>
      </c>
      <c r="BV134" s="547">
        <v>122</v>
      </c>
      <c r="BW134" s="547">
        <v>152.874130218658</v>
      </c>
      <c r="BX134" s="547">
        <v>154.61669783406299</v>
      </c>
    </row>
    <row r="135" spans="1:76" s="1741" customFormat="1" ht="11.45" customHeight="1" x14ac:dyDescent="0.15">
      <c r="A135" s="1848" t="s">
        <v>2479</v>
      </c>
      <c r="B135" s="1642" t="s">
        <v>549</v>
      </c>
      <c r="C135" s="1643">
        <v>76.881815638043193</v>
      </c>
      <c r="D135" s="1643">
        <v>76.914895645967206</v>
      </c>
      <c r="E135" s="1643">
        <v>122</v>
      </c>
      <c r="F135" s="1643">
        <v>122</v>
      </c>
      <c r="G135" s="1643">
        <v>323.62559090340397</v>
      </c>
      <c r="H135" s="1643">
        <v>323.56451399018698</v>
      </c>
      <c r="I135" s="1643">
        <v>84.959990385121003</v>
      </c>
      <c r="J135" s="1643">
        <v>85.2848654316672</v>
      </c>
      <c r="K135" s="1643">
        <v>16.981827685685101</v>
      </c>
      <c r="L135" s="1643">
        <v>16.787643193780301</v>
      </c>
      <c r="M135" s="1643">
        <v>17.633214823196301</v>
      </c>
      <c r="N135" s="1643">
        <v>17.5857123294582</v>
      </c>
      <c r="O135" s="1643">
        <v>131.60304027438301</v>
      </c>
      <c r="P135" s="1643">
        <v>131.778299717632</v>
      </c>
      <c r="Q135" s="1642" t="s">
        <v>549</v>
      </c>
      <c r="R135" s="1644">
        <v>15.695773530714</v>
      </c>
      <c r="S135" s="1644">
        <v>15.6889977688187</v>
      </c>
      <c r="T135" s="1644">
        <v>1.4087324221975699</v>
      </c>
      <c r="U135" s="1644">
        <v>1.4244016345592501</v>
      </c>
      <c r="V135" s="1644">
        <v>7.4104305373381201E-3</v>
      </c>
      <c r="W135" s="1644">
        <v>7.3671497584541102E-3</v>
      </c>
      <c r="X135" s="1644">
        <v>2.90342179182172E-3</v>
      </c>
      <c r="Y135" s="1644">
        <v>2.8970020777678799E-3</v>
      </c>
      <c r="Z135" s="1644">
        <v>0.81696088254106003</v>
      </c>
      <c r="AA135" s="1644">
        <v>0.80765284168018303</v>
      </c>
      <c r="AB135" s="1644">
        <v>395.718820224463</v>
      </c>
      <c r="AC135" s="1644">
        <v>395.59014267185501</v>
      </c>
      <c r="AD135" s="1644">
        <v>27.501184692593799</v>
      </c>
      <c r="AE135" s="1644">
        <v>27.536395440695198</v>
      </c>
      <c r="AF135" s="1642" t="s">
        <v>549</v>
      </c>
      <c r="AG135" s="1644">
        <v>5.8095238095238103E-2</v>
      </c>
      <c r="AH135" s="1644">
        <v>5.8095238095238103E-2</v>
      </c>
      <c r="AI135" s="1644">
        <v>1.0219299021541901</v>
      </c>
      <c r="AJ135" s="1644">
        <v>1.02304106503606</v>
      </c>
      <c r="AK135" s="1644">
        <v>69.835842335413005</v>
      </c>
      <c r="AL135" s="339">
        <v>69.899899467667296</v>
      </c>
      <c r="AM135" s="339">
        <v>11.376343682202201</v>
      </c>
      <c r="AN135" s="339">
        <v>11.5557660430973</v>
      </c>
      <c r="AO135" s="339">
        <v>316.89736957457899</v>
      </c>
      <c r="AP135" s="339">
        <v>316.883116883117</v>
      </c>
      <c r="AQ135" s="339">
        <v>0.435632256996353</v>
      </c>
      <c r="AR135" s="339">
        <v>0.43528677192043502</v>
      </c>
      <c r="AS135" s="339">
        <v>2.1248412747848602</v>
      </c>
      <c r="AT135" s="339">
        <v>2.1201352020645299</v>
      </c>
      <c r="AU135" s="502" t="s">
        <v>549</v>
      </c>
      <c r="AV135" s="501">
        <v>33.470878583308902</v>
      </c>
      <c r="AW135" s="339">
        <v>33.4682120567862</v>
      </c>
      <c r="AX135" s="339">
        <v>1.4150184158104799</v>
      </c>
      <c r="AY135" s="339">
        <v>1.4510853404698201</v>
      </c>
      <c r="AZ135" s="339">
        <v>32.526344807694798</v>
      </c>
      <c r="BA135" s="339">
        <v>32.522925997014298</v>
      </c>
      <c r="BB135" s="339">
        <v>8.3709544584847306E-2</v>
      </c>
      <c r="BC135" s="339">
        <v>8.3242358078602599E-2</v>
      </c>
      <c r="BD135" s="339">
        <v>91.307735690825595</v>
      </c>
      <c r="BE135" s="339">
        <v>91.075361128737299</v>
      </c>
      <c r="BF135" s="339">
        <v>11.999370715423201</v>
      </c>
      <c r="BG135" s="339">
        <v>12.1982922390865</v>
      </c>
      <c r="BH135" s="339">
        <v>0.41243911226903002</v>
      </c>
      <c r="BI135" s="339">
        <v>0.41181434599156103</v>
      </c>
      <c r="BJ135" s="502" t="s">
        <v>549</v>
      </c>
      <c r="BK135" s="547">
        <v>137.84514875281801</v>
      </c>
      <c r="BL135" s="547">
        <v>138.063713008544</v>
      </c>
      <c r="BM135" s="547">
        <v>9.3810073048827408E-3</v>
      </c>
      <c r="BN135" s="547">
        <v>9.3810073048827408E-3</v>
      </c>
      <c r="BO135" s="547">
        <v>161.99413408109999</v>
      </c>
      <c r="BP135" s="547">
        <v>162.10470369386101</v>
      </c>
      <c r="BQ135" s="547">
        <v>3.6074077318139701</v>
      </c>
      <c r="BR135" s="547">
        <v>3.5972283650302201</v>
      </c>
      <c r="BS135" s="547">
        <v>33.217181442909101</v>
      </c>
      <c r="BT135" s="547">
        <v>33.216259631353999</v>
      </c>
      <c r="BU135" s="547">
        <v>122</v>
      </c>
      <c r="BV135" s="547">
        <v>122</v>
      </c>
      <c r="BW135" s="547">
        <v>157.345504035809</v>
      </c>
      <c r="BX135" s="547">
        <v>157.97778492547701</v>
      </c>
    </row>
    <row r="136" spans="1:76" s="1741" customFormat="1" ht="11.45" customHeight="1" x14ac:dyDescent="0.15">
      <c r="A136" s="1848" t="s">
        <v>2479</v>
      </c>
      <c r="B136" s="1642" t="s">
        <v>558</v>
      </c>
      <c r="C136" s="1643">
        <v>76.655642218153503</v>
      </c>
      <c r="D136" s="1643">
        <v>77.884782800751907</v>
      </c>
      <c r="E136" s="1643">
        <v>122</v>
      </c>
      <c r="F136" s="1643">
        <v>122</v>
      </c>
      <c r="G136" s="1643">
        <v>323.63054284829798</v>
      </c>
      <c r="H136" s="1643">
        <v>323.650351505505</v>
      </c>
      <c r="I136" s="1643">
        <v>87.128452111227602</v>
      </c>
      <c r="J136" s="1643">
        <v>88.191708533632095</v>
      </c>
      <c r="K136" s="1643">
        <v>16.907739683344701</v>
      </c>
      <c r="L136" s="1643">
        <v>16.9411503318799</v>
      </c>
      <c r="M136" s="1643">
        <v>18.268301559367298</v>
      </c>
      <c r="N136" s="1643">
        <v>18.608482112215199</v>
      </c>
      <c r="O136" s="1643">
        <v>136.50837971894001</v>
      </c>
      <c r="P136" s="1643">
        <v>138.90309973211501</v>
      </c>
      <c r="Q136" s="1642" t="s">
        <v>558</v>
      </c>
      <c r="R136" s="1644">
        <v>15.714307863649999</v>
      </c>
      <c r="S136" s="1644">
        <v>15.7239797134885</v>
      </c>
      <c r="T136" s="1644">
        <v>1.4238374444595701</v>
      </c>
      <c r="U136" s="1644">
        <v>1.4326899928952701</v>
      </c>
      <c r="V136" s="1644">
        <v>7.2768478488542798E-3</v>
      </c>
      <c r="W136" s="1644">
        <v>7.2966507177033499E-3</v>
      </c>
      <c r="X136" s="1644">
        <v>2.9031299866374501E-3</v>
      </c>
      <c r="Y136" s="1644">
        <v>2.9045890125587799E-3</v>
      </c>
      <c r="Z136" s="1644">
        <v>0.84136432837806996</v>
      </c>
      <c r="AA136" s="1644">
        <v>0.85698229839842699</v>
      </c>
      <c r="AB136" s="1644">
        <v>397.19766895702901</v>
      </c>
      <c r="AC136" s="1644">
        <v>398.23731026603599</v>
      </c>
      <c r="AD136" s="1644">
        <v>27.6307406690302</v>
      </c>
      <c r="AE136" s="1644">
        <v>28.2734646581692</v>
      </c>
      <c r="AF136" s="1642" t="s">
        <v>558</v>
      </c>
      <c r="AG136" s="1644">
        <v>5.8095238095238103E-2</v>
      </c>
      <c r="AH136" s="1644">
        <v>5.8095238095238103E-2</v>
      </c>
      <c r="AI136" s="1644">
        <v>1.0376886562514001</v>
      </c>
      <c r="AJ136" s="1644">
        <v>1.0434538665097499</v>
      </c>
      <c r="AK136" s="1644">
        <v>70.978190092680705</v>
      </c>
      <c r="AL136" s="339">
        <v>72.364299485796195</v>
      </c>
      <c r="AM136" s="339">
        <v>11.556103176707101</v>
      </c>
      <c r="AN136" s="339">
        <v>11.763514783941799</v>
      </c>
      <c r="AO136" s="339">
        <v>316.90053030486899</v>
      </c>
      <c r="AP136" s="339">
        <v>316.883116883117</v>
      </c>
      <c r="AQ136" s="339">
        <v>0.43474902357857598</v>
      </c>
      <c r="AR136" s="339">
        <v>0.43397065362383302</v>
      </c>
      <c r="AS136" s="339">
        <v>2.1437038888215398</v>
      </c>
      <c r="AT136" s="339">
        <v>2.1827810777928902</v>
      </c>
      <c r="AU136" s="502" t="s">
        <v>558</v>
      </c>
      <c r="AV136" s="501">
        <v>33.463025471857897</v>
      </c>
      <c r="AW136" s="339">
        <v>33.467293949826498</v>
      </c>
      <c r="AX136" s="339">
        <v>1.4617789040300699</v>
      </c>
      <c r="AY136" s="339">
        <v>1.48780487804878</v>
      </c>
      <c r="AZ136" s="339">
        <v>32.513644829708198</v>
      </c>
      <c r="BA136" s="339">
        <v>32.525527206803702</v>
      </c>
      <c r="BB136" s="339">
        <v>8.4626017705434403E-2</v>
      </c>
      <c r="BC136" s="339">
        <v>8.5380362516621205E-2</v>
      </c>
      <c r="BD136" s="339">
        <v>92.079938761934201</v>
      </c>
      <c r="BE136" s="339">
        <v>93.229405471496193</v>
      </c>
      <c r="BF136" s="339">
        <v>12.449385881092001</v>
      </c>
      <c r="BG136" s="339">
        <v>12.6482541262337</v>
      </c>
      <c r="BH136" s="339">
        <v>0.40880699089251898</v>
      </c>
      <c r="BI136" s="339">
        <v>0.40734557595993298</v>
      </c>
      <c r="BJ136" s="502" t="s">
        <v>558</v>
      </c>
      <c r="BK136" s="547">
        <v>145.603295875691</v>
      </c>
      <c r="BL136" s="547">
        <v>148.08520968622901</v>
      </c>
      <c r="BM136" s="547">
        <v>9.3810073048827408E-3</v>
      </c>
      <c r="BN136" s="547">
        <v>9.3810073048827408E-3</v>
      </c>
      <c r="BO136" s="547">
        <v>164.532617339241</v>
      </c>
      <c r="BP136" s="547">
        <v>165.44616219148401</v>
      </c>
      <c r="BQ136" s="547">
        <v>3.61794596249739</v>
      </c>
      <c r="BR136" s="547">
        <v>3.6510549154571299</v>
      </c>
      <c r="BS136" s="547">
        <v>33.2154249070541</v>
      </c>
      <c r="BT136" s="547">
        <v>33.214451008684797</v>
      </c>
      <c r="BU136" s="547">
        <v>122</v>
      </c>
      <c r="BV136" s="547">
        <v>122</v>
      </c>
      <c r="BW136" s="547">
        <v>159.995722336656</v>
      </c>
      <c r="BX136" s="547">
        <v>163.571497952638</v>
      </c>
    </row>
    <row r="137" spans="1:76" s="1741" customFormat="1" ht="11.45" customHeight="1" x14ac:dyDescent="0.15">
      <c r="A137" s="1848" t="s">
        <v>2479</v>
      </c>
      <c r="B137" s="1642" t="s">
        <v>559</v>
      </c>
      <c r="C137" s="1643">
        <v>78.748696936919998</v>
      </c>
      <c r="D137" s="1643">
        <v>78.987828087754806</v>
      </c>
      <c r="E137" s="1643">
        <v>122.33875</v>
      </c>
      <c r="F137" s="1643">
        <v>122.9</v>
      </c>
      <c r="G137" s="1643">
        <v>324.49060438442501</v>
      </c>
      <c r="H137" s="1643">
        <v>325.99469496021197</v>
      </c>
      <c r="I137" s="1643">
        <v>88.252056337247296</v>
      </c>
      <c r="J137" s="1643">
        <v>88.823040508799195</v>
      </c>
      <c r="K137" s="1643">
        <v>17.0004139005183</v>
      </c>
      <c r="L137" s="1643">
        <v>17.091520992392901</v>
      </c>
      <c r="M137" s="1643">
        <v>18.500221494946199</v>
      </c>
      <c r="N137" s="1643">
        <v>18.611342469902301</v>
      </c>
      <c r="O137" s="1643">
        <v>138.02261573402799</v>
      </c>
      <c r="P137" s="1643">
        <v>138.790968911715</v>
      </c>
      <c r="Q137" s="1642" t="s">
        <v>559</v>
      </c>
      <c r="R137" s="1644">
        <v>15.6851212620313</v>
      </c>
      <c r="S137" s="1644">
        <v>15.6788201974842</v>
      </c>
      <c r="T137" s="1644">
        <v>1.4369105848789701</v>
      </c>
      <c r="U137" s="1644">
        <v>1.4388826122334299</v>
      </c>
      <c r="V137" s="1644">
        <v>7.4489013841559596E-3</v>
      </c>
      <c r="W137" s="1644">
        <v>7.5445058317986499E-3</v>
      </c>
      <c r="X137" s="1644">
        <v>2.91265400868996E-3</v>
      </c>
      <c r="Y137" s="1644">
        <v>2.9260163085530599E-3</v>
      </c>
      <c r="Z137" s="1644">
        <v>0.846905837447535</v>
      </c>
      <c r="AA137" s="1644">
        <v>0.84855180032450706</v>
      </c>
      <c r="AB137" s="1644">
        <v>398.64427966197701</v>
      </c>
      <c r="AC137" s="1644">
        <v>400.26054388536102</v>
      </c>
      <c r="AD137" s="1644">
        <v>28.6754224134773</v>
      </c>
      <c r="AE137" s="1644">
        <v>28.9961071133656</v>
      </c>
      <c r="AF137" s="1642" t="s">
        <v>559</v>
      </c>
      <c r="AG137" s="1644">
        <v>5.8256547619047597E-2</v>
      </c>
      <c r="AH137" s="1644">
        <v>5.8523809523809499E-2</v>
      </c>
      <c r="AI137" s="1644">
        <v>1.0449833255174299</v>
      </c>
      <c r="AJ137" s="1644">
        <v>1.0536350839050199</v>
      </c>
      <c r="AK137" s="1644">
        <v>72.657576720011903</v>
      </c>
      <c r="AL137" s="339">
        <v>73.340574485127803</v>
      </c>
      <c r="AM137" s="339">
        <v>11.885236626113</v>
      </c>
      <c r="AN137" s="339">
        <v>12.062264447236201</v>
      </c>
      <c r="AO137" s="339">
        <v>317.77329283344102</v>
      </c>
      <c r="AP137" s="339">
        <v>319.17932736008299</v>
      </c>
      <c r="AQ137" s="339">
        <v>0.43412060780508099</v>
      </c>
      <c r="AR137" s="339">
        <v>0.43465959328028297</v>
      </c>
      <c r="AS137" s="339">
        <v>2.1987816712707899</v>
      </c>
      <c r="AT137" s="339">
        <v>2.2066216604424</v>
      </c>
      <c r="AU137" s="502" t="s">
        <v>559</v>
      </c>
      <c r="AV137" s="501">
        <v>33.5647007060196</v>
      </c>
      <c r="AW137" s="339">
        <v>33.725285731926498</v>
      </c>
      <c r="AX137" s="339">
        <v>1.5159157042748801</v>
      </c>
      <c r="AY137" s="339">
        <v>1.53865414710485</v>
      </c>
      <c r="AZ137" s="339">
        <v>32.617655900767403</v>
      </c>
      <c r="BA137" s="339">
        <v>32.765469620624401</v>
      </c>
      <c r="BB137" s="339">
        <v>8.7844439958072507E-2</v>
      </c>
      <c r="BC137" s="339">
        <v>8.8898533427367601E-2</v>
      </c>
      <c r="BD137" s="339">
        <v>94.486209534996703</v>
      </c>
      <c r="BE137" s="339">
        <v>95.323043511983201</v>
      </c>
      <c r="BF137" s="339">
        <v>12.675175744244999</v>
      </c>
      <c r="BG137" s="339">
        <v>12.688678271283701</v>
      </c>
      <c r="BH137" s="339">
        <v>0.40877144667855903</v>
      </c>
      <c r="BI137" s="339">
        <v>0.41041910168642498</v>
      </c>
      <c r="BJ137" s="502" t="s">
        <v>559</v>
      </c>
      <c r="BK137" s="547">
        <v>147.58314207471099</v>
      </c>
      <c r="BL137" s="547">
        <v>148.52861200072499</v>
      </c>
      <c r="BM137" s="547">
        <v>9.4070549788542908E-3</v>
      </c>
      <c r="BN137" s="547">
        <v>9.4502114571318706E-3</v>
      </c>
      <c r="BO137" s="547">
        <v>165.567969513441</v>
      </c>
      <c r="BP137" s="547">
        <v>166.73450006783301</v>
      </c>
      <c r="BQ137" s="547">
        <v>3.71133174280381</v>
      </c>
      <c r="BR137" s="547">
        <v>3.7423873325213202</v>
      </c>
      <c r="BS137" s="547">
        <v>33.308460069724198</v>
      </c>
      <c r="BT137" s="547">
        <v>33.464030931765002</v>
      </c>
      <c r="BU137" s="547">
        <v>122.33875</v>
      </c>
      <c r="BV137" s="547">
        <v>122.9</v>
      </c>
      <c r="BW137" s="547">
        <v>163.53222327136399</v>
      </c>
      <c r="BX137" s="547">
        <v>165.58931294763801</v>
      </c>
    </row>
    <row r="138" spans="1:76" s="1741" customFormat="1" ht="11.45" customHeight="1" x14ac:dyDescent="0.15">
      <c r="A138" s="1848" t="s">
        <v>2479</v>
      </c>
      <c r="B138" s="1642" t="s">
        <v>550</v>
      </c>
      <c r="C138" s="1643">
        <v>79.604375093954602</v>
      </c>
      <c r="D138" s="1643">
        <v>80.178213279993898</v>
      </c>
      <c r="E138" s="1643">
        <v>122.872307692308</v>
      </c>
      <c r="F138" s="1643">
        <v>122.77500000000001</v>
      </c>
      <c r="G138" s="1643">
        <v>325.831594443852</v>
      </c>
      <c r="H138" s="1643">
        <v>325.53360731804298</v>
      </c>
      <c r="I138" s="1643">
        <v>89.679582002080295</v>
      </c>
      <c r="J138" s="1643">
        <v>89.734687911124098</v>
      </c>
      <c r="K138" s="1643">
        <v>17.118224369089099</v>
      </c>
      <c r="L138" s="1643">
        <v>17.150699857513999</v>
      </c>
      <c r="M138" s="1643">
        <v>18.9148821402785</v>
      </c>
      <c r="N138" s="1643">
        <v>19.2872627874827</v>
      </c>
      <c r="O138" s="1643">
        <v>141.104851466816</v>
      </c>
      <c r="P138" s="1643">
        <v>143.89229895243199</v>
      </c>
      <c r="Q138" s="1642" t="s">
        <v>550</v>
      </c>
      <c r="R138" s="1644">
        <v>15.6579492160032</v>
      </c>
      <c r="S138" s="1644">
        <v>15.640326628364701</v>
      </c>
      <c r="T138" s="1644">
        <v>1.43025402994328</v>
      </c>
      <c r="U138" s="1644">
        <v>1.43672108127084</v>
      </c>
      <c r="V138" s="1644">
        <v>7.5359111503634198E-3</v>
      </c>
      <c r="W138" s="1644">
        <v>7.5635299553365202E-3</v>
      </c>
      <c r="X138" s="1644">
        <v>2.9248032551836001E-3</v>
      </c>
      <c r="Y138" s="1644">
        <v>2.9230402952205199E-3</v>
      </c>
      <c r="Z138" s="1644">
        <v>0.85002072456590305</v>
      </c>
      <c r="AA138" s="1644">
        <v>0.84868489268309499</v>
      </c>
      <c r="AB138" s="1644">
        <v>401.11306178649397</v>
      </c>
      <c r="AC138" s="1644">
        <v>401.88216039279899</v>
      </c>
      <c r="AD138" s="1644">
        <v>28.930387514069999</v>
      </c>
      <c r="AE138" s="1644">
        <v>29.114299264880199</v>
      </c>
      <c r="AF138" s="1875" t="s">
        <v>550</v>
      </c>
      <c r="AG138" s="1644">
        <v>5.8510622710622698E-2</v>
      </c>
      <c r="AH138" s="1644">
        <v>5.8464285714285698E-2</v>
      </c>
      <c r="AI138" s="1644">
        <v>1.0575047525900401</v>
      </c>
      <c r="AJ138" s="1644">
        <v>1.06465635728402</v>
      </c>
      <c r="AK138" s="1644">
        <v>73.812900158275696</v>
      </c>
      <c r="AL138" s="339">
        <v>74.358678243209795</v>
      </c>
      <c r="AM138" s="339">
        <v>12.176535589491101</v>
      </c>
      <c r="AN138" s="339">
        <v>12.1792741539484</v>
      </c>
      <c r="AO138" s="339">
        <v>319.10901587818802</v>
      </c>
      <c r="AP138" s="339">
        <v>318.89610389610402</v>
      </c>
      <c r="AQ138" s="339">
        <v>0.43391579907736599</v>
      </c>
      <c r="AR138" s="339">
        <v>0.43283976731887902</v>
      </c>
      <c r="AS138" s="339">
        <v>2.1811892076047199</v>
      </c>
      <c r="AT138" s="339">
        <v>2.1792186584781401</v>
      </c>
      <c r="AU138" s="502" t="s">
        <v>550</v>
      </c>
      <c r="AV138" s="501">
        <v>33.709896348208702</v>
      </c>
      <c r="AW138" s="339">
        <v>33.684051688660901</v>
      </c>
      <c r="AX138" s="339">
        <v>1.5619887614449399</v>
      </c>
      <c r="AY138" s="339">
        <v>1.5640127388534999</v>
      </c>
      <c r="AZ138" s="339">
        <v>32.754329763310899</v>
      </c>
      <c r="BA138" s="339">
        <v>32.7356352486335</v>
      </c>
      <c r="BB138" s="339">
        <v>8.9659202437291405E-2</v>
      </c>
      <c r="BC138" s="339">
        <v>9.0592141671278395E-2</v>
      </c>
      <c r="BD138" s="339">
        <v>95.589761615130897</v>
      </c>
      <c r="BE138" s="339">
        <v>96.222422508719006</v>
      </c>
      <c r="BF138" s="339">
        <v>12.830143751380501</v>
      </c>
      <c r="BG138" s="339">
        <v>12.9484907928874</v>
      </c>
      <c r="BH138" s="339">
        <v>0.40970739877684398</v>
      </c>
      <c r="BI138" s="339">
        <v>0.40959132610508697</v>
      </c>
      <c r="BJ138" s="502" t="s">
        <v>550</v>
      </c>
      <c r="BK138" s="547">
        <v>150.50183805021399</v>
      </c>
      <c r="BL138" s="547">
        <v>153.64159679639599</v>
      </c>
      <c r="BM138" s="547">
        <v>9.4480820986011307E-3</v>
      </c>
      <c r="BN138" s="547">
        <v>9.4405997693194892E-3</v>
      </c>
      <c r="BO138" s="547">
        <v>167.634847953925</v>
      </c>
      <c r="BP138" s="547">
        <v>168.693322341303</v>
      </c>
      <c r="BQ138" s="547">
        <v>3.76456732032588</v>
      </c>
      <c r="BR138" s="547">
        <v>3.7701520036849399</v>
      </c>
      <c r="BS138" s="547">
        <v>33.456665367367897</v>
      </c>
      <c r="BT138" s="547">
        <v>33.430905377808003</v>
      </c>
      <c r="BU138" s="547">
        <v>122.872307692308</v>
      </c>
      <c r="BV138" s="547">
        <v>122.77500000000001</v>
      </c>
      <c r="BW138" s="547">
        <v>166.30110358326101</v>
      </c>
      <c r="BX138" s="547">
        <v>168.392049235901</v>
      </c>
    </row>
    <row r="139" spans="1:76" s="1741" customFormat="1" ht="11.45" customHeight="1" x14ac:dyDescent="0.15">
      <c r="A139" s="1876" t="s">
        <v>2730</v>
      </c>
      <c r="B139" s="1642" t="s">
        <v>552</v>
      </c>
      <c r="C139" s="1643">
        <v>79.834503242056897</v>
      </c>
      <c r="D139" s="1643">
        <v>78.878227593968603</v>
      </c>
      <c r="E139" s="1643">
        <v>121.963703703704</v>
      </c>
      <c r="F139" s="1643">
        <v>122.61499999999999</v>
      </c>
      <c r="G139" s="1643">
        <v>323.51113483758502</v>
      </c>
      <c r="H139" s="1643">
        <v>325.23872679045098</v>
      </c>
      <c r="I139" s="1643">
        <v>89.210449360761302</v>
      </c>
      <c r="J139" s="1643">
        <v>88.668329898398198</v>
      </c>
      <c r="K139" s="1643">
        <v>17.060880479099399</v>
      </c>
      <c r="L139" s="1643">
        <v>17.150390242537799</v>
      </c>
      <c r="M139" s="1643">
        <v>19.117453845936399</v>
      </c>
      <c r="N139" s="1643">
        <v>18.735722635209999</v>
      </c>
      <c r="O139" s="1643">
        <v>142.66678895986101</v>
      </c>
      <c r="P139" s="1643">
        <v>139.848535831134</v>
      </c>
      <c r="Q139" s="1642" t="s">
        <v>552</v>
      </c>
      <c r="R139" s="1644">
        <v>15.537465464243301</v>
      </c>
      <c r="S139" s="1644">
        <v>15.6200436951024</v>
      </c>
      <c r="T139" s="1644">
        <v>1.4169460604514701</v>
      </c>
      <c r="U139" s="1644">
        <v>1.3982620793467999</v>
      </c>
      <c r="V139" s="1644">
        <v>7.4923535672606102E-3</v>
      </c>
      <c r="W139" s="1644">
        <v>7.4492709599027901E-3</v>
      </c>
      <c r="X139" s="1644">
        <v>2.9037248664651799E-3</v>
      </c>
      <c r="Y139" s="1644">
        <v>2.91923099815487E-3</v>
      </c>
      <c r="Z139" s="1644">
        <v>0.83144505459136497</v>
      </c>
      <c r="AA139" s="1644">
        <v>0.82013979465569697</v>
      </c>
      <c r="AB139" s="1644">
        <v>399.33910739648297</v>
      </c>
      <c r="AC139" s="1644">
        <v>400.89913356220399</v>
      </c>
      <c r="AD139" s="1644">
        <v>28.794747955100298</v>
      </c>
      <c r="AE139" s="1644">
        <v>28.8234602726845</v>
      </c>
      <c r="AF139" s="1642" t="s">
        <v>552</v>
      </c>
      <c r="AG139" s="1644">
        <v>5.8077954144620803E-2</v>
      </c>
      <c r="AH139" s="1644">
        <v>5.8388095238095197E-2</v>
      </c>
      <c r="AI139" s="1644">
        <v>1.0554328801328301</v>
      </c>
      <c r="AJ139" s="1644">
        <v>1.0547526881720399</v>
      </c>
      <c r="AK139" s="1644">
        <v>73.286180637100898</v>
      </c>
      <c r="AL139" s="339">
        <v>72.269272678656293</v>
      </c>
      <c r="AM139" s="339">
        <v>12.026309636727399</v>
      </c>
      <c r="AN139" s="339">
        <v>11.8683605565638</v>
      </c>
      <c r="AO139" s="339">
        <v>316.78575392473402</v>
      </c>
      <c r="AP139" s="339">
        <v>318.48051948051898</v>
      </c>
      <c r="AQ139" s="339">
        <v>0.42911075126065901</v>
      </c>
      <c r="AR139" s="339">
        <v>0.43212334801762098</v>
      </c>
      <c r="AS139" s="339">
        <v>2.1475529556384498</v>
      </c>
      <c r="AT139" s="339">
        <v>2.1058461855528501</v>
      </c>
      <c r="AU139" s="502" t="s">
        <v>552</v>
      </c>
      <c r="AV139" s="501">
        <v>33.456917490854799</v>
      </c>
      <c r="AW139" s="339">
        <v>33.638308962717097</v>
      </c>
      <c r="AX139" s="339">
        <v>1.5487028451862901</v>
      </c>
      <c r="AY139" s="339">
        <v>1.5201462930820699</v>
      </c>
      <c r="AZ139" s="339">
        <v>32.516476293493902</v>
      </c>
      <c r="BA139" s="339">
        <v>32.686873533802498</v>
      </c>
      <c r="BB139" s="339">
        <v>8.8595508751332305E-2</v>
      </c>
      <c r="BC139" s="339">
        <v>8.7957217563467097E-2</v>
      </c>
      <c r="BD139" s="339">
        <v>95.262241412311198</v>
      </c>
      <c r="BE139" s="339">
        <v>94.530105620229705</v>
      </c>
      <c r="BF139" s="339">
        <v>12.7361018535002</v>
      </c>
      <c r="BG139" s="339">
        <v>12.526498066598901</v>
      </c>
      <c r="BH139" s="339">
        <v>0.40512709136784297</v>
      </c>
      <c r="BI139" s="339">
        <v>0.40577479937122501</v>
      </c>
      <c r="BJ139" s="502" t="s">
        <v>552</v>
      </c>
      <c r="BK139" s="547">
        <v>153.00611159332701</v>
      </c>
      <c r="BL139" s="547">
        <v>150.49401656949999</v>
      </c>
      <c r="BM139" s="547">
        <v>9.3782163555327699E-3</v>
      </c>
      <c r="BN139" s="547">
        <v>9.4282968089196492E-3</v>
      </c>
      <c r="BO139" s="547">
        <v>166.99125216964501</v>
      </c>
      <c r="BP139" s="547">
        <v>166.12247662918301</v>
      </c>
      <c r="BQ139" s="547">
        <v>3.7615136872359298</v>
      </c>
      <c r="BR139" s="547">
        <v>3.7479749350450899</v>
      </c>
      <c r="BS139" s="547">
        <v>33.2083392952959</v>
      </c>
      <c r="BT139" s="547">
        <v>33.386429232696202</v>
      </c>
      <c r="BU139" s="547">
        <v>121.963703703704</v>
      </c>
      <c r="BV139" s="547">
        <v>122.61499999999999</v>
      </c>
      <c r="BW139" s="547">
        <v>164.83354803885101</v>
      </c>
      <c r="BX139" s="547">
        <v>162.317728663884</v>
      </c>
    </row>
    <row r="140" spans="1:76" s="1741" customFormat="1" ht="11.45" customHeight="1" x14ac:dyDescent="0.15">
      <c r="A140" s="1876" t="s">
        <v>2730</v>
      </c>
      <c r="B140" s="1642" t="s">
        <v>553</v>
      </c>
      <c r="C140" s="1643">
        <v>79.0531976963521</v>
      </c>
      <c r="D140" s="1643">
        <v>79.558637815457502</v>
      </c>
      <c r="E140" s="1643">
        <v>121.718653846154</v>
      </c>
      <c r="F140" s="1643">
        <v>121.64</v>
      </c>
      <c r="G140" s="1643">
        <v>322.846325786835</v>
      </c>
      <c r="H140" s="1643">
        <v>322.65251989389901</v>
      </c>
      <c r="I140" s="1643">
        <v>88.210568777173407</v>
      </c>
      <c r="J140" s="1643">
        <v>88.497635503819595</v>
      </c>
      <c r="K140" s="1643">
        <v>17.069064505708202</v>
      </c>
      <c r="L140" s="1643">
        <v>17.1251583837815</v>
      </c>
      <c r="M140" s="1643">
        <v>18.987571022646001</v>
      </c>
      <c r="N140" s="1643">
        <v>19.0431460955601</v>
      </c>
      <c r="O140" s="1643">
        <v>141.70789877154201</v>
      </c>
      <c r="P140" s="1643">
        <v>142.14849983638501</v>
      </c>
      <c r="Q140" s="1642" t="s">
        <v>553</v>
      </c>
      <c r="R140" s="1644">
        <v>15.547827648882199</v>
      </c>
      <c r="S140" s="1644">
        <v>15.6003719259995</v>
      </c>
      <c r="T140" s="1644">
        <v>1.3912701378593799</v>
      </c>
      <c r="U140" s="1644">
        <v>1.37954499058679</v>
      </c>
      <c r="V140" s="1644">
        <v>7.4665377798050301E-3</v>
      </c>
      <c r="W140" s="1644">
        <v>7.3765918738629499E-3</v>
      </c>
      <c r="X140" s="1644">
        <v>2.89667910246298E-3</v>
      </c>
      <c r="Y140" s="1644">
        <v>2.8927467300832298E-3</v>
      </c>
      <c r="Z140" s="1644">
        <v>0.82506167619272397</v>
      </c>
      <c r="AA140" s="1644">
        <v>0.82722975959740197</v>
      </c>
      <c r="AB140" s="1644">
        <v>398.35418056797999</v>
      </c>
      <c r="AC140" s="1644">
        <v>398.10178366879398</v>
      </c>
      <c r="AD140" s="1644">
        <v>28.794581512639201</v>
      </c>
      <c r="AE140" s="1644">
        <v>28.790532544378699</v>
      </c>
      <c r="AF140" s="1642" t="s">
        <v>553</v>
      </c>
      <c r="AG140" s="1644">
        <v>5.7961263736263702E-2</v>
      </c>
      <c r="AH140" s="1644">
        <v>5.7923809523809502E-2</v>
      </c>
      <c r="AI140" s="1644">
        <v>1.04858566252709</v>
      </c>
      <c r="AJ140" s="1644">
        <v>1.0511270840642399</v>
      </c>
      <c r="AK140" s="1644">
        <v>71.870702507724701</v>
      </c>
      <c r="AL140" s="339">
        <v>71.579045080465605</v>
      </c>
      <c r="AM140" s="339">
        <v>11.940217254565599</v>
      </c>
      <c r="AN140" s="339">
        <v>12.093494924589599</v>
      </c>
      <c r="AO140" s="339">
        <v>316.152347652348</v>
      </c>
      <c r="AP140" s="339">
        <v>315.94805194805201</v>
      </c>
      <c r="AQ140" s="339">
        <v>0.42894216867517998</v>
      </c>
      <c r="AR140" s="339">
        <v>0.42849845882871002</v>
      </c>
      <c r="AS140" s="339">
        <v>2.13022501542028</v>
      </c>
      <c r="AT140" s="339">
        <v>2.1285829279389601</v>
      </c>
      <c r="AU140" s="502" t="s">
        <v>553</v>
      </c>
      <c r="AV140" s="501">
        <v>33.388710499195703</v>
      </c>
      <c r="AW140" s="339">
        <v>33.322832057200003</v>
      </c>
      <c r="AX140" s="339">
        <v>1.51883561980489</v>
      </c>
      <c r="AY140" s="339">
        <v>1.5224030037546901</v>
      </c>
      <c r="AZ140" s="339">
        <v>32.438471885084503</v>
      </c>
      <c r="BA140" s="339">
        <v>32.418314588774599</v>
      </c>
      <c r="BB140" s="339">
        <v>8.7641997124501506E-2</v>
      </c>
      <c r="BC140" s="339">
        <v>8.7575685579962106E-2</v>
      </c>
      <c r="BD140" s="339">
        <v>94.692541968784099</v>
      </c>
      <c r="BE140" s="339">
        <v>94.749961053123499</v>
      </c>
      <c r="BF140" s="339">
        <v>12.699039131261101</v>
      </c>
      <c r="BG140" s="339">
        <v>12.8565841903332</v>
      </c>
      <c r="BH140" s="339">
        <v>0.40386009388778099</v>
      </c>
      <c r="BI140" s="339">
        <v>0.40271478232080798</v>
      </c>
      <c r="BJ140" s="502" t="s">
        <v>553</v>
      </c>
      <c r="BK140" s="547">
        <v>151.07962271442801</v>
      </c>
      <c r="BL140" s="547">
        <v>151.94553744300799</v>
      </c>
      <c r="BM140" s="547">
        <v>9.3593736136988702E-3</v>
      </c>
      <c r="BN140" s="547">
        <v>9.3533256439830795E-3</v>
      </c>
      <c r="BO140" s="547">
        <v>166.219251203662</v>
      </c>
      <c r="BP140" s="547">
        <v>166.47050773231101</v>
      </c>
      <c r="BQ140" s="547">
        <v>3.7530725380189498</v>
      </c>
      <c r="BR140" s="547">
        <v>3.7653613991642199</v>
      </c>
      <c r="BS140" s="547">
        <v>33.1414808506904</v>
      </c>
      <c r="BT140" s="547">
        <v>33.118244438999099</v>
      </c>
      <c r="BU140" s="547">
        <v>121.718653846154</v>
      </c>
      <c r="BV140" s="547">
        <v>121.64</v>
      </c>
      <c r="BW140" s="547">
        <v>163.65144754796</v>
      </c>
      <c r="BX140" s="547">
        <v>164.26873597334199</v>
      </c>
    </row>
    <row r="141" spans="1:76" s="1741" customFormat="1" ht="11.45" customHeight="1" x14ac:dyDescent="0.15">
      <c r="A141" s="1876" t="s">
        <v>2730</v>
      </c>
      <c r="B141" s="1642" t="s">
        <v>547</v>
      </c>
      <c r="C141" s="1643">
        <v>80.255740683482898</v>
      </c>
      <c r="D141" s="1643">
        <v>80.107852592367294</v>
      </c>
      <c r="E141" s="1643">
        <v>121.74149038461501</v>
      </c>
      <c r="F141" s="1643">
        <v>121.8</v>
      </c>
      <c r="G141" s="1643">
        <v>322.900313010638</v>
      </c>
      <c r="H141" s="1643">
        <v>323.07692307692298</v>
      </c>
      <c r="I141" s="1643">
        <v>88.060003930902894</v>
      </c>
      <c r="J141" s="1643">
        <v>87.534586223004794</v>
      </c>
      <c r="K141" s="1643">
        <v>17.130091875984299</v>
      </c>
      <c r="L141" s="1643">
        <v>17.1416508338611</v>
      </c>
      <c r="M141" s="1643">
        <v>19.138051720002899</v>
      </c>
      <c r="N141" s="1643">
        <v>19.134847258988099</v>
      </c>
      <c r="O141" s="1643">
        <v>142.85805353460799</v>
      </c>
      <c r="P141" s="1643">
        <v>142.828767662986</v>
      </c>
      <c r="Q141" s="1642" t="s">
        <v>547</v>
      </c>
      <c r="R141" s="1644">
        <v>15.6364111913608</v>
      </c>
      <c r="S141" s="1644">
        <v>15.6486882339338</v>
      </c>
      <c r="T141" s="1644">
        <v>1.37982418462797</v>
      </c>
      <c r="U141" s="1644">
        <v>1.3731060606060601</v>
      </c>
      <c r="V141" s="1644">
        <v>7.3727188944189299E-3</v>
      </c>
      <c r="W141" s="1644">
        <v>7.2955974842767298E-3</v>
      </c>
      <c r="X141" s="1644">
        <v>2.89516029452117E-3</v>
      </c>
      <c r="Y141" s="1644">
        <v>2.89655172413793E-3</v>
      </c>
      <c r="Z141" s="1644">
        <v>0.82358876069407205</v>
      </c>
      <c r="AA141" s="1644">
        <v>0.81967764729634196</v>
      </c>
      <c r="AB141" s="1644">
        <v>398.682836337769</v>
      </c>
      <c r="AC141" s="1644">
        <v>398.75593386806401</v>
      </c>
      <c r="AD141" s="1644">
        <v>28.896431490695701</v>
      </c>
      <c r="AE141" s="1644">
        <v>28.896797153024899</v>
      </c>
      <c r="AF141" s="1642" t="s">
        <v>547</v>
      </c>
      <c r="AG141" s="1644">
        <v>5.7972138278388298E-2</v>
      </c>
      <c r="AH141" s="1644">
        <v>5.8000000000000003E-2</v>
      </c>
      <c r="AI141" s="1644">
        <v>1.05350342571526</v>
      </c>
      <c r="AJ141" s="1644">
        <v>1.0502027977816399</v>
      </c>
      <c r="AK141" s="1644">
        <v>71.702599701250605</v>
      </c>
      <c r="AL141" s="339">
        <v>70.363857891639199</v>
      </c>
      <c r="AM141" s="339">
        <v>12.2419994510563</v>
      </c>
      <c r="AN141" s="339">
        <v>12.2040419626664</v>
      </c>
      <c r="AO141" s="339">
        <v>316.20218782645702</v>
      </c>
      <c r="AP141" s="339">
        <v>316.36363636363598</v>
      </c>
      <c r="AQ141" s="339">
        <v>0.429104123023687</v>
      </c>
      <c r="AR141" s="339">
        <v>0.42962962962963003</v>
      </c>
      <c r="AS141" s="339">
        <v>2.1250965904680799</v>
      </c>
      <c r="AT141" s="339">
        <v>2.0914718432598098</v>
      </c>
      <c r="AU141" s="502" t="s">
        <v>547</v>
      </c>
      <c r="AV141" s="501">
        <v>33.386891393484298</v>
      </c>
      <c r="AW141" s="339">
        <v>33.4174714661984</v>
      </c>
      <c r="AX141" s="339">
        <v>1.4695378195153199</v>
      </c>
      <c r="AY141" s="339">
        <v>1.4661450496539301</v>
      </c>
      <c r="AZ141" s="339">
        <v>32.4517353780384</v>
      </c>
      <c r="BA141" s="339">
        <v>32.476535836177497</v>
      </c>
      <c r="BB141" s="339">
        <v>8.7433673402276799E-2</v>
      </c>
      <c r="BC141" s="339">
        <v>8.6755226325723897E-2</v>
      </c>
      <c r="BD141" s="339">
        <v>94.778202740103197</v>
      </c>
      <c r="BE141" s="339">
        <v>94.418604651162795</v>
      </c>
      <c r="BF141" s="339">
        <v>12.9903617029887</v>
      </c>
      <c r="BG141" s="339">
        <v>12.932476123230099</v>
      </c>
      <c r="BH141" s="339">
        <v>0.40299734174319901</v>
      </c>
      <c r="BI141" s="339">
        <v>0.40261135443351798</v>
      </c>
      <c r="BJ141" s="502" t="s">
        <v>547</v>
      </c>
      <c r="BK141" s="547">
        <v>152.84759020788999</v>
      </c>
      <c r="BL141" s="547">
        <v>152.69855199649001</v>
      </c>
      <c r="BM141" s="547">
        <v>9.3611295951261404E-3</v>
      </c>
      <c r="BN141" s="547">
        <v>9.36562860438293E-3</v>
      </c>
      <c r="BO141" s="547">
        <v>166.891478695079</v>
      </c>
      <c r="BP141" s="547">
        <v>166.986564299424</v>
      </c>
      <c r="BQ141" s="547">
        <v>3.80552135844894</v>
      </c>
      <c r="BR141" s="547">
        <v>3.7621621621621602</v>
      </c>
      <c r="BS141" s="547">
        <v>33.147785882021203</v>
      </c>
      <c r="BT141" s="547">
        <v>33.160903893275197</v>
      </c>
      <c r="BU141" s="547">
        <v>121.74149038461501</v>
      </c>
      <c r="BV141" s="547">
        <v>121.8</v>
      </c>
      <c r="BW141" s="547">
        <v>164.450448342306</v>
      </c>
      <c r="BX141" s="547">
        <v>163.55303637176101</v>
      </c>
    </row>
    <row r="142" spans="1:76" s="1741" customFormat="1" ht="11.45" customHeight="1" x14ac:dyDescent="0.15">
      <c r="A142" s="1876" t="s">
        <v>2730</v>
      </c>
      <c r="B142" s="1642" t="s">
        <v>554</v>
      </c>
      <c r="C142" s="1643">
        <v>79.785791412377094</v>
      </c>
      <c r="D142" s="1643">
        <v>80.399548874591204</v>
      </c>
      <c r="E142" s="1643">
        <v>122.004537037037</v>
      </c>
      <c r="F142" s="1643">
        <v>122.29</v>
      </c>
      <c r="G142" s="1643">
        <v>323.61628803702899</v>
      </c>
      <c r="H142" s="1643">
        <v>324.376657824934</v>
      </c>
      <c r="I142" s="1643">
        <v>87.255138870914195</v>
      </c>
      <c r="J142" s="1643">
        <v>87.707093165028994</v>
      </c>
      <c r="K142" s="1643">
        <v>17.188509812828201</v>
      </c>
      <c r="L142" s="1643">
        <v>17.256999322646202</v>
      </c>
      <c r="M142" s="1643">
        <v>19.032799719693401</v>
      </c>
      <c r="N142" s="1643">
        <v>18.997685293066802</v>
      </c>
      <c r="O142" s="1643">
        <v>142.118044131555</v>
      </c>
      <c r="P142" s="1643">
        <v>141.868624783467</v>
      </c>
      <c r="Q142" s="1642" t="s">
        <v>554</v>
      </c>
      <c r="R142" s="1644">
        <v>15.6899608135842</v>
      </c>
      <c r="S142" s="1644">
        <v>15.736713421696001</v>
      </c>
      <c r="T142" s="1644">
        <v>1.38094855441882</v>
      </c>
      <c r="U142" s="1644">
        <v>1.3832536832282301</v>
      </c>
      <c r="V142" s="1644">
        <v>7.3491912732484002E-3</v>
      </c>
      <c r="W142" s="1644">
        <v>7.3500420723644697E-3</v>
      </c>
      <c r="X142" s="1644">
        <v>2.9013520851684398E-3</v>
      </c>
      <c r="Y142" s="1644">
        <v>2.9082045184304398E-3</v>
      </c>
      <c r="Z142" s="1644">
        <v>0.80726513663062405</v>
      </c>
      <c r="AA142" s="1644">
        <v>0.80069403522556104</v>
      </c>
      <c r="AB142" s="1644">
        <v>398.42839884189402</v>
      </c>
      <c r="AC142" s="1644">
        <v>398.46855653307301</v>
      </c>
      <c r="AD142" s="1644">
        <v>28.9278861117402</v>
      </c>
      <c r="AE142" s="1644">
        <v>29.134008338296599</v>
      </c>
      <c r="AF142" s="1642" t="s">
        <v>554</v>
      </c>
      <c r="AG142" s="1644">
        <v>5.8097398589065298E-2</v>
      </c>
      <c r="AH142" s="1644">
        <v>5.8233333333333297E-2</v>
      </c>
      <c r="AI142" s="1644">
        <v>1.0511862145918101</v>
      </c>
      <c r="AJ142" s="1644">
        <v>1.05388707577146</v>
      </c>
      <c r="AK142" s="1644">
        <v>70.283960284862005</v>
      </c>
      <c r="AL142" s="339">
        <v>70.487953878383095</v>
      </c>
      <c r="AM142" s="339">
        <v>12.167587565504499</v>
      </c>
      <c r="AN142" s="339">
        <v>12.1986862646324</v>
      </c>
      <c r="AO142" s="339">
        <v>316.89490139490101</v>
      </c>
      <c r="AP142" s="339">
        <v>317.63636363636402</v>
      </c>
      <c r="AQ142" s="339">
        <v>0.43073033468236299</v>
      </c>
      <c r="AR142" s="339">
        <v>0.43194461614538299</v>
      </c>
      <c r="AS142" s="339">
        <v>2.09155388624928</v>
      </c>
      <c r="AT142" s="339">
        <v>2.0782597612270002</v>
      </c>
      <c r="AU142" s="502" t="s">
        <v>554</v>
      </c>
      <c r="AV142" s="501">
        <v>33.467180682090202</v>
      </c>
      <c r="AW142" s="339">
        <v>33.550989053197597</v>
      </c>
      <c r="AX142" s="339">
        <v>1.5055659765792</v>
      </c>
      <c r="AY142" s="339">
        <v>1.5286249999999999</v>
      </c>
      <c r="AZ142" s="339">
        <v>32.530755136741398</v>
      </c>
      <c r="BA142" s="339">
        <v>32.608927523865397</v>
      </c>
      <c r="BB142" s="339">
        <v>8.5793590079158294E-2</v>
      </c>
      <c r="BC142" s="339">
        <v>8.6004944106280706E-2</v>
      </c>
      <c r="BD142" s="339">
        <v>94.197471492536707</v>
      </c>
      <c r="BE142" s="339">
        <v>94.257746261754306</v>
      </c>
      <c r="BF142" s="339">
        <v>12.9414105153481</v>
      </c>
      <c r="BG142" s="339">
        <v>13.010128090557</v>
      </c>
      <c r="BH142" s="339">
        <v>0.40266868111134702</v>
      </c>
      <c r="BI142" s="339">
        <v>0.40200525969756701</v>
      </c>
      <c r="BJ142" s="502" t="s">
        <v>554</v>
      </c>
      <c r="BK142" s="547">
        <v>153.03941284150801</v>
      </c>
      <c r="BL142" s="547">
        <v>152.86250000000001</v>
      </c>
      <c r="BM142" s="547">
        <v>9.9328712338993402E-3</v>
      </c>
      <c r="BN142" s="547">
        <v>1.1056962025316501E-2</v>
      </c>
      <c r="BO142" s="547">
        <v>166.44973349919999</v>
      </c>
      <c r="BP142" s="547">
        <v>166.109752784569</v>
      </c>
      <c r="BQ142" s="547">
        <v>3.7472381336168099</v>
      </c>
      <c r="BR142" s="547">
        <v>3.76914778856526</v>
      </c>
      <c r="BS142" s="547">
        <v>33.219303992337103</v>
      </c>
      <c r="BT142" s="547">
        <v>33.297936067091399</v>
      </c>
      <c r="BU142" s="547">
        <v>122.004537037037</v>
      </c>
      <c r="BV142" s="547">
        <v>122.29</v>
      </c>
      <c r="BW142" s="547">
        <v>163.16886734040099</v>
      </c>
      <c r="BX142" s="547">
        <v>161.349425073139</v>
      </c>
    </row>
    <row r="143" spans="1:76" s="1741" customFormat="1" ht="11.45" customHeight="1" x14ac:dyDescent="0.15">
      <c r="A143" s="1876" t="s">
        <v>2730</v>
      </c>
      <c r="B143" s="1642" t="s">
        <v>555</v>
      </c>
      <c r="C143" s="1643">
        <v>79.618631922124806</v>
      </c>
      <c r="D143" s="1643">
        <v>80.080283200916</v>
      </c>
      <c r="E143" s="1643">
        <v>122.319</v>
      </c>
      <c r="F143" s="1643">
        <v>122.26</v>
      </c>
      <c r="G143" s="1643">
        <v>324.44324701358499</v>
      </c>
      <c r="H143" s="1643">
        <v>324.29708222811701</v>
      </c>
      <c r="I143" s="1643">
        <v>87.071523762423695</v>
      </c>
      <c r="J143" s="1643">
        <v>87.491054816087001</v>
      </c>
      <c r="K143" s="1643">
        <v>17.2644723637823</v>
      </c>
      <c r="L143" s="1643">
        <v>17.271044936360202</v>
      </c>
      <c r="M143" s="1643">
        <v>18.9296258504767</v>
      </c>
      <c r="N143" s="1643">
        <v>18.984766844205701</v>
      </c>
      <c r="O143" s="1643">
        <v>141.35755619960801</v>
      </c>
      <c r="P143" s="1643">
        <v>141.77269494567099</v>
      </c>
      <c r="Q143" s="1642" t="s">
        <v>555</v>
      </c>
      <c r="R143" s="1644">
        <v>15.7277095930648</v>
      </c>
      <c r="S143" s="1644">
        <v>15.702845546729</v>
      </c>
      <c r="T143" s="1644">
        <v>1.3771108034859201</v>
      </c>
      <c r="U143" s="1644">
        <v>1.3682196134606099</v>
      </c>
      <c r="V143" s="1644">
        <v>7.3256697244154598E-3</v>
      </c>
      <c r="W143" s="1644">
        <v>7.3407385169618703E-3</v>
      </c>
      <c r="X143" s="1644">
        <v>2.9086866123062501E-3</v>
      </c>
      <c r="Y143" s="1644">
        <v>2.90749108204518E-3</v>
      </c>
      <c r="Z143" s="1644">
        <v>0.78859290271766902</v>
      </c>
      <c r="AA143" s="1644">
        <v>0.782839763086281</v>
      </c>
      <c r="AB143" s="1644">
        <v>398.30098800878397</v>
      </c>
      <c r="AC143" s="1644">
        <v>398.30591301514897</v>
      </c>
      <c r="AD143" s="1644">
        <v>29.424318456006901</v>
      </c>
      <c r="AE143" s="1644">
        <v>29.584996975196599</v>
      </c>
      <c r="AF143" s="1642" t="s">
        <v>555</v>
      </c>
      <c r="AG143" s="1644">
        <v>5.82471428571429E-2</v>
      </c>
      <c r="AH143" s="1644">
        <v>5.8219047619047601E-2</v>
      </c>
      <c r="AI143" s="1644">
        <v>1.0491834567658</v>
      </c>
      <c r="AJ143" s="1644">
        <v>1.0487650889726099</v>
      </c>
      <c r="AK143" s="1644">
        <v>69.230276577794797</v>
      </c>
      <c r="AL143" s="339">
        <v>70.109996466997998</v>
      </c>
      <c r="AM143" s="339">
        <v>12.041773675298201</v>
      </c>
      <c r="AN143" s="339">
        <v>12.067136152551599</v>
      </c>
      <c r="AO143" s="339">
        <v>317.71168831168802</v>
      </c>
      <c r="AP143" s="339">
        <v>317.55844155844198</v>
      </c>
      <c r="AQ143" s="339">
        <v>0.43271499509525801</v>
      </c>
      <c r="AR143" s="339">
        <v>0.43277876106194701</v>
      </c>
      <c r="AS143" s="339">
        <v>2.0770523164549402</v>
      </c>
      <c r="AT143" s="339">
        <v>2.0851738781914602</v>
      </c>
      <c r="AU143" s="502" t="s">
        <v>555</v>
      </c>
      <c r="AV143" s="501">
        <v>33.560772415049598</v>
      </c>
      <c r="AW143" s="339">
        <v>33.550122115199898</v>
      </c>
      <c r="AX143" s="339">
        <v>1.52358812762542</v>
      </c>
      <c r="AY143" s="339">
        <v>1.5775483870967699</v>
      </c>
      <c r="AZ143" s="339">
        <v>32.614365156858703</v>
      </c>
      <c r="BA143" s="339">
        <v>32.589196465460901</v>
      </c>
      <c r="BB143" s="339">
        <v>8.3819912108001396E-2</v>
      </c>
      <c r="BC143" s="339">
        <v>8.3304942696338299E-2</v>
      </c>
      <c r="BD143" s="339">
        <v>93.904710073990202</v>
      </c>
      <c r="BE143" s="339">
        <v>94.325502449562194</v>
      </c>
      <c r="BF143" s="339">
        <v>12.861821690566901</v>
      </c>
      <c r="BG143" s="339">
        <v>12.9361972278066</v>
      </c>
      <c r="BH143" s="339">
        <v>0.399473565918811</v>
      </c>
      <c r="BI143" s="339">
        <v>0.39672264135637197</v>
      </c>
      <c r="BJ143" s="502" t="s">
        <v>555</v>
      </c>
      <c r="BK143" s="547">
        <v>152.144201076971</v>
      </c>
      <c r="BL143" s="547">
        <v>152.11197511664099</v>
      </c>
      <c r="BM143" s="547">
        <v>1.1059183984531699E-2</v>
      </c>
      <c r="BN143" s="547">
        <v>1.1052250949195401E-2</v>
      </c>
      <c r="BO143" s="547">
        <v>166.05657634899799</v>
      </c>
      <c r="BP143" s="547">
        <v>166.091563646244</v>
      </c>
      <c r="BQ143" s="547">
        <v>3.7756687924805599</v>
      </c>
      <c r="BR143" s="547">
        <v>3.8075365929616898</v>
      </c>
      <c r="BS143" s="547">
        <v>33.305034553187703</v>
      </c>
      <c r="BT143" s="547">
        <v>33.285689005050301</v>
      </c>
      <c r="BU143" s="547">
        <v>122.319</v>
      </c>
      <c r="BV143" s="547">
        <v>122.26</v>
      </c>
      <c r="BW143" s="547">
        <v>160.69727193268</v>
      </c>
      <c r="BX143" s="547">
        <v>161.841672921926</v>
      </c>
    </row>
    <row r="144" spans="1:76" s="1741" customFormat="1" ht="11.45" customHeight="1" x14ac:dyDescent="0.15">
      <c r="A144" s="1876" t="s">
        <v>2730</v>
      </c>
      <c r="B144" s="1642" t="s">
        <v>548</v>
      </c>
      <c r="C144" s="1643">
        <v>81.239621464941294</v>
      </c>
      <c r="D144" s="1643">
        <v>81.896585672890197</v>
      </c>
      <c r="E144" s="1643">
        <v>122.292407407407</v>
      </c>
      <c r="F144" s="1643">
        <v>122.325</v>
      </c>
      <c r="G144" s="1643">
        <v>324.35755351289703</v>
      </c>
      <c r="H144" s="1643">
        <v>324.426468638112</v>
      </c>
      <c r="I144" s="1643">
        <v>88.632221733712498</v>
      </c>
      <c r="J144" s="1643">
        <v>89.311137881940596</v>
      </c>
      <c r="K144" s="1643">
        <v>17.320896214646499</v>
      </c>
      <c r="L144" s="1643">
        <v>17.3885540456019</v>
      </c>
      <c r="M144" s="1643">
        <v>19.175143074358999</v>
      </c>
      <c r="N144" s="1643">
        <v>19.282606639553599</v>
      </c>
      <c r="O144" s="1643">
        <v>143.21383511770699</v>
      </c>
      <c r="P144" s="1643">
        <v>143.70740583503601</v>
      </c>
      <c r="Q144" s="1642" t="s">
        <v>548</v>
      </c>
      <c r="R144" s="1644">
        <v>15.7171113668301</v>
      </c>
      <c r="S144" s="1644">
        <v>15.735446400432201</v>
      </c>
      <c r="T144" s="1644">
        <v>1.3596165615761699</v>
      </c>
      <c r="U144" s="1644">
        <v>1.3626489918681099</v>
      </c>
      <c r="V144" s="1644">
        <v>7.3204654432454698E-3</v>
      </c>
      <c r="W144" s="1644">
        <v>7.2884082581106402E-3</v>
      </c>
      <c r="X144" s="1644">
        <v>2.9077823112487601E-3</v>
      </c>
      <c r="Y144" s="1644">
        <v>2.9090368608799002E-3</v>
      </c>
      <c r="Z144" s="1644">
        <v>0.783572777418021</v>
      </c>
      <c r="AA144" s="1644">
        <v>0.78207915094942804</v>
      </c>
      <c r="AB144" s="1644">
        <v>398.41248017950699</v>
      </c>
      <c r="AC144" s="1644">
        <v>397.48172217709202</v>
      </c>
      <c r="AD144" s="1644">
        <v>29.8966617470277</v>
      </c>
      <c r="AE144" s="1644">
        <v>30.177624275317601</v>
      </c>
      <c r="AF144" s="1642" t="s">
        <v>548</v>
      </c>
      <c r="AG144" s="1644">
        <v>5.8234479717813099E-2</v>
      </c>
      <c r="AH144" s="1644">
        <v>5.8250000000000003E-2</v>
      </c>
      <c r="AI144" s="1644">
        <v>1.05432316147607</v>
      </c>
      <c r="AJ144" s="1644">
        <v>1.0579733960664901</v>
      </c>
      <c r="AK144" s="1644">
        <v>70.810077945721901</v>
      </c>
      <c r="AL144" s="339">
        <v>70.991309007495502</v>
      </c>
      <c r="AM144" s="339">
        <v>12.104533533347899</v>
      </c>
      <c r="AN144" s="339">
        <v>12.1809138299302</v>
      </c>
      <c r="AO144" s="339">
        <v>317.64261664261699</v>
      </c>
      <c r="AP144" s="339">
        <v>317.72727272727298</v>
      </c>
      <c r="AQ144" s="339">
        <v>0.43525913348931899</v>
      </c>
      <c r="AR144" s="339">
        <v>0.43493333333333301</v>
      </c>
      <c r="AS144" s="339">
        <v>2.0775495185809199</v>
      </c>
      <c r="AT144" s="339">
        <v>2.0793492949845702</v>
      </c>
      <c r="AU144" s="502" t="s">
        <v>548</v>
      </c>
      <c r="AV144" s="501">
        <v>33.5421597226781</v>
      </c>
      <c r="AW144" s="339">
        <v>33.558289782313501</v>
      </c>
      <c r="AX144" s="339">
        <v>1.55987979222504</v>
      </c>
      <c r="AY144" s="339">
        <v>1.55828025477707</v>
      </c>
      <c r="AZ144" s="339">
        <v>32.595602798012003</v>
      </c>
      <c r="BA144" s="339">
        <v>32.613912069747002</v>
      </c>
      <c r="BB144" s="339">
        <v>8.33341041766677E-2</v>
      </c>
      <c r="BC144" s="339">
        <v>8.5195812816458993E-2</v>
      </c>
      <c r="BD144" s="339">
        <v>94.700400988779407</v>
      </c>
      <c r="BE144" s="339">
        <v>95.146423987866001</v>
      </c>
      <c r="BF144" s="339">
        <v>13.163952991692801</v>
      </c>
      <c r="BG144" s="339">
        <v>13.299520532307</v>
      </c>
      <c r="BH144" s="339">
        <v>0.39561149936401402</v>
      </c>
      <c r="BI144" s="339">
        <v>0.39453313981615901</v>
      </c>
      <c r="BJ144" s="502" t="s">
        <v>548</v>
      </c>
      <c r="BK144" s="547">
        <v>153.51357342724</v>
      </c>
      <c r="BL144" s="547">
        <v>155.038022813688</v>
      </c>
      <c r="BM144" s="547">
        <v>1.1056809470372599E-2</v>
      </c>
      <c r="BN144" s="547">
        <v>1.10601265822785E-2</v>
      </c>
      <c r="BO144" s="547">
        <v>167.14150146479</v>
      </c>
      <c r="BP144" s="547">
        <v>167.52259654889099</v>
      </c>
      <c r="BQ144" s="547">
        <v>3.8744719850407399</v>
      </c>
      <c r="BR144" s="547">
        <v>3.8802537668517001</v>
      </c>
      <c r="BS144" s="547">
        <v>33.298222174326902</v>
      </c>
      <c r="BT144" s="547">
        <v>33.3074661003104</v>
      </c>
      <c r="BU144" s="547">
        <v>122.292407407407</v>
      </c>
      <c r="BV144" s="547">
        <v>122.325</v>
      </c>
      <c r="BW144" s="547">
        <v>163.71803047736199</v>
      </c>
      <c r="BX144" s="547">
        <v>164.74119170633</v>
      </c>
    </row>
    <row r="145" spans="1:76" x14ac:dyDescent="0.2">
      <c r="A145" s="1876" t="s">
        <v>2730</v>
      </c>
      <c r="B145" s="1642" t="s">
        <v>556</v>
      </c>
      <c r="C145" s="1643">
        <v>82.756885369657297</v>
      </c>
      <c r="D145" s="1643">
        <v>86.146633262320705</v>
      </c>
      <c r="E145" s="1643">
        <v>122.324038461538</v>
      </c>
      <c r="F145" s="1643">
        <v>122.35</v>
      </c>
      <c r="G145" s="1643">
        <v>324.46694629305</v>
      </c>
      <c r="H145" s="1643">
        <v>324.53580901856799</v>
      </c>
      <c r="I145" s="1643">
        <v>88.7013511528896</v>
      </c>
      <c r="J145" s="1643">
        <v>90.248580069336896</v>
      </c>
      <c r="K145" s="1643">
        <v>17.460095580433801</v>
      </c>
      <c r="L145" s="1643">
        <v>17.535939000444301</v>
      </c>
      <c r="M145" s="1643">
        <v>19.208213492372</v>
      </c>
      <c r="N145" s="1643">
        <v>19.587909448944899</v>
      </c>
      <c r="O145" s="1643">
        <v>143.487933120956</v>
      </c>
      <c r="P145" s="1643">
        <v>146.25718590597299</v>
      </c>
      <c r="Q145" s="1642" t="s">
        <v>556</v>
      </c>
      <c r="R145" s="1644">
        <v>15.693738603933699</v>
      </c>
      <c r="S145" s="1644">
        <v>15.6833840730652</v>
      </c>
      <c r="T145" s="1644">
        <v>1.34864720808169</v>
      </c>
      <c r="U145" s="1644">
        <v>1.3292700151016399</v>
      </c>
      <c r="V145" s="1644">
        <v>7.2719973215048901E-3</v>
      </c>
      <c r="W145" s="1644">
        <v>7.2823046247247197E-3</v>
      </c>
      <c r="X145" s="1644">
        <v>8.7669048763751208E-3</v>
      </c>
      <c r="Y145" s="1644">
        <v>1.1275978065526901E-2</v>
      </c>
      <c r="Z145" s="1644">
        <v>0.78015232674163604</v>
      </c>
      <c r="AA145" s="1644">
        <v>0.797536014601395</v>
      </c>
      <c r="AB145" s="1644">
        <v>399.75287892840902</v>
      </c>
      <c r="AC145" s="1644">
        <v>401.476620180476</v>
      </c>
      <c r="AD145" s="1644">
        <v>30.339108007864599</v>
      </c>
      <c r="AE145" s="1644">
        <v>31.108568522756201</v>
      </c>
      <c r="AF145" s="1642" t="s">
        <v>556</v>
      </c>
      <c r="AG145" s="1644">
        <v>5.82495421245421E-2</v>
      </c>
      <c r="AH145" s="1644">
        <v>5.8261904761904799E-2</v>
      </c>
      <c r="AI145" s="1644">
        <v>1.05710395130334</v>
      </c>
      <c r="AJ145" s="1644">
        <v>1.06560596704504</v>
      </c>
      <c r="AK145" s="1644">
        <v>71.278880975943494</v>
      </c>
      <c r="AL145" s="339">
        <v>74.1502129576767</v>
      </c>
      <c r="AM145" s="339">
        <v>12.2703161760911</v>
      </c>
      <c r="AN145" s="339">
        <v>12.7544239138933</v>
      </c>
      <c r="AO145" s="339">
        <v>317.72160153831402</v>
      </c>
      <c r="AP145" s="339">
        <v>317.79220779220799</v>
      </c>
      <c r="AQ145" s="339">
        <v>0.43634855385388499</v>
      </c>
      <c r="AR145" s="339">
        <v>0.43735478105451298</v>
      </c>
      <c r="AS145" s="339">
        <v>2.0682877596093698</v>
      </c>
      <c r="AT145" s="339">
        <v>2.0795975082223599</v>
      </c>
      <c r="AU145" s="502" t="s">
        <v>556</v>
      </c>
      <c r="AV145" s="501">
        <v>33.524347479409101</v>
      </c>
      <c r="AW145" s="339">
        <v>33.571134586363002</v>
      </c>
      <c r="AX145" s="339">
        <v>1.5635001018641801</v>
      </c>
      <c r="AY145" s="339">
        <v>1.5983017635532299</v>
      </c>
      <c r="AZ145" s="339">
        <v>32.618204965291199</v>
      </c>
      <c r="BA145" s="339">
        <v>32.6244917005533</v>
      </c>
      <c r="BB145" s="339">
        <v>8.4087706570575196E-2</v>
      </c>
      <c r="BC145" s="339">
        <v>8.5799438990182303E-2</v>
      </c>
      <c r="BD145" s="339">
        <v>95.477703413901096</v>
      </c>
      <c r="BE145" s="339">
        <v>96.922406622569</v>
      </c>
      <c r="BF145" s="339">
        <v>13.424313729357101</v>
      </c>
      <c r="BG145" s="339">
        <v>13.9010395955235</v>
      </c>
      <c r="BH145" s="339">
        <v>0.39512590963980199</v>
      </c>
      <c r="BI145" s="339">
        <v>0.39528309506501902</v>
      </c>
      <c r="BJ145" s="502" t="s">
        <v>556</v>
      </c>
      <c r="BK145" s="547">
        <v>154.615938555333</v>
      </c>
      <c r="BL145" s="547">
        <v>159.23732673911601</v>
      </c>
      <c r="BM145" s="547">
        <v>0.89747577409991997</v>
      </c>
      <c r="BN145" s="547">
        <v>1.0588489831241901</v>
      </c>
      <c r="BO145" s="547">
        <v>167.46955505043101</v>
      </c>
      <c r="BP145" s="547">
        <v>169.06176592510701</v>
      </c>
      <c r="BQ145" s="547">
        <v>3.9087971157233898</v>
      </c>
      <c r="BR145" s="547">
        <v>3.9366151866151902</v>
      </c>
      <c r="BS145" s="547">
        <v>33.306192797729103</v>
      </c>
      <c r="BT145" s="547">
        <v>33.310645249115197</v>
      </c>
      <c r="BU145" s="547">
        <v>122.324038461538</v>
      </c>
      <c r="BV145" s="547">
        <v>122.35</v>
      </c>
      <c r="BW145" s="547">
        <v>165.28821854589299</v>
      </c>
      <c r="BX145" s="547">
        <v>168.94087202527501</v>
      </c>
    </row>
    <row r="146" spans="1:76" ht="9.75" customHeight="1" x14ac:dyDescent="0.2">
      <c r="A146" s="1876" t="s">
        <v>2730</v>
      </c>
      <c r="B146" s="1642" t="s">
        <v>557</v>
      </c>
      <c r="C146" s="1643">
        <v>86.209490157362396</v>
      </c>
      <c r="D146" s="1643">
        <v>87.028664532040494</v>
      </c>
      <c r="E146" s="1643">
        <v>122.30249999999999</v>
      </c>
      <c r="F146" s="1643">
        <v>122.3</v>
      </c>
      <c r="G146" s="1643">
        <v>324.39547446402901</v>
      </c>
      <c r="H146" s="1643">
        <v>324.36016443442497</v>
      </c>
      <c r="I146" s="1643">
        <v>89.613512918506999</v>
      </c>
      <c r="J146" s="1643">
        <v>89.633185532632197</v>
      </c>
      <c r="K146" s="1643">
        <v>17.607997642429499</v>
      </c>
      <c r="L146" s="1643">
        <v>17.6662622060438</v>
      </c>
      <c r="M146" s="1643">
        <v>19.367054661171501</v>
      </c>
      <c r="N146" s="1643">
        <v>19.336579812800402</v>
      </c>
      <c r="O146" s="1643">
        <v>144.67647209920199</v>
      </c>
      <c r="P146" s="1643">
        <v>144.485218964788</v>
      </c>
      <c r="Q146" s="1642" t="s">
        <v>557</v>
      </c>
      <c r="R146" s="1644">
        <v>15.6489594552623</v>
      </c>
      <c r="S146" s="1644">
        <v>15.6341881215964</v>
      </c>
      <c r="T146" s="1644">
        <v>1.3462335295979999</v>
      </c>
      <c r="U146" s="1644">
        <v>1.34283455575563</v>
      </c>
      <c r="V146" s="1644">
        <v>7.2703200201438903E-3</v>
      </c>
      <c r="W146" s="1644">
        <v>7.29495973754846E-3</v>
      </c>
      <c r="X146" s="1644">
        <v>9.9666969251278797E-5</v>
      </c>
      <c r="Y146" s="1644">
        <v>9.3066577988346494E-5</v>
      </c>
      <c r="Z146" s="1644">
        <v>0.78807665677693195</v>
      </c>
      <c r="AA146" s="1644">
        <v>0.78369805517285596</v>
      </c>
      <c r="AB146" s="1644">
        <v>400.48319144814297</v>
      </c>
      <c r="AC146" s="1644">
        <v>400.26182294223503</v>
      </c>
      <c r="AD146" s="1644">
        <v>31.2258332255815</v>
      </c>
      <c r="AE146" s="1644">
        <v>31.4315086096119</v>
      </c>
      <c r="AF146" s="1642" t="s">
        <v>557</v>
      </c>
      <c r="AG146" s="1644">
        <v>5.8239285714285702E-2</v>
      </c>
      <c r="AH146" s="1644">
        <v>5.82380952380952E-2</v>
      </c>
      <c r="AI146" s="1644">
        <v>1.0624412497103399</v>
      </c>
      <c r="AJ146" s="1644">
        <v>1.0607691487045701</v>
      </c>
      <c r="AK146" s="1644">
        <v>73.519083341187198</v>
      </c>
      <c r="AL146" s="339">
        <v>73.337194490119202</v>
      </c>
      <c r="AM146" s="339">
        <v>12.7624869065277</v>
      </c>
      <c r="AN146" s="339">
        <v>12.857510815342801</v>
      </c>
      <c r="AO146" s="339">
        <v>317.66883116883099</v>
      </c>
      <c r="AP146" s="339">
        <v>317.66233766233802</v>
      </c>
      <c r="AQ146" s="339">
        <v>0.43700687507795399</v>
      </c>
      <c r="AR146" s="339">
        <v>0.43776286353467603</v>
      </c>
      <c r="AS146" s="339">
        <v>2.1000712828535599</v>
      </c>
      <c r="AT146" s="339">
        <v>2.11995146472526</v>
      </c>
      <c r="AU146" s="502" t="s">
        <v>557</v>
      </c>
      <c r="AV146" s="501">
        <v>33.518835318264301</v>
      </c>
      <c r="AW146" s="339">
        <v>33.555113519445797</v>
      </c>
      <c r="AX146" s="339">
        <v>1.5939932012051401</v>
      </c>
      <c r="AY146" s="339">
        <v>1.58810544085184</v>
      </c>
      <c r="AZ146" s="339">
        <v>32.609018530203301</v>
      </c>
      <c r="BA146" s="339">
        <v>32.605508011410599</v>
      </c>
      <c r="BB146" s="339">
        <v>8.4404719416966895E-2</v>
      </c>
      <c r="BC146" s="339">
        <v>8.4942353104597898E-2</v>
      </c>
      <c r="BD146" s="339">
        <v>96.513671430294494</v>
      </c>
      <c r="BE146" s="339">
        <v>96.679841897233203</v>
      </c>
      <c r="BF146" s="339">
        <v>13.613762516657101</v>
      </c>
      <c r="BG146" s="339">
        <v>13.5444930505565</v>
      </c>
      <c r="BH146" s="339">
        <v>0.395383545503113</v>
      </c>
      <c r="BI146" s="339">
        <v>0.39549849626491601</v>
      </c>
      <c r="BJ146" s="502" t="s">
        <v>557</v>
      </c>
      <c r="BK146" s="547">
        <v>158.307473977092</v>
      </c>
      <c r="BL146" s="547">
        <v>159.06873902581799</v>
      </c>
      <c r="BM146" s="547">
        <v>1.0587128094281699</v>
      </c>
      <c r="BN146" s="547">
        <v>1.0588744588744601</v>
      </c>
      <c r="BO146" s="547">
        <v>168.25458102743099</v>
      </c>
      <c r="BP146" s="547">
        <v>168.133076711575</v>
      </c>
      <c r="BQ146" s="547">
        <v>3.9149881799795101</v>
      </c>
      <c r="BR146" s="547">
        <v>3.9381742070520001</v>
      </c>
      <c r="BS146" s="547">
        <v>33.299450848757303</v>
      </c>
      <c r="BT146" s="547">
        <v>33.296579137229301</v>
      </c>
      <c r="BU146" s="547">
        <v>122.30249999999999</v>
      </c>
      <c r="BV146" s="547">
        <v>122.3</v>
      </c>
      <c r="BW146" s="547">
        <v>166.33064406980699</v>
      </c>
      <c r="BX146" s="547">
        <v>164.92766295947499</v>
      </c>
    </row>
    <row r="147" spans="1:76" ht="12" thickBot="1" x14ac:dyDescent="0.25">
      <c r="A147" s="1876" t="s">
        <v>2730</v>
      </c>
      <c r="B147" s="1642" t="s">
        <v>549</v>
      </c>
      <c r="C147" s="1643">
        <v>85.9169084085989</v>
      </c>
      <c r="D147" s="1643">
        <v>84.108298208552199</v>
      </c>
      <c r="E147" s="1643">
        <v>122.62444444444399</v>
      </c>
      <c r="F147" s="1643">
        <v>122.75</v>
      </c>
      <c r="G147" s="1643">
        <v>324.79795367497201</v>
      </c>
      <c r="H147" s="1643">
        <v>325.12250033108199</v>
      </c>
      <c r="I147" s="1643">
        <v>89.467665932362607</v>
      </c>
      <c r="J147" s="1643">
        <v>88.157138753231806</v>
      </c>
      <c r="K147" s="1643">
        <v>17.7562054537403</v>
      </c>
      <c r="L147" s="1643">
        <v>17.7399774546926</v>
      </c>
      <c r="M147" s="1643">
        <v>18.951662514626399</v>
      </c>
      <c r="N147" s="1643">
        <v>18.828708603684401</v>
      </c>
      <c r="O147" s="1643">
        <v>141.610031811026</v>
      </c>
      <c r="P147" s="1643">
        <v>140.74514892944401</v>
      </c>
      <c r="Q147" s="1642" t="s">
        <v>549</v>
      </c>
      <c r="R147" s="1644">
        <v>15.668871568685599</v>
      </c>
      <c r="S147" s="1644">
        <v>15.665479791212</v>
      </c>
      <c r="T147" s="1644">
        <v>1.3229385187107701</v>
      </c>
      <c r="U147" s="1644">
        <v>1.30061401696361</v>
      </c>
      <c r="V147" s="1644">
        <v>7.2425172565649997E-3</v>
      </c>
      <c r="W147" s="1644">
        <v>7.2216502426827502E-3</v>
      </c>
      <c r="X147" s="1644">
        <v>9.3097203142630694E-5</v>
      </c>
      <c r="Y147" s="1644">
        <v>9.3261186023965993E-5</v>
      </c>
      <c r="Z147" s="1644">
        <v>0.77244765424742901</v>
      </c>
      <c r="AA147" s="1644">
        <v>0.76850837376741299</v>
      </c>
      <c r="AB147" s="1644">
        <v>400.22239356161498</v>
      </c>
      <c r="AC147" s="1644">
        <v>399.90226421241198</v>
      </c>
      <c r="AD147" s="1644">
        <v>31.060227531111799</v>
      </c>
      <c r="AE147" s="1644">
        <v>30.512055679840898</v>
      </c>
      <c r="AF147" s="1642" t="s">
        <v>549</v>
      </c>
      <c r="AG147" s="1644">
        <v>5.83925925925926E-2</v>
      </c>
      <c r="AH147" s="1644">
        <v>5.8452380952380999E-2</v>
      </c>
      <c r="AI147" s="1644">
        <v>1.05503287582451</v>
      </c>
      <c r="AJ147" s="1644">
        <v>1.05304606980044</v>
      </c>
      <c r="AK147" s="1644">
        <v>71.621680906987706</v>
      </c>
      <c r="AL147" s="1763">
        <v>70.225272854396096</v>
      </c>
      <c r="AM147" s="1763">
        <v>12.656769518149099</v>
      </c>
      <c r="AN147" s="1763">
        <v>12.5969787775543</v>
      </c>
      <c r="AO147" s="1763">
        <v>318.47136672150401</v>
      </c>
      <c r="AP147" s="1763">
        <v>318.87258085465601</v>
      </c>
      <c r="AQ147" s="1763">
        <v>0.43859313328233801</v>
      </c>
      <c r="AR147" s="1763">
        <v>0.43964899713466998</v>
      </c>
      <c r="AS147" s="1763">
        <v>2.0599947614114398</v>
      </c>
      <c r="AT147" s="1763">
        <v>2.02364073988592</v>
      </c>
      <c r="AU147" s="1339" t="s">
        <v>549</v>
      </c>
      <c r="AV147" s="1599">
        <v>33.594584957778402</v>
      </c>
      <c r="AW147" s="1763">
        <v>33.691057803150898</v>
      </c>
      <c r="AX147" s="1763">
        <v>1.5425920979189101</v>
      </c>
      <c r="AY147" s="1763">
        <v>1.5098400984009801</v>
      </c>
      <c r="AZ147" s="1763">
        <v>32.675889908737297</v>
      </c>
      <c r="BA147" s="1763">
        <v>32.709782290084497</v>
      </c>
      <c r="BB147" s="1763">
        <v>8.2353191061594694E-2</v>
      </c>
      <c r="BC147" s="1763">
        <v>8.0165882967607099E-2</v>
      </c>
      <c r="BD147" s="1763">
        <v>95.806403533157095</v>
      </c>
      <c r="BE147" s="1763">
        <v>95.059242623712507</v>
      </c>
      <c r="BF147" s="1763">
        <v>13.150820684750601</v>
      </c>
      <c r="BG147" s="1763">
        <v>12.8606077750363</v>
      </c>
      <c r="BH147" s="1763">
        <v>0.393541719397209</v>
      </c>
      <c r="BI147" s="1763">
        <v>0.38900332752337202</v>
      </c>
      <c r="BJ147" s="1339" t="s">
        <v>549</v>
      </c>
      <c r="BK147" s="1762">
        <v>156.01370359770101</v>
      </c>
      <c r="BL147" s="1762">
        <v>153.53345841150701</v>
      </c>
      <c r="BM147" s="1762">
        <v>1.06159510045635</v>
      </c>
      <c r="BN147" s="1762">
        <v>1.0625865650969499</v>
      </c>
      <c r="BO147" s="1762">
        <v>167.06344209908599</v>
      </c>
      <c r="BP147" s="1762">
        <v>166.485826664858</v>
      </c>
      <c r="BQ147" s="1762">
        <v>3.8102115967786401</v>
      </c>
      <c r="BR147" s="1762">
        <v>3.7338403041825101</v>
      </c>
      <c r="BS147" s="1762">
        <v>33.386340530479899</v>
      </c>
      <c r="BT147" s="1762">
        <v>33.423642972866297</v>
      </c>
      <c r="BU147" s="1762">
        <v>122.62444444444399</v>
      </c>
      <c r="BV147" s="1762">
        <v>122.75</v>
      </c>
      <c r="BW147" s="1762">
        <v>163.439033600724</v>
      </c>
      <c r="BX147" s="1762">
        <v>161.87655668246401</v>
      </c>
    </row>
    <row r="148" spans="1:76" s="222" customFormat="1" x14ac:dyDescent="0.2">
      <c r="A148" s="1864" t="s">
        <v>2773</v>
      </c>
      <c r="B148" s="1864"/>
      <c r="C148" s="1877" t="s">
        <v>1490</v>
      </c>
      <c r="D148" s="1878"/>
      <c r="E148" s="1878"/>
      <c r="F148" s="1878"/>
      <c r="G148" s="1878"/>
      <c r="H148" s="1878"/>
      <c r="I148" s="1864" t="s">
        <v>372</v>
      </c>
      <c r="J148" s="2877" t="s">
        <v>1208</v>
      </c>
      <c r="K148" s="2877"/>
      <c r="L148" s="2877"/>
      <c r="M148" s="2877"/>
      <c r="N148" s="2877"/>
      <c r="O148" s="1879"/>
      <c r="P148" s="1879"/>
      <c r="Q148" s="1880"/>
      <c r="R148" s="1878"/>
      <c r="S148" s="1878"/>
      <c r="T148" s="1878"/>
      <c r="U148" s="1878"/>
      <c r="V148" s="1878"/>
      <c r="W148" s="1878"/>
      <c r="X148" s="1881"/>
      <c r="Y148" s="1881"/>
      <c r="Z148" s="1881"/>
      <c r="AA148" s="1881"/>
      <c r="AB148" s="1881"/>
      <c r="AC148" s="1881"/>
      <c r="AD148" s="1881"/>
      <c r="AE148" s="1881"/>
      <c r="AF148" s="1880" t="s">
        <v>671</v>
      </c>
      <c r="AG148" s="2877" t="s">
        <v>1254</v>
      </c>
      <c r="AH148" s="2877"/>
      <c r="AI148" s="2877"/>
      <c r="AJ148" s="2877"/>
      <c r="AK148" s="2877"/>
      <c r="AL148" s="2878"/>
      <c r="AM148" s="162"/>
      <c r="AN148" s="162"/>
      <c r="AO148" s="162"/>
      <c r="AP148" s="162"/>
      <c r="AQ148" s="162"/>
      <c r="AR148" s="162"/>
      <c r="AS148" s="162"/>
      <c r="AT148" s="162"/>
      <c r="AU148" s="1765"/>
      <c r="AV148" s="240"/>
      <c r="AW148" s="240"/>
      <c r="AX148" s="240"/>
      <c r="AY148" s="240"/>
      <c r="AZ148" s="240"/>
      <c r="BA148" s="240"/>
      <c r="BB148" s="162"/>
      <c r="BC148" s="162"/>
      <c r="BD148" s="162"/>
      <c r="BE148" s="162"/>
      <c r="BF148" s="162"/>
      <c r="BG148" s="162"/>
      <c r="BH148" s="162"/>
      <c r="BI148" s="162"/>
      <c r="BJ148" s="1764"/>
      <c r="BK148" s="1766"/>
      <c r="BL148" s="1766"/>
      <c r="BM148" s="1766"/>
      <c r="BN148" s="1766"/>
      <c r="BO148" s="1766"/>
      <c r="BP148" s="1766"/>
      <c r="BQ148" s="1766"/>
      <c r="BR148" s="1766"/>
      <c r="BS148" s="1766"/>
      <c r="BT148" s="1766"/>
      <c r="BU148" s="1766"/>
      <c r="BV148" s="1766"/>
      <c r="BW148" s="1766"/>
      <c r="BX148" s="1766"/>
    </row>
    <row r="149" spans="1:76" x14ac:dyDescent="0.2">
      <c r="A149" s="1882"/>
      <c r="B149" s="1882"/>
      <c r="C149" s="1883"/>
      <c r="D149" s="1883"/>
      <c r="E149" s="1883"/>
      <c r="F149" s="1883"/>
      <c r="G149" s="1883"/>
      <c r="H149" s="1883"/>
      <c r="I149" s="1883"/>
      <c r="J149" s="1883"/>
      <c r="K149" s="1883"/>
      <c r="L149" s="1883"/>
      <c r="M149" s="1883"/>
      <c r="N149" s="1883"/>
      <c r="O149" s="1883"/>
      <c r="P149" s="1883"/>
      <c r="Q149" s="1884"/>
      <c r="R149" s="1883"/>
      <c r="S149" s="1883"/>
      <c r="T149" s="1883"/>
      <c r="U149" s="1883"/>
      <c r="V149" s="1883"/>
      <c r="W149" s="1883"/>
      <c r="X149" s="1883"/>
      <c r="Y149" s="1883"/>
      <c r="Z149" s="1883"/>
      <c r="AA149" s="1883"/>
      <c r="AB149" s="1883"/>
      <c r="AC149" s="1883"/>
      <c r="AD149" s="1883"/>
      <c r="AE149" s="1883"/>
      <c r="AF149" s="1884"/>
      <c r="AG149" s="1883"/>
      <c r="AH149" s="1883"/>
      <c r="AI149" s="1883"/>
      <c r="AJ149" s="1883"/>
      <c r="AK149" s="1883"/>
      <c r="AL149" s="227"/>
      <c r="AM149" s="227"/>
      <c r="AN149" s="227"/>
      <c r="AO149" s="227"/>
      <c r="AP149" s="227"/>
      <c r="AQ149" s="227"/>
      <c r="AR149" s="227"/>
      <c r="AS149" s="227"/>
      <c r="AT149" s="227"/>
      <c r="AU149" s="744"/>
      <c r="AV149" s="227"/>
      <c r="AW149" s="227"/>
      <c r="AX149" s="227"/>
      <c r="AY149" s="227"/>
      <c r="AZ149" s="227"/>
      <c r="BA149" s="227"/>
      <c r="BB149" s="227"/>
      <c r="BC149" s="227"/>
      <c r="BD149" s="227"/>
      <c r="BE149" s="227"/>
      <c r="BF149" s="227"/>
      <c r="BG149" s="227"/>
      <c r="BH149" s="227"/>
      <c r="BI149" s="227"/>
      <c r="BJ149" s="744"/>
      <c r="BK149" s="227"/>
      <c r="BL149" s="227"/>
      <c r="BM149" s="227"/>
      <c r="BN149" s="227"/>
      <c r="BO149" s="227"/>
      <c r="BP149" s="227"/>
      <c r="BQ149" s="227"/>
      <c r="BR149" s="227"/>
      <c r="BS149" s="227"/>
      <c r="BT149" s="227"/>
    </row>
    <row r="150" spans="1:76" x14ac:dyDescent="0.2">
      <c r="A150" s="1882"/>
      <c r="B150" s="1882"/>
      <c r="C150" s="1883"/>
      <c r="D150" s="1883"/>
      <c r="E150" s="1883"/>
      <c r="F150" s="1883"/>
      <c r="G150" s="1883"/>
      <c r="H150" s="1883"/>
      <c r="I150" s="1883"/>
      <c r="J150" s="1883"/>
      <c r="K150" s="1883"/>
      <c r="L150" s="1883"/>
      <c r="M150" s="1883"/>
      <c r="N150" s="1883"/>
      <c r="O150" s="1883"/>
      <c r="P150" s="1883"/>
      <c r="Q150" s="1883"/>
      <c r="R150" s="1883"/>
      <c r="S150" s="1883"/>
      <c r="T150" s="1883"/>
      <c r="U150" s="1883"/>
      <c r="V150" s="1883"/>
      <c r="W150" s="1883"/>
      <c r="X150" s="1883"/>
      <c r="Y150" s="1883"/>
      <c r="Z150" s="1883"/>
      <c r="AA150" s="1883"/>
      <c r="AB150" s="1883"/>
      <c r="AC150" s="1883"/>
      <c r="AD150" s="1883"/>
      <c r="AE150" s="1883"/>
      <c r="AF150" s="1883"/>
      <c r="AG150" s="1883"/>
      <c r="AH150" s="1883"/>
      <c r="AI150" s="1883"/>
      <c r="AJ150" s="1883"/>
      <c r="AK150" s="1883"/>
      <c r="AL150" s="227"/>
      <c r="AM150" s="227"/>
      <c r="AN150" s="227"/>
      <c r="AO150" s="227"/>
      <c r="AP150" s="227"/>
      <c r="AQ150" s="227"/>
      <c r="AR150" s="227"/>
      <c r="AS150" s="227"/>
      <c r="AT150" s="227"/>
      <c r="AU150" s="227"/>
      <c r="AV150" s="227"/>
      <c r="AW150" s="227"/>
      <c r="AX150" s="227"/>
      <c r="AY150" s="227"/>
      <c r="AZ150" s="227"/>
      <c r="BA150" s="227"/>
      <c r="BB150" s="227"/>
      <c r="BC150" s="227"/>
      <c r="BD150" s="227"/>
      <c r="BE150" s="227"/>
      <c r="BF150" s="227"/>
      <c r="BG150" s="227"/>
      <c r="BH150" s="227"/>
      <c r="BI150" s="227"/>
      <c r="BJ150" s="227"/>
      <c r="BK150" s="227"/>
      <c r="BL150" s="227"/>
      <c r="BM150" s="227"/>
      <c r="BN150" s="227"/>
      <c r="BO150" s="227"/>
      <c r="BP150" s="227"/>
      <c r="BQ150" s="227"/>
      <c r="BR150" s="227"/>
      <c r="BS150" s="227"/>
      <c r="BT150" s="227"/>
      <c r="BU150" s="227"/>
      <c r="BV150" s="227"/>
      <c r="BW150" s="227"/>
      <c r="BX150" s="227"/>
    </row>
    <row r="151" spans="1:76" x14ac:dyDescent="0.2">
      <c r="A151" s="1882"/>
      <c r="B151" s="1882"/>
      <c r="C151" s="427"/>
      <c r="D151" s="427"/>
      <c r="E151" s="427"/>
      <c r="F151" s="427"/>
      <c r="G151" s="427"/>
      <c r="H151" s="427"/>
      <c r="I151" s="427"/>
      <c r="J151" s="427"/>
      <c r="K151" s="427"/>
      <c r="L151" s="427"/>
      <c r="M151" s="427"/>
      <c r="N151" s="427"/>
      <c r="O151" s="427"/>
      <c r="P151" s="427"/>
      <c r="Q151" s="1882"/>
      <c r="R151" s="427"/>
      <c r="S151" s="427"/>
      <c r="T151" s="427"/>
      <c r="U151" s="427"/>
      <c r="V151" s="427"/>
      <c r="W151" s="427"/>
      <c r="X151" s="427"/>
      <c r="Y151" s="427"/>
      <c r="Z151" s="427"/>
      <c r="AA151" s="427"/>
      <c r="AB151" s="427"/>
      <c r="AC151" s="427"/>
      <c r="AD151" s="427"/>
      <c r="AE151" s="427"/>
      <c r="AF151" s="1882"/>
      <c r="AG151" s="427"/>
      <c r="AH151" s="427"/>
      <c r="AI151" s="427"/>
      <c r="AJ151" s="427"/>
      <c r="AK151" s="427"/>
    </row>
    <row r="152" spans="1:76" x14ac:dyDescent="0.2">
      <c r="A152" s="1882"/>
      <c r="B152" s="1882"/>
      <c r="C152" s="427"/>
      <c r="D152" s="427"/>
      <c r="E152" s="427"/>
      <c r="F152" s="427"/>
      <c r="G152" s="427"/>
      <c r="H152" s="427"/>
      <c r="I152" s="427"/>
      <c r="J152" s="427"/>
      <c r="K152" s="427"/>
      <c r="L152" s="427"/>
      <c r="M152" s="427"/>
      <c r="N152" s="427"/>
      <c r="O152" s="427"/>
      <c r="P152" s="427"/>
      <c r="Q152" s="1882"/>
      <c r="R152" s="427"/>
      <c r="S152" s="427"/>
      <c r="T152" s="427"/>
      <c r="U152" s="427"/>
      <c r="V152" s="427"/>
      <c r="W152" s="427"/>
      <c r="X152" s="427"/>
      <c r="Y152" s="427"/>
      <c r="Z152" s="427"/>
      <c r="AA152" s="427"/>
      <c r="AB152" s="427"/>
      <c r="AC152" s="427"/>
      <c r="AD152" s="427"/>
      <c r="AE152" s="427"/>
      <c r="AF152" s="1882"/>
      <c r="AG152" s="427"/>
      <c r="AH152" s="427"/>
      <c r="AI152" s="427"/>
      <c r="AJ152" s="427"/>
      <c r="AK152" s="427"/>
    </row>
    <row r="153" spans="1:76" x14ac:dyDescent="0.2">
      <c r="A153" s="1882"/>
      <c r="B153" s="1882"/>
      <c r="C153" s="427"/>
      <c r="D153" s="427"/>
      <c r="E153" s="427"/>
      <c r="F153" s="427"/>
      <c r="G153" s="427"/>
      <c r="H153" s="427"/>
      <c r="I153" s="427"/>
      <c r="J153" s="427"/>
      <c r="K153" s="427"/>
      <c r="L153" s="427"/>
      <c r="M153" s="427"/>
      <c r="N153" s="427"/>
      <c r="O153" s="427"/>
      <c r="P153" s="427"/>
      <c r="Q153" s="1882"/>
      <c r="R153" s="427"/>
      <c r="S153" s="427"/>
      <c r="T153" s="427"/>
      <c r="U153" s="427"/>
      <c r="V153" s="427"/>
      <c r="W153" s="427"/>
      <c r="X153" s="427"/>
      <c r="Y153" s="427"/>
      <c r="Z153" s="427"/>
      <c r="AA153" s="427"/>
      <c r="AB153" s="427"/>
      <c r="AC153" s="427"/>
      <c r="AD153" s="427"/>
      <c r="AE153" s="427"/>
      <c r="AF153" s="1882"/>
      <c r="AG153" s="427"/>
      <c r="AH153" s="427"/>
      <c r="AI153" s="427"/>
      <c r="AJ153" s="427"/>
      <c r="AK153" s="427"/>
    </row>
    <row r="154" spans="1:76" x14ac:dyDescent="0.2">
      <c r="A154" s="1882"/>
      <c r="B154" s="1882"/>
      <c r="C154" s="427"/>
      <c r="D154" s="427"/>
      <c r="E154" s="427"/>
      <c r="F154" s="427"/>
      <c r="G154" s="427"/>
      <c r="H154" s="427"/>
      <c r="I154" s="427"/>
      <c r="J154" s="427"/>
      <c r="K154" s="427"/>
      <c r="L154" s="427"/>
      <c r="M154" s="427"/>
      <c r="N154" s="427"/>
      <c r="O154" s="427"/>
      <c r="P154" s="427"/>
      <c r="Q154" s="1882"/>
      <c r="R154" s="427"/>
      <c r="S154" s="427"/>
      <c r="T154" s="427"/>
      <c r="U154" s="427"/>
      <c r="V154" s="427"/>
      <c r="W154" s="427"/>
      <c r="X154" s="427"/>
      <c r="Y154" s="427"/>
      <c r="Z154" s="427"/>
      <c r="AA154" s="427"/>
      <c r="AB154" s="427"/>
      <c r="AC154" s="427"/>
      <c r="AD154" s="427"/>
      <c r="AE154" s="427"/>
      <c r="AF154" s="1882"/>
      <c r="AG154" s="427"/>
      <c r="AH154" s="427"/>
      <c r="AI154" s="427"/>
      <c r="AJ154" s="427"/>
      <c r="AK154" s="427"/>
    </row>
    <row r="155" spans="1:76" x14ac:dyDescent="0.2">
      <c r="A155" s="1882"/>
      <c r="B155" s="1882"/>
      <c r="C155" s="427"/>
      <c r="D155" s="427"/>
      <c r="E155" s="1883"/>
      <c r="F155" s="1883"/>
      <c r="G155" s="427"/>
      <c r="H155" s="427"/>
      <c r="I155" s="427"/>
      <c r="J155" s="427"/>
      <c r="K155" s="427"/>
      <c r="L155" s="427"/>
      <c r="M155" s="427"/>
      <c r="N155" s="427"/>
      <c r="O155" s="427"/>
      <c r="P155" s="427"/>
      <c r="Q155" s="1882"/>
      <c r="R155" s="427"/>
      <c r="S155" s="427"/>
      <c r="T155" s="427"/>
      <c r="U155" s="427"/>
      <c r="V155" s="427"/>
      <c r="W155" s="427"/>
      <c r="X155" s="427"/>
      <c r="Y155" s="427"/>
      <c r="Z155" s="427"/>
      <c r="AA155" s="427"/>
      <c r="AB155" s="427"/>
      <c r="AC155" s="427"/>
      <c r="AD155" s="427"/>
      <c r="AE155" s="427"/>
      <c r="AF155" s="1882"/>
      <c r="AG155" s="427"/>
      <c r="AH155" s="427"/>
      <c r="AI155" s="427"/>
      <c r="AJ155" s="427"/>
      <c r="AK155" s="427"/>
    </row>
    <row r="156" spans="1:76" x14ac:dyDescent="0.2">
      <c r="A156" s="1882"/>
      <c r="B156" s="1882"/>
      <c r="C156" s="427"/>
      <c r="D156" s="427"/>
      <c r="E156" s="427"/>
      <c r="F156" s="427"/>
      <c r="G156" s="427"/>
      <c r="H156" s="427"/>
      <c r="I156" s="427"/>
      <c r="J156" s="427"/>
      <c r="K156" s="427"/>
      <c r="L156" s="427"/>
      <c r="M156" s="427"/>
      <c r="N156" s="427"/>
      <c r="O156" s="427"/>
      <c r="P156" s="427"/>
      <c r="Q156" s="1882"/>
      <c r="R156" s="427"/>
      <c r="S156" s="427"/>
      <c r="T156" s="427"/>
      <c r="U156" s="427"/>
      <c r="V156" s="427"/>
      <c r="W156" s="427"/>
      <c r="X156" s="427"/>
      <c r="Y156" s="427"/>
      <c r="Z156" s="427"/>
      <c r="AA156" s="427"/>
      <c r="AB156" s="427"/>
      <c r="AC156" s="427"/>
      <c r="AD156" s="427"/>
      <c r="AE156" s="427"/>
      <c r="AF156" s="1882"/>
      <c r="AG156" s="427"/>
      <c r="AH156" s="427"/>
      <c r="AI156" s="427"/>
      <c r="AJ156" s="427"/>
      <c r="AK156" s="427"/>
    </row>
    <row r="157" spans="1:76" x14ac:dyDescent="0.2">
      <c r="A157" s="1882"/>
      <c r="B157" s="1882"/>
      <c r="C157" s="427"/>
      <c r="D157" s="427"/>
      <c r="E157" s="427"/>
      <c r="F157" s="427"/>
      <c r="G157" s="427"/>
      <c r="H157" s="427"/>
      <c r="I157" s="427"/>
      <c r="J157" s="427"/>
      <c r="K157" s="427"/>
      <c r="L157" s="427"/>
      <c r="M157" s="427"/>
      <c r="N157" s="427"/>
      <c r="O157" s="427"/>
      <c r="P157" s="427"/>
      <c r="Q157" s="1882"/>
      <c r="R157" s="427"/>
      <c r="S157" s="427"/>
      <c r="T157" s="427"/>
      <c r="U157" s="427"/>
      <c r="V157" s="427"/>
      <c r="W157" s="427"/>
      <c r="X157" s="427"/>
      <c r="Y157" s="427"/>
      <c r="Z157" s="427"/>
      <c r="AA157" s="427"/>
      <c r="AB157" s="427"/>
      <c r="AC157" s="427"/>
      <c r="AD157" s="427"/>
      <c r="AE157" s="427"/>
      <c r="AF157" s="1882"/>
      <c r="AG157" s="427"/>
      <c r="AH157" s="427"/>
      <c r="AI157" s="427"/>
      <c r="AJ157" s="427"/>
      <c r="AK157" s="427"/>
    </row>
    <row r="158" spans="1:76" x14ac:dyDescent="0.2">
      <c r="A158" s="1882"/>
      <c r="B158" s="1882"/>
      <c r="C158" s="427"/>
      <c r="D158" s="427"/>
      <c r="E158" s="427"/>
      <c r="F158" s="427"/>
      <c r="G158" s="427"/>
      <c r="H158" s="427"/>
      <c r="I158" s="427"/>
      <c r="J158" s="427"/>
      <c r="K158" s="427"/>
      <c r="L158" s="427"/>
      <c r="M158" s="427"/>
      <c r="N158" s="427"/>
      <c r="O158" s="427"/>
      <c r="P158" s="427"/>
      <c r="Q158" s="1882"/>
      <c r="R158" s="427"/>
      <c r="S158" s="427"/>
      <c r="T158" s="427"/>
      <c r="U158" s="427"/>
      <c r="V158" s="427"/>
      <c r="W158" s="427"/>
      <c r="X158" s="427"/>
      <c r="Y158" s="427"/>
      <c r="Z158" s="427"/>
      <c r="AA158" s="427"/>
      <c r="AB158" s="427"/>
      <c r="AC158" s="427"/>
      <c r="AD158" s="427"/>
      <c r="AE158" s="427"/>
      <c r="AF158" s="1882"/>
      <c r="AG158" s="427"/>
      <c r="AH158" s="427"/>
      <c r="AI158" s="427"/>
      <c r="AJ158" s="427"/>
      <c r="AK158" s="427"/>
    </row>
    <row r="159" spans="1:76" x14ac:dyDescent="0.2">
      <c r="A159" s="1882"/>
      <c r="B159" s="1882"/>
      <c r="C159" s="427"/>
      <c r="D159" s="427"/>
      <c r="E159" s="427"/>
      <c r="F159" s="427"/>
      <c r="G159" s="427"/>
      <c r="H159" s="427"/>
      <c r="I159" s="427"/>
      <c r="J159" s="427"/>
      <c r="K159" s="427"/>
      <c r="L159" s="427"/>
      <c r="M159" s="427"/>
      <c r="N159" s="427"/>
      <c r="O159" s="427"/>
      <c r="P159" s="427"/>
      <c r="Q159" s="1882"/>
      <c r="R159" s="427"/>
      <c r="S159" s="427"/>
      <c r="T159" s="427"/>
      <c r="U159" s="427"/>
      <c r="V159" s="427"/>
      <c r="W159" s="427"/>
      <c r="X159" s="427"/>
      <c r="Y159" s="427"/>
      <c r="Z159" s="427"/>
      <c r="AA159" s="427"/>
      <c r="AB159" s="427"/>
      <c r="AC159" s="427"/>
      <c r="AD159" s="427"/>
      <c r="AE159" s="427"/>
      <c r="AF159" s="1882"/>
      <c r="AG159" s="427"/>
      <c r="AH159" s="427"/>
      <c r="AI159" s="427"/>
      <c r="AJ159" s="427"/>
      <c r="AK159" s="427"/>
    </row>
    <row r="160" spans="1:76" x14ac:dyDescent="0.2">
      <c r="A160" s="1882"/>
      <c r="B160" s="1882"/>
      <c r="C160" s="427"/>
      <c r="D160" s="427"/>
      <c r="E160" s="427"/>
      <c r="F160" s="427"/>
      <c r="G160" s="427"/>
      <c r="H160" s="427"/>
      <c r="I160" s="427"/>
      <c r="J160" s="427"/>
      <c r="K160" s="427"/>
      <c r="L160" s="427"/>
      <c r="M160" s="427"/>
      <c r="N160" s="427"/>
      <c r="O160" s="427"/>
      <c r="P160" s="427"/>
      <c r="Q160" s="1882"/>
      <c r="R160" s="427"/>
      <c r="S160" s="427"/>
      <c r="T160" s="427"/>
      <c r="U160" s="427"/>
      <c r="V160" s="427"/>
      <c r="W160" s="427"/>
      <c r="X160" s="427"/>
      <c r="Y160" s="427"/>
      <c r="Z160" s="427"/>
      <c r="AA160" s="427"/>
      <c r="AB160" s="427"/>
      <c r="AC160" s="427"/>
      <c r="AD160" s="427"/>
      <c r="AE160" s="427"/>
      <c r="AF160" s="1882"/>
      <c r="AG160" s="427"/>
      <c r="AH160" s="427"/>
      <c r="AI160" s="427"/>
      <c r="AJ160" s="427"/>
      <c r="AK160" s="427"/>
    </row>
    <row r="161" spans="1:37" x14ac:dyDescent="0.2">
      <c r="A161" s="1882"/>
      <c r="B161" s="1882"/>
      <c r="C161" s="427"/>
      <c r="D161" s="427"/>
      <c r="E161" s="427"/>
      <c r="F161" s="427"/>
      <c r="G161" s="427"/>
      <c r="H161" s="427"/>
      <c r="I161" s="427"/>
      <c r="J161" s="427"/>
      <c r="K161" s="427"/>
      <c r="L161" s="427"/>
      <c r="M161" s="427"/>
      <c r="N161" s="427"/>
      <c r="O161" s="427"/>
      <c r="P161" s="427"/>
      <c r="Q161" s="1882"/>
      <c r="R161" s="427"/>
      <c r="S161" s="427"/>
      <c r="T161" s="427"/>
      <c r="U161" s="427"/>
      <c r="V161" s="427"/>
      <c r="W161" s="427"/>
      <c r="X161" s="427"/>
      <c r="Y161" s="427"/>
      <c r="Z161" s="427"/>
      <c r="AA161" s="427"/>
      <c r="AB161" s="427"/>
      <c r="AC161" s="427"/>
      <c r="AD161" s="427"/>
      <c r="AE161" s="427"/>
      <c r="AF161" s="1882"/>
      <c r="AG161" s="427"/>
      <c r="AH161" s="427"/>
      <c r="AI161" s="427"/>
      <c r="AJ161" s="427"/>
      <c r="AK161" s="427"/>
    </row>
    <row r="162" spans="1:37" x14ac:dyDescent="0.2">
      <c r="A162" s="1882"/>
      <c r="B162" s="1882"/>
      <c r="C162" s="427"/>
      <c r="D162" s="427"/>
      <c r="E162" s="427"/>
      <c r="F162" s="427"/>
      <c r="G162" s="427"/>
      <c r="H162" s="427"/>
      <c r="I162" s="427"/>
      <c r="J162" s="427"/>
      <c r="K162" s="427"/>
      <c r="L162" s="427"/>
      <c r="M162" s="427"/>
      <c r="N162" s="427"/>
      <c r="O162" s="427"/>
      <c r="P162" s="427"/>
      <c r="Q162" s="1882"/>
      <c r="R162" s="427"/>
      <c r="S162" s="427"/>
      <c r="T162" s="427"/>
      <c r="U162" s="427"/>
      <c r="V162" s="427"/>
      <c r="W162" s="427"/>
      <c r="X162" s="427"/>
      <c r="Y162" s="427"/>
      <c r="Z162" s="427"/>
      <c r="AA162" s="427"/>
      <c r="AB162" s="427"/>
      <c r="AC162" s="427"/>
      <c r="AD162" s="427"/>
      <c r="AE162" s="427"/>
      <c r="AF162" s="1882"/>
      <c r="AG162" s="427"/>
      <c r="AH162" s="427"/>
      <c r="AI162" s="427"/>
      <c r="AJ162" s="427"/>
      <c r="AK162" s="427"/>
    </row>
    <row r="163" spans="1:37" x14ac:dyDescent="0.2">
      <c r="A163" s="1882"/>
      <c r="B163" s="1882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427"/>
      <c r="N163" s="427"/>
      <c r="O163" s="427"/>
      <c r="P163" s="427"/>
      <c r="Q163" s="1882"/>
      <c r="R163" s="427"/>
      <c r="S163" s="427"/>
      <c r="T163" s="427"/>
      <c r="U163" s="427"/>
      <c r="V163" s="427"/>
      <c r="W163" s="427"/>
      <c r="X163" s="427"/>
      <c r="Y163" s="427"/>
      <c r="Z163" s="427"/>
      <c r="AA163" s="427"/>
      <c r="AB163" s="427"/>
      <c r="AC163" s="427"/>
      <c r="AD163" s="427"/>
      <c r="AE163" s="427"/>
      <c r="AF163" s="1882"/>
      <c r="AG163" s="427"/>
      <c r="AH163" s="427"/>
      <c r="AI163" s="427"/>
      <c r="AJ163" s="427"/>
      <c r="AK163" s="427"/>
    </row>
    <row r="164" spans="1:37" x14ac:dyDescent="0.2">
      <c r="A164" s="1882"/>
      <c r="B164" s="1882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427"/>
      <c r="N164" s="427"/>
      <c r="O164" s="427"/>
      <c r="P164" s="427"/>
      <c r="Q164" s="1882"/>
      <c r="R164" s="427"/>
      <c r="S164" s="427"/>
      <c r="T164" s="427"/>
      <c r="U164" s="427"/>
      <c r="V164" s="427"/>
      <c r="W164" s="427"/>
      <c r="X164" s="427"/>
      <c r="Y164" s="427"/>
      <c r="Z164" s="427"/>
      <c r="AA164" s="427"/>
      <c r="AB164" s="427"/>
      <c r="AC164" s="427"/>
      <c r="AD164" s="427"/>
      <c r="AE164" s="427"/>
      <c r="AF164" s="1882"/>
      <c r="AG164" s="427"/>
      <c r="AH164" s="427"/>
      <c r="AI164" s="427"/>
      <c r="AJ164" s="427"/>
      <c r="AK164" s="427"/>
    </row>
    <row r="165" spans="1:37" x14ac:dyDescent="0.2">
      <c r="A165" s="1882"/>
      <c r="B165" s="1882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427"/>
      <c r="N165" s="427"/>
      <c r="O165" s="427"/>
      <c r="P165" s="427"/>
      <c r="Q165" s="1882"/>
      <c r="R165" s="427"/>
      <c r="S165" s="427"/>
      <c r="T165" s="427"/>
      <c r="U165" s="427"/>
      <c r="V165" s="427"/>
      <c r="W165" s="427"/>
      <c r="X165" s="427"/>
      <c r="Y165" s="427"/>
      <c r="Z165" s="427"/>
      <c r="AA165" s="427"/>
      <c r="AB165" s="427"/>
      <c r="AC165" s="427"/>
      <c r="AD165" s="427"/>
      <c r="AE165" s="427"/>
      <c r="AF165" s="1882"/>
      <c r="AG165" s="427"/>
      <c r="AH165" s="427"/>
      <c r="AI165" s="427"/>
      <c r="AJ165" s="427"/>
      <c r="AK165" s="427"/>
    </row>
    <row r="166" spans="1:37" x14ac:dyDescent="0.2">
      <c r="A166" s="1882"/>
      <c r="B166" s="1882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427"/>
      <c r="N166" s="427"/>
      <c r="O166" s="427"/>
      <c r="P166" s="427"/>
      <c r="Q166" s="1882"/>
      <c r="R166" s="427"/>
      <c r="S166" s="427"/>
      <c r="T166" s="427"/>
      <c r="U166" s="427"/>
      <c r="V166" s="427"/>
      <c r="W166" s="427"/>
      <c r="X166" s="427"/>
      <c r="Y166" s="427"/>
      <c r="Z166" s="427"/>
      <c r="AA166" s="427"/>
      <c r="AB166" s="427"/>
      <c r="AC166" s="427"/>
      <c r="AD166" s="427"/>
      <c r="AE166" s="427"/>
      <c r="AF166" s="1882"/>
      <c r="AG166" s="427"/>
      <c r="AH166" s="427"/>
      <c r="AI166" s="427"/>
      <c r="AJ166" s="427"/>
      <c r="AK166" s="427"/>
    </row>
    <row r="167" spans="1:37" x14ac:dyDescent="0.2">
      <c r="A167" s="1882"/>
      <c r="B167" s="1882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27"/>
      <c r="O167" s="427"/>
      <c r="P167" s="427"/>
      <c r="Q167" s="1882"/>
      <c r="R167" s="427"/>
      <c r="S167" s="427"/>
      <c r="T167" s="427"/>
      <c r="U167" s="427"/>
      <c r="V167" s="427"/>
      <c r="W167" s="427"/>
      <c r="X167" s="427"/>
      <c r="Y167" s="427"/>
      <c r="Z167" s="427"/>
      <c r="AA167" s="427"/>
      <c r="AB167" s="427"/>
      <c r="AC167" s="427"/>
      <c r="AD167" s="427"/>
      <c r="AE167" s="427"/>
      <c r="AF167" s="1882"/>
      <c r="AG167" s="427"/>
      <c r="AH167" s="427"/>
      <c r="AI167" s="427"/>
      <c r="AJ167" s="427"/>
      <c r="AK167" s="427"/>
    </row>
    <row r="168" spans="1:37" x14ac:dyDescent="0.2">
      <c r="A168" s="1882"/>
      <c r="B168" s="1882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427"/>
      <c r="N168" s="427"/>
      <c r="O168" s="427"/>
      <c r="P168" s="427"/>
      <c r="Q168" s="1882"/>
      <c r="R168" s="427"/>
      <c r="S168" s="427"/>
      <c r="T168" s="427"/>
      <c r="U168" s="427"/>
      <c r="V168" s="427"/>
      <c r="W168" s="427"/>
      <c r="X168" s="427"/>
      <c r="Y168" s="427"/>
      <c r="Z168" s="427"/>
      <c r="AA168" s="427"/>
      <c r="AB168" s="427"/>
      <c r="AC168" s="427"/>
      <c r="AD168" s="427"/>
      <c r="AE168" s="427"/>
      <c r="AF168" s="1882"/>
      <c r="AG168" s="427"/>
      <c r="AH168" s="427"/>
      <c r="AI168" s="427"/>
      <c r="AJ168" s="427"/>
      <c r="AK168" s="427"/>
    </row>
    <row r="169" spans="1:37" x14ac:dyDescent="0.2">
      <c r="A169" s="1882"/>
      <c r="B169" s="1882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427"/>
      <c r="N169" s="427"/>
      <c r="O169" s="427"/>
      <c r="P169" s="427"/>
      <c r="Q169" s="1882"/>
      <c r="R169" s="427"/>
      <c r="S169" s="427"/>
      <c r="T169" s="427"/>
      <c r="U169" s="427"/>
      <c r="V169" s="427"/>
      <c r="W169" s="427"/>
      <c r="X169" s="427"/>
      <c r="Y169" s="427"/>
      <c r="Z169" s="427"/>
      <c r="AA169" s="427"/>
      <c r="AB169" s="427"/>
      <c r="AC169" s="427"/>
      <c r="AD169" s="427"/>
      <c r="AE169" s="427"/>
      <c r="AF169" s="1882"/>
      <c r="AG169" s="427"/>
      <c r="AH169" s="427"/>
      <c r="AI169" s="427"/>
      <c r="AJ169" s="427"/>
      <c r="AK169" s="427"/>
    </row>
    <row r="170" spans="1:37" x14ac:dyDescent="0.2">
      <c r="A170" s="1882"/>
      <c r="B170" s="1882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427"/>
      <c r="N170" s="427"/>
      <c r="O170" s="427"/>
      <c r="P170" s="427"/>
      <c r="Q170" s="1882"/>
      <c r="R170" s="427"/>
      <c r="S170" s="427"/>
      <c r="T170" s="427"/>
      <c r="U170" s="427"/>
      <c r="V170" s="427"/>
      <c r="W170" s="427"/>
      <c r="X170" s="427"/>
      <c r="Y170" s="427"/>
      <c r="Z170" s="427"/>
      <c r="AA170" s="427"/>
      <c r="AB170" s="427"/>
      <c r="AC170" s="427"/>
      <c r="AD170" s="427"/>
      <c r="AE170" s="427"/>
      <c r="AF170" s="1882"/>
      <c r="AG170" s="427"/>
      <c r="AH170" s="427"/>
      <c r="AI170" s="427"/>
      <c r="AJ170" s="427"/>
      <c r="AK170" s="427"/>
    </row>
    <row r="171" spans="1:37" x14ac:dyDescent="0.2">
      <c r="A171" s="1882"/>
      <c r="B171" s="1882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427"/>
      <c r="N171" s="427"/>
      <c r="O171" s="427"/>
      <c r="P171" s="427"/>
      <c r="Q171" s="1882"/>
      <c r="R171" s="427"/>
      <c r="S171" s="427"/>
      <c r="T171" s="427"/>
      <c r="U171" s="427"/>
      <c r="V171" s="427"/>
      <c r="W171" s="427"/>
      <c r="X171" s="427"/>
      <c r="Y171" s="427"/>
      <c r="Z171" s="427"/>
      <c r="AA171" s="427"/>
      <c r="AB171" s="427"/>
      <c r="AC171" s="427"/>
      <c r="AD171" s="427"/>
      <c r="AE171" s="427"/>
      <c r="AF171" s="1882"/>
      <c r="AG171" s="427"/>
      <c r="AH171" s="427"/>
      <c r="AI171" s="427"/>
      <c r="AJ171" s="427"/>
      <c r="AK171" s="427"/>
    </row>
    <row r="172" spans="1:37" x14ac:dyDescent="0.2">
      <c r="A172" s="1882"/>
      <c r="B172" s="1882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427"/>
      <c r="N172" s="427"/>
      <c r="O172" s="427"/>
      <c r="P172" s="427"/>
      <c r="Q172" s="1882"/>
      <c r="R172" s="427"/>
      <c r="S172" s="427"/>
      <c r="T172" s="427"/>
      <c r="U172" s="427"/>
      <c r="V172" s="427"/>
      <c r="W172" s="427"/>
      <c r="X172" s="427"/>
      <c r="Y172" s="427"/>
      <c r="Z172" s="427"/>
      <c r="AA172" s="427"/>
      <c r="AB172" s="427"/>
      <c r="AC172" s="427"/>
      <c r="AD172" s="427"/>
      <c r="AE172" s="427"/>
      <c r="AF172" s="1882"/>
      <c r="AG172" s="427"/>
      <c r="AH172" s="427"/>
      <c r="AI172" s="427"/>
      <c r="AJ172" s="427"/>
      <c r="AK172" s="427"/>
    </row>
    <row r="173" spans="1:37" x14ac:dyDescent="0.2">
      <c r="A173" s="1882"/>
      <c r="B173" s="1882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427"/>
      <c r="N173" s="427"/>
      <c r="O173" s="427"/>
      <c r="P173" s="427"/>
      <c r="Q173" s="1882"/>
      <c r="R173" s="427"/>
      <c r="S173" s="427"/>
      <c r="T173" s="427"/>
      <c r="U173" s="427"/>
      <c r="V173" s="427"/>
      <c r="W173" s="427"/>
      <c r="X173" s="427"/>
      <c r="Y173" s="427"/>
      <c r="Z173" s="427"/>
      <c r="AA173" s="427"/>
      <c r="AB173" s="427"/>
      <c r="AC173" s="427"/>
      <c r="AD173" s="427"/>
      <c r="AE173" s="427"/>
      <c r="AF173" s="1882"/>
      <c r="AG173" s="427"/>
      <c r="AH173" s="427"/>
      <c r="AI173" s="427"/>
      <c r="AJ173" s="427"/>
      <c r="AK173" s="427"/>
    </row>
    <row r="174" spans="1:37" x14ac:dyDescent="0.2">
      <c r="A174" s="1882"/>
      <c r="B174" s="1882"/>
      <c r="C174" s="427"/>
      <c r="D174" s="427"/>
      <c r="E174" s="427"/>
      <c r="F174" s="427"/>
      <c r="G174" s="427"/>
      <c r="H174" s="427"/>
      <c r="I174" s="427"/>
      <c r="J174" s="427"/>
      <c r="K174" s="427"/>
      <c r="L174" s="427"/>
      <c r="M174" s="427"/>
      <c r="N174" s="427"/>
      <c r="O174" s="427"/>
      <c r="P174" s="427"/>
      <c r="Q174" s="1882"/>
      <c r="R174" s="427"/>
      <c r="S174" s="427"/>
      <c r="T174" s="427"/>
      <c r="U174" s="427"/>
      <c r="V174" s="427"/>
      <c r="W174" s="427"/>
      <c r="X174" s="427"/>
      <c r="Y174" s="427"/>
      <c r="Z174" s="427"/>
      <c r="AA174" s="427"/>
      <c r="AB174" s="427"/>
      <c r="AC174" s="427"/>
      <c r="AD174" s="427"/>
      <c r="AE174" s="427"/>
      <c r="AF174" s="1882"/>
      <c r="AG174" s="427"/>
      <c r="AH174" s="427"/>
      <c r="AI174" s="427"/>
      <c r="AJ174" s="427"/>
      <c r="AK174" s="427"/>
    </row>
    <row r="175" spans="1:37" x14ac:dyDescent="0.2">
      <c r="A175" s="1882"/>
      <c r="B175" s="1882"/>
      <c r="C175" s="427"/>
      <c r="D175" s="427"/>
      <c r="E175" s="427"/>
      <c r="F175" s="427"/>
      <c r="G175" s="427"/>
      <c r="H175" s="427"/>
      <c r="I175" s="427"/>
      <c r="J175" s="427"/>
      <c r="K175" s="427"/>
      <c r="L175" s="427"/>
      <c r="M175" s="427"/>
      <c r="N175" s="427"/>
      <c r="O175" s="427"/>
      <c r="P175" s="427"/>
      <c r="Q175" s="1882"/>
      <c r="R175" s="427"/>
      <c r="S175" s="427"/>
      <c r="T175" s="427"/>
      <c r="U175" s="427"/>
      <c r="V175" s="427"/>
      <c r="W175" s="427"/>
      <c r="X175" s="427"/>
      <c r="Y175" s="427"/>
      <c r="Z175" s="427"/>
      <c r="AA175" s="427"/>
      <c r="AB175" s="427"/>
      <c r="AC175" s="427"/>
      <c r="AD175" s="427"/>
      <c r="AE175" s="427"/>
      <c r="AF175" s="1882"/>
      <c r="AG175" s="427"/>
      <c r="AH175" s="427"/>
      <c r="AI175" s="427"/>
      <c r="AJ175" s="427"/>
      <c r="AK175" s="427"/>
    </row>
    <row r="176" spans="1:37" x14ac:dyDescent="0.2">
      <c r="A176" s="1882"/>
      <c r="B176" s="1882"/>
      <c r="C176" s="427"/>
      <c r="D176" s="427"/>
      <c r="E176" s="427"/>
      <c r="F176" s="427"/>
      <c r="G176" s="427"/>
      <c r="H176" s="427"/>
      <c r="I176" s="427"/>
      <c r="J176" s="427"/>
      <c r="K176" s="427"/>
      <c r="L176" s="427"/>
      <c r="M176" s="427"/>
      <c r="N176" s="427"/>
      <c r="O176" s="427"/>
      <c r="P176" s="427"/>
      <c r="Q176" s="1882"/>
      <c r="R176" s="427"/>
      <c r="S176" s="427"/>
      <c r="T176" s="427"/>
      <c r="U176" s="427"/>
      <c r="V176" s="427"/>
      <c r="W176" s="427"/>
      <c r="X176" s="427"/>
      <c r="Y176" s="427"/>
      <c r="Z176" s="427"/>
      <c r="AA176" s="427"/>
      <c r="AB176" s="427"/>
      <c r="AC176" s="427"/>
      <c r="AD176" s="427"/>
      <c r="AE176" s="427"/>
      <c r="AF176" s="1882"/>
      <c r="AG176" s="427"/>
      <c r="AH176" s="427"/>
      <c r="AI176" s="427"/>
      <c r="AJ176" s="427"/>
      <c r="AK176" s="427"/>
    </row>
    <row r="177" spans="1:37" x14ac:dyDescent="0.2">
      <c r="A177" s="1882"/>
      <c r="B177" s="1882"/>
      <c r="C177" s="427"/>
      <c r="D177" s="427"/>
      <c r="E177" s="427"/>
      <c r="F177" s="427"/>
      <c r="G177" s="427"/>
      <c r="H177" s="427"/>
      <c r="I177" s="427"/>
      <c r="J177" s="427"/>
      <c r="K177" s="427"/>
      <c r="L177" s="427"/>
      <c r="M177" s="427"/>
      <c r="N177" s="427"/>
      <c r="O177" s="427"/>
      <c r="P177" s="427"/>
      <c r="Q177" s="1882"/>
      <c r="R177" s="427"/>
      <c r="S177" s="427"/>
      <c r="T177" s="427"/>
      <c r="U177" s="427"/>
      <c r="V177" s="427"/>
      <c r="W177" s="427"/>
      <c r="X177" s="427"/>
      <c r="Y177" s="427"/>
      <c r="Z177" s="427"/>
      <c r="AA177" s="427"/>
      <c r="AB177" s="427"/>
      <c r="AC177" s="427"/>
      <c r="AD177" s="427"/>
      <c r="AE177" s="427"/>
      <c r="AF177" s="1882"/>
      <c r="AG177" s="427"/>
      <c r="AH177" s="427"/>
      <c r="AI177" s="427"/>
      <c r="AJ177" s="427"/>
      <c r="AK177" s="427"/>
    </row>
    <row r="178" spans="1:37" x14ac:dyDescent="0.2">
      <c r="A178" s="1882"/>
      <c r="B178" s="1882"/>
      <c r="C178" s="427"/>
      <c r="D178" s="427"/>
      <c r="E178" s="427"/>
      <c r="F178" s="427"/>
      <c r="G178" s="427"/>
      <c r="H178" s="427"/>
      <c r="I178" s="427"/>
      <c r="J178" s="427"/>
      <c r="K178" s="427"/>
      <c r="L178" s="427"/>
      <c r="M178" s="427"/>
      <c r="N178" s="427"/>
      <c r="O178" s="427"/>
      <c r="P178" s="427"/>
      <c r="Q178" s="1882"/>
      <c r="R178" s="427"/>
      <c r="S178" s="427"/>
      <c r="T178" s="427"/>
      <c r="U178" s="427"/>
      <c r="V178" s="427"/>
      <c r="W178" s="427"/>
      <c r="X178" s="427"/>
      <c r="Y178" s="427"/>
      <c r="Z178" s="427"/>
      <c r="AA178" s="427"/>
      <c r="AB178" s="427"/>
      <c r="AC178" s="427"/>
      <c r="AD178" s="427"/>
      <c r="AE178" s="427"/>
      <c r="AF178" s="1882"/>
      <c r="AG178" s="427"/>
      <c r="AH178" s="427"/>
      <c r="AI178" s="427"/>
      <c r="AJ178" s="427"/>
      <c r="AK178" s="427"/>
    </row>
    <row r="179" spans="1:37" x14ac:dyDescent="0.2">
      <c r="A179" s="1882"/>
      <c r="B179" s="1882"/>
      <c r="C179" s="427"/>
      <c r="D179" s="427"/>
      <c r="E179" s="427"/>
      <c r="F179" s="427"/>
      <c r="G179" s="427"/>
      <c r="H179" s="427"/>
      <c r="I179" s="427"/>
      <c r="J179" s="427"/>
      <c r="K179" s="427"/>
      <c r="L179" s="427"/>
      <c r="M179" s="427"/>
      <c r="N179" s="427"/>
      <c r="O179" s="427"/>
      <c r="P179" s="427"/>
      <c r="Q179" s="1882"/>
      <c r="R179" s="427"/>
      <c r="S179" s="427"/>
      <c r="T179" s="427"/>
      <c r="U179" s="427"/>
      <c r="V179" s="427"/>
      <c r="W179" s="427"/>
      <c r="X179" s="427"/>
      <c r="Y179" s="427"/>
      <c r="Z179" s="427"/>
      <c r="AA179" s="427"/>
      <c r="AB179" s="427"/>
      <c r="AC179" s="427"/>
      <c r="AD179" s="427"/>
      <c r="AE179" s="427"/>
      <c r="AF179" s="1882"/>
      <c r="AG179" s="427"/>
      <c r="AH179" s="427"/>
      <c r="AI179" s="427"/>
      <c r="AJ179" s="427"/>
      <c r="AK179" s="427"/>
    </row>
    <row r="180" spans="1:37" x14ac:dyDescent="0.2">
      <c r="A180" s="1882"/>
      <c r="B180" s="1882"/>
      <c r="C180" s="427"/>
      <c r="D180" s="427"/>
      <c r="E180" s="427"/>
      <c r="F180" s="427"/>
      <c r="G180" s="427"/>
      <c r="H180" s="427"/>
      <c r="I180" s="427"/>
      <c r="J180" s="427"/>
      <c r="K180" s="427"/>
      <c r="L180" s="427"/>
      <c r="M180" s="427"/>
      <c r="N180" s="427"/>
      <c r="O180" s="427"/>
      <c r="P180" s="427"/>
      <c r="Q180" s="1882"/>
      <c r="R180" s="427"/>
      <c r="S180" s="427"/>
      <c r="T180" s="427"/>
      <c r="U180" s="427"/>
      <c r="V180" s="427"/>
      <c r="W180" s="427"/>
      <c r="X180" s="427"/>
      <c r="Y180" s="427"/>
      <c r="Z180" s="427"/>
      <c r="AA180" s="427"/>
      <c r="AB180" s="427"/>
      <c r="AC180" s="427"/>
      <c r="AD180" s="427"/>
      <c r="AE180" s="427"/>
      <c r="AF180" s="1882"/>
      <c r="AG180" s="427"/>
      <c r="AH180" s="427"/>
      <c r="AI180" s="427"/>
      <c r="AJ180" s="427"/>
      <c r="AK180" s="427"/>
    </row>
    <row r="181" spans="1:37" x14ac:dyDescent="0.2">
      <c r="A181" s="1882"/>
      <c r="B181" s="1882"/>
      <c r="C181" s="427"/>
      <c r="D181" s="427"/>
      <c r="E181" s="427"/>
      <c r="F181" s="427"/>
      <c r="G181" s="427"/>
      <c r="H181" s="427"/>
      <c r="I181" s="427"/>
      <c r="J181" s="427"/>
      <c r="K181" s="427"/>
      <c r="L181" s="427"/>
      <c r="M181" s="427"/>
      <c r="N181" s="427"/>
      <c r="O181" s="427"/>
      <c r="P181" s="427"/>
      <c r="Q181" s="1882"/>
      <c r="R181" s="427"/>
      <c r="S181" s="427"/>
      <c r="T181" s="427"/>
      <c r="U181" s="427"/>
      <c r="V181" s="427"/>
      <c r="W181" s="427"/>
      <c r="X181" s="427"/>
      <c r="Y181" s="427"/>
      <c r="Z181" s="427"/>
      <c r="AA181" s="427"/>
      <c r="AB181" s="427"/>
      <c r="AC181" s="427"/>
      <c r="AD181" s="427"/>
      <c r="AE181" s="427"/>
      <c r="AF181" s="1882"/>
      <c r="AG181" s="427"/>
      <c r="AH181" s="427"/>
      <c r="AI181" s="427"/>
      <c r="AJ181" s="427"/>
      <c r="AK181" s="427"/>
    </row>
    <row r="182" spans="1:37" x14ac:dyDescent="0.2">
      <c r="A182" s="1882"/>
      <c r="B182" s="1882"/>
      <c r="C182" s="427"/>
      <c r="D182" s="427"/>
      <c r="E182" s="427"/>
      <c r="F182" s="427"/>
      <c r="G182" s="427"/>
      <c r="H182" s="427"/>
      <c r="I182" s="427"/>
      <c r="J182" s="427"/>
      <c r="K182" s="427"/>
      <c r="L182" s="427"/>
      <c r="M182" s="427"/>
      <c r="N182" s="427"/>
      <c r="O182" s="427"/>
      <c r="P182" s="427"/>
      <c r="Q182" s="1882"/>
      <c r="R182" s="427"/>
      <c r="S182" s="427"/>
      <c r="T182" s="427"/>
      <c r="U182" s="427"/>
      <c r="V182" s="427"/>
      <c r="W182" s="427"/>
      <c r="X182" s="427"/>
      <c r="Y182" s="427"/>
      <c r="Z182" s="427"/>
      <c r="AA182" s="427"/>
      <c r="AB182" s="427"/>
      <c r="AC182" s="427"/>
      <c r="AD182" s="427"/>
      <c r="AE182" s="427"/>
      <c r="AF182" s="1882"/>
      <c r="AG182" s="427"/>
      <c r="AH182" s="427"/>
      <c r="AI182" s="427"/>
      <c r="AJ182" s="427"/>
      <c r="AK182" s="427"/>
    </row>
    <row r="183" spans="1:37" x14ac:dyDescent="0.2">
      <c r="A183" s="1882"/>
      <c r="B183" s="1882"/>
      <c r="C183" s="427"/>
      <c r="D183" s="427"/>
      <c r="E183" s="427"/>
      <c r="F183" s="427"/>
      <c r="G183" s="427"/>
      <c r="H183" s="427"/>
      <c r="I183" s="427"/>
      <c r="J183" s="427"/>
      <c r="K183" s="427"/>
      <c r="L183" s="427"/>
      <c r="M183" s="427"/>
      <c r="N183" s="427"/>
      <c r="O183" s="427"/>
      <c r="P183" s="427"/>
      <c r="Q183" s="1882"/>
      <c r="R183" s="427"/>
      <c r="S183" s="427"/>
      <c r="T183" s="427"/>
      <c r="U183" s="427"/>
      <c r="V183" s="427"/>
      <c r="W183" s="427"/>
      <c r="X183" s="427"/>
      <c r="Y183" s="427"/>
      <c r="Z183" s="427"/>
      <c r="AA183" s="427"/>
      <c r="AB183" s="427"/>
      <c r="AC183" s="427"/>
      <c r="AD183" s="427"/>
      <c r="AE183" s="427"/>
      <c r="AF183" s="1882"/>
      <c r="AG183" s="427"/>
      <c r="AH183" s="427"/>
      <c r="AI183" s="427"/>
      <c r="AJ183" s="427"/>
      <c r="AK183" s="427"/>
    </row>
    <row r="184" spans="1:37" x14ac:dyDescent="0.2">
      <c r="A184" s="1882"/>
      <c r="B184" s="1882"/>
      <c r="C184" s="427"/>
      <c r="D184" s="427"/>
      <c r="E184" s="427"/>
      <c r="F184" s="427"/>
      <c r="G184" s="427"/>
      <c r="H184" s="427"/>
      <c r="I184" s="427"/>
      <c r="J184" s="427"/>
      <c r="K184" s="427"/>
      <c r="L184" s="427"/>
      <c r="M184" s="427"/>
      <c r="N184" s="427"/>
      <c r="O184" s="427"/>
      <c r="P184" s="427"/>
      <c r="Q184" s="1882"/>
      <c r="R184" s="427"/>
      <c r="S184" s="427"/>
      <c r="T184" s="427"/>
      <c r="U184" s="427"/>
      <c r="V184" s="427"/>
      <c r="W184" s="427"/>
      <c r="X184" s="427"/>
      <c r="Y184" s="427"/>
      <c r="Z184" s="427"/>
      <c r="AA184" s="427"/>
      <c r="AB184" s="427"/>
      <c r="AC184" s="427"/>
      <c r="AD184" s="427"/>
      <c r="AE184" s="427"/>
      <c r="AF184" s="1882"/>
      <c r="AG184" s="427"/>
      <c r="AH184" s="427"/>
      <c r="AI184" s="427"/>
      <c r="AJ184" s="427"/>
      <c r="AK184" s="427"/>
    </row>
    <row r="185" spans="1:37" x14ac:dyDescent="0.2">
      <c r="A185" s="1882"/>
      <c r="B185" s="1882"/>
      <c r="C185" s="427"/>
      <c r="D185" s="427"/>
      <c r="E185" s="427"/>
      <c r="F185" s="427"/>
      <c r="G185" s="427"/>
      <c r="H185" s="427"/>
      <c r="I185" s="427"/>
      <c r="J185" s="427"/>
      <c r="K185" s="427"/>
      <c r="L185" s="427"/>
      <c r="M185" s="427"/>
      <c r="N185" s="427"/>
      <c r="O185" s="427"/>
      <c r="P185" s="427"/>
      <c r="Q185" s="1882"/>
      <c r="R185" s="427"/>
      <c r="S185" s="427"/>
      <c r="T185" s="427"/>
      <c r="U185" s="427"/>
      <c r="V185" s="427"/>
      <c r="W185" s="427"/>
      <c r="X185" s="427"/>
      <c r="Y185" s="427"/>
      <c r="Z185" s="427"/>
      <c r="AA185" s="427"/>
      <c r="AB185" s="427"/>
      <c r="AC185" s="427"/>
      <c r="AD185" s="427"/>
      <c r="AE185" s="427"/>
      <c r="AF185" s="1882"/>
      <c r="AG185" s="427"/>
      <c r="AH185" s="427"/>
      <c r="AI185" s="427"/>
      <c r="AJ185" s="427"/>
      <c r="AK185" s="427"/>
    </row>
    <row r="186" spans="1:37" x14ac:dyDescent="0.2">
      <c r="A186" s="1882"/>
      <c r="B186" s="1882"/>
      <c r="C186" s="427"/>
      <c r="D186" s="427"/>
      <c r="E186" s="427"/>
      <c r="F186" s="427"/>
      <c r="G186" s="427"/>
      <c r="H186" s="427"/>
      <c r="I186" s="427"/>
      <c r="J186" s="427"/>
      <c r="K186" s="427"/>
      <c r="L186" s="427"/>
      <c r="M186" s="427"/>
      <c r="N186" s="427"/>
      <c r="O186" s="427"/>
      <c r="P186" s="427"/>
      <c r="Q186" s="1882"/>
      <c r="R186" s="427"/>
      <c r="S186" s="427"/>
      <c r="T186" s="427"/>
      <c r="U186" s="427"/>
      <c r="V186" s="427"/>
      <c r="W186" s="427"/>
      <c r="X186" s="427"/>
      <c r="Y186" s="427"/>
      <c r="Z186" s="427"/>
      <c r="AA186" s="427"/>
      <c r="AB186" s="427"/>
      <c r="AC186" s="427"/>
      <c r="AD186" s="427"/>
      <c r="AE186" s="427"/>
      <c r="AF186" s="1882"/>
      <c r="AG186" s="427"/>
      <c r="AH186" s="427"/>
      <c r="AI186" s="427"/>
      <c r="AJ186" s="427"/>
      <c r="AK186" s="427"/>
    </row>
    <row r="187" spans="1:37" x14ac:dyDescent="0.2">
      <c r="A187" s="1882"/>
      <c r="B187" s="1882"/>
      <c r="C187" s="427"/>
      <c r="D187" s="427"/>
      <c r="E187" s="427"/>
      <c r="F187" s="427"/>
      <c r="G187" s="427"/>
      <c r="H187" s="427"/>
      <c r="I187" s="427"/>
      <c r="J187" s="427"/>
      <c r="K187" s="427"/>
      <c r="L187" s="427"/>
      <c r="M187" s="427"/>
      <c r="N187" s="427"/>
      <c r="O187" s="427"/>
      <c r="P187" s="427"/>
      <c r="Q187" s="1882"/>
      <c r="R187" s="427"/>
      <c r="S187" s="427"/>
      <c r="T187" s="427"/>
      <c r="U187" s="427"/>
      <c r="V187" s="427"/>
      <c r="W187" s="427"/>
      <c r="X187" s="427"/>
      <c r="Y187" s="427"/>
      <c r="Z187" s="427"/>
      <c r="AA187" s="427"/>
      <c r="AB187" s="427"/>
      <c r="AC187" s="427"/>
      <c r="AD187" s="427"/>
      <c r="AE187" s="427"/>
      <c r="AF187" s="1882"/>
      <c r="AG187" s="427"/>
      <c r="AH187" s="427"/>
      <c r="AI187" s="427"/>
      <c r="AJ187" s="427"/>
      <c r="AK187" s="427"/>
    </row>
    <row r="188" spans="1:37" x14ac:dyDescent="0.2">
      <c r="A188" s="1882"/>
      <c r="B188" s="1882"/>
      <c r="C188" s="427"/>
      <c r="D188" s="427"/>
      <c r="E188" s="427"/>
      <c r="F188" s="427"/>
      <c r="G188" s="427"/>
      <c r="H188" s="427"/>
      <c r="I188" s="427"/>
      <c r="J188" s="427"/>
      <c r="K188" s="427"/>
      <c r="L188" s="427"/>
      <c r="M188" s="427"/>
      <c r="N188" s="427"/>
      <c r="O188" s="427"/>
      <c r="P188" s="427"/>
      <c r="Q188" s="1882"/>
      <c r="R188" s="427"/>
      <c r="S188" s="427"/>
      <c r="T188" s="427"/>
      <c r="U188" s="427"/>
      <c r="V188" s="427"/>
      <c r="W188" s="427"/>
      <c r="X188" s="427"/>
      <c r="Y188" s="427"/>
      <c r="Z188" s="427"/>
      <c r="AA188" s="427"/>
      <c r="AB188" s="427"/>
      <c r="AC188" s="427"/>
      <c r="AD188" s="427"/>
      <c r="AE188" s="427"/>
      <c r="AF188" s="1882"/>
      <c r="AG188" s="427"/>
      <c r="AH188" s="427"/>
      <c r="AI188" s="427"/>
      <c r="AJ188" s="427"/>
      <c r="AK188" s="427"/>
    </row>
    <row r="189" spans="1:37" x14ac:dyDescent="0.2">
      <c r="A189" s="1882"/>
      <c r="B189" s="1882"/>
      <c r="C189" s="427"/>
      <c r="D189" s="427"/>
      <c r="E189" s="427"/>
      <c r="F189" s="427"/>
      <c r="G189" s="427"/>
      <c r="H189" s="427"/>
      <c r="I189" s="427"/>
      <c r="J189" s="427"/>
      <c r="K189" s="427"/>
      <c r="L189" s="427"/>
      <c r="M189" s="427"/>
      <c r="N189" s="427"/>
      <c r="O189" s="427"/>
      <c r="P189" s="427"/>
      <c r="Q189" s="1882"/>
      <c r="R189" s="427"/>
      <c r="S189" s="427"/>
      <c r="T189" s="427"/>
      <c r="U189" s="427"/>
      <c r="V189" s="427"/>
      <c r="W189" s="427"/>
      <c r="X189" s="427"/>
      <c r="Y189" s="427"/>
      <c r="Z189" s="427"/>
      <c r="AA189" s="427"/>
      <c r="AB189" s="427"/>
      <c r="AC189" s="427"/>
      <c r="AD189" s="427"/>
      <c r="AE189" s="427"/>
      <c r="AF189" s="1882"/>
      <c r="AG189" s="427"/>
      <c r="AH189" s="427"/>
      <c r="AI189" s="427"/>
      <c r="AJ189" s="427"/>
      <c r="AK189" s="427"/>
    </row>
    <row r="190" spans="1:37" x14ac:dyDescent="0.2">
      <c r="A190" s="1882"/>
      <c r="B190" s="1882"/>
      <c r="C190" s="427"/>
      <c r="D190" s="427"/>
      <c r="E190" s="427"/>
      <c r="F190" s="427"/>
      <c r="G190" s="427"/>
      <c r="H190" s="427"/>
      <c r="I190" s="427"/>
      <c r="J190" s="427"/>
      <c r="K190" s="427"/>
      <c r="L190" s="427"/>
      <c r="M190" s="427"/>
      <c r="N190" s="427"/>
      <c r="O190" s="427"/>
      <c r="P190" s="427"/>
      <c r="Q190" s="1882"/>
      <c r="R190" s="427"/>
      <c r="S190" s="427"/>
      <c r="T190" s="427"/>
      <c r="U190" s="427"/>
      <c r="V190" s="427"/>
      <c r="W190" s="427"/>
      <c r="X190" s="427"/>
      <c r="Y190" s="427"/>
      <c r="Z190" s="427"/>
      <c r="AA190" s="427"/>
      <c r="AB190" s="427"/>
      <c r="AC190" s="427"/>
      <c r="AD190" s="427"/>
      <c r="AE190" s="427"/>
      <c r="AF190" s="1882"/>
      <c r="AG190" s="427"/>
      <c r="AH190" s="427"/>
      <c r="AI190" s="427"/>
      <c r="AJ190" s="427"/>
      <c r="AK190" s="427"/>
    </row>
    <row r="191" spans="1:37" x14ac:dyDescent="0.2">
      <c r="A191" s="1882"/>
      <c r="B191" s="1882"/>
      <c r="C191" s="427"/>
      <c r="D191" s="427"/>
      <c r="E191" s="427"/>
      <c r="F191" s="427"/>
      <c r="G191" s="427"/>
      <c r="H191" s="427"/>
      <c r="I191" s="427"/>
      <c r="J191" s="427"/>
      <c r="K191" s="427"/>
      <c r="L191" s="427"/>
      <c r="M191" s="427"/>
      <c r="N191" s="427"/>
      <c r="O191" s="427"/>
      <c r="P191" s="427"/>
      <c r="Q191" s="1882"/>
      <c r="R191" s="427"/>
      <c r="S191" s="427"/>
      <c r="T191" s="427"/>
      <c r="U191" s="427"/>
      <c r="V191" s="427"/>
      <c r="W191" s="427"/>
      <c r="X191" s="427"/>
      <c r="Y191" s="427"/>
      <c r="Z191" s="427"/>
      <c r="AA191" s="427"/>
      <c r="AB191" s="427"/>
      <c r="AC191" s="427"/>
      <c r="AD191" s="427"/>
      <c r="AE191" s="427"/>
      <c r="AF191" s="1882"/>
      <c r="AG191" s="427"/>
      <c r="AH191" s="427"/>
      <c r="AI191" s="427"/>
      <c r="AJ191" s="427"/>
      <c r="AK191" s="427"/>
    </row>
    <row r="192" spans="1:37" x14ac:dyDescent="0.2">
      <c r="A192" s="1882"/>
      <c r="B192" s="1882"/>
      <c r="C192" s="427"/>
      <c r="D192" s="427"/>
      <c r="E192" s="427"/>
      <c r="F192" s="427"/>
      <c r="G192" s="427"/>
      <c r="H192" s="427"/>
      <c r="I192" s="427"/>
      <c r="J192" s="427"/>
      <c r="K192" s="427"/>
      <c r="L192" s="427"/>
      <c r="M192" s="427"/>
      <c r="N192" s="427"/>
      <c r="O192" s="427"/>
      <c r="P192" s="427"/>
      <c r="Q192" s="1882"/>
      <c r="R192" s="427"/>
      <c r="S192" s="427"/>
      <c r="T192" s="427"/>
      <c r="U192" s="427"/>
      <c r="V192" s="427"/>
      <c r="W192" s="427"/>
      <c r="X192" s="427"/>
      <c r="Y192" s="427"/>
      <c r="Z192" s="427"/>
      <c r="AA192" s="427"/>
      <c r="AB192" s="427"/>
      <c r="AC192" s="427"/>
      <c r="AD192" s="427"/>
      <c r="AE192" s="427"/>
      <c r="AF192" s="1882"/>
      <c r="AG192" s="427"/>
      <c r="AH192" s="427"/>
      <c r="AI192" s="427"/>
      <c r="AJ192" s="427"/>
      <c r="AK192" s="427"/>
    </row>
    <row r="193" spans="1:37" x14ac:dyDescent="0.2">
      <c r="A193" s="1882"/>
      <c r="B193" s="1882"/>
      <c r="C193" s="427"/>
      <c r="D193" s="427"/>
      <c r="E193" s="427"/>
      <c r="F193" s="427"/>
      <c r="G193" s="427"/>
      <c r="H193" s="427"/>
      <c r="I193" s="427"/>
      <c r="J193" s="427"/>
      <c r="K193" s="427"/>
      <c r="L193" s="427"/>
      <c r="M193" s="427"/>
      <c r="N193" s="427"/>
      <c r="O193" s="427"/>
      <c r="P193" s="427"/>
      <c r="Q193" s="1882"/>
      <c r="R193" s="427"/>
      <c r="S193" s="427"/>
      <c r="T193" s="427"/>
      <c r="U193" s="427"/>
      <c r="V193" s="427"/>
      <c r="W193" s="427"/>
      <c r="X193" s="427"/>
      <c r="Y193" s="427"/>
      <c r="Z193" s="427"/>
      <c r="AA193" s="427"/>
      <c r="AB193" s="427"/>
      <c r="AC193" s="427"/>
      <c r="AD193" s="427"/>
      <c r="AE193" s="427"/>
      <c r="AF193" s="1882"/>
      <c r="AG193" s="427"/>
      <c r="AH193" s="427"/>
      <c r="AI193" s="427"/>
      <c r="AJ193" s="427"/>
      <c r="AK193" s="427"/>
    </row>
    <row r="194" spans="1:37" x14ac:dyDescent="0.2">
      <c r="A194" s="1882"/>
      <c r="B194" s="1882"/>
      <c r="C194" s="427"/>
      <c r="D194" s="427"/>
      <c r="E194" s="427"/>
      <c r="F194" s="427"/>
      <c r="G194" s="427"/>
      <c r="H194" s="427"/>
      <c r="I194" s="427"/>
      <c r="J194" s="427"/>
      <c r="K194" s="427"/>
      <c r="L194" s="427"/>
      <c r="M194" s="427"/>
      <c r="N194" s="427"/>
      <c r="O194" s="427"/>
      <c r="P194" s="427"/>
      <c r="Q194" s="1882"/>
      <c r="R194" s="427"/>
      <c r="S194" s="427"/>
      <c r="T194" s="427"/>
      <c r="U194" s="427"/>
      <c r="V194" s="427"/>
      <c r="W194" s="427"/>
      <c r="X194" s="427"/>
      <c r="Y194" s="427"/>
      <c r="Z194" s="427"/>
      <c r="AA194" s="427"/>
      <c r="AB194" s="427"/>
      <c r="AC194" s="427"/>
      <c r="AD194" s="427"/>
      <c r="AE194" s="427"/>
      <c r="AF194" s="1882"/>
      <c r="AG194" s="427"/>
      <c r="AH194" s="427"/>
      <c r="AI194" s="427"/>
      <c r="AJ194" s="427"/>
      <c r="AK194" s="427"/>
    </row>
    <row r="195" spans="1:37" x14ac:dyDescent="0.2">
      <c r="A195" s="1882"/>
      <c r="B195" s="1882"/>
      <c r="C195" s="427"/>
      <c r="D195" s="427"/>
      <c r="E195" s="427"/>
      <c r="F195" s="427"/>
      <c r="G195" s="427"/>
      <c r="H195" s="427"/>
      <c r="I195" s="427"/>
      <c r="J195" s="427"/>
      <c r="K195" s="427"/>
      <c r="L195" s="427"/>
      <c r="M195" s="427"/>
      <c r="N195" s="427"/>
      <c r="O195" s="427"/>
      <c r="P195" s="427"/>
      <c r="Q195" s="1882"/>
      <c r="R195" s="427"/>
      <c r="S195" s="427"/>
      <c r="T195" s="427"/>
      <c r="U195" s="427"/>
      <c r="V195" s="427"/>
      <c r="W195" s="427"/>
      <c r="X195" s="427"/>
      <c r="Y195" s="427"/>
      <c r="Z195" s="427"/>
      <c r="AA195" s="427"/>
      <c r="AB195" s="427"/>
      <c r="AC195" s="427"/>
      <c r="AD195" s="427"/>
      <c r="AE195" s="427"/>
      <c r="AF195" s="1882"/>
      <c r="AG195" s="427"/>
      <c r="AH195" s="427"/>
      <c r="AI195" s="427"/>
      <c r="AJ195" s="427"/>
      <c r="AK195" s="427"/>
    </row>
    <row r="196" spans="1:37" x14ac:dyDescent="0.2">
      <c r="A196" s="1882"/>
      <c r="B196" s="1882"/>
      <c r="C196" s="427"/>
      <c r="D196" s="427"/>
      <c r="E196" s="427"/>
      <c r="F196" s="427"/>
      <c r="G196" s="427"/>
      <c r="H196" s="427"/>
      <c r="I196" s="427"/>
      <c r="J196" s="427"/>
      <c r="K196" s="427"/>
      <c r="L196" s="427"/>
      <c r="M196" s="427"/>
      <c r="N196" s="427"/>
      <c r="O196" s="427"/>
      <c r="P196" s="427"/>
      <c r="Q196" s="1882"/>
      <c r="R196" s="427"/>
      <c r="S196" s="427"/>
      <c r="T196" s="427"/>
      <c r="U196" s="427"/>
      <c r="V196" s="427"/>
      <c r="W196" s="427"/>
      <c r="X196" s="427"/>
      <c r="Y196" s="427"/>
      <c r="Z196" s="427"/>
      <c r="AA196" s="427"/>
      <c r="AB196" s="427"/>
      <c r="AC196" s="427"/>
      <c r="AD196" s="427"/>
      <c r="AE196" s="427"/>
      <c r="AF196" s="1882"/>
      <c r="AG196" s="427"/>
      <c r="AH196" s="427"/>
      <c r="AI196" s="427"/>
      <c r="AJ196" s="427"/>
      <c r="AK196" s="427"/>
    </row>
    <row r="197" spans="1:37" x14ac:dyDescent="0.2">
      <c r="A197" s="1882"/>
      <c r="B197" s="1882"/>
      <c r="C197" s="427"/>
      <c r="D197" s="427"/>
      <c r="E197" s="427"/>
      <c r="F197" s="427"/>
      <c r="G197" s="427"/>
      <c r="H197" s="427"/>
      <c r="I197" s="427"/>
      <c r="J197" s="427"/>
      <c r="K197" s="427"/>
      <c r="L197" s="427"/>
      <c r="M197" s="427"/>
      <c r="N197" s="427"/>
      <c r="O197" s="427"/>
      <c r="P197" s="427"/>
      <c r="Q197" s="1882"/>
      <c r="R197" s="427"/>
      <c r="S197" s="427"/>
      <c r="T197" s="427"/>
      <c r="U197" s="427"/>
      <c r="V197" s="427"/>
      <c r="W197" s="427"/>
      <c r="X197" s="427"/>
      <c r="Y197" s="427"/>
      <c r="Z197" s="427"/>
      <c r="AA197" s="427"/>
      <c r="AB197" s="427"/>
      <c r="AC197" s="427"/>
      <c r="AD197" s="427"/>
      <c r="AE197" s="427"/>
      <c r="AF197" s="1882"/>
      <c r="AG197" s="427"/>
      <c r="AH197" s="427"/>
      <c r="AI197" s="427"/>
      <c r="AJ197" s="427"/>
      <c r="AK197" s="427"/>
    </row>
  </sheetData>
  <customSheetViews>
    <customSheetView guid="{A374FC54-96E3-45F0-9C12-8450400C12DF}" scale="160">
      <pane xSplit="1" ySplit="6" topLeftCell="BB41" activePane="bottomRight" state="frozen"/>
      <selection pane="bottomRight" activeCell="BI52" sqref="BI52"/>
      <pageMargins left="0.70866141732283505" right="0.70866141732283505" top="0.74803149606299202" bottom="0.74803149606299202" header="0.31496062992126" footer="0.511811023622047"/>
      <pageSetup paperSize="132" firstPageNumber="86" orientation="portrait" useFirstPageNumber="1" r:id="rId1"/>
      <headerFooter>
        <oddFooter>&amp;C&amp;"Times New Roman,Regular"&amp;8&amp;P</oddFooter>
      </headerFooter>
    </customSheetView>
  </customSheetViews>
  <mergeCells count="124">
    <mergeCell ref="B3:B6"/>
    <mergeCell ref="J148:N148"/>
    <mergeCell ref="AG148:AL148"/>
    <mergeCell ref="D4:D5"/>
    <mergeCell ref="E4:E5"/>
    <mergeCell ref="F4:F5"/>
    <mergeCell ref="BV1:BX1"/>
    <mergeCell ref="AD2:AE2"/>
    <mergeCell ref="A3:A6"/>
    <mergeCell ref="C3:D3"/>
    <mergeCell ref="E3:F3"/>
    <mergeCell ref="G3:H3"/>
    <mergeCell ref="I3:J3"/>
    <mergeCell ref="G1:H1"/>
    <mergeCell ref="N1:P1"/>
    <mergeCell ref="V1:W1"/>
    <mergeCell ref="AC1:AE1"/>
    <mergeCell ref="AK1:AL1"/>
    <mergeCell ref="AR1:AT1"/>
    <mergeCell ref="K3:L3"/>
    <mergeCell ref="M3:N3"/>
    <mergeCell ref="O3:P3"/>
    <mergeCell ref="Q3:Q6"/>
    <mergeCell ref="R3:S3"/>
    <mergeCell ref="AZ1:BA1"/>
    <mergeCell ref="BG1:BI1"/>
    <mergeCell ref="BO1:BP1"/>
    <mergeCell ref="AS4:AS5"/>
    <mergeCell ref="AT4:AT5"/>
    <mergeCell ref="AV4:AV5"/>
    <mergeCell ref="AS3:AT3"/>
    <mergeCell ref="AU3:AU6"/>
    <mergeCell ref="AG3:AH3"/>
    <mergeCell ref="AI3:AJ3"/>
    <mergeCell ref="AK3:AL3"/>
    <mergeCell ref="AM3:AN3"/>
    <mergeCell ref="AO3:AP3"/>
    <mergeCell ref="AQ3:AR3"/>
    <mergeCell ref="AG4:AG5"/>
    <mergeCell ref="AH4:AH5"/>
    <mergeCell ref="AI4:AI5"/>
    <mergeCell ref="AQ4:AQ5"/>
    <mergeCell ref="AR4:AR5"/>
    <mergeCell ref="AM4:AM5"/>
    <mergeCell ref="AN4:AN5"/>
    <mergeCell ref="AA4:AA5"/>
    <mergeCell ref="R4:R5"/>
    <mergeCell ref="U4:U5"/>
    <mergeCell ref="W4:W5"/>
    <mergeCell ref="X4:X5"/>
    <mergeCell ref="Y4:Y5"/>
    <mergeCell ref="BU3:BV3"/>
    <mergeCell ref="BW3:BX3"/>
    <mergeCell ref="C4:C5"/>
    <mergeCell ref="BK3:BL3"/>
    <mergeCell ref="AL4:AL5"/>
    <mergeCell ref="BA4:BA5"/>
    <mergeCell ref="BQ3:BR3"/>
    <mergeCell ref="AP4:AP5"/>
    <mergeCell ref="AO4:AO5"/>
    <mergeCell ref="G4:G5"/>
    <mergeCell ref="H4:H5"/>
    <mergeCell ref="I4:I5"/>
    <mergeCell ref="K4:K5"/>
    <mergeCell ref="L4:L5"/>
    <mergeCell ref="M4:M5"/>
    <mergeCell ref="V3:W3"/>
    <mergeCell ref="X3:Y3"/>
    <mergeCell ref="Z3:AA3"/>
    <mergeCell ref="V4:V5"/>
    <mergeCell ref="J4:J5"/>
    <mergeCell ref="T3:U3"/>
    <mergeCell ref="N4:N5"/>
    <mergeCell ref="O4:O5"/>
    <mergeCell ref="S4:S5"/>
    <mergeCell ref="T4:T5"/>
    <mergeCell ref="P4:P5"/>
    <mergeCell ref="Z4:Z5"/>
    <mergeCell ref="AD3:AE3"/>
    <mergeCell ref="AF3:AF6"/>
    <mergeCell ref="AC4:AC5"/>
    <mergeCell ref="AD4:AD5"/>
    <mergeCell ref="AE4:AE5"/>
    <mergeCell ref="AJ4:AJ5"/>
    <mergeCell ref="AK4:AK5"/>
    <mergeCell ref="AB3:AC3"/>
    <mergeCell ref="AB4:AB5"/>
    <mergeCell ref="BS3:BT3"/>
    <mergeCell ref="AX4:AX5"/>
    <mergeCell ref="AY4:AY5"/>
    <mergeCell ref="AZ4:AZ5"/>
    <mergeCell ref="BB3:BC3"/>
    <mergeCell ref="AW4:AW5"/>
    <mergeCell ref="BD4:BD5"/>
    <mergeCell ref="BE4:BE5"/>
    <mergeCell ref="BF4:BF5"/>
    <mergeCell ref="BG4:BG5"/>
    <mergeCell ref="BH4:BH5"/>
    <mergeCell ref="BI4:BI5"/>
    <mergeCell ref="BK4:BK5"/>
    <mergeCell ref="BD3:BE3"/>
    <mergeCell ref="BF3:BG3"/>
    <mergeCell ref="AV3:AW3"/>
    <mergeCell ref="AX3:AY3"/>
    <mergeCell ref="AZ3:BA3"/>
    <mergeCell ref="BB4:BB5"/>
    <mergeCell ref="BC4:BC5"/>
    <mergeCell ref="BM3:BN3"/>
    <mergeCell ref="BO3:BP3"/>
    <mergeCell ref="BH3:BI3"/>
    <mergeCell ref="BJ3:BJ6"/>
    <mergeCell ref="BX4:BX5"/>
    <mergeCell ref="BR4:BR5"/>
    <mergeCell ref="BS4:BS5"/>
    <mergeCell ref="BT4:BT5"/>
    <mergeCell ref="BU4:BU5"/>
    <mergeCell ref="BV4:BV5"/>
    <mergeCell ref="BW4:BW5"/>
    <mergeCell ref="BL4:BL5"/>
    <mergeCell ref="BM4:BM5"/>
    <mergeCell ref="BN4:BN5"/>
    <mergeCell ref="BO4:BO5"/>
    <mergeCell ref="BP4:BP5"/>
    <mergeCell ref="BQ4:BQ5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BX210"/>
  <sheetViews>
    <sheetView zoomScale="130" zoomScaleNormal="130" workbookViewId="0">
      <pane xSplit="1" ySplit="3" topLeftCell="B12" activePane="bottomRight" state="frozen"/>
      <selection activeCell="BU10" sqref="BU10"/>
      <selection pane="topRight" activeCell="BU10" sqref="BU10"/>
      <selection pane="bottomLeft" activeCell="BU10" sqref="BU10"/>
      <selection pane="bottomRight" activeCellId="1" sqref="A1:I1 A1:I1"/>
    </sheetView>
  </sheetViews>
  <sheetFormatPr defaultColWidth="9.140625" defaultRowHeight="11.25" x14ac:dyDescent="0.2"/>
  <cols>
    <col min="1" max="2" width="11.5703125" style="8" customWidth="1"/>
    <col min="3" max="3" width="9.42578125" style="8" customWidth="1"/>
    <col min="4" max="4" width="10.140625" style="8" customWidth="1"/>
    <col min="5" max="5" width="9.140625" style="8" customWidth="1"/>
    <col min="6" max="6" width="8.140625" style="8" customWidth="1"/>
    <col min="7" max="7" width="8.85546875" style="8" customWidth="1"/>
    <col min="8" max="8" width="8.42578125" style="8" customWidth="1"/>
    <col min="9" max="9" width="7.7109375" style="8" customWidth="1"/>
    <col min="10" max="10" width="8.42578125" style="8" customWidth="1"/>
    <col min="11" max="11" width="7.28515625" style="8" customWidth="1"/>
    <col min="12" max="12" width="7.140625" style="8" customWidth="1"/>
    <col min="13" max="13" width="7.7109375" style="8" customWidth="1"/>
    <col min="14" max="14" width="7.85546875" style="8" customWidth="1"/>
    <col min="15" max="15" width="7.5703125" style="8" customWidth="1"/>
    <col min="16" max="16" width="7.42578125" style="8" customWidth="1"/>
    <col min="17" max="18" width="7.28515625" style="8" customWidth="1"/>
    <col min="19" max="20" width="9" style="8" customWidth="1"/>
    <col min="21" max="21" width="8.28515625" style="8" customWidth="1"/>
    <col min="22" max="22" width="8.42578125" style="8" customWidth="1"/>
    <col min="23" max="23" width="8.5703125" style="8" customWidth="1"/>
    <col min="24" max="24" width="8.28515625" style="8" customWidth="1"/>
    <col min="25" max="25" width="8.85546875" style="8" customWidth="1"/>
    <col min="26" max="26" width="8.140625" style="8" customWidth="1"/>
    <col min="27" max="27" width="8.5703125" style="8" customWidth="1"/>
    <col min="28" max="28" width="9" style="8" customWidth="1"/>
    <col min="29" max="29" width="9.140625" style="8" customWidth="1"/>
    <col min="30" max="30" width="8.5703125" style="8" customWidth="1"/>
    <col min="31" max="31" width="9.42578125" style="8" customWidth="1"/>
    <col min="32" max="32" width="9" style="8" customWidth="1"/>
    <col min="33" max="33" width="8.28515625" style="8" customWidth="1"/>
    <col min="34" max="34" width="7.7109375" style="8" customWidth="1"/>
    <col min="35" max="35" width="8.5703125" style="8" customWidth="1"/>
    <col min="36" max="36" width="7.42578125" style="8" customWidth="1"/>
    <col min="37" max="37" width="8.5703125" style="8" customWidth="1"/>
    <col min="38" max="16384" width="9.140625" style="8"/>
  </cols>
  <sheetData>
    <row r="1" spans="1:37" s="123" customFormat="1" ht="15" customHeight="1" x14ac:dyDescent="0.2">
      <c r="A1" s="2882" t="s">
        <v>3223</v>
      </c>
      <c r="B1" s="2882"/>
      <c r="C1" s="2882"/>
      <c r="D1" s="2882"/>
      <c r="E1" s="2882"/>
      <c r="F1" s="2882"/>
      <c r="G1" s="2882"/>
      <c r="H1" s="2882"/>
      <c r="I1" s="2882"/>
      <c r="J1" s="2883"/>
      <c r="K1" s="2883"/>
      <c r="L1" s="2883"/>
      <c r="M1" s="2883"/>
      <c r="N1" s="2883"/>
      <c r="O1" s="2883"/>
      <c r="P1" s="326"/>
      <c r="Q1" s="2881" t="s">
        <v>1075</v>
      </c>
      <c r="R1" s="2881"/>
      <c r="S1" s="2881"/>
      <c r="T1" s="2882" t="s">
        <v>824</v>
      </c>
      <c r="U1" s="2882"/>
      <c r="V1" s="2882"/>
      <c r="W1" s="2882"/>
      <c r="X1" s="2882"/>
      <c r="Y1" s="2882"/>
      <c r="Z1" s="2882"/>
      <c r="AA1" s="2882"/>
      <c r="AB1" s="2882"/>
      <c r="AC1" s="2883" t="s">
        <v>312</v>
      </c>
      <c r="AD1" s="2883"/>
      <c r="AE1" s="2883"/>
      <c r="AF1" s="2883"/>
      <c r="AG1" s="2883"/>
      <c r="AH1" s="326"/>
      <c r="AI1" s="2881" t="s">
        <v>1076</v>
      </c>
      <c r="AJ1" s="2881"/>
      <c r="AK1" s="2881"/>
    </row>
    <row r="2" spans="1:37" s="16" customFormat="1" ht="10.5" customHeight="1" x14ac:dyDescent="0.2">
      <c r="A2" s="39"/>
      <c r="B2" s="39"/>
      <c r="C2" s="39"/>
      <c r="D2" s="39"/>
      <c r="F2" s="64"/>
      <c r="I2" s="64"/>
      <c r="J2" s="67"/>
      <c r="K2" s="64"/>
      <c r="L2" s="64"/>
      <c r="M2" s="64"/>
      <c r="N2" s="64"/>
      <c r="O2" s="64"/>
      <c r="P2" s="39"/>
      <c r="Q2" s="39"/>
      <c r="R2" s="2880" t="s">
        <v>603</v>
      </c>
      <c r="S2" s="2880"/>
      <c r="X2" s="64"/>
      <c r="AJ2" s="2880" t="s">
        <v>603</v>
      </c>
      <c r="AK2" s="2880"/>
    </row>
    <row r="3" spans="1:37" s="83" customFormat="1" ht="39" customHeight="1" x14ac:dyDescent="0.2">
      <c r="A3" s="1887" t="s">
        <v>912</v>
      </c>
      <c r="B3" s="1887" t="s">
        <v>3073</v>
      </c>
      <c r="C3" s="1887" t="s">
        <v>604</v>
      </c>
      <c r="D3" s="1887" t="s">
        <v>369</v>
      </c>
      <c r="E3" s="1887" t="s">
        <v>508</v>
      </c>
      <c r="F3" s="1887" t="s">
        <v>509</v>
      </c>
      <c r="G3" s="1887" t="s">
        <v>808</v>
      </c>
      <c r="H3" s="1887" t="s">
        <v>809</v>
      </c>
      <c r="I3" s="1887" t="s">
        <v>296</v>
      </c>
      <c r="J3" s="1887" t="s">
        <v>810</v>
      </c>
      <c r="K3" s="1887" t="s">
        <v>511</v>
      </c>
      <c r="L3" s="1887" t="s">
        <v>811</v>
      </c>
      <c r="M3" s="1887" t="s">
        <v>235</v>
      </c>
      <c r="N3" s="1887" t="s">
        <v>812</v>
      </c>
      <c r="O3" s="1887" t="s">
        <v>813</v>
      </c>
      <c r="P3" s="1887" t="s">
        <v>814</v>
      </c>
      <c r="Q3" s="1887" t="s">
        <v>815</v>
      </c>
      <c r="R3" s="1887" t="s">
        <v>514</v>
      </c>
      <c r="S3" s="1887" t="s">
        <v>515</v>
      </c>
      <c r="T3" s="1887" t="s">
        <v>912</v>
      </c>
      <c r="U3" s="1887" t="s">
        <v>516</v>
      </c>
      <c r="V3" s="1887" t="s">
        <v>517</v>
      </c>
      <c r="W3" s="1887" t="s">
        <v>816</v>
      </c>
      <c r="X3" s="1887" t="s">
        <v>519</v>
      </c>
      <c r="Y3" s="1887" t="s">
        <v>1909</v>
      </c>
      <c r="Z3" s="1887" t="s">
        <v>817</v>
      </c>
      <c r="AA3" s="1887" t="s">
        <v>818</v>
      </c>
      <c r="AB3" s="1887" t="s">
        <v>370</v>
      </c>
      <c r="AC3" s="1887" t="s">
        <v>819</v>
      </c>
      <c r="AD3" s="1887" t="s">
        <v>820</v>
      </c>
      <c r="AE3" s="1887" t="s">
        <v>821</v>
      </c>
      <c r="AF3" s="1887" t="s">
        <v>1910</v>
      </c>
      <c r="AG3" s="1887" t="s">
        <v>606</v>
      </c>
      <c r="AH3" s="1887" t="s">
        <v>525</v>
      </c>
      <c r="AI3" s="1887" t="s">
        <v>1509</v>
      </c>
      <c r="AJ3" s="1887" t="s">
        <v>1256</v>
      </c>
      <c r="AK3" s="1887" t="s">
        <v>1255</v>
      </c>
    </row>
    <row r="4" spans="1:37" s="154" customFormat="1" ht="12.75" customHeight="1" x14ac:dyDescent="0.2">
      <c r="A4" s="427" t="s">
        <v>804</v>
      </c>
      <c r="B4" s="427"/>
      <c r="C4" s="1841">
        <v>-10.71</v>
      </c>
      <c r="D4" s="1841">
        <v>5.21</v>
      </c>
      <c r="E4" s="1841">
        <v>0</v>
      </c>
      <c r="F4" s="1841">
        <v>-3.35</v>
      </c>
      <c r="G4" s="1841">
        <v>2.37</v>
      </c>
      <c r="H4" s="1841">
        <v>2.58</v>
      </c>
      <c r="I4" s="1841">
        <v>2.92</v>
      </c>
      <c r="J4" s="1841">
        <v>0.02</v>
      </c>
      <c r="K4" s="1841">
        <v>-6.75</v>
      </c>
      <c r="L4" s="1841">
        <v>-5.37</v>
      </c>
      <c r="M4" s="1841">
        <v>0.04</v>
      </c>
      <c r="N4" s="1841">
        <v>-19.53</v>
      </c>
      <c r="O4" s="1841">
        <v>-1.86</v>
      </c>
      <c r="P4" s="1841">
        <v>0.35</v>
      </c>
      <c r="Q4" s="1841">
        <v>0</v>
      </c>
      <c r="R4" s="1841">
        <v>-4.8600000000000003</v>
      </c>
      <c r="S4" s="1841">
        <v>-3.26</v>
      </c>
      <c r="T4" s="427" t="s">
        <v>804</v>
      </c>
      <c r="U4" s="1841">
        <v>-1.79</v>
      </c>
      <c r="V4" s="1841">
        <v>0</v>
      </c>
      <c r="W4" s="1841">
        <v>-4.99</v>
      </c>
      <c r="X4" s="1841">
        <v>-2.56</v>
      </c>
      <c r="Y4" s="1841">
        <v>0.01</v>
      </c>
      <c r="Z4" s="1842">
        <v>-0.22</v>
      </c>
      <c r="AA4" s="1842">
        <v>0.01</v>
      </c>
      <c r="AB4" s="1842">
        <v>0.3</v>
      </c>
      <c r="AC4" s="1842">
        <v>-0.15</v>
      </c>
      <c r="AD4" s="1842">
        <v>3.24</v>
      </c>
      <c r="AE4" s="1842">
        <v>2.04</v>
      </c>
      <c r="AF4" s="1842">
        <v>0.57999999999999996</v>
      </c>
      <c r="AG4" s="1842">
        <v>-36.24</v>
      </c>
      <c r="AH4" s="1842">
        <v>-0.89</v>
      </c>
      <c r="AI4" s="1842">
        <v>1.76</v>
      </c>
      <c r="AJ4" s="1842">
        <v>0</v>
      </c>
      <c r="AK4" s="1842">
        <v>-2.96</v>
      </c>
    </row>
    <row r="5" spans="1:37" s="236" customFormat="1" ht="12.75" customHeight="1" x14ac:dyDescent="0.2">
      <c r="A5" s="1843" t="s">
        <v>978</v>
      </c>
      <c r="B5" s="1843"/>
      <c r="C5" s="1844">
        <v>3.09</v>
      </c>
      <c r="D5" s="1844">
        <v>0.17</v>
      </c>
      <c r="E5" s="1844">
        <v>0</v>
      </c>
      <c r="F5" s="1844">
        <v>-1.3</v>
      </c>
      <c r="G5" s="1844">
        <v>0.42</v>
      </c>
      <c r="H5" s="1844">
        <v>4.9400000000000004</v>
      </c>
      <c r="I5" s="1844">
        <v>4.9000000000000004</v>
      </c>
      <c r="J5" s="1844">
        <v>0.06</v>
      </c>
      <c r="K5" s="1844">
        <v>-0.86</v>
      </c>
      <c r="L5" s="1844">
        <v>-17.149999999999999</v>
      </c>
      <c r="M5" s="1844">
        <v>-52.09</v>
      </c>
      <c r="N5" s="1844">
        <v>-2.16</v>
      </c>
      <c r="O5" s="1844">
        <v>1.22</v>
      </c>
      <c r="P5" s="1844">
        <v>-1.54</v>
      </c>
      <c r="Q5" s="1844">
        <v>0</v>
      </c>
      <c r="R5" s="1844">
        <v>-0.71</v>
      </c>
      <c r="S5" s="1844">
        <v>13.34</v>
      </c>
      <c r="T5" s="1843" t="s">
        <v>978</v>
      </c>
      <c r="U5" s="1844">
        <v>-0.86</v>
      </c>
      <c r="V5" s="1844">
        <v>0</v>
      </c>
      <c r="W5" s="1844">
        <v>0.86</v>
      </c>
      <c r="X5" s="1844">
        <v>-1.28</v>
      </c>
      <c r="Y5" s="1844">
        <v>-0.02</v>
      </c>
      <c r="Z5" s="1844">
        <v>-2.2799999999999998</v>
      </c>
      <c r="AA5" s="1844">
        <v>-0.01</v>
      </c>
      <c r="AB5" s="1844">
        <v>12.42</v>
      </c>
      <c r="AC5" s="1844">
        <v>1.42</v>
      </c>
      <c r="AD5" s="1844">
        <v>-0.51</v>
      </c>
      <c r="AE5" s="1844">
        <v>0.16</v>
      </c>
      <c r="AF5" s="1844">
        <v>6.06</v>
      </c>
      <c r="AG5" s="1844">
        <v>-32.82</v>
      </c>
      <c r="AH5" s="1844">
        <v>2.67</v>
      </c>
      <c r="AI5" s="1844">
        <v>-4.33</v>
      </c>
      <c r="AJ5" s="1844">
        <v>0.01</v>
      </c>
      <c r="AK5" s="1844">
        <v>12.04</v>
      </c>
    </row>
    <row r="6" spans="1:37" s="236" customFormat="1" ht="12.75" customHeight="1" x14ac:dyDescent="0.2">
      <c r="A6" s="1845" t="s">
        <v>1029</v>
      </c>
      <c r="B6" s="1845"/>
      <c r="C6" s="1644">
        <v>-18.440000000000001</v>
      </c>
      <c r="D6" s="1644">
        <v>-0.22</v>
      </c>
      <c r="E6" s="1644">
        <v>-0.01</v>
      </c>
      <c r="F6" s="1644">
        <v>-13.97</v>
      </c>
      <c r="G6" s="1644">
        <v>0.64</v>
      </c>
      <c r="H6" s="1644">
        <v>-17.73</v>
      </c>
      <c r="I6" s="1644">
        <v>-17.670000000000002</v>
      </c>
      <c r="J6" s="1644">
        <v>-0.01</v>
      </c>
      <c r="K6" s="1644">
        <v>-5.75</v>
      </c>
      <c r="L6" s="1644">
        <v>-10.130000000000001</v>
      </c>
      <c r="M6" s="1644">
        <v>-12.59</v>
      </c>
      <c r="N6" s="1644">
        <v>-17.21</v>
      </c>
      <c r="O6" s="1644">
        <v>-6.77</v>
      </c>
      <c r="P6" s="1644">
        <v>-15.23</v>
      </c>
      <c r="Q6" s="1644">
        <v>-99.43</v>
      </c>
      <c r="R6" s="1644">
        <v>-5.44</v>
      </c>
      <c r="S6" s="1644">
        <v>-21.92</v>
      </c>
      <c r="T6" s="1845" t="s">
        <v>1029</v>
      </c>
      <c r="U6" s="1644">
        <v>-22.06</v>
      </c>
      <c r="V6" s="1644">
        <v>0.01</v>
      </c>
      <c r="W6" s="1644">
        <v>-3.09</v>
      </c>
      <c r="X6" s="1644">
        <v>-3.09</v>
      </c>
      <c r="Y6" s="1644">
        <v>-0.01</v>
      </c>
      <c r="Z6" s="1644">
        <v>-39.450000000000003</v>
      </c>
      <c r="AA6" s="1644">
        <v>-0.01</v>
      </c>
      <c r="AB6" s="1644">
        <v>-9.57</v>
      </c>
      <c r="AC6" s="1644">
        <v>-7.17</v>
      </c>
      <c r="AD6" s="1644">
        <v>-18.239999999999998</v>
      </c>
      <c r="AE6" s="1644">
        <v>-2.5499999999999998</v>
      </c>
      <c r="AF6" s="1644">
        <v>-3.8</v>
      </c>
      <c r="AG6" s="1644">
        <v>-31.24</v>
      </c>
      <c r="AH6" s="1644">
        <v>-9.1199999999999992</v>
      </c>
      <c r="AI6" s="1644">
        <v>-3.91</v>
      </c>
      <c r="AJ6" s="1644">
        <v>0</v>
      </c>
      <c r="AK6" s="1644">
        <v>-7.63</v>
      </c>
    </row>
    <row r="7" spans="1:37" s="236" customFormat="1" ht="12.75" customHeight="1" x14ac:dyDescent="0.2">
      <c r="A7" s="1840" t="s">
        <v>1150</v>
      </c>
      <c r="B7" s="1840"/>
      <c r="C7" s="1644">
        <v>-3.89</v>
      </c>
      <c r="D7" s="1644">
        <v>-0.76</v>
      </c>
      <c r="E7" s="1644">
        <v>-0.08</v>
      </c>
      <c r="F7" s="1644">
        <v>-4.84</v>
      </c>
      <c r="G7" s="1644">
        <v>-7.82</v>
      </c>
      <c r="H7" s="1644">
        <v>-1.31</v>
      </c>
      <c r="I7" s="1644">
        <v>-1.52</v>
      </c>
      <c r="J7" s="1644">
        <v>-0.08</v>
      </c>
      <c r="K7" s="1644">
        <v>-5.91</v>
      </c>
      <c r="L7" s="1644">
        <v>1.28</v>
      </c>
      <c r="M7" s="1644">
        <v>-2.61</v>
      </c>
      <c r="N7" s="1644">
        <v>19.25</v>
      </c>
      <c r="O7" s="1644">
        <v>0.05</v>
      </c>
      <c r="P7" s="1644">
        <v>-6.68</v>
      </c>
      <c r="Q7" s="1644">
        <v>-5.53</v>
      </c>
      <c r="R7" s="1644">
        <v>-6.41</v>
      </c>
      <c r="S7" s="1644">
        <v>2.8</v>
      </c>
      <c r="T7" s="1840" t="s">
        <v>1150</v>
      </c>
      <c r="U7" s="1644">
        <v>-7.3</v>
      </c>
      <c r="V7" s="1644">
        <v>-0.01</v>
      </c>
      <c r="W7" s="1644">
        <v>-2.68</v>
      </c>
      <c r="X7" s="1644">
        <v>-3.89</v>
      </c>
      <c r="Y7" s="1644">
        <v>0</v>
      </c>
      <c r="Z7" s="1644">
        <v>-13.36</v>
      </c>
      <c r="AA7" s="1644">
        <v>0.01</v>
      </c>
      <c r="AB7" s="1644">
        <v>-3.69</v>
      </c>
      <c r="AC7" s="1644">
        <v>-0.55000000000000004</v>
      </c>
      <c r="AD7" s="1644">
        <v>-3.04</v>
      </c>
      <c r="AE7" s="1644">
        <v>-9.5299999999999994</v>
      </c>
      <c r="AF7" s="1644">
        <v>-5.73</v>
      </c>
      <c r="AG7" s="1644">
        <v>0.35</v>
      </c>
      <c r="AH7" s="1644">
        <v>-0.56999999999999995</v>
      </c>
      <c r="AI7" s="1644">
        <v>-4.17</v>
      </c>
      <c r="AJ7" s="1644">
        <v>0</v>
      </c>
      <c r="AK7" s="1644">
        <v>-15.21</v>
      </c>
    </row>
    <row r="8" spans="1:37" s="236" customFormat="1" ht="12.75" customHeight="1" x14ac:dyDescent="0.2">
      <c r="A8" s="1840" t="s">
        <v>1174</v>
      </c>
      <c r="B8" s="1840"/>
      <c r="C8" s="1644">
        <v>4.01</v>
      </c>
      <c r="D8" s="1644">
        <v>-2.72</v>
      </c>
      <c r="E8" s="1644">
        <v>0.03</v>
      </c>
      <c r="F8" s="1644">
        <v>0.15</v>
      </c>
      <c r="G8" s="1644">
        <v>-2.1</v>
      </c>
      <c r="H8" s="1644">
        <v>3.51</v>
      </c>
      <c r="I8" s="1644">
        <v>3.38</v>
      </c>
      <c r="J8" s="1644">
        <v>-0.6</v>
      </c>
      <c r="K8" s="1644">
        <v>4.72</v>
      </c>
      <c r="L8" s="1644">
        <v>-1.24</v>
      </c>
      <c r="M8" s="1644">
        <v>-7.34</v>
      </c>
      <c r="N8" s="1644">
        <v>-8.4</v>
      </c>
      <c r="O8" s="1644">
        <v>-0.4</v>
      </c>
      <c r="P8" s="1644">
        <v>-5.53</v>
      </c>
      <c r="Q8" s="1644">
        <v>-13.2</v>
      </c>
      <c r="R8" s="1644">
        <v>5.32</v>
      </c>
      <c r="S8" s="1644">
        <v>3.58</v>
      </c>
      <c r="T8" s="1840" t="s">
        <v>1174</v>
      </c>
      <c r="U8" s="1644">
        <v>1.07</v>
      </c>
      <c r="V8" s="1644">
        <v>-0.05</v>
      </c>
      <c r="W8" s="1644">
        <v>-0.2</v>
      </c>
      <c r="X8" s="1644">
        <v>-6.8</v>
      </c>
      <c r="Y8" s="1644">
        <v>-2.5099999999999998</v>
      </c>
      <c r="Z8" s="1644">
        <v>8.65</v>
      </c>
      <c r="AA8" s="1644">
        <v>0.01</v>
      </c>
      <c r="AB8" s="1644">
        <v>1.68</v>
      </c>
      <c r="AC8" s="1644">
        <v>-1.86</v>
      </c>
      <c r="AD8" s="1644">
        <v>0.46</v>
      </c>
      <c r="AE8" s="1644">
        <v>-3.74</v>
      </c>
      <c r="AF8" s="1644">
        <v>2.76</v>
      </c>
      <c r="AG8" s="1644">
        <v>-57.91</v>
      </c>
      <c r="AH8" s="1644">
        <v>-0.33</v>
      </c>
      <c r="AI8" s="1644">
        <v>3.75</v>
      </c>
      <c r="AJ8" s="1644">
        <v>-0.01</v>
      </c>
      <c r="AK8" s="1644">
        <v>-2.52</v>
      </c>
    </row>
    <row r="9" spans="1:37" s="236" customFormat="1" ht="12.75" customHeight="1" x14ac:dyDescent="0.2">
      <c r="A9" s="1846" t="s">
        <v>1296</v>
      </c>
      <c r="B9" s="1846"/>
      <c r="C9" s="1644">
        <v>-4.29</v>
      </c>
      <c r="D9" s="1644">
        <v>-3.74</v>
      </c>
      <c r="E9" s="1644">
        <v>-0.21</v>
      </c>
      <c r="F9" s="1644">
        <v>-1.83</v>
      </c>
      <c r="G9" s="1644">
        <v>2.38</v>
      </c>
      <c r="H9" s="1644">
        <v>0.88</v>
      </c>
      <c r="I9" s="1644">
        <v>1.1200000000000001</v>
      </c>
      <c r="J9" s="1644">
        <v>-0.54</v>
      </c>
      <c r="K9" s="1644">
        <v>-6.07</v>
      </c>
      <c r="L9" s="1644">
        <v>-7.22</v>
      </c>
      <c r="M9" s="1644">
        <v>-23.72</v>
      </c>
      <c r="N9" s="1644">
        <v>1.52</v>
      </c>
      <c r="O9" s="1644">
        <v>0.28000000000000003</v>
      </c>
      <c r="P9" s="1644">
        <v>6.39</v>
      </c>
      <c r="Q9" s="1644">
        <v>-3.88</v>
      </c>
      <c r="R9" s="1644">
        <v>-5.28</v>
      </c>
      <c r="S9" s="1644">
        <v>-7.46</v>
      </c>
      <c r="T9" s="1846" t="s">
        <v>1296</v>
      </c>
      <c r="U9" s="1644">
        <v>2.41</v>
      </c>
      <c r="V9" s="1644">
        <v>0.05</v>
      </c>
      <c r="W9" s="1644">
        <v>-13.86</v>
      </c>
      <c r="X9" s="1644">
        <v>-5.49</v>
      </c>
      <c r="Y9" s="1644">
        <v>2.58</v>
      </c>
      <c r="Z9" s="1644">
        <v>-6.27</v>
      </c>
      <c r="AA9" s="1644">
        <v>-0.01</v>
      </c>
      <c r="AB9" s="1644">
        <v>2.57</v>
      </c>
      <c r="AC9" s="1644">
        <v>0.84</v>
      </c>
      <c r="AD9" s="1644">
        <v>-5.58</v>
      </c>
      <c r="AE9" s="1644">
        <v>-3.02</v>
      </c>
      <c r="AF9" s="1644">
        <v>-4.18</v>
      </c>
      <c r="AG9" s="1644">
        <v>0</v>
      </c>
      <c r="AH9" s="1644">
        <v>1.03</v>
      </c>
      <c r="AI9" s="1644">
        <v>2.52</v>
      </c>
      <c r="AJ9" s="1644">
        <v>-0.01</v>
      </c>
      <c r="AK9" s="1644">
        <v>0.55000000000000004</v>
      </c>
    </row>
    <row r="10" spans="1:37" s="236" customFormat="1" ht="12.75" customHeight="1" x14ac:dyDescent="0.2">
      <c r="A10" s="1847" t="s">
        <v>1404</v>
      </c>
      <c r="B10" s="1847"/>
      <c r="C10" s="1644">
        <v>-4.54</v>
      </c>
      <c r="D10" s="1644">
        <v>-0.92</v>
      </c>
      <c r="E10" s="1644">
        <v>0.28000000000000003</v>
      </c>
      <c r="F10" s="1644">
        <v>1.18</v>
      </c>
      <c r="G10" s="1644">
        <v>-3.75</v>
      </c>
      <c r="H10" s="1644">
        <v>-1.86</v>
      </c>
      <c r="I10" s="1644">
        <v>-1.72</v>
      </c>
      <c r="J10" s="1644">
        <v>0.45</v>
      </c>
      <c r="K10" s="1644">
        <v>-0.16</v>
      </c>
      <c r="L10" s="1644">
        <v>1.68</v>
      </c>
      <c r="M10" s="1644">
        <v>1.4</v>
      </c>
      <c r="N10" s="1644">
        <v>2.41</v>
      </c>
      <c r="O10" s="1644">
        <v>-0.33</v>
      </c>
      <c r="P10" s="1644">
        <v>-2.34</v>
      </c>
      <c r="Q10" s="1644">
        <v>-6.34</v>
      </c>
      <c r="R10" s="1644">
        <v>-4.32</v>
      </c>
      <c r="S10" s="1644">
        <v>-0.55000000000000004</v>
      </c>
      <c r="T10" s="1847" t="s">
        <v>1404</v>
      </c>
      <c r="U10" s="1644">
        <v>-4.04</v>
      </c>
      <c r="V10" s="1644">
        <v>0</v>
      </c>
      <c r="W10" s="1644">
        <v>-25.37</v>
      </c>
      <c r="X10" s="1644">
        <v>4.0599999999999996</v>
      </c>
      <c r="Y10" s="1644">
        <v>-0.01</v>
      </c>
      <c r="Z10" s="1644">
        <v>-0.19</v>
      </c>
      <c r="AA10" s="1644">
        <v>0</v>
      </c>
      <c r="AB10" s="1644">
        <v>-3.63</v>
      </c>
      <c r="AC10" s="1644">
        <v>1.1100000000000001</v>
      </c>
      <c r="AD10" s="1644">
        <v>-3.46</v>
      </c>
      <c r="AE10" s="1644">
        <v>-10.28</v>
      </c>
      <c r="AF10" s="1644">
        <v>2.1800000000000002</v>
      </c>
      <c r="AG10" s="1644">
        <v>0</v>
      </c>
      <c r="AH10" s="1644">
        <v>-1.04</v>
      </c>
      <c r="AI10" s="1644">
        <v>7.98</v>
      </c>
      <c r="AJ10" s="1644">
        <v>0</v>
      </c>
      <c r="AK10" s="1644">
        <v>-2.93</v>
      </c>
    </row>
    <row r="11" spans="1:37" s="264" customFormat="1" ht="12.75" customHeight="1" x14ac:dyDescent="0.15">
      <c r="A11" s="1847" t="s">
        <v>1484</v>
      </c>
      <c r="B11" s="1847"/>
      <c r="C11" s="1644">
        <v>-2.21</v>
      </c>
      <c r="D11" s="1644">
        <v>-0.47</v>
      </c>
      <c r="E11" s="1644">
        <v>-0.16</v>
      </c>
      <c r="F11" s="1644">
        <v>-4.1500000000000004</v>
      </c>
      <c r="G11" s="1644">
        <v>-2.89</v>
      </c>
      <c r="H11" s="1644">
        <v>-0.97</v>
      </c>
      <c r="I11" s="1644">
        <v>-1.1299999999999999</v>
      </c>
      <c r="J11" s="1644">
        <v>0.81</v>
      </c>
      <c r="K11" s="1644">
        <v>-8.69</v>
      </c>
      <c r="L11" s="1644">
        <v>-1.1000000000000001</v>
      </c>
      <c r="M11" s="1644">
        <v>0</v>
      </c>
      <c r="N11" s="1644">
        <v>0.3</v>
      </c>
      <c r="O11" s="1644">
        <v>-1.4</v>
      </c>
      <c r="P11" s="1644">
        <v>-3.45</v>
      </c>
      <c r="Q11" s="1644">
        <v>9.74</v>
      </c>
      <c r="R11" s="1644">
        <v>-0.86</v>
      </c>
      <c r="S11" s="1644">
        <v>-4.4400000000000004</v>
      </c>
      <c r="T11" s="1847" t="s">
        <v>1484</v>
      </c>
      <c r="U11" s="1644">
        <v>-11.79</v>
      </c>
      <c r="V11" s="1644">
        <v>0</v>
      </c>
      <c r="W11" s="1644">
        <v>-2.67</v>
      </c>
      <c r="X11" s="1644">
        <v>2.9</v>
      </c>
      <c r="Y11" s="1644">
        <v>0.01</v>
      </c>
      <c r="Z11" s="1644">
        <v>-9.75</v>
      </c>
      <c r="AA11" s="1644">
        <v>-0.02</v>
      </c>
      <c r="AB11" s="1644">
        <v>-3.35</v>
      </c>
      <c r="AC11" s="1644">
        <v>-2.94</v>
      </c>
      <c r="AD11" s="1644">
        <v>-0.49</v>
      </c>
      <c r="AE11" s="1644">
        <v>-5.18</v>
      </c>
      <c r="AF11" s="1644">
        <v>2.61</v>
      </c>
      <c r="AG11" s="1644">
        <v>0.16</v>
      </c>
      <c r="AH11" s="1644">
        <v>-0.76</v>
      </c>
      <c r="AI11" s="1644">
        <v>-0.63</v>
      </c>
      <c r="AJ11" s="1644">
        <v>0</v>
      </c>
      <c r="AK11" s="1644">
        <v>-3.12</v>
      </c>
    </row>
    <row r="12" spans="1:37" s="264" customFormat="1" ht="12.75" customHeight="1" x14ac:dyDescent="0.15">
      <c r="A12" s="1847" t="s">
        <v>1536</v>
      </c>
      <c r="B12" s="1847"/>
      <c r="C12" s="1644">
        <v>9.42</v>
      </c>
      <c r="D12" s="1644">
        <v>0.1</v>
      </c>
      <c r="E12" s="1644">
        <v>0.16</v>
      </c>
      <c r="F12" s="1644">
        <v>10.14</v>
      </c>
      <c r="G12" s="1644">
        <v>9.59</v>
      </c>
      <c r="H12" s="1644">
        <v>6.06</v>
      </c>
      <c r="I12" s="1644">
        <v>5.83</v>
      </c>
      <c r="J12" s="1644">
        <v>-0.17</v>
      </c>
      <c r="K12" s="1644">
        <v>1.63</v>
      </c>
      <c r="L12" s="1644">
        <v>-1.74</v>
      </c>
      <c r="M12" s="1644">
        <v>0</v>
      </c>
      <c r="N12" s="1644">
        <v>-2.66</v>
      </c>
      <c r="O12" s="1644">
        <v>2.21</v>
      </c>
      <c r="P12" s="1644">
        <v>3.03</v>
      </c>
      <c r="Q12" s="1644">
        <v>-16.13</v>
      </c>
      <c r="R12" s="1644">
        <v>3.65</v>
      </c>
      <c r="S12" s="1644">
        <v>8.8800000000000008</v>
      </c>
      <c r="T12" s="1847" t="s">
        <v>1536</v>
      </c>
      <c r="U12" s="1643">
        <v>12.92</v>
      </c>
      <c r="V12" s="1643">
        <v>0</v>
      </c>
      <c r="W12" s="1643">
        <v>5.84</v>
      </c>
      <c r="X12" s="1643">
        <v>2.21</v>
      </c>
      <c r="Y12" s="1643">
        <v>-1.64</v>
      </c>
      <c r="Z12" s="1643">
        <v>-3.71</v>
      </c>
      <c r="AA12" s="1643">
        <v>0.02</v>
      </c>
      <c r="AB12" s="1643">
        <v>5.92</v>
      </c>
      <c r="AC12" s="1643">
        <v>3.59</v>
      </c>
      <c r="AD12" s="1643">
        <v>9.41</v>
      </c>
      <c r="AE12" s="1643">
        <v>-6.69</v>
      </c>
      <c r="AF12" s="1643">
        <v>3.32</v>
      </c>
      <c r="AG12" s="1643">
        <v>-79.510000000000005</v>
      </c>
      <c r="AH12" s="1643">
        <v>3.41</v>
      </c>
      <c r="AI12" s="1643">
        <v>-3.65</v>
      </c>
      <c r="AJ12" s="1643">
        <v>0</v>
      </c>
      <c r="AK12" s="1643">
        <v>12.51</v>
      </c>
    </row>
    <row r="13" spans="1:37" s="264" customFormat="1" ht="12.75" customHeight="1" x14ac:dyDescent="0.15">
      <c r="A13" s="1847" t="s">
        <v>1817</v>
      </c>
      <c r="B13" s="1847"/>
      <c r="C13" s="1644">
        <v>-8.39</v>
      </c>
      <c r="D13" s="1644">
        <v>-9.24</v>
      </c>
      <c r="E13" s="1644">
        <v>0</v>
      </c>
      <c r="F13" s="1644">
        <v>-3.81</v>
      </c>
      <c r="G13" s="1644">
        <v>-3.74</v>
      </c>
      <c r="H13" s="1644">
        <v>-12.29</v>
      </c>
      <c r="I13" s="1644">
        <v>-12.24</v>
      </c>
      <c r="J13" s="1644">
        <v>-1.06</v>
      </c>
      <c r="K13" s="1644">
        <v>-5.88</v>
      </c>
      <c r="L13" s="1644">
        <v>-2.3199999999999998</v>
      </c>
      <c r="M13" s="1644">
        <v>0</v>
      </c>
      <c r="N13" s="1644">
        <v>-19.09</v>
      </c>
      <c r="O13" s="1644">
        <v>-1.86</v>
      </c>
      <c r="P13" s="1644">
        <v>-5.71</v>
      </c>
      <c r="Q13" s="1644">
        <v>-11.1</v>
      </c>
      <c r="R13" s="1644">
        <v>-6.46</v>
      </c>
      <c r="S13" s="1644">
        <v>-11.06</v>
      </c>
      <c r="T13" s="1847" t="s">
        <v>1817</v>
      </c>
      <c r="U13" s="1643">
        <v>-13.61</v>
      </c>
      <c r="V13" s="1643">
        <v>0</v>
      </c>
      <c r="W13" s="1643">
        <v>-22.47</v>
      </c>
      <c r="X13" s="1643">
        <v>-11.25</v>
      </c>
      <c r="Y13" s="1643">
        <v>1.06</v>
      </c>
      <c r="Z13" s="1643">
        <v>37.840000000000003</v>
      </c>
      <c r="AA13" s="1643">
        <v>-0.05</v>
      </c>
      <c r="AB13" s="1643">
        <v>-13.05</v>
      </c>
      <c r="AC13" s="1643">
        <v>-3.47</v>
      </c>
      <c r="AD13" s="1643">
        <v>-16.670000000000002</v>
      </c>
      <c r="AE13" s="1643">
        <v>-44.74</v>
      </c>
      <c r="AF13" s="1643">
        <v>-3.61</v>
      </c>
      <c r="AG13" s="1643">
        <v>-0.04</v>
      </c>
      <c r="AH13" s="1643">
        <v>-6.93</v>
      </c>
      <c r="AI13" s="1643">
        <v>-9.18</v>
      </c>
      <c r="AJ13" s="1643">
        <v>0</v>
      </c>
      <c r="AK13" s="1643">
        <v>-12.36</v>
      </c>
    </row>
    <row r="14" spans="1:37" s="264" customFormat="1" ht="12.75" customHeight="1" x14ac:dyDescent="0.15">
      <c r="A14" s="1848" t="s">
        <v>2066</v>
      </c>
      <c r="B14" s="1848"/>
      <c r="C14" s="1849">
        <v>-2.9642547042443099</v>
      </c>
      <c r="D14" s="1849">
        <v>-11.839622641509401</v>
      </c>
      <c r="E14" s="1849">
        <v>0</v>
      </c>
      <c r="F14" s="1849">
        <v>-2.20351196571472</v>
      </c>
      <c r="G14" s="1849">
        <v>-7.65</v>
      </c>
      <c r="H14" s="1849">
        <v>4.24700822190362</v>
      </c>
      <c r="I14" s="1849">
        <v>4.51</v>
      </c>
      <c r="J14" s="1849">
        <v>0.213922183411133</v>
      </c>
      <c r="K14" s="1849">
        <v>-3.83818943675697</v>
      </c>
      <c r="L14" s="1849">
        <v>-0.96489768757278305</v>
      </c>
      <c r="M14" s="1849">
        <v>-5.9520266650794603E-3</v>
      </c>
      <c r="N14" s="1849">
        <v>-5.3625246821630199</v>
      </c>
      <c r="O14" s="1849">
        <v>-0.21141649048625799</v>
      </c>
      <c r="P14" s="1849">
        <v>-5.94513822179528</v>
      </c>
      <c r="Q14" s="1849">
        <v>-11.8333333333333</v>
      </c>
      <c r="R14" s="1849">
        <v>-0.21704301206533499</v>
      </c>
      <c r="S14" s="1849">
        <v>-1.2143242707333299</v>
      </c>
      <c r="T14" s="1848" t="s">
        <v>2066</v>
      </c>
      <c r="U14" s="1850">
        <v>-8.3931491283984094</v>
      </c>
      <c r="V14" s="1850">
        <v>0</v>
      </c>
      <c r="W14" s="1850">
        <v>-28.801742919390001</v>
      </c>
      <c r="X14" s="1850">
        <v>-1.5605381165919301</v>
      </c>
      <c r="Y14" s="1850">
        <v>0.54623809393099299</v>
      </c>
      <c r="Z14" s="1850">
        <v>-36.85</v>
      </c>
      <c r="AA14" s="1850">
        <v>0.03</v>
      </c>
      <c r="AB14" s="1850">
        <v>-0.26</v>
      </c>
      <c r="AC14" s="1850">
        <v>3.07</v>
      </c>
      <c r="AD14" s="1850">
        <v>-5.2622076551302701</v>
      </c>
      <c r="AE14" s="1850">
        <v>17.303005686433799</v>
      </c>
      <c r="AF14" s="1850">
        <v>6.44</v>
      </c>
      <c r="AG14" s="1850">
        <v>0</v>
      </c>
      <c r="AH14" s="1850">
        <v>0.45</v>
      </c>
      <c r="AI14" s="1850">
        <v>0.23</v>
      </c>
      <c r="AJ14" s="1850">
        <v>0.01</v>
      </c>
      <c r="AK14" s="1850">
        <v>4.7744704442882204</v>
      </c>
    </row>
    <row r="15" spans="1:37" s="438" customFormat="1" ht="12.75" customHeight="1" x14ac:dyDescent="0.15">
      <c r="A15" s="1848" t="s">
        <v>2206</v>
      </c>
      <c r="B15" s="1848"/>
      <c r="C15" s="1849">
        <v>1.49992507123463E-2</v>
      </c>
      <c r="D15" s="1849">
        <v>-10.1694915254237</v>
      </c>
      <c r="E15" s="1849">
        <v>0</v>
      </c>
      <c r="F15" s="1849">
        <v>-3.2274571439014599</v>
      </c>
      <c r="G15" s="1849">
        <v>1.9763428186563401</v>
      </c>
      <c r="H15" s="1849">
        <v>-1.7958738003563</v>
      </c>
      <c r="I15" s="1849">
        <v>-1.8053520285684601</v>
      </c>
      <c r="J15" s="1849">
        <v>0.27919545602991702</v>
      </c>
      <c r="K15" s="1849">
        <v>-1.51631477927063</v>
      </c>
      <c r="L15" s="1849">
        <v>-8.2290076335877895</v>
      </c>
      <c r="M15" s="1849">
        <v>0</v>
      </c>
      <c r="N15" s="1849">
        <v>-10.270119051319501</v>
      </c>
      <c r="O15" s="1849">
        <v>0.228198859005705</v>
      </c>
      <c r="P15" s="1849">
        <v>-0.69952305246422897</v>
      </c>
      <c r="Q15" s="1849">
        <v>0</v>
      </c>
      <c r="R15" s="1849">
        <v>-1.35741382975896</v>
      </c>
      <c r="S15" s="1849">
        <v>-0.91175532286413696</v>
      </c>
      <c r="T15" s="1848" t="s">
        <v>2206</v>
      </c>
      <c r="U15" s="1850">
        <v>1.3548435422557601</v>
      </c>
      <c r="V15" s="1850">
        <v>0</v>
      </c>
      <c r="W15" s="1850">
        <v>3.0812073302191898</v>
      </c>
      <c r="X15" s="1850">
        <v>-4.6845614634980297</v>
      </c>
      <c r="Y15" s="1850">
        <v>-7.9539221064179905E-2</v>
      </c>
      <c r="Z15" s="1850">
        <v>-2.4489795918367299</v>
      </c>
      <c r="AA15" s="1850">
        <v>-1.86577109654033E-2</v>
      </c>
      <c r="AB15" s="1850">
        <v>-5.6983584007529302</v>
      </c>
      <c r="AC15" s="1850">
        <v>-0.27287141856263097</v>
      </c>
      <c r="AD15" s="1850">
        <v>1.9039891308450001</v>
      </c>
      <c r="AE15" s="1850">
        <v>0.58833142670370997</v>
      </c>
      <c r="AF15" s="1850">
        <v>-0.161308265658026</v>
      </c>
      <c r="AG15" s="1850">
        <v>-80.675306695381295</v>
      </c>
      <c r="AH15" s="1850">
        <v>-1.1179797448375599</v>
      </c>
      <c r="AI15" s="1850">
        <v>-4.2289910252923599</v>
      </c>
      <c r="AJ15" s="1850">
        <v>-2.7225701061802301E-3</v>
      </c>
      <c r="AK15" s="1850">
        <v>-0.48795846906843299</v>
      </c>
    </row>
    <row r="16" spans="1:37" s="438" customFormat="1" ht="12.75" customHeight="1" x14ac:dyDescent="0.15">
      <c r="A16" s="1848" t="s">
        <v>2479</v>
      </c>
      <c r="B16" s="1848"/>
      <c r="C16" s="1849">
        <v>-2.0620859538754099</v>
      </c>
      <c r="D16" s="1849">
        <v>-3.8892282630828801</v>
      </c>
      <c r="E16" s="1849">
        <v>-3.9771974015643599E-2</v>
      </c>
      <c r="F16" s="1849">
        <v>-1.8272182429469399E-2</v>
      </c>
      <c r="G16" s="1849">
        <v>-0.44422093705473098</v>
      </c>
      <c r="H16" s="1849">
        <v>9.3439738594947794</v>
      </c>
      <c r="I16" s="1849">
        <v>9.3793777228019</v>
      </c>
      <c r="J16" s="1849">
        <v>-0.53185390896699303</v>
      </c>
      <c r="K16" s="1849">
        <v>-2.4515827043473202</v>
      </c>
      <c r="L16" s="1849">
        <v>0.877868473740952</v>
      </c>
      <c r="M16" s="1849">
        <v>0</v>
      </c>
      <c r="N16" s="1849">
        <v>11.191373172502001</v>
      </c>
      <c r="O16" s="1849">
        <v>0.40916530278232399</v>
      </c>
      <c r="P16" s="1849">
        <v>11.868626986009</v>
      </c>
      <c r="Q16" s="1849">
        <v>0</v>
      </c>
      <c r="R16" s="1849">
        <v>4.4172290925425104</v>
      </c>
      <c r="S16" s="1849">
        <v>-0.48470895855336898</v>
      </c>
      <c r="T16" s="1848" t="s">
        <v>2479</v>
      </c>
      <c r="U16" s="1850">
        <v>5.9475331451840896</v>
      </c>
      <c r="V16" s="1850">
        <v>0</v>
      </c>
      <c r="W16" s="1850">
        <v>-1.8861272695222999</v>
      </c>
      <c r="X16" s="1850">
        <v>3.8179591402048301</v>
      </c>
      <c r="Y16" s="1850">
        <v>3.0179154434963901E-2</v>
      </c>
      <c r="Z16" s="1850">
        <v>9.2356687898089191</v>
      </c>
      <c r="AA16" s="1850">
        <v>3.4662045060658599E-2</v>
      </c>
      <c r="AB16" s="1850">
        <v>1.9203099059214199</v>
      </c>
      <c r="AC16" s="1850">
        <v>6.2698381598025001</v>
      </c>
      <c r="AD16" s="1850">
        <v>11.7804636250501</v>
      </c>
      <c r="AE16" s="1850">
        <v>2.0683903252710598</v>
      </c>
      <c r="AF16" s="1850">
        <v>12.4890501814541</v>
      </c>
      <c r="AG16" s="1850">
        <v>-2.69127258746636E-2</v>
      </c>
      <c r="AH16" s="1850">
        <v>4.4655125034350096</v>
      </c>
      <c r="AI16" s="1850">
        <v>12.9126362659297</v>
      </c>
      <c r="AJ16" s="1850">
        <v>1.36147038801906E-2</v>
      </c>
      <c r="AK16" s="1850">
        <v>8.4743766143370198</v>
      </c>
    </row>
    <row r="17" spans="1:37" s="438" customFormat="1" ht="12.75" customHeight="1" x14ac:dyDescent="0.15">
      <c r="A17" s="1848"/>
      <c r="B17" s="1848"/>
      <c r="C17" s="1849"/>
      <c r="D17" s="1849"/>
      <c r="E17" s="1849"/>
      <c r="F17" s="1849"/>
      <c r="G17" s="1849"/>
      <c r="H17" s="1849"/>
      <c r="I17" s="1849"/>
      <c r="J17" s="1849"/>
      <c r="K17" s="1849"/>
      <c r="L17" s="1849"/>
      <c r="M17" s="1849"/>
      <c r="N17" s="1849"/>
      <c r="O17" s="1849"/>
      <c r="P17" s="1849"/>
      <c r="Q17" s="1849"/>
      <c r="R17" s="1849"/>
      <c r="S17" s="1849"/>
      <c r="T17" s="1848"/>
      <c r="U17" s="1850"/>
      <c r="V17" s="1850"/>
      <c r="W17" s="1850"/>
      <c r="X17" s="1850"/>
      <c r="Y17" s="1850"/>
      <c r="Z17" s="1850"/>
      <c r="AA17" s="1850"/>
      <c r="AB17" s="1850"/>
      <c r="AC17" s="1850"/>
      <c r="AD17" s="1850"/>
      <c r="AE17" s="1850"/>
      <c r="AF17" s="1850"/>
      <c r="AG17" s="1850"/>
      <c r="AH17" s="1850"/>
      <c r="AI17" s="1850"/>
      <c r="AJ17" s="1850"/>
      <c r="AK17" s="1850"/>
    </row>
    <row r="18" spans="1:37" s="438" customFormat="1" ht="12.75" customHeight="1" x14ac:dyDescent="0.15">
      <c r="A18" s="1848"/>
      <c r="B18" s="1848"/>
      <c r="C18" s="1849"/>
      <c r="D18" s="1849"/>
      <c r="E18" s="1849"/>
      <c r="F18" s="1849"/>
      <c r="G18" s="1849"/>
      <c r="H18" s="1849"/>
      <c r="I18" s="1849"/>
      <c r="J18" s="1849"/>
      <c r="K18" s="1849"/>
      <c r="L18" s="1849"/>
      <c r="M18" s="1849"/>
      <c r="N18" s="1849"/>
      <c r="O18" s="1849"/>
      <c r="P18" s="1849"/>
      <c r="Q18" s="1849"/>
      <c r="R18" s="1849"/>
      <c r="S18" s="1849"/>
      <c r="T18" s="1848"/>
      <c r="U18" s="1850"/>
      <c r="V18" s="1850"/>
      <c r="W18" s="1850"/>
      <c r="X18" s="1850"/>
      <c r="Y18" s="1850"/>
      <c r="Z18" s="1850"/>
      <c r="AA18" s="1850"/>
      <c r="AB18" s="1850"/>
      <c r="AC18" s="1850"/>
      <c r="AD18" s="1850"/>
      <c r="AE18" s="1850"/>
      <c r="AF18" s="1850"/>
      <c r="AG18" s="1850"/>
      <c r="AH18" s="1850"/>
      <c r="AI18" s="1850"/>
      <c r="AJ18" s="1850"/>
      <c r="AK18" s="1850"/>
    </row>
    <row r="19" spans="1:37" s="438" customFormat="1" ht="12.75" customHeight="1" x14ac:dyDescent="0.15">
      <c r="A19" s="1848"/>
      <c r="B19" s="1848"/>
      <c r="C19" s="1849"/>
      <c r="D19" s="1849"/>
      <c r="E19" s="1849"/>
      <c r="F19" s="1849"/>
      <c r="G19" s="1849"/>
      <c r="H19" s="1849"/>
      <c r="I19" s="1849"/>
      <c r="J19" s="1849"/>
      <c r="K19" s="1849"/>
      <c r="L19" s="1849"/>
      <c r="M19" s="1849"/>
      <c r="N19" s="1849"/>
      <c r="O19" s="1849"/>
      <c r="P19" s="1849"/>
      <c r="Q19" s="1849"/>
      <c r="R19" s="1849"/>
      <c r="S19" s="1849"/>
      <c r="T19" s="1848"/>
      <c r="U19" s="1850"/>
      <c r="V19" s="1850"/>
      <c r="W19" s="1850"/>
      <c r="X19" s="1850"/>
      <c r="Y19" s="1850"/>
      <c r="Z19" s="1850"/>
      <c r="AA19" s="1850"/>
      <c r="AB19" s="1850"/>
      <c r="AC19" s="1850"/>
      <c r="AD19" s="1850"/>
      <c r="AE19" s="1850"/>
      <c r="AF19" s="1850"/>
      <c r="AG19" s="1850"/>
      <c r="AH19" s="1850"/>
      <c r="AI19" s="1850"/>
      <c r="AJ19" s="1850"/>
      <c r="AK19" s="1850"/>
    </row>
    <row r="20" spans="1:37" s="438" customFormat="1" ht="12.75" customHeight="1" x14ac:dyDescent="0.2">
      <c r="A20" s="1848" t="s">
        <v>696</v>
      </c>
      <c r="B20" s="427" t="s">
        <v>552</v>
      </c>
      <c r="C20" s="1851">
        <v>2.86</v>
      </c>
      <c r="D20" s="1841">
        <v>-0.75</v>
      </c>
      <c r="E20" s="1841">
        <v>0.01</v>
      </c>
      <c r="F20" s="1851">
        <v>1.56</v>
      </c>
      <c r="G20" s="1841">
        <v>0.43</v>
      </c>
      <c r="H20" s="1851">
        <v>-0.21</v>
      </c>
      <c r="I20" s="1851">
        <v>-0.34</v>
      </c>
      <c r="J20" s="1851">
        <v>-0.15</v>
      </c>
      <c r="K20" s="1851">
        <v>1.22</v>
      </c>
      <c r="L20" s="1851">
        <v>1.1399999999999999</v>
      </c>
      <c r="M20" s="1841">
        <v>0.6</v>
      </c>
      <c r="N20" s="1851">
        <v>5.03</v>
      </c>
      <c r="O20" s="1851">
        <v>0.49</v>
      </c>
      <c r="P20" s="1851">
        <v>1.81</v>
      </c>
      <c r="Q20" s="1841">
        <v>0</v>
      </c>
      <c r="R20" s="1851">
        <v>1.55</v>
      </c>
      <c r="S20" s="1851">
        <v>6.48</v>
      </c>
      <c r="T20" s="427" t="s">
        <v>552</v>
      </c>
      <c r="U20" s="1841">
        <v>0.02</v>
      </c>
      <c r="V20" s="1841">
        <v>0</v>
      </c>
      <c r="W20" s="1851">
        <v>-0.48</v>
      </c>
      <c r="X20" s="1851">
        <v>3.16</v>
      </c>
      <c r="Y20" s="1841">
        <v>0</v>
      </c>
      <c r="Z20" s="1841">
        <v>1.9</v>
      </c>
      <c r="AA20" s="1851">
        <v>-0.01</v>
      </c>
      <c r="AB20" s="1851">
        <v>2.12</v>
      </c>
      <c r="AC20" s="1851">
        <v>2.4300000000000002</v>
      </c>
      <c r="AD20" s="1851">
        <v>0.53</v>
      </c>
      <c r="AE20" s="1851">
        <v>0.14000000000000001</v>
      </c>
      <c r="AF20" s="1851">
        <v>6.13</v>
      </c>
      <c r="AG20" s="1851">
        <v>-0.13</v>
      </c>
      <c r="AH20" s="1851">
        <v>0.18</v>
      </c>
      <c r="AI20" s="1851">
        <v>3.41</v>
      </c>
      <c r="AJ20" s="1841">
        <v>0</v>
      </c>
      <c r="AK20" s="1851">
        <v>2.1800000000000002</v>
      </c>
    </row>
    <row r="21" spans="1:37" s="438" customFormat="1" ht="12.75" customHeight="1" x14ac:dyDescent="0.2">
      <c r="A21" s="1848" t="s">
        <v>696</v>
      </c>
      <c r="B21" s="427" t="s">
        <v>553</v>
      </c>
      <c r="C21" s="1851">
        <v>-3.09</v>
      </c>
      <c r="D21" s="1841">
        <v>1.48</v>
      </c>
      <c r="E21" s="1841">
        <v>0</v>
      </c>
      <c r="F21" s="1851">
        <v>-2.2799999999999998</v>
      </c>
      <c r="G21" s="1841">
        <v>0.93</v>
      </c>
      <c r="H21" s="1851">
        <v>0.85</v>
      </c>
      <c r="I21" s="1851">
        <v>0.86</v>
      </c>
      <c r="J21" s="1851">
        <v>0.02</v>
      </c>
      <c r="K21" s="1841">
        <v>-3.8</v>
      </c>
      <c r="L21" s="1851">
        <v>-0.39</v>
      </c>
      <c r="M21" s="1841">
        <v>0.02</v>
      </c>
      <c r="N21" s="1851">
        <v>0.05</v>
      </c>
      <c r="O21" s="1851">
        <v>0.26</v>
      </c>
      <c r="P21" s="1851">
        <v>-0.59</v>
      </c>
      <c r="Q21" s="1841">
        <v>0</v>
      </c>
      <c r="R21" s="1851">
        <v>-3.48</v>
      </c>
      <c r="S21" s="1851">
        <v>-3.81</v>
      </c>
      <c r="T21" s="427" t="s">
        <v>553</v>
      </c>
      <c r="U21" s="1841">
        <v>0.56999999999999995</v>
      </c>
      <c r="V21" s="1841">
        <v>0</v>
      </c>
      <c r="W21" s="1851">
        <v>-0.81</v>
      </c>
      <c r="X21" s="1851">
        <v>-0.64</v>
      </c>
      <c r="Y21" s="1841">
        <v>0</v>
      </c>
      <c r="Z21" s="1841">
        <v>-4.51</v>
      </c>
      <c r="AA21" s="1841">
        <v>0</v>
      </c>
      <c r="AB21" s="1851">
        <v>-1.82</v>
      </c>
      <c r="AC21" s="1851">
        <v>-0.14000000000000001</v>
      </c>
      <c r="AD21" s="1851">
        <v>-0.87</v>
      </c>
      <c r="AE21" s="1851">
        <v>-0.41</v>
      </c>
      <c r="AF21" s="1851">
        <v>-3.65</v>
      </c>
      <c r="AG21" s="1851">
        <v>0.25</v>
      </c>
      <c r="AH21" s="1851">
        <v>0.81</v>
      </c>
      <c r="AI21" s="1851">
        <v>-0.71</v>
      </c>
      <c r="AJ21" s="1841">
        <v>0</v>
      </c>
      <c r="AK21" s="1851">
        <v>-0.08</v>
      </c>
    </row>
    <row r="22" spans="1:37" s="438" customFormat="1" ht="12.75" customHeight="1" x14ac:dyDescent="0.2">
      <c r="A22" s="1848" t="s">
        <v>696</v>
      </c>
      <c r="B22" s="427" t="s">
        <v>547</v>
      </c>
      <c r="C22" s="1851">
        <v>-8.2100000000000009</v>
      </c>
      <c r="D22" s="1841">
        <v>-2.15</v>
      </c>
      <c r="E22" s="1841">
        <v>0</v>
      </c>
      <c r="F22" s="1851">
        <v>-5.63</v>
      </c>
      <c r="G22" s="1841">
        <v>0.47</v>
      </c>
      <c r="H22" s="1851">
        <v>-6.26</v>
      </c>
      <c r="I22" s="1851">
        <v>-6.38</v>
      </c>
      <c r="J22" s="1851">
        <v>0.02</v>
      </c>
      <c r="K22" s="1841">
        <v>-6.38</v>
      </c>
      <c r="L22" s="1851">
        <v>-3.25</v>
      </c>
      <c r="M22" s="1841">
        <v>-1.26</v>
      </c>
      <c r="N22" s="1851">
        <v>0.08</v>
      </c>
      <c r="O22" s="1851">
        <v>-1.59</v>
      </c>
      <c r="P22" s="1851">
        <v>-6.49</v>
      </c>
      <c r="Q22" s="1841">
        <v>0</v>
      </c>
      <c r="R22" s="1851">
        <v>-7.16</v>
      </c>
      <c r="S22" s="1851">
        <v>-8.9</v>
      </c>
      <c r="T22" s="427" t="s">
        <v>547</v>
      </c>
      <c r="U22" s="1841">
        <v>-7.77</v>
      </c>
      <c r="V22" s="1841">
        <v>0</v>
      </c>
      <c r="W22" s="1851">
        <v>-0.26</v>
      </c>
      <c r="X22" s="1851">
        <v>-2.77</v>
      </c>
      <c r="Y22" s="1841">
        <v>0</v>
      </c>
      <c r="Z22" s="1841">
        <v>-9.2899999999999991</v>
      </c>
      <c r="AA22" s="1841">
        <v>0</v>
      </c>
      <c r="AB22" s="1851">
        <v>-8.51</v>
      </c>
      <c r="AC22" s="1851">
        <v>-7.11</v>
      </c>
      <c r="AD22" s="1851">
        <v>-7.68</v>
      </c>
      <c r="AE22" s="1851">
        <v>-0.03</v>
      </c>
      <c r="AF22" s="1851">
        <v>-9.11</v>
      </c>
      <c r="AG22" s="1851">
        <v>-3.01</v>
      </c>
      <c r="AH22" s="1851">
        <v>-2.84</v>
      </c>
      <c r="AI22" s="1851">
        <v>-3.78</v>
      </c>
      <c r="AJ22" s="1841">
        <v>0</v>
      </c>
      <c r="AK22" s="1851">
        <v>-4.82</v>
      </c>
    </row>
    <row r="23" spans="1:37" s="438" customFormat="1" ht="12.75" customHeight="1" x14ac:dyDescent="0.2">
      <c r="A23" s="1848" t="s">
        <v>696</v>
      </c>
      <c r="B23" s="427" t="s">
        <v>554</v>
      </c>
      <c r="C23" s="1851">
        <v>9.56</v>
      </c>
      <c r="D23" s="1841">
        <v>-1.27</v>
      </c>
      <c r="E23" s="1841">
        <v>0</v>
      </c>
      <c r="F23" s="1851">
        <v>4.42</v>
      </c>
      <c r="G23" s="1841">
        <v>0.5</v>
      </c>
      <c r="H23" s="1851">
        <v>4.24</v>
      </c>
      <c r="I23" s="1851">
        <v>4.26</v>
      </c>
      <c r="J23" s="1851">
        <v>0.37</v>
      </c>
      <c r="K23" s="1841">
        <v>0.9</v>
      </c>
      <c r="L23" s="1851">
        <v>-0.17</v>
      </c>
      <c r="M23" s="1841">
        <v>0.12</v>
      </c>
      <c r="N23" s="1841">
        <v>1.3</v>
      </c>
      <c r="O23" s="1851">
        <v>1.04</v>
      </c>
      <c r="P23" s="1851">
        <v>3.89</v>
      </c>
      <c r="Q23" s="1841">
        <v>0</v>
      </c>
      <c r="R23" s="1851">
        <v>-0.14000000000000001</v>
      </c>
      <c r="S23" s="1851">
        <v>-6.87</v>
      </c>
      <c r="T23" s="427" t="s">
        <v>554</v>
      </c>
      <c r="U23" s="1841">
        <v>7.02</v>
      </c>
      <c r="V23" s="1841">
        <v>0</v>
      </c>
      <c r="W23" s="1851">
        <v>0.89</v>
      </c>
      <c r="X23" s="1851">
        <v>2.42</v>
      </c>
      <c r="Y23" s="1841">
        <v>0.01</v>
      </c>
      <c r="Z23" s="1841">
        <v>6.83</v>
      </c>
      <c r="AA23" s="1841">
        <v>0.01</v>
      </c>
      <c r="AB23" s="1851">
        <v>6.23</v>
      </c>
      <c r="AC23" s="1851">
        <v>4.49</v>
      </c>
      <c r="AD23" s="1851">
        <v>6.53</v>
      </c>
      <c r="AE23" s="1851">
        <v>0.01</v>
      </c>
      <c r="AF23" s="1851">
        <v>4.1900000000000004</v>
      </c>
      <c r="AG23" s="1851">
        <v>-0.71</v>
      </c>
      <c r="AH23" s="1841">
        <v>1.9</v>
      </c>
      <c r="AI23" s="1851">
        <v>1.85</v>
      </c>
      <c r="AJ23" s="1841">
        <v>0</v>
      </c>
      <c r="AK23" s="1851">
        <v>3.29</v>
      </c>
    </row>
    <row r="24" spans="1:37" s="438" customFormat="1" ht="12.75" customHeight="1" x14ac:dyDescent="0.2">
      <c r="A24" s="1848" t="s">
        <v>696</v>
      </c>
      <c r="B24" s="427" t="s">
        <v>555</v>
      </c>
      <c r="C24" s="1851">
        <v>-6.39</v>
      </c>
      <c r="D24" s="1841">
        <v>-0.87</v>
      </c>
      <c r="E24" s="1841">
        <v>0</v>
      </c>
      <c r="F24" s="1851">
        <v>-3.76</v>
      </c>
      <c r="G24" s="1841">
        <v>-0.39</v>
      </c>
      <c r="H24" s="1851">
        <v>-5.77</v>
      </c>
      <c r="I24" s="1851">
        <v>5.85</v>
      </c>
      <c r="J24" s="1851">
        <v>-0.33</v>
      </c>
      <c r="K24" s="1841">
        <v>-6.34</v>
      </c>
      <c r="L24" s="1851">
        <v>-3.65</v>
      </c>
      <c r="M24" s="1841">
        <v>-1.74</v>
      </c>
      <c r="N24" s="1841">
        <v>-2.66</v>
      </c>
      <c r="O24" s="1851">
        <v>-1.17</v>
      </c>
      <c r="P24" s="1851">
        <v>-3.06</v>
      </c>
      <c r="Q24" s="1841">
        <v>0</v>
      </c>
      <c r="R24" s="1851">
        <v>-5.03</v>
      </c>
      <c r="S24" s="1851">
        <v>-7.34</v>
      </c>
      <c r="T24" s="427" t="s">
        <v>555</v>
      </c>
      <c r="U24" s="1841">
        <v>-7.27</v>
      </c>
      <c r="V24" s="1841">
        <v>0</v>
      </c>
      <c r="W24" s="1851">
        <v>-1.92</v>
      </c>
      <c r="X24" s="1851">
        <v>-2.34</v>
      </c>
      <c r="Y24" s="1841">
        <v>-0.01</v>
      </c>
      <c r="Z24" s="1841">
        <v>-5.28</v>
      </c>
      <c r="AA24" s="1841">
        <v>-0.01</v>
      </c>
      <c r="AB24" s="1851">
        <v>-5.16</v>
      </c>
      <c r="AC24" s="1851">
        <v>-4.1900000000000004</v>
      </c>
      <c r="AD24" s="1851">
        <v>-6.46</v>
      </c>
      <c r="AE24" s="1851">
        <v>-3.34</v>
      </c>
      <c r="AF24" s="1851">
        <v>-6.33</v>
      </c>
      <c r="AG24" s="1851">
        <v>-1.64</v>
      </c>
      <c r="AH24" s="1851">
        <v>-2.66</v>
      </c>
      <c r="AI24" s="1841">
        <v>-2.1</v>
      </c>
      <c r="AJ24" s="1841">
        <v>0</v>
      </c>
      <c r="AK24" s="1851">
        <v>-3.21</v>
      </c>
    </row>
    <row r="25" spans="1:37" s="438" customFormat="1" ht="12.75" customHeight="1" x14ac:dyDescent="0.2">
      <c r="A25" s="1848" t="s">
        <v>696</v>
      </c>
      <c r="B25" s="427" t="s">
        <v>548</v>
      </c>
      <c r="C25" s="1851">
        <v>1.96</v>
      </c>
      <c r="D25" s="1841">
        <v>-6.09</v>
      </c>
      <c r="E25" s="1841">
        <v>0</v>
      </c>
      <c r="F25" s="1851">
        <v>1.1399999999999999</v>
      </c>
      <c r="G25" s="1841">
        <v>0.75</v>
      </c>
      <c r="H25" s="1851">
        <v>-2.89</v>
      </c>
      <c r="I25" s="1851">
        <v>-2.92</v>
      </c>
      <c r="J25" s="1851">
        <v>0.28000000000000003</v>
      </c>
      <c r="K25" s="1841">
        <v>-2.08</v>
      </c>
      <c r="L25" s="1851">
        <v>1.1299999999999999</v>
      </c>
      <c r="M25" s="1841">
        <v>-2.2999999999999998</v>
      </c>
      <c r="N25" s="1841">
        <v>1.21</v>
      </c>
      <c r="O25" s="1851">
        <v>-0.5</v>
      </c>
      <c r="P25" s="1851">
        <v>-0.08</v>
      </c>
      <c r="Q25" s="1841">
        <v>0</v>
      </c>
      <c r="R25" s="1851">
        <v>-1.06</v>
      </c>
      <c r="S25" s="1851">
        <v>2.0099999999999998</v>
      </c>
      <c r="T25" s="427" t="s">
        <v>548</v>
      </c>
      <c r="U25" s="1841">
        <v>-2.2999999999999998</v>
      </c>
      <c r="V25" s="1841">
        <v>0</v>
      </c>
      <c r="W25" s="1851">
        <v>-1.65</v>
      </c>
      <c r="X25" s="1851">
        <v>-0.52</v>
      </c>
      <c r="Y25" s="1841">
        <v>0.03</v>
      </c>
      <c r="Z25" s="1841">
        <v>-0.14000000000000001</v>
      </c>
      <c r="AA25" s="1841">
        <v>0</v>
      </c>
      <c r="AB25" s="1851">
        <v>1.1299999999999999</v>
      </c>
      <c r="AC25" s="1851">
        <v>-7.0000000000000007E-2</v>
      </c>
      <c r="AD25" s="1851">
        <v>0.03</v>
      </c>
      <c r="AE25" s="1851">
        <v>-0.16</v>
      </c>
      <c r="AF25" s="1841">
        <v>-1.9</v>
      </c>
      <c r="AG25" s="1851">
        <v>-7.53</v>
      </c>
      <c r="AH25" s="1851">
        <v>-1.24</v>
      </c>
      <c r="AI25" s="1851">
        <v>-0.76</v>
      </c>
      <c r="AJ25" s="1841">
        <v>0</v>
      </c>
      <c r="AK25" s="1841">
        <v>-0.47</v>
      </c>
    </row>
    <row r="26" spans="1:37" s="438" customFormat="1" ht="12.75" customHeight="1" x14ac:dyDescent="0.2">
      <c r="A26" s="1848" t="s">
        <v>696</v>
      </c>
      <c r="B26" s="427" t="s">
        <v>556</v>
      </c>
      <c r="C26" s="1851">
        <v>3.68</v>
      </c>
      <c r="D26" s="1841">
        <v>-3.07</v>
      </c>
      <c r="E26" s="1841">
        <v>0</v>
      </c>
      <c r="F26" s="1851">
        <v>1.73</v>
      </c>
      <c r="G26" s="1841">
        <v>-0.17</v>
      </c>
      <c r="H26" s="1851">
        <v>1.49</v>
      </c>
      <c r="I26" s="1841">
        <v>1.5</v>
      </c>
      <c r="J26" s="1851">
        <v>0.14000000000000001</v>
      </c>
      <c r="K26" s="1841">
        <v>6.89</v>
      </c>
      <c r="L26" s="1851">
        <v>0.72</v>
      </c>
      <c r="M26" s="1841">
        <v>-1.3</v>
      </c>
      <c r="N26" s="1841">
        <v>0.85</v>
      </c>
      <c r="O26" s="1851">
        <v>0.43</v>
      </c>
      <c r="P26" s="1851">
        <v>4.1100000000000003</v>
      </c>
      <c r="Q26" s="1841">
        <v>0</v>
      </c>
      <c r="R26" s="1851">
        <v>5.43</v>
      </c>
      <c r="S26" s="1851">
        <v>5.26</v>
      </c>
      <c r="T26" s="427" t="s">
        <v>556</v>
      </c>
      <c r="U26" s="1841">
        <v>2.81</v>
      </c>
      <c r="V26" s="1841">
        <v>0</v>
      </c>
      <c r="W26" s="1851">
        <v>-0.63</v>
      </c>
      <c r="X26" s="1851">
        <v>2.34</v>
      </c>
      <c r="Y26" s="1841">
        <v>-0.02</v>
      </c>
      <c r="Z26" s="1841">
        <v>3.62</v>
      </c>
      <c r="AA26" s="1841">
        <v>0</v>
      </c>
      <c r="AB26" s="1851">
        <v>2.56</v>
      </c>
      <c r="AC26" s="1851">
        <v>3.12</v>
      </c>
      <c r="AD26" s="1851">
        <v>2.2599999999999998</v>
      </c>
      <c r="AE26" s="1851">
        <v>0.16</v>
      </c>
      <c r="AF26" s="1841">
        <v>2.21</v>
      </c>
      <c r="AG26" s="1851">
        <v>-5.74</v>
      </c>
      <c r="AH26" s="1841">
        <v>0.8</v>
      </c>
      <c r="AI26" s="1851">
        <v>0.12</v>
      </c>
      <c r="AJ26" s="1841">
        <v>0</v>
      </c>
      <c r="AK26" s="1841">
        <v>1.08</v>
      </c>
    </row>
    <row r="27" spans="1:37" s="438" customFormat="1" ht="12.75" customHeight="1" x14ac:dyDescent="0.2">
      <c r="A27" s="1848" t="s">
        <v>696</v>
      </c>
      <c r="B27" s="427" t="s">
        <v>557</v>
      </c>
      <c r="C27" s="1851">
        <v>1.59</v>
      </c>
      <c r="D27" s="1841">
        <v>3.28</v>
      </c>
      <c r="E27" s="1841">
        <v>0</v>
      </c>
      <c r="F27" s="1851">
        <v>0.66</v>
      </c>
      <c r="G27" s="1841">
        <v>0.31</v>
      </c>
      <c r="H27" s="1851">
        <v>2.42</v>
      </c>
      <c r="I27" s="1841">
        <v>2.4500000000000002</v>
      </c>
      <c r="J27" s="1841">
        <v>0</v>
      </c>
      <c r="K27" s="1841">
        <v>1.07</v>
      </c>
      <c r="L27" s="1851">
        <v>-0.91</v>
      </c>
      <c r="M27" s="1841">
        <v>-7.74</v>
      </c>
      <c r="N27" s="1841">
        <v>-5.18</v>
      </c>
      <c r="O27" s="1851">
        <v>7.0000000000000007E-2</v>
      </c>
      <c r="P27" s="1851">
        <v>1.62</v>
      </c>
      <c r="Q27" s="1841">
        <v>0</v>
      </c>
      <c r="R27" s="1851">
        <v>2.36</v>
      </c>
      <c r="S27" s="1851">
        <v>2.33</v>
      </c>
      <c r="T27" s="427" t="s">
        <v>557</v>
      </c>
      <c r="U27" s="1841">
        <v>4.51</v>
      </c>
      <c r="V27" s="1841">
        <v>0</v>
      </c>
      <c r="W27" s="1851">
        <v>-0.55000000000000004</v>
      </c>
      <c r="X27" s="1851">
        <v>0.47</v>
      </c>
      <c r="Y27" s="1841">
        <v>0.04</v>
      </c>
      <c r="Z27" s="1841">
        <v>4.74</v>
      </c>
      <c r="AA27" s="1841">
        <v>0</v>
      </c>
      <c r="AB27" s="1851">
        <v>-0.23</v>
      </c>
      <c r="AC27" s="1851">
        <v>0.56000000000000005</v>
      </c>
      <c r="AD27" s="1851">
        <v>2.86</v>
      </c>
      <c r="AE27" s="1841">
        <v>-6.9</v>
      </c>
      <c r="AF27" s="1841">
        <v>2.48</v>
      </c>
      <c r="AG27" s="1841">
        <v>0</v>
      </c>
      <c r="AH27" s="1841">
        <v>0.47</v>
      </c>
      <c r="AI27" s="1841">
        <v>2.7</v>
      </c>
      <c r="AJ27" s="1841">
        <v>0</v>
      </c>
      <c r="AK27" s="1841">
        <v>1.24</v>
      </c>
    </row>
    <row r="28" spans="1:37" s="438" customFormat="1" ht="12.75" customHeight="1" x14ac:dyDescent="0.2">
      <c r="A28" s="1848" t="s">
        <v>696</v>
      </c>
      <c r="B28" s="1852" t="s">
        <v>549</v>
      </c>
      <c r="C28" s="1853">
        <v>-3.87</v>
      </c>
      <c r="D28" s="1853">
        <v>-0.04</v>
      </c>
      <c r="E28" s="1841">
        <v>0</v>
      </c>
      <c r="F28" s="1853">
        <v>-0.21</v>
      </c>
      <c r="G28" s="1853">
        <v>-0.04</v>
      </c>
      <c r="H28" s="1853">
        <v>-0.94</v>
      </c>
      <c r="I28" s="1853">
        <v>-0.87</v>
      </c>
      <c r="J28" s="1853">
        <v>-0.13</v>
      </c>
      <c r="K28" s="1853">
        <v>-3.48</v>
      </c>
      <c r="L28" s="1853">
        <v>-0.65</v>
      </c>
      <c r="M28" s="1853">
        <v>0.11</v>
      </c>
      <c r="N28" s="1853">
        <v>-2.88</v>
      </c>
      <c r="O28" s="1853">
        <v>-0.23</v>
      </c>
      <c r="P28" s="1853">
        <v>-2.13</v>
      </c>
      <c r="Q28" s="1841">
        <v>0</v>
      </c>
      <c r="R28" s="1854">
        <v>-4.7</v>
      </c>
      <c r="S28" s="1853">
        <v>-2.27</v>
      </c>
      <c r="T28" s="1852" t="s">
        <v>549</v>
      </c>
      <c r="U28" s="1853">
        <v>-2.1800000000000002</v>
      </c>
      <c r="V28" s="1841">
        <v>0</v>
      </c>
      <c r="W28" s="1853">
        <v>0.36</v>
      </c>
      <c r="X28" s="1853">
        <v>-0.77</v>
      </c>
      <c r="Y28" s="1853">
        <v>-0.02</v>
      </c>
      <c r="Z28" s="1853">
        <v>-1.37</v>
      </c>
      <c r="AA28" s="1841">
        <v>0</v>
      </c>
      <c r="AB28" s="1853">
        <v>-0.64</v>
      </c>
      <c r="AC28" s="1853">
        <v>-0.53</v>
      </c>
      <c r="AD28" s="1853">
        <v>-1.0900000000000001</v>
      </c>
      <c r="AE28" s="1853">
        <v>-4.76</v>
      </c>
      <c r="AF28" s="1854">
        <v>-0.8</v>
      </c>
      <c r="AG28" s="1841">
        <v>0</v>
      </c>
      <c r="AH28" s="1853">
        <v>-0.36</v>
      </c>
      <c r="AI28" s="1853">
        <v>-1.49</v>
      </c>
      <c r="AJ28" s="1841">
        <v>0</v>
      </c>
      <c r="AK28" s="1853">
        <v>0.62</v>
      </c>
    </row>
    <row r="29" spans="1:37" s="438" customFormat="1" ht="12.75" customHeight="1" x14ac:dyDescent="0.2">
      <c r="A29" s="1848" t="s">
        <v>696</v>
      </c>
      <c r="B29" s="1852" t="s">
        <v>3074</v>
      </c>
      <c r="C29" s="1855">
        <v>1.1100000000000001</v>
      </c>
      <c r="D29" s="1855">
        <v>-0.11</v>
      </c>
      <c r="E29" s="1855">
        <v>0</v>
      </c>
      <c r="F29" s="1855">
        <v>1.72</v>
      </c>
      <c r="G29" s="1855">
        <v>0.25</v>
      </c>
      <c r="H29" s="1855">
        <v>-0.7</v>
      </c>
      <c r="I29" s="1855">
        <v>-0.73</v>
      </c>
      <c r="J29" s="1855">
        <v>0.08</v>
      </c>
      <c r="K29" s="1855">
        <v>-3.09</v>
      </c>
      <c r="L29" s="1855">
        <v>-0.5</v>
      </c>
      <c r="M29" s="1855">
        <v>-0.28999999999999998</v>
      </c>
      <c r="N29" s="1855">
        <v>3.1</v>
      </c>
      <c r="O29" s="1855">
        <v>0.22</v>
      </c>
      <c r="P29" s="1855">
        <v>0.93</v>
      </c>
      <c r="Q29" s="1855">
        <v>0</v>
      </c>
      <c r="R29" s="1855">
        <v>-2.25</v>
      </c>
      <c r="S29" s="1855">
        <v>0.46</v>
      </c>
      <c r="T29" s="1852" t="s">
        <v>558</v>
      </c>
      <c r="U29" s="1855">
        <v>-0.71</v>
      </c>
      <c r="V29" s="1855">
        <v>-0.27</v>
      </c>
      <c r="W29" s="1855">
        <v>-0.36</v>
      </c>
      <c r="X29" s="1855">
        <v>1.5</v>
      </c>
      <c r="Y29" s="1855">
        <v>0</v>
      </c>
      <c r="Z29" s="1855">
        <v>0.13</v>
      </c>
      <c r="AA29" s="1855">
        <v>-0.01</v>
      </c>
      <c r="AB29" s="1855">
        <v>-0.19</v>
      </c>
      <c r="AC29" s="1855">
        <v>1.64</v>
      </c>
      <c r="AD29" s="1855">
        <v>-1.77</v>
      </c>
      <c r="AE29" s="1855">
        <v>-1.31</v>
      </c>
      <c r="AF29" s="1855">
        <v>-0.49</v>
      </c>
      <c r="AG29" s="1855">
        <v>0</v>
      </c>
      <c r="AH29" s="1855">
        <v>0.02</v>
      </c>
      <c r="AI29" s="1855">
        <v>0.13</v>
      </c>
      <c r="AJ29" s="1855">
        <v>0</v>
      </c>
      <c r="AK29" s="1855">
        <v>1.62</v>
      </c>
    </row>
    <row r="30" spans="1:37" s="438" customFormat="1" ht="12.75" customHeight="1" x14ac:dyDescent="0.2">
      <c r="A30" s="1848" t="s">
        <v>696</v>
      </c>
      <c r="B30" s="1852" t="s">
        <v>559</v>
      </c>
      <c r="C30" s="1856">
        <v>-7.2</v>
      </c>
      <c r="D30" s="1856">
        <v>-0.05</v>
      </c>
      <c r="E30" s="1856">
        <v>0</v>
      </c>
      <c r="F30" s="1856">
        <v>-4.75</v>
      </c>
      <c r="G30" s="1856">
        <v>-0.9</v>
      </c>
      <c r="H30" s="1856">
        <v>-6.52</v>
      </c>
      <c r="I30" s="1856">
        <v>-6.61</v>
      </c>
      <c r="J30" s="1856">
        <v>-0.1</v>
      </c>
      <c r="K30" s="1856">
        <v>-6.55</v>
      </c>
      <c r="L30" s="1856">
        <v>-3.92</v>
      </c>
      <c r="M30" s="1856">
        <v>-0.02</v>
      </c>
      <c r="N30" s="1856">
        <v>1.65</v>
      </c>
      <c r="O30" s="1856">
        <v>-1.35</v>
      </c>
      <c r="P30" s="1856">
        <v>-4.68</v>
      </c>
      <c r="Q30" s="1856">
        <v>0</v>
      </c>
      <c r="R30" s="1856">
        <v>-5.12</v>
      </c>
      <c r="S30" s="1856">
        <v>-8.42</v>
      </c>
      <c r="T30" s="1852" t="s">
        <v>559</v>
      </c>
      <c r="U30" s="1856">
        <v>-5.92</v>
      </c>
      <c r="V30" s="1856">
        <v>0.03</v>
      </c>
      <c r="W30" s="1856">
        <v>-2.76</v>
      </c>
      <c r="X30" s="1856">
        <v>-2.65</v>
      </c>
      <c r="Y30" s="1856">
        <v>-0.01</v>
      </c>
      <c r="Z30" s="1856">
        <v>-10.68</v>
      </c>
      <c r="AA30" s="1856">
        <v>0.01</v>
      </c>
      <c r="AB30" s="1856">
        <v>-3.51</v>
      </c>
      <c r="AC30" s="1856">
        <v>-3.98</v>
      </c>
      <c r="AD30" s="1856">
        <v>-7.16</v>
      </c>
      <c r="AE30" s="1856">
        <v>-1.19</v>
      </c>
      <c r="AF30" s="1856">
        <v>-6.59</v>
      </c>
      <c r="AG30" s="1856">
        <v>-10.09</v>
      </c>
      <c r="AH30" s="1856">
        <v>-2.4500000000000002</v>
      </c>
      <c r="AI30" s="1856">
        <v>-3.47</v>
      </c>
      <c r="AJ30" s="1856">
        <v>0</v>
      </c>
      <c r="AK30" s="1856">
        <v>-4.7699999999999996</v>
      </c>
    </row>
    <row r="31" spans="1:37" s="438" customFormat="1" ht="12.75" customHeight="1" x14ac:dyDescent="0.2">
      <c r="A31" s="1848" t="s">
        <v>696</v>
      </c>
      <c r="B31" s="1852" t="s">
        <v>550</v>
      </c>
      <c r="C31" s="1856">
        <v>5.44</v>
      </c>
      <c r="D31" s="1856">
        <v>0.13</v>
      </c>
      <c r="E31" s="1856">
        <v>0</v>
      </c>
      <c r="F31" s="1856">
        <v>1.24</v>
      </c>
      <c r="G31" s="1856">
        <v>0.17</v>
      </c>
      <c r="H31" s="1856">
        <v>2.19</v>
      </c>
      <c r="I31" s="1856">
        <v>2.23</v>
      </c>
      <c r="J31" s="1856">
        <v>0.13</v>
      </c>
      <c r="K31" s="1857">
        <v>1.1299999999999999</v>
      </c>
      <c r="L31" s="1857">
        <v>1.84</v>
      </c>
      <c r="M31" s="1857">
        <v>0.09</v>
      </c>
      <c r="N31" s="1857">
        <v>-1.01</v>
      </c>
      <c r="O31" s="1857">
        <v>0.39</v>
      </c>
      <c r="P31" s="1857">
        <v>0.38</v>
      </c>
      <c r="Q31" s="1856">
        <v>0</v>
      </c>
      <c r="R31" s="1857">
        <v>-2.54</v>
      </c>
      <c r="S31" s="1857">
        <v>6.31</v>
      </c>
      <c r="T31" s="1852" t="s">
        <v>550</v>
      </c>
      <c r="U31" s="1857">
        <v>2.17</v>
      </c>
      <c r="V31" s="1857">
        <v>0.25</v>
      </c>
      <c r="W31" s="1857">
        <v>-1.1100000000000001</v>
      </c>
      <c r="X31" s="1857">
        <v>3.33</v>
      </c>
      <c r="Y31" s="1856">
        <v>0.01</v>
      </c>
      <c r="Z31" s="1856">
        <v>-0.21</v>
      </c>
      <c r="AA31" s="1856">
        <v>0</v>
      </c>
      <c r="AB31" s="1856">
        <v>2.71</v>
      </c>
      <c r="AC31" s="1856">
        <v>1.83</v>
      </c>
      <c r="AD31" s="1856">
        <v>4.76</v>
      </c>
      <c r="AE31" s="1856">
        <v>-1.31</v>
      </c>
      <c r="AF31" s="1856">
        <v>2.2000000000000002</v>
      </c>
      <c r="AG31" s="1856">
        <v>-0.31</v>
      </c>
      <c r="AH31" s="1856">
        <v>0.39</v>
      </c>
      <c r="AI31" s="1856">
        <v>0.8</v>
      </c>
      <c r="AJ31" s="1856">
        <v>0</v>
      </c>
      <c r="AK31" s="1856">
        <v>1.2</v>
      </c>
    </row>
    <row r="32" spans="1:37" s="438" customFormat="1" ht="12.75" customHeight="1" x14ac:dyDescent="0.2">
      <c r="A32" s="1888" t="s">
        <v>804</v>
      </c>
      <c r="B32" s="1852" t="s">
        <v>552</v>
      </c>
      <c r="C32" s="1857">
        <v>2.5299999999999998</v>
      </c>
      <c r="D32" s="1857">
        <v>0.15</v>
      </c>
      <c r="E32" s="1856">
        <v>0</v>
      </c>
      <c r="F32" s="1857">
        <v>1.52</v>
      </c>
      <c r="G32" s="1857">
        <v>-0.11</v>
      </c>
      <c r="H32" s="1857">
        <v>-3.09</v>
      </c>
      <c r="I32" s="1857">
        <v>-3.04</v>
      </c>
      <c r="J32" s="1857">
        <v>0.03</v>
      </c>
      <c r="K32" s="1856">
        <v>0.13</v>
      </c>
      <c r="L32" s="1856">
        <v>-0.98</v>
      </c>
      <c r="M32" s="1856">
        <v>0.01</v>
      </c>
      <c r="N32" s="1856">
        <v>2.17</v>
      </c>
      <c r="O32" s="1856">
        <v>-0.74</v>
      </c>
      <c r="P32" s="1856">
        <v>0.75</v>
      </c>
      <c r="Q32" s="1856">
        <v>0</v>
      </c>
      <c r="R32" s="1856">
        <v>1.41</v>
      </c>
      <c r="S32" s="1856">
        <v>0.99</v>
      </c>
      <c r="T32" s="1852" t="s">
        <v>552</v>
      </c>
      <c r="U32" s="1856">
        <v>-1.31</v>
      </c>
      <c r="V32" s="1856">
        <v>-0.27</v>
      </c>
      <c r="W32" s="1856">
        <v>0.03</v>
      </c>
      <c r="X32" s="1856">
        <v>0.53</v>
      </c>
      <c r="Y32" s="1856">
        <v>-0.02</v>
      </c>
      <c r="Z32" s="1856">
        <v>2.31</v>
      </c>
      <c r="AA32" s="1856">
        <v>0.01</v>
      </c>
      <c r="AB32" s="1856">
        <v>0.69</v>
      </c>
      <c r="AC32" s="1856">
        <v>1.51</v>
      </c>
      <c r="AD32" s="1856">
        <v>2.0499999999999998</v>
      </c>
      <c r="AE32" s="1856">
        <v>1.07</v>
      </c>
      <c r="AF32" s="1856">
        <v>-3.04</v>
      </c>
      <c r="AG32" s="1856">
        <v>-1.7</v>
      </c>
      <c r="AH32" s="1856">
        <v>-0.63</v>
      </c>
      <c r="AI32" s="1856">
        <v>0.04</v>
      </c>
      <c r="AJ32" s="1856">
        <v>0</v>
      </c>
      <c r="AK32" s="1856">
        <v>0.26</v>
      </c>
    </row>
    <row r="33" spans="1:76" s="438" customFormat="1" ht="12.75" customHeight="1" x14ac:dyDescent="0.2">
      <c r="A33" s="1888" t="s">
        <v>804</v>
      </c>
      <c r="B33" s="1852" t="s">
        <v>553</v>
      </c>
      <c r="C33" s="1858">
        <v>-1.97</v>
      </c>
      <c r="D33" s="1858">
        <v>-0.01</v>
      </c>
      <c r="E33" s="1644">
        <v>0</v>
      </c>
      <c r="F33" s="1858">
        <v>0.98</v>
      </c>
      <c r="G33" s="1644">
        <v>-0.2</v>
      </c>
      <c r="H33" s="1858">
        <v>1.85</v>
      </c>
      <c r="I33" s="1858">
        <v>2.02</v>
      </c>
      <c r="J33" s="1858">
        <v>-0.02</v>
      </c>
      <c r="K33" s="1858">
        <v>-0.35</v>
      </c>
      <c r="L33" s="1858">
        <v>-0.81</v>
      </c>
      <c r="M33" s="1858">
        <v>0.19</v>
      </c>
      <c r="N33" s="1858">
        <v>-0.57999999999999996</v>
      </c>
      <c r="O33" s="1858">
        <v>-0.09</v>
      </c>
      <c r="P33" s="1858">
        <v>0.72</v>
      </c>
      <c r="Q33" s="1644">
        <v>0</v>
      </c>
      <c r="R33" s="1858">
        <v>0.72</v>
      </c>
      <c r="S33" s="1858">
        <v>-1.33</v>
      </c>
      <c r="T33" s="1852" t="s">
        <v>553</v>
      </c>
      <c r="U33" s="1858">
        <v>3.85</v>
      </c>
      <c r="V33" s="1858">
        <v>0.28999999999999998</v>
      </c>
      <c r="W33" s="1858">
        <v>0.04</v>
      </c>
      <c r="X33" s="1858">
        <v>-0.78</v>
      </c>
      <c r="Y33" s="1858">
        <v>0.01</v>
      </c>
      <c r="Z33" s="1858">
        <v>-0.15</v>
      </c>
      <c r="AA33" s="1644">
        <v>0</v>
      </c>
      <c r="AB33" s="1858">
        <v>0.32</v>
      </c>
      <c r="AC33" s="1858">
        <v>-0.51</v>
      </c>
      <c r="AD33" s="1858">
        <v>1.57</v>
      </c>
      <c r="AE33" s="1644">
        <v>-0.4</v>
      </c>
      <c r="AF33" s="1858">
        <v>2.06</v>
      </c>
      <c r="AG33" s="1858">
        <v>-2.09</v>
      </c>
      <c r="AH33" s="1858">
        <v>0.82</v>
      </c>
      <c r="AI33" s="1858">
        <v>0.68</v>
      </c>
      <c r="AJ33" s="1644">
        <v>0</v>
      </c>
      <c r="AK33" s="1858">
        <v>0.49</v>
      </c>
    </row>
    <row r="34" spans="1:76" s="438" customFormat="1" ht="12.75" customHeight="1" x14ac:dyDescent="0.2">
      <c r="A34" s="1888" t="s">
        <v>804</v>
      </c>
      <c r="B34" s="1852" t="s">
        <v>547</v>
      </c>
      <c r="C34" s="1644">
        <v>0.8</v>
      </c>
      <c r="D34" s="1644">
        <v>0.08</v>
      </c>
      <c r="E34" s="1644">
        <v>0</v>
      </c>
      <c r="F34" s="1644">
        <v>0.93</v>
      </c>
      <c r="G34" s="1644">
        <v>0.06</v>
      </c>
      <c r="H34" s="1644">
        <v>2.65</v>
      </c>
      <c r="I34" s="1644">
        <v>2.72</v>
      </c>
      <c r="J34" s="1644">
        <v>0.03</v>
      </c>
      <c r="K34" s="1644">
        <v>5.15</v>
      </c>
      <c r="L34" s="1644">
        <v>-0.08</v>
      </c>
      <c r="M34" s="1644">
        <v>-0.19</v>
      </c>
      <c r="N34" s="1644">
        <v>0.77</v>
      </c>
      <c r="O34" s="1644">
        <v>0.46</v>
      </c>
      <c r="P34" s="1644">
        <v>2.2200000000000002</v>
      </c>
      <c r="Q34" s="1644">
        <v>0</v>
      </c>
      <c r="R34" s="1644">
        <v>4.2699999999999996</v>
      </c>
      <c r="S34" s="1644">
        <v>3.87</v>
      </c>
      <c r="T34" s="1852" t="s">
        <v>547</v>
      </c>
      <c r="U34" s="1644">
        <v>1.6</v>
      </c>
      <c r="V34" s="1644">
        <v>-0.01</v>
      </c>
      <c r="W34" s="1644">
        <v>-0.41</v>
      </c>
      <c r="X34" s="1644">
        <v>1.27</v>
      </c>
      <c r="Y34" s="1644">
        <v>0</v>
      </c>
      <c r="Z34" s="1644">
        <v>2.83</v>
      </c>
      <c r="AA34" s="1644">
        <v>0</v>
      </c>
      <c r="AB34" s="1644">
        <v>2.04</v>
      </c>
      <c r="AC34" s="1644">
        <v>2.09</v>
      </c>
      <c r="AD34" s="1644">
        <v>1.71</v>
      </c>
      <c r="AE34" s="1644">
        <v>2.2799999999999998</v>
      </c>
      <c r="AF34" s="1644">
        <v>2.08</v>
      </c>
      <c r="AG34" s="1644">
        <v>-1.91</v>
      </c>
      <c r="AH34" s="1644">
        <v>1.45</v>
      </c>
      <c r="AI34" s="1644">
        <v>1.66</v>
      </c>
      <c r="AJ34" s="1644">
        <v>0</v>
      </c>
      <c r="AK34" s="1644">
        <v>2.2799999999999998</v>
      </c>
    </row>
    <row r="35" spans="1:76" s="438" customFormat="1" ht="12.75" customHeight="1" x14ac:dyDescent="0.15">
      <c r="A35" s="1888" t="s">
        <v>804</v>
      </c>
      <c r="B35" s="1512" t="s">
        <v>554</v>
      </c>
      <c r="C35" s="1644">
        <v>-0.13</v>
      </c>
      <c r="D35" s="1644">
        <v>0.54</v>
      </c>
      <c r="E35" s="1644">
        <v>0</v>
      </c>
      <c r="F35" s="1644">
        <v>-1.64</v>
      </c>
      <c r="G35" s="1644">
        <v>0.65</v>
      </c>
      <c r="H35" s="1644">
        <v>0.81</v>
      </c>
      <c r="I35" s="1644">
        <v>0.88</v>
      </c>
      <c r="J35" s="1644">
        <v>0.05</v>
      </c>
      <c r="K35" s="1644">
        <v>-1.95</v>
      </c>
      <c r="L35" s="1644">
        <v>-0.47</v>
      </c>
      <c r="M35" s="1644">
        <v>0</v>
      </c>
      <c r="N35" s="1644">
        <v>-1.98</v>
      </c>
      <c r="O35" s="1644">
        <v>-7.0000000000000007E-2</v>
      </c>
      <c r="P35" s="1644">
        <v>0.11</v>
      </c>
      <c r="Q35" s="1644">
        <v>0</v>
      </c>
      <c r="R35" s="1644">
        <v>-0.41</v>
      </c>
      <c r="S35" s="1644">
        <v>-0.94</v>
      </c>
      <c r="T35" s="1512" t="s">
        <v>554</v>
      </c>
      <c r="U35" s="1644">
        <v>-0.16</v>
      </c>
      <c r="V35" s="1644">
        <v>0</v>
      </c>
      <c r="W35" s="1644">
        <v>-0.99</v>
      </c>
      <c r="X35" s="1644">
        <v>1.19</v>
      </c>
      <c r="Y35" s="1644">
        <v>0.01</v>
      </c>
      <c r="Z35" s="1644">
        <v>-0.22</v>
      </c>
      <c r="AA35" s="1644">
        <v>0</v>
      </c>
      <c r="AB35" s="1644">
        <v>1.32</v>
      </c>
      <c r="AC35" s="1644">
        <v>0.69</v>
      </c>
      <c r="AD35" s="1644">
        <v>-1.1200000000000001</v>
      </c>
      <c r="AE35" s="1644">
        <v>-0.28999999999999998</v>
      </c>
      <c r="AF35" s="1644">
        <v>0.86</v>
      </c>
      <c r="AG35" s="1644">
        <v>-1.45</v>
      </c>
      <c r="AH35" s="1644">
        <v>-0.41</v>
      </c>
      <c r="AI35" s="1644">
        <v>0.5</v>
      </c>
      <c r="AJ35" s="1644">
        <v>0</v>
      </c>
      <c r="AK35" s="1644">
        <v>-0.46</v>
      </c>
    </row>
    <row r="36" spans="1:76" s="438" customFormat="1" ht="12.75" customHeight="1" x14ac:dyDescent="0.15">
      <c r="A36" s="1888" t="s">
        <v>804</v>
      </c>
      <c r="B36" s="1512" t="s">
        <v>555</v>
      </c>
      <c r="C36" s="1644">
        <v>0.71</v>
      </c>
      <c r="D36" s="1644">
        <v>-0.34</v>
      </c>
      <c r="E36" s="1644">
        <v>0</v>
      </c>
      <c r="F36" s="1644">
        <v>0.66</v>
      </c>
      <c r="G36" s="1644">
        <v>-7.75</v>
      </c>
      <c r="H36" s="1644">
        <v>0.12</v>
      </c>
      <c r="I36" s="1644">
        <v>0.12</v>
      </c>
      <c r="J36" s="1644">
        <v>0</v>
      </c>
      <c r="K36" s="1644">
        <v>-1.38</v>
      </c>
      <c r="L36" s="1644">
        <v>0.1</v>
      </c>
      <c r="M36" s="1644">
        <v>-0.24</v>
      </c>
      <c r="N36" s="1644">
        <v>-3.01</v>
      </c>
      <c r="O36" s="1644">
        <v>-0.18</v>
      </c>
      <c r="P36" s="1644">
        <v>0.35</v>
      </c>
      <c r="Q36" s="1644">
        <v>0</v>
      </c>
      <c r="R36" s="1644">
        <v>-3.92</v>
      </c>
      <c r="S36" s="1644">
        <v>0.23</v>
      </c>
      <c r="T36" s="1512" t="s">
        <v>555</v>
      </c>
      <c r="U36" s="1644">
        <v>0.84</v>
      </c>
      <c r="V36" s="1644">
        <v>0</v>
      </c>
      <c r="W36" s="1644">
        <v>-0.7</v>
      </c>
      <c r="X36" s="1644">
        <v>0.83</v>
      </c>
      <c r="Y36" s="1644">
        <v>0</v>
      </c>
      <c r="Z36" s="1644">
        <v>1.01</v>
      </c>
      <c r="AA36" s="1644">
        <v>0</v>
      </c>
      <c r="AB36" s="1644">
        <v>1.01</v>
      </c>
      <c r="AC36" s="1644">
        <v>-0.09</v>
      </c>
      <c r="AD36" s="1644">
        <v>-0.28000000000000003</v>
      </c>
      <c r="AE36" s="1644">
        <v>-0.42</v>
      </c>
      <c r="AF36" s="1644">
        <v>0.51</v>
      </c>
      <c r="AG36" s="1644">
        <v>-2.96</v>
      </c>
      <c r="AH36" s="1644">
        <v>-0.09</v>
      </c>
      <c r="AI36" s="1644">
        <v>0.02</v>
      </c>
      <c r="AJ36" s="1644">
        <v>0</v>
      </c>
      <c r="AK36" s="1644">
        <v>-0.21</v>
      </c>
    </row>
    <row r="37" spans="1:76" s="438" customFormat="1" ht="12.75" customHeight="1" x14ac:dyDescent="0.2">
      <c r="A37" s="1888" t="s">
        <v>804</v>
      </c>
      <c r="B37" s="1512" t="s">
        <v>548</v>
      </c>
      <c r="C37" s="1856">
        <v>-0.64</v>
      </c>
      <c r="D37" s="1856">
        <v>2.09</v>
      </c>
      <c r="E37" s="1856">
        <v>0</v>
      </c>
      <c r="F37" s="1856">
        <v>-0.38</v>
      </c>
      <c r="G37" s="1856">
        <v>8.65</v>
      </c>
      <c r="H37" s="1856">
        <v>1.89</v>
      </c>
      <c r="I37" s="1856">
        <v>1.9</v>
      </c>
      <c r="J37" s="1856">
        <v>-0.02</v>
      </c>
      <c r="K37" s="1856">
        <v>-0.08</v>
      </c>
      <c r="L37" s="1856">
        <v>-0.34</v>
      </c>
      <c r="M37" s="1856">
        <v>0.31</v>
      </c>
      <c r="N37" s="1856">
        <v>-4.6100000000000003</v>
      </c>
      <c r="O37" s="1856">
        <v>0.16</v>
      </c>
      <c r="P37" s="1856">
        <v>-0.56999999999999995</v>
      </c>
      <c r="Q37" s="1856">
        <v>0</v>
      </c>
      <c r="R37" s="1856">
        <v>1.63</v>
      </c>
      <c r="S37" s="1856">
        <v>-0.38</v>
      </c>
      <c r="T37" s="1512" t="s">
        <v>548</v>
      </c>
      <c r="U37" s="1856">
        <v>1.77</v>
      </c>
      <c r="V37" s="1856">
        <v>-0.01</v>
      </c>
      <c r="W37" s="1856">
        <v>-0.74</v>
      </c>
      <c r="X37" s="1856">
        <v>-0.5</v>
      </c>
      <c r="Y37" s="1856">
        <v>-0.01</v>
      </c>
      <c r="Z37" s="1856">
        <v>2.2999999999999998</v>
      </c>
      <c r="AA37" s="1856">
        <v>-0.01</v>
      </c>
      <c r="AB37" s="1856">
        <v>1.45</v>
      </c>
      <c r="AC37" s="1856">
        <v>-0.28999999999999998</v>
      </c>
      <c r="AD37" s="1856">
        <v>2.41</v>
      </c>
      <c r="AE37" s="1856">
        <v>2.64</v>
      </c>
      <c r="AF37" s="1856">
        <v>1.61</v>
      </c>
      <c r="AG37" s="1856">
        <v>0</v>
      </c>
      <c r="AH37" s="1856">
        <v>0.15</v>
      </c>
      <c r="AI37" s="1856">
        <v>0.3</v>
      </c>
      <c r="AJ37" s="1856">
        <v>0</v>
      </c>
      <c r="AK37" s="1856">
        <v>0.81</v>
      </c>
    </row>
    <row r="38" spans="1:76" s="438" customFormat="1" ht="12.75" customHeight="1" x14ac:dyDescent="0.15">
      <c r="A38" s="1888" t="s">
        <v>804</v>
      </c>
      <c r="B38" s="1512" t="s">
        <v>556</v>
      </c>
      <c r="C38" s="1644">
        <v>0.44</v>
      </c>
      <c r="D38" s="1644">
        <v>0.78</v>
      </c>
      <c r="E38" s="1644">
        <v>0</v>
      </c>
      <c r="F38" s="1644">
        <v>-0.48</v>
      </c>
      <c r="G38" s="1644">
        <v>0.1</v>
      </c>
      <c r="H38" s="1644">
        <v>2.61</v>
      </c>
      <c r="I38" s="1644">
        <v>2.62</v>
      </c>
      <c r="J38" s="1644">
        <v>-0.08</v>
      </c>
      <c r="K38" s="1644">
        <v>2.85</v>
      </c>
      <c r="L38" s="1644">
        <v>-1.05</v>
      </c>
      <c r="M38" s="1644">
        <v>-0.03</v>
      </c>
      <c r="N38" s="1644">
        <v>-5.5</v>
      </c>
      <c r="O38" s="1644">
        <v>7.0000000000000007E-2</v>
      </c>
      <c r="P38" s="1644">
        <v>-1.19</v>
      </c>
      <c r="Q38" s="1644">
        <v>0</v>
      </c>
      <c r="R38" s="1644">
        <v>1.94</v>
      </c>
      <c r="S38" s="1644">
        <v>1.95</v>
      </c>
      <c r="T38" s="1512" t="s">
        <v>556</v>
      </c>
      <c r="U38" s="1644">
        <v>2.0699999999999998</v>
      </c>
      <c r="V38" s="1644">
        <v>0.01</v>
      </c>
      <c r="W38" s="1644">
        <v>-0.41</v>
      </c>
      <c r="X38" s="1644">
        <v>0.39</v>
      </c>
      <c r="Y38" s="1644">
        <v>0.02</v>
      </c>
      <c r="Z38" s="1644">
        <v>1.0900000000000001</v>
      </c>
      <c r="AA38" s="1644">
        <v>0.01</v>
      </c>
      <c r="AB38" s="1644">
        <v>-0.36</v>
      </c>
      <c r="AC38" s="1644">
        <v>-1</v>
      </c>
      <c r="AD38" s="1644">
        <v>2.42</v>
      </c>
      <c r="AE38" s="1644">
        <v>0.44</v>
      </c>
      <c r="AF38" s="1644">
        <v>0.24</v>
      </c>
      <c r="AG38" s="1644">
        <v>0</v>
      </c>
      <c r="AH38" s="1644">
        <v>0.25</v>
      </c>
      <c r="AI38" s="1644">
        <v>2.99</v>
      </c>
      <c r="AJ38" s="1644">
        <v>0</v>
      </c>
      <c r="AK38" s="1644">
        <v>-2.25</v>
      </c>
    </row>
    <row r="39" spans="1:76" s="438" customFormat="1" ht="12.75" customHeight="1" x14ac:dyDescent="0.15">
      <c r="A39" s="1888" t="s">
        <v>804</v>
      </c>
      <c r="B39" s="1512" t="s">
        <v>557</v>
      </c>
      <c r="C39" s="1644">
        <v>-1.75</v>
      </c>
      <c r="D39" s="1644">
        <v>0.46</v>
      </c>
      <c r="E39" s="1644">
        <v>0</v>
      </c>
      <c r="F39" s="1644">
        <v>-2.14</v>
      </c>
      <c r="G39" s="1644">
        <v>0.03</v>
      </c>
      <c r="H39" s="1644">
        <v>-3.14</v>
      </c>
      <c r="I39" s="1644">
        <v>-3.17</v>
      </c>
      <c r="J39" s="1644">
        <v>0.01</v>
      </c>
      <c r="K39" s="1644">
        <v>-0.91</v>
      </c>
      <c r="L39" s="1644">
        <v>0.76</v>
      </c>
      <c r="M39" s="1644">
        <v>0</v>
      </c>
      <c r="N39" s="1644">
        <v>-1.24</v>
      </c>
      <c r="O39" s="1644">
        <v>-0.74</v>
      </c>
      <c r="P39" s="1644">
        <v>0.11</v>
      </c>
      <c r="Q39" s="1644">
        <v>0</v>
      </c>
      <c r="R39" s="1644">
        <v>-0.28999999999999998</v>
      </c>
      <c r="S39" s="1644">
        <v>-1.1000000000000001</v>
      </c>
      <c r="T39" s="1512" t="s">
        <v>557</v>
      </c>
      <c r="U39" s="1644">
        <v>-3.83</v>
      </c>
      <c r="V39" s="1644">
        <v>0</v>
      </c>
      <c r="W39" s="1644">
        <v>-0.56000000000000005</v>
      </c>
      <c r="X39" s="1644">
        <v>0.12</v>
      </c>
      <c r="Y39" s="1644">
        <v>-0.01</v>
      </c>
      <c r="Z39" s="1644">
        <v>-1.51</v>
      </c>
      <c r="AA39" s="1644">
        <v>0</v>
      </c>
      <c r="AB39" s="1644">
        <v>-0.7</v>
      </c>
      <c r="AC39" s="1644">
        <v>-0.05</v>
      </c>
      <c r="AD39" s="1644">
        <v>-1.2</v>
      </c>
      <c r="AE39" s="1644">
        <v>-0.82</v>
      </c>
      <c r="AF39" s="1644">
        <v>-2.0499999999999998</v>
      </c>
      <c r="AG39" s="1644">
        <v>0.38</v>
      </c>
      <c r="AH39" s="1644">
        <v>-1.71</v>
      </c>
      <c r="AI39" s="1644">
        <v>-0.34</v>
      </c>
      <c r="AJ39" s="1644">
        <v>0</v>
      </c>
      <c r="AK39" s="1644">
        <v>-4.13</v>
      </c>
    </row>
    <row r="40" spans="1:76" s="438" customFormat="1" ht="12.75" customHeight="1" x14ac:dyDescent="0.15">
      <c r="A40" s="1888" t="s">
        <v>804</v>
      </c>
      <c r="B40" s="1512" t="s">
        <v>549</v>
      </c>
      <c r="C40" s="1644">
        <v>1.75</v>
      </c>
      <c r="D40" s="1644">
        <v>0.82</v>
      </c>
      <c r="E40" s="1644">
        <v>0</v>
      </c>
      <c r="F40" s="1644">
        <v>0.59</v>
      </c>
      <c r="G40" s="1644">
        <v>0.14000000000000001</v>
      </c>
      <c r="H40" s="1644">
        <v>-2.38</v>
      </c>
      <c r="I40" s="1644">
        <v>-2.41</v>
      </c>
      <c r="J40" s="1644">
        <v>-7.0000000000000007E-2</v>
      </c>
      <c r="K40" s="1644">
        <v>-1.01</v>
      </c>
      <c r="L40" s="1644">
        <v>-0.52</v>
      </c>
      <c r="M40" s="1644">
        <v>0</v>
      </c>
      <c r="N40" s="1644">
        <v>-2.1</v>
      </c>
      <c r="O40" s="1644">
        <v>-0.77</v>
      </c>
      <c r="P40" s="1644">
        <v>0</v>
      </c>
      <c r="Q40" s="1644">
        <v>0</v>
      </c>
      <c r="R40" s="1644">
        <v>-0.3</v>
      </c>
      <c r="S40" s="1644">
        <v>1.25</v>
      </c>
      <c r="T40" s="1512" t="s">
        <v>549</v>
      </c>
      <c r="U40" s="1644">
        <v>-2.64</v>
      </c>
      <c r="V40" s="1644">
        <v>0</v>
      </c>
      <c r="W40" s="1644">
        <v>-0.25</v>
      </c>
      <c r="X40" s="1644">
        <v>-0.21</v>
      </c>
      <c r="Y40" s="1644">
        <v>-0.01</v>
      </c>
      <c r="Z40" s="1644">
        <v>-1.77</v>
      </c>
      <c r="AA40" s="1644">
        <v>0</v>
      </c>
      <c r="AB40" s="1644">
        <v>-2.63</v>
      </c>
      <c r="AC40" s="1644">
        <v>-0.34</v>
      </c>
      <c r="AD40" s="1644">
        <v>-1.54</v>
      </c>
      <c r="AE40" s="1644">
        <v>0.59</v>
      </c>
      <c r="AF40" s="1644">
        <v>-2.0099999999999998</v>
      </c>
      <c r="AG40" s="1644">
        <v>0.23</v>
      </c>
      <c r="AH40" s="1644">
        <v>-0.99</v>
      </c>
      <c r="AI40" s="1644">
        <v>1.91</v>
      </c>
      <c r="AJ40" s="1644">
        <v>0</v>
      </c>
      <c r="AK40" s="1644">
        <v>0.26</v>
      </c>
    </row>
    <row r="41" spans="1:76" s="438" customFormat="1" ht="12.75" customHeight="1" x14ac:dyDescent="0.2">
      <c r="A41" s="1888" t="s">
        <v>804</v>
      </c>
      <c r="B41" s="1512" t="s">
        <v>558</v>
      </c>
      <c r="C41" s="1856">
        <v>-0.54</v>
      </c>
      <c r="D41" s="1856">
        <v>0.35</v>
      </c>
      <c r="E41" s="1856">
        <v>0</v>
      </c>
      <c r="F41" s="1856">
        <v>0.57999999999999996</v>
      </c>
      <c r="G41" s="1856">
        <v>0.77</v>
      </c>
      <c r="H41" s="1856">
        <v>2.17</v>
      </c>
      <c r="I41" s="1856">
        <v>2.1800000000000002</v>
      </c>
      <c r="J41" s="1856">
        <v>0.02</v>
      </c>
      <c r="K41" s="1856">
        <v>0.17</v>
      </c>
      <c r="L41" s="1856">
        <v>-0.04</v>
      </c>
      <c r="M41" s="1856">
        <v>0</v>
      </c>
      <c r="N41" s="1856">
        <v>-3.65</v>
      </c>
      <c r="O41" s="1856">
        <v>0.3</v>
      </c>
      <c r="P41" s="1856">
        <v>2.06</v>
      </c>
      <c r="Q41" s="1856">
        <v>0</v>
      </c>
      <c r="R41" s="1856">
        <v>-0.16</v>
      </c>
      <c r="S41" s="1856">
        <v>2.34</v>
      </c>
      <c r="T41" s="1512" t="s">
        <v>558</v>
      </c>
      <c r="U41" s="1856">
        <v>0.56000000000000005</v>
      </c>
      <c r="V41" s="1856">
        <v>0</v>
      </c>
      <c r="W41" s="1856">
        <v>-0.05</v>
      </c>
      <c r="X41" s="1856">
        <v>-0.55000000000000004</v>
      </c>
      <c r="Y41" s="1856">
        <v>0.02</v>
      </c>
      <c r="Z41" s="1856">
        <v>0.14000000000000001</v>
      </c>
      <c r="AA41" s="1856">
        <v>0</v>
      </c>
      <c r="AB41" s="1856">
        <v>0.35</v>
      </c>
      <c r="AC41" s="1856">
        <v>0.59</v>
      </c>
      <c r="AD41" s="1856">
        <v>-0.44</v>
      </c>
      <c r="AE41" s="1856">
        <v>0</v>
      </c>
      <c r="AF41" s="1856">
        <v>1.28</v>
      </c>
      <c r="AG41" s="1856">
        <v>0.67</v>
      </c>
      <c r="AH41" s="1856">
        <v>0.66</v>
      </c>
      <c r="AI41" s="1856">
        <v>0</v>
      </c>
      <c r="AJ41" s="1856">
        <v>0</v>
      </c>
      <c r="AK41" s="1856">
        <v>2.0099999999999998</v>
      </c>
    </row>
    <row r="42" spans="1:76" s="438" customFormat="1" ht="12.75" customHeight="1" x14ac:dyDescent="0.15">
      <c r="A42" s="1888" t="s">
        <v>804</v>
      </c>
      <c r="B42" s="1512" t="s">
        <v>559</v>
      </c>
      <c r="C42" s="1644">
        <v>-6.67</v>
      </c>
      <c r="D42" s="1644">
        <v>0.23</v>
      </c>
      <c r="E42" s="1644">
        <v>0</v>
      </c>
      <c r="F42" s="1644">
        <v>-1.76</v>
      </c>
      <c r="G42" s="1644">
        <v>0.67</v>
      </c>
      <c r="H42" s="1644">
        <v>-0.41</v>
      </c>
      <c r="I42" s="1644">
        <v>-0.42</v>
      </c>
      <c r="J42" s="1644">
        <v>-0.03</v>
      </c>
      <c r="K42" s="1644">
        <v>-3.88</v>
      </c>
      <c r="L42" s="1644">
        <v>-0.83</v>
      </c>
      <c r="M42" s="1644">
        <v>0</v>
      </c>
      <c r="N42" s="1644">
        <v>-2.93</v>
      </c>
      <c r="O42" s="1644">
        <v>-0.49</v>
      </c>
      <c r="P42" s="1644">
        <v>-1.8</v>
      </c>
      <c r="Q42" s="1644">
        <v>0</v>
      </c>
      <c r="R42" s="1644">
        <v>-2.44</v>
      </c>
      <c r="S42" s="1644">
        <v>-5.72</v>
      </c>
      <c r="T42" s="1512" t="s">
        <v>559</v>
      </c>
      <c r="U42" s="1644">
        <v>-0.19</v>
      </c>
      <c r="V42" s="1644">
        <v>0</v>
      </c>
      <c r="W42" s="1644">
        <v>-0.03</v>
      </c>
      <c r="X42" s="1644">
        <v>-2.77</v>
      </c>
      <c r="Y42" s="1644">
        <v>-0.02</v>
      </c>
      <c r="Z42" s="1644">
        <v>-1.94</v>
      </c>
      <c r="AA42" s="1644">
        <v>0</v>
      </c>
      <c r="AB42" s="1644">
        <v>-1.8</v>
      </c>
      <c r="AC42" s="1644">
        <v>-1.91</v>
      </c>
      <c r="AD42" s="1644">
        <v>-0.21</v>
      </c>
      <c r="AE42" s="1644">
        <v>0.2</v>
      </c>
      <c r="AF42" s="1644">
        <v>-1.7</v>
      </c>
      <c r="AG42" s="1644">
        <v>-28.03</v>
      </c>
      <c r="AH42" s="1644">
        <v>-0.82</v>
      </c>
      <c r="AI42" s="1644">
        <v>-2.86</v>
      </c>
      <c r="AJ42" s="1644">
        <v>0</v>
      </c>
      <c r="AK42" s="1644">
        <v>-1.75</v>
      </c>
    </row>
    <row r="43" spans="1:76" s="438" customFormat="1" ht="12.75" customHeight="1" x14ac:dyDescent="0.15">
      <c r="A43" s="1888" t="s">
        <v>804</v>
      </c>
      <c r="B43" s="1512" t="s">
        <v>550</v>
      </c>
      <c r="C43" s="1644">
        <v>-5.39</v>
      </c>
      <c r="D43" s="1644">
        <v>-0.01</v>
      </c>
      <c r="E43" s="1644">
        <v>0</v>
      </c>
      <c r="F43" s="1644">
        <v>-2.15</v>
      </c>
      <c r="G43" s="1644">
        <v>0.01</v>
      </c>
      <c r="H43" s="1644">
        <v>-0.3</v>
      </c>
      <c r="I43" s="1644">
        <v>-0.25</v>
      </c>
      <c r="J43" s="1644">
        <v>0.1</v>
      </c>
      <c r="K43" s="1644">
        <v>-5.28</v>
      </c>
      <c r="L43" s="1644">
        <v>-1.23</v>
      </c>
      <c r="M43" s="1644">
        <v>0</v>
      </c>
      <c r="N43" s="1644">
        <v>1.45</v>
      </c>
      <c r="O43" s="1644">
        <v>0.23</v>
      </c>
      <c r="P43" s="1644">
        <v>-2.31</v>
      </c>
      <c r="Q43" s="1644">
        <v>0</v>
      </c>
      <c r="R43" s="1644">
        <v>-6.94</v>
      </c>
      <c r="S43" s="1644">
        <v>-4.0599999999999996</v>
      </c>
      <c r="T43" s="1512" t="s">
        <v>550</v>
      </c>
      <c r="U43" s="1644">
        <v>-4.03</v>
      </c>
      <c r="V43" s="1644">
        <v>0</v>
      </c>
      <c r="W43" s="1644">
        <v>-1.03</v>
      </c>
      <c r="X43" s="1644">
        <v>-2.04</v>
      </c>
      <c r="Y43" s="1644">
        <v>0.02</v>
      </c>
      <c r="Z43" s="1644">
        <v>-4.0599999999999996</v>
      </c>
      <c r="AA43" s="1644">
        <v>0</v>
      </c>
      <c r="AB43" s="1644">
        <v>-1.28</v>
      </c>
      <c r="AC43" s="1644">
        <v>-0.77</v>
      </c>
      <c r="AD43" s="1644">
        <v>-2.0299999999999998</v>
      </c>
      <c r="AE43" s="1644">
        <v>-3.14</v>
      </c>
      <c r="AF43" s="1644">
        <v>0.91</v>
      </c>
      <c r="AG43" s="1644">
        <v>-3.11</v>
      </c>
      <c r="AH43" s="1644">
        <v>0.48</v>
      </c>
      <c r="AI43" s="1644">
        <v>-2.99</v>
      </c>
      <c r="AJ43" s="1644">
        <v>0</v>
      </c>
      <c r="AK43" s="1644">
        <v>-0.14000000000000001</v>
      </c>
    </row>
    <row r="44" spans="1:76" s="438" customFormat="1" ht="12.75" customHeight="1" x14ac:dyDescent="0.15">
      <c r="A44" s="1848" t="s">
        <v>978</v>
      </c>
      <c r="B44" s="1845" t="s">
        <v>552</v>
      </c>
      <c r="C44" s="1644">
        <v>-0.84</v>
      </c>
      <c r="D44" s="1644">
        <v>0.02</v>
      </c>
      <c r="E44" s="1644">
        <v>0</v>
      </c>
      <c r="F44" s="1644">
        <v>2.13</v>
      </c>
      <c r="G44" s="1644">
        <v>0</v>
      </c>
      <c r="H44" s="1644">
        <v>1.98</v>
      </c>
      <c r="I44" s="1644">
        <v>1.93</v>
      </c>
      <c r="J44" s="1644">
        <v>0.02</v>
      </c>
      <c r="K44" s="1644">
        <v>-2.11</v>
      </c>
      <c r="L44" s="1644">
        <v>-3.38</v>
      </c>
      <c r="M44" s="1644">
        <v>-50.47</v>
      </c>
      <c r="N44" s="1644">
        <v>1.28</v>
      </c>
      <c r="O44" s="1644">
        <v>0.32</v>
      </c>
      <c r="P44" s="1644">
        <v>-2.68</v>
      </c>
      <c r="Q44" s="1644">
        <v>0</v>
      </c>
      <c r="R44" s="1644">
        <v>1.1599999999999999</v>
      </c>
      <c r="S44" s="1644">
        <v>3.14</v>
      </c>
      <c r="T44" s="1845" t="s">
        <v>552</v>
      </c>
      <c r="U44" s="1644">
        <v>2.29</v>
      </c>
      <c r="V44" s="1644">
        <v>0</v>
      </c>
      <c r="W44" s="1644">
        <v>-2.16</v>
      </c>
      <c r="X44" s="1644">
        <v>-0.28000000000000003</v>
      </c>
      <c r="Y44" s="1644">
        <v>-0.02</v>
      </c>
      <c r="Z44" s="1644">
        <v>0</v>
      </c>
      <c r="AA44" s="1644">
        <v>-0.01</v>
      </c>
      <c r="AB44" s="1644">
        <v>2.2200000000000002</v>
      </c>
      <c r="AC44" s="1644">
        <v>-0.57999999999999996</v>
      </c>
      <c r="AD44" s="1644">
        <v>2.3199999999999998</v>
      </c>
      <c r="AE44" s="1644">
        <v>-0.8</v>
      </c>
      <c r="AF44" s="1644">
        <v>1.61</v>
      </c>
      <c r="AG44" s="1644">
        <v>-4.4400000000000004</v>
      </c>
      <c r="AH44" s="1644">
        <v>0.71</v>
      </c>
      <c r="AI44" s="1644">
        <v>-0.95</v>
      </c>
      <c r="AJ44" s="1644">
        <v>0</v>
      </c>
      <c r="AK44" s="1644">
        <v>0.24</v>
      </c>
      <c r="AL44" s="353">
        <v>62.13</v>
      </c>
      <c r="AM44" s="353">
        <v>12.98</v>
      </c>
      <c r="AN44" s="353">
        <v>13.1</v>
      </c>
      <c r="AO44" s="353">
        <v>201.97</v>
      </c>
      <c r="AP44" s="353">
        <v>201.95</v>
      </c>
      <c r="AQ44" s="353">
        <v>0.77</v>
      </c>
      <c r="AR44" s="353">
        <v>0.76</v>
      </c>
      <c r="AS44" s="353">
        <v>1.79</v>
      </c>
      <c r="AT44" s="353">
        <v>1.8</v>
      </c>
      <c r="AU44" s="1815" t="s">
        <v>552</v>
      </c>
      <c r="AV44" s="353">
        <v>21.35</v>
      </c>
      <c r="AW44" s="353">
        <v>21.35</v>
      </c>
      <c r="AX44" s="353">
        <v>2.37</v>
      </c>
      <c r="AY44" s="353">
        <v>2.36</v>
      </c>
      <c r="AZ44" s="353">
        <v>20.73</v>
      </c>
      <c r="BA44" s="353">
        <v>20.73</v>
      </c>
      <c r="BB44" s="353">
        <v>7.0000000000000007E-2</v>
      </c>
      <c r="BC44" s="353">
        <v>7.0000000000000007E-2</v>
      </c>
      <c r="BD44" s="353">
        <v>61.34</v>
      </c>
      <c r="BE44" s="353">
        <v>60.99</v>
      </c>
      <c r="BF44" s="353">
        <v>11.75</v>
      </c>
      <c r="BG44" s="353">
        <v>11.87</v>
      </c>
      <c r="BH44" s="353">
        <v>0.59</v>
      </c>
      <c r="BI44" s="353">
        <v>0.59</v>
      </c>
      <c r="BJ44" s="1815" t="s">
        <v>552</v>
      </c>
      <c r="BK44" s="353">
        <v>82.27</v>
      </c>
      <c r="BL44" s="353">
        <v>83.62</v>
      </c>
      <c r="BM44" s="353">
        <v>0.75</v>
      </c>
      <c r="BN44" s="353">
        <v>0.74</v>
      </c>
      <c r="BO44" s="353">
        <v>116.92</v>
      </c>
      <c r="BP44" s="353">
        <v>117.77</v>
      </c>
      <c r="BQ44" s="353">
        <v>2.5</v>
      </c>
      <c r="BR44" s="353">
        <v>2.48</v>
      </c>
      <c r="BS44" s="353">
        <v>21.17</v>
      </c>
      <c r="BT44" s="353">
        <v>21.17</v>
      </c>
      <c r="BU44" s="353">
        <v>77.760000000000005</v>
      </c>
      <c r="BV44" s="353">
        <v>77.75</v>
      </c>
      <c r="BW44" s="353">
        <v>118.06</v>
      </c>
      <c r="BX44" s="353">
        <v>118.5</v>
      </c>
    </row>
    <row r="45" spans="1:76" s="438" customFormat="1" ht="12.75" customHeight="1" x14ac:dyDescent="0.15">
      <c r="A45" s="1848" t="s">
        <v>978</v>
      </c>
      <c r="B45" s="1845" t="s">
        <v>553</v>
      </c>
      <c r="C45" s="1644">
        <v>-1.78</v>
      </c>
      <c r="D45" s="1644">
        <v>0</v>
      </c>
      <c r="E45" s="1644">
        <v>0</v>
      </c>
      <c r="F45" s="1644">
        <v>-2.21</v>
      </c>
      <c r="G45" s="1644">
        <v>0.13</v>
      </c>
      <c r="H45" s="1644">
        <v>-0.41</v>
      </c>
      <c r="I45" s="1644">
        <v>-0.35</v>
      </c>
      <c r="J45" s="1644">
        <v>0</v>
      </c>
      <c r="K45" s="1644">
        <v>-7.44</v>
      </c>
      <c r="L45" s="1644">
        <v>-5.93</v>
      </c>
      <c r="M45" s="1644">
        <v>-0.08</v>
      </c>
      <c r="N45" s="1644">
        <v>-0.16</v>
      </c>
      <c r="O45" s="1644">
        <v>-0.32</v>
      </c>
      <c r="P45" s="1644">
        <v>-1.22</v>
      </c>
      <c r="Q45" s="1644">
        <v>0</v>
      </c>
      <c r="R45" s="1644">
        <v>-8.0399999999999991</v>
      </c>
      <c r="S45" s="1644">
        <v>-3.25</v>
      </c>
      <c r="T45" s="1845" t="s">
        <v>553</v>
      </c>
      <c r="U45" s="1644">
        <v>-2.98</v>
      </c>
      <c r="V45" s="1644">
        <v>0</v>
      </c>
      <c r="W45" s="1644">
        <v>-2.68</v>
      </c>
      <c r="X45" s="1644">
        <v>-2.87</v>
      </c>
      <c r="Y45" s="1644">
        <v>0</v>
      </c>
      <c r="Z45" s="1644">
        <v>-0.7</v>
      </c>
      <c r="AA45" s="1644">
        <v>0</v>
      </c>
      <c r="AB45" s="1644">
        <v>0.66</v>
      </c>
      <c r="AC45" s="1644">
        <v>-7.0000000000000007E-2</v>
      </c>
      <c r="AD45" s="1644">
        <v>-1.03</v>
      </c>
      <c r="AE45" s="1644">
        <v>-0.94</v>
      </c>
      <c r="AF45" s="1644">
        <v>-0.12</v>
      </c>
      <c r="AG45" s="1644">
        <v>-17.61</v>
      </c>
      <c r="AH45" s="1644">
        <v>0.05</v>
      </c>
      <c r="AI45" s="1644">
        <v>-2.37</v>
      </c>
      <c r="AJ45" s="1644">
        <v>0</v>
      </c>
      <c r="AK45" s="1644">
        <v>1.61</v>
      </c>
      <c r="AL45" s="339">
        <v>60.1</v>
      </c>
      <c r="AM45" s="339">
        <v>13.05</v>
      </c>
      <c r="AN45" s="339">
        <v>12.71</v>
      </c>
      <c r="AO45" s="339">
        <v>201.96</v>
      </c>
      <c r="AP45" s="339">
        <v>201.95</v>
      </c>
      <c r="AQ45" s="339">
        <v>0.76</v>
      </c>
      <c r="AR45" s="339">
        <v>0.74</v>
      </c>
      <c r="AS45" s="339">
        <v>1.78</v>
      </c>
      <c r="AT45" s="339">
        <v>1.74</v>
      </c>
      <c r="AU45" s="464" t="s">
        <v>553</v>
      </c>
      <c r="AV45" s="339">
        <v>21.35</v>
      </c>
      <c r="AW45" s="339">
        <v>21.35</v>
      </c>
      <c r="AX45" s="339">
        <v>2.35</v>
      </c>
      <c r="AY45" s="339">
        <v>2.34</v>
      </c>
      <c r="AZ45" s="339">
        <v>20.73</v>
      </c>
      <c r="BA45" s="339">
        <v>20.73</v>
      </c>
      <c r="BB45" s="339">
        <v>7.0000000000000007E-2</v>
      </c>
      <c r="BC45" s="339">
        <v>7.0000000000000007E-2</v>
      </c>
      <c r="BD45" s="339">
        <v>61.13</v>
      </c>
      <c r="BE45" s="339">
        <v>60.94</v>
      </c>
      <c r="BF45" s="339">
        <v>11.9</v>
      </c>
      <c r="BG45" s="339">
        <v>11.74</v>
      </c>
      <c r="BH45" s="339">
        <v>0.59</v>
      </c>
      <c r="BI45" s="339">
        <v>0.59</v>
      </c>
      <c r="BJ45" s="464" t="s">
        <v>553</v>
      </c>
      <c r="BK45" s="339">
        <v>84.02</v>
      </c>
      <c r="BL45" s="339">
        <v>83.52</v>
      </c>
      <c r="BM45" s="339">
        <v>0.71</v>
      </c>
      <c r="BN45" s="339">
        <v>0.61</v>
      </c>
      <c r="BO45" s="339">
        <v>118.08</v>
      </c>
      <c r="BP45" s="339">
        <v>117.82</v>
      </c>
      <c r="BQ45" s="339">
        <v>2.46</v>
      </c>
      <c r="BR45" s="339">
        <v>2.42</v>
      </c>
      <c r="BS45" s="339">
        <v>21.17</v>
      </c>
      <c r="BT45" s="339">
        <v>21.17</v>
      </c>
      <c r="BU45" s="339">
        <v>77.75</v>
      </c>
      <c r="BV45" s="339">
        <v>77.75</v>
      </c>
      <c r="BW45" s="339">
        <v>120.47</v>
      </c>
      <c r="BX45" s="339">
        <v>120.41</v>
      </c>
    </row>
    <row r="46" spans="1:76" s="438" customFormat="1" ht="12.75" customHeight="1" x14ac:dyDescent="0.15">
      <c r="A46" s="1848" t="s">
        <v>978</v>
      </c>
      <c r="B46" s="1845" t="s">
        <v>547</v>
      </c>
      <c r="C46" s="1844">
        <v>4.63</v>
      </c>
      <c r="D46" s="1844">
        <v>0</v>
      </c>
      <c r="E46" s="1844">
        <v>0</v>
      </c>
      <c r="F46" s="1844">
        <v>2.2599999999999998</v>
      </c>
      <c r="G46" s="1844">
        <v>0.37</v>
      </c>
      <c r="H46" s="1844">
        <v>2.35</v>
      </c>
      <c r="I46" s="1844">
        <v>2.3199999999999998</v>
      </c>
      <c r="J46" s="1844">
        <v>0</v>
      </c>
      <c r="K46" s="1844">
        <v>5.0999999999999996</v>
      </c>
      <c r="L46" s="1844">
        <v>-6.06</v>
      </c>
      <c r="M46" s="1844">
        <v>0.06</v>
      </c>
      <c r="N46" s="1844">
        <v>-0.08</v>
      </c>
      <c r="O46" s="1844">
        <v>0.76</v>
      </c>
      <c r="P46" s="1844">
        <v>0.86</v>
      </c>
      <c r="Q46" s="1844">
        <v>0</v>
      </c>
      <c r="R46" s="1844">
        <v>3.26</v>
      </c>
      <c r="S46" s="1844">
        <v>7.08</v>
      </c>
      <c r="T46" s="1845" t="s">
        <v>547</v>
      </c>
      <c r="U46" s="1844">
        <v>2.14</v>
      </c>
      <c r="V46" s="1844">
        <v>0</v>
      </c>
      <c r="W46" s="1844">
        <v>-1.04</v>
      </c>
      <c r="X46" s="1844">
        <v>3.24</v>
      </c>
      <c r="Y46" s="1844">
        <v>0</v>
      </c>
      <c r="Z46" s="1844">
        <v>2.74</v>
      </c>
      <c r="AA46" s="1844">
        <v>0</v>
      </c>
      <c r="AB46" s="1844">
        <v>3.39</v>
      </c>
      <c r="AC46" s="1844">
        <v>1.56</v>
      </c>
      <c r="AD46" s="1844">
        <v>2.96</v>
      </c>
      <c r="AE46" s="1844">
        <v>0.66</v>
      </c>
      <c r="AF46" s="1844">
        <v>2.75</v>
      </c>
      <c r="AG46" s="1844">
        <v>-3.95</v>
      </c>
      <c r="AH46" s="1844">
        <v>1.1299999999999999</v>
      </c>
      <c r="AI46" s="1844">
        <v>2.5099999999999998</v>
      </c>
      <c r="AJ46" s="1844">
        <v>0</v>
      </c>
      <c r="AK46" s="1844">
        <v>4.2300000000000004</v>
      </c>
      <c r="AL46" s="271">
        <v>64.36</v>
      </c>
      <c r="AM46" s="271">
        <v>13.01</v>
      </c>
      <c r="AN46" s="271">
        <v>12.98</v>
      </c>
      <c r="AO46" s="271">
        <v>201.95</v>
      </c>
      <c r="AP46" s="271">
        <v>201.95</v>
      </c>
      <c r="AQ46" s="271">
        <v>0.74</v>
      </c>
      <c r="AR46" s="271">
        <v>0.74</v>
      </c>
      <c r="AS46" s="271">
        <v>1.78</v>
      </c>
      <c r="AT46" s="271">
        <v>1.8</v>
      </c>
      <c r="AU46" s="1815" t="s">
        <v>547</v>
      </c>
      <c r="AV46" s="754">
        <v>21.36</v>
      </c>
      <c r="AW46" s="754">
        <v>21.35</v>
      </c>
      <c r="AX46" s="754">
        <v>2.39</v>
      </c>
      <c r="AY46" s="754">
        <v>2.41</v>
      </c>
      <c r="AZ46" s="754">
        <v>20.73</v>
      </c>
      <c r="BA46" s="754">
        <v>20.73</v>
      </c>
      <c r="BB46" s="754">
        <v>7.0000000000000007E-2</v>
      </c>
      <c r="BC46" s="754">
        <v>7.0000000000000007E-2</v>
      </c>
      <c r="BD46" s="754">
        <v>61.54</v>
      </c>
      <c r="BE46" s="754">
        <v>61.89</v>
      </c>
      <c r="BF46" s="754">
        <v>11.96</v>
      </c>
      <c r="BG46" s="754">
        <v>12.09</v>
      </c>
      <c r="BH46" s="754">
        <v>0.59</v>
      </c>
      <c r="BI46" s="754">
        <v>0.59</v>
      </c>
      <c r="BJ46" s="1815" t="s">
        <v>547</v>
      </c>
      <c r="BK46" s="271">
        <v>84.17</v>
      </c>
      <c r="BL46" s="271">
        <v>85.82</v>
      </c>
      <c r="BM46" s="271">
        <v>0.6</v>
      </c>
      <c r="BN46" s="271">
        <v>0.57999999999999996</v>
      </c>
      <c r="BO46" s="271">
        <v>118.34</v>
      </c>
      <c r="BP46" s="271">
        <v>119.16</v>
      </c>
      <c r="BQ46" s="271">
        <v>2.4500000000000002</v>
      </c>
      <c r="BR46" s="271">
        <v>2.48</v>
      </c>
      <c r="BS46" s="271">
        <v>21.17</v>
      </c>
      <c r="BT46" s="271">
        <v>21.17</v>
      </c>
      <c r="BU46" s="271">
        <v>77.75</v>
      </c>
      <c r="BV46" s="271">
        <v>77.75</v>
      </c>
      <c r="BW46" s="271">
        <v>123.27</v>
      </c>
      <c r="BX46" s="271">
        <v>125.5</v>
      </c>
    </row>
    <row r="47" spans="1:76" s="438" customFormat="1" ht="12.75" customHeight="1" x14ac:dyDescent="0.15">
      <c r="A47" s="1848" t="s">
        <v>978</v>
      </c>
      <c r="B47" s="1845" t="s">
        <v>554</v>
      </c>
      <c r="C47" s="1844">
        <v>1.78</v>
      </c>
      <c r="D47" s="1844">
        <v>0</v>
      </c>
      <c r="E47" s="1844">
        <v>0</v>
      </c>
      <c r="F47" s="1844">
        <v>-1.68</v>
      </c>
      <c r="G47" s="1844">
        <v>0.09</v>
      </c>
      <c r="H47" s="1844">
        <v>1.58</v>
      </c>
      <c r="I47" s="1844">
        <v>1.58</v>
      </c>
      <c r="J47" s="1844">
        <v>0.01</v>
      </c>
      <c r="K47" s="1844">
        <v>2.04</v>
      </c>
      <c r="L47" s="1844">
        <v>3.01</v>
      </c>
      <c r="M47" s="1844">
        <v>-0.51</v>
      </c>
      <c r="N47" s="1844">
        <v>-0.3</v>
      </c>
      <c r="O47" s="1844">
        <v>0.48</v>
      </c>
      <c r="P47" s="1844">
        <v>3.18</v>
      </c>
      <c r="Q47" s="1844">
        <v>0</v>
      </c>
      <c r="R47" s="1844">
        <v>1.1200000000000001</v>
      </c>
      <c r="S47" s="1844">
        <v>-0.2</v>
      </c>
      <c r="T47" s="1845" t="s">
        <v>554</v>
      </c>
      <c r="U47" s="1844">
        <v>1.53</v>
      </c>
      <c r="V47" s="1844">
        <v>0</v>
      </c>
      <c r="W47" s="1844">
        <v>-1.1200000000000001</v>
      </c>
      <c r="X47" s="1844">
        <v>0.12</v>
      </c>
      <c r="Y47" s="1844">
        <v>0</v>
      </c>
      <c r="Z47" s="1844">
        <v>0.91</v>
      </c>
      <c r="AA47" s="1844">
        <v>0</v>
      </c>
      <c r="AB47" s="1844">
        <v>1.28</v>
      </c>
      <c r="AC47" s="1844">
        <v>1.35</v>
      </c>
      <c r="AD47" s="1844">
        <v>0.36</v>
      </c>
      <c r="AE47" s="1844">
        <v>0.74</v>
      </c>
      <c r="AF47" s="1844">
        <v>0.8</v>
      </c>
      <c r="AG47" s="1844">
        <v>-4.16</v>
      </c>
      <c r="AH47" s="1844">
        <v>0.71</v>
      </c>
      <c r="AI47" s="1844">
        <v>0.71</v>
      </c>
      <c r="AJ47" s="1844">
        <v>0</v>
      </c>
      <c r="AK47" s="1844">
        <v>-0.64</v>
      </c>
      <c r="AL47" s="215">
        <v>64.23</v>
      </c>
      <c r="AM47" s="215">
        <v>13.06</v>
      </c>
      <c r="AN47" s="215">
        <v>13.18</v>
      </c>
      <c r="AO47" s="215">
        <v>201.95</v>
      </c>
      <c r="AP47" s="215">
        <v>201.95</v>
      </c>
      <c r="AQ47" s="215">
        <v>0.73</v>
      </c>
      <c r="AR47" s="215">
        <v>0.73</v>
      </c>
      <c r="AS47" s="215">
        <v>1.8</v>
      </c>
      <c r="AT47" s="215">
        <v>1.8</v>
      </c>
      <c r="AU47" s="464" t="s">
        <v>554</v>
      </c>
      <c r="AV47" s="215">
        <v>21.35</v>
      </c>
      <c r="AW47" s="215">
        <v>21.35</v>
      </c>
      <c r="AX47" s="215">
        <v>2.42</v>
      </c>
      <c r="AY47" s="215">
        <v>2.4300000000000002</v>
      </c>
      <c r="AZ47" s="215">
        <v>20.73</v>
      </c>
      <c r="BA47" s="215">
        <v>20.73</v>
      </c>
      <c r="BB47" s="215">
        <v>7.0000000000000007E-2</v>
      </c>
      <c r="BC47" s="215">
        <v>7.0000000000000007E-2</v>
      </c>
      <c r="BD47" s="215">
        <v>62.53</v>
      </c>
      <c r="BE47" s="215">
        <v>62.73</v>
      </c>
      <c r="BF47" s="215">
        <v>12.13</v>
      </c>
      <c r="BG47" s="215">
        <v>12.14</v>
      </c>
      <c r="BH47" s="215">
        <v>0.59</v>
      </c>
      <c r="BI47" s="215">
        <v>0.59</v>
      </c>
      <c r="BJ47" s="464" t="s">
        <v>554</v>
      </c>
      <c r="BK47" s="215">
        <v>86.11</v>
      </c>
      <c r="BL47" s="215">
        <v>86.5</v>
      </c>
      <c r="BM47" s="215">
        <v>0.56000000000000005</v>
      </c>
      <c r="BN47" s="215">
        <v>0.56000000000000005</v>
      </c>
      <c r="BO47" s="215">
        <v>119.67</v>
      </c>
      <c r="BP47" s="215">
        <v>120</v>
      </c>
      <c r="BQ47" s="215">
        <v>2.4900000000000002</v>
      </c>
      <c r="BR47" s="215">
        <v>2.5</v>
      </c>
      <c r="BS47" s="215">
        <v>21.17</v>
      </c>
      <c r="BT47" s="215">
        <v>21.17</v>
      </c>
      <c r="BU47" s="215">
        <v>77.75</v>
      </c>
      <c r="BV47" s="215">
        <v>77.75</v>
      </c>
      <c r="BW47" s="215">
        <v>125.12</v>
      </c>
      <c r="BX47" s="215">
        <v>124.7</v>
      </c>
    </row>
    <row r="48" spans="1:76" s="438" customFormat="1" ht="12.75" customHeight="1" x14ac:dyDescent="0.15">
      <c r="A48" s="1848" t="s">
        <v>978</v>
      </c>
      <c r="B48" s="1845" t="s">
        <v>555</v>
      </c>
      <c r="C48" s="1644">
        <v>-3.92</v>
      </c>
      <c r="D48" s="1644">
        <v>0</v>
      </c>
      <c r="E48" s="1644">
        <v>0</v>
      </c>
      <c r="F48" s="1644">
        <v>-1.24</v>
      </c>
      <c r="G48" s="1644">
        <v>0.16</v>
      </c>
      <c r="H48" s="1644">
        <v>-1.1399999999999999</v>
      </c>
      <c r="I48" s="1644">
        <v>-1.1100000000000001</v>
      </c>
      <c r="J48" s="1644">
        <v>0.01</v>
      </c>
      <c r="K48" s="1644">
        <v>-1.82</v>
      </c>
      <c r="L48" s="1644">
        <v>-5.66</v>
      </c>
      <c r="M48" s="1644">
        <v>0.36</v>
      </c>
      <c r="N48" s="1644">
        <v>-3.76</v>
      </c>
      <c r="O48" s="1644">
        <v>-0.34</v>
      </c>
      <c r="P48" s="1644">
        <v>-2.06</v>
      </c>
      <c r="Q48" s="1644">
        <v>0</v>
      </c>
      <c r="R48" s="1644">
        <v>-1.68</v>
      </c>
      <c r="S48" s="1644">
        <v>-1.54</v>
      </c>
      <c r="T48" s="1845" t="s">
        <v>555</v>
      </c>
      <c r="U48" s="1644">
        <v>-3.81</v>
      </c>
      <c r="V48" s="1644">
        <v>-0.01</v>
      </c>
      <c r="W48" s="1644">
        <v>-1.48</v>
      </c>
      <c r="X48" s="1644">
        <v>-0.12</v>
      </c>
      <c r="Y48" s="1644">
        <v>0.01</v>
      </c>
      <c r="Z48" s="1644">
        <v>-3.51</v>
      </c>
      <c r="AA48" s="1644">
        <v>0</v>
      </c>
      <c r="AB48" s="1644">
        <v>-0.25</v>
      </c>
      <c r="AC48" s="1644">
        <v>-1.25</v>
      </c>
      <c r="AD48" s="1644">
        <v>-2.41</v>
      </c>
      <c r="AE48" s="1644">
        <v>-0.08</v>
      </c>
      <c r="AF48" s="1644">
        <v>-0.89</v>
      </c>
      <c r="AG48" s="1644">
        <v>-0.92</v>
      </c>
      <c r="AH48" s="1644">
        <v>-0.54</v>
      </c>
      <c r="AI48" s="1644">
        <v>-0.56000000000000005</v>
      </c>
      <c r="AJ48" s="1644">
        <v>0</v>
      </c>
      <c r="AK48" s="1644">
        <v>1.97</v>
      </c>
      <c r="AL48" s="353">
        <v>63.24</v>
      </c>
      <c r="AM48" s="353">
        <v>12.78</v>
      </c>
      <c r="AN48" s="353">
        <v>12.68</v>
      </c>
      <c r="AO48" s="353">
        <v>201.95</v>
      </c>
      <c r="AP48" s="353">
        <v>201.93</v>
      </c>
      <c r="AQ48" s="353">
        <v>0.72</v>
      </c>
      <c r="AR48" s="353">
        <v>0.72</v>
      </c>
      <c r="AS48" s="353">
        <v>1.8</v>
      </c>
      <c r="AT48" s="353">
        <v>1.8</v>
      </c>
      <c r="AU48" s="1815" t="s">
        <v>555</v>
      </c>
      <c r="AV48" s="353">
        <v>21.36</v>
      </c>
      <c r="AW48" s="353">
        <v>21.36</v>
      </c>
      <c r="AX48" s="353">
        <v>2.38</v>
      </c>
      <c r="AY48" s="353">
        <v>2.34</v>
      </c>
      <c r="AZ48" s="353">
        <v>20.73</v>
      </c>
      <c r="BA48" s="353">
        <v>20.73</v>
      </c>
      <c r="BB48" s="353">
        <v>7.0000000000000007E-2</v>
      </c>
      <c r="BC48" s="353">
        <v>7.0000000000000007E-2</v>
      </c>
      <c r="BD48" s="353">
        <v>62.34</v>
      </c>
      <c r="BE48" s="353">
        <v>61.94</v>
      </c>
      <c r="BF48" s="353">
        <v>11.81</v>
      </c>
      <c r="BG48" s="353">
        <v>11.84</v>
      </c>
      <c r="BH48" s="353">
        <v>0.59</v>
      </c>
      <c r="BI48" s="353">
        <v>0.59</v>
      </c>
      <c r="BJ48" s="1815" t="s">
        <v>555</v>
      </c>
      <c r="BK48" s="353">
        <v>85.17</v>
      </c>
      <c r="BL48" s="353">
        <v>85.73</v>
      </c>
      <c r="BM48" s="353">
        <v>0.56000000000000005</v>
      </c>
      <c r="BN48" s="353">
        <v>0.56000000000000005</v>
      </c>
      <c r="BO48" s="353">
        <v>119.01</v>
      </c>
      <c r="BP48" s="353">
        <v>119.36</v>
      </c>
      <c r="BQ48" s="353">
        <v>2.4900000000000002</v>
      </c>
      <c r="BR48" s="353">
        <v>2.4900000000000002</v>
      </c>
      <c r="BS48" s="353">
        <v>21.17</v>
      </c>
      <c r="BT48" s="353">
        <v>21.17</v>
      </c>
      <c r="BU48" s="353">
        <v>77.75</v>
      </c>
      <c r="BV48" s="353">
        <v>77.75</v>
      </c>
      <c r="BW48" s="353">
        <v>125.18</v>
      </c>
      <c r="BX48" s="353">
        <v>127.16</v>
      </c>
    </row>
    <row r="49" spans="1:76" s="438" customFormat="1" ht="12.75" customHeight="1" x14ac:dyDescent="0.15">
      <c r="A49" s="1848" t="s">
        <v>978</v>
      </c>
      <c r="B49" s="1845" t="s">
        <v>548</v>
      </c>
      <c r="C49" s="1644">
        <v>-2.2400000000000002</v>
      </c>
      <c r="D49" s="1644">
        <v>0</v>
      </c>
      <c r="E49" s="1644">
        <v>0</v>
      </c>
      <c r="F49" s="1644">
        <v>-0.28000000000000003</v>
      </c>
      <c r="G49" s="1644">
        <v>0.57999999999999996</v>
      </c>
      <c r="H49" s="1644">
        <v>1.58</v>
      </c>
      <c r="I49" s="1644">
        <v>1.58</v>
      </c>
      <c r="J49" s="1644">
        <v>-0.03</v>
      </c>
      <c r="K49" s="1644">
        <v>1</v>
      </c>
      <c r="L49" s="1644">
        <v>-1.79</v>
      </c>
      <c r="M49" s="1644">
        <v>0.22</v>
      </c>
      <c r="N49" s="1644">
        <v>-2.58</v>
      </c>
      <c r="O49" s="1644">
        <v>0.11</v>
      </c>
      <c r="P49" s="1644">
        <v>-1.74</v>
      </c>
      <c r="Q49" s="1644">
        <v>0</v>
      </c>
      <c r="R49" s="1644">
        <v>0.59</v>
      </c>
      <c r="S49" s="1644">
        <v>0.81</v>
      </c>
      <c r="T49" s="1845" t="s">
        <v>548</v>
      </c>
      <c r="U49" s="1644">
        <v>1</v>
      </c>
      <c r="V49" s="1644">
        <v>0.01</v>
      </c>
      <c r="W49" s="1644">
        <v>2.65</v>
      </c>
      <c r="X49" s="1644">
        <v>0</v>
      </c>
      <c r="Y49" s="1644">
        <v>-0.02</v>
      </c>
      <c r="Z49" s="1644">
        <v>1.77</v>
      </c>
      <c r="AA49" s="1644">
        <v>-0.01</v>
      </c>
      <c r="AB49" s="1644">
        <v>0</v>
      </c>
      <c r="AC49" s="1644">
        <v>-0.95</v>
      </c>
      <c r="AD49" s="1644">
        <v>2.2000000000000002</v>
      </c>
      <c r="AE49" s="1644">
        <v>0</v>
      </c>
      <c r="AF49" s="1644">
        <v>2.12</v>
      </c>
      <c r="AG49" s="1644">
        <v>-1.1599999999999999</v>
      </c>
      <c r="AH49" s="1644">
        <v>0.31</v>
      </c>
      <c r="AI49" s="1644">
        <v>0</v>
      </c>
      <c r="AJ49" s="1644">
        <v>0</v>
      </c>
      <c r="AK49" s="1644">
        <v>0.91</v>
      </c>
      <c r="AL49" s="1826">
        <v>63.75</v>
      </c>
      <c r="AM49" s="1826">
        <v>12.66</v>
      </c>
      <c r="AN49" s="1826">
        <v>12.81</v>
      </c>
      <c r="AO49" s="1826">
        <v>201.97</v>
      </c>
      <c r="AP49" s="1826">
        <v>201.95</v>
      </c>
      <c r="AQ49" s="1826">
        <v>0.73</v>
      </c>
      <c r="AR49" s="1826">
        <v>0.74</v>
      </c>
      <c r="AS49" s="1826">
        <v>1.8</v>
      </c>
      <c r="AT49" s="1826">
        <v>1.8</v>
      </c>
      <c r="AU49" s="464" t="s">
        <v>548</v>
      </c>
      <c r="AV49" s="1825">
        <v>21.35</v>
      </c>
      <c r="AW49" s="1825">
        <v>21.35</v>
      </c>
      <c r="AX49" s="1825">
        <v>2.37</v>
      </c>
      <c r="AY49" s="1825">
        <v>2.38</v>
      </c>
      <c r="AZ49" s="1825">
        <v>20.73</v>
      </c>
      <c r="BA49" s="1825">
        <v>20.73</v>
      </c>
      <c r="BB49" s="1825">
        <v>7.0000000000000007E-2</v>
      </c>
      <c r="BC49" s="1825">
        <v>7.0000000000000007E-2</v>
      </c>
      <c r="BD49" s="1825">
        <v>61.76</v>
      </c>
      <c r="BE49" s="1825">
        <v>61.35</v>
      </c>
      <c r="BF49" s="1825">
        <v>11.88</v>
      </c>
      <c r="BG49" s="1826">
        <v>12.1</v>
      </c>
      <c r="BH49" s="1825">
        <v>0.59</v>
      </c>
      <c r="BI49" s="1825">
        <v>0.59</v>
      </c>
      <c r="BJ49" s="464" t="s">
        <v>548</v>
      </c>
      <c r="BK49" s="1825">
        <v>86.96</v>
      </c>
      <c r="BL49" s="1825">
        <v>87.55</v>
      </c>
      <c r="BM49" s="1825">
        <v>0.55000000000000004</v>
      </c>
      <c r="BN49" s="1825">
        <v>0.55000000000000004</v>
      </c>
      <c r="BO49" s="1825">
        <v>119.59</v>
      </c>
      <c r="BP49" s="1825">
        <v>119.73</v>
      </c>
      <c r="BQ49" s="1825">
        <v>2.4900000000000002</v>
      </c>
      <c r="BR49" s="1825">
        <v>2.4900000000000002</v>
      </c>
      <c r="BS49" s="1825">
        <v>21.17</v>
      </c>
      <c r="BT49" s="1825">
        <v>21.17</v>
      </c>
      <c r="BU49" s="1825">
        <v>77.75</v>
      </c>
      <c r="BV49" s="1825">
        <v>77.75</v>
      </c>
      <c r="BW49" s="1825">
        <v>127.29</v>
      </c>
      <c r="BX49" s="1825">
        <v>128.31</v>
      </c>
    </row>
    <row r="50" spans="1:76" s="438" customFormat="1" ht="12.75" customHeight="1" x14ac:dyDescent="0.15">
      <c r="A50" s="1848" t="s">
        <v>978</v>
      </c>
      <c r="B50" s="1845" t="s">
        <v>556</v>
      </c>
      <c r="C50" s="1644">
        <v>-1.36</v>
      </c>
      <c r="D50" s="1644">
        <v>0</v>
      </c>
      <c r="E50" s="1644">
        <v>0</v>
      </c>
      <c r="F50" s="1644">
        <v>-4.6900000000000004</v>
      </c>
      <c r="G50" s="1644">
        <v>-0.13</v>
      </c>
      <c r="H50" s="1644">
        <v>-1.8</v>
      </c>
      <c r="I50" s="1644">
        <v>-1.77</v>
      </c>
      <c r="J50" s="1644">
        <v>-0.16</v>
      </c>
      <c r="K50" s="1644">
        <v>-1.25</v>
      </c>
      <c r="L50" s="1644">
        <v>-0.25</v>
      </c>
      <c r="M50" s="1644">
        <v>-0.37</v>
      </c>
      <c r="N50" s="1644">
        <v>2.35</v>
      </c>
      <c r="O50" s="1644">
        <v>-7.0000000000000007E-2</v>
      </c>
      <c r="P50" s="1644">
        <v>-1.94</v>
      </c>
      <c r="Q50" s="1644">
        <v>0</v>
      </c>
      <c r="R50" s="1644">
        <v>-1.5</v>
      </c>
      <c r="S50" s="1644">
        <v>-0.6</v>
      </c>
      <c r="T50" s="1845" t="s">
        <v>556</v>
      </c>
      <c r="U50" s="1644">
        <v>-2.88</v>
      </c>
      <c r="V50" s="1644">
        <v>0</v>
      </c>
      <c r="W50" s="1644">
        <v>0.21</v>
      </c>
      <c r="X50" s="1644">
        <v>0</v>
      </c>
      <c r="Y50" s="1644">
        <v>0</v>
      </c>
      <c r="Z50" s="1644">
        <v>-7.26</v>
      </c>
      <c r="AA50" s="1644">
        <v>0</v>
      </c>
      <c r="AB50" s="1644">
        <v>0</v>
      </c>
      <c r="AC50" s="1644">
        <v>-0.6</v>
      </c>
      <c r="AD50" s="1644">
        <v>-1.52</v>
      </c>
      <c r="AE50" s="1644">
        <v>0</v>
      </c>
      <c r="AF50" s="1644">
        <v>-1.66</v>
      </c>
      <c r="AG50" s="1644">
        <v>-1.1200000000000001</v>
      </c>
      <c r="AH50" s="1644">
        <v>-0.23</v>
      </c>
      <c r="AI50" s="1644">
        <v>0</v>
      </c>
      <c r="AJ50" s="1644">
        <v>-0.01</v>
      </c>
      <c r="AK50" s="1644">
        <v>-0.12</v>
      </c>
      <c r="AL50" s="1824">
        <v>63.37</v>
      </c>
      <c r="AM50" s="1824">
        <v>12.66</v>
      </c>
      <c r="AN50" s="1824">
        <v>12.44</v>
      </c>
      <c r="AO50" s="1824">
        <v>201.95</v>
      </c>
      <c r="AP50" s="1824">
        <v>201.95</v>
      </c>
      <c r="AQ50" s="1824">
        <v>0.74</v>
      </c>
      <c r="AR50" s="1824">
        <v>0.74</v>
      </c>
      <c r="AS50" s="353">
        <v>1.8</v>
      </c>
      <c r="AT50" s="353">
        <v>1.8</v>
      </c>
      <c r="AU50" s="1815" t="s">
        <v>556</v>
      </c>
      <c r="AV50" s="353">
        <v>21.35</v>
      </c>
      <c r="AW50" s="353">
        <v>21.35</v>
      </c>
      <c r="AX50" s="353">
        <v>2.31</v>
      </c>
      <c r="AY50" s="353">
        <v>2.21</v>
      </c>
      <c r="AZ50" s="353">
        <v>20.73</v>
      </c>
      <c r="BA50" s="353">
        <v>20.73</v>
      </c>
      <c r="BB50" s="353">
        <v>7.0000000000000007E-2</v>
      </c>
      <c r="BC50" s="353">
        <v>7.0000000000000007E-2</v>
      </c>
      <c r="BD50" s="353">
        <v>61.14</v>
      </c>
      <c r="BE50" s="353">
        <v>60.99</v>
      </c>
      <c r="BF50" s="353">
        <v>12</v>
      </c>
      <c r="BG50" s="353">
        <v>11.92</v>
      </c>
      <c r="BH50" s="353">
        <v>0.59</v>
      </c>
      <c r="BI50" s="353">
        <v>0.59</v>
      </c>
      <c r="BJ50" s="1815" t="s">
        <v>556</v>
      </c>
      <c r="BK50" s="1824">
        <v>86.14</v>
      </c>
      <c r="BL50" s="1824">
        <v>86.1</v>
      </c>
      <c r="BM50" s="1824">
        <v>0.54</v>
      </c>
      <c r="BN50" s="1824">
        <v>0.54</v>
      </c>
      <c r="BO50" s="1824">
        <v>119.43</v>
      </c>
      <c r="BP50" s="1824">
        <v>119.45</v>
      </c>
      <c r="BQ50" s="1824">
        <v>2.4900000000000002</v>
      </c>
      <c r="BR50" s="1824">
        <v>2.4900000000000002</v>
      </c>
      <c r="BS50" s="1824">
        <v>21.17</v>
      </c>
      <c r="BT50" s="1824">
        <v>21.17</v>
      </c>
      <c r="BU50" s="1824">
        <v>77.75</v>
      </c>
      <c r="BV50" s="1824">
        <v>77.75</v>
      </c>
      <c r="BW50" s="1824">
        <v>128.13999999999999</v>
      </c>
      <c r="BX50" s="1824">
        <v>128.15</v>
      </c>
    </row>
    <row r="51" spans="1:76" s="438" customFormat="1" ht="12.75" customHeight="1" x14ac:dyDescent="0.15">
      <c r="A51" s="1848" t="s">
        <v>978</v>
      </c>
      <c r="B51" s="1845" t="s">
        <v>557</v>
      </c>
      <c r="C51" s="1644">
        <v>2.0499999999999998</v>
      </c>
      <c r="D51" s="1644">
        <v>0</v>
      </c>
      <c r="E51" s="1644">
        <v>0</v>
      </c>
      <c r="F51" s="1644">
        <v>0.31</v>
      </c>
      <c r="G51" s="1644">
        <v>-0.27</v>
      </c>
      <c r="H51" s="1644">
        <v>1.17</v>
      </c>
      <c r="I51" s="1644">
        <v>1.18</v>
      </c>
      <c r="J51" s="1644">
        <v>7.0000000000000007E-2</v>
      </c>
      <c r="K51" s="1644">
        <v>0.92</v>
      </c>
      <c r="L51" s="1644">
        <v>4.9000000000000004</v>
      </c>
      <c r="M51" s="1644">
        <v>-0.13</v>
      </c>
      <c r="N51" s="1644">
        <v>0.57999999999999996</v>
      </c>
      <c r="O51" s="1644">
        <v>0.34</v>
      </c>
      <c r="P51" s="1644">
        <v>1.95</v>
      </c>
      <c r="Q51" s="1644">
        <v>0</v>
      </c>
      <c r="R51" s="1644">
        <v>1.66</v>
      </c>
      <c r="S51" s="1644">
        <v>2.68</v>
      </c>
      <c r="T51" s="1845" t="s">
        <v>557</v>
      </c>
      <c r="U51" s="1644">
        <v>3.49</v>
      </c>
      <c r="V51" s="1644">
        <v>0</v>
      </c>
      <c r="W51" s="1644">
        <v>0.45</v>
      </c>
      <c r="X51" s="1644">
        <v>0</v>
      </c>
      <c r="Y51" s="1644">
        <v>0</v>
      </c>
      <c r="Z51" s="1644">
        <v>-2.42</v>
      </c>
      <c r="AA51" s="1644">
        <v>0</v>
      </c>
      <c r="AB51" s="1644">
        <v>0</v>
      </c>
      <c r="AC51" s="1644">
        <v>0.85</v>
      </c>
      <c r="AD51" s="1644">
        <v>0</v>
      </c>
      <c r="AE51" s="1644">
        <v>0</v>
      </c>
      <c r="AF51" s="1644">
        <v>1.65</v>
      </c>
      <c r="AG51" s="1644">
        <v>-0.14000000000000001</v>
      </c>
      <c r="AH51" s="1644">
        <v>0.32</v>
      </c>
      <c r="AI51" s="1644">
        <v>0</v>
      </c>
      <c r="AJ51" s="1644">
        <v>0</v>
      </c>
      <c r="AK51" s="1644">
        <v>1.25</v>
      </c>
      <c r="AL51" s="339">
        <v>65.069999999999993</v>
      </c>
      <c r="AM51" s="339">
        <v>12.68</v>
      </c>
      <c r="AN51" s="339">
        <v>12.87</v>
      </c>
      <c r="AO51" s="339">
        <v>201.95</v>
      </c>
      <c r="AP51" s="339">
        <v>201.95</v>
      </c>
      <c r="AQ51" s="339">
        <v>0.74</v>
      </c>
      <c r="AR51" s="339">
        <v>0.74</v>
      </c>
      <c r="AS51" s="339">
        <v>1.8</v>
      </c>
      <c r="AT51" s="339">
        <v>1.8</v>
      </c>
      <c r="AU51" s="464" t="s">
        <v>557</v>
      </c>
      <c r="AV51" s="339">
        <v>21.35</v>
      </c>
      <c r="AW51" s="339">
        <v>21.35</v>
      </c>
      <c r="AX51" s="339">
        <v>2.21</v>
      </c>
      <c r="AY51" s="339">
        <v>2.16</v>
      </c>
      <c r="AZ51" s="339">
        <v>20.73</v>
      </c>
      <c r="BA51" s="339">
        <v>20.73</v>
      </c>
      <c r="BB51" s="339">
        <v>7.0000000000000007E-2</v>
      </c>
      <c r="BC51" s="339">
        <v>7.0000000000000007E-2</v>
      </c>
      <c r="BD51" s="339">
        <v>61.39</v>
      </c>
      <c r="BE51" s="339">
        <v>61.51</v>
      </c>
      <c r="BF51" s="339">
        <v>11.96</v>
      </c>
      <c r="BG51" s="339">
        <v>11.92</v>
      </c>
      <c r="BH51" s="339">
        <v>0.59</v>
      </c>
      <c r="BI51" s="339">
        <v>0.59</v>
      </c>
      <c r="BJ51" s="464" t="s">
        <v>557</v>
      </c>
      <c r="BK51" s="339">
        <v>86.88</v>
      </c>
      <c r="BL51" s="339">
        <v>87.52</v>
      </c>
      <c r="BM51" s="339">
        <v>0.54</v>
      </c>
      <c r="BN51" s="339">
        <v>0.54</v>
      </c>
      <c r="BO51" s="339">
        <v>119.53</v>
      </c>
      <c r="BP51" s="339">
        <v>119.84</v>
      </c>
      <c r="BQ51" s="339">
        <v>2.4900000000000002</v>
      </c>
      <c r="BR51" s="339">
        <v>2.4900000000000002</v>
      </c>
      <c r="BS51" s="339">
        <v>21.17</v>
      </c>
      <c r="BT51" s="339">
        <v>21.17</v>
      </c>
      <c r="BU51" s="339">
        <v>77.75</v>
      </c>
      <c r="BV51" s="339">
        <v>77.75</v>
      </c>
      <c r="BW51" s="339">
        <v>128.69999999999999</v>
      </c>
      <c r="BX51" s="339">
        <v>129.75</v>
      </c>
    </row>
    <row r="52" spans="1:76" s="438" customFormat="1" ht="12.75" customHeight="1" x14ac:dyDescent="0.2">
      <c r="A52" s="1848" t="s">
        <v>978</v>
      </c>
      <c r="B52" s="1845" t="s">
        <v>549</v>
      </c>
      <c r="C52" s="1644">
        <v>3.21</v>
      </c>
      <c r="D52" s="1644">
        <v>0.1</v>
      </c>
      <c r="E52" s="1644">
        <v>0</v>
      </c>
      <c r="F52" s="1644">
        <v>0.67</v>
      </c>
      <c r="G52" s="1644">
        <v>-0.5</v>
      </c>
      <c r="H52" s="1644">
        <v>0.27</v>
      </c>
      <c r="I52" s="1644">
        <v>0.31</v>
      </c>
      <c r="J52" s="1644">
        <v>0.05</v>
      </c>
      <c r="K52" s="1644">
        <v>3.51</v>
      </c>
      <c r="L52" s="1644">
        <v>2.46</v>
      </c>
      <c r="M52" s="1644">
        <v>-1.98</v>
      </c>
      <c r="N52" s="1644">
        <v>-0.71</v>
      </c>
      <c r="O52" s="1644">
        <v>-0.05</v>
      </c>
      <c r="P52" s="1644">
        <v>0.57999999999999996</v>
      </c>
      <c r="Q52" s="1644">
        <v>0</v>
      </c>
      <c r="R52" s="1644">
        <v>2.92</v>
      </c>
      <c r="S52" s="1644">
        <v>3.43</v>
      </c>
      <c r="T52" s="1845" t="s">
        <v>549</v>
      </c>
      <c r="U52" s="1644">
        <v>0.62</v>
      </c>
      <c r="V52" s="1644">
        <v>0</v>
      </c>
      <c r="W52" s="1644">
        <v>7.02</v>
      </c>
      <c r="X52" s="1644">
        <v>0</v>
      </c>
      <c r="Y52" s="1644">
        <v>0.01</v>
      </c>
      <c r="Z52" s="1644">
        <v>0.75</v>
      </c>
      <c r="AA52" s="1644">
        <v>0</v>
      </c>
      <c r="AB52" s="1644">
        <v>0</v>
      </c>
      <c r="AC52" s="1644">
        <v>0.44</v>
      </c>
      <c r="AD52" s="1644">
        <v>0.33</v>
      </c>
      <c r="AE52" s="1644">
        <v>0</v>
      </c>
      <c r="AF52" s="1644">
        <v>0.19</v>
      </c>
      <c r="AG52" s="1644">
        <v>-1</v>
      </c>
      <c r="AH52" s="1644">
        <v>0.25</v>
      </c>
      <c r="AI52" s="1644">
        <v>0</v>
      </c>
      <c r="AJ52" s="1644">
        <v>0</v>
      </c>
      <c r="AK52" s="1644">
        <v>-0.26</v>
      </c>
      <c r="AL52" s="1316">
        <v>67.23</v>
      </c>
      <c r="AM52" s="1316">
        <v>12.95</v>
      </c>
      <c r="AN52" s="1316">
        <v>12.94</v>
      </c>
      <c r="AO52" s="1316">
        <v>201.85</v>
      </c>
      <c r="AP52" s="1316">
        <v>201.74</v>
      </c>
      <c r="AQ52" s="1316">
        <v>0.78</v>
      </c>
      <c r="AR52" s="1316">
        <v>0.79</v>
      </c>
      <c r="AS52" s="1316">
        <v>1.8</v>
      </c>
      <c r="AT52" s="1316">
        <v>1.8</v>
      </c>
      <c r="AU52" s="1815" t="s">
        <v>549</v>
      </c>
      <c r="AV52" s="1316">
        <v>21.34</v>
      </c>
      <c r="AW52" s="1316">
        <v>21.33</v>
      </c>
      <c r="AX52" s="1316">
        <v>2.15</v>
      </c>
      <c r="AY52" s="1316">
        <v>2.17</v>
      </c>
      <c r="AZ52" s="1316">
        <v>20.72</v>
      </c>
      <c r="BA52" s="1316">
        <v>20.71</v>
      </c>
      <c r="BB52" s="1316">
        <v>7.0000000000000007E-2</v>
      </c>
      <c r="BC52" s="1316">
        <v>7.0000000000000007E-2</v>
      </c>
      <c r="BD52" s="1316">
        <v>61.3</v>
      </c>
      <c r="BE52" s="1316">
        <v>61.72</v>
      </c>
      <c r="BF52" s="1316">
        <v>12.12</v>
      </c>
      <c r="BG52" s="1316">
        <v>11.95</v>
      </c>
      <c r="BH52" s="1316">
        <v>0.59</v>
      </c>
      <c r="BI52" s="1316">
        <v>0.59</v>
      </c>
      <c r="BJ52" s="1815" t="s">
        <v>549</v>
      </c>
      <c r="BK52" s="1316">
        <v>88.28</v>
      </c>
      <c r="BL52" s="1316">
        <v>87.6</v>
      </c>
      <c r="BM52" s="1316">
        <v>0.54</v>
      </c>
      <c r="BN52" s="1316">
        <v>0.54</v>
      </c>
      <c r="BO52" s="1316">
        <v>120.28</v>
      </c>
      <c r="BP52" s="1316">
        <v>120.01</v>
      </c>
      <c r="BQ52" s="1316">
        <v>2.48</v>
      </c>
      <c r="BR52" s="1316">
        <v>2.48</v>
      </c>
      <c r="BS52" s="1316">
        <v>21.16</v>
      </c>
      <c r="BT52" s="1316">
        <v>21.15</v>
      </c>
      <c r="BU52" s="1316">
        <v>77.709999999999994</v>
      </c>
      <c r="BV52" s="1316">
        <v>77.67</v>
      </c>
      <c r="BW52" s="1316">
        <v>129.19</v>
      </c>
      <c r="BX52" s="1316">
        <v>129.28</v>
      </c>
    </row>
    <row r="53" spans="1:76" s="438" customFormat="1" ht="12.75" customHeight="1" x14ac:dyDescent="0.2">
      <c r="A53" s="1848" t="s">
        <v>978</v>
      </c>
      <c r="B53" s="1845" t="s">
        <v>558</v>
      </c>
      <c r="C53" s="1644">
        <v>0.17</v>
      </c>
      <c r="D53" s="1644">
        <v>0.03</v>
      </c>
      <c r="E53" s="1644">
        <v>0</v>
      </c>
      <c r="F53" s="1644">
        <v>0.96</v>
      </c>
      <c r="G53" s="1644">
        <v>-0.1</v>
      </c>
      <c r="H53" s="1644">
        <v>0.42</v>
      </c>
      <c r="I53" s="1644">
        <v>0.4</v>
      </c>
      <c r="J53" s="1644">
        <v>0.05</v>
      </c>
      <c r="K53" s="1644">
        <v>-0.89</v>
      </c>
      <c r="L53" s="1644">
        <v>-1.66</v>
      </c>
      <c r="M53" s="1644">
        <v>-0.43</v>
      </c>
      <c r="N53" s="1644">
        <v>0.2</v>
      </c>
      <c r="O53" s="1644">
        <v>0.14000000000000001</v>
      </c>
      <c r="P53" s="1644">
        <v>-0.05</v>
      </c>
      <c r="Q53" s="1644">
        <v>0</v>
      </c>
      <c r="R53" s="1644">
        <v>-0.48</v>
      </c>
      <c r="S53" s="1644">
        <v>-1.25</v>
      </c>
      <c r="T53" s="1845" t="s">
        <v>558</v>
      </c>
      <c r="U53" s="1644">
        <v>-0.14000000000000001</v>
      </c>
      <c r="V53" s="1644">
        <v>0</v>
      </c>
      <c r="W53" s="1644">
        <v>-0.37</v>
      </c>
      <c r="X53" s="1644">
        <v>-3.04</v>
      </c>
      <c r="Y53" s="1644">
        <v>0.01</v>
      </c>
      <c r="Z53" s="1644">
        <v>0.36</v>
      </c>
      <c r="AA53" s="1644">
        <v>0</v>
      </c>
      <c r="AB53" s="1644">
        <v>2.66</v>
      </c>
      <c r="AC53" s="1644">
        <v>0.22</v>
      </c>
      <c r="AD53" s="1644">
        <v>-0.96</v>
      </c>
      <c r="AE53" s="1644">
        <v>0.38</v>
      </c>
      <c r="AF53" s="1644">
        <v>0.34</v>
      </c>
      <c r="AG53" s="1644">
        <v>-2.16</v>
      </c>
      <c r="AH53" s="1644">
        <v>0.36</v>
      </c>
      <c r="AI53" s="1644">
        <v>-3.2</v>
      </c>
      <c r="AJ53" s="1644">
        <v>0</v>
      </c>
      <c r="AK53" s="1644">
        <v>1.1100000000000001</v>
      </c>
      <c r="AL53" s="313">
        <v>66.37</v>
      </c>
      <c r="AM53" s="313">
        <v>12.98</v>
      </c>
      <c r="AN53" s="313">
        <v>12.92</v>
      </c>
      <c r="AO53" s="313">
        <v>201.72</v>
      </c>
      <c r="AP53" s="313">
        <v>201.69</v>
      </c>
      <c r="AQ53" s="313">
        <v>0.8</v>
      </c>
      <c r="AR53" s="313">
        <v>0.79</v>
      </c>
      <c r="AS53" s="313">
        <v>1.77</v>
      </c>
      <c r="AT53" s="313">
        <v>1.74</v>
      </c>
      <c r="AU53" s="464" t="s">
        <v>558</v>
      </c>
      <c r="AV53" s="313">
        <v>21.33</v>
      </c>
      <c r="AW53" s="313">
        <v>21.33</v>
      </c>
      <c r="AX53" s="313">
        <v>2.1800000000000002</v>
      </c>
      <c r="AY53" s="313">
        <v>2.1800000000000002</v>
      </c>
      <c r="AZ53" s="313">
        <v>20.71</v>
      </c>
      <c r="BA53" s="313">
        <v>20.7</v>
      </c>
      <c r="BB53" s="313">
        <v>7.0000000000000007E-2</v>
      </c>
      <c r="BC53" s="313">
        <v>0.08</v>
      </c>
      <c r="BD53" s="313">
        <v>61.89</v>
      </c>
      <c r="BE53" s="313">
        <v>61.83</v>
      </c>
      <c r="BF53" s="313">
        <v>11.86</v>
      </c>
      <c r="BG53" s="313">
        <v>11.83</v>
      </c>
      <c r="BH53" s="313">
        <v>0.59</v>
      </c>
      <c r="BI53" s="313">
        <v>0.59</v>
      </c>
      <c r="BJ53" s="464" t="s">
        <v>558</v>
      </c>
      <c r="BK53" s="313">
        <v>87.93</v>
      </c>
      <c r="BL53" s="313">
        <v>87.87</v>
      </c>
      <c r="BM53" s="313">
        <v>0.53</v>
      </c>
      <c r="BN53" s="313">
        <v>0.52</v>
      </c>
      <c r="BO53" s="313">
        <v>120.22</v>
      </c>
      <c r="BP53" s="313">
        <v>120.41</v>
      </c>
      <c r="BQ53" s="313">
        <v>2.44</v>
      </c>
      <c r="BR53" s="313">
        <v>2.4</v>
      </c>
      <c r="BS53" s="313">
        <v>21.14</v>
      </c>
      <c r="BT53" s="313">
        <v>21.14</v>
      </c>
      <c r="BU53" s="313">
        <v>77.66</v>
      </c>
      <c r="BV53" s="313">
        <v>77.650000000000006</v>
      </c>
      <c r="BW53" s="313">
        <v>129.97999999999999</v>
      </c>
      <c r="BX53" s="313">
        <v>130.66999999999999</v>
      </c>
    </row>
    <row r="54" spans="1:76" s="438" customFormat="1" ht="12.75" customHeight="1" x14ac:dyDescent="0.15">
      <c r="A54" s="1848" t="s">
        <v>978</v>
      </c>
      <c r="B54" s="1845" t="s">
        <v>559</v>
      </c>
      <c r="C54" s="1644">
        <v>0.45</v>
      </c>
      <c r="D54" s="1644">
        <v>0.02</v>
      </c>
      <c r="E54" s="1644">
        <v>0</v>
      </c>
      <c r="F54" s="1644">
        <v>1</v>
      </c>
      <c r="G54" s="1644">
        <v>-0.19</v>
      </c>
      <c r="H54" s="1644">
        <v>-1.27</v>
      </c>
      <c r="I54" s="1644">
        <v>-1.27</v>
      </c>
      <c r="J54" s="1644">
        <v>0.01</v>
      </c>
      <c r="K54" s="1644">
        <v>2.08</v>
      </c>
      <c r="L54" s="1644">
        <v>-1.05</v>
      </c>
      <c r="M54" s="1644">
        <v>-0.28000000000000003</v>
      </c>
      <c r="N54" s="1644">
        <v>0.85</v>
      </c>
      <c r="O54" s="1644">
        <v>-0.16</v>
      </c>
      <c r="P54" s="1644">
        <v>1.52</v>
      </c>
      <c r="Q54" s="1644">
        <v>0</v>
      </c>
      <c r="R54" s="1644">
        <v>2.2200000000000002</v>
      </c>
      <c r="S54" s="1644">
        <v>-0.64</v>
      </c>
      <c r="T54" s="1845" t="s">
        <v>559</v>
      </c>
      <c r="U54" s="1644">
        <v>0.6</v>
      </c>
      <c r="V54" s="1644">
        <v>0</v>
      </c>
      <c r="W54" s="1644">
        <v>-0.25</v>
      </c>
      <c r="X54" s="1644">
        <v>1.56</v>
      </c>
      <c r="Y54" s="1644">
        <v>0.02</v>
      </c>
      <c r="Z54" s="1644">
        <v>3.25</v>
      </c>
      <c r="AA54" s="1644">
        <v>0</v>
      </c>
      <c r="AB54" s="1644">
        <v>1.05</v>
      </c>
      <c r="AC54" s="1644">
        <v>0.15</v>
      </c>
      <c r="AD54" s="1644">
        <v>-1.86</v>
      </c>
      <c r="AE54" s="1644">
        <v>0.16</v>
      </c>
      <c r="AF54" s="1644">
        <v>-1.32</v>
      </c>
      <c r="AG54" s="1644">
        <v>-0.84</v>
      </c>
      <c r="AH54" s="1644">
        <v>-0.66</v>
      </c>
      <c r="AI54" s="1644">
        <v>-1.57</v>
      </c>
      <c r="AJ54" s="1644">
        <v>0</v>
      </c>
      <c r="AK54" s="1644">
        <v>-0.4</v>
      </c>
      <c r="AL54" s="353">
        <v>65.930000000000007</v>
      </c>
      <c r="AM54" s="353">
        <v>13.07</v>
      </c>
      <c r="AN54" s="353">
        <v>12.99</v>
      </c>
      <c r="AO54" s="353">
        <v>201.67</v>
      </c>
      <c r="AP54" s="353">
        <v>201.64</v>
      </c>
      <c r="AQ54" s="353">
        <v>0.79</v>
      </c>
      <c r="AR54" s="353">
        <v>0.79</v>
      </c>
      <c r="AS54" s="353">
        <v>1.77</v>
      </c>
      <c r="AT54" s="353">
        <v>1.77</v>
      </c>
      <c r="AU54" s="1815" t="s">
        <v>559</v>
      </c>
      <c r="AV54" s="353">
        <v>21.33</v>
      </c>
      <c r="AW54" s="353">
        <v>21.33</v>
      </c>
      <c r="AX54" s="353">
        <v>2.23</v>
      </c>
      <c r="AY54" s="353">
        <v>2.25</v>
      </c>
      <c r="AZ54" s="353">
        <v>20.7</v>
      </c>
      <c r="BA54" s="353">
        <v>20.7</v>
      </c>
      <c r="BB54" s="353">
        <v>0.08</v>
      </c>
      <c r="BC54" s="353">
        <v>0.08</v>
      </c>
      <c r="BD54" s="353">
        <v>62.03</v>
      </c>
      <c r="BE54" s="353">
        <v>61.91</v>
      </c>
      <c r="BF54" s="353">
        <v>11.81</v>
      </c>
      <c r="BG54" s="353">
        <v>11.61</v>
      </c>
      <c r="BH54" s="353">
        <v>0.6</v>
      </c>
      <c r="BI54" s="353">
        <v>0.6</v>
      </c>
      <c r="BJ54" s="1815" t="s">
        <v>559</v>
      </c>
      <c r="BK54" s="353">
        <v>87.4</v>
      </c>
      <c r="BL54" s="353">
        <v>86.69</v>
      </c>
      <c r="BM54" s="353">
        <v>0.52</v>
      </c>
      <c r="BN54" s="353">
        <v>0.52</v>
      </c>
      <c r="BO54" s="353">
        <v>120.11</v>
      </c>
      <c r="BP54" s="353">
        <v>119.58</v>
      </c>
      <c r="BQ54" s="353">
        <v>2.39</v>
      </c>
      <c r="BR54" s="353">
        <v>2.36</v>
      </c>
      <c r="BS54" s="353">
        <v>21.14</v>
      </c>
      <c r="BT54" s="353">
        <v>21.14</v>
      </c>
      <c r="BU54" s="353">
        <v>77.64</v>
      </c>
      <c r="BV54" s="353">
        <v>77.63</v>
      </c>
      <c r="BW54" s="353">
        <v>130.76</v>
      </c>
      <c r="BX54" s="353">
        <v>130.13</v>
      </c>
    </row>
    <row r="55" spans="1:76" s="438" customFormat="1" ht="12.75" customHeight="1" x14ac:dyDescent="0.15">
      <c r="A55" s="1848" t="s">
        <v>978</v>
      </c>
      <c r="B55" s="1845" t="s">
        <v>550</v>
      </c>
      <c r="C55" s="1644">
        <v>1.23</v>
      </c>
      <c r="D55" s="1644">
        <v>0</v>
      </c>
      <c r="E55" s="1644">
        <v>0</v>
      </c>
      <c r="F55" s="1644">
        <v>1.71</v>
      </c>
      <c r="G55" s="1644">
        <v>0.27</v>
      </c>
      <c r="H55" s="1644">
        <v>0.23</v>
      </c>
      <c r="I55" s="1644">
        <v>0.11</v>
      </c>
      <c r="J55" s="1644">
        <v>0.02</v>
      </c>
      <c r="K55" s="1644">
        <v>-1.42</v>
      </c>
      <c r="L55" s="1644">
        <v>-2.5499999999999998</v>
      </c>
      <c r="M55" s="1644">
        <v>-0.19</v>
      </c>
      <c r="N55" s="1644">
        <v>0.32</v>
      </c>
      <c r="O55" s="1644">
        <v>0.02</v>
      </c>
      <c r="P55" s="1644">
        <v>0.22</v>
      </c>
      <c r="Q55" s="1644">
        <v>0</v>
      </c>
      <c r="R55" s="1644">
        <v>-1.42</v>
      </c>
      <c r="S55" s="1644">
        <v>3.39</v>
      </c>
      <c r="T55" s="1845" t="s">
        <v>550</v>
      </c>
      <c r="U55" s="1644">
        <v>-2.42</v>
      </c>
      <c r="V55" s="1644">
        <v>0</v>
      </c>
      <c r="W55" s="1644">
        <v>-0.02</v>
      </c>
      <c r="X55" s="1644">
        <v>0.25</v>
      </c>
      <c r="Y55" s="1644">
        <v>-0.03</v>
      </c>
      <c r="Z55" s="1644">
        <v>2.31</v>
      </c>
      <c r="AA55" s="1644">
        <v>0</v>
      </c>
      <c r="AB55" s="1644">
        <v>0.84</v>
      </c>
      <c r="AC55" s="1644">
        <v>0.34</v>
      </c>
      <c r="AD55" s="1644">
        <v>-0.74</v>
      </c>
      <c r="AE55" s="1644">
        <v>0.05</v>
      </c>
      <c r="AF55" s="1644">
        <v>0.53</v>
      </c>
      <c r="AG55" s="1644">
        <v>-0.2</v>
      </c>
      <c r="AH55" s="1644">
        <v>0.25</v>
      </c>
      <c r="AI55" s="1644">
        <v>1.1399999999999999</v>
      </c>
      <c r="AJ55" s="1644">
        <v>0.01</v>
      </c>
      <c r="AK55" s="1644">
        <v>1.63</v>
      </c>
      <c r="AL55" s="339">
        <v>68.16</v>
      </c>
      <c r="AM55" s="339">
        <v>12.87</v>
      </c>
      <c r="AN55" s="339">
        <v>12.68</v>
      </c>
      <c r="AO55" s="339">
        <v>201.64</v>
      </c>
      <c r="AP55" s="339">
        <v>201.64</v>
      </c>
      <c r="AQ55" s="339">
        <v>0.79</v>
      </c>
      <c r="AR55" s="339">
        <v>0.79</v>
      </c>
      <c r="AS55" s="339">
        <v>1.77</v>
      </c>
      <c r="AT55" s="339">
        <v>1.78</v>
      </c>
      <c r="AU55" s="464" t="s">
        <v>550</v>
      </c>
      <c r="AV55" s="339">
        <v>21.32</v>
      </c>
      <c r="AW55" s="339">
        <v>21.32</v>
      </c>
      <c r="AX55" s="339">
        <v>2.25</v>
      </c>
      <c r="AY55" s="339">
        <v>2.2999999999999998</v>
      </c>
      <c r="AZ55" s="339">
        <v>20.7</v>
      </c>
      <c r="BA55" s="339">
        <v>20.7</v>
      </c>
      <c r="BB55" s="339">
        <v>0.08</v>
      </c>
      <c r="BC55" s="339">
        <v>0.08</v>
      </c>
      <c r="BD55" s="339">
        <v>62.05</v>
      </c>
      <c r="BE55" s="339">
        <v>62.12</v>
      </c>
      <c r="BF55" s="339">
        <v>11.61</v>
      </c>
      <c r="BG55" s="339">
        <v>11.52</v>
      </c>
      <c r="BH55" s="339">
        <v>0.6</v>
      </c>
      <c r="BI55" s="339">
        <v>0.6</v>
      </c>
      <c r="BJ55" s="464" t="s">
        <v>550</v>
      </c>
      <c r="BK55" s="339">
        <v>86.66</v>
      </c>
      <c r="BL55" s="339">
        <v>87.15</v>
      </c>
      <c r="BM55" s="339">
        <v>0.52</v>
      </c>
      <c r="BN55" s="339">
        <v>0.52</v>
      </c>
      <c r="BO55" s="339">
        <v>119.63</v>
      </c>
      <c r="BP55" s="339">
        <v>119.87</v>
      </c>
      <c r="BQ55" s="339">
        <v>2.39</v>
      </c>
      <c r="BR55" s="339">
        <v>2.39</v>
      </c>
      <c r="BS55" s="339">
        <v>21.14</v>
      </c>
      <c r="BT55" s="339">
        <v>21.14</v>
      </c>
      <c r="BU55" s="339">
        <v>77.63</v>
      </c>
      <c r="BV55" s="339">
        <v>77.63</v>
      </c>
      <c r="BW55" s="339">
        <v>131.26</v>
      </c>
      <c r="BX55" s="339">
        <v>132.24</v>
      </c>
    </row>
    <row r="56" spans="1:76" s="438" customFormat="1" ht="12.75" customHeight="1" x14ac:dyDescent="0.15">
      <c r="A56" s="1848" t="s">
        <v>1029</v>
      </c>
      <c r="B56" s="1845" t="s">
        <v>552</v>
      </c>
      <c r="C56" s="1644">
        <v>-1.02</v>
      </c>
      <c r="D56" s="1644">
        <v>0.14000000000000001</v>
      </c>
      <c r="E56" s="1644">
        <v>0</v>
      </c>
      <c r="F56" s="1644">
        <v>-2.1800000000000002</v>
      </c>
      <c r="G56" s="1644">
        <v>-0.24</v>
      </c>
      <c r="H56" s="1644">
        <v>-1.87</v>
      </c>
      <c r="I56" s="1644">
        <v>-1.87</v>
      </c>
      <c r="J56" s="1644">
        <v>0.01</v>
      </c>
      <c r="K56" s="1644">
        <v>-0.03</v>
      </c>
      <c r="L56" s="1644">
        <v>3.48</v>
      </c>
      <c r="M56" s="1644">
        <v>-2.37</v>
      </c>
      <c r="N56" s="1644">
        <v>-1.33</v>
      </c>
      <c r="O56" s="1644">
        <v>-0.53</v>
      </c>
      <c r="P56" s="1644">
        <v>0.6</v>
      </c>
      <c r="Q56" s="1644">
        <v>-99.34</v>
      </c>
      <c r="R56" s="1644">
        <v>0.02</v>
      </c>
      <c r="S56" s="1644">
        <v>-3.36</v>
      </c>
      <c r="T56" s="1845" t="s">
        <v>552</v>
      </c>
      <c r="U56" s="1644">
        <v>-2.13</v>
      </c>
      <c r="V56" s="1644">
        <v>0</v>
      </c>
      <c r="W56" s="1644">
        <v>-0.1</v>
      </c>
      <c r="X56" s="1644">
        <v>0.67</v>
      </c>
      <c r="Y56" s="1644">
        <v>0</v>
      </c>
      <c r="Z56" s="1644">
        <v>-5.14</v>
      </c>
      <c r="AA56" s="1644">
        <v>0</v>
      </c>
      <c r="AB56" s="1644">
        <v>-1.4</v>
      </c>
      <c r="AC56" s="1644">
        <v>0.41</v>
      </c>
      <c r="AD56" s="1644">
        <v>-2.1</v>
      </c>
      <c r="AE56" s="1644">
        <v>0.09</v>
      </c>
      <c r="AF56" s="1644">
        <v>-1.99</v>
      </c>
      <c r="AG56" s="1644">
        <v>0.03</v>
      </c>
      <c r="AH56" s="1644">
        <v>-0.71</v>
      </c>
      <c r="AI56" s="1644">
        <v>1.3</v>
      </c>
      <c r="AJ56" s="1644">
        <v>-0.01</v>
      </c>
      <c r="AK56" s="1644">
        <v>-0.69</v>
      </c>
      <c r="AL56" s="339">
        <v>65.78</v>
      </c>
      <c r="AM56" s="339">
        <v>12.53</v>
      </c>
      <c r="AN56" s="339">
        <v>12.39</v>
      </c>
      <c r="AO56" s="339">
        <v>201.53</v>
      </c>
      <c r="AP56" s="339">
        <v>201.35</v>
      </c>
      <c r="AQ56" s="339">
        <v>0.79</v>
      </c>
      <c r="AR56" s="339">
        <v>0.78</v>
      </c>
      <c r="AS56" s="339">
        <v>1.79</v>
      </c>
      <c r="AT56" s="339">
        <v>1.78</v>
      </c>
      <c r="AU56" s="464" t="s">
        <v>552</v>
      </c>
      <c r="AV56" s="339">
        <v>21.31</v>
      </c>
      <c r="AW56" s="339">
        <v>21.29</v>
      </c>
      <c r="AX56" s="339">
        <v>2.2400000000000002</v>
      </c>
      <c r="AY56" s="339">
        <v>2.1800000000000002</v>
      </c>
      <c r="AZ56" s="339">
        <v>20.69</v>
      </c>
      <c r="BA56" s="339">
        <v>20.67</v>
      </c>
      <c r="BB56" s="339">
        <v>0.08</v>
      </c>
      <c r="BC56" s="339">
        <v>0.08</v>
      </c>
      <c r="BD56" s="339">
        <v>62.44</v>
      </c>
      <c r="BE56" s="339">
        <v>62.29</v>
      </c>
      <c r="BF56" s="339">
        <v>11.39</v>
      </c>
      <c r="BG56" s="339">
        <v>11.26</v>
      </c>
      <c r="BH56" s="339">
        <v>0.6</v>
      </c>
      <c r="BI56" s="339">
        <v>0.6</v>
      </c>
      <c r="BJ56" s="464" t="s">
        <v>552</v>
      </c>
      <c r="BK56" s="339">
        <v>86.52</v>
      </c>
      <c r="BL56" s="339">
        <v>85.29</v>
      </c>
      <c r="BM56" s="339">
        <v>0.52</v>
      </c>
      <c r="BN56" s="339">
        <v>0.52</v>
      </c>
      <c r="BO56" s="339">
        <v>119.67</v>
      </c>
      <c r="BP56" s="339">
        <v>118.86</v>
      </c>
      <c r="BQ56" s="339">
        <v>2.42</v>
      </c>
      <c r="BR56" s="339">
        <v>2.42</v>
      </c>
      <c r="BS56" s="339">
        <v>21.12</v>
      </c>
      <c r="BT56" s="339">
        <v>21.11</v>
      </c>
      <c r="BU56" s="339">
        <v>77.59</v>
      </c>
      <c r="BV56" s="339">
        <v>77.52</v>
      </c>
      <c r="BW56" s="339">
        <v>132.56</v>
      </c>
      <c r="BX56" s="339">
        <v>131.13999999999999</v>
      </c>
    </row>
    <row r="57" spans="1:76" s="438" customFormat="1" ht="12.75" customHeight="1" x14ac:dyDescent="0.15">
      <c r="A57" s="1848" t="s">
        <v>1029</v>
      </c>
      <c r="B57" s="1845" t="s">
        <v>553</v>
      </c>
      <c r="C57" s="1644">
        <v>0.11</v>
      </c>
      <c r="D57" s="1644">
        <v>0.15</v>
      </c>
      <c r="E57" s="1644">
        <v>0</v>
      </c>
      <c r="F57" s="1644">
        <v>0.25</v>
      </c>
      <c r="G57" s="1644">
        <v>0.05</v>
      </c>
      <c r="H57" s="1644">
        <v>-1.8</v>
      </c>
      <c r="I57" s="1644">
        <v>-1.9</v>
      </c>
      <c r="J57" s="1644">
        <v>0</v>
      </c>
      <c r="K57" s="1644">
        <v>-0.76</v>
      </c>
      <c r="L57" s="1644">
        <v>-0.96</v>
      </c>
      <c r="M57" s="1644">
        <v>-1.31</v>
      </c>
      <c r="N57" s="1644">
        <v>-1.2</v>
      </c>
      <c r="O57" s="1644">
        <v>-0.51</v>
      </c>
      <c r="P57" s="1644">
        <v>1.22</v>
      </c>
      <c r="Q57" s="1644">
        <v>0.15</v>
      </c>
      <c r="R57" s="1644">
        <v>-0.72</v>
      </c>
      <c r="S57" s="1644">
        <v>-1.44</v>
      </c>
      <c r="T57" s="1845" t="s">
        <v>553</v>
      </c>
      <c r="U57" s="1644">
        <v>0.99</v>
      </c>
      <c r="V57" s="1644">
        <v>0</v>
      </c>
      <c r="W57" s="1644">
        <v>-2.99</v>
      </c>
      <c r="X57" s="1644">
        <v>-0.51</v>
      </c>
      <c r="Y57" s="1644">
        <v>-0.01</v>
      </c>
      <c r="Z57" s="1644">
        <v>-1.71</v>
      </c>
      <c r="AA57" s="1644">
        <v>0</v>
      </c>
      <c r="AB57" s="1644">
        <v>1.24</v>
      </c>
      <c r="AC57" s="1644">
        <v>-0.36</v>
      </c>
      <c r="AD57" s="1644">
        <v>-1.54</v>
      </c>
      <c r="AE57" s="1644">
        <v>0</v>
      </c>
      <c r="AF57" s="1644">
        <v>-0.98</v>
      </c>
      <c r="AG57" s="1644">
        <v>-2.64</v>
      </c>
      <c r="AH57" s="1644">
        <v>-0.97</v>
      </c>
      <c r="AI57" s="1644">
        <v>0.33</v>
      </c>
      <c r="AJ57" s="1644">
        <v>0</v>
      </c>
      <c r="AK57" s="1644">
        <v>-1.85</v>
      </c>
      <c r="AL57" s="353">
        <v>64.739999999999995</v>
      </c>
      <c r="AM57" s="353">
        <v>12.49</v>
      </c>
      <c r="AN57" s="353">
        <v>12.49</v>
      </c>
      <c r="AO57" s="353">
        <v>201.19</v>
      </c>
      <c r="AP57" s="353">
        <v>201.05</v>
      </c>
      <c r="AQ57" s="353">
        <v>0.77</v>
      </c>
      <c r="AR57" s="353">
        <v>0.76</v>
      </c>
      <c r="AS57" s="353">
        <v>1.77</v>
      </c>
      <c r="AT57" s="353">
        <v>1.77</v>
      </c>
      <c r="AU57" s="1815" t="s">
        <v>553</v>
      </c>
      <c r="AV57" s="353">
        <v>21.27</v>
      </c>
      <c r="AW57" s="353">
        <v>21.26</v>
      </c>
      <c r="AX57" s="353">
        <v>2.15</v>
      </c>
      <c r="AY57" s="353">
        <v>2.14</v>
      </c>
      <c r="AZ57" s="353">
        <v>20.65</v>
      </c>
      <c r="BA57" s="353">
        <v>20.64</v>
      </c>
      <c r="BB57" s="353">
        <v>0.08</v>
      </c>
      <c r="BC57" s="353">
        <v>0.08</v>
      </c>
      <c r="BD57" s="353">
        <v>62.04</v>
      </c>
      <c r="BE57" s="353">
        <v>61.97</v>
      </c>
      <c r="BF57" s="353">
        <v>11.23</v>
      </c>
      <c r="BG57" s="353">
        <v>11.07</v>
      </c>
      <c r="BH57" s="353">
        <v>0.59</v>
      </c>
      <c r="BI57" s="353">
        <v>0.59</v>
      </c>
      <c r="BJ57" s="1815" t="s">
        <v>553</v>
      </c>
      <c r="BK57" s="353">
        <v>85.17</v>
      </c>
      <c r="BL57" s="353">
        <v>84.33</v>
      </c>
      <c r="BM57" s="353">
        <v>0.51</v>
      </c>
      <c r="BN57" s="353">
        <v>0.5</v>
      </c>
      <c r="BO57" s="353">
        <v>118.35</v>
      </c>
      <c r="BP57" s="353">
        <v>117.53</v>
      </c>
      <c r="BQ57" s="353">
        <v>2.4300000000000002</v>
      </c>
      <c r="BR57" s="353">
        <v>2.42</v>
      </c>
      <c r="BS57" s="353">
        <v>21.09</v>
      </c>
      <c r="BT57" s="353">
        <v>21.07</v>
      </c>
      <c r="BU57" s="353">
        <v>77.459999999999994</v>
      </c>
      <c r="BV57" s="353">
        <v>77.41</v>
      </c>
      <c r="BW57" s="353">
        <v>129.43</v>
      </c>
      <c r="BX57" s="353">
        <v>128.53</v>
      </c>
    </row>
    <row r="58" spans="1:76" s="438" customFormat="1" ht="12.75" customHeight="1" x14ac:dyDescent="0.15">
      <c r="A58" s="1848" t="s">
        <v>1029</v>
      </c>
      <c r="B58" s="1845" t="s">
        <v>547</v>
      </c>
      <c r="C58" s="1644">
        <v>-6.66</v>
      </c>
      <c r="D58" s="1644">
        <v>0.01</v>
      </c>
      <c r="E58" s="1644">
        <v>0</v>
      </c>
      <c r="F58" s="1644">
        <v>-2.52</v>
      </c>
      <c r="G58" s="1644">
        <v>0.2</v>
      </c>
      <c r="H58" s="1644">
        <v>-3.36</v>
      </c>
      <c r="I58" s="1644">
        <v>-3.44</v>
      </c>
      <c r="J58" s="1644">
        <v>-0.25</v>
      </c>
      <c r="K58" s="1644">
        <v>-1.69</v>
      </c>
      <c r="L58" s="1644">
        <v>-4.0199999999999996</v>
      </c>
      <c r="M58" s="1644">
        <v>-0.25</v>
      </c>
      <c r="N58" s="1644">
        <v>-4.92</v>
      </c>
      <c r="O58" s="1644">
        <v>-1.1499999999999999</v>
      </c>
      <c r="P58" s="1644">
        <v>-3.67</v>
      </c>
      <c r="Q58" s="1644">
        <v>-2.12</v>
      </c>
      <c r="R58" s="1644">
        <v>-1.27</v>
      </c>
      <c r="S58" s="1644">
        <v>-7.21</v>
      </c>
      <c r="T58" s="1845" t="s">
        <v>547</v>
      </c>
      <c r="U58" s="1644">
        <v>-3.83</v>
      </c>
      <c r="V58" s="1644">
        <v>0</v>
      </c>
      <c r="W58" s="1644">
        <v>-0.78</v>
      </c>
      <c r="X58" s="1644">
        <v>-2.63</v>
      </c>
      <c r="Y58" s="1644">
        <v>0</v>
      </c>
      <c r="Z58" s="1644">
        <v>-8.1999999999999993</v>
      </c>
      <c r="AA58" s="1644">
        <v>-0.01</v>
      </c>
      <c r="AB58" s="1644">
        <v>-3.74</v>
      </c>
      <c r="AC58" s="1644">
        <v>-2.0499999999999998</v>
      </c>
      <c r="AD58" s="1644">
        <v>-3.34</v>
      </c>
      <c r="AE58" s="1644">
        <v>-0.17</v>
      </c>
      <c r="AF58" s="1644">
        <v>-3.51</v>
      </c>
      <c r="AG58" s="1644">
        <v>-4.03</v>
      </c>
      <c r="AH58" s="1644">
        <v>-2.04</v>
      </c>
      <c r="AI58" s="1644">
        <v>-1.31</v>
      </c>
      <c r="AJ58" s="1644">
        <v>0.01</v>
      </c>
      <c r="AK58" s="1644">
        <v>-2.1800000000000002</v>
      </c>
      <c r="AL58" s="339">
        <v>60.07</v>
      </c>
      <c r="AM58" s="339">
        <v>12.21</v>
      </c>
      <c r="AN58" s="339">
        <v>12.01</v>
      </c>
      <c r="AO58" s="339">
        <v>201.04</v>
      </c>
      <c r="AP58" s="339">
        <v>201.04</v>
      </c>
      <c r="AQ58" s="339">
        <v>0.76</v>
      </c>
      <c r="AR58" s="339">
        <v>0.75</v>
      </c>
      <c r="AS58" s="339">
        <v>1.75</v>
      </c>
      <c r="AT58" s="339">
        <v>1.73</v>
      </c>
      <c r="AU58" s="464" t="s">
        <v>547</v>
      </c>
      <c r="AV58" s="339">
        <v>21.26</v>
      </c>
      <c r="AW58" s="339">
        <v>21.25</v>
      </c>
      <c r="AX58" s="339">
        <v>2.0499999999999998</v>
      </c>
      <c r="AY58" s="339">
        <v>1.96</v>
      </c>
      <c r="AZ58" s="339">
        <v>20.64</v>
      </c>
      <c r="BA58" s="339">
        <v>20.63</v>
      </c>
      <c r="BB58" s="339">
        <v>7.0000000000000007E-2</v>
      </c>
      <c r="BC58" s="339">
        <v>7.0000000000000007E-2</v>
      </c>
      <c r="BD58" s="339">
        <v>61.3</v>
      </c>
      <c r="BE58" s="339">
        <v>60.69</v>
      </c>
      <c r="BF58" s="339">
        <v>10.86</v>
      </c>
      <c r="BG58" s="339">
        <v>10.7</v>
      </c>
      <c r="BH58" s="339">
        <v>0.59</v>
      </c>
      <c r="BI58" s="339">
        <v>0.59</v>
      </c>
      <c r="BJ58" s="464" t="s">
        <v>547</v>
      </c>
      <c r="BK58" s="339">
        <v>82.73</v>
      </c>
      <c r="BL58" s="339">
        <v>81.37</v>
      </c>
      <c r="BM58" s="339">
        <v>0.49</v>
      </c>
      <c r="BN58" s="339">
        <v>0.48</v>
      </c>
      <c r="BO58" s="339">
        <v>116.18</v>
      </c>
      <c r="BP58" s="339">
        <v>115.13</v>
      </c>
      <c r="BQ58" s="339">
        <v>2.4</v>
      </c>
      <c r="BR58" s="339">
        <v>2.39</v>
      </c>
      <c r="BS58" s="339">
        <v>21.07</v>
      </c>
      <c r="BT58" s="339">
        <v>21.07</v>
      </c>
      <c r="BU58" s="339">
        <v>77.400000000000006</v>
      </c>
      <c r="BV58" s="339">
        <v>77.400000000000006</v>
      </c>
      <c r="BW58" s="339">
        <v>126.29</v>
      </c>
      <c r="BX58" s="339">
        <v>125.72</v>
      </c>
    </row>
    <row r="59" spans="1:76" s="438" customFormat="1" ht="12.75" customHeight="1" x14ac:dyDescent="0.15">
      <c r="A59" s="1848" t="s">
        <v>1029</v>
      </c>
      <c r="B59" s="1845" t="s">
        <v>554</v>
      </c>
      <c r="C59" s="1644">
        <v>1.3</v>
      </c>
      <c r="D59" s="1644">
        <v>-0.01</v>
      </c>
      <c r="E59" s="1644">
        <v>0</v>
      </c>
      <c r="F59" s="1644">
        <v>-0.38</v>
      </c>
      <c r="G59" s="1644">
        <v>0.1</v>
      </c>
      <c r="H59" s="1644">
        <v>-0.65</v>
      </c>
      <c r="I59" s="1644">
        <v>-0.62</v>
      </c>
      <c r="J59" s="1644">
        <v>0.19</v>
      </c>
      <c r="K59" s="1644">
        <v>0.2</v>
      </c>
      <c r="L59" s="1644">
        <v>0.77</v>
      </c>
      <c r="M59" s="1644">
        <v>-0.14000000000000001</v>
      </c>
      <c r="N59" s="1644">
        <v>0.18</v>
      </c>
      <c r="O59" s="1644">
        <v>-0.52</v>
      </c>
      <c r="P59" s="1644">
        <v>-0.37</v>
      </c>
      <c r="Q59" s="1644">
        <v>-1.49</v>
      </c>
      <c r="R59" s="1644">
        <v>0.06</v>
      </c>
      <c r="S59" s="1644">
        <v>1.06</v>
      </c>
      <c r="T59" s="1845" t="s">
        <v>554</v>
      </c>
      <c r="U59" s="1644">
        <v>-3.91</v>
      </c>
      <c r="V59" s="1644">
        <v>0</v>
      </c>
      <c r="W59" s="1644">
        <v>-0.28999999999999998</v>
      </c>
      <c r="X59" s="1644">
        <v>0.03</v>
      </c>
      <c r="Y59" s="1644">
        <v>0</v>
      </c>
      <c r="Z59" s="1644">
        <v>-8.77</v>
      </c>
      <c r="AA59" s="1644">
        <v>-0.02</v>
      </c>
      <c r="AB59" s="1644">
        <v>-0.32</v>
      </c>
      <c r="AC59" s="1644">
        <v>-0.19</v>
      </c>
      <c r="AD59" s="1644">
        <v>-1.55</v>
      </c>
      <c r="AE59" s="1644">
        <v>-0.4</v>
      </c>
      <c r="AF59" s="1644">
        <v>-0.51</v>
      </c>
      <c r="AG59" s="1644">
        <v>-2.97</v>
      </c>
      <c r="AH59" s="1644">
        <v>-0.44</v>
      </c>
      <c r="AI59" s="1644">
        <v>-0.32</v>
      </c>
      <c r="AJ59" s="1644">
        <v>-0.01</v>
      </c>
      <c r="AK59" s="1644">
        <v>-1.49</v>
      </c>
      <c r="AL59" s="353">
        <v>60.71</v>
      </c>
      <c r="AM59" s="353">
        <v>11.84</v>
      </c>
      <c r="AN59" s="353">
        <v>11.55</v>
      </c>
      <c r="AO59" s="353">
        <v>201.05</v>
      </c>
      <c r="AP59" s="353">
        <v>201.06</v>
      </c>
      <c r="AQ59" s="353">
        <v>0.75</v>
      </c>
      <c r="AR59" s="353">
        <v>0.75</v>
      </c>
      <c r="AS59" s="353">
        <v>1.73</v>
      </c>
      <c r="AT59" s="353">
        <v>1.73</v>
      </c>
      <c r="AU59" s="1815" t="s">
        <v>554</v>
      </c>
      <c r="AV59" s="353">
        <v>21.26</v>
      </c>
      <c r="AW59" s="353">
        <v>21.26</v>
      </c>
      <c r="AX59" s="353">
        <v>1.9</v>
      </c>
      <c r="AY59" s="353">
        <v>1.79</v>
      </c>
      <c r="AZ59" s="353">
        <v>20.63</v>
      </c>
      <c r="BA59" s="353">
        <v>20.63</v>
      </c>
      <c r="BB59" s="353">
        <v>7.0000000000000007E-2</v>
      </c>
      <c r="BC59" s="353">
        <v>7.0000000000000007E-2</v>
      </c>
      <c r="BD59" s="353">
        <v>60.74</v>
      </c>
      <c r="BE59" s="353">
        <v>60.59</v>
      </c>
      <c r="BF59" s="353">
        <v>10.71</v>
      </c>
      <c r="BG59" s="353">
        <v>10.54</v>
      </c>
      <c r="BH59" s="353">
        <v>0.59</v>
      </c>
      <c r="BI59" s="353">
        <v>0.59</v>
      </c>
      <c r="BJ59" s="1815" t="s">
        <v>554</v>
      </c>
      <c r="BK59" s="353">
        <v>81.260000000000005</v>
      </c>
      <c r="BL59" s="353">
        <v>80.959999999999994</v>
      </c>
      <c r="BM59" s="353">
        <v>0.48</v>
      </c>
      <c r="BN59" s="353">
        <v>0.47</v>
      </c>
      <c r="BO59" s="353">
        <v>115.07</v>
      </c>
      <c r="BP59" s="353">
        <v>114.63</v>
      </c>
      <c r="BQ59" s="353">
        <v>2.39</v>
      </c>
      <c r="BR59" s="353">
        <v>2.38</v>
      </c>
      <c r="BS59" s="353">
        <v>21.07</v>
      </c>
      <c r="BT59" s="353">
        <v>21.08</v>
      </c>
      <c r="BU59" s="353">
        <v>77.400000000000006</v>
      </c>
      <c r="BV59" s="353">
        <v>77.41</v>
      </c>
      <c r="BW59" s="353">
        <v>124.51</v>
      </c>
      <c r="BX59" s="353">
        <v>123.86</v>
      </c>
    </row>
    <row r="60" spans="1:76" s="438" customFormat="1" ht="12.75" customHeight="1" x14ac:dyDescent="0.15">
      <c r="A60" s="1848" t="s">
        <v>1029</v>
      </c>
      <c r="B60" s="1845" t="s">
        <v>555</v>
      </c>
      <c r="C60" s="1644">
        <v>-3.66</v>
      </c>
      <c r="D60" s="1644">
        <v>-0.37</v>
      </c>
      <c r="E60" s="1644">
        <v>0</v>
      </c>
      <c r="F60" s="1644">
        <v>-1.99</v>
      </c>
      <c r="G60" s="1644">
        <v>0.19</v>
      </c>
      <c r="H60" s="1644">
        <v>-1.29</v>
      </c>
      <c r="I60" s="1644">
        <v>-1.3</v>
      </c>
      <c r="J60" s="1644">
        <v>0</v>
      </c>
      <c r="K60" s="1644">
        <v>-1.24</v>
      </c>
      <c r="L60" s="1644">
        <v>-0.96</v>
      </c>
      <c r="M60" s="1644">
        <v>-0.41</v>
      </c>
      <c r="N60" s="1644">
        <v>-7.95</v>
      </c>
      <c r="O60" s="1644">
        <v>-0.67</v>
      </c>
      <c r="P60" s="1644">
        <v>-2.93</v>
      </c>
      <c r="Q60" s="1644">
        <v>-2.42</v>
      </c>
      <c r="R60" s="1644">
        <v>-1.02</v>
      </c>
      <c r="S60" s="1644">
        <v>-0.05</v>
      </c>
      <c r="T60" s="1845" t="s">
        <v>555</v>
      </c>
      <c r="U60" s="1644">
        <v>-4.79</v>
      </c>
      <c r="V60" s="1644">
        <v>0</v>
      </c>
      <c r="W60" s="1644">
        <v>1.1299999999999999</v>
      </c>
      <c r="X60" s="1644">
        <v>-0.28000000000000003</v>
      </c>
      <c r="Y60" s="1644">
        <v>0.01</v>
      </c>
      <c r="Z60" s="1644">
        <v>-8.86</v>
      </c>
      <c r="AA60" s="1644">
        <v>-0.04</v>
      </c>
      <c r="AB60" s="1644">
        <v>-5.0599999999999996</v>
      </c>
      <c r="AC60" s="1644">
        <v>-1.98</v>
      </c>
      <c r="AD60" s="1644">
        <v>-1.51</v>
      </c>
      <c r="AE60" s="1644">
        <v>-0.13</v>
      </c>
      <c r="AF60" s="1644">
        <v>-1.02</v>
      </c>
      <c r="AG60" s="1644">
        <v>-3.23</v>
      </c>
      <c r="AH60" s="1644">
        <v>-1.1100000000000001</v>
      </c>
      <c r="AI60" s="1644">
        <v>-1.19</v>
      </c>
      <c r="AJ60" s="1644">
        <v>0</v>
      </c>
      <c r="AK60" s="1644">
        <v>-2.25</v>
      </c>
      <c r="AL60" s="339">
        <v>60.9</v>
      </c>
      <c r="AM60" s="339">
        <v>11.39</v>
      </c>
      <c r="AN60" s="339">
        <v>11.03</v>
      </c>
      <c r="AO60" s="339">
        <v>201.34</v>
      </c>
      <c r="AP60" s="339">
        <v>201.81</v>
      </c>
      <c r="AQ60" s="339">
        <v>0.76</v>
      </c>
      <c r="AR60" s="339">
        <v>0.76</v>
      </c>
      <c r="AS60" s="339">
        <v>1.72</v>
      </c>
      <c r="AT60" s="339">
        <v>1.73</v>
      </c>
      <c r="AU60" s="464" t="s">
        <v>555</v>
      </c>
      <c r="AV60" s="339">
        <v>21.29</v>
      </c>
      <c r="AW60" s="339">
        <v>21.34</v>
      </c>
      <c r="AX60" s="339">
        <v>1.69</v>
      </c>
      <c r="AY60" s="339">
        <v>1.64</v>
      </c>
      <c r="AZ60" s="339">
        <v>20.66</v>
      </c>
      <c r="BA60" s="339">
        <v>20.7</v>
      </c>
      <c r="BB60" s="339">
        <v>7.0000000000000007E-2</v>
      </c>
      <c r="BC60" s="339">
        <v>7.0000000000000007E-2</v>
      </c>
      <c r="BD60" s="339">
        <v>59.86</v>
      </c>
      <c r="BE60" s="339">
        <v>59.61</v>
      </c>
      <c r="BF60" s="339">
        <v>10.46</v>
      </c>
      <c r="BG60" s="339">
        <v>10.42</v>
      </c>
      <c r="BH60" s="339">
        <v>0.59</v>
      </c>
      <c r="BI60" s="339">
        <v>0.59</v>
      </c>
      <c r="BJ60" s="464" t="s">
        <v>555</v>
      </c>
      <c r="BK60" s="339">
        <v>80.41</v>
      </c>
      <c r="BL60" s="339">
        <v>80.430000000000007</v>
      </c>
      <c r="BM60" s="339">
        <v>0.46</v>
      </c>
      <c r="BN60" s="339">
        <v>0.46</v>
      </c>
      <c r="BO60" s="339">
        <v>113.73</v>
      </c>
      <c r="BP60" s="339">
        <v>113.77</v>
      </c>
      <c r="BQ60" s="339">
        <v>2.36</v>
      </c>
      <c r="BR60" s="339">
        <v>2.36</v>
      </c>
      <c r="BS60" s="339">
        <v>21.1</v>
      </c>
      <c r="BT60" s="339">
        <v>21.15</v>
      </c>
      <c r="BU60" s="339">
        <v>77.510000000000005</v>
      </c>
      <c r="BV60" s="339">
        <v>77.7</v>
      </c>
      <c r="BW60" s="339">
        <v>122.38</v>
      </c>
      <c r="BX60" s="339">
        <v>121.52</v>
      </c>
    </row>
    <row r="61" spans="1:76" s="438" customFormat="1" ht="12.75" customHeight="1" x14ac:dyDescent="0.15">
      <c r="A61" s="1848" t="s">
        <v>1029</v>
      </c>
      <c r="B61" s="1845" t="s">
        <v>548</v>
      </c>
      <c r="C61" s="1644">
        <v>-3.79</v>
      </c>
      <c r="D61" s="1644">
        <v>-0.32</v>
      </c>
      <c r="E61" s="1644">
        <v>-0.01</v>
      </c>
      <c r="F61" s="1644">
        <v>-1.56</v>
      </c>
      <c r="G61" s="1644">
        <v>0.25</v>
      </c>
      <c r="H61" s="1644">
        <v>-2.36</v>
      </c>
      <c r="I61" s="1644">
        <v>-2.3199999999999998</v>
      </c>
      <c r="J61" s="1644">
        <v>-0.03</v>
      </c>
      <c r="K61" s="1644">
        <v>-1.85</v>
      </c>
      <c r="L61" s="1644">
        <v>-1.84</v>
      </c>
      <c r="M61" s="1644">
        <v>-1.19</v>
      </c>
      <c r="N61" s="1644">
        <v>-0.63</v>
      </c>
      <c r="O61" s="1644">
        <v>-0.44</v>
      </c>
      <c r="P61" s="1644">
        <v>-3.22</v>
      </c>
      <c r="Q61" s="1644">
        <v>-0.05</v>
      </c>
      <c r="R61" s="1644">
        <v>-2.13</v>
      </c>
      <c r="S61" s="1644">
        <v>-0.14000000000000001</v>
      </c>
      <c r="T61" s="1845" t="s">
        <v>548</v>
      </c>
      <c r="U61" s="1644">
        <v>-5.09</v>
      </c>
      <c r="V61" s="1644">
        <v>-0.01</v>
      </c>
      <c r="W61" s="1644">
        <v>0.79</v>
      </c>
      <c r="X61" s="1644">
        <v>0.42</v>
      </c>
      <c r="Y61" s="1644">
        <v>-0.02</v>
      </c>
      <c r="Z61" s="1644">
        <v>-19.829999999999998</v>
      </c>
      <c r="AA61" s="1644">
        <v>-0.01</v>
      </c>
      <c r="AB61" s="1644">
        <v>1.95</v>
      </c>
      <c r="AC61" s="1644">
        <v>-1.39</v>
      </c>
      <c r="AD61" s="1644">
        <v>-3.64</v>
      </c>
      <c r="AE61" s="1644">
        <v>-0.08</v>
      </c>
      <c r="AF61" s="1644">
        <v>-2.3199999999999998</v>
      </c>
      <c r="AG61" s="1644">
        <v>-5.01</v>
      </c>
      <c r="AH61" s="1644">
        <v>-1.0900000000000001</v>
      </c>
      <c r="AI61" s="1644">
        <v>-0.06</v>
      </c>
      <c r="AJ61" s="1644">
        <v>0</v>
      </c>
      <c r="AK61" s="1644">
        <v>-0.49</v>
      </c>
      <c r="AL61" s="353">
        <v>61.01</v>
      </c>
      <c r="AM61" s="353">
        <v>10.68</v>
      </c>
      <c r="AN61" s="353">
        <v>10.51</v>
      </c>
      <c r="AO61" s="353">
        <v>202.22</v>
      </c>
      <c r="AP61" s="353">
        <v>202.43</v>
      </c>
      <c r="AQ61" s="353">
        <v>0.77</v>
      </c>
      <c r="AR61" s="353">
        <v>0.77</v>
      </c>
      <c r="AS61" s="353">
        <v>1.74</v>
      </c>
      <c r="AT61" s="353">
        <v>1.74</v>
      </c>
      <c r="AU61" s="1815" t="s">
        <v>548</v>
      </c>
      <c r="AV61" s="353">
        <v>21.38</v>
      </c>
      <c r="AW61" s="353">
        <v>21.4</v>
      </c>
      <c r="AX61" s="353">
        <v>1.39</v>
      </c>
      <c r="AY61" s="353">
        <v>1.32</v>
      </c>
      <c r="AZ61" s="353">
        <v>20.74</v>
      </c>
      <c r="BA61" s="353">
        <v>20.77</v>
      </c>
      <c r="BB61" s="353">
        <v>7.0000000000000007E-2</v>
      </c>
      <c r="BC61" s="353">
        <v>7.0000000000000007E-2</v>
      </c>
      <c r="BD61" s="353">
        <v>59.16</v>
      </c>
      <c r="BE61" s="353">
        <v>58.97</v>
      </c>
      <c r="BF61" s="353">
        <v>10.19</v>
      </c>
      <c r="BG61" s="353">
        <v>10.07</v>
      </c>
      <c r="BH61" s="353">
        <v>0.59</v>
      </c>
      <c r="BI61" s="353">
        <v>0.59</v>
      </c>
      <c r="BJ61" s="1815" t="s">
        <v>548</v>
      </c>
      <c r="BK61" s="353">
        <v>79.709999999999994</v>
      </c>
      <c r="BL61" s="353">
        <v>78.819999999999993</v>
      </c>
      <c r="BM61" s="353">
        <v>0.44</v>
      </c>
      <c r="BN61" s="353">
        <v>0.43</v>
      </c>
      <c r="BO61" s="353">
        <v>113.41</v>
      </c>
      <c r="BP61" s="353">
        <v>112.9</v>
      </c>
      <c r="BQ61" s="353">
        <v>2.37</v>
      </c>
      <c r="BR61" s="353">
        <v>2.37</v>
      </c>
      <c r="BS61" s="353">
        <v>21.2</v>
      </c>
      <c r="BT61" s="353">
        <v>21.22</v>
      </c>
      <c r="BU61" s="353">
        <v>77.86</v>
      </c>
      <c r="BV61" s="353">
        <v>77.95</v>
      </c>
      <c r="BW61" s="353">
        <v>121.68</v>
      </c>
      <c r="BX61" s="353">
        <v>121.32</v>
      </c>
    </row>
    <row r="62" spans="1:76" s="438" customFormat="1" ht="12.75" customHeight="1" x14ac:dyDescent="0.15">
      <c r="A62" s="1848" t="s">
        <v>1029</v>
      </c>
      <c r="B62" s="1845" t="s">
        <v>556</v>
      </c>
      <c r="C62" s="1644">
        <v>-4.8899999999999997</v>
      </c>
      <c r="D62" s="1644">
        <v>0.19</v>
      </c>
      <c r="E62" s="1644">
        <v>0.01</v>
      </c>
      <c r="F62" s="1644">
        <v>-8.66</v>
      </c>
      <c r="G62" s="1644">
        <v>-0.28999999999999998</v>
      </c>
      <c r="H62" s="1644">
        <v>-6.98</v>
      </c>
      <c r="I62" s="1644">
        <v>-7.13</v>
      </c>
      <c r="J62" s="1644">
        <v>0.06</v>
      </c>
      <c r="K62" s="1644">
        <v>2.2000000000000002</v>
      </c>
      <c r="L62" s="1644">
        <v>-1.86</v>
      </c>
      <c r="M62" s="1644">
        <v>-1.42</v>
      </c>
      <c r="N62" s="1644">
        <v>1.74</v>
      </c>
      <c r="O62" s="1644">
        <v>-0.85</v>
      </c>
      <c r="P62" s="1644">
        <v>-3.73</v>
      </c>
      <c r="Q62" s="1644">
        <v>0.44</v>
      </c>
      <c r="R62" s="1644">
        <v>3.03</v>
      </c>
      <c r="S62" s="1644">
        <v>-7.14</v>
      </c>
      <c r="T62" s="1845" t="s">
        <v>556</v>
      </c>
      <c r="U62" s="1644">
        <v>-3.99</v>
      </c>
      <c r="V62" s="1644">
        <v>0</v>
      </c>
      <c r="W62" s="1644">
        <v>-0.1</v>
      </c>
      <c r="X62" s="1644">
        <v>1.3</v>
      </c>
      <c r="Y62" s="1644">
        <v>0.01</v>
      </c>
      <c r="Z62" s="1644">
        <v>-13.06</v>
      </c>
      <c r="AA62" s="1644">
        <v>-0.15</v>
      </c>
      <c r="AB62" s="1644">
        <v>-0.96</v>
      </c>
      <c r="AC62" s="1644">
        <v>-2.35</v>
      </c>
      <c r="AD62" s="1644">
        <v>-6.45</v>
      </c>
      <c r="AE62" s="1644">
        <v>-0.74</v>
      </c>
      <c r="AF62" s="1644">
        <v>7.54</v>
      </c>
      <c r="AG62" s="1644">
        <v>-5.15</v>
      </c>
      <c r="AH62" s="1644">
        <v>-2.66</v>
      </c>
      <c r="AI62" s="1644">
        <v>0.46</v>
      </c>
      <c r="AJ62" s="1644">
        <v>0</v>
      </c>
      <c r="AK62" s="1644">
        <v>-3.14</v>
      </c>
      <c r="AL62" s="339">
        <v>56.55</v>
      </c>
      <c r="AM62" s="339">
        <v>10.16</v>
      </c>
      <c r="AN62" s="339">
        <v>10.07</v>
      </c>
      <c r="AO62" s="339">
        <v>202.27</v>
      </c>
      <c r="AP62" s="339">
        <v>202.05</v>
      </c>
      <c r="AQ62" s="339">
        <v>0.77</v>
      </c>
      <c r="AR62" s="339">
        <v>0.77</v>
      </c>
      <c r="AS62" s="339">
        <v>1.75</v>
      </c>
      <c r="AT62" s="339">
        <v>1.76</v>
      </c>
      <c r="AU62" s="464" t="s">
        <v>556</v>
      </c>
      <c r="AV62" s="339">
        <v>21.39</v>
      </c>
      <c r="AW62" s="339">
        <v>21.36</v>
      </c>
      <c r="AX62" s="339">
        <v>1.22</v>
      </c>
      <c r="AY62" s="339">
        <v>1.1399999999999999</v>
      </c>
      <c r="AZ62" s="339">
        <v>20.74</v>
      </c>
      <c r="BA62" s="339">
        <v>20.7</v>
      </c>
      <c r="BB62" s="339">
        <v>7.0000000000000007E-2</v>
      </c>
      <c r="BC62" s="339">
        <v>7.0000000000000007E-2</v>
      </c>
      <c r="BD62" s="339">
        <v>58.27</v>
      </c>
      <c r="BE62" s="339">
        <v>57.48</v>
      </c>
      <c r="BF62" s="339">
        <v>9.61</v>
      </c>
      <c r="BG62" s="339">
        <v>9.4</v>
      </c>
      <c r="BH62" s="339">
        <v>0.59</v>
      </c>
      <c r="BI62" s="339">
        <v>0.59</v>
      </c>
      <c r="BJ62" s="464" t="s">
        <v>556</v>
      </c>
      <c r="BK62" s="339">
        <v>82.8</v>
      </c>
      <c r="BL62" s="339">
        <v>84.6</v>
      </c>
      <c r="BM62" s="339">
        <v>0.43</v>
      </c>
      <c r="BN62" s="339">
        <v>0.41</v>
      </c>
      <c r="BO62" s="339">
        <v>110.95</v>
      </c>
      <c r="BP62" s="339">
        <v>109.69</v>
      </c>
      <c r="BQ62" s="339">
        <v>2.38</v>
      </c>
      <c r="BR62" s="339">
        <v>2.38</v>
      </c>
      <c r="BS62" s="339">
        <v>21.2</v>
      </c>
      <c r="BT62" s="339">
        <v>21.18</v>
      </c>
      <c r="BU62" s="339">
        <v>77.87</v>
      </c>
      <c r="BV62" s="339">
        <v>77.8</v>
      </c>
      <c r="BW62" s="339">
        <v>118.17</v>
      </c>
      <c r="BX62" s="339">
        <v>117.29</v>
      </c>
    </row>
    <row r="63" spans="1:76" s="438" customFormat="1" ht="12.75" customHeight="1" x14ac:dyDescent="0.15">
      <c r="A63" s="1848" t="s">
        <v>1029</v>
      </c>
      <c r="B63" s="1845" t="s">
        <v>557</v>
      </c>
      <c r="C63" s="1644">
        <v>0.36</v>
      </c>
      <c r="D63" s="1644">
        <v>0</v>
      </c>
      <c r="E63" s="1644">
        <v>0</v>
      </c>
      <c r="F63" s="1644">
        <v>1.66</v>
      </c>
      <c r="G63" s="1644">
        <v>-0.17</v>
      </c>
      <c r="H63" s="1644">
        <v>-1.25</v>
      </c>
      <c r="I63" s="1644">
        <v>-0.86</v>
      </c>
      <c r="J63" s="1644">
        <v>-0.05</v>
      </c>
      <c r="K63" s="1644">
        <v>0.57999999999999996</v>
      </c>
      <c r="L63" s="1644">
        <v>-1.99</v>
      </c>
      <c r="M63" s="1644">
        <v>-0.65</v>
      </c>
      <c r="N63" s="1644">
        <v>-1.86</v>
      </c>
      <c r="O63" s="1644">
        <v>-0.25</v>
      </c>
      <c r="P63" s="1644">
        <v>0.54</v>
      </c>
      <c r="Q63" s="1644">
        <v>-0.82</v>
      </c>
      <c r="R63" s="1644">
        <v>-1.44</v>
      </c>
      <c r="S63" s="1644">
        <v>4.05</v>
      </c>
      <c r="T63" s="1845" t="s">
        <v>557</v>
      </c>
      <c r="U63" s="1644">
        <v>0.82</v>
      </c>
      <c r="V63" s="1644">
        <v>-0.04</v>
      </c>
      <c r="W63" s="1644">
        <v>-0.74</v>
      </c>
      <c r="X63" s="1644">
        <v>0.2</v>
      </c>
      <c r="Y63" s="1644">
        <v>0.01</v>
      </c>
      <c r="Z63" s="1644">
        <v>10.8</v>
      </c>
      <c r="AA63" s="1644">
        <v>0.24</v>
      </c>
      <c r="AB63" s="1644">
        <v>0.1</v>
      </c>
      <c r="AC63" s="1644">
        <v>-0.67</v>
      </c>
      <c r="AD63" s="1644">
        <v>-0.84</v>
      </c>
      <c r="AE63" s="1644">
        <v>-0.69</v>
      </c>
      <c r="AF63" s="1644">
        <v>-3.54</v>
      </c>
      <c r="AG63" s="1644">
        <v>-7.14</v>
      </c>
      <c r="AH63" s="1644">
        <v>-0.17</v>
      </c>
      <c r="AI63" s="1644">
        <v>1.1399999999999999</v>
      </c>
      <c r="AJ63" s="1644">
        <v>0</v>
      </c>
      <c r="AK63" s="1644">
        <v>2.41</v>
      </c>
      <c r="AL63" s="353">
        <v>58.84</v>
      </c>
      <c r="AM63" s="353">
        <v>10.25</v>
      </c>
      <c r="AN63" s="353">
        <v>10.15</v>
      </c>
      <c r="AO63" s="353">
        <v>202.07</v>
      </c>
      <c r="AP63" s="353">
        <v>201.97</v>
      </c>
      <c r="AQ63" s="353">
        <v>0.77</v>
      </c>
      <c r="AR63" s="353">
        <v>0.76</v>
      </c>
      <c r="AS63" s="353">
        <v>1.76</v>
      </c>
      <c r="AT63" s="353">
        <v>1.76</v>
      </c>
      <c r="AU63" s="1815" t="s">
        <v>557</v>
      </c>
      <c r="AV63" s="353">
        <v>21.36</v>
      </c>
      <c r="AW63" s="353">
        <v>21.37</v>
      </c>
      <c r="AX63" s="353">
        <v>1.21</v>
      </c>
      <c r="AY63" s="353">
        <v>1.27</v>
      </c>
      <c r="AZ63" s="353">
        <v>20.74</v>
      </c>
      <c r="BA63" s="353">
        <v>20.75</v>
      </c>
      <c r="BB63" s="353">
        <v>7.0000000000000007E-2</v>
      </c>
      <c r="BC63" s="353">
        <v>7.0000000000000007E-2</v>
      </c>
      <c r="BD63" s="353">
        <v>57.41</v>
      </c>
      <c r="BE63" s="353">
        <v>57.09</v>
      </c>
      <c r="BF63" s="353">
        <v>9.31</v>
      </c>
      <c r="BG63" s="353">
        <v>9.32</v>
      </c>
      <c r="BH63" s="353">
        <v>0.59</v>
      </c>
      <c r="BI63" s="353">
        <v>0.57999999999999996</v>
      </c>
      <c r="BJ63" s="1815" t="s">
        <v>557</v>
      </c>
      <c r="BK63" s="353">
        <v>83.22</v>
      </c>
      <c r="BL63" s="353">
        <v>81.61</v>
      </c>
      <c r="BM63" s="353">
        <v>0.39</v>
      </c>
      <c r="BN63" s="353">
        <v>0.38</v>
      </c>
      <c r="BO63" s="353">
        <v>109.91</v>
      </c>
      <c r="BP63" s="353">
        <v>109.5</v>
      </c>
      <c r="BQ63" s="353">
        <v>2.39</v>
      </c>
      <c r="BR63" s="353">
        <v>2.4</v>
      </c>
      <c r="BS63" s="353">
        <v>21.18</v>
      </c>
      <c r="BT63" s="353">
        <v>21.18</v>
      </c>
      <c r="BU63" s="353">
        <v>77.8</v>
      </c>
      <c r="BV63" s="353">
        <v>77.8</v>
      </c>
      <c r="BW63" s="353">
        <v>119.23</v>
      </c>
      <c r="BX63" s="353">
        <v>120.12</v>
      </c>
    </row>
    <row r="64" spans="1:76" s="438" customFormat="1" ht="12.75" customHeight="1" x14ac:dyDescent="0.15">
      <c r="A64" s="1848" t="s">
        <v>1029</v>
      </c>
      <c r="B64" s="1840" t="s">
        <v>549</v>
      </c>
      <c r="C64" s="1844">
        <v>-2.1800000000000002</v>
      </c>
      <c r="D64" s="1844">
        <v>0</v>
      </c>
      <c r="E64" s="1844">
        <v>0</v>
      </c>
      <c r="F64" s="1844">
        <v>-1.58</v>
      </c>
      <c r="G64" s="1844">
        <v>0.09</v>
      </c>
      <c r="H64" s="1844">
        <v>-3.37</v>
      </c>
      <c r="I64" s="1844">
        <v>-3.3</v>
      </c>
      <c r="J64" s="1844">
        <v>0.01</v>
      </c>
      <c r="K64" s="1844">
        <v>-1.34</v>
      </c>
      <c r="L64" s="1844">
        <v>-1.24</v>
      </c>
      <c r="M64" s="1844">
        <v>-1.23</v>
      </c>
      <c r="N64" s="1844">
        <v>-0.42</v>
      </c>
      <c r="O64" s="1844">
        <v>-1.51</v>
      </c>
      <c r="P64" s="1844">
        <v>-2.84</v>
      </c>
      <c r="Q64" s="1844">
        <v>0.34</v>
      </c>
      <c r="R64" s="1844">
        <v>-0.56000000000000005</v>
      </c>
      <c r="S64" s="1844">
        <v>-0.89</v>
      </c>
      <c r="T64" s="1840" t="s">
        <v>549</v>
      </c>
      <c r="U64" s="1844">
        <v>-4.49</v>
      </c>
      <c r="V64" s="1844">
        <v>0.05</v>
      </c>
      <c r="W64" s="1844">
        <v>-0.04</v>
      </c>
      <c r="X64" s="1844">
        <v>-1.37</v>
      </c>
      <c r="Y64" s="1844">
        <v>0.01</v>
      </c>
      <c r="Z64" s="1844">
        <v>6.52</v>
      </c>
      <c r="AA64" s="1844">
        <v>-0.02</v>
      </c>
      <c r="AB64" s="1844">
        <v>-0.95</v>
      </c>
      <c r="AC64" s="1844">
        <v>-0.94</v>
      </c>
      <c r="AD64" s="1844">
        <v>-3.22</v>
      </c>
      <c r="AE64" s="1844">
        <v>0.04</v>
      </c>
      <c r="AF64" s="1844">
        <v>-1.45</v>
      </c>
      <c r="AG64" s="1844">
        <v>-3.8</v>
      </c>
      <c r="AH64" s="1844">
        <v>-1.7</v>
      </c>
      <c r="AI64" s="1844">
        <v>-0.54</v>
      </c>
      <c r="AJ64" s="1844">
        <v>0.01</v>
      </c>
      <c r="AK64" s="1844">
        <v>-4.17</v>
      </c>
      <c r="AL64" s="339">
        <v>58.32</v>
      </c>
      <c r="AM64" s="339">
        <v>9.76</v>
      </c>
      <c r="AN64" s="339">
        <v>9.6999999999999993</v>
      </c>
      <c r="AO64" s="339">
        <v>202.08</v>
      </c>
      <c r="AP64" s="339">
        <v>202.08</v>
      </c>
      <c r="AQ64" s="339">
        <v>0.76</v>
      </c>
      <c r="AR64" s="339">
        <v>0.76</v>
      </c>
      <c r="AS64" s="339">
        <v>1.75</v>
      </c>
      <c r="AT64" s="339">
        <v>1.74</v>
      </c>
      <c r="AU64" s="464" t="s">
        <v>549</v>
      </c>
      <c r="AV64" s="339">
        <v>21.37</v>
      </c>
      <c r="AW64" s="339">
        <v>21.37</v>
      </c>
      <c r="AX64" s="339">
        <v>1.29</v>
      </c>
      <c r="AY64" s="339">
        <v>1.35</v>
      </c>
      <c r="AZ64" s="339">
        <v>20.74</v>
      </c>
      <c r="BA64" s="339">
        <v>20.74</v>
      </c>
      <c r="BB64" s="339">
        <v>7.0000000000000007E-2</v>
      </c>
      <c r="BC64" s="339">
        <v>7.0000000000000007E-2</v>
      </c>
      <c r="BD64" s="339">
        <v>56.51</v>
      </c>
      <c r="BE64" s="339">
        <v>56.55</v>
      </c>
      <c r="BF64" s="339">
        <v>9.11</v>
      </c>
      <c r="BG64" s="339">
        <v>9.02</v>
      </c>
      <c r="BH64" s="339">
        <v>0.57999999999999996</v>
      </c>
      <c r="BI64" s="339">
        <v>0.57999999999999996</v>
      </c>
      <c r="BJ64" s="464" t="s">
        <v>549</v>
      </c>
      <c r="BK64" s="339">
        <v>79.489999999999995</v>
      </c>
      <c r="BL64" s="339">
        <v>80.430000000000007</v>
      </c>
      <c r="BM64" s="339">
        <v>0.37</v>
      </c>
      <c r="BN64" s="339">
        <v>0.37</v>
      </c>
      <c r="BO64" s="339">
        <v>107.82</v>
      </c>
      <c r="BP64" s="339">
        <v>107.64</v>
      </c>
      <c r="BQ64" s="339">
        <v>2.38</v>
      </c>
      <c r="BR64" s="339">
        <v>2.39</v>
      </c>
      <c r="BS64" s="339">
        <v>21.18</v>
      </c>
      <c r="BT64" s="339">
        <v>21.18</v>
      </c>
      <c r="BU64" s="339">
        <v>77.8</v>
      </c>
      <c r="BV64" s="339">
        <v>77.8</v>
      </c>
      <c r="BW64" s="339">
        <v>116.58</v>
      </c>
      <c r="BX64" s="339">
        <v>115.11</v>
      </c>
    </row>
    <row r="65" spans="1:76" s="438" customFormat="1" ht="12.75" customHeight="1" x14ac:dyDescent="0.15">
      <c r="A65" s="1848" t="s">
        <v>1029</v>
      </c>
      <c r="B65" s="1840" t="s">
        <v>558</v>
      </c>
      <c r="C65" s="1844">
        <v>4.93</v>
      </c>
      <c r="D65" s="1844">
        <v>0</v>
      </c>
      <c r="E65" s="1844">
        <v>0</v>
      </c>
      <c r="F65" s="1844">
        <v>5.65</v>
      </c>
      <c r="G65" s="1844">
        <v>0.47</v>
      </c>
      <c r="H65" s="1844">
        <v>2.8</v>
      </c>
      <c r="I65" s="1844">
        <v>2.7</v>
      </c>
      <c r="J65" s="1844">
        <v>0.06</v>
      </c>
      <c r="K65" s="1844">
        <v>-1.57</v>
      </c>
      <c r="L65" s="1844">
        <v>1.1599999999999999</v>
      </c>
      <c r="M65" s="1844">
        <v>-1.1100000000000001</v>
      </c>
      <c r="N65" s="1844">
        <v>0.9</v>
      </c>
      <c r="O65" s="1844">
        <v>-0.25</v>
      </c>
      <c r="P65" s="1844">
        <v>4.18</v>
      </c>
      <c r="Q65" s="1844">
        <v>-4.26</v>
      </c>
      <c r="R65" s="1844">
        <v>-1.28</v>
      </c>
      <c r="S65" s="1844">
        <v>2.56</v>
      </c>
      <c r="T65" s="1840" t="s">
        <v>558</v>
      </c>
      <c r="U65" s="1844">
        <v>6.64</v>
      </c>
      <c r="V65" s="1844">
        <v>0</v>
      </c>
      <c r="W65" s="1844">
        <v>0.24</v>
      </c>
      <c r="X65" s="1844">
        <v>0.24</v>
      </c>
      <c r="Y65" s="1844">
        <v>0.02</v>
      </c>
      <c r="Z65" s="1844">
        <v>13.7</v>
      </c>
      <c r="AA65" s="1844">
        <v>0.03</v>
      </c>
      <c r="AB65" s="1844">
        <v>3.91</v>
      </c>
      <c r="AC65" s="1844">
        <v>4.0999999999999996</v>
      </c>
      <c r="AD65" s="1844">
        <v>3.31</v>
      </c>
      <c r="AE65" s="1844">
        <v>0</v>
      </c>
      <c r="AF65" s="1844">
        <v>2.94</v>
      </c>
      <c r="AG65" s="1844">
        <v>-3.79</v>
      </c>
      <c r="AH65" s="1844">
        <v>0.98</v>
      </c>
      <c r="AI65" s="1844">
        <v>-1.05</v>
      </c>
      <c r="AJ65" s="1844">
        <v>-0.01</v>
      </c>
      <c r="AK65" s="1844">
        <v>4.32</v>
      </c>
      <c r="AL65" s="353">
        <v>59.81</v>
      </c>
      <c r="AM65" s="353">
        <v>9.84</v>
      </c>
      <c r="AN65" s="353">
        <v>10.34</v>
      </c>
      <c r="AO65" s="353">
        <v>202.1</v>
      </c>
      <c r="AP65" s="353">
        <v>202.08</v>
      </c>
      <c r="AQ65" s="353">
        <v>0.76</v>
      </c>
      <c r="AR65" s="353">
        <v>0.77</v>
      </c>
      <c r="AS65" s="353">
        <v>1.75</v>
      </c>
      <c r="AT65" s="353">
        <v>1.74</v>
      </c>
      <c r="AU65" s="1815" t="s">
        <v>558</v>
      </c>
      <c r="AV65" s="353">
        <v>21.37</v>
      </c>
      <c r="AW65" s="353">
        <v>21.37</v>
      </c>
      <c r="AX65" s="353">
        <v>1.46</v>
      </c>
      <c r="AY65" s="353">
        <v>1.54</v>
      </c>
      <c r="AZ65" s="353">
        <v>20.74</v>
      </c>
      <c r="BA65" s="353">
        <v>20.75</v>
      </c>
      <c r="BB65" s="353">
        <v>7.0000000000000007E-2</v>
      </c>
      <c r="BC65" s="353">
        <v>7.0000000000000007E-2</v>
      </c>
      <c r="BD65" s="353">
        <v>57.62</v>
      </c>
      <c r="BE65" s="353">
        <v>58.87</v>
      </c>
      <c r="BF65" s="353">
        <v>8.99</v>
      </c>
      <c r="BG65" s="353">
        <v>9.32</v>
      </c>
      <c r="BH65" s="353">
        <v>0.57999999999999996</v>
      </c>
      <c r="BI65" s="353">
        <v>0.57999999999999996</v>
      </c>
      <c r="BJ65" s="1815" t="s">
        <v>558</v>
      </c>
      <c r="BK65" s="353">
        <v>80.91</v>
      </c>
      <c r="BL65" s="353">
        <v>82.79</v>
      </c>
      <c r="BM65" s="353">
        <v>0.36</v>
      </c>
      <c r="BN65" s="353">
        <v>0.35</v>
      </c>
      <c r="BO65" s="353">
        <v>107.59</v>
      </c>
      <c r="BP65" s="353">
        <v>108.69</v>
      </c>
      <c r="BQ65" s="353">
        <v>2.39</v>
      </c>
      <c r="BR65" s="353">
        <v>2.37</v>
      </c>
      <c r="BS65" s="353">
        <v>21.18</v>
      </c>
      <c r="BT65" s="353">
        <v>21.18</v>
      </c>
      <c r="BU65" s="353">
        <v>77.8</v>
      </c>
      <c r="BV65" s="353">
        <v>77.8</v>
      </c>
      <c r="BW65" s="353">
        <v>116.18</v>
      </c>
      <c r="BX65" s="353">
        <v>120.08</v>
      </c>
    </row>
    <row r="66" spans="1:76" s="438" customFormat="1" ht="12.75" customHeight="1" x14ac:dyDescent="0.15">
      <c r="A66" s="1848" t="s">
        <v>1029</v>
      </c>
      <c r="B66" s="1840" t="s">
        <v>559</v>
      </c>
      <c r="C66" s="1644">
        <v>-4.7</v>
      </c>
      <c r="D66" s="1644">
        <v>0</v>
      </c>
      <c r="E66" s="1644">
        <v>-0.01</v>
      </c>
      <c r="F66" s="1644">
        <v>-3.42</v>
      </c>
      <c r="G66" s="1644">
        <v>-0.1</v>
      </c>
      <c r="H66" s="1644">
        <v>-1.1599999999999999</v>
      </c>
      <c r="I66" s="1644">
        <v>-1.17</v>
      </c>
      <c r="J66" s="1644">
        <v>-0.04</v>
      </c>
      <c r="K66" s="1644">
        <v>-0.38</v>
      </c>
      <c r="L66" s="1644">
        <v>-2.17</v>
      </c>
      <c r="M66" s="1644">
        <v>-1.59</v>
      </c>
      <c r="N66" s="1644">
        <v>-4.07</v>
      </c>
      <c r="O66" s="1644">
        <v>-0.53</v>
      </c>
      <c r="P66" s="1644">
        <v>-2.67</v>
      </c>
      <c r="Q66" s="1644">
        <v>-0.92</v>
      </c>
      <c r="R66" s="1644">
        <v>-0.16</v>
      </c>
      <c r="S66" s="1644">
        <v>-7.65</v>
      </c>
      <c r="T66" s="1840" t="s">
        <v>559</v>
      </c>
      <c r="U66" s="1644">
        <v>-3.1</v>
      </c>
      <c r="V66" s="1644">
        <v>0.01</v>
      </c>
      <c r="W66" s="1644">
        <v>-0.35</v>
      </c>
      <c r="X66" s="1644">
        <v>0.17</v>
      </c>
      <c r="Y66" s="1644">
        <v>0.02</v>
      </c>
      <c r="Z66" s="1644">
        <v>-2.36</v>
      </c>
      <c r="AA66" s="1644">
        <v>-0.01</v>
      </c>
      <c r="AB66" s="1644">
        <v>-3.86</v>
      </c>
      <c r="AC66" s="1644">
        <v>-1.95</v>
      </c>
      <c r="AD66" s="1644">
        <v>-2.04</v>
      </c>
      <c r="AE66" s="1644">
        <v>-0.67</v>
      </c>
      <c r="AF66" s="1644">
        <v>-0.02</v>
      </c>
      <c r="AG66" s="1644">
        <v>1.59</v>
      </c>
      <c r="AH66" s="1644">
        <v>-0.47</v>
      </c>
      <c r="AI66" s="1644">
        <v>-2.4300000000000002</v>
      </c>
      <c r="AJ66" s="1644">
        <v>-0.01</v>
      </c>
      <c r="AK66" s="1644">
        <v>-0.95</v>
      </c>
      <c r="AL66" s="1821">
        <v>55.24</v>
      </c>
      <c r="AM66" s="1821">
        <v>10.31</v>
      </c>
      <c r="AN66" s="1821">
        <v>10.02</v>
      </c>
      <c r="AO66" s="1816">
        <v>202.1</v>
      </c>
      <c r="AP66" s="1816">
        <v>202.1</v>
      </c>
      <c r="AQ66" s="1821">
        <v>0.76</v>
      </c>
      <c r="AR66" s="1821">
        <v>0.76</v>
      </c>
      <c r="AS66" s="1821">
        <v>1.74</v>
      </c>
      <c r="AT66" s="1821">
        <v>1.75</v>
      </c>
      <c r="AU66" s="1822" t="s">
        <v>559</v>
      </c>
      <c r="AV66" s="1821">
        <v>21.37</v>
      </c>
      <c r="AW66" s="1821">
        <v>21.38</v>
      </c>
      <c r="AX66" s="1821">
        <v>1.54</v>
      </c>
      <c r="AY66" s="1816">
        <v>1.5</v>
      </c>
      <c r="AZ66" s="1821">
        <v>20.75</v>
      </c>
      <c r="BA66" s="1821">
        <v>20.74</v>
      </c>
      <c r="BB66" s="1821">
        <v>7.0000000000000007E-2</v>
      </c>
      <c r="BC66" s="1821">
        <v>7.0000000000000007E-2</v>
      </c>
      <c r="BD66" s="1821">
        <v>58.35</v>
      </c>
      <c r="BE66" s="1821">
        <v>57.72</v>
      </c>
      <c r="BF66" s="1821">
        <v>9.33</v>
      </c>
      <c r="BG66" s="1821">
        <v>9.1300000000000008</v>
      </c>
      <c r="BH66" s="1821">
        <v>0.57999999999999996</v>
      </c>
      <c r="BI66" s="1821">
        <v>0.57999999999999996</v>
      </c>
      <c r="BJ66" s="1822" t="s">
        <v>559</v>
      </c>
      <c r="BK66" s="1821">
        <v>83.47</v>
      </c>
      <c r="BL66" s="1821">
        <v>82.77</v>
      </c>
      <c r="BM66" s="1821">
        <v>0.36</v>
      </c>
      <c r="BN66" s="1821">
        <v>0.36</v>
      </c>
      <c r="BO66" s="1821">
        <v>109.34</v>
      </c>
      <c r="BP66" s="1821">
        <v>108.18</v>
      </c>
      <c r="BQ66" s="1821">
        <v>2.3199999999999998</v>
      </c>
      <c r="BR66" s="1821">
        <v>2.31</v>
      </c>
      <c r="BS66" s="1821">
        <v>21.18</v>
      </c>
      <c r="BT66" s="1821">
        <v>21.18</v>
      </c>
      <c r="BU66" s="1816">
        <v>77.8</v>
      </c>
      <c r="BV66" s="1816">
        <v>77.8</v>
      </c>
      <c r="BW66" s="1821">
        <v>120.22</v>
      </c>
      <c r="BX66" s="1821">
        <v>118.94</v>
      </c>
    </row>
    <row r="67" spans="1:76" s="438" customFormat="1" ht="12.75" customHeight="1" thickBot="1" x14ac:dyDescent="0.2">
      <c r="A67" s="1848" t="s">
        <v>1029</v>
      </c>
      <c r="B67" s="1840" t="s">
        <v>550</v>
      </c>
      <c r="C67" s="1644">
        <v>0.57999999999999996</v>
      </c>
      <c r="D67" s="1644">
        <v>-0.01</v>
      </c>
      <c r="E67" s="1644">
        <v>0</v>
      </c>
      <c r="F67" s="1644">
        <v>0.42</v>
      </c>
      <c r="G67" s="1644">
        <v>0.1</v>
      </c>
      <c r="H67" s="1644">
        <v>2.2799999999999998</v>
      </c>
      <c r="I67" s="1858">
        <v>2.29</v>
      </c>
      <c r="J67" s="1858">
        <v>0.02</v>
      </c>
      <c r="K67" s="1858">
        <v>0.05</v>
      </c>
      <c r="L67" s="1644">
        <v>-0.8</v>
      </c>
      <c r="M67" s="1858">
        <v>-1.67</v>
      </c>
      <c r="N67" s="1858">
        <v>1.28</v>
      </c>
      <c r="O67" s="1858">
        <v>0.23</v>
      </c>
      <c r="P67" s="1858">
        <v>-3.17</v>
      </c>
      <c r="Q67" s="1858">
        <v>-2.64</v>
      </c>
      <c r="R67" s="1858">
        <v>-0.02</v>
      </c>
      <c r="S67" s="1858">
        <v>-3.44</v>
      </c>
      <c r="T67" s="1840" t="s">
        <v>550</v>
      </c>
      <c r="U67" s="1644">
        <v>-1.1599999999999999</v>
      </c>
      <c r="V67" s="1644">
        <v>0</v>
      </c>
      <c r="W67" s="1644">
        <v>0.17</v>
      </c>
      <c r="X67" s="1644">
        <v>-1.32</v>
      </c>
      <c r="Y67" s="1644">
        <v>-0.05</v>
      </c>
      <c r="Z67" s="1644">
        <v>-6.86</v>
      </c>
      <c r="AA67" s="1644">
        <v>-0.01</v>
      </c>
      <c r="AB67" s="1644">
        <v>-0.56999999999999995</v>
      </c>
      <c r="AC67" s="1644">
        <v>0.12</v>
      </c>
      <c r="AD67" s="1644">
        <v>3.37</v>
      </c>
      <c r="AE67" s="1644">
        <v>0.19</v>
      </c>
      <c r="AF67" s="1644">
        <v>1.51</v>
      </c>
      <c r="AG67" s="1644">
        <v>-0.41</v>
      </c>
      <c r="AH67" s="1644">
        <v>0.93</v>
      </c>
      <c r="AI67" s="1644">
        <v>-0.24</v>
      </c>
      <c r="AJ67" s="1644">
        <v>0.01</v>
      </c>
      <c r="AK67" s="1644">
        <v>2.92</v>
      </c>
      <c r="AL67" s="1645">
        <v>53.34</v>
      </c>
      <c r="AM67" s="1645">
        <v>9.9700000000000006</v>
      </c>
      <c r="AN67" s="1645">
        <v>9.9</v>
      </c>
      <c r="AO67" s="1645">
        <v>202.07</v>
      </c>
      <c r="AP67" s="1645">
        <v>202.12</v>
      </c>
      <c r="AQ67" s="1645">
        <v>0.76</v>
      </c>
      <c r="AR67" s="1645">
        <v>0.76</v>
      </c>
      <c r="AS67" s="1645">
        <v>1.73</v>
      </c>
      <c r="AT67" s="1645">
        <v>1.72</v>
      </c>
      <c r="AU67" s="1839" t="s">
        <v>550</v>
      </c>
      <c r="AV67" s="1645">
        <v>21.37</v>
      </c>
      <c r="AW67" s="1645">
        <v>21.37</v>
      </c>
      <c r="AX67" s="1645">
        <v>1.43</v>
      </c>
      <c r="AY67" s="1645">
        <v>1.4</v>
      </c>
      <c r="AZ67" s="1645">
        <v>20.75</v>
      </c>
      <c r="BA67" s="1645">
        <v>20.74</v>
      </c>
      <c r="BB67" s="1645">
        <v>7.0000000000000007E-2</v>
      </c>
      <c r="BC67" s="1645">
        <v>7.0000000000000007E-2</v>
      </c>
      <c r="BD67" s="1645">
        <v>57.85</v>
      </c>
      <c r="BE67" s="1645">
        <v>57.8</v>
      </c>
      <c r="BF67" s="1645">
        <v>9.41</v>
      </c>
      <c r="BG67" s="1645">
        <v>9.44</v>
      </c>
      <c r="BH67" s="1645">
        <v>0.57999999999999996</v>
      </c>
      <c r="BI67" s="1645">
        <v>0.57999999999999996</v>
      </c>
      <c r="BJ67" s="1839" t="s">
        <v>550</v>
      </c>
      <c r="BK67" s="1645">
        <v>83.58</v>
      </c>
      <c r="BL67" s="1645">
        <v>84.03</v>
      </c>
      <c r="BM67" s="1645">
        <v>0.36</v>
      </c>
      <c r="BN67" s="1645">
        <v>0.36</v>
      </c>
      <c r="BO67" s="1645">
        <v>109.25</v>
      </c>
      <c r="BP67" s="1645">
        <v>109.18</v>
      </c>
      <c r="BQ67" s="1645">
        <v>2.31</v>
      </c>
      <c r="BR67" s="1645">
        <v>2.2999999999999998</v>
      </c>
      <c r="BS67" s="1645">
        <v>21.18</v>
      </c>
      <c r="BT67" s="1645">
        <v>21.18</v>
      </c>
      <c r="BU67" s="1645">
        <v>77.8</v>
      </c>
      <c r="BV67" s="1645">
        <v>77.81</v>
      </c>
      <c r="BW67" s="1645">
        <v>121.17</v>
      </c>
      <c r="BX67" s="1645">
        <v>122.42</v>
      </c>
    </row>
    <row r="68" spans="1:76" s="438" customFormat="1" ht="12.75" customHeight="1" x14ac:dyDescent="0.15">
      <c r="A68" s="1848" t="s">
        <v>1150</v>
      </c>
      <c r="B68" s="1840" t="s">
        <v>552</v>
      </c>
      <c r="C68" s="1644">
        <v>-5.14</v>
      </c>
      <c r="D68" s="1644">
        <v>0.01</v>
      </c>
      <c r="E68" s="1644">
        <v>0</v>
      </c>
      <c r="F68" s="1644">
        <v>-4.71</v>
      </c>
      <c r="G68" s="1644">
        <v>-0.06</v>
      </c>
      <c r="H68" s="1644">
        <v>-2.73</v>
      </c>
      <c r="I68" s="1644">
        <v>-2.72</v>
      </c>
      <c r="J68" s="1644">
        <v>-0.02</v>
      </c>
      <c r="K68" s="1644">
        <v>-0.69</v>
      </c>
      <c r="L68" s="1644">
        <v>-1.1599999999999999</v>
      </c>
      <c r="M68" s="1644">
        <v>-0.95</v>
      </c>
      <c r="N68" s="1644">
        <v>-1.3</v>
      </c>
      <c r="O68" s="1644">
        <v>-0.23</v>
      </c>
      <c r="P68" s="1644">
        <v>-0.84</v>
      </c>
      <c r="Q68" s="1644">
        <v>-9.25</v>
      </c>
      <c r="R68" s="1644">
        <v>-0.85</v>
      </c>
      <c r="S68" s="1644">
        <v>-3.62</v>
      </c>
      <c r="T68" s="1840" t="s">
        <v>552</v>
      </c>
      <c r="U68" s="1644">
        <v>-3.87</v>
      </c>
      <c r="V68" s="1644">
        <v>-0.01</v>
      </c>
      <c r="W68" s="1644">
        <v>0</v>
      </c>
      <c r="X68" s="1644">
        <v>-1.1599999999999999</v>
      </c>
      <c r="Y68" s="1644">
        <v>0</v>
      </c>
      <c r="Z68" s="1644">
        <v>-5.34</v>
      </c>
      <c r="AA68" s="1644">
        <v>0.01</v>
      </c>
      <c r="AB68" s="1644">
        <v>-4.2</v>
      </c>
      <c r="AC68" s="1644">
        <v>-2.12</v>
      </c>
      <c r="AD68" s="1644">
        <v>-4.32</v>
      </c>
      <c r="AE68" s="1644">
        <v>0</v>
      </c>
      <c r="AF68" s="1644">
        <v>-4.5</v>
      </c>
      <c r="AG68" s="1644">
        <v>0.88</v>
      </c>
      <c r="AH68" s="1644">
        <v>-0.64</v>
      </c>
      <c r="AI68" s="1644">
        <v>-3.84</v>
      </c>
      <c r="AJ68" s="1644">
        <v>-0.01</v>
      </c>
      <c r="AK68" s="1644">
        <v>-0.87</v>
      </c>
      <c r="AL68" s="353">
        <v>51.41</v>
      </c>
      <c r="AM68" s="353">
        <v>9.6</v>
      </c>
      <c r="AN68" s="353">
        <v>9.52</v>
      </c>
      <c r="AO68" s="353">
        <v>202.06</v>
      </c>
      <c r="AP68" s="353">
        <v>202.08</v>
      </c>
      <c r="AQ68" s="353">
        <v>0.76</v>
      </c>
      <c r="AR68" s="353">
        <v>0.76</v>
      </c>
      <c r="AS68" s="353">
        <v>1.72</v>
      </c>
      <c r="AT68" s="353">
        <v>1.7</v>
      </c>
      <c r="AU68" s="1815" t="s">
        <v>552</v>
      </c>
      <c r="AV68" s="353">
        <v>21.37</v>
      </c>
      <c r="AW68" s="353">
        <v>21.37</v>
      </c>
      <c r="AX68" s="353">
        <v>1.36</v>
      </c>
      <c r="AY68" s="353">
        <v>1.32</v>
      </c>
      <c r="AZ68" s="353">
        <v>20.74</v>
      </c>
      <c r="BA68" s="353">
        <v>20.75</v>
      </c>
      <c r="BB68" s="353">
        <v>7.0000000000000007E-2</v>
      </c>
      <c r="BC68" s="353">
        <v>7.0000000000000007E-2</v>
      </c>
      <c r="BD68" s="353">
        <v>57.21</v>
      </c>
      <c r="BE68" s="353">
        <v>56.57</v>
      </c>
      <c r="BF68" s="353">
        <v>9.1300000000000008</v>
      </c>
      <c r="BG68" s="353">
        <v>9.0299999999999994</v>
      </c>
      <c r="BH68" s="353">
        <v>0.57999999999999996</v>
      </c>
      <c r="BI68" s="353">
        <v>0.57999999999999996</v>
      </c>
      <c r="BJ68" s="1815" t="s">
        <v>552</v>
      </c>
      <c r="BK68" s="353">
        <v>81.66</v>
      </c>
      <c r="BL68" s="353">
        <v>80.239999999999995</v>
      </c>
      <c r="BM68" s="353">
        <v>0.36</v>
      </c>
      <c r="BN68" s="353">
        <v>0.36</v>
      </c>
      <c r="BO68" s="353">
        <v>108.66</v>
      </c>
      <c r="BP68" s="353">
        <v>108.48</v>
      </c>
      <c r="BQ68" s="353">
        <v>2.27</v>
      </c>
      <c r="BR68" s="353">
        <v>2.21</v>
      </c>
      <c r="BS68" s="353">
        <v>21.18</v>
      </c>
      <c r="BT68" s="353">
        <v>21.18</v>
      </c>
      <c r="BU68" s="353">
        <v>77.8</v>
      </c>
      <c r="BV68" s="353">
        <v>77.8</v>
      </c>
      <c r="BW68" s="353">
        <v>121.07</v>
      </c>
      <c r="BX68" s="353">
        <v>121.34</v>
      </c>
    </row>
    <row r="69" spans="1:76" s="438" customFormat="1" ht="12.75" customHeight="1" x14ac:dyDescent="0.15">
      <c r="A69" s="1848" t="s">
        <v>1150</v>
      </c>
      <c r="B69" s="1840" t="s">
        <v>553</v>
      </c>
      <c r="C69" s="1644">
        <v>-1.67</v>
      </c>
      <c r="D69" s="1644">
        <v>0</v>
      </c>
      <c r="E69" s="1644">
        <v>-0.09</v>
      </c>
      <c r="F69" s="1644">
        <v>-1.56</v>
      </c>
      <c r="G69" s="1644">
        <v>-4.26</v>
      </c>
      <c r="H69" s="1644">
        <v>2.35</v>
      </c>
      <c r="I69" s="1644">
        <v>2.35</v>
      </c>
      <c r="J69" s="1644">
        <v>0.05</v>
      </c>
      <c r="K69" s="1644">
        <v>-3.02</v>
      </c>
      <c r="L69" s="1644">
        <v>-3.9</v>
      </c>
      <c r="M69" s="1644">
        <v>-1.1000000000000001</v>
      </c>
      <c r="N69" s="1644">
        <v>2.27</v>
      </c>
      <c r="O69" s="1644">
        <v>0.33</v>
      </c>
      <c r="P69" s="1644">
        <v>-9</v>
      </c>
      <c r="Q69" s="1644">
        <v>-3.33</v>
      </c>
      <c r="R69" s="1644">
        <v>-2.68</v>
      </c>
      <c r="S69" s="1644">
        <v>-2.13</v>
      </c>
      <c r="T69" s="1840" t="s">
        <v>553</v>
      </c>
      <c r="U69" s="1644">
        <v>-1.31</v>
      </c>
      <c r="V69" s="1644">
        <v>-0.03</v>
      </c>
      <c r="W69" s="1644">
        <v>-1.98</v>
      </c>
      <c r="X69" s="1644">
        <v>-2.4500000000000002</v>
      </c>
      <c r="Y69" s="1644">
        <v>-0.02</v>
      </c>
      <c r="Z69" s="1644">
        <v>-9.7200000000000006</v>
      </c>
      <c r="AA69" s="1644">
        <v>-0.02</v>
      </c>
      <c r="AB69" s="1644">
        <v>-1.24</v>
      </c>
      <c r="AC69" s="1644">
        <v>-2.36</v>
      </c>
      <c r="AD69" s="1644">
        <v>2.2000000000000002</v>
      </c>
      <c r="AE69" s="1644">
        <v>-0.48</v>
      </c>
      <c r="AF69" s="1644">
        <v>0.74</v>
      </c>
      <c r="AG69" s="1644">
        <v>-2</v>
      </c>
      <c r="AH69" s="1644">
        <v>0.99</v>
      </c>
      <c r="AI69" s="1644">
        <v>-2.09</v>
      </c>
      <c r="AJ69" s="1644">
        <v>0</v>
      </c>
      <c r="AK69" s="1644">
        <v>-1.28</v>
      </c>
      <c r="AL69" s="1816">
        <v>50.31</v>
      </c>
      <c r="AM69" s="1816">
        <v>9.44</v>
      </c>
      <c r="AN69" s="1816">
        <v>9.39</v>
      </c>
      <c r="AO69" s="1816">
        <v>202.02</v>
      </c>
      <c r="AP69" s="1816">
        <v>202.03</v>
      </c>
      <c r="AQ69" s="1816">
        <v>0.76</v>
      </c>
      <c r="AR69" s="1816">
        <v>0.75</v>
      </c>
      <c r="AS69" s="1816">
        <v>1.68</v>
      </c>
      <c r="AT69" s="1816">
        <v>1.66</v>
      </c>
      <c r="AU69" s="464" t="s">
        <v>553</v>
      </c>
      <c r="AV69" s="1816">
        <v>21.36</v>
      </c>
      <c r="AW69" s="1816">
        <v>21.36</v>
      </c>
      <c r="AX69" s="1816">
        <v>1.19</v>
      </c>
      <c r="AY69" s="1816">
        <v>1.19</v>
      </c>
      <c r="AZ69" s="1816">
        <v>20.74</v>
      </c>
      <c r="BA69" s="1816">
        <v>20.74</v>
      </c>
      <c r="BB69" s="1816">
        <v>7.0000000000000007E-2</v>
      </c>
      <c r="BC69" s="1816">
        <v>7.0000000000000007E-2</v>
      </c>
      <c r="BD69" s="1816">
        <v>55.72</v>
      </c>
      <c r="BE69" s="1816">
        <v>55.23</v>
      </c>
      <c r="BF69" s="1816">
        <v>9.1</v>
      </c>
      <c r="BG69" s="1816">
        <v>9.23</v>
      </c>
      <c r="BH69" s="1816">
        <v>0.57999999999999996</v>
      </c>
      <c r="BI69" s="1816">
        <v>0.57999999999999996</v>
      </c>
      <c r="BJ69" s="464" t="s">
        <v>553</v>
      </c>
      <c r="BK69" s="1816">
        <v>80.37</v>
      </c>
      <c r="BL69" s="1816">
        <v>80.84</v>
      </c>
      <c r="BM69" s="1816">
        <v>0.35</v>
      </c>
      <c r="BN69" s="1816">
        <v>0.35</v>
      </c>
      <c r="BO69" s="1816">
        <v>109.07</v>
      </c>
      <c r="BP69" s="1816">
        <v>109.55</v>
      </c>
      <c r="BQ69" s="1816">
        <v>2.2000000000000002</v>
      </c>
      <c r="BR69" s="1816">
        <v>2.17</v>
      </c>
      <c r="BS69" s="1816">
        <v>21.18</v>
      </c>
      <c r="BT69" s="1816">
        <v>21.18</v>
      </c>
      <c r="BU69" s="1816">
        <v>77.8</v>
      </c>
      <c r="BV69" s="1816">
        <v>77.8</v>
      </c>
      <c r="BW69" s="1816">
        <v>121.29</v>
      </c>
      <c r="BX69" s="1816">
        <v>119.79</v>
      </c>
    </row>
    <row r="70" spans="1:76" s="438" customFormat="1" ht="12.75" customHeight="1" x14ac:dyDescent="0.15">
      <c r="A70" s="1848" t="s">
        <v>1150</v>
      </c>
      <c r="B70" s="1840" t="s">
        <v>547</v>
      </c>
      <c r="C70" s="1644">
        <v>-2.5</v>
      </c>
      <c r="D70" s="1644">
        <v>0</v>
      </c>
      <c r="E70" s="1644">
        <v>-0.04</v>
      </c>
      <c r="F70" s="1644">
        <v>-1.54</v>
      </c>
      <c r="G70" s="1644">
        <v>0.44</v>
      </c>
      <c r="H70" s="1644">
        <v>0.56999999999999995</v>
      </c>
      <c r="I70" s="1644">
        <v>0.55000000000000004</v>
      </c>
      <c r="J70" s="1644">
        <v>0</v>
      </c>
      <c r="K70" s="1644">
        <v>0.47</v>
      </c>
      <c r="L70" s="1644">
        <v>-4.2</v>
      </c>
      <c r="M70" s="1644">
        <v>-0.08</v>
      </c>
      <c r="N70" s="1644">
        <v>1.34</v>
      </c>
      <c r="O70" s="1644">
        <v>-0.05</v>
      </c>
      <c r="P70" s="1644">
        <v>-5.74</v>
      </c>
      <c r="Q70" s="1644">
        <v>-0.86</v>
      </c>
      <c r="R70" s="1644">
        <v>-0.37</v>
      </c>
      <c r="S70" s="1644">
        <v>-1.78</v>
      </c>
      <c r="T70" s="1840" t="s">
        <v>547</v>
      </c>
      <c r="U70" s="1644">
        <v>-2.2400000000000002</v>
      </c>
      <c r="V70" s="1644">
        <v>0.03</v>
      </c>
      <c r="W70" s="1644">
        <v>-0.47</v>
      </c>
      <c r="X70" s="1644">
        <v>-0.12</v>
      </c>
      <c r="Y70" s="1644">
        <v>0</v>
      </c>
      <c r="Z70" s="1644">
        <v>-0.98</v>
      </c>
      <c r="AA70" s="1644">
        <v>0.01</v>
      </c>
      <c r="AB70" s="1644">
        <v>-0.6</v>
      </c>
      <c r="AC70" s="1644">
        <v>-1.36</v>
      </c>
      <c r="AD70" s="1644">
        <v>0.53</v>
      </c>
      <c r="AE70" s="1644">
        <v>-4.7300000000000004</v>
      </c>
      <c r="AF70" s="1644">
        <v>-1.02</v>
      </c>
      <c r="AG70" s="1644">
        <v>-0.28999999999999998</v>
      </c>
      <c r="AH70" s="1644">
        <v>-0.24</v>
      </c>
      <c r="AI70" s="1644">
        <v>-1.35</v>
      </c>
      <c r="AJ70" s="1644">
        <v>0</v>
      </c>
      <c r="AK70" s="1644">
        <v>-1.59</v>
      </c>
      <c r="AL70" s="353">
        <v>49.42</v>
      </c>
      <c r="AM70" s="353">
        <v>9.4</v>
      </c>
      <c r="AN70" s="353">
        <v>9.18</v>
      </c>
      <c r="AO70" s="353">
        <v>202.07</v>
      </c>
      <c r="AP70" s="353">
        <v>202.08</v>
      </c>
      <c r="AQ70" s="353">
        <v>0.75</v>
      </c>
      <c r="AR70" s="353">
        <v>0.75</v>
      </c>
      <c r="AS70" s="353">
        <v>1.66</v>
      </c>
      <c r="AT70" s="353">
        <v>1.66</v>
      </c>
      <c r="AU70" s="1815" t="s">
        <v>547</v>
      </c>
      <c r="AV70" s="353">
        <v>21.37</v>
      </c>
      <c r="AW70" s="353">
        <v>21.36</v>
      </c>
      <c r="AX70" s="353">
        <v>1.17</v>
      </c>
      <c r="AY70" s="353">
        <v>1.18</v>
      </c>
      <c r="AZ70" s="353">
        <v>20.75</v>
      </c>
      <c r="BA70" s="353">
        <v>20.74</v>
      </c>
      <c r="BB70" s="353">
        <v>7.0000000000000007E-2</v>
      </c>
      <c r="BC70" s="353">
        <v>7.0000000000000007E-2</v>
      </c>
      <c r="BD70" s="353">
        <v>54.97</v>
      </c>
      <c r="BE70" s="353">
        <v>54.48</v>
      </c>
      <c r="BF70" s="353">
        <v>9.31</v>
      </c>
      <c r="BG70" s="353">
        <v>9.2799999999999994</v>
      </c>
      <c r="BH70" s="353">
        <v>0.56000000000000005</v>
      </c>
      <c r="BI70" s="353">
        <v>0.55000000000000004</v>
      </c>
      <c r="BJ70" s="1815" t="s">
        <v>547</v>
      </c>
      <c r="BK70" s="353">
        <v>80.05</v>
      </c>
      <c r="BL70" s="353">
        <v>80.010000000000005</v>
      </c>
      <c r="BM70" s="353">
        <v>0.35</v>
      </c>
      <c r="BN70" s="353">
        <v>0.35</v>
      </c>
      <c r="BO70" s="353">
        <v>109.41</v>
      </c>
      <c r="BP70" s="353">
        <v>109.29</v>
      </c>
      <c r="BQ70" s="353">
        <v>2.16</v>
      </c>
      <c r="BR70" s="353">
        <v>2.14</v>
      </c>
      <c r="BS70" s="353">
        <v>21.18</v>
      </c>
      <c r="BT70" s="353">
        <v>21.18</v>
      </c>
      <c r="BU70" s="353">
        <v>77.8</v>
      </c>
      <c r="BV70" s="353">
        <v>77.8</v>
      </c>
      <c r="BW70" s="353">
        <v>119.37</v>
      </c>
      <c r="BX70" s="353">
        <v>117.88</v>
      </c>
    </row>
    <row r="71" spans="1:76" s="438" customFormat="1" ht="12.75" customHeight="1" x14ac:dyDescent="0.15">
      <c r="A71" s="1848" t="s">
        <v>1150</v>
      </c>
      <c r="B71" s="1840" t="s">
        <v>554</v>
      </c>
      <c r="C71" s="1644">
        <v>2.0499999999999998</v>
      </c>
      <c r="D71" s="1644">
        <v>-0.2</v>
      </c>
      <c r="E71" s="1644">
        <v>0.13</v>
      </c>
      <c r="F71" s="1644">
        <v>2.6</v>
      </c>
      <c r="G71" s="1644">
        <v>0.19</v>
      </c>
      <c r="H71" s="1644">
        <v>-2.21</v>
      </c>
      <c r="I71" s="1644">
        <v>-2.2400000000000002</v>
      </c>
      <c r="J71" s="1644">
        <v>0</v>
      </c>
      <c r="K71" s="1644">
        <v>0.69</v>
      </c>
      <c r="L71" s="1644">
        <v>7.03</v>
      </c>
      <c r="M71" s="1644">
        <v>0.01</v>
      </c>
      <c r="N71" s="1644">
        <v>-0.73</v>
      </c>
      <c r="O71" s="1644">
        <v>-0.38</v>
      </c>
      <c r="P71" s="1644">
        <v>3.6</v>
      </c>
      <c r="Q71" s="1644">
        <v>0.82</v>
      </c>
      <c r="R71" s="1644">
        <v>1.89</v>
      </c>
      <c r="S71" s="1644">
        <v>6.57</v>
      </c>
      <c r="T71" s="1840" t="s">
        <v>554</v>
      </c>
      <c r="U71" s="1644">
        <v>-0.21</v>
      </c>
      <c r="V71" s="1644">
        <v>0</v>
      </c>
      <c r="W71" s="1644">
        <v>-0.95</v>
      </c>
      <c r="X71" s="1644">
        <v>0.28999999999999998</v>
      </c>
      <c r="Y71" s="1644">
        <v>0.05</v>
      </c>
      <c r="Z71" s="1644">
        <v>2.97</v>
      </c>
      <c r="AA71" s="1644">
        <v>0</v>
      </c>
      <c r="AB71" s="1644">
        <v>4.3</v>
      </c>
      <c r="AC71" s="1644">
        <v>1.95</v>
      </c>
      <c r="AD71" s="1644">
        <v>-1.79</v>
      </c>
      <c r="AE71" s="1644">
        <v>-0.02</v>
      </c>
      <c r="AF71" s="1644">
        <v>-1.56</v>
      </c>
      <c r="AG71" s="1644">
        <v>0</v>
      </c>
      <c r="AH71" s="1644">
        <v>-0.56000000000000005</v>
      </c>
      <c r="AI71" s="1644">
        <v>2.16</v>
      </c>
      <c r="AJ71" s="1644">
        <v>0.01</v>
      </c>
      <c r="AK71" s="1644">
        <v>1.76</v>
      </c>
      <c r="AL71" s="339">
        <v>52.77</v>
      </c>
      <c r="AM71" s="339">
        <v>9.41</v>
      </c>
      <c r="AN71" s="339">
        <v>9.18</v>
      </c>
      <c r="AO71" s="339">
        <v>202.12</v>
      </c>
      <c r="AP71" s="339">
        <v>202.48</v>
      </c>
      <c r="AQ71" s="339">
        <v>0.74</v>
      </c>
      <c r="AR71" s="339">
        <v>0.74</v>
      </c>
      <c r="AS71" s="339">
        <v>1.68</v>
      </c>
      <c r="AT71" s="339">
        <v>1.67</v>
      </c>
      <c r="AU71" s="464" t="s">
        <v>554</v>
      </c>
      <c r="AV71" s="339">
        <v>21.37</v>
      </c>
      <c r="AW71" s="339">
        <v>21.41</v>
      </c>
      <c r="AX71" s="339">
        <v>1.23</v>
      </c>
      <c r="AY71" s="339">
        <v>1.22</v>
      </c>
      <c r="AZ71" s="339">
        <v>20.76</v>
      </c>
      <c r="BA71" s="339">
        <v>20.79</v>
      </c>
      <c r="BB71" s="339">
        <v>7.0000000000000007E-2</v>
      </c>
      <c r="BC71" s="339">
        <v>7.0000000000000007E-2</v>
      </c>
      <c r="BD71" s="339">
        <v>55.51</v>
      </c>
      <c r="BE71" s="339">
        <v>55.65</v>
      </c>
      <c r="BF71" s="339">
        <v>9.34</v>
      </c>
      <c r="BG71" s="339">
        <v>9.1300000000000008</v>
      </c>
      <c r="BH71" s="339">
        <v>0.55000000000000004</v>
      </c>
      <c r="BI71" s="339">
        <v>0.55000000000000004</v>
      </c>
      <c r="BJ71" s="464" t="s">
        <v>554</v>
      </c>
      <c r="BK71" s="339">
        <v>80.290000000000006</v>
      </c>
      <c r="BL71" s="339">
        <v>78.92</v>
      </c>
      <c r="BM71" s="339">
        <v>0.35</v>
      </c>
      <c r="BN71" s="339">
        <v>0.35</v>
      </c>
      <c r="BO71" s="339">
        <v>109.43</v>
      </c>
      <c r="BP71" s="339">
        <v>108.89</v>
      </c>
      <c r="BQ71" s="339">
        <v>2.1800000000000002</v>
      </c>
      <c r="BR71" s="339">
        <v>2.19</v>
      </c>
      <c r="BS71" s="339">
        <v>21.19</v>
      </c>
      <c r="BT71" s="339">
        <v>21.23</v>
      </c>
      <c r="BU71" s="339">
        <v>77.819999999999993</v>
      </c>
      <c r="BV71" s="339">
        <v>77.959999999999994</v>
      </c>
      <c r="BW71" s="339">
        <v>119.23</v>
      </c>
      <c r="BX71" s="339">
        <v>120.19</v>
      </c>
    </row>
    <row r="72" spans="1:76" s="438" customFormat="1" ht="12.75" customHeight="1" x14ac:dyDescent="0.15">
      <c r="A72" s="1848" t="s">
        <v>1150</v>
      </c>
      <c r="B72" s="1840" t="s">
        <v>555</v>
      </c>
      <c r="C72" s="1644">
        <v>0.87</v>
      </c>
      <c r="D72" s="1644">
        <v>-1.24</v>
      </c>
      <c r="E72" s="1644">
        <v>0.05</v>
      </c>
      <c r="F72" s="1644">
        <v>-2.16</v>
      </c>
      <c r="G72" s="1644">
        <v>-0.73</v>
      </c>
      <c r="H72" s="1644">
        <v>-3.7</v>
      </c>
      <c r="I72" s="1644">
        <v>-3.64</v>
      </c>
      <c r="J72" s="1644">
        <v>0</v>
      </c>
      <c r="K72" s="1644">
        <v>-2.27</v>
      </c>
      <c r="L72" s="1644">
        <v>-1.05</v>
      </c>
      <c r="M72" s="1644">
        <v>0.22</v>
      </c>
      <c r="N72" s="1644">
        <v>-1.77</v>
      </c>
      <c r="O72" s="1644">
        <v>-0.49</v>
      </c>
      <c r="P72" s="1644">
        <v>0.79</v>
      </c>
      <c r="Q72" s="1644">
        <v>-1.88</v>
      </c>
      <c r="R72" s="1644">
        <v>-2.2599999999999998</v>
      </c>
      <c r="S72" s="1644">
        <v>-3.46</v>
      </c>
      <c r="T72" s="1840" t="s">
        <v>555</v>
      </c>
      <c r="U72" s="1644">
        <v>-2.4</v>
      </c>
      <c r="V72" s="1644">
        <v>0</v>
      </c>
      <c r="W72" s="1644">
        <v>-0.12</v>
      </c>
      <c r="X72" s="1644">
        <v>-0.99</v>
      </c>
      <c r="Y72" s="1644">
        <v>-0.02</v>
      </c>
      <c r="Z72" s="1644">
        <v>-3.8</v>
      </c>
      <c r="AA72" s="1644">
        <v>-0.06</v>
      </c>
      <c r="AB72" s="1644">
        <v>-1.23</v>
      </c>
      <c r="AC72" s="1644">
        <v>-0.91</v>
      </c>
      <c r="AD72" s="1644">
        <v>-2.34</v>
      </c>
      <c r="AE72" s="1644">
        <v>-1.48</v>
      </c>
      <c r="AF72" s="1644">
        <v>-4.08</v>
      </c>
      <c r="AG72" s="1644">
        <v>0</v>
      </c>
      <c r="AH72" s="1644">
        <v>-1.66</v>
      </c>
      <c r="AI72" s="1644">
        <v>-0.75</v>
      </c>
      <c r="AJ72" s="1644">
        <v>-0.01</v>
      </c>
      <c r="AK72" s="1644">
        <v>-2.4500000000000002</v>
      </c>
      <c r="AL72" s="353">
        <v>51.58</v>
      </c>
      <c r="AM72" s="353">
        <v>9.09</v>
      </c>
      <c r="AN72" s="353">
        <v>9.07</v>
      </c>
      <c r="AO72" s="353">
        <v>203.96</v>
      </c>
      <c r="AP72" s="353">
        <v>205.01</v>
      </c>
      <c r="AQ72" s="353">
        <v>0.74</v>
      </c>
      <c r="AR72" s="353">
        <v>0.75</v>
      </c>
      <c r="AS72" s="353">
        <v>1.67</v>
      </c>
      <c r="AT72" s="353">
        <v>1.67</v>
      </c>
      <c r="AU72" s="1815" t="s">
        <v>555</v>
      </c>
      <c r="AV72" s="353">
        <v>21.57</v>
      </c>
      <c r="AW72" s="353">
        <v>21.68</v>
      </c>
      <c r="AX72" s="353">
        <v>1.21</v>
      </c>
      <c r="AY72" s="353">
        <v>1.19</v>
      </c>
      <c r="AZ72" s="353">
        <v>20.93</v>
      </c>
      <c r="BA72" s="353">
        <v>21.03</v>
      </c>
      <c r="BB72" s="353">
        <v>7.0000000000000007E-2</v>
      </c>
      <c r="BC72" s="353">
        <v>7.0000000000000007E-2</v>
      </c>
      <c r="BD72" s="353">
        <v>55.54</v>
      </c>
      <c r="BE72" s="353">
        <v>55.84</v>
      </c>
      <c r="BF72" s="353">
        <v>9.0500000000000007</v>
      </c>
      <c r="BG72" s="353">
        <v>9.0299999999999994</v>
      </c>
      <c r="BH72" s="353">
        <v>0.55000000000000004</v>
      </c>
      <c r="BI72" s="353">
        <v>0.55000000000000004</v>
      </c>
      <c r="BJ72" s="1815" t="s">
        <v>555</v>
      </c>
      <c r="BK72" s="353">
        <v>77.790000000000006</v>
      </c>
      <c r="BL72" s="353">
        <v>76.650000000000006</v>
      </c>
      <c r="BM72" s="353">
        <v>0.36</v>
      </c>
      <c r="BN72" s="353">
        <v>0.36</v>
      </c>
      <c r="BO72" s="353">
        <v>108.56</v>
      </c>
      <c r="BP72" s="353">
        <v>108.42</v>
      </c>
      <c r="BQ72" s="353">
        <v>2.19</v>
      </c>
      <c r="BR72" s="353">
        <v>2.2000000000000002</v>
      </c>
      <c r="BS72" s="353">
        <v>21.38</v>
      </c>
      <c r="BT72" s="353">
        <v>21.49</v>
      </c>
      <c r="BU72" s="353">
        <v>78.53</v>
      </c>
      <c r="BV72" s="353">
        <v>78.930000000000007</v>
      </c>
      <c r="BW72" s="353">
        <v>119.31</v>
      </c>
      <c r="BX72" s="353">
        <v>118.71</v>
      </c>
    </row>
    <row r="73" spans="1:76" s="438" customFormat="1" ht="12.75" customHeight="1" x14ac:dyDescent="0.15">
      <c r="A73" s="1848" t="s">
        <v>1150</v>
      </c>
      <c r="B73" s="1840" t="s">
        <v>548</v>
      </c>
      <c r="C73" s="1858">
        <v>1.28</v>
      </c>
      <c r="D73" s="1858">
        <v>0.53</v>
      </c>
      <c r="E73" s="1858">
        <v>0.13</v>
      </c>
      <c r="F73" s="1858">
        <v>-3.77</v>
      </c>
      <c r="G73" s="1858">
        <v>-1.5</v>
      </c>
      <c r="H73" s="1858">
        <v>3.17</v>
      </c>
      <c r="I73" s="1858">
        <v>3.16</v>
      </c>
      <c r="J73" s="1858">
        <v>0</v>
      </c>
      <c r="K73" s="1858">
        <v>0.63</v>
      </c>
      <c r="L73" s="1858">
        <v>0.25</v>
      </c>
      <c r="M73" s="1858">
        <v>0.18</v>
      </c>
      <c r="N73" s="1858">
        <v>1.95</v>
      </c>
      <c r="O73" s="1858">
        <v>0.38</v>
      </c>
      <c r="P73" s="1858">
        <v>-0.76</v>
      </c>
      <c r="Q73" s="1858">
        <v>-0.76</v>
      </c>
      <c r="R73" s="1858">
        <v>0.46</v>
      </c>
      <c r="S73" s="1858">
        <v>4.7699999999999996</v>
      </c>
      <c r="T73" s="1840" t="s">
        <v>548</v>
      </c>
      <c r="U73" s="1858">
        <v>-1.04</v>
      </c>
      <c r="V73" s="1858">
        <v>0</v>
      </c>
      <c r="W73" s="1858">
        <v>0.6</v>
      </c>
      <c r="X73" s="1858">
        <v>0.56999999999999995</v>
      </c>
      <c r="Y73" s="1858">
        <v>-0.03</v>
      </c>
      <c r="Z73" s="1858">
        <v>-9.4600000000000009</v>
      </c>
      <c r="AA73" s="1858">
        <v>0.01</v>
      </c>
      <c r="AB73" s="1858">
        <v>-1.88</v>
      </c>
      <c r="AC73" s="1858">
        <v>-0.06</v>
      </c>
      <c r="AD73" s="1858">
        <v>3.9</v>
      </c>
      <c r="AE73" s="1858">
        <v>-0.59</v>
      </c>
      <c r="AF73" s="1858">
        <v>4.32</v>
      </c>
      <c r="AG73" s="1858">
        <v>0.39</v>
      </c>
      <c r="AH73" s="1858">
        <v>0.96</v>
      </c>
      <c r="AI73" s="1858">
        <v>-0.61</v>
      </c>
      <c r="AJ73" s="1858">
        <v>0.02</v>
      </c>
      <c r="AK73" s="1858">
        <v>-1.5</v>
      </c>
      <c r="AL73" s="339">
        <v>53.76</v>
      </c>
      <c r="AM73" s="339">
        <v>9.07</v>
      </c>
      <c r="AN73" s="339">
        <v>8.93</v>
      </c>
      <c r="AO73" s="339">
        <v>204.72</v>
      </c>
      <c r="AP73" s="339">
        <v>203.92</v>
      </c>
      <c r="AQ73" s="339">
        <v>0.75</v>
      </c>
      <c r="AR73" s="339">
        <v>0.75</v>
      </c>
      <c r="AS73" s="339">
        <v>1.67</v>
      </c>
      <c r="AT73" s="339">
        <v>1.67</v>
      </c>
      <c r="AU73" s="464" t="s">
        <v>548</v>
      </c>
      <c r="AV73" s="339">
        <v>21.64</v>
      </c>
      <c r="AW73" s="339">
        <v>21.56</v>
      </c>
      <c r="AX73" s="339">
        <v>1.1299999999999999</v>
      </c>
      <c r="AY73" s="339">
        <v>1.07</v>
      </c>
      <c r="AZ73" s="339">
        <v>20.99</v>
      </c>
      <c r="BA73" s="339">
        <v>20.92</v>
      </c>
      <c r="BB73" s="339">
        <v>7.0000000000000007E-2</v>
      </c>
      <c r="BC73" s="339">
        <v>7.0000000000000007E-2</v>
      </c>
      <c r="BD73" s="339">
        <v>55.97</v>
      </c>
      <c r="BE73" s="339">
        <v>55.51</v>
      </c>
      <c r="BF73" s="339">
        <v>9.27</v>
      </c>
      <c r="BG73" s="339">
        <v>9.33</v>
      </c>
      <c r="BH73" s="339">
        <v>0.55000000000000004</v>
      </c>
      <c r="BI73" s="339">
        <v>0.54</v>
      </c>
      <c r="BJ73" s="464" t="s">
        <v>548</v>
      </c>
      <c r="BK73" s="339">
        <v>79.25</v>
      </c>
      <c r="BL73" s="339">
        <v>79.53</v>
      </c>
      <c r="BM73" s="339">
        <v>0.36</v>
      </c>
      <c r="BN73" s="339">
        <v>0.36</v>
      </c>
      <c r="BO73" s="339">
        <v>109.16</v>
      </c>
      <c r="BP73" s="339">
        <v>108.88</v>
      </c>
      <c r="BQ73" s="339">
        <v>2.19</v>
      </c>
      <c r="BR73" s="339">
        <v>2.1800000000000002</v>
      </c>
      <c r="BS73" s="339">
        <v>21.45</v>
      </c>
      <c r="BT73" s="339">
        <v>21.38</v>
      </c>
      <c r="BU73" s="339">
        <v>78.78</v>
      </c>
      <c r="BV73" s="339">
        <v>78.510000000000005</v>
      </c>
      <c r="BW73" s="339">
        <v>118.19</v>
      </c>
      <c r="BX73" s="339">
        <v>116.3</v>
      </c>
    </row>
    <row r="74" spans="1:76" s="438" customFormat="1" ht="12.75" customHeight="1" x14ac:dyDescent="0.15">
      <c r="A74" s="1848" t="s">
        <v>1150</v>
      </c>
      <c r="B74" s="1840" t="s">
        <v>556</v>
      </c>
      <c r="C74" s="1858">
        <v>-2.87</v>
      </c>
      <c r="D74" s="1858">
        <v>0.01</v>
      </c>
      <c r="E74" s="1858">
        <v>-0.08</v>
      </c>
      <c r="F74" s="1858">
        <v>-0.74</v>
      </c>
      <c r="G74" s="1858">
        <v>-0.89</v>
      </c>
      <c r="H74" s="1858">
        <v>-0.88</v>
      </c>
      <c r="I74" s="1858">
        <v>-0.88</v>
      </c>
      <c r="J74" s="1858">
        <v>-0.38</v>
      </c>
      <c r="K74" s="1858">
        <v>-2.0499999999999998</v>
      </c>
      <c r="L74" s="1858">
        <v>0.17</v>
      </c>
      <c r="M74" s="1858">
        <v>0.2</v>
      </c>
      <c r="N74" s="1858">
        <v>-0.48</v>
      </c>
      <c r="O74" s="1858">
        <v>-7.0000000000000007E-2</v>
      </c>
      <c r="P74" s="1858">
        <v>3.37</v>
      </c>
      <c r="Q74" s="1858">
        <v>0.89</v>
      </c>
      <c r="R74" s="1858">
        <v>-2.41</v>
      </c>
      <c r="S74" s="1858">
        <v>-5.41</v>
      </c>
      <c r="T74" s="1840" t="s">
        <v>556</v>
      </c>
      <c r="U74" s="1858">
        <v>1.28</v>
      </c>
      <c r="V74" s="1858">
        <v>0.04</v>
      </c>
      <c r="W74" s="1858">
        <v>0.05</v>
      </c>
      <c r="X74" s="1858">
        <v>-1.64</v>
      </c>
      <c r="Y74" s="1858">
        <v>0.04</v>
      </c>
      <c r="Z74" s="1858">
        <v>-5.93</v>
      </c>
      <c r="AA74" s="1858">
        <v>0.06</v>
      </c>
      <c r="AB74" s="1858">
        <v>-2.5299999999999998</v>
      </c>
      <c r="AC74" s="1858">
        <v>-0.68</v>
      </c>
      <c r="AD74" s="1858">
        <v>-1.95</v>
      </c>
      <c r="AE74" s="1858">
        <v>-0.13</v>
      </c>
      <c r="AF74" s="1858">
        <v>-3.54</v>
      </c>
      <c r="AG74" s="1858">
        <v>-0.02</v>
      </c>
      <c r="AH74" s="1858">
        <v>-0.46</v>
      </c>
      <c r="AI74" s="1858">
        <v>1.04</v>
      </c>
      <c r="AJ74" s="1858">
        <v>-0.01</v>
      </c>
      <c r="AK74" s="1858">
        <v>-3.83</v>
      </c>
      <c r="AL74" s="353">
        <v>50.84</v>
      </c>
      <c r="AM74" s="353">
        <v>8.9</v>
      </c>
      <c r="AN74" s="353">
        <v>9.0399999999999991</v>
      </c>
      <c r="AO74" s="353">
        <v>203.89</v>
      </c>
      <c r="AP74" s="353">
        <v>203.98</v>
      </c>
      <c r="AQ74" s="353">
        <v>0.75</v>
      </c>
      <c r="AR74" s="353">
        <v>0.75</v>
      </c>
      <c r="AS74" s="353">
        <v>1.65</v>
      </c>
      <c r="AT74" s="353">
        <v>1.65</v>
      </c>
      <c r="AU74" s="1815" t="s">
        <v>556</v>
      </c>
      <c r="AV74" s="353">
        <v>21.56</v>
      </c>
      <c r="AW74" s="353">
        <v>21.56</v>
      </c>
      <c r="AX74" s="353">
        <v>1.02</v>
      </c>
      <c r="AY74" s="353">
        <v>1.01</v>
      </c>
      <c r="AZ74" s="353">
        <v>20.92</v>
      </c>
      <c r="BA74" s="353">
        <v>20.93</v>
      </c>
      <c r="BB74" s="353">
        <v>7.0000000000000007E-2</v>
      </c>
      <c r="BC74" s="353">
        <v>0.06</v>
      </c>
      <c r="BD74" s="353">
        <v>54.83</v>
      </c>
      <c r="BE74" s="353">
        <v>55.12</v>
      </c>
      <c r="BF74" s="353">
        <v>9.1999999999999993</v>
      </c>
      <c r="BG74" s="353">
        <v>9.15</v>
      </c>
      <c r="BH74" s="353">
        <v>0.55000000000000004</v>
      </c>
      <c r="BI74" s="353">
        <v>0.54</v>
      </c>
      <c r="BJ74" s="1815" t="s">
        <v>556</v>
      </c>
      <c r="BK74" s="353">
        <v>78.010000000000005</v>
      </c>
      <c r="BL74" s="353">
        <v>76.709999999999994</v>
      </c>
      <c r="BM74" s="353">
        <v>0.36</v>
      </c>
      <c r="BN74" s="353">
        <v>0.36</v>
      </c>
      <c r="BO74" s="353">
        <v>108.54</v>
      </c>
      <c r="BP74" s="353">
        <v>108.37</v>
      </c>
      <c r="BQ74" s="353">
        <v>2.17</v>
      </c>
      <c r="BR74" s="353">
        <v>2.2000000000000002</v>
      </c>
      <c r="BS74" s="353">
        <v>21.37</v>
      </c>
      <c r="BT74" s="353">
        <v>21.37</v>
      </c>
      <c r="BU74" s="353">
        <v>78.5</v>
      </c>
      <c r="BV74" s="353">
        <v>78.5</v>
      </c>
      <c r="BW74" s="353">
        <v>113.23</v>
      </c>
      <c r="BX74" s="353">
        <v>111.83</v>
      </c>
    </row>
    <row r="75" spans="1:76" s="438" customFormat="1" ht="12.75" customHeight="1" x14ac:dyDescent="0.15">
      <c r="A75" s="1848" t="s">
        <v>1150</v>
      </c>
      <c r="B75" s="1840" t="s">
        <v>557</v>
      </c>
      <c r="C75" s="1858">
        <v>0.73</v>
      </c>
      <c r="D75" s="1858">
        <v>0.06</v>
      </c>
      <c r="E75" s="1858">
        <v>-0.08</v>
      </c>
      <c r="F75" s="1858">
        <v>3.51</v>
      </c>
      <c r="G75" s="1858">
        <v>0.1</v>
      </c>
      <c r="H75" s="1858">
        <v>1</v>
      </c>
      <c r="I75" s="1858">
        <v>0.96</v>
      </c>
      <c r="J75" s="1858">
        <v>7.0000000000000007E-2</v>
      </c>
      <c r="K75" s="1858">
        <v>-1.25</v>
      </c>
      <c r="L75" s="1858">
        <v>2.87</v>
      </c>
      <c r="M75" s="1858">
        <v>-1.37</v>
      </c>
      <c r="N75" s="1858">
        <v>6.24</v>
      </c>
      <c r="O75" s="1858">
        <v>1.05</v>
      </c>
      <c r="P75" s="1858">
        <v>-1.52</v>
      </c>
      <c r="Q75" s="1858">
        <v>4.97</v>
      </c>
      <c r="R75" s="1858">
        <v>-1.42</v>
      </c>
      <c r="S75" s="1858">
        <v>2.36</v>
      </c>
      <c r="T75" s="1840" t="s">
        <v>557</v>
      </c>
      <c r="U75" s="1858">
        <v>0.05</v>
      </c>
      <c r="V75" s="1858">
        <v>-0.04</v>
      </c>
      <c r="W75" s="1858">
        <v>0.1</v>
      </c>
      <c r="X75" s="1858">
        <v>0.24</v>
      </c>
      <c r="Y75" s="1858">
        <v>-0.03</v>
      </c>
      <c r="Z75" s="1858">
        <v>2.6</v>
      </c>
      <c r="AA75" s="1858">
        <v>0</v>
      </c>
      <c r="AB75" s="1858">
        <v>-2.52</v>
      </c>
      <c r="AC75" s="1858">
        <v>1.1599999999999999</v>
      </c>
      <c r="AD75" s="1858">
        <v>0.23</v>
      </c>
      <c r="AE75" s="1858">
        <v>-0.27</v>
      </c>
      <c r="AF75" s="1858">
        <v>2.74</v>
      </c>
      <c r="AG75" s="1858">
        <v>0.02</v>
      </c>
      <c r="AH75" s="1858">
        <v>0.57999999999999996</v>
      </c>
      <c r="AI75" s="1858">
        <v>-0.03</v>
      </c>
      <c r="AJ75" s="1858">
        <v>-0.01</v>
      </c>
      <c r="AK75" s="1858">
        <v>-2.62</v>
      </c>
      <c r="AL75" s="339">
        <v>52.01</v>
      </c>
      <c r="AM75" s="339">
        <v>9.1300000000000008</v>
      </c>
      <c r="AN75" s="339">
        <v>9.0399999999999991</v>
      </c>
      <c r="AO75" s="339">
        <v>203.99</v>
      </c>
      <c r="AP75" s="339">
        <v>203.76</v>
      </c>
      <c r="AQ75" s="339">
        <v>0.75</v>
      </c>
      <c r="AR75" s="339">
        <v>0.75</v>
      </c>
      <c r="AS75" s="339">
        <v>1.65</v>
      </c>
      <c r="AT75" s="339">
        <v>1.65</v>
      </c>
      <c r="AU75" s="464" t="s">
        <v>557</v>
      </c>
      <c r="AV75" s="339">
        <v>21.57</v>
      </c>
      <c r="AW75" s="339">
        <v>21.54</v>
      </c>
      <c r="AX75" s="339">
        <v>1.02</v>
      </c>
      <c r="AY75" s="339">
        <v>1.03</v>
      </c>
      <c r="AZ75" s="339">
        <v>20.94</v>
      </c>
      <c r="BA75" s="339">
        <v>20.92</v>
      </c>
      <c r="BB75" s="339">
        <v>0.06</v>
      </c>
      <c r="BC75" s="339">
        <v>0.06</v>
      </c>
      <c r="BD75" s="339">
        <v>55.91</v>
      </c>
      <c r="BE75" s="339">
        <v>55.72</v>
      </c>
      <c r="BF75" s="339">
        <v>9.27</v>
      </c>
      <c r="BG75" s="339">
        <v>9.16</v>
      </c>
      <c r="BH75" s="339">
        <v>0.54</v>
      </c>
      <c r="BI75" s="339">
        <v>0.54</v>
      </c>
      <c r="BJ75" s="464" t="s">
        <v>557</v>
      </c>
      <c r="BK75" s="339">
        <v>79.180000000000007</v>
      </c>
      <c r="BL75" s="339">
        <v>78.75</v>
      </c>
      <c r="BM75" s="339">
        <v>0.36</v>
      </c>
      <c r="BN75" s="339">
        <v>0.36</v>
      </c>
      <c r="BO75" s="339">
        <v>109.48</v>
      </c>
      <c r="BP75" s="339">
        <v>108.93</v>
      </c>
      <c r="BQ75" s="339">
        <v>2.21</v>
      </c>
      <c r="BR75" s="339">
        <v>2.19</v>
      </c>
      <c r="BS75" s="339">
        <v>21.39</v>
      </c>
      <c r="BT75" s="339">
        <v>21.36</v>
      </c>
      <c r="BU75" s="339">
        <v>78.55</v>
      </c>
      <c r="BV75" s="339">
        <v>78.45</v>
      </c>
      <c r="BW75" s="339">
        <v>112.52</v>
      </c>
      <c r="BX75" s="339">
        <v>108.83</v>
      </c>
    </row>
    <row r="76" spans="1:76" s="438" customFormat="1" ht="12.75" customHeight="1" x14ac:dyDescent="0.15">
      <c r="A76" s="1848" t="s">
        <v>1150</v>
      </c>
      <c r="B76" s="1840" t="s">
        <v>549</v>
      </c>
      <c r="C76" s="1858">
        <v>7.58</v>
      </c>
      <c r="D76" s="1858">
        <v>0.06</v>
      </c>
      <c r="E76" s="1858">
        <v>-0.03</v>
      </c>
      <c r="F76" s="1858">
        <v>4.3099999999999996</v>
      </c>
      <c r="G76" s="1858">
        <v>1.3</v>
      </c>
      <c r="H76" s="1858">
        <v>3.72</v>
      </c>
      <c r="I76" s="1858">
        <v>3.62</v>
      </c>
      <c r="J76" s="1858">
        <v>0.28000000000000003</v>
      </c>
      <c r="K76" s="1858">
        <v>3.56</v>
      </c>
      <c r="L76" s="1858">
        <v>0.79</v>
      </c>
      <c r="M76" s="1858">
        <v>7.0000000000000007E-2</v>
      </c>
      <c r="N76" s="1858">
        <v>1.37</v>
      </c>
      <c r="O76" s="1858">
        <v>-0.45</v>
      </c>
      <c r="P76" s="1858">
        <v>7.71</v>
      </c>
      <c r="Q76" s="1858">
        <v>1.73</v>
      </c>
      <c r="R76" s="1858">
        <v>3.22</v>
      </c>
      <c r="S76" s="1858">
        <v>4.53</v>
      </c>
      <c r="T76" s="1840" t="s">
        <v>549</v>
      </c>
      <c r="U76" s="1858">
        <v>4.5</v>
      </c>
      <c r="V76" s="1858">
        <v>0</v>
      </c>
      <c r="W76" s="1858">
        <v>0.05</v>
      </c>
      <c r="X76" s="1858">
        <v>3.45</v>
      </c>
      <c r="Y76" s="1858">
        <v>0.03</v>
      </c>
      <c r="Z76" s="1858">
        <v>11.29</v>
      </c>
      <c r="AA76" s="1858">
        <v>-0.01</v>
      </c>
      <c r="AB76" s="1858">
        <v>8.3000000000000007</v>
      </c>
      <c r="AC76" s="1858">
        <v>4.2699999999999996</v>
      </c>
      <c r="AD76" s="1858">
        <v>5.0199999999999996</v>
      </c>
      <c r="AE76" s="1858">
        <v>-3.06</v>
      </c>
      <c r="AF76" s="1858">
        <v>3.23</v>
      </c>
      <c r="AG76" s="1858">
        <v>0.3</v>
      </c>
      <c r="AH76" s="1858">
        <v>1.31</v>
      </c>
      <c r="AI76" s="1858">
        <v>1.39</v>
      </c>
      <c r="AJ76" s="1858">
        <v>0.01</v>
      </c>
      <c r="AK76" s="1858">
        <v>3.64</v>
      </c>
      <c r="AL76" s="353">
        <v>54.33</v>
      </c>
      <c r="AM76" s="353">
        <v>9.25</v>
      </c>
      <c r="AN76" s="353">
        <v>9.44</v>
      </c>
      <c r="AO76" s="353">
        <v>203.68</v>
      </c>
      <c r="AP76" s="353">
        <v>203.64</v>
      </c>
      <c r="AQ76" s="353">
        <v>0.75</v>
      </c>
      <c r="AR76" s="353">
        <v>0.75</v>
      </c>
      <c r="AS76" s="353">
        <v>1.68</v>
      </c>
      <c r="AT76" s="353">
        <v>1.7</v>
      </c>
      <c r="AU76" s="1815" t="s">
        <v>549</v>
      </c>
      <c r="AV76" s="353">
        <v>21.53</v>
      </c>
      <c r="AW76" s="353">
        <v>21.53</v>
      </c>
      <c r="AX76" s="353">
        <v>1.1100000000000001</v>
      </c>
      <c r="AY76" s="353">
        <v>1.1499999999999999</v>
      </c>
      <c r="AZ76" s="353">
        <v>20.91</v>
      </c>
      <c r="BA76" s="353">
        <v>20.9</v>
      </c>
      <c r="BB76" s="353">
        <v>7.0000000000000007E-2</v>
      </c>
      <c r="BC76" s="353">
        <v>7.0000000000000007E-2</v>
      </c>
      <c r="BD76" s="353">
        <v>57.1</v>
      </c>
      <c r="BE76" s="353">
        <v>58.06</v>
      </c>
      <c r="BF76" s="353">
        <v>9.39</v>
      </c>
      <c r="BG76" s="353">
        <v>9.6199999999999992</v>
      </c>
      <c r="BH76" s="353">
        <v>0.54</v>
      </c>
      <c r="BI76" s="353">
        <v>0.53</v>
      </c>
      <c r="BJ76" s="1815" t="s">
        <v>549</v>
      </c>
      <c r="BK76" s="353">
        <v>79.83</v>
      </c>
      <c r="BL76" s="353">
        <v>81.25</v>
      </c>
      <c r="BM76" s="353">
        <v>0.36</v>
      </c>
      <c r="BN76" s="353">
        <v>0.36</v>
      </c>
      <c r="BO76" s="353">
        <v>109.27</v>
      </c>
      <c r="BP76" s="353">
        <v>110.28</v>
      </c>
      <c r="BQ76" s="353">
        <v>2.2200000000000002</v>
      </c>
      <c r="BR76" s="353">
        <v>2.2200000000000002</v>
      </c>
      <c r="BS76" s="353">
        <v>21.35</v>
      </c>
      <c r="BT76" s="353">
        <v>21.35</v>
      </c>
      <c r="BU76" s="353">
        <v>78.41</v>
      </c>
      <c r="BV76" s="353">
        <v>78.400000000000006</v>
      </c>
      <c r="BW76" s="353">
        <v>111.71</v>
      </c>
      <c r="BX76" s="353">
        <v>112.72</v>
      </c>
    </row>
    <row r="77" spans="1:76" s="438" customFormat="1" ht="12.75" customHeight="1" x14ac:dyDescent="0.15">
      <c r="A77" s="1848" t="s">
        <v>1150</v>
      </c>
      <c r="B77" s="1840" t="s">
        <v>558</v>
      </c>
      <c r="C77" s="1858">
        <v>-0.85</v>
      </c>
      <c r="D77" s="1858">
        <v>0</v>
      </c>
      <c r="E77" s="1858">
        <v>0.01</v>
      </c>
      <c r="F77" s="1858">
        <v>3.33</v>
      </c>
      <c r="G77" s="1858">
        <v>0.04</v>
      </c>
      <c r="H77" s="1858">
        <v>1.1599999999999999</v>
      </c>
      <c r="I77" s="1858">
        <v>1.03</v>
      </c>
      <c r="J77" s="1858">
        <v>-0.05</v>
      </c>
      <c r="K77" s="1858">
        <v>-0.08</v>
      </c>
      <c r="L77" s="1858">
        <v>0.76</v>
      </c>
      <c r="M77" s="1858">
        <v>-0.01</v>
      </c>
      <c r="N77" s="1858">
        <v>5.67</v>
      </c>
      <c r="O77" s="1858">
        <v>0.35</v>
      </c>
      <c r="P77" s="1858">
        <v>0.27</v>
      </c>
      <c r="Q77" s="1858">
        <v>4.0199999999999996</v>
      </c>
      <c r="R77" s="1858">
        <v>-0.18</v>
      </c>
      <c r="S77" s="1858">
        <v>0.76</v>
      </c>
      <c r="T77" s="1840" t="s">
        <v>558</v>
      </c>
      <c r="U77" s="1858">
        <v>3.09</v>
      </c>
      <c r="V77" s="1858">
        <v>-0.01</v>
      </c>
      <c r="W77" s="1858">
        <v>-0.1</v>
      </c>
      <c r="X77" s="1858">
        <v>-1.94</v>
      </c>
      <c r="Y77" s="1858">
        <v>0.02</v>
      </c>
      <c r="Z77" s="1858">
        <v>4.9400000000000004</v>
      </c>
      <c r="AA77" s="1858">
        <v>0.01</v>
      </c>
      <c r="AB77" s="1858">
        <v>-0.04</v>
      </c>
      <c r="AC77" s="1858">
        <v>0.43</v>
      </c>
      <c r="AD77" s="1858">
        <v>1.5</v>
      </c>
      <c r="AE77" s="1858">
        <v>2.08</v>
      </c>
      <c r="AF77" s="1858">
        <v>0.56000000000000005</v>
      </c>
      <c r="AG77" s="1858">
        <v>0.11</v>
      </c>
      <c r="AH77" s="1858">
        <v>0.75</v>
      </c>
      <c r="AI77" s="1858">
        <v>0.97</v>
      </c>
      <c r="AJ77" s="1858">
        <v>0</v>
      </c>
      <c r="AK77" s="1858">
        <v>1.58</v>
      </c>
      <c r="AL77" s="339">
        <v>54.74</v>
      </c>
      <c r="AM77" s="339">
        <v>9.5299999999999994</v>
      </c>
      <c r="AN77" s="339">
        <v>9.74</v>
      </c>
      <c r="AO77" s="339">
        <v>203.62</v>
      </c>
      <c r="AP77" s="339">
        <v>203.61</v>
      </c>
      <c r="AQ77" s="339">
        <v>0.75</v>
      </c>
      <c r="AR77" s="339">
        <v>0.75</v>
      </c>
      <c r="AS77" s="339">
        <v>1.69</v>
      </c>
      <c r="AT77" s="339">
        <v>1.67</v>
      </c>
      <c r="AU77" s="464" t="s">
        <v>558</v>
      </c>
      <c r="AV77" s="339">
        <v>21.53</v>
      </c>
      <c r="AW77" s="339">
        <v>21.54</v>
      </c>
      <c r="AX77" s="339">
        <v>1.18</v>
      </c>
      <c r="AY77" s="339">
        <v>1.2</v>
      </c>
      <c r="AZ77" s="339">
        <v>20.91</v>
      </c>
      <c r="BA77" s="339">
        <v>20.91</v>
      </c>
      <c r="BB77" s="339">
        <v>7.0000000000000007E-2</v>
      </c>
      <c r="BC77" s="339">
        <v>7.0000000000000007E-2</v>
      </c>
      <c r="BD77" s="339">
        <v>58.06</v>
      </c>
      <c r="BE77" s="339">
        <v>58.31</v>
      </c>
      <c r="BF77" s="339">
        <v>9.65</v>
      </c>
      <c r="BG77" s="339">
        <v>9.76</v>
      </c>
      <c r="BH77" s="339">
        <v>0.54</v>
      </c>
      <c r="BI77" s="339">
        <v>0.54</v>
      </c>
      <c r="BJ77" s="464" t="s">
        <v>558</v>
      </c>
      <c r="BK77" s="339">
        <v>81.31</v>
      </c>
      <c r="BL77" s="339">
        <v>81.7</v>
      </c>
      <c r="BM77" s="339">
        <v>0.36</v>
      </c>
      <c r="BN77" s="339">
        <v>0.36</v>
      </c>
      <c r="BO77" s="339">
        <v>110.43</v>
      </c>
      <c r="BP77" s="339">
        <v>111.11</v>
      </c>
      <c r="BQ77" s="339">
        <v>2.23</v>
      </c>
      <c r="BR77" s="339">
        <v>2.25</v>
      </c>
      <c r="BS77" s="339">
        <v>21.34</v>
      </c>
      <c r="BT77" s="339">
        <v>21.34</v>
      </c>
      <c r="BU77" s="339">
        <v>78.400000000000006</v>
      </c>
      <c r="BV77" s="339">
        <v>78.400000000000006</v>
      </c>
      <c r="BW77" s="339">
        <v>112.14</v>
      </c>
      <c r="BX77" s="339">
        <v>114.5</v>
      </c>
    </row>
    <row r="78" spans="1:76" s="438" customFormat="1" ht="12.75" customHeight="1" x14ac:dyDescent="0.15">
      <c r="A78" s="1848" t="s">
        <v>1150</v>
      </c>
      <c r="B78" s="1840" t="s">
        <v>559</v>
      </c>
      <c r="C78" s="1858">
        <v>-5.57</v>
      </c>
      <c r="D78" s="1858">
        <v>0</v>
      </c>
      <c r="E78" s="1858">
        <v>-0.01</v>
      </c>
      <c r="F78" s="1858">
        <v>-3.88</v>
      </c>
      <c r="G78" s="1858">
        <v>-1.83</v>
      </c>
      <c r="H78" s="1858">
        <v>-2.66</v>
      </c>
      <c r="I78" s="1858">
        <v>-2.67</v>
      </c>
      <c r="J78" s="1858">
        <v>-0.16</v>
      </c>
      <c r="K78" s="1858">
        <v>-1.1000000000000001</v>
      </c>
      <c r="L78" s="1858">
        <v>-3.12</v>
      </c>
      <c r="M78" s="1858">
        <v>0.12</v>
      </c>
      <c r="N78" s="1858">
        <v>-4.25</v>
      </c>
      <c r="O78" s="1858">
        <v>-0.35</v>
      </c>
      <c r="P78" s="1858">
        <v>-4.99</v>
      </c>
      <c r="Q78" s="1858">
        <v>-1.31</v>
      </c>
      <c r="R78" s="1858">
        <v>-0.7</v>
      </c>
      <c r="S78" s="1858">
        <v>-4.1100000000000003</v>
      </c>
      <c r="T78" s="1840" t="s">
        <v>559</v>
      </c>
      <c r="U78" s="1858">
        <v>-3.51</v>
      </c>
      <c r="V78" s="1858">
        <v>0</v>
      </c>
      <c r="W78" s="1858">
        <v>-0.02</v>
      </c>
      <c r="X78" s="1858">
        <v>0.48</v>
      </c>
      <c r="Y78" s="1858">
        <v>-0.02</v>
      </c>
      <c r="Z78" s="1858">
        <v>-1.1399999999999999</v>
      </c>
      <c r="AA78" s="1858">
        <v>0</v>
      </c>
      <c r="AB78" s="1858">
        <v>-3.73</v>
      </c>
      <c r="AC78" s="1858">
        <v>-2.69</v>
      </c>
      <c r="AD78" s="1858">
        <v>-3.41</v>
      </c>
      <c r="AE78" s="1858">
        <v>-1.23</v>
      </c>
      <c r="AF78" s="1858">
        <v>-3.29</v>
      </c>
      <c r="AG78" s="1858">
        <v>0.39</v>
      </c>
      <c r="AH78" s="1858">
        <v>-0.8</v>
      </c>
      <c r="AI78" s="1858">
        <v>-2.27</v>
      </c>
      <c r="AJ78" s="1858">
        <v>0</v>
      </c>
      <c r="AK78" s="1858">
        <v>0.23</v>
      </c>
      <c r="AL78" s="353">
        <v>52.48</v>
      </c>
      <c r="AM78" s="353">
        <v>9.5299999999999994</v>
      </c>
      <c r="AN78" s="353">
        <v>9.39</v>
      </c>
      <c r="AO78" s="353">
        <v>203.63</v>
      </c>
      <c r="AP78" s="353">
        <v>203.61</v>
      </c>
      <c r="AQ78" s="353">
        <v>0.75</v>
      </c>
      <c r="AR78" s="353">
        <v>0.75</v>
      </c>
      <c r="AS78" s="353">
        <v>1.67</v>
      </c>
      <c r="AT78" s="353">
        <v>1.68</v>
      </c>
      <c r="AU78" s="1815" t="s">
        <v>559</v>
      </c>
      <c r="AV78" s="353">
        <v>21.53</v>
      </c>
      <c r="AW78" s="353">
        <v>21.53</v>
      </c>
      <c r="AX78" s="353">
        <v>1.19</v>
      </c>
      <c r="AY78" s="353">
        <v>1.19</v>
      </c>
      <c r="AZ78" s="353">
        <v>20.9</v>
      </c>
      <c r="BA78" s="353">
        <v>20.9</v>
      </c>
      <c r="BB78" s="353">
        <v>7.0000000000000007E-2</v>
      </c>
      <c r="BC78" s="353">
        <v>7.0000000000000007E-2</v>
      </c>
      <c r="BD78" s="353">
        <v>57.23</v>
      </c>
      <c r="BE78" s="353">
        <v>56.74</v>
      </c>
      <c r="BF78" s="353">
        <v>9.5399999999999991</v>
      </c>
      <c r="BG78" s="353">
        <v>9.43</v>
      </c>
      <c r="BH78" s="353">
        <v>0.53</v>
      </c>
      <c r="BI78" s="353">
        <v>0.53</v>
      </c>
      <c r="BJ78" s="1815" t="s">
        <v>559</v>
      </c>
      <c r="BK78" s="353">
        <v>80.14</v>
      </c>
      <c r="BL78" s="353">
        <v>79.02</v>
      </c>
      <c r="BM78" s="353">
        <v>0.36</v>
      </c>
      <c r="BN78" s="353">
        <v>0.36</v>
      </c>
      <c r="BO78" s="353">
        <v>110.66</v>
      </c>
      <c r="BP78" s="353">
        <v>110.22</v>
      </c>
      <c r="BQ78" s="353">
        <v>2.21</v>
      </c>
      <c r="BR78" s="353">
        <v>2.19</v>
      </c>
      <c r="BS78" s="353">
        <v>21.34</v>
      </c>
      <c r="BT78" s="353">
        <v>21.34</v>
      </c>
      <c r="BU78" s="353">
        <v>78.400000000000006</v>
      </c>
      <c r="BV78" s="353">
        <v>78.400000000000006</v>
      </c>
      <c r="BW78" s="353">
        <v>113.87</v>
      </c>
      <c r="BX78" s="353">
        <v>114.77</v>
      </c>
    </row>
    <row r="79" spans="1:76" s="438" customFormat="1" ht="12.75" customHeight="1" x14ac:dyDescent="0.15">
      <c r="A79" s="1848" t="s">
        <v>1150</v>
      </c>
      <c r="B79" s="1840" t="s">
        <v>550</v>
      </c>
      <c r="C79" s="1858">
        <v>2.86</v>
      </c>
      <c r="D79" s="1858">
        <v>0</v>
      </c>
      <c r="E79" s="1858">
        <v>-0.08</v>
      </c>
      <c r="F79" s="1858">
        <v>0.19</v>
      </c>
      <c r="G79" s="1858">
        <v>-0.81</v>
      </c>
      <c r="H79" s="1858">
        <v>-0.75</v>
      </c>
      <c r="I79" s="1858">
        <v>-0.72</v>
      </c>
      <c r="J79" s="1858">
        <v>0.14000000000000001</v>
      </c>
      <c r="K79" s="1858">
        <v>-0.8</v>
      </c>
      <c r="L79" s="1858">
        <v>3.4</v>
      </c>
      <c r="M79" s="1858">
        <v>0.1</v>
      </c>
      <c r="N79" s="1858">
        <v>8.15</v>
      </c>
      <c r="O79" s="1858">
        <v>-0.03</v>
      </c>
      <c r="P79" s="1858">
        <v>1.36</v>
      </c>
      <c r="Q79" s="1858">
        <v>0.04</v>
      </c>
      <c r="R79" s="1858">
        <v>-1.1399999999999999</v>
      </c>
      <c r="S79" s="1858">
        <v>5.27</v>
      </c>
      <c r="T79" s="1840" t="s">
        <v>550</v>
      </c>
      <c r="U79" s="1858">
        <v>-1.54</v>
      </c>
      <c r="V79" s="1858">
        <v>0.01</v>
      </c>
      <c r="W79" s="1858">
        <v>0.17</v>
      </c>
      <c r="X79" s="1858">
        <v>-0.56000000000000005</v>
      </c>
      <c r="Y79" s="1858">
        <v>-0.02</v>
      </c>
      <c r="Z79" s="1858">
        <v>2.44</v>
      </c>
      <c r="AA79" s="1858">
        <v>0</v>
      </c>
      <c r="AB79" s="1858">
        <v>2.3199999999999998</v>
      </c>
      <c r="AC79" s="1858">
        <v>2.0699999999999998</v>
      </c>
      <c r="AD79" s="1858">
        <v>-2.17</v>
      </c>
      <c r="AE79" s="1858">
        <v>0.11</v>
      </c>
      <c r="AF79" s="1858">
        <v>1.02</v>
      </c>
      <c r="AG79" s="1858">
        <v>0.6</v>
      </c>
      <c r="AH79" s="1858">
        <v>-0.75</v>
      </c>
      <c r="AI79" s="1858">
        <v>1.3</v>
      </c>
      <c r="AJ79" s="1858">
        <v>0.01</v>
      </c>
      <c r="AK79" s="1858">
        <v>-8.86</v>
      </c>
      <c r="AL79" s="339">
        <v>55.76</v>
      </c>
      <c r="AM79" s="339">
        <v>9.44</v>
      </c>
      <c r="AN79" s="339">
        <v>9.34</v>
      </c>
      <c r="AO79" s="339">
        <v>203.63</v>
      </c>
      <c r="AP79" s="339">
        <v>203.63</v>
      </c>
      <c r="AQ79" s="339">
        <v>0.75</v>
      </c>
      <c r="AR79" s="339">
        <v>0.75</v>
      </c>
      <c r="AS79" s="339">
        <v>1.67</v>
      </c>
      <c r="AT79" s="339">
        <v>1.67</v>
      </c>
      <c r="AU79" s="464" t="s">
        <v>550</v>
      </c>
      <c r="AV79" s="339">
        <v>21.54</v>
      </c>
      <c r="AW79" s="339">
        <v>21.53</v>
      </c>
      <c r="AX79" s="339">
        <v>1.2</v>
      </c>
      <c r="AY79" s="339">
        <v>1.22</v>
      </c>
      <c r="AZ79" s="339">
        <v>20.9</v>
      </c>
      <c r="BA79" s="339">
        <v>20.9</v>
      </c>
      <c r="BB79" s="339">
        <v>7.0000000000000007E-2</v>
      </c>
      <c r="BC79" s="339">
        <v>7.0000000000000007E-2</v>
      </c>
      <c r="BD79" s="339">
        <v>57.89</v>
      </c>
      <c r="BE79" s="339">
        <v>58.16</v>
      </c>
      <c r="BF79" s="339">
        <v>9.44</v>
      </c>
      <c r="BG79" s="339">
        <v>9.25</v>
      </c>
      <c r="BH79" s="339">
        <v>0.54</v>
      </c>
      <c r="BI79" s="339">
        <v>0.54</v>
      </c>
      <c r="BJ79" s="464" t="s">
        <v>550</v>
      </c>
      <c r="BK79" s="339">
        <v>80.849999999999994</v>
      </c>
      <c r="BL79" s="339">
        <v>80.02</v>
      </c>
      <c r="BM79" s="339">
        <v>0.36</v>
      </c>
      <c r="BN79" s="339">
        <v>0.36</v>
      </c>
      <c r="BO79" s="339">
        <v>110.35</v>
      </c>
      <c r="BP79" s="339">
        <v>109.44</v>
      </c>
      <c r="BQ79" s="339">
        <v>2.2200000000000002</v>
      </c>
      <c r="BR79" s="339">
        <v>2.2200000000000002</v>
      </c>
      <c r="BS79" s="339">
        <v>21.34</v>
      </c>
      <c r="BT79" s="339">
        <v>21.35</v>
      </c>
      <c r="BU79" s="339">
        <v>78.400000000000006</v>
      </c>
      <c r="BV79" s="339">
        <v>78.400000000000006</v>
      </c>
      <c r="BW79" s="339">
        <v>111.7</v>
      </c>
      <c r="BX79" s="339">
        <v>105.25</v>
      </c>
    </row>
    <row r="80" spans="1:76" s="438" customFormat="1" ht="12.75" customHeight="1" x14ac:dyDescent="0.15">
      <c r="A80" s="1859" t="s">
        <v>1174</v>
      </c>
      <c r="B80" s="1846" t="s">
        <v>552</v>
      </c>
      <c r="C80" s="1644">
        <v>2.83</v>
      </c>
      <c r="D80" s="1644">
        <v>0</v>
      </c>
      <c r="E80" s="1644">
        <v>0.04</v>
      </c>
      <c r="F80" s="1644">
        <v>-0.05</v>
      </c>
      <c r="G80" s="1644">
        <v>-0.28000000000000003</v>
      </c>
      <c r="H80" s="1644">
        <v>1.06</v>
      </c>
      <c r="I80" s="1644">
        <v>0.97</v>
      </c>
      <c r="J80" s="1644">
        <v>0.01</v>
      </c>
      <c r="K80" s="1644">
        <v>1.59</v>
      </c>
      <c r="L80" s="1644">
        <v>0.49</v>
      </c>
      <c r="M80" s="1644">
        <v>0.13</v>
      </c>
      <c r="N80" s="1644">
        <v>0.68</v>
      </c>
      <c r="O80" s="1644">
        <v>-0.1</v>
      </c>
      <c r="P80" s="1644">
        <v>-0.34</v>
      </c>
      <c r="Q80" s="1644">
        <v>-0.08</v>
      </c>
      <c r="R80" s="1644">
        <v>1.36</v>
      </c>
      <c r="S80" s="1644">
        <v>2.27</v>
      </c>
      <c r="T80" s="1846" t="s">
        <v>552</v>
      </c>
      <c r="U80" s="1644">
        <v>0.32</v>
      </c>
      <c r="V80" s="1644">
        <v>-0.04</v>
      </c>
      <c r="W80" s="1644">
        <v>-0.16</v>
      </c>
      <c r="X80" s="1644">
        <v>-0.13</v>
      </c>
      <c r="Y80" s="1644">
        <v>0</v>
      </c>
      <c r="Z80" s="1644">
        <v>-2.52</v>
      </c>
      <c r="AA80" s="1644">
        <v>0</v>
      </c>
      <c r="AB80" s="1644">
        <v>4.5</v>
      </c>
      <c r="AC80" s="1644">
        <v>1.03</v>
      </c>
      <c r="AD80" s="1644">
        <v>-0.62</v>
      </c>
      <c r="AE80" s="1644">
        <v>1.6</v>
      </c>
      <c r="AF80" s="1644">
        <v>1.33</v>
      </c>
      <c r="AG80" s="1644">
        <v>0.57999999999999996</v>
      </c>
      <c r="AH80" s="1644">
        <v>-0.14000000000000001</v>
      </c>
      <c r="AI80" s="1644">
        <v>1.38</v>
      </c>
      <c r="AJ80" s="1644">
        <v>-0.01</v>
      </c>
      <c r="AK80" s="1644">
        <v>-0.83</v>
      </c>
      <c r="AL80" s="339">
        <v>56.51</v>
      </c>
      <c r="AM80" s="339">
        <v>9.26</v>
      </c>
      <c r="AN80" s="339">
        <v>9.2799999999999994</v>
      </c>
      <c r="AO80" s="339">
        <v>203.63</v>
      </c>
      <c r="AP80" s="339">
        <v>203.56</v>
      </c>
      <c r="AQ80" s="339">
        <v>0.75</v>
      </c>
      <c r="AR80" s="339">
        <v>0.75</v>
      </c>
      <c r="AS80" s="339">
        <v>1.67</v>
      </c>
      <c r="AT80" s="339">
        <v>1.67</v>
      </c>
      <c r="AU80" s="464" t="s">
        <v>552</v>
      </c>
      <c r="AV80" s="1817">
        <v>21.53</v>
      </c>
      <c r="AW80" s="339">
        <v>21.53</v>
      </c>
      <c r="AX80" s="339">
        <v>1.22</v>
      </c>
      <c r="AY80" s="339">
        <v>1.19</v>
      </c>
      <c r="AZ80" s="339">
        <v>20.9</v>
      </c>
      <c r="BA80" s="339">
        <v>20.9</v>
      </c>
      <c r="BB80" s="339">
        <v>7.0000000000000007E-2</v>
      </c>
      <c r="BC80" s="339">
        <v>7.0000000000000007E-2</v>
      </c>
      <c r="BD80" s="339">
        <v>58.07</v>
      </c>
      <c r="BE80" s="339">
        <v>58.052</v>
      </c>
      <c r="BF80" s="339">
        <v>9.16</v>
      </c>
      <c r="BG80" s="339">
        <v>9.16</v>
      </c>
      <c r="BH80" s="339">
        <v>0.54</v>
      </c>
      <c r="BI80" s="339">
        <v>0.54</v>
      </c>
      <c r="BJ80" s="464" t="s">
        <v>552</v>
      </c>
      <c r="BK80" s="339">
        <v>79.87</v>
      </c>
      <c r="BL80" s="339">
        <v>80.88</v>
      </c>
      <c r="BM80" s="339">
        <v>0.36</v>
      </c>
      <c r="BN80" s="339">
        <v>0.36</v>
      </c>
      <c r="BO80" s="339">
        <v>109.06</v>
      </c>
      <c r="BP80" s="339">
        <v>109.24</v>
      </c>
      <c r="BQ80" s="339">
        <v>2.2400000000000002</v>
      </c>
      <c r="BR80" s="339">
        <v>2.25</v>
      </c>
      <c r="BS80" s="339">
        <v>21.35</v>
      </c>
      <c r="BT80" s="339">
        <v>21.35</v>
      </c>
      <c r="BU80" s="339">
        <v>78.400000000000006</v>
      </c>
      <c r="BV80" s="339">
        <v>78.400000000000006</v>
      </c>
      <c r="BW80" s="339">
        <v>103.18</v>
      </c>
      <c r="BX80" s="339">
        <v>103.73</v>
      </c>
    </row>
    <row r="81" spans="1:76" s="438" customFormat="1" ht="12.75" customHeight="1" x14ac:dyDescent="0.15">
      <c r="A81" s="1859" t="s">
        <v>1174</v>
      </c>
      <c r="B81" s="1846" t="s">
        <v>553</v>
      </c>
      <c r="C81" s="1644">
        <v>-1.1499999999999999</v>
      </c>
      <c r="D81" s="1644">
        <v>0</v>
      </c>
      <c r="E81" s="1644">
        <v>0.04</v>
      </c>
      <c r="F81" s="1644">
        <v>-0.53</v>
      </c>
      <c r="G81" s="1644">
        <v>-0.59</v>
      </c>
      <c r="H81" s="1644">
        <v>-0.36</v>
      </c>
      <c r="I81" s="1644">
        <v>-0.27</v>
      </c>
      <c r="J81" s="1644">
        <v>0</v>
      </c>
      <c r="K81" s="1644">
        <v>-0.73</v>
      </c>
      <c r="L81" s="1644">
        <v>-1.39</v>
      </c>
      <c r="M81" s="1644">
        <v>-0.1</v>
      </c>
      <c r="N81" s="1644">
        <v>-0.87</v>
      </c>
      <c r="O81" s="1644">
        <v>0.17</v>
      </c>
      <c r="P81" s="1644">
        <v>0.49</v>
      </c>
      <c r="Q81" s="1644">
        <v>-2.0299999999999998</v>
      </c>
      <c r="R81" s="1644">
        <v>-0.02</v>
      </c>
      <c r="S81" s="1644">
        <v>0.16</v>
      </c>
      <c r="T81" s="1846" t="s">
        <v>553</v>
      </c>
      <c r="U81" s="1644">
        <v>1.26</v>
      </c>
      <c r="V81" s="1644">
        <v>0.04</v>
      </c>
      <c r="W81" s="1644">
        <v>0.02</v>
      </c>
      <c r="X81" s="1644">
        <v>1.01</v>
      </c>
      <c r="Y81" s="1644">
        <v>0.01</v>
      </c>
      <c r="Z81" s="1644">
        <v>1.07</v>
      </c>
      <c r="AA81" s="1644">
        <v>0</v>
      </c>
      <c r="AB81" s="1644">
        <v>-0.5</v>
      </c>
      <c r="AC81" s="1644">
        <v>-1.83</v>
      </c>
      <c r="AD81" s="1644">
        <v>0.35</v>
      </c>
      <c r="AE81" s="1644">
        <v>0</v>
      </c>
      <c r="AF81" s="1644">
        <v>-1.48</v>
      </c>
      <c r="AG81" s="1644">
        <v>0.44</v>
      </c>
      <c r="AH81" s="1644">
        <v>0.18</v>
      </c>
      <c r="AI81" s="1644">
        <v>0.43</v>
      </c>
      <c r="AJ81" s="1644">
        <v>-0.01</v>
      </c>
      <c r="AK81" s="1644">
        <v>-1.1200000000000001</v>
      </c>
      <c r="AL81" s="353">
        <v>56.6</v>
      </c>
      <c r="AM81" s="353">
        <v>9.44</v>
      </c>
      <c r="AN81" s="353">
        <v>9.4</v>
      </c>
      <c r="AO81" s="353">
        <v>203.64</v>
      </c>
      <c r="AP81" s="353">
        <v>203.64</v>
      </c>
      <c r="AQ81" s="353">
        <v>0.75</v>
      </c>
      <c r="AR81" s="353">
        <v>0.75</v>
      </c>
      <c r="AS81" s="353">
        <v>1.68</v>
      </c>
      <c r="AT81" s="353">
        <v>1.68</v>
      </c>
      <c r="AU81" s="1815" t="s">
        <v>553</v>
      </c>
      <c r="AV81" s="1818">
        <v>21.53</v>
      </c>
      <c r="AW81" s="353">
        <v>21.53</v>
      </c>
      <c r="AX81" s="353">
        <v>1.21</v>
      </c>
      <c r="AY81" s="353">
        <v>1.2</v>
      </c>
      <c r="AZ81" s="353">
        <v>20.91</v>
      </c>
      <c r="BA81" s="353">
        <v>20.9</v>
      </c>
      <c r="BB81" s="353">
        <v>7.0000000000000007E-2</v>
      </c>
      <c r="BC81" s="353">
        <v>7.0000000000000007E-2</v>
      </c>
      <c r="BD81" s="353">
        <v>58.19</v>
      </c>
      <c r="BE81" s="353">
        <v>57.44</v>
      </c>
      <c r="BF81" s="353">
        <v>9.25</v>
      </c>
      <c r="BG81" s="353">
        <v>9.19</v>
      </c>
      <c r="BH81" s="353">
        <v>0.54</v>
      </c>
      <c r="BI81" s="353">
        <v>0.54</v>
      </c>
      <c r="BJ81" s="1815" t="s">
        <v>553</v>
      </c>
      <c r="BK81" s="353">
        <v>80.709999999999994</v>
      </c>
      <c r="BL81" s="353">
        <v>79.680000000000007</v>
      </c>
      <c r="BM81" s="353">
        <v>0.36</v>
      </c>
      <c r="BN81" s="353">
        <v>0.37</v>
      </c>
      <c r="BO81" s="353">
        <v>109.71</v>
      </c>
      <c r="BP81" s="353">
        <v>109.44</v>
      </c>
      <c r="BQ81" s="353">
        <v>2.2599999999999998</v>
      </c>
      <c r="BR81" s="353">
        <v>2.2599999999999998</v>
      </c>
      <c r="BS81" s="353">
        <v>21.34</v>
      </c>
      <c r="BT81" s="353">
        <v>21.34</v>
      </c>
      <c r="BU81" s="353">
        <v>78.400000000000006</v>
      </c>
      <c r="BV81" s="353">
        <v>78.400000000000006</v>
      </c>
      <c r="BW81" s="353">
        <v>102.71</v>
      </c>
      <c r="BX81" s="353">
        <v>102.57</v>
      </c>
    </row>
    <row r="82" spans="1:76" s="438" customFormat="1" ht="12.75" customHeight="1" x14ac:dyDescent="0.15">
      <c r="A82" s="1859" t="s">
        <v>1174</v>
      </c>
      <c r="B82" s="1846" t="s">
        <v>547</v>
      </c>
      <c r="C82" s="1644">
        <v>1.68</v>
      </c>
      <c r="D82" s="1644">
        <v>0</v>
      </c>
      <c r="E82" s="1644">
        <v>0.01</v>
      </c>
      <c r="F82" s="1644">
        <v>-0.33</v>
      </c>
      <c r="G82" s="1644">
        <v>0.19</v>
      </c>
      <c r="H82" s="1644">
        <v>0.62</v>
      </c>
      <c r="I82" s="1644">
        <v>0.72</v>
      </c>
      <c r="J82" s="1644">
        <v>0.02</v>
      </c>
      <c r="K82" s="1644">
        <v>0.5</v>
      </c>
      <c r="L82" s="1644">
        <v>2.1800000000000002</v>
      </c>
      <c r="M82" s="1644">
        <v>0.12</v>
      </c>
      <c r="N82" s="1644">
        <v>1.92</v>
      </c>
      <c r="O82" s="1644">
        <v>0.18</v>
      </c>
      <c r="P82" s="1644">
        <v>-2.2400000000000002</v>
      </c>
      <c r="Q82" s="1644">
        <v>-4.2</v>
      </c>
      <c r="R82" s="1644">
        <v>0.56000000000000005</v>
      </c>
      <c r="S82" s="1644">
        <v>0.47</v>
      </c>
      <c r="T82" s="1846" t="s">
        <v>547</v>
      </c>
      <c r="U82" s="1644">
        <v>3.67</v>
      </c>
      <c r="V82" s="1644">
        <v>0</v>
      </c>
      <c r="W82" s="1644">
        <v>0.13</v>
      </c>
      <c r="X82" s="1644">
        <v>-3.83</v>
      </c>
      <c r="Y82" s="1644">
        <v>-0.01</v>
      </c>
      <c r="Z82" s="1644">
        <v>3.35</v>
      </c>
      <c r="AA82" s="1644">
        <v>-0.13</v>
      </c>
      <c r="AB82" s="1644">
        <v>1.65</v>
      </c>
      <c r="AC82" s="1644">
        <v>0.03</v>
      </c>
      <c r="AD82" s="1644">
        <v>-0.6</v>
      </c>
      <c r="AE82" s="1644">
        <v>-0.92</v>
      </c>
      <c r="AF82" s="1644">
        <v>1.84</v>
      </c>
      <c r="AG82" s="1644">
        <v>0.51</v>
      </c>
      <c r="AH82" s="1644">
        <v>0.17</v>
      </c>
      <c r="AI82" s="1644">
        <v>-0.23</v>
      </c>
      <c r="AJ82" s="1644">
        <v>0</v>
      </c>
      <c r="AK82" s="1644">
        <v>-0.87</v>
      </c>
      <c r="AL82" s="339">
        <v>56.87</v>
      </c>
      <c r="AM82" s="339">
        <v>9.5399999999999991</v>
      </c>
      <c r="AN82" s="339">
        <v>9.74</v>
      </c>
      <c r="AO82" s="339">
        <v>203.62</v>
      </c>
      <c r="AP82" s="339">
        <v>203.63</v>
      </c>
      <c r="AQ82" s="339">
        <v>0.75</v>
      </c>
      <c r="AR82" s="339">
        <v>0.75</v>
      </c>
      <c r="AS82" s="339">
        <v>1.65</v>
      </c>
      <c r="AT82" s="339">
        <v>1.62</v>
      </c>
      <c r="AU82" s="464" t="s">
        <v>547</v>
      </c>
      <c r="AV82" s="1817">
        <v>21.53</v>
      </c>
      <c r="AW82" s="339">
        <v>21.53</v>
      </c>
      <c r="AX82" s="339">
        <v>1.22</v>
      </c>
      <c r="AY82" s="339">
        <v>1.24</v>
      </c>
      <c r="AZ82" s="339">
        <v>20.9</v>
      </c>
      <c r="BA82" s="339">
        <v>20.88</v>
      </c>
      <c r="BB82" s="339">
        <v>7.0000000000000007E-2</v>
      </c>
      <c r="BC82" s="339">
        <v>7.0000000000000007E-2</v>
      </c>
      <c r="BD82" s="339">
        <v>57.68</v>
      </c>
      <c r="BE82" s="339">
        <v>57.46</v>
      </c>
      <c r="BF82" s="339">
        <v>9.19</v>
      </c>
      <c r="BG82" s="339">
        <v>9.14</v>
      </c>
      <c r="BH82" s="339">
        <v>0.54</v>
      </c>
      <c r="BI82" s="339">
        <v>0.53</v>
      </c>
      <c r="BJ82" s="464" t="s">
        <v>547</v>
      </c>
      <c r="BK82" s="339">
        <v>80.430000000000007</v>
      </c>
      <c r="BL82" s="339">
        <v>81.150000000000006</v>
      </c>
      <c r="BM82" s="339">
        <v>0.36</v>
      </c>
      <c r="BN82" s="339">
        <v>0.37</v>
      </c>
      <c r="BO82" s="339">
        <v>109.69</v>
      </c>
      <c r="BP82" s="339">
        <v>109.62</v>
      </c>
      <c r="BQ82" s="339">
        <v>2.2599999999999998</v>
      </c>
      <c r="BR82" s="339">
        <v>2.2599999999999998</v>
      </c>
      <c r="BS82" s="339">
        <v>21.34</v>
      </c>
      <c r="BT82" s="339">
        <v>21.34</v>
      </c>
      <c r="BU82" s="339">
        <v>78.400000000000006</v>
      </c>
      <c r="BV82" s="339">
        <v>78.400000000000006</v>
      </c>
      <c r="BW82" s="339">
        <v>103.1</v>
      </c>
      <c r="BX82" s="339">
        <v>101.68</v>
      </c>
    </row>
    <row r="83" spans="1:76" s="438" customFormat="1" ht="12.75" customHeight="1" x14ac:dyDescent="0.15">
      <c r="A83" s="1859" t="s">
        <v>1174</v>
      </c>
      <c r="B83" s="1846" t="s">
        <v>554</v>
      </c>
      <c r="C83" s="1644">
        <v>-0.47</v>
      </c>
      <c r="D83" s="1644">
        <v>-0.02</v>
      </c>
      <c r="E83" s="1644">
        <v>-0.01</v>
      </c>
      <c r="F83" s="1644">
        <v>-1.91</v>
      </c>
      <c r="G83" s="1644">
        <v>-1.28</v>
      </c>
      <c r="H83" s="1644">
        <v>-1.96</v>
      </c>
      <c r="I83" s="1644">
        <v>-2.1</v>
      </c>
      <c r="J83" s="1644">
        <v>0.01</v>
      </c>
      <c r="K83" s="1644">
        <v>0.05</v>
      </c>
      <c r="L83" s="1644">
        <v>-0.36</v>
      </c>
      <c r="M83" s="1644">
        <v>-5.32</v>
      </c>
      <c r="N83" s="1644">
        <v>-3.51</v>
      </c>
      <c r="O83" s="1644">
        <v>-0.63</v>
      </c>
      <c r="P83" s="1644">
        <v>-1.42</v>
      </c>
      <c r="Q83" s="1644">
        <v>-2.09</v>
      </c>
      <c r="R83" s="1644">
        <v>-0.27</v>
      </c>
      <c r="S83" s="1644">
        <v>-1.25</v>
      </c>
      <c r="T83" s="1846" t="s">
        <v>554</v>
      </c>
      <c r="U83" s="1644">
        <v>-2.61</v>
      </c>
      <c r="V83" s="1644">
        <v>0</v>
      </c>
      <c r="W83" s="1644">
        <v>-0.04</v>
      </c>
      <c r="X83" s="1644">
        <v>-0.02</v>
      </c>
      <c r="Y83" s="1644">
        <v>0.01</v>
      </c>
      <c r="Z83" s="1644">
        <v>0.13</v>
      </c>
      <c r="AA83" s="1644">
        <v>0.12</v>
      </c>
      <c r="AB83" s="1644">
        <v>-3.82</v>
      </c>
      <c r="AC83" s="1644">
        <v>-1.99</v>
      </c>
      <c r="AD83" s="1644">
        <v>-4.93</v>
      </c>
      <c r="AE83" s="1644">
        <v>-0.61</v>
      </c>
      <c r="AF83" s="1644">
        <v>-2.2799999999999998</v>
      </c>
      <c r="AG83" s="1644">
        <v>-58.71</v>
      </c>
      <c r="AH83" s="1644">
        <v>-1.89</v>
      </c>
      <c r="AI83" s="1644">
        <v>-0.87</v>
      </c>
      <c r="AJ83" s="1644">
        <v>0</v>
      </c>
      <c r="AK83" s="1644">
        <v>-6.05</v>
      </c>
      <c r="AL83" s="353">
        <v>56.16</v>
      </c>
      <c r="AM83" s="353">
        <v>9.61</v>
      </c>
      <c r="AN83" s="353">
        <v>9.49</v>
      </c>
      <c r="AO83" s="353">
        <v>203.63</v>
      </c>
      <c r="AP83" s="353">
        <v>203.68</v>
      </c>
      <c r="AQ83" s="353">
        <v>0.75</v>
      </c>
      <c r="AR83" s="353">
        <v>0.75</v>
      </c>
      <c r="AS83" s="353">
        <v>1.62</v>
      </c>
      <c r="AT83" s="353">
        <v>1.62</v>
      </c>
      <c r="AU83" s="1815" t="s">
        <v>554</v>
      </c>
      <c r="AV83" s="1818">
        <v>21.53</v>
      </c>
      <c r="AW83" s="353">
        <v>21.54</v>
      </c>
      <c r="AX83" s="353">
        <v>1.25</v>
      </c>
      <c r="AY83" s="353">
        <v>1.24</v>
      </c>
      <c r="AZ83" s="353">
        <v>20.9</v>
      </c>
      <c r="BA83" s="353">
        <v>20.91</v>
      </c>
      <c r="BB83" s="353">
        <v>7.0000000000000007E-2</v>
      </c>
      <c r="BC83" s="353">
        <v>7.0000000000000007E-2</v>
      </c>
      <c r="BD83" s="353">
        <v>56.71</v>
      </c>
      <c r="BE83" s="353">
        <v>56.33</v>
      </c>
      <c r="BF83" s="353">
        <v>8.92</v>
      </c>
      <c r="BG83" s="353">
        <v>8.69</v>
      </c>
      <c r="BH83" s="353">
        <v>0.53</v>
      </c>
      <c r="BI83" s="353">
        <v>0.53</v>
      </c>
      <c r="BJ83" s="1815" t="s">
        <v>554</v>
      </c>
      <c r="BK83" s="353">
        <v>79.53</v>
      </c>
      <c r="BL83" s="353">
        <v>79.319999999999993</v>
      </c>
      <c r="BM83" s="353">
        <v>0.16</v>
      </c>
      <c r="BN83" s="353">
        <v>0.15</v>
      </c>
      <c r="BO83" s="353">
        <v>108.32</v>
      </c>
      <c r="BP83" s="353">
        <v>107.57</v>
      </c>
      <c r="BQ83" s="353">
        <v>2.2400000000000002</v>
      </c>
      <c r="BR83" s="353">
        <v>2.2400000000000002</v>
      </c>
      <c r="BS83" s="353">
        <v>21.35</v>
      </c>
      <c r="BT83" s="353">
        <v>21.35</v>
      </c>
      <c r="BU83" s="353">
        <v>78.400000000000006</v>
      </c>
      <c r="BV83" s="353">
        <v>78.42</v>
      </c>
      <c r="BW83" s="353">
        <v>97.03</v>
      </c>
      <c r="BX83" s="353">
        <v>95.55</v>
      </c>
    </row>
    <row r="84" spans="1:76" s="438" customFormat="1" ht="12.75" customHeight="1" x14ac:dyDescent="0.15">
      <c r="A84" s="1859" t="s">
        <v>1174</v>
      </c>
      <c r="B84" s="1846" t="s">
        <v>555</v>
      </c>
      <c r="C84" s="1644">
        <v>-1.53</v>
      </c>
      <c r="D84" s="1644">
        <v>-0.38</v>
      </c>
      <c r="E84" s="1644">
        <v>0.03</v>
      </c>
      <c r="F84" s="1644">
        <v>-0.25</v>
      </c>
      <c r="G84" s="1644">
        <v>-1.78</v>
      </c>
      <c r="H84" s="1644">
        <v>-3.06</v>
      </c>
      <c r="I84" s="1644">
        <v>-3.07</v>
      </c>
      <c r="J84" s="1644">
        <v>-0.02</v>
      </c>
      <c r="K84" s="1644">
        <v>-2.68</v>
      </c>
      <c r="L84" s="1644">
        <v>-3.81</v>
      </c>
      <c r="M84" s="1644">
        <v>-1.06</v>
      </c>
      <c r="N84" s="1644">
        <v>-6.83</v>
      </c>
      <c r="O84" s="1644">
        <v>-0.59</v>
      </c>
      <c r="P84" s="1644">
        <v>-5.89</v>
      </c>
      <c r="Q84" s="1644">
        <v>-1.86</v>
      </c>
      <c r="R84" s="1644">
        <v>-2.33</v>
      </c>
      <c r="S84" s="1644">
        <v>-0.51</v>
      </c>
      <c r="T84" s="1846" t="s">
        <v>555</v>
      </c>
      <c r="U84" s="1644">
        <v>-3.14</v>
      </c>
      <c r="V84" s="1644">
        <v>0</v>
      </c>
      <c r="W84" s="1644">
        <v>-0.2</v>
      </c>
      <c r="X84" s="1644">
        <v>-2.57</v>
      </c>
      <c r="Y84" s="1644">
        <v>0</v>
      </c>
      <c r="Z84" s="1644">
        <v>-3.36</v>
      </c>
      <c r="AA84" s="1644">
        <v>0</v>
      </c>
      <c r="AB84" s="1644">
        <v>-2.16</v>
      </c>
      <c r="AC84" s="1644">
        <v>-2.3199999999999998</v>
      </c>
      <c r="AD84" s="1644">
        <v>-1.84</v>
      </c>
      <c r="AE84" s="1644">
        <v>-0.77</v>
      </c>
      <c r="AF84" s="1644">
        <v>-2.2799999999999998</v>
      </c>
      <c r="AG84" s="1644">
        <v>0.39</v>
      </c>
      <c r="AH84" s="1644">
        <v>-1.43</v>
      </c>
      <c r="AI84" s="1644">
        <v>-1.73</v>
      </c>
      <c r="AJ84" s="1644">
        <v>0</v>
      </c>
      <c r="AK84" s="1644">
        <v>2.5</v>
      </c>
      <c r="AL84" s="339">
        <v>56.09</v>
      </c>
      <c r="AM84" s="339">
        <v>9.34</v>
      </c>
      <c r="AN84" s="339">
        <v>9.23</v>
      </c>
      <c r="AO84" s="339">
        <v>204</v>
      </c>
      <c r="AP84" s="339">
        <v>204.45</v>
      </c>
      <c r="AQ84" s="339">
        <v>0.75</v>
      </c>
      <c r="AR84" s="339">
        <v>0.75</v>
      </c>
      <c r="AS84" s="339">
        <v>1.6</v>
      </c>
      <c r="AT84" s="339">
        <v>1.58</v>
      </c>
      <c r="AU84" s="464" t="s">
        <v>555</v>
      </c>
      <c r="AV84" s="1817">
        <v>21.57</v>
      </c>
      <c r="AW84" s="339">
        <v>21.62</v>
      </c>
      <c r="AX84" s="339">
        <v>1.22</v>
      </c>
      <c r="AY84" s="339">
        <v>1.21</v>
      </c>
      <c r="AZ84" s="339">
        <v>20.95</v>
      </c>
      <c r="BA84" s="339">
        <v>20.99</v>
      </c>
      <c r="BB84" s="339">
        <v>7.0000000000000007E-2</v>
      </c>
      <c r="BC84" s="339">
        <v>7.0000000000000007E-2</v>
      </c>
      <c r="BD84" s="339">
        <v>55.71</v>
      </c>
      <c r="BE84" s="339">
        <v>55.24</v>
      </c>
      <c r="BF84" s="339">
        <v>8.61</v>
      </c>
      <c r="BG84" s="339">
        <v>8.57</v>
      </c>
      <c r="BH84" s="339">
        <v>0.53</v>
      </c>
      <c r="BI84" s="339">
        <v>0.53</v>
      </c>
      <c r="BJ84" s="464" t="s">
        <v>555</v>
      </c>
      <c r="BK84" s="339">
        <v>78.92</v>
      </c>
      <c r="BL84" s="339">
        <v>77.8</v>
      </c>
      <c r="BM84" s="339">
        <v>0.15</v>
      </c>
      <c r="BN84" s="339">
        <v>0.15</v>
      </c>
      <c r="BO84" s="339">
        <v>107.36</v>
      </c>
      <c r="BP84" s="339">
        <v>106.43</v>
      </c>
      <c r="BQ84" s="339">
        <v>2.2200000000000002</v>
      </c>
      <c r="BR84" s="339">
        <v>2.21</v>
      </c>
      <c r="BS84" s="339">
        <v>21.38</v>
      </c>
      <c r="BT84" s="339">
        <v>21.43</v>
      </c>
      <c r="BU84" s="339">
        <v>78.540000000000006</v>
      </c>
      <c r="BV84" s="339">
        <v>78.72</v>
      </c>
      <c r="BW84" s="339">
        <v>97.69</v>
      </c>
      <c r="BX84" s="339">
        <v>98.32</v>
      </c>
    </row>
    <row r="85" spans="1:76" s="438" customFormat="1" ht="12.75" customHeight="1" x14ac:dyDescent="0.15">
      <c r="A85" s="1859" t="s">
        <v>1174</v>
      </c>
      <c r="B85" s="1846" t="s">
        <v>548</v>
      </c>
      <c r="C85" s="1644">
        <v>-4.0999999999999996</v>
      </c>
      <c r="D85" s="1644">
        <v>-0.03</v>
      </c>
      <c r="E85" s="1644">
        <v>-0.03</v>
      </c>
      <c r="F85" s="1644">
        <v>-0.95</v>
      </c>
      <c r="G85" s="1644">
        <v>-0.91</v>
      </c>
      <c r="H85" s="1644">
        <v>-2.14</v>
      </c>
      <c r="I85" s="1644">
        <v>-2.2400000000000002</v>
      </c>
      <c r="J85" s="1644">
        <v>-0.02</v>
      </c>
      <c r="K85" s="1644">
        <v>0.56000000000000005</v>
      </c>
      <c r="L85" s="1644">
        <v>0.68</v>
      </c>
      <c r="M85" s="1644">
        <v>-0.79</v>
      </c>
      <c r="N85" s="1644">
        <v>-4.1500000000000004</v>
      </c>
      <c r="O85" s="1644">
        <v>-0.36</v>
      </c>
      <c r="P85" s="1644">
        <v>-0.41</v>
      </c>
      <c r="Q85" s="1644">
        <v>-3.98</v>
      </c>
      <c r="R85" s="1644">
        <v>0.98</v>
      </c>
      <c r="S85" s="1644">
        <v>-2.89</v>
      </c>
      <c r="T85" s="1846" t="s">
        <v>548</v>
      </c>
      <c r="U85" s="1644">
        <v>-2.2000000000000002</v>
      </c>
      <c r="V85" s="1644">
        <v>0</v>
      </c>
      <c r="W85" s="1644">
        <v>7.0000000000000007E-2</v>
      </c>
      <c r="X85" s="1644">
        <v>-0.21</v>
      </c>
      <c r="Y85" s="1644">
        <v>-0.01</v>
      </c>
      <c r="Z85" s="1644">
        <v>7.82</v>
      </c>
      <c r="AA85" s="1644">
        <v>0.02</v>
      </c>
      <c r="AB85" s="1644">
        <v>-3.28</v>
      </c>
      <c r="AC85" s="1644">
        <v>-1.75</v>
      </c>
      <c r="AD85" s="1644">
        <v>0.26</v>
      </c>
      <c r="AE85" s="1644">
        <v>-0.72</v>
      </c>
      <c r="AF85" s="1644">
        <v>-1.62</v>
      </c>
      <c r="AG85" s="1644">
        <v>0</v>
      </c>
      <c r="AH85" s="1644">
        <v>-1.07</v>
      </c>
      <c r="AI85" s="1644">
        <v>-1</v>
      </c>
      <c r="AJ85" s="1644">
        <v>0</v>
      </c>
      <c r="AK85" s="1644">
        <v>-2.11</v>
      </c>
      <c r="AL85" s="353">
        <v>54.67</v>
      </c>
      <c r="AM85" s="353">
        <v>9.1999999999999993</v>
      </c>
      <c r="AN85" s="353">
        <v>9.11</v>
      </c>
      <c r="AO85" s="353">
        <v>204.68</v>
      </c>
      <c r="AP85" s="353">
        <v>204.36</v>
      </c>
      <c r="AQ85" s="353">
        <v>0.75</v>
      </c>
      <c r="AR85" s="353">
        <v>0.75</v>
      </c>
      <c r="AS85" s="353">
        <v>1.58</v>
      </c>
      <c r="AT85" s="353">
        <v>1.59</v>
      </c>
      <c r="AU85" s="1815" t="s">
        <v>548</v>
      </c>
      <c r="AV85" s="1818">
        <v>21.64</v>
      </c>
      <c r="AW85" s="353">
        <v>21.61</v>
      </c>
      <c r="AX85" s="353">
        <v>1.27</v>
      </c>
      <c r="AY85" s="353">
        <v>1.28</v>
      </c>
      <c r="AZ85" s="353">
        <v>21.01</v>
      </c>
      <c r="BA85" s="353">
        <v>20.98</v>
      </c>
      <c r="BB85" s="353">
        <v>7.0000000000000007E-2</v>
      </c>
      <c r="BC85" s="353">
        <v>7.0000000000000007E-2</v>
      </c>
      <c r="BD85" s="353">
        <v>54.87</v>
      </c>
      <c r="BE85" s="353">
        <v>54.34</v>
      </c>
      <c r="BF85" s="353">
        <v>8.56</v>
      </c>
      <c r="BG85" s="353">
        <v>8.64</v>
      </c>
      <c r="BH85" s="353">
        <v>0.53</v>
      </c>
      <c r="BI85" s="353">
        <v>0.53</v>
      </c>
      <c r="BJ85" s="1815" t="s">
        <v>548</v>
      </c>
      <c r="BK85" s="353">
        <v>77.28</v>
      </c>
      <c r="BL85" s="353">
        <v>77.28</v>
      </c>
      <c r="BM85" s="353">
        <v>0.15</v>
      </c>
      <c r="BN85" s="353">
        <v>0.15</v>
      </c>
      <c r="BO85" s="353">
        <v>106.14</v>
      </c>
      <c r="BP85" s="353">
        <v>105.79</v>
      </c>
      <c r="BQ85" s="353">
        <v>2.2000000000000002</v>
      </c>
      <c r="BR85" s="353">
        <v>2.2000000000000002</v>
      </c>
      <c r="BS85" s="353">
        <v>21.46</v>
      </c>
      <c r="BT85" s="353">
        <v>21.43</v>
      </c>
      <c r="BU85" s="353">
        <v>78.8</v>
      </c>
      <c r="BV85" s="353">
        <v>78.7</v>
      </c>
      <c r="BW85" s="353">
        <v>98.37</v>
      </c>
      <c r="BX85" s="353">
        <v>97.11</v>
      </c>
    </row>
    <row r="86" spans="1:76" s="438" customFormat="1" ht="12.75" customHeight="1" x14ac:dyDescent="0.15">
      <c r="A86" s="1859" t="s">
        <v>1174</v>
      </c>
      <c r="B86" s="1846" t="s">
        <v>556</v>
      </c>
      <c r="C86" s="1644">
        <v>5.27</v>
      </c>
      <c r="D86" s="1644">
        <v>-0.41</v>
      </c>
      <c r="E86" s="1644">
        <v>0.01</v>
      </c>
      <c r="F86" s="1644">
        <v>3.38</v>
      </c>
      <c r="G86" s="1644">
        <v>1.33</v>
      </c>
      <c r="H86" s="1644">
        <v>2.66</v>
      </c>
      <c r="I86" s="1644">
        <v>2.72</v>
      </c>
      <c r="J86" s="1644">
        <v>0</v>
      </c>
      <c r="K86" s="1644">
        <v>0.6</v>
      </c>
      <c r="L86" s="1644">
        <v>1</v>
      </c>
      <c r="M86" s="1644">
        <v>-0.05</v>
      </c>
      <c r="N86" s="1644">
        <v>3.06</v>
      </c>
      <c r="O86" s="1644">
        <v>0.46</v>
      </c>
      <c r="P86" s="1644">
        <v>1.24</v>
      </c>
      <c r="Q86" s="1644">
        <v>1.37</v>
      </c>
      <c r="R86" s="1644">
        <v>-0.42</v>
      </c>
      <c r="S86" s="1644">
        <v>5.27</v>
      </c>
      <c r="T86" s="1846" t="s">
        <v>556</v>
      </c>
      <c r="U86" s="1644">
        <v>4.92</v>
      </c>
      <c r="V86" s="1644">
        <v>0</v>
      </c>
      <c r="W86" s="1644">
        <v>0.05</v>
      </c>
      <c r="X86" s="1644">
        <v>0.08</v>
      </c>
      <c r="Y86" s="1644">
        <v>0</v>
      </c>
      <c r="Z86" s="1644">
        <v>1.1100000000000001</v>
      </c>
      <c r="AA86" s="1644">
        <v>0</v>
      </c>
      <c r="AB86" s="1644">
        <v>3.69</v>
      </c>
      <c r="AC86" s="1644">
        <v>2.06</v>
      </c>
      <c r="AD86" s="1644">
        <v>3.82</v>
      </c>
      <c r="AE86" s="1644">
        <v>-0.2</v>
      </c>
      <c r="AF86" s="1644">
        <v>3.34</v>
      </c>
      <c r="AG86" s="1644">
        <v>0</v>
      </c>
      <c r="AH86" s="1644">
        <v>1.26</v>
      </c>
      <c r="AI86" s="1644">
        <v>2.2599999999999998</v>
      </c>
      <c r="AJ86" s="1644">
        <v>0</v>
      </c>
      <c r="AK86" s="1644">
        <v>2.13</v>
      </c>
      <c r="AL86" s="339">
        <v>57.6</v>
      </c>
      <c r="AM86" s="339">
        <v>9.3000000000000007</v>
      </c>
      <c r="AN86" s="339">
        <v>9.51</v>
      </c>
      <c r="AO86" s="339">
        <v>204.81</v>
      </c>
      <c r="AP86" s="339">
        <v>205.36</v>
      </c>
      <c r="AQ86" s="339">
        <v>0.75</v>
      </c>
      <c r="AR86" s="339">
        <v>0.75</v>
      </c>
      <c r="AS86" s="339">
        <v>1.59</v>
      </c>
      <c r="AT86" s="339">
        <v>1.59</v>
      </c>
      <c r="AU86" s="464" t="s">
        <v>556</v>
      </c>
      <c r="AV86" s="1817">
        <v>21.66</v>
      </c>
      <c r="AW86" s="339">
        <v>21.71</v>
      </c>
      <c r="AX86" s="339">
        <v>1.32</v>
      </c>
      <c r="AY86" s="339">
        <v>1.32</v>
      </c>
      <c r="AZ86" s="339">
        <v>21.03</v>
      </c>
      <c r="BA86" s="339">
        <v>21.08</v>
      </c>
      <c r="BB86" s="339">
        <v>7.0000000000000007E-2</v>
      </c>
      <c r="BC86" s="339">
        <v>7.0000000000000007E-2</v>
      </c>
      <c r="BD86" s="339">
        <v>55.13</v>
      </c>
      <c r="BE86" s="339">
        <v>55.63</v>
      </c>
      <c r="BF86" s="339">
        <v>8.81</v>
      </c>
      <c r="BG86" s="339">
        <v>8.9600000000000009</v>
      </c>
      <c r="BH86" s="339">
        <v>0.53</v>
      </c>
      <c r="BI86" s="339">
        <v>0.53</v>
      </c>
      <c r="BJ86" s="464" t="s">
        <v>556</v>
      </c>
      <c r="BK86" s="339">
        <v>78.16</v>
      </c>
      <c r="BL86" s="339">
        <v>79.45</v>
      </c>
      <c r="BM86" s="339">
        <v>0.15</v>
      </c>
      <c r="BN86" s="339">
        <v>0.15</v>
      </c>
      <c r="BO86" s="339">
        <v>106.53</v>
      </c>
      <c r="BP86" s="339">
        <v>107.09</v>
      </c>
      <c r="BQ86" s="339">
        <v>2.2200000000000002</v>
      </c>
      <c r="BR86" s="339">
        <v>2.25</v>
      </c>
      <c r="BS86" s="339">
        <v>21.47</v>
      </c>
      <c r="BT86" s="339">
        <v>21.53</v>
      </c>
      <c r="BU86" s="339">
        <v>78.86</v>
      </c>
      <c r="BV86" s="339">
        <v>79.069999999999993</v>
      </c>
      <c r="BW86" s="339">
        <v>97.34</v>
      </c>
      <c r="BX86" s="339">
        <v>98.72</v>
      </c>
    </row>
    <row r="87" spans="1:76" s="438" customFormat="1" ht="12.75" customHeight="1" x14ac:dyDescent="0.15">
      <c r="A87" s="1859" t="s">
        <v>1174</v>
      </c>
      <c r="B87" s="1846" t="s">
        <v>557</v>
      </c>
      <c r="C87" s="1644">
        <v>1.56</v>
      </c>
      <c r="D87" s="1644">
        <v>-0.38</v>
      </c>
      <c r="E87" s="1644">
        <v>-0.01</v>
      </c>
      <c r="F87" s="1644">
        <v>-0.49</v>
      </c>
      <c r="G87" s="1644">
        <v>-0.24</v>
      </c>
      <c r="H87" s="1644">
        <v>-0.95</v>
      </c>
      <c r="I87" s="1644">
        <v>-1</v>
      </c>
      <c r="J87" s="1644">
        <v>-0.04</v>
      </c>
      <c r="K87" s="1644">
        <v>1.69</v>
      </c>
      <c r="L87" s="1644">
        <v>-0.02</v>
      </c>
      <c r="M87" s="1644">
        <v>-0.13</v>
      </c>
      <c r="N87" s="1644">
        <v>0.95</v>
      </c>
      <c r="O87" s="1644">
        <v>-0.21</v>
      </c>
      <c r="P87" s="1644">
        <v>-0.35</v>
      </c>
      <c r="Q87" s="1644">
        <v>-1.42</v>
      </c>
      <c r="R87" s="1644">
        <v>1.86</v>
      </c>
      <c r="S87" s="1644">
        <v>-1.28</v>
      </c>
      <c r="T87" s="1846" t="s">
        <v>557</v>
      </c>
      <c r="U87" s="1644">
        <v>-0.66</v>
      </c>
      <c r="V87" s="1644">
        <v>0</v>
      </c>
      <c r="W87" s="1644">
        <v>-0.01</v>
      </c>
      <c r="X87" s="1644">
        <v>-1.05</v>
      </c>
      <c r="Y87" s="1644">
        <v>0.01</v>
      </c>
      <c r="Z87" s="1644">
        <v>3.36</v>
      </c>
      <c r="AA87" s="1644">
        <v>0</v>
      </c>
      <c r="AB87" s="1644">
        <v>2.85</v>
      </c>
      <c r="AC87" s="1644">
        <v>1.2</v>
      </c>
      <c r="AD87" s="1644">
        <v>-2.58</v>
      </c>
      <c r="AE87" s="1644">
        <v>-1.02</v>
      </c>
      <c r="AF87" s="1644">
        <v>-1.36</v>
      </c>
      <c r="AG87" s="1644">
        <v>0</v>
      </c>
      <c r="AH87" s="1644">
        <v>-0.12</v>
      </c>
      <c r="AI87" s="1644">
        <v>0.8</v>
      </c>
      <c r="AJ87" s="1644">
        <v>0.01</v>
      </c>
      <c r="AK87" s="1644">
        <v>-0.34</v>
      </c>
      <c r="AL87" s="353">
        <v>57.08</v>
      </c>
      <c r="AM87" s="353">
        <v>9.52</v>
      </c>
      <c r="AN87" s="353">
        <v>9.48</v>
      </c>
      <c r="AO87" s="353">
        <v>205.8</v>
      </c>
      <c r="AP87" s="353">
        <v>206.14</v>
      </c>
      <c r="AQ87" s="353">
        <v>0.76</v>
      </c>
      <c r="AR87" s="353">
        <v>0.76</v>
      </c>
      <c r="AS87" s="353">
        <v>1.59</v>
      </c>
      <c r="AT87" s="353">
        <v>1.58</v>
      </c>
      <c r="AU87" s="1815" t="s">
        <v>557</v>
      </c>
      <c r="AV87" s="1818">
        <v>21.76</v>
      </c>
      <c r="AW87" s="353">
        <v>21.8</v>
      </c>
      <c r="AX87" s="353">
        <v>1.35</v>
      </c>
      <c r="AY87" s="353">
        <v>1.37</v>
      </c>
      <c r="AZ87" s="353">
        <v>21.13</v>
      </c>
      <c r="BA87" s="353">
        <v>21.16</v>
      </c>
      <c r="BB87" s="353">
        <v>7.0000000000000007E-2</v>
      </c>
      <c r="BC87" s="353">
        <v>7.0000000000000007E-2</v>
      </c>
      <c r="BD87" s="353">
        <v>56.02</v>
      </c>
      <c r="BE87" s="353">
        <v>56.52</v>
      </c>
      <c r="BF87" s="353">
        <v>8.91</v>
      </c>
      <c r="BG87" s="353">
        <v>8.76</v>
      </c>
      <c r="BH87" s="353">
        <v>0.52</v>
      </c>
      <c r="BI87" s="353">
        <v>0.52</v>
      </c>
      <c r="BJ87" s="1815" t="s">
        <v>557</v>
      </c>
      <c r="BK87" s="353">
        <v>79.16</v>
      </c>
      <c r="BL87" s="353">
        <v>78.66</v>
      </c>
      <c r="BM87" s="353">
        <v>0.15</v>
      </c>
      <c r="BN87" s="353">
        <v>0.15</v>
      </c>
      <c r="BO87" s="353">
        <v>107.41</v>
      </c>
      <c r="BP87" s="353">
        <v>107.37</v>
      </c>
      <c r="BQ87" s="353">
        <v>2.2599999999999998</v>
      </c>
      <c r="BR87" s="353">
        <v>2.27</v>
      </c>
      <c r="BS87" s="353">
        <v>21.57</v>
      </c>
      <c r="BT87" s="353">
        <v>21.61</v>
      </c>
      <c r="BU87" s="353">
        <v>79.239999999999995</v>
      </c>
      <c r="BV87" s="353">
        <v>79.37</v>
      </c>
      <c r="BW87" s="353">
        <v>98.97</v>
      </c>
      <c r="BX87" s="353">
        <v>98.76</v>
      </c>
    </row>
    <row r="88" spans="1:76" s="438" customFormat="1" ht="12.75" customHeight="1" x14ac:dyDescent="0.15">
      <c r="A88" s="1859" t="s">
        <v>1174</v>
      </c>
      <c r="B88" s="1846" t="s">
        <v>549</v>
      </c>
      <c r="C88" s="1644">
        <v>-0.59</v>
      </c>
      <c r="D88" s="1644">
        <v>-0.38</v>
      </c>
      <c r="E88" s="1644">
        <v>-0.03</v>
      </c>
      <c r="F88" s="1644">
        <v>-0.98</v>
      </c>
      <c r="G88" s="1644">
        <v>-0.35</v>
      </c>
      <c r="H88" s="1644">
        <v>0.56000000000000005</v>
      </c>
      <c r="I88" s="1644">
        <v>0.61</v>
      </c>
      <c r="J88" s="1644">
        <v>-0.12</v>
      </c>
      <c r="K88" s="1644">
        <v>2.84</v>
      </c>
      <c r="L88" s="1644">
        <v>0.13</v>
      </c>
      <c r="M88" s="1644">
        <v>-0.06</v>
      </c>
      <c r="N88" s="1644">
        <v>1.18</v>
      </c>
      <c r="O88" s="1644">
        <v>0.15</v>
      </c>
      <c r="P88" s="1644">
        <v>0.44</v>
      </c>
      <c r="Q88" s="1644">
        <v>0.55000000000000004</v>
      </c>
      <c r="R88" s="1644">
        <v>2.71</v>
      </c>
      <c r="S88" s="1644">
        <v>-2.23</v>
      </c>
      <c r="T88" s="1846" t="s">
        <v>549</v>
      </c>
      <c r="U88" s="1644">
        <v>-2.63</v>
      </c>
      <c r="V88" s="1644">
        <v>-0.04</v>
      </c>
      <c r="W88" s="1644">
        <v>-0.02</v>
      </c>
      <c r="X88" s="1644">
        <v>0.21</v>
      </c>
      <c r="Y88" s="1644">
        <v>0.01</v>
      </c>
      <c r="Z88" s="1644">
        <v>2.15</v>
      </c>
      <c r="AA88" s="1644">
        <v>-0.01</v>
      </c>
      <c r="AB88" s="1644">
        <v>1.36</v>
      </c>
      <c r="AC88" s="1644">
        <v>0.52</v>
      </c>
      <c r="AD88" s="1644">
        <v>1.02</v>
      </c>
      <c r="AE88" s="1644">
        <v>-0.2</v>
      </c>
      <c r="AF88" s="1644">
        <v>0.57999999999999996</v>
      </c>
      <c r="AG88" s="1644">
        <v>0</v>
      </c>
      <c r="AH88" s="1644">
        <v>0.53</v>
      </c>
      <c r="AI88" s="1644">
        <v>1.62</v>
      </c>
      <c r="AJ88" s="1644">
        <v>-0.01</v>
      </c>
      <c r="AK88" s="1644">
        <v>0.85</v>
      </c>
      <c r="AL88" s="339">
        <v>56.02</v>
      </c>
      <c r="AM88" s="339">
        <v>9.36</v>
      </c>
      <c r="AN88" s="339">
        <v>9.27</v>
      </c>
      <c r="AO88" s="339">
        <v>206.59</v>
      </c>
      <c r="AP88" s="339">
        <v>206.85</v>
      </c>
      <c r="AQ88" s="339">
        <v>0.76</v>
      </c>
      <c r="AR88" s="339">
        <v>0.76</v>
      </c>
      <c r="AS88" s="339">
        <v>1.58</v>
      </c>
      <c r="AT88" s="339">
        <v>1.59</v>
      </c>
      <c r="AU88" s="464" t="s">
        <v>549</v>
      </c>
      <c r="AV88" s="1817">
        <v>21.84</v>
      </c>
      <c r="AW88" s="339">
        <v>21.88</v>
      </c>
      <c r="AX88" s="339">
        <v>1.37</v>
      </c>
      <c r="AY88" s="339">
        <v>1.4</v>
      </c>
      <c r="AZ88" s="339">
        <v>21.21</v>
      </c>
      <c r="BA88" s="339">
        <v>21.24</v>
      </c>
      <c r="BB88" s="339">
        <v>7.0000000000000007E-2</v>
      </c>
      <c r="BC88" s="339">
        <v>7.0000000000000007E-2</v>
      </c>
      <c r="BD88" s="339">
        <v>56.61</v>
      </c>
      <c r="BE88" s="339">
        <v>57.03</v>
      </c>
      <c r="BF88" s="339">
        <v>8.92</v>
      </c>
      <c r="BG88" s="339">
        <v>8.89</v>
      </c>
      <c r="BH88" s="339">
        <v>0.52</v>
      </c>
      <c r="BI88" s="339">
        <v>0.52</v>
      </c>
      <c r="BJ88" s="464" t="s">
        <v>549</v>
      </c>
      <c r="BK88" s="339">
        <v>79.36</v>
      </c>
      <c r="BL88" s="339">
        <v>79.42</v>
      </c>
      <c r="BM88" s="339">
        <v>0.15</v>
      </c>
      <c r="BN88" s="339">
        <v>0.15</v>
      </c>
      <c r="BO88" s="339">
        <v>107.75</v>
      </c>
      <c r="BP88" s="339">
        <v>108.35</v>
      </c>
      <c r="BQ88" s="339">
        <v>2.2799999999999998</v>
      </c>
      <c r="BR88" s="339">
        <v>2.3199999999999998</v>
      </c>
      <c r="BS88" s="339">
        <v>21.66</v>
      </c>
      <c r="BT88" s="339">
        <v>21.69</v>
      </c>
      <c r="BU88" s="339">
        <v>79.540000000000006</v>
      </c>
      <c r="BV88" s="339">
        <v>79.67</v>
      </c>
      <c r="BW88" s="339">
        <v>98.16</v>
      </c>
      <c r="BX88" s="339">
        <v>99.99</v>
      </c>
    </row>
    <row r="89" spans="1:76" s="438" customFormat="1" ht="12.75" customHeight="1" x14ac:dyDescent="0.15">
      <c r="A89" s="1859" t="s">
        <v>1174</v>
      </c>
      <c r="B89" s="1846" t="s">
        <v>558</v>
      </c>
      <c r="C89" s="1644">
        <v>-1.84</v>
      </c>
      <c r="D89" s="1644">
        <v>-0.7</v>
      </c>
      <c r="E89" s="1644">
        <v>0.04</v>
      </c>
      <c r="F89" s="1644">
        <v>-2.48</v>
      </c>
      <c r="G89" s="1644">
        <v>0.09</v>
      </c>
      <c r="H89" s="1644">
        <v>2.2599999999999998</v>
      </c>
      <c r="I89" s="1644">
        <v>2.2999999999999998</v>
      </c>
      <c r="J89" s="1644">
        <v>-0.1</v>
      </c>
      <c r="K89" s="1644">
        <v>0.89</v>
      </c>
      <c r="L89" s="1644">
        <v>-0.03</v>
      </c>
      <c r="M89" s="1644">
        <v>-0.05</v>
      </c>
      <c r="N89" s="1644">
        <v>-0.13</v>
      </c>
      <c r="O89" s="1644">
        <v>0.23</v>
      </c>
      <c r="P89" s="1644">
        <v>1.95</v>
      </c>
      <c r="Q89" s="1644">
        <v>0</v>
      </c>
      <c r="R89" s="1644">
        <v>1.48</v>
      </c>
      <c r="S89" s="1644">
        <v>-2.33</v>
      </c>
      <c r="T89" s="1846" t="s">
        <v>558</v>
      </c>
      <c r="U89" s="1644">
        <v>0.15</v>
      </c>
      <c r="V89" s="1644">
        <v>0.01</v>
      </c>
      <c r="W89" s="1644">
        <v>0.08</v>
      </c>
      <c r="X89" s="1644">
        <v>-7.0000000000000007E-2</v>
      </c>
      <c r="Y89" s="1644">
        <v>-0.01</v>
      </c>
      <c r="Z89" s="1644">
        <v>-0.43</v>
      </c>
      <c r="AA89" s="1644">
        <v>0.01</v>
      </c>
      <c r="AB89" s="1644">
        <v>-1.78</v>
      </c>
      <c r="AC89" s="1644">
        <v>0</v>
      </c>
      <c r="AD89" s="1644">
        <v>1.31</v>
      </c>
      <c r="AE89" s="1644">
        <v>-0.2</v>
      </c>
      <c r="AF89" s="1644">
        <v>0.79</v>
      </c>
      <c r="AG89" s="1644">
        <v>0</v>
      </c>
      <c r="AH89" s="1644">
        <v>0.81</v>
      </c>
      <c r="AI89" s="1644">
        <v>-0.69</v>
      </c>
      <c r="AJ89" s="1644">
        <v>0</v>
      </c>
      <c r="AK89" s="1644">
        <v>3.19</v>
      </c>
      <c r="AL89" s="353">
        <v>55.1</v>
      </c>
      <c r="AM89" s="353">
        <v>9.2899999999999991</v>
      </c>
      <c r="AN89" s="353">
        <v>9.35</v>
      </c>
      <c r="AO89" s="353">
        <v>207.36</v>
      </c>
      <c r="AP89" s="353">
        <v>208.34</v>
      </c>
      <c r="AQ89" s="353">
        <v>0.76</v>
      </c>
      <c r="AR89" s="353">
        <v>0.77</v>
      </c>
      <c r="AS89" s="353">
        <v>1.6</v>
      </c>
      <c r="AT89" s="353">
        <v>1.6</v>
      </c>
      <c r="AU89" s="1815" t="s">
        <v>558</v>
      </c>
      <c r="AV89" s="1818">
        <v>21.93</v>
      </c>
      <c r="AW89" s="353">
        <v>22.03</v>
      </c>
      <c r="AX89" s="353">
        <v>1.41</v>
      </c>
      <c r="AY89" s="353">
        <v>1.41</v>
      </c>
      <c r="AZ89" s="353">
        <v>21.29</v>
      </c>
      <c r="BA89" s="353">
        <v>21.39</v>
      </c>
      <c r="BB89" s="353">
        <v>7.0000000000000007E-2</v>
      </c>
      <c r="BC89" s="353">
        <v>7.0000000000000007E-2</v>
      </c>
      <c r="BD89" s="353">
        <v>57.1</v>
      </c>
      <c r="BE89" s="353">
        <v>57.43</v>
      </c>
      <c r="BF89" s="353">
        <v>8.92</v>
      </c>
      <c r="BG89" s="353">
        <v>9.06</v>
      </c>
      <c r="BH89" s="353">
        <v>0.52</v>
      </c>
      <c r="BI89" s="353">
        <v>0.53</v>
      </c>
      <c r="BJ89" s="1815" t="s">
        <v>558</v>
      </c>
      <c r="BK89" s="353">
        <v>79.739999999999995</v>
      </c>
      <c r="BL89" s="353">
        <v>80.62</v>
      </c>
      <c r="BM89" s="353">
        <v>0.15</v>
      </c>
      <c r="BN89" s="353">
        <v>0.16</v>
      </c>
      <c r="BO89" s="353">
        <v>108.61</v>
      </c>
      <c r="BP89" s="353">
        <v>109.99</v>
      </c>
      <c r="BQ89" s="353">
        <v>2.3199999999999998</v>
      </c>
      <c r="BR89" s="353">
        <v>2.3199999999999998</v>
      </c>
      <c r="BS89" s="353">
        <v>21.74</v>
      </c>
      <c r="BT89" s="353">
        <v>21.84</v>
      </c>
      <c r="BU89" s="353">
        <v>79.84</v>
      </c>
      <c r="BV89" s="353">
        <v>80.23</v>
      </c>
      <c r="BW89" s="353">
        <v>100.8</v>
      </c>
      <c r="BX89" s="353">
        <v>103.9</v>
      </c>
    </row>
    <row r="90" spans="1:76" s="438" customFormat="1" ht="12.75" customHeight="1" x14ac:dyDescent="0.15">
      <c r="A90" s="1859" t="s">
        <v>1174</v>
      </c>
      <c r="B90" s="1846" t="s">
        <v>559</v>
      </c>
      <c r="C90" s="1644">
        <v>-0.31</v>
      </c>
      <c r="D90" s="1644">
        <v>-0.41</v>
      </c>
      <c r="E90" s="1644">
        <v>-0.01</v>
      </c>
      <c r="F90" s="1644">
        <v>1.43</v>
      </c>
      <c r="G90" s="1644">
        <v>0.43</v>
      </c>
      <c r="H90" s="1644">
        <v>2.66</v>
      </c>
      <c r="I90" s="1644">
        <v>2.65</v>
      </c>
      <c r="J90" s="1644">
        <v>-0.19</v>
      </c>
      <c r="K90" s="1644">
        <v>-0.53</v>
      </c>
      <c r="L90" s="1644">
        <v>0.05</v>
      </c>
      <c r="M90" s="1644">
        <v>-0.04</v>
      </c>
      <c r="N90" s="1644">
        <v>0.63</v>
      </c>
      <c r="O90" s="1644">
        <v>0.26</v>
      </c>
      <c r="P90" s="1644">
        <v>1.52</v>
      </c>
      <c r="Q90" s="1644">
        <v>0.37</v>
      </c>
      <c r="R90" s="1644">
        <v>-0.67</v>
      </c>
      <c r="S90" s="1644">
        <v>3.32</v>
      </c>
      <c r="T90" s="1846" t="s">
        <v>559</v>
      </c>
      <c r="U90" s="1644">
        <v>1.8</v>
      </c>
      <c r="V90" s="1644">
        <v>0.03</v>
      </c>
      <c r="W90" s="1644">
        <v>-0.1</v>
      </c>
      <c r="X90" s="1644">
        <v>0.97</v>
      </c>
      <c r="Y90" s="1644">
        <v>0</v>
      </c>
      <c r="Z90" s="1644">
        <v>0.48</v>
      </c>
      <c r="AA90" s="1644">
        <v>-0.01</v>
      </c>
      <c r="AB90" s="1644">
        <v>1.47</v>
      </c>
      <c r="AC90" s="1644">
        <v>0.91</v>
      </c>
      <c r="AD90" s="1644">
        <v>1.44</v>
      </c>
      <c r="AE90" s="1644">
        <v>-0.13</v>
      </c>
      <c r="AF90" s="1644">
        <v>2.1</v>
      </c>
      <c r="AG90" s="1644">
        <v>0</v>
      </c>
      <c r="AH90" s="1644">
        <v>0.7</v>
      </c>
      <c r="AI90" s="1644">
        <v>1.38</v>
      </c>
      <c r="AJ90" s="1644">
        <v>0</v>
      </c>
      <c r="AK90" s="1644">
        <v>-0.71</v>
      </c>
      <c r="AL90" s="339">
        <v>57.17</v>
      </c>
      <c r="AM90" s="339">
        <v>9.48</v>
      </c>
      <c r="AN90" s="339">
        <v>9.5500000000000007</v>
      </c>
      <c r="AO90" s="339">
        <v>209.02</v>
      </c>
      <c r="AP90" s="339">
        <v>209.25</v>
      </c>
      <c r="AQ90" s="339">
        <v>0.77</v>
      </c>
      <c r="AR90" s="339">
        <v>0.77</v>
      </c>
      <c r="AS90" s="339">
        <v>1.62</v>
      </c>
      <c r="AT90" s="339">
        <v>1.62</v>
      </c>
      <c r="AU90" s="464" t="s">
        <v>559</v>
      </c>
      <c r="AV90" s="501">
        <v>22.1</v>
      </c>
      <c r="AW90" s="339">
        <v>22.12</v>
      </c>
      <c r="AX90" s="339">
        <v>1.41</v>
      </c>
      <c r="AY90" s="339">
        <v>1.42</v>
      </c>
      <c r="AZ90" s="339">
        <v>21.46</v>
      </c>
      <c r="BA90" s="339">
        <v>21.48</v>
      </c>
      <c r="BB90" s="339">
        <v>7.0000000000000007E-2</v>
      </c>
      <c r="BC90" s="339">
        <v>7.0000000000000007E-2</v>
      </c>
      <c r="BD90" s="339">
        <v>57.72</v>
      </c>
      <c r="BE90" s="339">
        <v>58.19</v>
      </c>
      <c r="BF90" s="339">
        <v>9.17</v>
      </c>
      <c r="BG90" s="339">
        <v>9.23</v>
      </c>
      <c r="BH90" s="339">
        <v>0.53</v>
      </c>
      <c r="BI90" s="339">
        <v>0.53</v>
      </c>
      <c r="BJ90" s="464" t="s">
        <v>559</v>
      </c>
      <c r="BK90" s="339">
        <v>81.599999999999994</v>
      </c>
      <c r="BL90" s="339">
        <v>82.65</v>
      </c>
      <c r="BM90" s="339">
        <v>0.16</v>
      </c>
      <c r="BN90" s="339">
        <v>0.16</v>
      </c>
      <c r="BO90" s="339">
        <v>110.65</v>
      </c>
      <c r="BP90" s="339">
        <v>111.22</v>
      </c>
      <c r="BQ90" s="339">
        <v>2.34</v>
      </c>
      <c r="BR90" s="339">
        <v>2.36</v>
      </c>
      <c r="BS90" s="339">
        <v>21.91</v>
      </c>
      <c r="BT90" s="339">
        <v>21.93</v>
      </c>
      <c r="BU90" s="339">
        <v>80.489999999999995</v>
      </c>
      <c r="BV90" s="339">
        <v>80.56</v>
      </c>
      <c r="BW90" s="339">
        <v>104.05</v>
      </c>
      <c r="BX90" s="339">
        <v>103.59</v>
      </c>
    </row>
    <row r="91" spans="1:76" s="438" customFormat="1" ht="12.75" customHeight="1" x14ac:dyDescent="0.15">
      <c r="A91" s="1859" t="s">
        <v>1174</v>
      </c>
      <c r="B91" s="1846" t="s">
        <v>550</v>
      </c>
      <c r="C91" s="1644">
        <v>2.93</v>
      </c>
      <c r="D91" s="1644">
        <v>-0.04</v>
      </c>
      <c r="E91" s="1644">
        <v>-0.05</v>
      </c>
      <c r="F91" s="1644">
        <v>3.51</v>
      </c>
      <c r="G91" s="1644">
        <v>1.31</v>
      </c>
      <c r="H91" s="1644">
        <v>2.33</v>
      </c>
      <c r="I91" s="1644">
        <v>2.2799999999999998</v>
      </c>
      <c r="J91" s="1644">
        <v>-0.16</v>
      </c>
      <c r="K91" s="1644">
        <v>-0.04</v>
      </c>
      <c r="L91" s="1644">
        <v>-0.04</v>
      </c>
      <c r="M91" s="1644">
        <v>-0.11</v>
      </c>
      <c r="N91" s="1644">
        <v>-1.19</v>
      </c>
      <c r="O91" s="1644">
        <v>0.05</v>
      </c>
      <c r="P91" s="1644">
        <v>-0.42</v>
      </c>
      <c r="Q91" s="1644">
        <v>-0.51</v>
      </c>
      <c r="R91" s="1644">
        <v>0.05</v>
      </c>
      <c r="S91" s="1644">
        <v>2.88</v>
      </c>
      <c r="T91" s="1846" t="s">
        <v>550</v>
      </c>
      <c r="U91" s="1644">
        <v>0.55000000000000004</v>
      </c>
      <c r="V91" s="1644">
        <v>-0.05</v>
      </c>
      <c r="W91" s="1644">
        <v>-0.03</v>
      </c>
      <c r="X91" s="1644">
        <v>-1.29</v>
      </c>
      <c r="Y91" s="1644">
        <v>-2.5</v>
      </c>
      <c r="Z91" s="1644">
        <v>-4.24</v>
      </c>
      <c r="AA91" s="1644">
        <v>0.01</v>
      </c>
      <c r="AB91" s="1644">
        <v>-1.89</v>
      </c>
      <c r="AC91" s="1644">
        <v>0.37</v>
      </c>
      <c r="AD91" s="1644">
        <v>3.15</v>
      </c>
      <c r="AE91" s="1644">
        <v>-0.62</v>
      </c>
      <c r="AF91" s="1644">
        <v>1.98</v>
      </c>
      <c r="AG91" s="1644">
        <v>0</v>
      </c>
      <c r="AH91" s="1644">
        <v>0.72</v>
      </c>
      <c r="AI91" s="1644">
        <v>0.43</v>
      </c>
      <c r="AJ91" s="1644">
        <v>0.01</v>
      </c>
      <c r="AK91" s="1644">
        <v>1.1499999999999999</v>
      </c>
      <c r="AL91" s="353">
        <v>58.84</v>
      </c>
      <c r="AM91" s="353">
        <v>9.52</v>
      </c>
      <c r="AN91" s="353">
        <v>9.61</v>
      </c>
      <c r="AO91" s="353">
        <v>209.3</v>
      </c>
      <c r="AP91" s="353">
        <v>209.23</v>
      </c>
      <c r="AQ91" s="353">
        <v>0.77</v>
      </c>
      <c r="AR91" s="353">
        <v>0.77</v>
      </c>
      <c r="AS91" s="353">
        <v>1.62</v>
      </c>
      <c r="AT91" s="353">
        <v>1.6</v>
      </c>
      <c r="AU91" s="1815" t="s">
        <v>550</v>
      </c>
      <c r="AV91" s="1818">
        <v>21.96</v>
      </c>
      <c r="AW91" s="353">
        <v>21.58</v>
      </c>
      <c r="AX91" s="353">
        <v>1.39</v>
      </c>
      <c r="AY91" s="353">
        <v>1.36</v>
      </c>
      <c r="AZ91" s="353">
        <v>21.49</v>
      </c>
      <c r="BA91" s="353">
        <v>21.49</v>
      </c>
      <c r="BB91" s="353">
        <v>7.0000000000000007E-2</v>
      </c>
      <c r="BC91" s="353">
        <v>7.0000000000000007E-2</v>
      </c>
      <c r="BD91" s="353">
        <v>58.24</v>
      </c>
      <c r="BE91" s="353">
        <v>58.43</v>
      </c>
      <c r="BF91" s="353">
        <v>9.2799999999999994</v>
      </c>
      <c r="BG91" s="353">
        <v>9.52</v>
      </c>
      <c r="BH91" s="353">
        <v>0.53</v>
      </c>
      <c r="BI91" s="353">
        <v>0.52</v>
      </c>
      <c r="BJ91" s="1815" t="s">
        <v>550</v>
      </c>
      <c r="BK91" s="353">
        <v>83.24</v>
      </c>
      <c r="BL91" s="353">
        <v>84.32</v>
      </c>
      <c r="BM91" s="353">
        <v>0.16</v>
      </c>
      <c r="BN91" s="353">
        <v>0.16</v>
      </c>
      <c r="BO91" s="353">
        <v>111.44</v>
      </c>
      <c r="BP91" s="353">
        <v>112.08</v>
      </c>
      <c r="BQ91" s="353">
        <v>2.37</v>
      </c>
      <c r="BR91" s="353">
        <v>2.37</v>
      </c>
      <c r="BS91" s="353">
        <v>21.94</v>
      </c>
      <c r="BT91" s="353">
        <v>21.94</v>
      </c>
      <c r="BU91" s="353">
        <v>80.59</v>
      </c>
      <c r="BV91" s="353">
        <v>80.599999999999994</v>
      </c>
      <c r="BW91" s="353">
        <v>103.12</v>
      </c>
      <c r="BX91" s="353">
        <v>104.82</v>
      </c>
    </row>
    <row r="92" spans="1:76" s="438" customFormat="1" ht="12.75" customHeight="1" x14ac:dyDescent="0.15">
      <c r="A92" s="1848" t="s">
        <v>1296</v>
      </c>
      <c r="B92" s="1846" t="s">
        <v>552</v>
      </c>
      <c r="C92" s="1644">
        <v>3.94</v>
      </c>
      <c r="D92" s="1644">
        <v>-0.08</v>
      </c>
      <c r="E92" s="1644">
        <v>0.04</v>
      </c>
      <c r="F92" s="1644">
        <v>4.58</v>
      </c>
      <c r="G92" s="1644">
        <v>0.69</v>
      </c>
      <c r="H92" s="1644">
        <v>2.7</v>
      </c>
      <c r="I92" s="1644">
        <v>2.72</v>
      </c>
      <c r="J92" s="1644">
        <v>-0.05</v>
      </c>
      <c r="K92" s="1644">
        <v>0.85</v>
      </c>
      <c r="L92" s="1644">
        <v>0.02</v>
      </c>
      <c r="M92" s="1644">
        <v>-0.69</v>
      </c>
      <c r="N92" s="1644">
        <v>1.37</v>
      </c>
      <c r="O92" s="1644">
        <v>0.41</v>
      </c>
      <c r="P92" s="1644">
        <v>0.35</v>
      </c>
      <c r="Q92" s="1644">
        <v>-0.51</v>
      </c>
      <c r="R92" s="1644">
        <v>0.62</v>
      </c>
      <c r="S92" s="1644">
        <v>2.91</v>
      </c>
      <c r="T92" s="1846" t="s">
        <v>552</v>
      </c>
      <c r="U92" s="1644">
        <v>5.98</v>
      </c>
      <c r="V92" s="1644">
        <v>0.05</v>
      </c>
      <c r="W92" s="1644">
        <v>-0.47</v>
      </c>
      <c r="X92" s="1644">
        <v>-0.24</v>
      </c>
      <c r="Y92" s="1644">
        <v>2.5499999999999998</v>
      </c>
      <c r="Z92" s="1644">
        <v>-0.64</v>
      </c>
      <c r="AA92" s="1644">
        <v>0</v>
      </c>
      <c r="AB92" s="1644">
        <v>1.87</v>
      </c>
      <c r="AC92" s="1644">
        <v>1.67</v>
      </c>
      <c r="AD92" s="1644">
        <v>4.18</v>
      </c>
      <c r="AE92" s="1644">
        <v>-0.08</v>
      </c>
      <c r="AF92" s="1644">
        <v>-1.34</v>
      </c>
      <c r="AG92" s="1644">
        <v>0</v>
      </c>
      <c r="AH92" s="1644">
        <v>1.07</v>
      </c>
      <c r="AI92" s="1644">
        <v>1.97</v>
      </c>
      <c r="AJ92" s="1644">
        <v>0</v>
      </c>
      <c r="AK92" s="1644">
        <v>0.99</v>
      </c>
    </row>
    <row r="93" spans="1:76" s="438" customFormat="1" ht="12.75" customHeight="1" x14ac:dyDescent="0.15">
      <c r="A93" s="1848" t="s">
        <v>1296</v>
      </c>
      <c r="B93" s="1846" t="s">
        <v>553</v>
      </c>
      <c r="C93" s="1644">
        <v>-1.03</v>
      </c>
      <c r="D93" s="1644">
        <v>-0.05</v>
      </c>
      <c r="E93" s="1644">
        <v>0.01</v>
      </c>
      <c r="F93" s="1644">
        <v>-1.48</v>
      </c>
      <c r="G93" s="1644">
        <v>1.93</v>
      </c>
      <c r="H93" s="1644">
        <v>1.1000000000000001</v>
      </c>
      <c r="I93" s="1644">
        <v>1.1100000000000001</v>
      </c>
      <c r="J93" s="1644">
        <v>-0.2</v>
      </c>
      <c r="K93" s="1644">
        <v>0.2</v>
      </c>
      <c r="L93" s="1644">
        <v>-0.17</v>
      </c>
      <c r="M93" s="1644">
        <v>-1.37</v>
      </c>
      <c r="N93" s="1644">
        <v>0.39</v>
      </c>
      <c r="O93" s="1644">
        <v>0.2</v>
      </c>
      <c r="P93" s="1644">
        <v>0.2</v>
      </c>
      <c r="Q93" s="1644">
        <v>0.62</v>
      </c>
      <c r="R93" s="1644">
        <v>0.34</v>
      </c>
      <c r="S93" s="1644">
        <v>-4.13</v>
      </c>
      <c r="T93" s="1846" t="s">
        <v>553</v>
      </c>
      <c r="U93" s="1644">
        <v>1.3</v>
      </c>
      <c r="V93" s="1644">
        <v>0</v>
      </c>
      <c r="W93" s="1644">
        <v>0.13</v>
      </c>
      <c r="X93" s="1644">
        <v>-1.29</v>
      </c>
      <c r="Y93" s="1644">
        <v>-0.99</v>
      </c>
      <c r="Z93" s="1644">
        <v>1.78</v>
      </c>
      <c r="AA93" s="1644">
        <v>0</v>
      </c>
      <c r="AB93" s="1644">
        <v>-0.3</v>
      </c>
      <c r="AC93" s="1644">
        <v>-0.14000000000000001</v>
      </c>
      <c r="AD93" s="1644">
        <v>1.7</v>
      </c>
      <c r="AE93" s="1644">
        <v>0.56999999999999995</v>
      </c>
      <c r="AF93" s="1644">
        <v>0.54</v>
      </c>
      <c r="AG93" s="1644">
        <v>0</v>
      </c>
      <c r="AH93" s="1644">
        <v>0.91</v>
      </c>
      <c r="AI93" s="1644">
        <v>0.3</v>
      </c>
      <c r="AJ93" s="1644">
        <v>0</v>
      </c>
      <c r="AK93" s="1644">
        <v>-1.59</v>
      </c>
    </row>
    <row r="94" spans="1:76" s="438" customFormat="1" ht="12.75" customHeight="1" x14ac:dyDescent="0.15">
      <c r="A94" s="1848" t="s">
        <v>1296</v>
      </c>
      <c r="B94" s="1846" t="s">
        <v>547</v>
      </c>
      <c r="C94" s="1644">
        <v>-0.71</v>
      </c>
      <c r="D94" s="1644">
        <v>-0.12</v>
      </c>
      <c r="E94" s="1644">
        <v>-0.03</v>
      </c>
      <c r="F94" s="1644">
        <v>1.18</v>
      </c>
      <c r="G94" s="1644">
        <v>-0.41</v>
      </c>
      <c r="H94" s="1644">
        <v>-1.22</v>
      </c>
      <c r="I94" s="1644">
        <v>-1.17</v>
      </c>
      <c r="J94" s="1644">
        <v>0.2</v>
      </c>
      <c r="K94" s="1644">
        <v>-2.62</v>
      </c>
      <c r="L94" s="1644">
        <v>-1.45</v>
      </c>
      <c r="M94" s="1644">
        <v>-1.74</v>
      </c>
      <c r="N94" s="1644">
        <v>-2.2999999999999998</v>
      </c>
      <c r="O94" s="1644">
        <v>0.03</v>
      </c>
      <c r="P94" s="1644">
        <v>0.92</v>
      </c>
      <c r="Q94" s="1644">
        <v>0.18</v>
      </c>
      <c r="R94" s="1644">
        <v>-1.84</v>
      </c>
      <c r="S94" s="1644">
        <v>-0.03</v>
      </c>
      <c r="T94" s="1846" t="s">
        <v>547</v>
      </c>
      <c r="U94" s="1644">
        <v>-1.8</v>
      </c>
      <c r="V94" s="1644">
        <v>0</v>
      </c>
      <c r="W94" s="1644">
        <v>-0.2</v>
      </c>
      <c r="X94" s="1644">
        <v>0.11</v>
      </c>
      <c r="Y94" s="1644">
        <v>-0.99</v>
      </c>
      <c r="Z94" s="1644">
        <v>0.6</v>
      </c>
      <c r="AA94" s="1644">
        <v>0</v>
      </c>
      <c r="AB94" s="1644">
        <v>-1.96</v>
      </c>
      <c r="AC94" s="1644">
        <v>-0.08</v>
      </c>
      <c r="AD94" s="1644">
        <v>-2.19</v>
      </c>
      <c r="AE94" s="1644">
        <v>-0.15</v>
      </c>
      <c r="AF94" s="1644">
        <v>-0.88</v>
      </c>
      <c r="AG94" s="1644">
        <v>0</v>
      </c>
      <c r="AH94" s="1644">
        <v>-0.47</v>
      </c>
      <c r="AI94" s="1644">
        <v>-0.73</v>
      </c>
      <c r="AJ94" s="1644">
        <v>0</v>
      </c>
      <c r="AK94" s="1644">
        <v>3.57</v>
      </c>
    </row>
    <row r="95" spans="1:76" s="438" customFormat="1" ht="12.75" customHeight="1" x14ac:dyDescent="0.15">
      <c r="A95" s="1848" t="s">
        <v>1296</v>
      </c>
      <c r="B95" s="1846" t="s">
        <v>554</v>
      </c>
      <c r="C95" s="1644">
        <v>-2.0499999999999998</v>
      </c>
      <c r="D95" s="1644">
        <v>-7.0000000000000007E-2</v>
      </c>
      <c r="E95" s="1644">
        <v>-0.03</v>
      </c>
      <c r="F95" s="1644">
        <v>-2.77</v>
      </c>
      <c r="G95" s="1644">
        <v>-0.17</v>
      </c>
      <c r="H95" s="1644">
        <v>-0.79</v>
      </c>
      <c r="I95" s="1644">
        <v>-0.8</v>
      </c>
      <c r="J95" s="1644">
        <v>0.13</v>
      </c>
      <c r="K95" s="1644">
        <v>1.32</v>
      </c>
      <c r="L95" s="1644">
        <v>-0.16</v>
      </c>
      <c r="M95" s="1644">
        <v>-3.22</v>
      </c>
      <c r="N95" s="1644">
        <v>-0.31</v>
      </c>
      <c r="O95" s="1644">
        <v>-0.3</v>
      </c>
      <c r="P95" s="1644">
        <v>0.02</v>
      </c>
      <c r="Q95" s="1644">
        <v>-0.62</v>
      </c>
      <c r="R95" s="1644">
        <v>0.43</v>
      </c>
      <c r="S95" s="1644">
        <v>-4.5</v>
      </c>
      <c r="T95" s="1846" t="s">
        <v>554</v>
      </c>
      <c r="U95" s="1644">
        <v>-2.42</v>
      </c>
      <c r="V95" s="1644">
        <v>0</v>
      </c>
      <c r="W95" s="1644">
        <v>0.1</v>
      </c>
      <c r="X95" s="1644">
        <v>-0.96</v>
      </c>
      <c r="Y95" s="1644">
        <v>-3.26</v>
      </c>
      <c r="Z95" s="1644">
        <v>0.35</v>
      </c>
      <c r="AA95" s="1644">
        <v>0</v>
      </c>
      <c r="AB95" s="1644">
        <v>2.4300000000000002</v>
      </c>
      <c r="AC95" s="1644">
        <v>-0.08</v>
      </c>
      <c r="AD95" s="1644">
        <v>-2.3199999999999998</v>
      </c>
      <c r="AE95" s="1644">
        <v>-0.36</v>
      </c>
      <c r="AF95" s="1644">
        <v>-2.2400000000000002</v>
      </c>
      <c r="AG95" s="1644">
        <v>0</v>
      </c>
      <c r="AH95" s="1644">
        <v>-0.57999999999999996</v>
      </c>
      <c r="AI95" s="1644">
        <v>0.71</v>
      </c>
      <c r="AJ95" s="1644">
        <v>-0.01</v>
      </c>
      <c r="AK95" s="1644">
        <v>-1.34</v>
      </c>
    </row>
    <row r="96" spans="1:76" s="438" customFormat="1" ht="12.75" customHeight="1" x14ac:dyDescent="0.15">
      <c r="A96" s="1848" t="s">
        <v>1296</v>
      </c>
      <c r="B96" s="1846" t="s">
        <v>555</v>
      </c>
      <c r="C96" s="1644">
        <v>-1.52</v>
      </c>
      <c r="D96" s="1644">
        <v>-1.75</v>
      </c>
      <c r="E96" s="1644">
        <v>0</v>
      </c>
      <c r="F96" s="1644">
        <v>-0.27</v>
      </c>
      <c r="G96" s="1644">
        <v>0.55000000000000004</v>
      </c>
      <c r="H96" s="1644">
        <v>1.67</v>
      </c>
      <c r="I96" s="1644">
        <v>1.69</v>
      </c>
      <c r="J96" s="1644">
        <v>-0.12</v>
      </c>
      <c r="K96" s="1644">
        <v>0.78</v>
      </c>
      <c r="L96" s="1644">
        <v>0.36</v>
      </c>
      <c r="M96" s="1644">
        <v>-1.06</v>
      </c>
      <c r="N96" s="1644">
        <v>1.1200000000000001</v>
      </c>
      <c r="O96" s="1644">
        <v>0.18</v>
      </c>
      <c r="P96" s="1644">
        <v>3.51</v>
      </c>
      <c r="Q96" s="1644">
        <v>0.85</v>
      </c>
      <c r="R96" s="1644">
        <v>0.5</v>
      </c>
      <c r="S96" s="1644">
        <v>0.06</v>
      </c>
      <c r="T96" s="1846" t="s">
        <v>555</v>
      </c>
      <c r="U96" s="1644">
        <v>-1.28</v>
      </c>
      <c r="V96" s="1644">
        <v>0</v>
      </c>
      <c r="W96" s="1644">
        <v>-0.09</v>
      </c>
      <c r="X96" s="1644">
        <v>2.5099999999999998</v>
      </c>
      <c r="Y96" s="1644">
        <v>5.47</v>
      </c>
      <c r="Z96" s="1644">
        <v>-0.95</v>
      </c>
      <c r="AA96" s="1644">
        <v>0</v>
      </c>
      <c r="AB96" s="1644">
        <v>3.11</v>
      </c>
      <c r="AC96" s="1644">
        <v>1.02</v>
      </c>
      <c r="AD96" s="1644">
        <v>-0.08</v>
      </c>
      <c r="AE96" s="1644">
        <v>-0.13</v>
      </c>
      <c r="AF96" s="1644">
        <v>1</v>
      </c>
      <c r="AG96" s="1644">
        <v>0</v>
      </c>
      <c r="AH96" s="1644">
        <v>0.92</v>
      </c>
      <c r="AI96" s="1644">
        <v>1.78</v>
      </c>
      <c r="AJ96" s="1644">
        <v>0.01</v>
      </c>
      <c r="AK96" s="1644">
        <v>1.52</v>
      </c>
    </row>
    <row r="97" spans="1:37" s="438" customFormat="1" ht="12.75" customHeight="1" x14ac:dyDescent="0.15">
      <c r="A97" s="1848" t="s">
        <v>1296</v>
      </c>
      <c r="B97" s="1846" t="s">
        <v>548</v>
      </c>
      <c r="C97" s="1644">
        <v>3.04</v>
      </c>
      <c r="D97" s="1644">
        <v>-0.48</v>
      </c>
      <c r="E97" s="1644">
        <v>0.04</v>
      </c>
      <c r="F97" s="1644">
        <v>2.27</v>
      </c>
      <c r="G97" s="1644">
        <v>1.06</v>
      </c>
      <c r="H97" s="1644">
        <v>1.25</v>
      </c>
      <c r="I97" s="1644">
        <v>1.27</v>
      </c>
      <c r="J97" s="1644">
        <v>-0.05</v>
      </c>
      <c r="K97" s="1644">
        <v>0.81</v>
      </c>
      <c r="L97" s="1644">
        <v>-0.37</v>
      </c>
      <c r="M97" s="1644">
        <v>-2.2799999999999998</v>
      </c>
      <c r="N97" s="1644">
        <v>-0.67</v>
      </c>
      <c r="O97" s="1644">
        <v>7.0000000000000007E-2</v>
      </c>
      <c r="P97" s="1644">
        <v>0.99</v>
      </c>
      <c r="Q97" s="1644">
        <v>-0.77</v>
      </c>
      <c r="R97" s="1644">
        <v>0.71</v>
      </c>
      <c r="S97" s="1644">
        <v>2.99</v>
      </c>
      <c r="T97" s="1846" t="s">
        <v>548</v>
      </c>
      <c r="U97" s="1644">
        <v>0.56000000000000005</v>
      </c>
      <c r="V97" s="1644">
        <v>-0.01</v>
      </c>
      <c r="W97" s="1644">
        <v>-4.7699999999999996</v>
      </c>
      <c r="X97" s="1644">
        <v>0.65</v>
      </c>
      <c r="Y97" s="1644">
        <v>-0.03</v>
      </c>
      <c r="Z97" s="1644">
        <v>1.46</v>
      </c>
      <c r="AA97" s="1644">
        <v>0</v>
      </c>
      <c r="AB97" s="1644">
        <v>1.82</v>
      </c>
      <c r="AC97" s="1644">
        <v>0.72</v>
      </c>
      <c r="AD97" s="1644">
        <v>1.97</v>
      </c>
      <c r="AE97" s="1644">
        <v>0.2</v>
      </c>
      <c r="AF97" s="1644">
        <v>1.05</v>
      </c>
      <c r="AG97" s="1644">
        <v>0</v>
      </c>
      <c r="AH97" s="1644">
        <v>0.54</v>
      </c>
      <c r="AI97" s="1644">
        <v>0.28000000000000003</v>
      </c>
      <c r="AJ97" s="1644">
        <v>0</v>
      </c>
      <c r="AK97" s="1644">
        <v>0.79</v>
      </c>
    </row>
    <row r="98" spans="1:37" s="438" customFormat="1" ht="12.75" customHeight="1" x14ac:dyDescent="0.15">
      <c r="A98" s="1848" t="s">
        <v>1296</v>
      </c>
      <c r="B98" s="1846" t="s">
        <v>556</v>
      </c>
      <c r="C98" s="1644">
        <v>3.6</v>
      </c>
      <c r="D98" s="1644">
        <v>-0.24</v>
      </c>
      <c r="E98" s="1644">
        <v>0.03</v>
      </c>
      <c r="F98" s="1644">
        <v>1.99</v>
      </c>
      <c r="G98" s="1644">
        <v>3.16</v>
      </c>
      <c r="H98" s="1644">
        <v>3.4</v>
      </c>
      <c r="I98" s="1644">
        <v>3.37</v>
      </c>
      <c r="J98" s="1644">
        <v>-0.1</v>
      </c>
      <c r="K98" s="1644">
        <v>0.24</v>
      </c>
      <c r="L98" s="1644">
        <v>1.32</v>
      </c>
      <c r="M98" s="1644">
        <v>-2.25</v>
      </c>
      <c r="N98" s="1644">
        <v>3.59</v>
      </c>
      <c r="O98" s="1644">
        <v>0.62</v>
      </c>
      <c r="P98" s="1644">
        <v>3.74</v>
      </c>
      <c r="Q98" s="1644">
        <v>2.78</v>
      </c>
      <c r="R98" s="1644">
        <v>0.79</v>
      </c>
      <c r="S98" s="1644">
        <v>3.44</v>
      </c>
      <c r="T98" s="1846" t="s">
        <v>556</v>
      </c>
      <c r="U98" s="1644">
        <v>6.31</v>
      </c>
      <c r="V98" s="1644">
        <v>0.01</v>
      </c>
      <c r="W98" s="1644">
        <v>-0.05</v>
      </c>
      <c r="X98" s="1644">
        <v>-2.5</v>
      </c>
      <c r="Y98" s="1644">
        <v>0.03</v>
      </c>
      <c r="Z98" s="1644">
        <v>2.48</v>
      </c>
      <c r="AA98" s="1644">
        <v>0</v>
      </c>
      <c r="AB98" s="1644">
        <v>-0.23</v>
      </c>
      <c r="AC98" s="1644">
        <v>1.98</v>
      </c>
      <c r="AD98" s="1644">
        <v>4.1500000000000004</v>
      </c>
      <c r="AE98" s="1644">
        <v>-0.31</v>
      </c>
      <c r="AF98" s="1644">
        <v>4.29</v>
      </c>
      <c r="AG98" s="1644">
        <v>0</v>
      </c>
      <c r="AH98" s="1644">
        <v>2.1800000000000002</v>
      </c>
      <c r="AI98" s="1644">
        <v>3.83</v>
      </c>
      <c r="AJ98" s="1644">
        <v>0</v>
      </c>
      <c r="AK98" s="1644">
        <v>4.68</v>
      </c>
    </row>
    <row r="99" spans="1:37" s="438" customFormat="1" ht="12.75" customHeight="1" x14ac:dyDescent="0.15">
      <c r="A99" s="1848" t="s">
        <v>1296</v>
      </c>
      <c r="B99" s="1846" t="s">
        <v>557</v>
      </c>
      <c r="C99" s="1644">
        <v>-3.63</v>
      </c>
      <c r="D99" s="1644">
        <v>-7.0000000000000007E-2</v>
      </c>
      <c r="E99" s="1644">
        <v>0</v>
      </c>
      <c r="F99" s="1644">
        <v>-3.46</v>
      </c>
      <c r="G99" s="1644">
        <v>7.0000000000000007E-2</v>
      </c>
      <c r="H99" s="1644">
        <v>-1.41</v>
      </c>
      <c r="I99" s="1644">
        <v>-1.37</v>
      </c>
      <c r="J99" s="1644">
        <v>-0.08</v>
      </c>
      <c r="K99" s="1644">
        <v>-1.89</v>
      </c>
      <c r="L99" s="1644">
        <v>-2.36</v>
      </c>
      <c r="M99" s="1644">
        <v>-0.96</v>
      </c>
      <c r="N99" s="1644">
        <v>1.35</v>
      </c>
      <c r="O99" s="1644">
        <v>0</v>
      </c>
      <c r="P99" s="1644">
        <v>-0.62</v>
      </c>
      <c r="Q99" s="1644">
        <v>-0.78</v>
      </c>
      <c r="R99" s="1644">
        <v>-1.84</v>
      </c>
      <c r="S99" s="1644">
        <v>-1.3</v>
      </c>
      <c r="T99" s="1846" t="s">
        <v>557</v>
      </c>
      <c r="U99" s="1644">
        <v>-1.86</v>
      </c>
      <c r="V99" s="1644">
        <v>0</v>
      </c>
      <c r="W99" s="1644">
        <v>0</v>
      </c>
      <c r="X99" s="1644">
        <v>-1.43</v>
      </c>
      <c r="Y99" s="1644">
        <v>0</v>
      </c>
      <c r="Z99" s="1644">
        <v>-0.05</v>
      </c>
      <c r="AA99" s="1644">
        <v>0</v>
      </c>
      <c r="AB99" s="1644">
        <v>-1.26</v>
      </c>
      <c r="AC99" s="1644">
        <v>-0.97</v>
      </c>
      <c r="AD99" s="1644">
        <v>-4.3099999999999996</v>
      </c>
      <c r="AE99" s="1644">
        <v>-0.6</v>
      </c>
      <c r="AF99" s="1644">
        <v>-0.51</v>
      </c>
      <c r="AG99" s="1644">
        <v>0</v>
      </c>
      <c r="AH99" s="1644">
        <v>-0.26</v>
      </c>
      <c r="AI99" s="1644">
        <v>-0.35</v>
      </c>
      <c r="AJ99" s="1644">
        <v>0</v>
      </c>
      <c r="AK99" s="1644">
        <v>-1.68</v>
      </c>
    </row>
    <row r="100" spans="1:37" s="438" customFormat="1" ht="12.75" customHeight="1" x14ac:dyDescent="0.15">
      <c r="A100" s="1848" t="s">
        <v>1296</v>
      </c>
      <c r="B100" s="1846" t="s">
        <v>549</v>
      </c>
      <c r="C100" s="1644">
        <v>-1.64</v>
      </c>
      <c r="D100" s="1644">
        <v>0</v>
      </c>
      <c r="E100" s="1644">
        <v>-0.03</v>
      </c>
      <c r="F100" s="1644">
        <v>-1.1399999999999999</v>
      </c>
      <c r="G100" s="1644">
        <v>0.39</v>
      </c>
      <c r="H100" s="1644">
        <v>0.54</v>
      </c>
      <c r="I100" s="1644">
        <v>0.62</v>
      </c>
      <c r="J100" s="1644">
        <v>-0.25</v>
      </c>
      <c r="K100" s="1644">
        <v>-0.37</v>
      </c>
      <c r="L100" s="1644">
        <v>-0.27</v>
      </c>
      <c r="M100" s="1644">
        <v>-1.1399999999999999</v>
      </c>
      <c r="N100" s="1644">
        <v>0.44</v>
      </c>
      <c r="O100" s="1644">
        <v>0.1</v>
      </c>
      <c r="P100" s="1644">
        <v>1.49</v>
      </c>
      <c r="Q100" s="1644">
        <v>0.45</v>
      </c>
      <c r="R100" s="1644">
        <v>-0.2</v>
      </c>
      <c r="S100" s="1644">
        <v>-0.32</v>
      </c>
      <c r="T100" s="1846" t="s">
        <v>549</v>
      </c>
      <c r="U100" s="1644">
        <v>0.08</v>
      </c>
      <c r="V100" s="1644">
        <v>0</v>
      </c>
      <c r="W100" s="1644">
        <v>-4.2699999999999996</v>
      </c>
      <c r="X100" s="1644">
        <v>-0.48</v>
      </c>
      <c r="Y100" s="1644">
        <v>0</v>
      </c>
      <c r="Z100" s="1644">
        <v>-2.44</v>
      </c>
      <c r="AA100" s="1644">
        <v>0.01</v>
      </c>
      <c r="AB100" s="1644">
        <v>1.52</v>
      </c>
      <c r="AC100" s="1644">
        <v>0.95</v>
      </c>
      <c r="AD100" s="1644">
        <v>-1.33</v>
      </c>
      <c r="AE100" s="1644">
        <v>-0.5</v>
      </c>
      <c r="AF100" s="1644">
        <v>-1.85</v>
      </c>
      <c r="AG100" s="1644">
        <v>0</v>
      </c>
      <c r="AH100" s="1644">
        <v>0.16</v>
      </c>
      <c r="AI100" s="1644">
        <v>0.7</v>
      </c>
      <c r="AJ100" s="1644">
        <v>0</v>
      </c>
      <c r="AK100" s="1644">
        <v>1.21</v>
      </c>
    </row>
    <row r="101" spans="1:37" s="438" customFormat="1" ht="12.75" customHeight="1" x14ac:dyDescent="0.15">
      <c r="A101" s="1848" t="s">
        <v>1296</v>
      </c>
      <c r="B101" s="1846" t="s">
        <v>558</v>
      </c>
      <c r="C101" s="1644">
        <v>-1.04</v>
      </c>
      <c r="D101" s="1644">
        <v>-0.02</v>
      </c>
      <c r="E101" s="1644">
        <v>0.01</v>
      </c>
      <c r="F101" s="1644">
        <v>0.74</v>
      </c>
      <c r="G101" s="1644">
        <v>-0.55000000000000004</v>
      </c>
      <c r="H101" s="1644">
        <v>-1.43</v>
      </c>
      <c r="I101" s="1644">
        <v>-1.45</v>
      </c>
      <c r="J101" s="1644">
        <v>0</v>
      </c>
      <c r="K101" s="1644">
        <v>-2.19</v>
      </c>
      <c r="L101" s="1644">
        <v>-0.88</v>
      </c>
      <c r="M101" s="1644">
        <v>-10.25</v>
      </c>
      <c r="N101" s="1644">
        <v>-2.0099999999999998</v>
      </c>
      <c r="O101" s="1644">
        <v>-0.55000000000000004</v>
      </c>
      <c r="P101" s="1644">
        <v>-1.31</v>
      </c>
      <c r="Q101" s="1644">
        <v>0</v>
      </c>
      <c r="R101" s="1644">
        <v>-2.4300000000000002</v>
      </c>
      <c r="S101" s="1644">
        <v>-1.76</v>
      </c>
      <c r="T101" s="1846" t="s">
        <v>558</v>
      </c>
      <c r="U101" s="1644">
        <v>-1.22</v>
      </c>
      <c r="V101" s="1644">
        <v>0</v>
      </c>
      <c r="W101" s="1644">
        <v>-0.06</v>
      </c>
      <c r="X101" s="1644">
        <v>1.07</v>
      </c>
      <c r="Y101" s="1644">
        <v>0</v>
      </c>
      <c r="Z101" s="1644">
        <v>-7.26</v>
      </c>
      <c r="AA101" s="1644">
        <v>-0.01</v>
      </c>
      <c r="AB101" s="1644">
        <v>0.11</v>
      </c>
      <c r="AC101" s="1644">
        <v>-0.9</v>
      </c>
      <c r="AD101" s="1644">
        <v>-3.77</v>
      </c>
      <c r="AE101" s="1644">
        <v>-1.28</v>
      </c>
      <c r="AF101" s="1644">
        <v>-3.16</v>
      </c>
      <c r="AG101" s="1644">
        <v>0</v>
      </c>
      <c r="AH101" s="1644">
        <v>-1.0900000000000001</v>
      </c>
      <c r="AI101" s="1644">
        <v>-0.83</v>
      </c>
      <c r="AJ101" s="1644">
        <v>-0.01</v>
      </c>
      <c r="AK101" s="1644">
        <v>-2.11</v>
      </c>
    </row>
    <row r="102" spans="1:37" s="438" customFormat="1" ht="12.75" customHeight="1" x14ac:dyDescent="0.15">
      <c r="A102" s="1848" t="s">
        <v>1296</v>
      </c>
      <c r="B102" s="1846" t="s">
        <v>559</v>
      </c>
      <c r="C102" s="1644">
        <v>-0.06</v>
      </c>
      <c r="D102" s="1644">
        <v>-0.86</v>
      </c>
      <c r="E102" s="1644">
        <v>-0.15</v>
      </c>
      <c r="F102" s="1644">
        <v>-0.35</v>
      </c>
      <c r="G102" s="1644">
        <v>-1.17</v>
      </c>
      <c r="H102" s="1644">
        <v>-3.74</v>
      </c>
      <c r="I102" s="1644">
        <v>-3.85</v>
      </c>
      <c r="J102" s="1644">
        <v>0</v>
      </c>
      <c r="K102" s="1644">
        <v>-1.22</v>
      </c>
      <c r="L102" s="1644">
        <v>-0.17</v>
      </c>
      <c r="M102" s="1644">
        <v>-0.34</v>
      </c>
      <c r="N102" s="1644">
        <v>0.13</v>
      </c>
      <c r="O102" s="1644">
        <v>-0.48</v>
      </c>
      <c r="P102" s="1644">
        <v>-1.48</v>
      </c>
      <c r="Q102" s="1644">
        <v>-1.48</v>
      </c>
      <c r="R102" s="1644">
        <v>-1.42</v>
      </c>
      <c r="S102" s="1644">
        <v>-1.36</v>
      </c>
      <c r="T102" s="1846" t="s">
        <v>559</v>
      </c>
      <c r="U102" s="1644">
        <v>-2.72</v>
      </c>
      <c r="V102" s="1644">
        <v>0</v>
      </c>
      <c r="W102" s="1644">
        <v>0</v>
      </c>
      <c r="X102" s="1644">
        <v>-1.49</v>
      </c>
      <c r="Y102" s="1644">
        <v>0</v>
      </c>
      <c r="Z102" s="1644">
        <v>0.11</v>
      </c>
      <c r="AA102" s="1644">
        <v>0</v>
      </c>
      <c r="AB102" s="1644">
        <v>-0.75</v>
      </c>
      <c r="AC102" s="1644">
        <v>-1.1499999999999999</v>
      </c>
      <c r="AD102" s="1644">
        <v>-1.64</v>
      </c>
      <c r="AE102" s="1644">
        <v>-0.35</v>
      </c>
      <c r="AF102" s="1644">
        <v>-0.13</v>
      </c>
      <c r="AG102" s="1644">
        <v>0</v>
      </c>
      <c r="AH102" s="1644">
        <v>-1.64</v>
      </c>
      <c r="AI102" s="1644">
        <v>-1.47</v>
      </c>
      <c r="AJ102" s="1644">
        <v>0</v>
      </c>
      <c r="AK102" s="1644">
        <v>-3.54</v>
      </c>
    </row>
    <row r="103" spans="1:37" s="438" customFormat="1" ht="12.75" customHeight="1" x14ac:dyDescent="0.15">
      <c r="A103" s="1848" t="s">
        <v>1296</v>
      </c>
      <c r="B103" s="1846" t="s">
        <v>550</v>
      </c>
      <c r="C103" s="1644">
        <v>-2.94</v>
      </c>
      <c r="D103" s="1644">
        <v>-0.03</v>
      </c>
      <c r="E103" s="1644">
        <v>-0.12</v>
      </c>
      <c r="F103" s="1644">
        <v>-2.81</v>
      </c>
      <c r="G103" s="1644">
        <v>-3.06</v>
      </c>
      <c r="H103" s="1644">
        <v>-0.96</v>
      </c>
      <c r="I103" s="1644">
        <v>-0.81</v>
      </c>
      <c r="J103" s="1644">
        <v>-0.01</v>
      </c>
      <c r="K103" s="1644">
        <v>-2.0299999999999998</v>
      </c>
      <c r="L103" s="1644">
        <v>-3.25</v>
      </c>
      <c r="M103" s="1644">
        <v>-1.05</v>
      </c>
      <c r="N103" s="1644">
        <v>-1.44</v>
      </c>
      <c r="O103" s="1644">
        <v>0</v>
      </c>
      <c r="P103" s="1644">
        <v>-1.42</v>
      </c>
      <c r="Q103" s="1644">
        <v>-4.51</v>
      </c>
      <c r="R103" s="1644">
        <v>-1.01</v>
      </c>
      <c r="S103" s="1644">
        <v>-3.33</v>
      </c>
      <c r="T103" s="1846" t="s">
        <v>550</v>
      </c>
      <c r="U103" s="1644">
        <v>-7.0000000000000007E-2</v>
      </c>
      <c r="V103" s="1644">
        <v>0</v>
      </c>
      <c r="W103" s="1644">
        <v>-4.9000000000000004</v>
      </c>
      <c r="X103" s="1644">
        <v>-1.49</v>
      </c>
      <c r="Y103" s="1644">
        <v>0</v>
      </c>
      <c r="Z103" s="1644">
        <v>-1.55</v>
      </c>
      <c r="AA103" s="1644">
        <v>0</v>
      </c>
      <c r="AB103" s="1644">
        <v>-3.6</v>
      </c>
      <c r="AC103" s="1644">
        <v>-2.09</v>
      </c>
      <c r="AD103" s="1644">
        <v>-1.66</v>
      </c>
      <c r="AE103" s="1644">
        <v>-0.06</v>
      </c>
      <c r="AF103" s="1644">
        <v>-0.83</v>
      </c>
      <c r="AG103" s="1644">
        <v>0</v>
      </c>
      <c r="AH103" s="1644">
        <v>-0.66</v>
      </c>
      <c r="AI103" s="1644">
        <v>-3.5</v>
      </c>
      <c r="AJ103" s="1644">
        <v>0</v>
      </c>
      <c r="AK103" s="1644">
        <v>-1.61</v>
      </c>
    </row>
    <row r="104" spans="1:37" s="438" customFormat="1" ht="12.75" customHeight="1" x14ac:dyDescent="0.15">
      <c r="A104" s="1848" t="s">
        <v>1404</v>
      </c>
      <c r="B104" s="1642" t="s">
        <v>552</v>
      </c>
      <c r="C104" s="1644">
        <v>0.71</v>
      </c>
      <c r="D104" s="1644">
        <v>-0.03</v>
      </c>
      <c r="E104" s="1644">
        <v>0.03</v>
      </c>
      <c r="F104" s="1644">
        <v>1.61</v>
      </c>
      <c r="G104" s="1644">
        <v>-2.93</v>
      </c>
      <c r="H104" s="1644">
        <v>1.25</v>
      </c>
      <c r="I104" s="1644">
        <v>1.18</v>
      </c>
      <c r="J104" s="1644">
        <v>-0.01</v>
      </c>
      <c r="K104" s="1644">
        <v>0.34</v>
      </c>
      <c r="L104" s="1644">
        <v>-0.4</v>
      </c>
      <c r="M104" s="1644">
        <v>-3.31</v>
      </c>
      <c r="N104" s="1644">
        <v>-0.52</v>
      </c>
      <c r="O104" s="1644">
        <v>-0.08</v>
      </c>
      <c r="P104" s="1644">
        <v>-0.6</v>
      </c>
      <c r="Q104" s="1644">
        <v>-2.4700000000000002</v>
      </c>
      <c r="R104" s="1644">
        <v>-0.79</v>
      </c>
      <c r="S104" s="1644">
        <v>0.99</v>
      </c>
      <c r="T104" s="1642" t="s">
        <v>552</v>
      </c>
      <c r="U104" s="1644">
        <v>0.66</v>
      </c>
      <c r="V104" s="1644">
        <v>0.01</v>
      </c>
      <c r="W104" s="1644">
        <v>0.1</v>
      </c>
      <c r="X104" s="1644">
        <v>0.26</v>
      </c>
      <c r="Y104" s="1644">
        <v>0</v>
      </c>
      <c r="Z104" s="1644">
        <v>1.4</v>
      </c>
      <c r="AA104" s="1644">
        <v>0</v>
      </c>
      <c r="AB104" s="1644">
        <v>-0.45</v>
      </c>
      <c r="AC104" s="1644">
        <v>0.5</v>
      </c>
      <c r="AD104" s="1644">
        <v>2.2999999999999998</v>
      </c>
      <c r="AE104" s="1644">
        <v>-0.85</v>
      </c>
      <c r="AF104" s="1644">
        <v>0.93</v>
      </c>
      <c r="AG104" s="1644">
        <v>0</v>
      </c>
      <c r="AH104" s="1644">
        <v>-0.11</v>
      </c>
      <c r="AI104" s="1644">
        <v>-0.53</v>
      </c>
      <c r="AJ104" s="1644">
        <v>0</v>
      </c>
      <c r="AK104" s="1644">
        <v>0.42</v>
      </c>
    </row>
    <row r="105" spans="1:37" s="438" customFormat="1" ht="12.75" customHeight="1" x14ac:dyDescent="0.15">
      <c r="A105" s="1848" t="s">
        <v>1404</v>
      </c>
      <c r="B105" s="1642" t="s">
        <v>553</v>
      </c>
      <c r="C105" s="1644">
        <v>-1.3</v>
      </c>
      <c r="D105" s="1644">
        <v>0</v>
      </c>
      <c r="E105" s="1644">
        <v>0.2</v>
      </c>
      <c r="F105" s="1644">
        <v>1.02</v>
      </c>
      <c r="G105" s="1644">
        <v>0.08</v>
      </c>
      <c r="H105" s="1644">
        <v>-0.11</v>
      </c>
      <c r="I105" s="1644">
        <v>0.02</v>
      </c>
      <c r="J105" s="1644">
        <v>0</v>
      </c>
      <c r="K105" s="1644">
        <v>-2.74</v>
      </c>
      <c r="L105" s="1644">
        <v>-1.6</v>
      </c>
      <c r="M105" s="1644">
        <v>4.88</v>
      </c>
      <c r="N105" s="1644">
        <v>-0.54</v>
      </c>
      <c r="O105" s="1644">
        <v>0.02</v>
      </c>
      <c r="P105" s="1644">
        <v>-1.1399999999999999</v>
      </c>
      <c r="Q105" s="1644">
        <v>-5.37</v>
      </c>
      <c r="R105" s="1644">
        <v>-2.13</v>
      </c>
      <c r="S105" s="1644">
        <v>-1.55</v>
      </c>
      <c r="T105" s="1642" t="s">
        <v>553</v>
      </c>
      <c r="U105" s="1644">
        <v>-2.36</v>
      </c>
      <c r="V105" s="1644">
        <v>-0.01</v>
      </c>
      <c r="W105" s="1644">
        <v>-1.1399999999999999</v>
      </c>
      <c r="X105" s="1644">
        <v>-0.51</v>
      </c>
      <c r="Y105" s="1644">
        <v>0</v>
      </c>
      <c r="Z105" s="1644">
        <v>-8.5299999999999994</v>
      </c>
      <c r="AA105" s="1644">
        <v>-0.01</v>
      </c>
      <c r="AB105" s="1644">
        <v>0.91</v>
      </c>
      <c r="AC105" s="1644">
        <v>-0.26</v>
      </c>
      <c r="AD105" s="1644">
        <v>-4.22</v>
      </c>
      <c r="AE105" s="1644">
        <v>-1.1100000000000001</v>
      </c>
      <c r="AF105" s="1644">
        <v>1.83</v>
      </c>
      <c r="AG105" s="1644">
        <v>0</v>
      </c>
      <c r="AH105" s="1644">
        <v>-7.0000000000000007E-2</v>
      </c>
      <c r="AI105" s="1644">
        <v>1.79</v>
      </c>
      <c r="AJ105" s="1644">
        <v>0</v>
      </c>
      <c r="AK105" s="1644">
        <v>-0.81</v>
      </c>
    </row>
    <row r="106" spans="1:37" s="438" customFormat="1" ht="12.75" customHeight="1" x14ac:dyDescent="0.15">
      <c r="A106" s="1848" t="s">
        <v>1404</v>
      </c>
      <c r="B106" s="1642" t="s">
        <v>547</v>
      </c>
      <c r="C106" s="1644">
        <v>-1.0900000000000001</v>
      </c>
      <c r="D106" s="1644">
        <v>0</v>
      </c>
      <c r="E106" s="1644">
        <v>0.05</v>
      </c>
      <c r="F106" s="1644">
        <v>-0.02</v>
      </c>
      <c r="G106" s="1644">
        <v>-0.99</v>
      </c>
      <c r="H106" s="1644">
        <v>-0.89</v>
      </c>
      <c r="I106" s="1644">
        <v>-0.85</v>
      </c>
      <c r="J106" s="1644">
        <v>0.27</v>
      </c>
      <c r="K106" s="1644">
        <v>-2.72</v>
      </c>
      <c r="L106" s="1644">
        <v>-1.64</v>
      </c>
      <c r="M106" s="1644">
        <v>0</v>
      </c>
      <c r="N106" s="1644">
        <v>-1.78</v>
      </c>
      <c r="O106" s="1644">
        <v>-0.2</v>
      </c>
      <c r="P106" s="1644">
        <v>-0.75</v>
      </c>
      <c r="Q106" s="1644">
        <v>-1.1299999999999999</v>
      </c>
      <c r="R106" s="1644">
        <v>-3.35</v>
      </c>
      <c r="S106" s="1644">
        <v>-1.47</v>
      </c>
      <c r="T106" s="1642" t="s">
        <v>547</v>
      </c>
      <c r="U106" s="1644">
        <v>2.25</v>
      </c>
      <c r="V106" s="1644">
        <v>0</v>
      </c>
      <c r="W106" s="1644">
        <v>-0.46</v>
      </c>
      <c r="X106" s="1644">
        <v>-0.98</v>
      </c>
      <c r="Y106" s="1644">
        <v>-0.02</v>
      </c>
      <c r="Z106" s="1644">
        <v>3.78</v>
      </c>
      <c r="AA106" s="1644">
        <v>0.01</v>
      </c>
      <c r="AB106" s="1644">
        <v>-0.08</v>
      </c>
      <c r="AC106" s="1644">
        <v>-0.15</v>
      </c>
      <c r="AD106" s="1644">
        <v>2.9</v>
      </c>
      <c r="AE106" s="1644">
        <v>-4.5199999999999996</v>
      </c>
      <c r="AF106" s="1644">
        <v>-1.18</v>
      </c>
      <c r="AG106" s="1644">
        <v>0</v>
      </c>
      <c r="AH106" s="1644">
        <v>-0.5</v>
      </c>
      <c r="AI106" s="1644">
        <v>1.24</v>
      </c>
      <c r="AJ106" s="1644">
        <v>0</v>
      </c>
      <c r="AK106" s="1644">
        <v>0.03</v>
      </c>
    </row>
    <row r="107" spans="1:37" s="438" customFormat="1" ht="12.75" customHeight="1" x14ac:dyDescent="0.15">
      <c r="A107" s="1848" t="s">
        <v>1404</v>
      </c>
      <c r="B107" s="1642" t="s">
        <v>554</v>
      </c>
      <c r="C107" s="1644">
        <v>-1.72</v>
      </c>
      <c r="D107" s="1644">
        <v>-0.12</v>
      </c>
      <c r="E107" s="1644">
        <v>0.01</v>
      </c>
      <c r="F107" s="1644">
        <v>-1.53</v>
      </c>
      <c r="G107" s="1644">
        <v>-1.23</v>
      </c>
      <c r="H107" s="1644">
        <v>-2.29</v>
      </c>
      <c r="I107" s="1644">
        <v>-2.2799999999999998</v>
      </c>
      <c r="J107" s="1644">
        <v>-0.2</v>
      </c>
      <c r="K107" s="1644">
        <v>-1.59</v>
      </c>
      <c r="L107" s="1644">
        <v>-2.09</v>
      </c>
      <c r="M107" s="1644">
        <v>0</v>
      </c>
      <c r="N107" s="1644">
        <v>0.53</v>
      </c>
      <c r="O107" s="1644">
        <v>-0.2</v>
      </c>
      <c r="P107" s="1644">
        <v>-1.05</v>
      </c>
      <c r="Q107" s="1644">
        <v>-3.15</v>
      </c>
      <c r="R107" s="1644">
        <v>-1.18</v>
      </c>
      <c r="S107" s="1644">
        <v>-0.97</v>
      </c>
      <c r="T107" s="1642" t="s">
        <v>554</v>
      </c>
      <c r="U107" s="1644">
        <v>-3.17</v>
      </c>
      <c r="V107" s="1644">
        <v>0.03</v>
      </c>
      <c r="W107" s="1644">
        <v>-7.55</v>
      </c>
      <c r="X107" s="1644">
        <v>0.85</v>
      </c>
      <c r="Y107" s="1644">
        <v>0.03</v>
      </c>
      <c r="Z107" s="1644">
        <v>-0.02</v>
      </c>
      <c r="AA107" s="1644">
        <v>-0.02</v>
      </c>
      <c r="AB107" s="1644">
        <v>-2.6</v>
      </c>
      <c r="AC107" s="1644">
        <v>-1.33</v>
      </c>
      <c r="AD107" s="1644">
        <v>-3.15</v>
      </c>
      <c r="AE107" s="1644">
        <v>-3.04</v>
      </c>
      <c r="AF107" s="1644">
        <v>-2.29</v>
      </c>
      <c r="AG107" s="1644">
        <v>0</v>
      </c>
      <c r="AH107" s="1644">
        <v>-0.94</v>
      </c>
      <c r="AI107" s="1644">
        <v>-2.8</v>
      </c>
      <c r="AJ107" s="1644">
        <v>0</v>
      </c>
      <c r="AK107" s="1644">
        <v>-2.4900000000000002</v>
      </c>
    </row>
    <row r="108" spans="1:37" s="438" customFormat="1" ht="12.75" customHeight="1" x14ac:dyDescent="0.15">
      <c r="A108" s="1848" t="s">
        <v>1404</v>
      </c>
      <c r="B108" s="1642" t="s">
        <v>555</v>
      </c>
      <c r="C108" s="1644">
        <v>3</v>
      </c>
      <c r="D108" s="1644">
        <v>-0.06</v>
      </c>
      <c r="E108" s="1644">
        <v>0</v>
      </c>
      <c r="F108" s="1644">
        <v>-1.33</v>
      </c>
      <c r="G108" s="1644">
        <v>0.42</v>
      </c>
      <c r="H108" s="1644">
        <v>0.41</v>
      </c>
      <c r="I108" s="1644">
        <v>0.43</v>
      </c>
      <c r="J108" s="1644">
        <v>0.28000000000000003</v>
      </c>
      <c r="K108" s="1644">
        <v>5.59</v>
      </c>
      <c r="L108" s="1644">
        <v>6.03</v>
      </c>
      <c r="M108" s="1644">
        <v>0</v>
      </c>
      <c r="N108" s="1644">
        <v>-0.34</v>
      </c>
      <c r="O108" s="1644">
        <v>-0.16</v>
      </c>
      <c r="P108" s="1644">
        <v>-0.18</v>
      </c>
      <c r="Q108" s="1644">
        <v>1.1299999999999999</v>
      </c>
      <c r="R108" s="1644">
        <v>3.65</v>
      </c>
      <c r="S108" s="1644">
        <v>4.6399999999999997</v>
      </c>
      <c r="T108" s="1642" t="s">
        <v>555</v>
      </c>
      <c r="U108" s="1644">
        <v>-1.43</v>
      </c>
      <c r="V108" s="1644">
        <v>-0.03</v>
      </c>
      <c r="W108" s="1644">
        <v>-0.59</v>
      </c>
      <c r="X108" s="1644">
        <v>2.2200000000000002</v>
      </c>
      <c r="Y108" s="1644">
        <v>-0.02</v>
      </c>
      <c r="Z108" s="1644">
        <v>-2.13</v>
      </c>
      <c r="AA108" s="1644">
        <v>-0.03</v>
      </c>
      <c r="AB108" s="1644">
        <v>1.78</v>
      </c>
      <c r="AC108" s="1644">
        <v>1.08</v>
      </c>
      <c r="AD108" s="1644">
        <v>1.63</v>
      </c>
      <c r="AE108" s="1644">
        <v>-2.89</v>
      </c>
      <c r="AF108" s="1644">
        <v>0.93</v>
      </c>
      <c r="AG108" s="1644">
        <v>0</v>
      </c>
      <c r="AH108" s="1644">
        <v>-0.18</v>
      </c>
      <c r="AI108" s="1644">
        <v>1.1200000000000001</v>
      </c>
      <c r="AJ108" s="1644">
        <v>0</v>
      </c>
      <c r="AK108" s="1644">
        <v>0.69</v>
      </c>
    </row>
    <row r="109" spans="1:37" s="438" customFormat="1" ht="12.75" customHeight="1" x14ac:dyDescent="0.15">
      <c r="A109" s="1848" t="s">
        <v>1404</v>
      </c>
      <c r="B109" s="1642" t="s">
        <v>548</v>
      </c>
      <c r="C109" s="1644">
        <v>-3.76</v>
      </c>
      <c r="D109" s="1644">
        <v>0</v>
      </c>
      <c r="E109" s="1644">
        <v>-0.01</v>
      </c>
      <c r="F109" s="1644">
        <v>-2.61</v>
      </c>
      <c r="G109" s="1644">
        <v>1.05</v>
      </c>
      <c r="H109" s="1644">
        <v>0.37</v>
      </c>
      <c r="I109" s="1644">
        <v>0.39</v>
      </c>
      <c r="J109" s="1644">
        <v>-0.11</v>
      </c>
      <c r="K109" s="1644">
        <v>-0.22</v>
      </c>
      <c r="L109" s="1644">
        <v>-0.78</v>
      </c>
      <c r="M109" s="1644">
        <v>0</v>
      </c>
      <c r="N109" s="1644">
        <v>2.91</v>
      </c>
      <c r="O109" s="1644">
        <v>0.15</v>
      </c>
      <c r="P109" s="1644">
        <v>1.24</v>
      </c>
      <c r="Q109" s="1644">
        <v>2.75</v>
      </c>
      <c r="R109" s="1644">
        <v>1.68</v>
      </c>
      <c r="S109" s="1644">
        <v>-2.09</v>
      </c>
      <c r="T109" s="1642" t="s">
        <v>548</v>
      </c>
      <c r="U109" s="1644">
        <v>-2.0499999999999998</v>
      </c>
      <c r="V109" s="1644">
        <v>0</v>
      </c>
      <c r="W109" s="1644">
        <v>-3.88</v>
      </c>
      <c r="X109" s="1644">
        <v>-0.38</v>
      </c>
      <c r="Y109" s="1644">
        <v>0</v>
      </c>
      <c r="Z109" s="1644">
        <v>-2.76</v>
      </c>
      <c r="AA109" s="1644">
        <v>0</v>
      </c>
      <c r="AB109" s="1644">
        <v>0.77</v>
      </c>
      <c r="AC109" s="1644">
        <v>0.27</v>
      </c>
      <c r="AD109" s="1644">
        <v>0.73</v>
      </c>
      <c r="AE109" s="1644">
        <v>-1.83</v>
      </c>
      <c r="AF109" s="1644">
        <v>1.18</v>
      </c>
      <c r="AG109" s="1644">
        <v>0</v>
      </c>
      <c r="AH109" s="1644">
        <v>0.81</v>
      </c>
      <c r="AI109" s="1644">
        <v>1.22</v>
      </c>
      <c r="AJ109" s="1644">
        <v>0</v>
      </c>
      <c r="AK109" s="1644">
        <v>-0.68</v>
      </c>
    </row>
    <row r="110" spans="1:37" s="438" customFormat="1" ht="12.75" customHeight="1" x14ac:dyDescent="0.15">
      <c r="A110" s="1848" t="s">
        <v>1404</v>
      </c>
      <c r="B110" s="1642" t="s">
        <v>556</v>
      </c>
      <c r="C110" s="1644">
        <v>2.89</v>
      </c>
      <c r="D110" s="1644">
        <v>-0.06</v>
      </c>
      <c r="E110" s="1644">
        <v>0</v>
      </c>
      <c r="F110" s="1644">
        <v>3.73</v>
      </c>
      <c r="G110" s="1644">
        <v>2.4</v>
      </c>
      <c r="H110" s="1644">
        <v>0.35</v>
      </c>
      <c r="I110" s="1644">
        <v>0.35</v>
      </c>
      <c r="J110" s="1644">
        <v>-0.16</v>
      </c>
      <c r="K110" s="1644">
        <v>-1.83</v>
      </c>
      <c r="L110" s="1644">
        <v>3.1</v>
      </c>
      <c r="M110" s="1644">
        <v>0</v>
      </c>
      <c r="N110" s="1644">
        <v>1.1399999999999999</v>
      </c>
      <c r="O110" s="1644">
        <v>0.26</v>
      </c>
      <c r="P110" s="1644">
        <v>1.24</v>
      </c>
      <c r="Q110" s="1644">
        <v>1.68</v>
      </c>
      <c r="R110" s="1644">
        <v>-1.61</v>
      </c>
      <c r="S110" s="1644">
        <v>2.67</v>
      </c>
      <c r="T110" s="1642" t="s">
        <v>556</v>
      </c>
      <c r="U110" s="1644">
        <v>3.42</v>
      </c>
      <c r="V110" s="1644">
        <v>0</v>
      </c>
      <c r="W110" s="1644">
        <v>0.12</v>
      </c>
      <c r="X110" s="1644">
        <v>0.8</v>
      </c>
      <c r="Y110" s="1644">
        <v>0.02</v>
      </c>
      <c r="Z110" s="1644">
        <v>5.31</v>
      </c>
      <c r="AA110" s="1644">
        <v>0.05</v>
      </c>
      <c r="AB110" s="1644">
        <v>0.01</v>
      </c>
      <c r="AC110" s="1644">
        <v>1.43</v>
      </c>
      <c r="AD110" s="1644">
        <v>-0.56999999999999995</v>
      </c>
      <c r="AE110" s="1644">
        <v>1.98</v>
      </c>
      <c r="AF110" s="1644">
        <v>-1.01</v>
      </c>
      <c r="AG110" s="1644">
        <v>0</v>
      </c>
      <c r="AH110" s="1644">
        <v>0.46</v>
      </c>
      <c r="AI110" s="1644">
        <v>4.05</v>
      </c>
      <c r="AJ110" s="1644">
        <v>0</v>
      </c>
      <c r="AK110" s="1644">
        <v>3.22</v>
      </c>
    </row>
    <row r="111" spans="1:37" s="438" customFormat="1" ht="12.75" customHeight="1" x14ac:dyDescent="0.15">
      <c r="A111" s="1848" t="s">
        <v>1404</v>
      </c>
      <c r="B111" s="1642" t="s">
        <v>557</v>
      </c>
      <c r="C111" s="1644">
        <v>-0.81</v>
      </c>
      <c r="D111" s="1644">
        <v>-0.24</v>
      </c>
      <c r="E111" s="1644">
        <v>0</v>
      </c>
      <c r="F111" s="1644">
        <v>-0.15</v>
      </c>
      <c r="G111" s="1644">
        <v>0.25</v>
      </c>
      <c r="H111" s="1644">
        <v>-0.74</v>
      </c>
      <c r="I111" s="1644">
        <v>-0.79</v>
      </c>
      <c r="J111" s="1644">
        <v>-0.08</v>
      </c>
      <c r="K111" s="1644">
        <v>0.39</v>
      </c>
      <c r="L111" s="1644">
        <v>0.15</v>
      </c>
      <c r="M111" s="1644">
        <v>0</v>
      </c>
      <c r="N111" s="1644">
        <v>-1.4</v>
      </c>
      <c r="O111" s="1644">
        <v>-7.0000000000000007E-2</v>
      </c>
      <c r="P111" s="1644">
        <v>0.54</v>
      </c>
      <c r="Q111" s="1644">
        <v>-7.0000000000000007E-2</v>
      </c>
      <c r="R111" s="1644">
        <v>-0.21</v>
      </c>
      <c r="S111" s="1644">
        <v>-0.08</v>
      </c>
      <c r="T111" s="1642" t="s">
        <v>557</v>
      </c>
      <c r="U111" s="1644">
        <v>-1.6</v>
      </c>
      <c r="V111" s="1644">
        <v>0</v>
      </c>
      <c r="W111" s="1644">
        <v>-0.06</v>
      </c>
      <c r="X111" s="1644">
        <v>0.3</v>
      </c>
      <c r="Y111" s="1644">
        <v>0</v>
      </c>
      <c r="Z111" s="1644">
        <v>-0.38</v>
      </c>
      <c r="AA111" s="1644">
        <v>0</v>
      </c>
      <c r="AB111" s="1644">
        <v>-0.6</v>
      </c>
      <c r="AC111" s="1644">
        <v>0</v>
      </c>
      <c r="AD111" s="1644">
        <v>-2.94</v>
      </c>
      <c r="AE111" s="1644">
        <v>-0.22</v>
      </c>
      <c r="AF111" s="1644">
        <v>-0.55000000000000004</v>
      </c>
      <c r="AG111" s="1644">
        <v>0</v>
      </c>
      <c r="AH111" s="1644">
        <v>-0.17</v>
      </c>
      <c r="AI111" s="1644">
        <v>-0.54</v>
      </c>
      <c r="AJ111" s="1644">
        <v>0.01</v>
      </c>
      <c r="AK111" s="1644">
        <v>1.03</v>
      </c>
    </row>
    <row r="112" spans="1:37" s="438" customFormat="1" ht="12.75" customHeight="1" x14ac:dyDescent="0.15">
      <c r="A112" s="1848" t="s">
        <v>1404</v>
      </c>
      <c r="B112" s="1642" t="s">
        <v>549</v>
      </c>
      <c r="C112" s="1644">
        <v>-1.28</v>
      </c>
      <c r="D112" s="1644">
        <v>-0.12</v>
      </c>
      <c r="E112" s="1644">
        <v>0</v>
      </c>
      <c r="F112" s="1644">
        <v>-1.33</v>
      </c>
      <c r="G112" s="1644">
        <v>-0.71</v>
      </c>
      <c r="H112" s="1644">
        <v>-1.55</v>
      </c>
      <c r="I112" s="1644">
        <v>-1.49</v>
      </c>
      <c r="J112" s="1644">
        <v>-0.01</v>
      </c>
      <c r="K112" s="1644">
        <v>2.57</v>
      </c>
      <c r="L112" s="1644">
        <v>-1.6</v>
      </c>
      <c r="M112" s="1644">
        <v>0</v>
      </c>
      <c r="N112" s="1644">
        <v>-0.24</v>
      </c>
      <c r="O112" s="1644">
        <v>-0.31</v>
      </c>
      <c r="P112" s="1644">
        <v>-0.4</v>
      </c>
      <c r="Q112" s="1644">
        <v>0.46</v>
      </c>
      <c r="R112" s="1644">
        <v>-0.42</v>
      </c>
      <c r="S112" s="1644">
        <v>-1.22</v>
      </c>
      <c r="T112" s="1642" t="s">
        <v>549</v>
      </c>
      <c r="U112" s="1644">
        <v>-0.71</v>
      </c>
      <c r="V112" s="1644">
        <v>0</v>
      </c>
      <c r="W112" s="1644">
        <v>-0.69</v>
      </c>
      <c r="X112" s="1644">
        <v>-1.31</v>
      </c>
      <c r="Y112" s="1644">
        <v>0.01</v>
      </c>
      <c r="Z112" s="1644">
        <v>7.0000000000000007E-2</v>
      </c>
      <c r="AA112" s="1644">
        <v>0</v>
      </c>
      <c r="AB112" s="1644">
        <v>-1.72</v>
      </c>
      <c r="AC112" s="1644">
        <v>-0.62</v>
      </c>
      <c r="AD112" s="1644">
        <v>-0.06</v>
      </c>
      <c r="AE112" s="1644">
        <v>2.4900000000000002</v>
      </c>
      <c r="AF112" s="1644">
        <v>0.45</v>
      </c>
      <c r="AG112" s="1644">
        <v>0</v>
      </c>
      <c r="AH112" s="1644">
        <v>-0.47</v>
      </c>
      <c r="AI112" s="1644">
        <v>-1.04</v>
      </c>
      <c r="AJ112" s="1644">
        <v>-0.01</v>
      </c>
      <c r="AK112" s="1644">
        <v>-1.65</v>
      </c>
    </row>
    <row r="113" spans="1:37" s="438" customFormat="1" ht="12.75" customHeight="1" x14ac:dyDescent="0.15">
      <c r="A113" s="1848" t="s">
        <v>1404</v>
      </c>
      <c r="B113" s="1642" t="s">
        <v>558</v>
      </c>
      <c r="C113" s="1644">
        <v>-0.55000000000000004</v>
      </c>
      <c r="D113" s="1644">
        <v>-0.24</v>
      </c>
      <c r="E113" s="1644">
        <v>0</v>
      </c>
      <c r="F113" s="1644">
        <v>-0.83</v>
      </c>
      <c r="G113" s="1644">
        <v>7.0000000000000007E-2</v>
      </c>
      <c r="H113" s="1644">
        <v>-0.28999999999999998</v>
      </c>
      <c r="I113" s="1644">
        <v>-0.28999999999999998</v>
      </c>
      <c r="J113" s="1644">
        <v>0.08</v>
      </c>
      <c r="K113" s="1644">
        <v>-0.91</v>
      </c>
      <c r="L113" s="1644">
        <v>0.09</v>
      </c>
      <c r="M113" s="1644">
        <v>0</v>
      </c>
      <c r="N113" s="1644">
        <v>-0.71</v>
      </c>
      <c r="O113" s="1644">
        <v>-7.0000000000000007E-2</v>
      </c>
      <c r="P113" s="1644">
        <v>-1.28</v>
      </c>
      <c r="Q113" s="1644">
        <v>-0.66</v>
      </c>
      <c r="R113" s="1644">
        <v>-0.48</v>
      </c>
      <c r="S113" s="1644">
        <v>-1.98</v>
      </c>
      <c r="T113" s="1642" t="s">
        <v>558</v>
      </c>
      <c r="U113" s="1644">
        <v>-0.39</v>
      </c>
      <c r="V113" s="1644">
        <v>0</v>
      </c>
      <c r="W113" s="1644">
        <v>-0.57999999999999996</v>
      </c>
      <c r="X113" s="1644">
        <v>1.31</v>
      </c>
      <c r="Y113" s="1644">
        <v>-0.01</v>
      </c>
      <c r="Z113" s="1644">
        <v>1.82</v>
      </c>
      <c r="AA113" s="1644">
        <v>0</v>
      </c>
      <c r="AB113" s="1644">
        <v>-2.25</v>
      </c>
      <c r="AC113" s="1644">
        <v>-0.43</v>
      </c>
      <c r="AD113" s="1644">
        <v>-2.25</v>
      </c>
      <c r="AE113" s="1644">
        <v>0.01</v>
      </c>
      <c r="AF113" s="1644">
        <v>-2.38</v>
      </c>
      <c r="AG113" s="1644">
        <v>0</v>
      </c>
      <c r="AH113" s="1644">
        <v>-0.43</v>
      </c>
      <c r="AI113" s="1644">
        <v>-0.6</v>
      </c>
      <c r="AJ113" s="1644">
        <v>0</v>
      </c>
      <c r="AK113" s="1644">
        <v>-0.73</v>
      </c>
    </row>
    <row r="114" spans="1:37" s="438" customFormat="1" ht="12.75" customHeight="1" x14ac:dyDescent="0.15">
      <c r="A114" s="1848" t="s">
        <v>1404</v>
      </c>
      <c r="B114" s="1642" t="s">
        <v>559</v>
      </c>
      <c r="C114" s="1644">
        <v>-1.98</v>
      </c>
      <c r="D114" s="1644">
        <v>-0.06</v>
      </c>
      <c r="E114" s="1644">
        <v>0</v>
      </c>
      <c r="F114" s="1644">
        <v>-0.47</v>
      </c>
      <c r="G114" s="1644">
        <v>-2.4700000000000002</v>
      </c>
      <c r="H114" s="1644">
        <v>-0.5</v>
      </c>
      <c r="I114" s="1644">
        <v>-0.49</v>
      </c>
      <c r="J114" s="1644">
        <v>-7.0000000000000007E-2</v>
      </c>
      <c r="K114" s="1644">
        <v>-0.04</v>
      </c>
      <c r="L114" s="1644">
        <v>-1.2</v>
      </c>
      <c r="M114" s="1644">
        <v>0</v>
      </c>
      <c r="N114" s="1644">
        <v>1.87</v>
      </c>
      <c r="O114" s="1644">
        <v>0.03</v>
      </c>
      <c r="P114" s="1644">
        <v>-1.45</v>
      </c>
      <c r="Q114" s="1644">
        <v>-0.72</v>
      </c>
      <c r="R114" s="1644">
        <v>-0.13</v>
      </c>
      <c r="S114" s="1644">
        <v>-2.37</v>
      </c>
      <c r="T114" s="1642" t="s">
        <v>559</v>
      </c>
      <c r="U114" s="1644">
        <v>-1.08</v>
      </c>
      <c r="V114" s="1644">
        <v>0</v>
      </c>
      <c r="W114" s="1644">
        <v>-6.05</v>
      </c>
      <c r="X114" s="1644">
        <v>-0.44</v>
      </c>
      <c r="Y114" s="1644">
        <v>0.01</v>
      </c>
      <c r="Z114" s="1644">
        <v>-0.65</v>
      </c>
      <c r="AA114" s="1644">
        <v>0</v>
      </c>
      <c r="AB114" s="1644">
        <v>-2.2400000000000002</v>
      </c>
      <c r="AC114" s="1644">
        <v>-1.42</v>
      </c>
      <c r="AD114" s="1644">
        <v>-0.41</v>
      </c>
      <c r="AE114" s="1644">
        <v>-0.48</v>
      </c>
      <c r="AF114" s="1644">
        <v>1.19</v>
      </c>
      <c r="AG114" s="1644">
        <v>0</v>
      </c>
      <c r="AH114" s="1644">
        <v>-0.28999999999999998</v>
      </c>
      <c r="AI114" s="1644">
        <v>0.41</v>
      </c>
      <c r="AJ114" s="1644">
        <v>0</v>
      </c>
      <c r="AK114" s="1644">
        <v>-2.4</v>
      </c>
    </row>
    <row r="115" spans="1:37" s="438" customFormat="1" ht="12.75" customHeight="1" x14ac:dyDescent="0.15">
      <c r="A115" s="1848" t="s">
        <v>1404</v>
      </c>
      <c r="B115" s="1642" t="s">
        <v>550</v>
      </c>
      <c r="C115" s="1644">
        <v>1.49</v>
      </c>
      <c r="D115" s="1644">
        <v>0</v>
      </c>
      <c r="E115" s="1644">
        <v>0</v>
      </c>
      <c r="F115" s="1644">
        <v>3.28</v>
      </c>
      <c r="G115" s="1644">
        <v>0.35</v>
      </c>
      <c r="H115" s="1644">
        <v>2.1800000000000002</v>
      </c>
      <c r="I115" s="1644">
        <v>2.15</v>
      </c>
      <c r="J115" s="1644">
        <v>0.46</v>
      </c>
      <c r="K115" s="1644">
        <v>1.3</v>
      </c>
      <c r="L115" s="1644">
        <v>1.93</v>
      </c>
      <c r="M115" s="1644">
        <v>0</v>
      </c>
      <c r="N115" s="1644">
        <v>1.58</v>
      </c>
      <c r="O115" s="1644">
        <v>0.3</v>
      </c>
      <c r="P115" s="1644">
        <v>1.55</v>
      </c>
      <c r="Q115" s="1644">
        <v>1.29</v>
      </c>
      <c r="R115" s="1644">
        <v>0.75</v>
      </c>
      <c r="S115" s="1644">
        <v>3.19</v>
      </c>
      <c r="T115" s="1642" t="s">
        <v>550</v>
      </c>
      <c r="U115" s="1644">
        <v>2.57</v>
      </c>
      <c r="V115" s="1644">
        <v>0</v>
      </c>
      <c r="W115" s="1644">
        <v>-7.59</v>
      </c>
      <c r="X115" s="1644">
        <v>1.95</v>
      </c>
      <c r="Y115" s="1644">
        <v>-0.01</v>
      </c>
      <c r="Z115" s="1644">
        <v>2.62</v>
      </c>
      <c r="AA115" s="1644">
        <v>0</v>
      </c>
      <c r="AB115" s="1644">
        <v>2.93</v>
      </c>
      <c r="AC115" s="1644">
        <v>2.1</v>
      </c>
      <c r="AD115" s="1644">
        <v>2.86</v>
      </c>
      <c r="AE115" s="1644">
        <v>-0.11</v>
      </c>
      <c r="AF115" s="1644">
        <v>3.23</v>
      </c>
      <c r="AG115" s="1644">
        <v>0</v>
      </c>
      <c r="AH115" s="1644">
        <v>0.86</v>
      </c>
      <c r="AI115" s="1644">
        <v>3.58</v>
      </c>
      <c r="AJ115" s="1644">
        <v>0</v>
      </c>
      <c r="AK115" s="1644">
        <v>0.53</v>
      </c>
    </row>
    <row r="116" spans="1:37" s="438" customFormat="1" ht="12.75" customHeight="1" x14ac:dyDescent="0.15">
      <c r="A116" s="1848" t="s">
        <v>1484</v>
      </c>
      <c r="B116" s="1642" t="s">
        <v>552</v>
      </c>
      <c r="C116" s="1644">
        <v>-2.12</v>
      </c>
      <c r="D116" s="1644">
        <v>0</v>
      </c>
      <c r="E116" s="1644">
        <v>0</v>
      </c>
      <c r="F116" s="1644">
        <v>-0.43</v>
      </c>
      <c r="G116" s="1644">
        <v>-0.14000000000000001</v>
      </c>
      <c r="H116" s="1644">
        <v>-1.94</v>
      </c>
      <c r="I116" s="1644">
        <v>-1.89</v>
      </c>
      <c r="J116" s="1644">
        <v>-0.14000000000000001</v>
      </c>
      <c r="K116" s="1644">
        <v>0.13</v>
      </c>
      <c r="L116" s="1644">
        <v>0.84</v>
      </c>
      <c r="M116" s="1644">
        <v>0</v>
      </c>
      <c r="N116" s="1644">
        <v>-0.65</v>
      </c>
      <c r="O116" s="1644">
        <v>-0.36</v>
      </c>
      <c r="P116" s="1644">
        <v>0.1</v>
      </c>
      <c r="Q116" s="1644">
        <v>0.43</v>
      </c>
      <c r="R116" s="1644">
        <v>-1.04</v>
      </c>
      <c r="S116" s="1644">
        <v>-1.58</v>
      </c>
      <c r="T116" s="1642" t="s">
        <v>552</v>
      </c>
      <c r="U116" s="1644">
        <v>-2.5</v>
      </c>
      <c r="V116" s="1644">
        <v>0</v>
      </c>
      <c r="W116" s="1644">
        <v>1.56</v>
      </c>
      <c r="X116" s="1644">
        <v>0.78</v>
      </c>
      <c r="Y116" s="1644">
        <v>0.01</v>
      </c>
      <c r="Z116" s="1644">
        <v>-0.38</v>
      </c>
      <c r="AA116" s="1644">
        <v>-0.01</v>
      </c>
      <c r="AB116" s="1644">
        <v>-2.04</v>
      </c>
      <c r="AC116" s="1644">
        <v>-1.28</v>
      </c>
      <c r="AD116" s="1644">
        <v>-2.93</v>
      </c>
      <c r="AE116" s="1644">
        <v>0.17</v>
      </c>
      <c r="AF116" s="1644">
        <v>-1.43</v>
      </c>
      <c r="AG116" s="1644">
        <v>0</v>
      </c>
      <c r="AH116" s="1644">
        <v>-0.94</v>
      </c>
      <c r="AI116" s="1644">
        <v>-0.31</v>
      </c>
      <c r="AJ116" s="1644">
        <v>0</v>
      </c>
      <c r="AK116" s="1644">
        <v>-4.29</v>
      </c>
    </row>
    <row r="117" spans="1:37" s="438" customFormat="1" ht="12.75" customHeight="1" x14ac:dyDescent="0.15">
      <c r="A117" s="1848" t="s">
        <v>1484</v>
      </c>
      <c r="B117" s="1642" t="s">
        <v>553</v>
      </c>
      <c r="C117" s="1644">
        <v>-2.0099999999999998</v>
      </c>
      <c r="D117" s="1644">
        <v>0</v>
      </c>
      <c r="E117" s="1644">
        <v>-0.01</v>
      </c>
      <c r="F117" s="1644">
        <v>-1.19</v>
      </c>
      <c r="G117" s="1644">
        <v>-2.85</v>
      </c>
      <c r="H117" s="1644">
        <v>-0.54</v>
      </c>
      <c r="I117" s="1644">
        <v>-0.69</v>
      </c>
      <c r="J117" s="1644">
        <v>-0.26</v>
      </c>
      <c r="K117" s="1644">
        <v>-4.13</v>
      </c>
      <c r="L117" s="1644">
        <v>-1.75</v>
      </c>
      <c r="M117" s="1644">
        <v>0</v>
      </c>
      <c r="N117" s="1644">
        <v>2.34</v>
      </c>
      <c r="O117" s="1644">
        <v>0.23</v>
      </c>
      <c r="P117" s="1644">
        <v>-2.2799999999999998</v>
      </c>
      <c r="Q117" s="1644">
        <v>-0.79</v>
      </c>
      <c r="R117" s="1644">
        <v>-0.28000000000000003</v>
      </c>
      <c r="S117" s="1644">
        <v>-4.1500000000000004</v>
      </c>
      <c r="T117" s="1642" t="s">
        <v>553</v>
      </c>
      <c r="U117" s="1644">
        <v>-3.26</v>
      </c>
      <c r="V117" s="1644">
        <v>0</v>
      </c>
      <c r="W117" s="1644">
        <v>0.59</v>
      </c>
      <c r="X117" s="1644">
        <v>-2.89</v>
      </c>
      <c r="Y117" s="1644">
        <v>0</v>
      </c>
      <c r="Z117" s="1644">
        <v>-4.8</v>
      </c>
      <c r="AA117" s="1644">
        <v>0.01</v>
      </c>
      <c r="AB117" s="1644">
        <v>-2.91</v>
      </c>
      <c r="AC117" s="1644">
        <v>-1.33</v>
      </c>
      <c r="AD117" s="1644">
        <v>-1.64</v>
      </c>
      <c r="AE117" s="1644">
        <v>-2.38</v>
      </c>
      <c r="AF117" s="1644">
        <v>0.88</v>
      </c>
      <c r="AG117" s="1644">
        <v>0</v>
      </c>
      <c r="AH117" s="1644">
        <v>-0.53</v>
      </c>
      <c r="AI117" s="1644">
        <v>0.46</v>
      </c>
      <c r="AJ117" s="1644">
        <v>0</v>
      </c>
      <c r="AK117" s="1644">
        <v>0.49</v>
      </c>
    </row>
    <row r="118" spans="1:37" s="438" customFormat="1" ht="12.75" customHeight="1" x14ac:dyDescent="0.15">
      <c r="A118" s="1848" t="s">
        <v>1484</v>
      </c>
      <c r="B118" s="1642" t="s">
        <v>547</v>
      </c>
      <c r="C118" s="1644">
        <v>0.47</v>
      </c>
      <c r="D118" s="1644">
        <v>0</v>
      </c>
      <c r="E118" s="1644">
        <v>0.01</v>
      </c>
      <c r="F118" s="1644">
        <v>0.46</v>
      </c>
      <c r="G118" s="1644">
        <v>0.18</v>
      </c>
      <c r="H118" s="1644">
        <v>-1.38</v>
      </c>
      <c r="I118" s="1644">
        <v>-1.25</v>
      </c>
      <c r="J118" s="1644">
        <v>0.05</v>
      </c>
      <c r="K118" s="1644">
        <v>1.87</v>
      </c>
      <c r="L118" s="1644">
        <v>0.46</v>
      </c>
      <c r="M118" s="1644">
        <v>0</v>
      </c>
      <c r="N118" s="1644">
        <v>-1.68</v>
      </c>
      <c r="O118" s="1644">
        <v>-0.15</v>
      </c>
      <c r="P118" s="1644">
        <v>0.91</v>
      </c>
      <c r="Q118" s="1644">
        <v>-0.75</v>
      </c>
      <c r="R118" s="1644">
        <v>-0.55000000000000004</v>
      </c>
      <c r="S118" s="1644">
        <v>-0.65</v>
      </c>
      <c r="T118" s="1642" t="s">
        <v>547</v>
      </c>
      <c r="U118" s="1860">
        <v>-0.34</v>
      </c>
      <c r="V118" s="1643">
        <v>0</v>
      </c>
      <c r="W118" s="1860">
        <v>1.78</v>
      </c>
      <c r="X118" s="1860">
        <v>0.87</v>
      </c>
      <c r="Y118" s="1643">
        <v>0</v>
      </c>
      <c r="Z118" s="1643">
        <v>3.1</v>
      </c>
      <c r="AA118" s="1860">
        <v>-0.02</v>
      </c>
      <c r="AB118" s="1860">
        <v>1.48</v>
      </c>
      <c r="AC118" s="1860">
        <v>0.51</v>
      </c>
      <c r="AD118" s="1643">
        <v>-0.9</v>
      </c>
      <c r="AE118" s="1860">
        <v>-0.89</v>
      </c>
      <c r="AF118" s="1860">
        <v>-0.93</v>
      </c>
      <c r="AG118" s="1860">
        <v>18.05</v>
      </c>
      <c r="AH118" s="1860">
        <v>-0.41</v>
      </c>
      <c r="AI118" s="1643">
        <v>0.2</v>
      </c>
      <c r="AJ118" s="1860">
        <v>0.01</v>
      </c>
      <c r="AK118" s="1860">
        <v>0.64</v>
      </c>
    </row>
    <row r="119" spans="1:37" s="438" customFormat="1" ht="12.75" customHeight="1" x14ac:dyDescent="0.15">
      <c r="A119" s="1848" t="s">
        <v>1484</v>
      </c>
      <c r="B119" s="1642" t="s">
        <v>554</v>
      </c>
      <c r="C119" s="1644">
        <v>2.0299999999999998</v>
      </c>
      <c r="D119" s="1644">
        <v>-0.28999999999999998</v>
      </c>
      <c r="E119" s="1644">
        <v>0</v>
      </c>
      <c r="F119" s="1644">
        <v>0.67</v>
      </c>
      <c r="G119" s="1644">
        <v>0.28000000000000003</v>
      </c>
      <c r="H119" s="1644">
        <v>1.86</v>
      </c>
      <c r="I119" s="1644">
        <v>1.93</v>
      </c>
      <c r="J119" s="1644">
        <v>0</v>
      </c>
      <c r="K119" s="1644">
        <v>-0.63</v>
      </c>
      <c r="L119" s="1644">
        <v>1.3</v>
      </c>
      <c r="M119" s="1644">
        <v>0</v>
      </c>
      <c r="N119" s="1644">
        <v>-0.84</v>
      </c>
      <c r="O119" s="1644">
        <v>0.15</v>
      </c>
      <c r="P119" s="1644">
        <v>0.23</v>
      </c>
      <c r="Q119" s="1644">
        <v>0.2</v>
      </c>
      <c r="R119" s="1644">
        <v>0.78</v>
      </c>
      <c r="S119" s="1644">
        <v>1.46</v>
      </c>
      <c r="T119" s="1642" t="s">
        <v>554</v>
      </c>
      <c r="U119" s="1860">
        <v>-1.1399999999999999</v>
      </c>
      <c r="V119" s="1643">
        <v>0</v>
      </c>
      <c r="W119" s="1860">
        <v>1.01</v>
      </c>
      <c r="X119" s="1860">
        <v>2.2799999999999998</v>
      </c>
      <c r="Y119" s="1643">
        <v>0</v>
      </c>
      <c r="Z119" s="1643">
        <v>1.47</v>
      </c>
      <c r="AA119" s="1860">
        <v>0.02</v>
      </c>
      <c r="AB119" s="1860">
        <v>3.31</v>
      </c>
      <c r="AC119" s="1860">
        <v>1.43</v>
      </c>
      <c r="AD119" s="1643">
        <v>1.86</v>
      </c>
      <c r="AE119" s="1860">
        <v>0.28000000000000003</v>
      </c>
      <c r="AF119" s="1860">
        <v>0.15</v>
      </c>
      <c r="AG119" s="1643">
        <v>0</v>
      </c>
      <c r="AH119" s="1860">
        <v>0.91</v>
      </c>
      <c r="AI119" s="1643">
        <v>1.29</v>
      </c>
      <c r="AJ119" s="1643">
        <v>0</v>
      </c>
      <c r="AK119" s="1643">
        <v>5</v>
      </c>
    </row>
    <row r="120" spans="1:37" s="438" customFormat="1" ht="12.75" customHeight="1" x14ac:dyDescent="0.15">
      <c r="A120" s="1848" t="s">
        <v>1484</v>
      </c>
      <c r="B120" s="1642" t="s">
        <v>555</v>
      </c>
      <c r="C120" s="1644">
        <v>-1.93</v>
      </c>
      <c r="D120" s="1644">
        <v>-0.18</v>
      </c>
      <c r="E120" s="1644">
        <v>-0.01</v>
      </c>
      <c r="F120" s="1644">
        <v>-0.91</v>
      </c>
      <c r="G120" s="1644">
        <v>0.33</v>
      </c>
      <c r="H120" s="1644">
        <v>-1.28</v>
      </c>
      <c r="I120" s="1644">
        <v>-1.26</v>
      </c>
      <c r="J120" s="1644">
        <v>0.17</v>
      </c>
      <c r="K120" s="1644">
        <v>-0.77</v>
      </c>
      <c r="L120" s="1644">
        <v>-0.7</v>
      </c>
      <c r="M120" s="1644">
        <v>0</v>
      </c>
      <c r="N120" s="1644">
        <v>-0.61</v>
      </c>
      <c r="O120" s="1644">
        <v>-0.08</v>
      </c>
      <c r="P120" s="1644">
        <v>0.12</v>
      </c>
      <c r="Q120" s="1644">
        <v>1.19</v>
      </c>
      <c r="R120" s="1644">
        <v>-0.14000000000000001</v>
      </c>
      <c r="S120" s="1644">
        <v>0.47</v>
      </c>
      <c r="T120" s="1642" t="s">
        <v>555</v>
      </c>
      <c r="U120" s="1860">
        <v>0.13</v>
      </c>
      <c r="V120" s="1643">
        <v>0</v>
      </c>
      <c r="W120" s="1643">
        <v>0</v>
      </c>
      <c r="X120" s="1860">
        <v>-0.08</v>
      </c>
      <c r="Y120" s="1643">
        <v>0</v>
      </c>
      <c r="Z120" s="1643">
        <v>-0.38</v>
      </c>
      <c r="AA120" s="1860">
        <v>0.01</v>
      </c>
      <c r="AB120" s="1860">
        <v>-1.81</v>
      </c>
      <c r="AC120" s="1860">
        <v>-0.28000000000000003</v>
      </c>
      <c r="AD120" s="1643">
        <v>0.83</v>
      </c>
      <c r="AE120" s="1860">
        <v>0.35</v>
      </c>
      <c r="AF120" s="1860">
        <v>-0.91</v>
      </c>
      <c r="AG120" s="1643">
        <v>0</v>
      </c>
      <c r="AH120" s="1860">
        <v>-0.27</v>
      </c>
      <c r="AI120" s="1643">
        <v>-0.13</v>
      </c>
      <c r="AJ120" s="1643">
        <v>-0.01</v>
      </c>
      <c r="AK120" s="1643">
        <v>7.0000000000000007E-2</v>
      </c>
    </row>
    <row r="121" spans="1:37" s="438" customFormat="1" ht="12.75" customHeight="1" x14ac:dyDescent="0.15">
      <c r="A121" s="1848" t="s">
        <v>1484</v>
      </c>
      <c r="B121" s="1642" t="s">
        <v>548</v>
      </c>
      <c r="C121" s="1644">
        <v>3.32</v>
      </c>
      <c r="D121" s="1644">
        <v>0</v>
      </c>
      <c r="E121" s="1644">
        <v>0.01</v>
      </c>
      <c r="F121" s="1644">
        <v>1.63</v>
      </c>
      <c r="G121" s="1644">
        <v>0.77</v>
      </c>
      <c r="H121" s="1644">
        <v>1.73</v>
      </c>
      <c r="I121" s="1644">
        <v>1.73</v>
      </c>
      <c r="J121" s="1644">
        <v>0.51</v>
      </c>
      <c r="K121" s="1644">
        <v>0.26</v>
      </c>
      <c r="L121" s="1644">
        <v>1.61</v>
      </c>
      <c r="M121" s="1644">
        <v>0</v>
      </c>
      <c r="N121" s="1644">
        <v>0.59</v>
      </c>
      <c r="O121" s="1644">
        <v>0.3</v>
      </c>
      <c r="P121" s="1644">
        <v>1.95</v>
      </c>
      <c r="Q121" s="1644">
        <v>2.37</v>
      </c>
      <c r="R121" s="1644">
        <v>0.52</v>
      </c>
      <c r="S121" s="1644">
        <v>4.79</v>
      </c>
      <c r="T121" s="1642" t="s">
        <v>548</v>
      </c>
      <c r="U121" s="1860">
        <v>4.03</v>
      </c>
      <c r="V121" s="1643">
        <v>0</v>
      </c>
      <c r="W121" s="1643">
        <v>0.28000000000000003</v>
      </c>
      <c r="X121" s="1860">
        <v>0.12</v>
      </c>
      <c r="Y121" s="1643">
        <v>-0.6</v>
      </c>
      <c r="Z121" s="1643">
        <v>3.03</v>
      </c>
      <c r="AA121" s="1860">
        <v>-0.03</v>
      </c>
      <c r="AB121" s="1860">
        <v>2.14</v>
      </c>
      <c r="AC121" s="1860">
        <v>1.27</v>
      </c>
      <c r="AD121" s="1643">
        <v>2.19</v>
      </c>
      <c r="AE121" s="1643">
        <v>-0.3</v>
      </c>
      <c r="AF121" s="1643">
        <v>3</v>
      </c>
      <c r="AG121" s="1643">
        <v>0</v>
      </c>
      <c r="AH121" s="1860">
        <v>0.72</v>
      </c>
      <c r="AI121" s="1643">
        <v>1.27</v>
      </c>
      <c r="AJ121" s="1643">
        <v>0</v>
      </c>
      <c r="AK121" s="1643">
        <v>1.56</v>
      </c>
    </row>
    <row r="122" spans="1:37" s="438" customFormat="1" ht="12.75" customHeight="1" x14ac:dyDescent="0.15">
      <c r="A122" s="1848" t="s">
        <v>1484</v>
      </c>
      <c r="B122" s="1642" t="s">
        <v>556</v>
      </c>
      <c r="C122" s="1644">
        <v>-3.9</v>
      </c>
      <c r="D122" s="1644">
        <v>0</v>
      </c>
      <c r="E122" s="1644">
        <v>0</v>
      </c>
      <c r="F122" s="1644">
        <v>-1.08</v>
      </c>
      <c r="G122" s="1644">
        <v>1.29</v>
      </c>
      <c r="H122" s="1644">
        <v>-1.52</v>
      </c>
      <c r="I122" s="1644">
        <v>-1.49</v>
      </c>
      <c r="J122" s="1644">
        <v>0.27</v>
      </c>
      <c r="K122" s="1644">
        <v>-0.32</v>
      </c>
      <c r="L122" s="1644">
        <v>1.7</v>
      </c>
      <c r="M122" s="1644">
        <v>0</v>
      </c>
      <c r="N122" s="1644">
        <v>-0.08</v>
      </c>
      <c r="O122" s="1644">
        <v>-0.28000000000000003</v>
      </c>
      <c r="P122" s="1644">
        <v>0.1</v>
      </c>
      <c r="Q122" s="1644">
        <v>0.82</v>
      </c>
      <c r="R122" s="1644">
        <v>-0.36</v>
      </c>
      <c r="S122" s="1644">
        <v>-3.56</v>
      </c>
      <c r="T122" s="1642" t="s">
        <v>556</v>
      </c>
      <c r="U122" s="1860">
        <v>-3.99</v>
      </c>
      <c r="V122" s="1643">
        <v>0</v>
      </c>
      <c r="W122" s="1643">
        <v>0.24</v>
      </c>
      <c r="X122" s="1860">
        <v>-0.31</v>
      </c>
      <c r="Y122" s="1643">
        <v>0.01</v>
      </c>
      <c r="Z122" s="1643">
        <v>-0.86</v>
      </c>
      <c r="AA122" s="1860">
        <v>-0.01</v>
      </c>
      <c r="AB122" s="1860">
        <v>-2.65</v>
      </c>
      <c r="AC122" s="1860">
        <v>-0.95</v>
      </c>
      <c r="AD122" s="1643">
        <v>-3.07</v>
      </c>
      <c r="AE122" s="1643">
        <v>0.12</v>
      </c>
      <c r="AF122" s="1643">
        <v>-0.01</v>
      </c>
      <c r="AG122" s="1643">
        <v>0</v>
      </c>
      <c r="AH122" s="1643">
        <v>-0.5</v>
      </c>
      <c r="AI122" s="1643">
        <v>-4.0999999999999996</v>
      </c>
      <c r="AJ122" s="1643">
        <v>0</v>
      </c>
      <c r="AK122" s="1643">
        <v>-0.14000000000000001</v>
      </c>
    </row>
    <row r="123" spans="1:37" s="438" customFormat="1" ht="12.75" customHeight="1" x14ac:dyDescent="0.15">
      <c r="A123" s="1848" t="s">
        <v>1484</v>
      </c>
      <c r="B123" s="1642" t="s">
        <v>557</v>
      </c>
      <c r="C123" s="1644">
        <v>-2.27</v>
      </c>
      <c r="D123" s="1644">
        <v>-0.06</v>
      </c>
      <c r="E123" s="1644">
        <v>0.09</v>
      </c>
      <c r="F123" s="1644">
        <v>-1.36</v>
      </c>
      <c r="G123" s="1644">
        <v>-1.7</v>
      </c>
      <c r="H123" s="1644">
        <v>-0.27</v>
      </c>
      <c r="I123" s="1644">
        <v>-0.28999999999999998</v>
      </c>
      <c r="J123" s="1644">
        <v>-0.35</v>
      </c>
      <c r="K123" s="1644">
        <v>-0.15</v>
      </c>
      <c r="L123" s="1644">
        <v>-3.77</v>
      </c>
      <c r="M123" s="1644">
        <v>0</v>
      </c>
      <c r="N123" s="1644">
        <v>-0.56999999999999995</v>
      </c>
      <c r="O123" s="1644">
        <v>-0.62</v>
      </c>
      <c r="P123" s="1644">
        <v>-3.25</v>
      </c>
      <c r="Q123" s="1644">
        <v>2.02</v>
      </c>
      <c r="R123" s="1644">
        <v>-0.87</v>
      </c>
      <c r="S123" s="1644">
        <v>-2.76</v>
      </c>
      <c r="T123" s="1642" t="s">
        <v>557</v>
      </c>
      <c r="U123" s="1860">
        <v>-2.2400000000000002</v>
      </c>
      <c r="V123" s="1643">
        <v>0</v>
      </c>
      <c r="W123" s="1643">
        <v>0.18</v>
      </c>
      <c r="X123" s="1860">
        <v>-0.22</v>
      </c>
      <c r="Y123" s="1643">
        <v>0.59</v>
      </c>
      <c r="Z123" s="1643">
        <v>-4.04</v>
      </c>
      <c r="AA123" s="1860">
        <v>-0.03</v>
      </c>
      <c r="AB123" s="1860">
        <v>-2.31</v>
      </c>
      <c r="AC123" s="1643">
        <v>-2.4</v>
      </c>
      <c r="AD123" s="1643">
        <v>-0.7</v>
      </c>
      <c r="AE123" s="1643">
        <v>-0.32</v>
      </c>
      <c r="AF123" s="1643">
        <v>0.19</v>
      </c>
      <c r="AG123" s="1643">
        <v>0</v>
      </c>
      <c r="AH123" s="1860">
        <v>-0.45</v>
      </c>
      <c r="AI123" s="1643">
        <v>-1.63</v>
      </c>
      <c r="AJ123" s="1643">
        <v>0</v>
      </c>
      <c r="AK123" s="1643">
        <v>-1.6</v>
      </c>
    </row>
    <row r="124" spans="1:37" s="438" customFormat="1" ht="12.75" customHeight="1" x14ac:dyDescent="0.15">
      <c r="A124" s="1848" t="s">
        <v>1484</v>
      </c>
      <c r="B124" s="1642" t="s">
        <v>549</v>
      </c>
      <c r="C124" s="1644">
        <v>-9.3000000000000007</v>
      </c>
      <c r="D124" s="1644">
        <v>0</v>
      </c>
      <c r="E124" s="1644">
        <v>-0.37</v>
      </c>
      <c r="F124" s="1644">
        <v>-7.41</v>
      </c>
      <c r="G124" s="1644">
        <v>-0.96</v>
      </c>
      <c r="H124" s="1644">
        <v>-1.86</v>
      </c>
      <c r="I124" s="1644">
        <v>-1.92</v>
      </c>
      <c r="J124" s="1644">
        <v>0.52</v>
      </c>
      <c r="K124" s="1644">
        <v>-6.18</v>
      </c>
      <c r="L124" s="1644">
        <v>-14</v>
      </c>
      <c r="M124" s="1644">
        <v>0</v>
      </c>
      <c r="N124" s="1644">
        <v>-1.47</v>
      </c>
      <c r="O124" s="1644">
        <v>-2.16</v>
      </c>
      <c r="P124" s="1644">
        <v>-3.82</v>
      </c>
      <c r="Q124" s="1644">
        <v>2.2799999999999998</v>
      </c>
      <c r="R124" s="1644">
        <v>-1.27</v>
      </c>
      <c r="S124" s="1644">
        <v>-7.61</v>
      </c>
      <c r="T124" s="1642" t="s">
        <v>549</v>
      </c>
      <c r="U124" s="1860">
        <v>-15.61</v>
      </c>
      <c r="V124" s="1643">
        <v>-0.03</v>
      </c>
      <c r="W124" s="1643">
        <v>-3.28</v>
      </c>
      <c r="X124" s="1860">
        <v>-0.08</v>
      </c>
      <c r="Y124" s="1643">
        <v>-0.01</v>
      </c>
      <c r="Z124" s="1643">
        <v>-16.649999999999999</v>
      </c>
      <c r="AA124" s="1860">
        <v>-0.09</v>
      </c>
      <c r="AB124" s="1860">
        <v>-1.07</v>
      </c>
      <c r="AC124" s="1860">
        <v>-3.54</v>
      </c>
      <c r="AD124" s="1643">
        <v>-3.88</v>
      </c>
      <c r="AE124" s="1643">
        <v>-2.75</v>
      </c>
      <c r="AF124" s="1643">
        <v>-1.43</v>
      </c>
      <c r="AG124" s="1643">
        <v>0</v>
      </c>
      <c r="AH124" s="1643">
        <v>-1.1000000000000001</v>
      </c>
      <c r="AI124" s="1643">
        <v>-3.59</v>
      </c>
      <c r="AJ124" s="1643">
        <v>0</v>
      </c>
      <c r="AK124" s="1643">
        <v>-8.75</v>
      </c>
    </row>
    <row r="125" spans="1:37" s="438" customFormat="1" ht="12.75" customHeight="1" x14ac:dyDescent="0.15">
      <c r="A125" s="1848" t="s">
        <v>1484</v>
      </c>
      <c r="B125" s="1642" t="s">
        <v>558</v>
      </c>
      <c r="C125" s="1644">
        <v>8.34</v>
      </c>
      <c r="D125" s="1644">
        <v>0</v>
      </c>
      <c r="E125" s="1644">
        <v>0.27</v>
      </c>
      <c r="F125" s="1644">
        <v>2.56</v>
      </c>
      <c r="G125" s="1644">
        <v>-0.28999999999999998</v>
      </c>
      <c r="H125" s="1644">
        <v>0.4</v>
      </c>
      <c r="I125" s="1644">
        <v>0.26</v>
      </c>
      <c r="J125" s="1644">
        <v>0.02</v>
      </c>
      <c r="K125" s="1644">
        <v>1.34</v>
      </c>
      <c r="L125" s="1644">
        <v>10.220000000000001</v>
      </c>
      <c r="M125" s="1644">
        <v>0</v>
      </c>
      <c r="N125" s="1644">
        <v>3.92</v>
      </c>
      <c r="O125" s="1644">
        <v>1.1000000000000001</v>
      </c>
      <c r="P125" s="1644">
        <v>1.36</v>
      </c>
      <c r="Q125" s="1644">
        <v>7.0000000000000007E-2</v>
      </c>
      <c r="R125" s="1644">
        <v>1.49</v>
      </c>
      <c r="S125" s="1644">
        <v>2.81</v>
      </c>
      <c r="T125" s="1642" t="s">
        <v>558</v>
      </c>
      <c r="U125" s="1860">
        <v>9.4700000000000006</v>
      </c>
      <c r="V125" s="1643">
        <v>0.16</v>
      </c>
      <c r="W125" s="1643">
        <v>-0.78</v>
      </c>
      <c r="X125" s="1860">
        <v>1.29</v>
      </c>
      <c r="Y125" s="1643">
        <v>0.02</v>
      </c>
      <c r="Z125" s="1643">
        <v>7.39</v>
      </c>
      <c r="AA125" s="1860">
        <v>0.01</v>
      </c>
      <c r="AB125" s="1860">
        <v>0.1</v>
      </c>
      <c r="AC125" s="1860">
        <v>1.85</v>
      </c>
      <c r="AD125" s="1643">
        <v>2.63</v>
      </c>
      <c r="AE125" s="1643">
        <v>-2.0699999999999998</v>
      </c>
      <c r="AF125" s="1643">
        <v>0.98</v>
      </c>
      <c r="AG125" s="1643">
        <v>-14.91</v>
      </c>
      <c r="AH125" s="1643">
        <v>0.6</v>
      </c>
      <c r="AI125" s="1643">
        <v>2.19</v>
      </c>
      <c r="AJ125" s="1643">
        <v>0</v>
      </c>
      <c r="AK125" s="1643">
        <v>4.01</v>
      </c>
    </row>
    <row r="126" spans="1:37" s="438" customFormat="1" ht="12.75" customHeight="1" x14ac:dyDescent="0.15">
      <c r="A126" s="1848" t="s">
        <v>1484</v>
      </c>
      <c r="B126" s="1642" t="s">
        <v>559</v>
      </c>
      <c r="C126" s="1644">
        <v>3.28</v>
      </c>
      <c r="D126" s="1644">
        <v>0</v>
      </c>
      <c r="E126" s="1644">
        <v>-0.05</v>
      </c>
      <c r="F126" s="1644">
        <v>2.39</v>
      </c>
      <c r="G126" s="1644">
        <v>-0.52</v>
      </c>
      <c r="H126" s="1644">
        <v>2.72</v>
      </c>
      <c r="I126" s="1644">
        <v>2.6</v>
      </c>
      <c r="J126" s="1644">
        <v>0</v>
      </c>
      <c r="K126" s="1644">
        <v>-0.32</v>
      </c>
      <c r="L126" s="1644">
        <v>2.2200000000000002</v>
      </c>
      <c r="M126" s="1644">
        <v>0</v>
      </c>
      <c r="N126" s="1644">
        <v>-0.7</v>
      </c>
      <c r="O126" s="1644">
        <v>0.31</v>
      </c>
      <c r="P126" s="1644">
        <v>-0.22</v>
      </c>
      <c r="Q126" s="1644">
        <v>7.0000000000000007E-2</v>
      </c>
      <c r="R126" s="1644">
        <v>0.45</v>
      </c>
      <c r="S126" s="1644">
        <v>3.52</v>
      </c>
      <c r="T126" s="1642" t="s">
        <v>559</v>
      </c>
      <c r="U126" s="1860">
        <v>4.42</v>
      </c>
      <c r="V126" s="1643">
        <v>0.13</v>
      </c>
      <c r="W126" s="1643">
        <v>-0.73</v>
      </c>
      <c r="X126" s="1860">
        <v>-0.18</v>
      </c>
      <c r="Y126" s="1643">
        <v>-0.51</v>
      </c>
      <c r="Z126" s="1643">
        <v>3.94</v>
      </c>
      <c r="AA126" s="1860">
        <v>-0.05</v>
      </c>
      <c r="AB126" s="1860">
        <v>-0.28999999999999998</v>
      </c>
      <c r="AC126" s="1860">
        <v>0.41</v>
      </c>
      <c r="AD126" s="1643">
        <v>4.04</v>
      </c>
      <c r="AE126" s="1643">
        <v>2.5499999999999998</v>
      </c>
      <c r="AF126" s="1643">
        <v>1.1200000000000001</v>
      </c>
      <c r="AG126" s="1643">
        <v>0</v>
      </c>
      <c r="AH126" s="1643">
        <v>0.67</v>
      </c>
      <c r="AI126" s="1643">
        <v>0.94</v>
      </c>
      <c r="AJ126" s="1643">
        <v>0</v>
      </c>
      <c r="AK126" s="1643">
        <v>0.94</v>
      </c>
    </row>
    <row r="127" spans="1:37" s="438" customFormat="1" ht="12.75" customHeight="1" x14ac:dyDescent="0.15">
      <c r="A127" s="1848" t="s">
        <v>1484</v>
      </c>
      <c r="B127" s="1642" t="s">
        <v>550</v>
      </c>
      <c r="C127" s="1644">
        <v>2.97</v>
      </c>
      <c r="D127" s="1644">
        <v>0.06</v>
      </c>
      <c r="E127" s="1644">
        <v>-0.09</v>
      </c>
      <c r="F127" s="1644">
        <v>0.82</v>
      </c>
      <c r="G127" s="1644">
        <v>0.74</v>
      </c>
      <c r="H127" s="1644">
        <v>1.23</v>
      </c>
      <c r="I127" s="1644">
        <v>1.29</v>
      </c>
      <c r="J127" s="1644">
        <v>0.01</v>
      </c>
      <c r="K127" s="1644">
        <v>0.13</v>
      </c>
      <c r="L127" s="1644">
        <v>2.52</v>
      </c>
      <c r="M127" s="1644">
        <v>0</v>
      </c>
      <c r="N127" s="1644">
        <v>0.2</v>
      </c>
      <c r="O127" s="1644">
        <v>0.19</v>
      </c>
      <c r="P127" s="1644">
        <v>1.51</v>
      </c>
      <c r="Q127" s="1644">
        <v>1.48</v>
      </c>
      <c r="R127" s="1644">
        <v>0.46</v>
      </c>
      <c r="S127" s="1644">
        <v>3.51</v>
      </c>
      <c r="T127" s="1642" t="s">
        <v>550</v>
      </c>
      <c r="U127" s="1860">
        <v>0.65</v>
      </c>
      <c r="V127" s="1643">
        <v>-0.26</v>
      </c>
      <c r="W127" s="1643">
        <v>-3.42</v>
      </c>
      <c r="X127" s="1860">
        <v>1.37</v>
      </c>
      <c r="Y127" s="1643">
        <v>0.51</v>
      </c>
      <c r="Z127" s="1643">
        <v>0.12</v>
      </c>
      <c r="AA127" s="1860">
        <v>0.19</v>
      </c>
      <c r="AB127" s="1860">
        <v>2.94</v>
      </c>
      <c r="AC127" s="1860">
        <v>1.48</v>
      </c>
      <c r="AD127" s="1643">
        <v>1.43</v>
      </c>
      <c r="AE127" s="1643">
        <v>0.05</v>
      </c>
      <c r="AF127" s="1643">
        <v>1.05</v>
      </c>
      <c r="AG127" s="1643">
        <v>-0.28999999999999998</v>
      </c>
      <c r="AH127" s="1643">
        <v>0.56999999999999995</v>
      </c>
      <c r="AI127" s="1643">
        <v>3.03</v>
      </c>
      <c r="AJ127" s="1643">
        <v>0</v>
      </c>
      <c r="AK127" s="1643">
        <v>-0.38</v>
      </c>
    </row>
    <row r="128" spans="1:37" s="438" customFormat="1" ht="12.75" customHeight="1" x14ac:dyDescent="0.15">
      <c r="A128" s="1848" t="s">
        <v>1536</v>
      </c>
      <c r="B128" s="1642" t="s">
        <v>552</v>
      </c>
      <c r="C128" s="1644">
        <v>4.71</v>
      </c>
      <c r="D128" s="1644">
        <v>0.12</v>
      </c>
      <c r="E128" s="1644">
        <v>0.16</v>
      </c>
      <c r="F128" s="1644">
        <v>2.38</v>
      </c>
      <c r="G128" s="1644">
        <v>1.28</v>
      </c>
      <c r="H128" s="1644">
        <v>5.0199999999999996</v>
      </c>
      <c r="I128" s="1644">
        <v>4.8899999999999997</v>
      </c>
      <c r="J128" s="1644">
        <v>0.01</v>
      </c>
      <c r="K128" s="1644">
        <v>0.75</v>
      </c>
      <c r="L128" s="1644">
        <v>-2.21</v>
      </c>
      <c r="M128" s="1644">
        <v>0</v>
      </c>
      <c r="N128" s="1644">
        <v>2.5299999999999998</v>
      </c>
      <c r="O128" s="1644">
        <v>0.64</v>
      </c>
      <c r="P128" s="1644">
        <v>0.88</v>
      </c>
      <c r="Q128" s="1644">
        <v>0.95</v>
      </c>
      <c r="R128" s="1644">
        <v>1.97</v>
      </c>
      <c r="S128" s="1644">
        <v>3.86</v>
      </c>
      <c r="T128" s="1642" t="s">
        <v>552</v>
      </c>
      <c r="U128" s="1643">
        <v>7.12</v>
      </c>
      <c r="V128" s="1643">
        <v>0</v>
      </c>
      <c r="W128" s="1643">
        <v>0.52</v>
      </c>
      <c r="X128" s="1643">
        <v>-0.03</v>
      </c>
      <c r="Y128" s="1643">
        <v>0</v>
      </c>
      <c r="Z128" s="1643">
        <v>-3.46</v>
      </c>
      <c r="AA128" s="1643">
        <v>0</v>
      </c>
      <c r="AB128" s="1643">
        <v>0.45</v>
      </c>
      <c r="AC128" s="1643">
        <v>1.47</v>
      </c>
      <c r="AD128" s="1643">
        <v>6.92</v>
      </c>
      <c r="AE128" s="1643">
        <v>0.23</v>
      </c>
      <c r="AF128" s="1643">
        <v>4.25</v>
      </c>
      <c r="AG128" s="1643">
        <v>-59.09</v>
      </c>
      <c r="AH128" s="1643">
        <v>1.97</v>
      </c>
      <c r="AI128" s="1643">
        <v>-1.55</v>
      </c>
      <c r="AJ128" s="1643">
        <v>0</v>
      </c>
      <c r="AK128" s="1643">
        <v>5.67</v>
      </c>
    </row>
    <row r="129" spans="1:37" s="438" customFormat="1" ht="12.75" customHeight="1" x14ac:dyDescent="0.15">
      <c r="A129" s="1848" t="s">
        <v>1536</v>
      </c>
      <c r="B129" s="1642" t="s">
        <v>553</v>
      </c>
      <c r="C129" s="1644">
        <v>2.4900000000000002</v>
      </c>
      <c r="D129" s="1644">
        <v>-0.03</v>
      </c>
      <c r="E129" s="1644">
        <v>0</v>
      </c>
      <c r="F129" s="1644">
        <v>1.86</v>
      </c>
      <c r="G129" s="1644">
        <v>1.89</v>
      </c>
      <c r="H129" s="1644">
        <v>0.97</v>
      </c>
      <c r="I129" s="1644">
        <v>0.96</v>
      </c>
      <c r="J129" s="1644">
        <v>-0.01</v>
      </c>
      <c r="K129" s="1644">
        <v>2.5099999999999998</v>
      </c>
      <c r="L129" s="1644">
        <v>0.41</v>
      </c>
      <c r="M129" s="1644">
        <v>0</v>
      </c>
      <c r="N129" s="1644">
        <v>-0.41</v>
      </c>
      <c r="O129" s="1644">
        <v>0.1</v>
      </c>
      <c r="P129" s="1644">
        <v>1.85</v>
      </c>
      <c r="Q129" s="1644">
        <v>2.17</v>
      </c>
      <c r="R129" s="1644">
        <v>0.92</v>
      </c>
      <c r="S129" s="1644">
        <v>1.1100000000000001</v>
      </c>
      <c r="T129" s="1642" t="s">
        <v>553</v>
      </c>
      <c r="U129" s="1643">
        <v>2.65</v>
      </c>
      <c r="V129" s="1643">
        <v>0</v>
      </c>
      <c r="W129" s="1643">
        <v>-0.39</v>
      </c>
      <c r="X129" s="1643">
        <v>2.89</v>
      </c>
      <c r="Y129" s="1643">
        <v>-0.02</v>
      </c>
      <c r="Z129" s="1643">
        <v>-2.1800000000000002</v>
      </c>
      <c r="AA129" s="1643">
        <v>0.01</v>
      </c>
      <c r="AB129" s="1643">
        <v>0.65</v>
      </c>
      <c r="AC129" s="1643">
        <v>1.1299999999999999</v>
      </c>
      <c r="AD129" s="1643">
        <v>1.17</v>
      </c>
      <c r="AE129" s="1643">
        <v>-0.28000000000000003</v>
      </c>
      <c r="AF129" s="1643">
        <v>0.95</v>
      </c>
      <c r="AG129" s="1643">
        <v>0</v>
      </c>
      <c r="AH129" s="1643">
        <v>0.82</v>
      </c>
      <c r="AI129" s="1643">
        <v>1.05</v>
      </c>
      <c r="AJ129" s="1643">
        <v>0</v>
      </c>
      <c r="AK129" s="1643">
        <v>2.74</v>
      </c>
    </row>
    <row r="130" spans="1:37" s="438" customFormat="1" ht="12.75" customHeight="1" x14ac:dyDescent="0.15">
      <c r="A130" s="1848" t="s">
        <v>1536</v>
      </c>
      <c r="B130" s="1642" t="s">
        <v>547</v>
      </c>
      <c r="C130" s="1644">
        <v>-3.24</v>
      </c>
      <c r="D130" s="1644">
        <v>-0.02</v>
      </c>
      <c r="E130" s="1644">
        <v>-0.04</v>
      </c>
      <c r="F130" s="1644">
        <v>-2.17</v>
      </c>
      <c r="G130" s="1644">
        <v>0.74</v>
      </c>
      <c r="H130" s="1644">
        <v>-1.41</v>
      </c>
      <c r="I130" s="1644">
        <v>-1.35</v>
      </c>
      <c r="J130" s="1644">
        <v>0.01</v>
      </c>
      <c r="K130" s="1644">
        <v>-0.87</v>
      </c>
      <c r="L130" s="1644">
        <v>-2.36</v>
      </c>
      <c r="M130" s="1644">
        <v>0</v>
      </c>
      <c r="N130" s="1644">
        <v>-0.28000000000000003</v>
      </c>
      <c r="O130" s="1644">
        <v>-0.28000000000000003</v>
      </c>
      <c r="P130" s="1644">
        <v>0.17</v>
      </c>
      <c r="Q130" s="1644">
        <v>2.37</v>
      </c>
      <c r="R130" s="1644">
        <v>-0.83</v>
      </c>
      <c r="S130" s="1644">
        <v>-2.2999999999999998</v>
      </c>
      <c r="T130" s="1642" t="s">
        <v>547</v>
      </c>
      <c r="U130" s="1643">
        <v>-6.61</v>
      </c>
      <c r="V130" s="1643">
        <v>0</v>
      </c>
      <c r="W130" s="1643">
        <v>1.1100000000000001</v>
      </c>
      <c r="X130" s="1643">
        <v>-0.06</v>
      </c>
      <c r="Y130" s="1643">
        <v>0.02</v>
      </c>
      <c r="Z130" s="1643">
        <v>-5.93</v>
      </c>
      <c r="AA130" s="1643">
        <v>-0.01</v>
      </c>
      <c r="AB130" s="1643">
        <v>1.22</v>
      </c>
      <c r="AC130" s="1643">
        <v>-0.77</v>
      </c>
      <c r="AD130" s="1643">
        <v>-4</v>
      </c>
      <c r="AE130" s="1643">
        <v>0.61</v>
      </c>
      <c r="AF130" s="1643">
        <v>-1.68</v>
      </c>
      <c r="AG130" s="1643">
        <v>0</v>
      </c>
      <c r="AH130" s="1643">
        <v>-0.79</v>
      </c>
      <c r="AI130" s="1643">
        <v>-1.99</v>
      </c>
      <c r="AJ130" s="1643">
        <v>0</v>
      </c>
      <c r="AK130" s="1643">
        <v>-3.66</v>
      </c>
    </row>
    <row r="131" spans="1:37" s="438" customFormat="1" ht="12.75" customHeight="1" x14ac:dyDescent="0.15">
      <c r="A131" s="1848" t="s">
        <v>1536</v>
      </c>
      <c r="B131" s="1642" t="s">
        <v>554</v>
      </c>
      <c r="C131" s="1644">
        <v>-1.1599999999999999</v>
      </c>
      <c r="D131" s="1644">
        <v>0.05</v>
      </c>
      <c r="E131" s="1644">
        <v>0.03</v>
      </c>
      <c r="F131" s="1644">
        <v>0.51</v>
      </c>
      <c r="G131" s="1644">
        <v>1.25</v>
      </c>
      <c r="H131" s="1644">
        <v>0.04</v>
      </c>
      <c r="I131" s="1644">
        <v>0.01</v>
      </c>
      <c r="J131" s="1644">
        <v>0</v>
      </c>
      <c r="K131" s="1644">
        <v>-0.57999999999999996</v>
      </c>
      <c r="L131" s="1644">
        <v>1.88</v>
      </c>
      <c r="M131" s="1644">
        <v>0</v>
      </c>
      <c r="N131" s="1644">
        <v>1.28</v>
      </c>
      <c r="O131" s="1644">
        <v>0.2</v>
      </c>
      <c r="P131" s="1644">
        <v>0.05</v>
      </c>
      <c r="Q131" s="1644">
        <v>1.59</v>
      </c>
      <c r="R131" s="1644">
        <v>0.79</v>
      </c>
      <c r="S131" s="1644">
        <v>0.76</v>
      </c>
      <c r="T131" s="1642" t="s">
        <v>554</v>
      </c>
      <c r="U131" s="1643">
        <v>0.54</v>
      </c>
      <c r="V131" s="1643">
        <v>-0.01</v>
      </c>
      <c r="W131" s="1643">
        <v>3.18</v>
      </c>
      <c r="X131" s="1643">
        <v>0.1</v>
      </c>
      <c r="Y131" s="1643">
        <v>-0.02</v>
      </c>
      <c r="Z131" s="1643">
        <v>-0.06</v>
      </c>
      <c r="AA131" s="1643">
        <v>0.01</v>
      </c>
      <c r="AB131" s="1643">
        <v>3.23</v>
      </c>
      <c r="AC131" s="1643">
        <v>0.26</v>
      </c>
      <c r="AD131" s="1643">
        <v>1.66</v>
      </c>
      <c r="AE131" s="1643">
        <v>0.47</v>
      </c>
      <c r="AF131" s="1643">
        <v>0.97</v>
      </c>
      <c r="AG131" s="1643">
        <v>0</v>
      </c>
      <c r="AH131" s="1643">
        <v>0.34</v>
      </c>
      <c r="AI131" s="1643">
        <v>1.42</v>
      </c>
      <c r="AJ131" s="1643">
        <v>0</v>
      </c>
      <c r="AK131" s="1643">
        <v>0.93</v>
      </c>
    </row>
    <row r="132" spans="1:37" s="438" customFormat="1" ht="12.75" customHeight="1" x14ac:dyDescent="0.15">
      <c r="A132" s="1848" t="s">
        <v>1536</v>
      </c>
      <c r="B132" s="1642" t="s">
        <v>555</v>
      </c>
      <c r="C132" s="1644">
        <v>4.83</v>
      </c>
      <c r="D132" s="1644">
        <v>0</v>
      </c>
      <c r="E132" s="1644">
        <v>0</v>
      </c>
      <c r="F132" s="1644">
        <v>2.56</v>
      </c>
      <c r="G132" s="1644">
        <v>2.33</v>
      </c>
      <c r="H132" s="1644">
        <v>1.87</v>
      </c>
      <c r="I132" s="1644">
        <v>1.86</v>
      </c>
      <c r="J132" s="1644">
        <v>-0.01</v>
      </c>
      <c r="K132" s="1644">
        <v>0.34</v>
      </c>
      <c r="L132" s="1644">
        <v>3.69</v>
      </c>
      <c r="M132" s="1644">
        <v>0</v>
      </c>
      <c r="N132" s="1644">
        <v>0.22</v>
      </c>
      <c r="O132" s="1644">
        <v>0.08</v>
      </c>
      <c r="P132" s="1644">
        <v>2.15</v>
      </c>
      <c r="Q132" s="1644">
        <v>-2.13</v>
      </c>
      <c r="R132" s="1644">
        <v>0.48</v>
      </c>
      <c r="S132" s="1644">
        <v>5.84</v>
      </c>
      <c r="T132" s="1642" t="s">
        <v>555</v>
      </c>
      <c r="U132" s="1643">
        <v>6.07</v>
      </c>
      <c r="V132" s="1643">
        <v>0.01</v>
      </c>
      <c r="W132" s="1643">
        <v>0.76</v>
      </c>
      <c r="X132" s="1643">
        <v>0.54</v>
      </c>
      <c r="Y132" s="1643">
        <v>0</v>
      </c>
      <c r="Z132" s="1643">
        <v>3.86</v>
      </c>
      <c r="AA132" s="1643">
        <v>-0.01</v>
      </c>
      <c r="AB132" s="1643">
        <v>2.54</v>
      </c>
      <c r="AC132" s="1643">
        <v>1.99</v>
      </c>
      <c r="AD132" s="1643">
        <v>3.98</v>
      </c>
      <c r="AE132" s="1643">
        <v>-0.56999999999999995</v>
      </c>
      <c r="AF132" s="1643">
        <v>0.69</v>
      </c>
      <c r="AG132" s="1643">
        <v>0</v>
      </c>
      <c r="AH132" s="1643">
        <v>0.94</v>
      </c>
      <c r="AI132" s="1643">
        <v>3.15</v>
      </c>
      <c r="AJ132" s="1643">
        <v>0</v>
      </c>
      <c r="AK132" s="1643">
        <v>2.57</v>
      </c>
    </row>
    <row r="133" spans="1:37" s="438" customFormat="1" ht="12.75" customHeight="1" x14ac:dyDescent="0.15">
      <c r="A133" s="1848" t="s">
        <v>1536</v>
      </c>
      <c r="B133" s="1642" t="s">
        <v>548</v>
      </c>
      <c r="C133" s="1644">
        <v>4.07</v>
      </c>
      <c r="D133" s="1644">
        <v>0</v>
      </c>
      <c r="E133" s="1644">
        <v>0</v>
      </c>
      <c r="F133" s="1644">
        <v>1.79</v>
      </c>
      <c r="G133" s="1644">
        <v>0.73</v>
      </c>
      <c r="H133" s="1644">
        <v>2.83</v>
      </c>
      <c r="I133" s="1644">
        <v>2.79</v>
      </c>
      <c r="J133" s="1644">
        <v>-0.03</v>
      </c>
      <c r="K133" s="1644">
        <v>1.08</v>
      </c>
      <c r="L133" s="1644">
        <v>0.39</v>
      </c>
      <c r="M133" s="1644">
        <v>0</v>
      </c>
      <c r="N133" s="1644">
        <v>0.87</v>
      </c>
      <c r="O133" s="1644">
        <v>0.36</v>
      </c>
      <c r="P133" s="1644">
        <v>1.34</v>
      </c>
      <c r="Q133" s="1644">
        <v>-0.98</v>
      </c>
      <c r="R133" s="1644">
        <v>1.1100000000000001</v>
      </c>
      <c r="S133" s="1644">
        <v>2.57</v>
      </c>
      <c r="T133" s="1642" t="s">
        <v>548</v>
      </c>
      <c r="U133" s="1643">
        <v>3.43</v>
      </c>
      <c r="V133" s="1643">
        <v>0</v>
      </c>
      <c r="W133" s="1643">
        <v>-0.79</v>
      </c>
      <c r="X133" s="1643">
        <v>0.21</v>
      </c>
      <c r="Y133" s="1643">
        <v>0.02</v>
      </c>
      <c r="Z133" s="1643">
        <v>3.36</v>
      </c>
      <c r="AA133" s="1643">
        <v>-0.04</v>
      </c>
      <c r="AB133" s="1643">
        <v>1.78</v>
      </c>
      <c r="AC133" s="1643">
        <v>1.17</v>
      </c>
      <c r="AD133" s="1643">
        <v>3.53</v>
      </c>
      <c r="AE133" s="1643">
        <v>-0.38</v>
      </c>
      <c r="AF133" s="1643">
        <v>2.62</v>
      </c>
      <c r="AG133" s="1643">
        <v>0</v>
      </c>
      <c r="AH133" s="1643">
        <v>1.05</v>
      </c>
      <c r="AI133" s="1643">
        <v>1.1399999999999999</v>
      </c>
      <c r="AJ133" s="1643">
        <v>0</v>
      </c>
      <c r="AK133" s="1643">
        <v>2.3199999999999998</v>
      </c>
    </row>
    <row r="134" spans="1:37" s="438" customFormat="1" ht="12.75" customHeight="1" x14ac:dyDescent="0.15">
      <c r="A134" s="1848" t="s">
        <v>1536</v>
      </c>
      <c r="B134" s="1642" t="s">
        <v>556</v>
      </c>
      <c r="C134" s="1644">
        <v>-0.55000000000000004</v>
      </c>
      <c r="D134" s="1644">
        <v>0</v>
      </c>
      <c r="E134" s="1644">
        <v>0.01</v>
      </c>
      <c r="F134" s="1644">
        <v>-0.15</v>
      </c>
      <c r="G134" s="1644">
        <v>0.83</v>
      </c>
      <c r="H134" s="1644">
        <v>-1.28</v>
      </c>
      <c r="I134" s="1644">
        <v>-1.31</v>
      </c>
      <c r="J134" s="1644">
        <v>-0.01</v>
      </c>
      <c r="K134" s="1644">
        <v>0.33</v>
      </c>
      <c r="L134" s="1644">
        <v>0.14000000000000001</v>
      </c>
      <c r="M134" s="1644">
        <v>0</v>
      </c>
      <c r="N134" s="1644">
        <v>-1.44</v>
      </c>
      <c r="O134" s="1644">
        <v>0.51</v>
      </c>
      <c r="P134" s="1644">
        <v>-0.68</v>
      </c>
      <c r="Q134" s="1644">
        <v>-0.15</v>
      </c>
      <c r="R134" s="1644">
        <v>0.03</v>
      </c>
      <c r="S134" s="1644">
        <v>-0.19</v>
      </c>
      <c r="T134" s="1642" t="s">
        <v>556</v>
      </c>
      <c r="U134" s="1643">
        <v>-0.18</v>
      </c>
      <c r="V134" s="1643">
        <v>0</v>
      </c>
      <c r="W134" s="1643">
        <v>0.12</v>
      </c>
      <c r="X134" s="1643">
        <v>-0.1</v>
      </c>
      <c r="Y134" s="1643">
        <v>-0.02</v>
      </c>
      <c r="Z134" s="1643">
        <v>-2.99</v>
      </c>
      <c r="AA134" s="1643">
        <v>0.03</v>
      </c>
      <c r="AB134" s="1643">
        <v>-2.98</v>
      </c>
      <c r="AC134" s="1643">
        <v>-0.44</v>
      </c>
      <c r="AD134" s="1643">
        <v>-1.82</v>
      </c>
      <c r="AE134" s="1643">
        <v>-2.4900000000000002</v>
      </c>
      <c r="AF134" s="1643">
        <v>-1.04</v>
      </c>
      <c r="AG134" s="1643">
        <v>0</v>
      </c>
      <c r="AH134" s="1643">
        <v>0.03</v>
      </c>
      <c r="AI134" s="1643">
        <v>0.22</v>
      </c>
      <c r="AJ134" s="1643">
        <v>0</v>
      </c>
      <c r="AK134" s="1643">
        <v>0.57999999999999996</v>
      </c>
    </row>
    <row r="135" spans="1:37" s="438" customFormat="1" ht="12.75" customHeight="1" x14ac:dyDescent="0.15">
      <c r="A135" s="1848" t="s">
        <v>1536</v>
      </c>
      <c r="B135" s="1642" t="s">
        <v>557</v>
      </c>
      <c r="C135" s="1644">
        <v>0.82</v>
      </c>
      <c r="D135" s="1644">
        <v>0</v>
      </c>
      <c r="E135" s="1644">
        <v>-0.01</v>
      </c>
      <c r="F135" s="1644">
        <v>0.3</v>
      </c>
      <c r="G135" s="1644">
        <v>-0.01</v>
      </c>
      <c r="H135" s="1644">
        <v>-0.51</v>
      </c>
      <c r="I135" s="1644">
        <v>-0.5</v>
      </c>
      <c r="J135" s="1644">
        <v>-0.05</v>
      </c>
      <c r="K135" s="1644">
        <v>-1.39</v>
      </c>
      <c r="L135" s="1644">
        <v>-1.61</v>
      </c>
      <c r="M135" s="1644">
        <v>0</v>
      </c>
      <c r="N135" s="1644">
        <v>-1.78</v>
      </c>
      <c r="O135" s="1644">
        <v>0.05</v>
      </c>
      <c r="P135" s="1644">
        <v>-0.3</v>
      </c>
      <c r="Q135" s="1644">
        <v>-5.67</v>
      </c>
      <c r="R135" s="1644">
        <v>-0.1</v>
      </c>
      <c r="S135" s="1644">
        <v>0.6</v>
      </c>
      <c r="T135" s="1642" t="s">
        <v>557</v>
      </c>
      <c r="U135" s="1643">
        <v>-1.1299999999999999</v>
      </c>
      <c r="V135" s="1643">
        <v>0</v>
      </c>
      <c r="W135" s="1643">
        <v>1.17</v>
      </c>
      <c r="X135" s="1643">
        <v>-1.37</v>
      </c>
      <c r="Y135" s="1643">
        <v>0.01</v>
      </c>
      <c r="Z135" s="1643">
        <v>1.95</v>
      </c>
      <c r="AA135" s="1643">
        <v>0</v>
      </c>
      <c r="AB135" s="1643">
        <v>-0.56999999999999995</v>
      </c>
      <c r="AC135" s="1643">
        <v>-0.2</v>
      </c>
      <c r="AD135" s="1643">
        <v>-0.89</v>
      </c>
      <c r="AE135" s="1643">
        <v>-1.93</v>
      </c>
      <c r="AF135" s="1643">
        <v>-1.98</v>
      </c>
      <c r="AG135" s="1643">
        <v>0</v>
      </c>
      <c r="AH135" s="1643">
        <v>-0.1</v>
      </c>
      <c r="AI135" s="1643">
        <v>-2</v>
      </c>
      <c r="AJ135" s="1643">
        <v>0</v>
      </c>
      <c r="AK135" s="1643">
        <v>1.68</v>
      </c>
    </row>
    <row r="136" spans="1:37" s="438" customFormat="1" ht="12.75" customHeight="1" x14ac:dyDescent="0.15">
      <c r="A136" s="1848" t="s">
        <v>1536</v>
      </c>
      <c r="B136" s="1642" t="s">
        <v>549</v>
      </c>
      <c r="C136" s="1644">
        <v>-1.42</v>
      </c>
      <c r="D136" s="1644">
        <v>0</v>
      </c>
      <c r="E136" s="1644">
        <v>0.01</v>
      </c>
      <c r="F136" s="1644">
        <v>0.83</v>
      </c>
      <c r="G136" s="1644">
        <v>-1.52</v>
      </c>
      <c r="H136" s="1644">
        <v>-2.95</v>
      </c>
      <c r="I136" s="1644">
        <v>-2.98</v>
      </c>
      <c r="J136" s="1644">
        <v>-0.24</v>
      </c>
      <c r="K136" s="1644">
        <v>0.67</v>
      </c>
      <c r="L136" s="1644">
        <v>-2.09</v>
      </c>
      <c r="M136" s="1644">
        <v>0</v>
      </c>
      <c r="N136" s="1644">
        <v>-3.42</v>
      </c>
      <c r="O136" s="1644">
        <v>0.17</v>
      </c>
      <c r="P136" s="1644">
        <v>-2.5099999999999998</v>
      </c>
      <c r="Q136" s="1644">
        <v>0</v>
      </c>
      <c r="R136" s="1644">
        <v>-1.33</v>
      </c>
      <c r="S136" s="1644">
        <v>-3.5</v>
      </c>
      <c r="T136" s="1642" t="s">
        <v>549</v>
      </c>
      <c r="U136" s="1643">
        <v>1.1499999999999999</v>
      </c>
      <c r="V136" s="1643">
        <v>0</v>
      </c>
      <c r="W136" s="1643">
        <v>3.46</v>
      </c>
      <c r="X136" s="1643">
        <v>0.41</v>
      </c>
      <c r="Y136" s="1643">
        <v>0.02</v>
      </c>
      <c r="Z136" s="1643">
        <v>-2</v>
      </c>
      <c r="AA136" s="1643">
        <v>0.01</v>
      </c>
      <c r="AB136" s="1643">
        <v>-0.63</v>
      </c>
      <c r="AC136" s="1643">
        <v>-1.21</v>
      </c>
      <c r="AD136" s="1643">
        <v>-3.55</v>
      </c>
      <c r="AE136" s="1643">
        <v>-2.75</v>
      </c>
      <c r="AF136" s="1643">
        <v>-3.59</v>
      </c>
      <c r="AG136" s="1643">
        <v>0</v>
      </c>
      <c r="AH136" s="1643">
        <v>-1.56</v>
      </c>
      <c r="AI136" s="1643">
        <v>-2.9</v>
      </c>
      <c r="AJ136" s="1643">
        <v>0</v>
      </c>
      <c r="AK136" s="1643">
        <v>-1.39</v>
      </c>
    </row>
    <row r="137" spans="1:37" s="438" customFormat="1" ht="12.75" customHeight="1" x14ac:dyDescent="0.15">
      <c r="A137" s="1848" t="s">
        <v>1536</v>
      </c>
      <c r="B137" s="1642" t="s">
        <v>558</v>
      </c>
      <c r="C137" s="1644">
        <v>2.56</v>
      </c>
      <c r="D137" s="1644">
        <v>0</v>
      </c>
      <c r="E137" s="1644">
        <v>0</v>
      </c>
      <c r="F137" s="1644">
        <v>2.61</v>
      </c>
      <c r="G137" s="1644">
        <v>1.54</v>
      </c>
      <c r="H137" s="1644">
        <v>3.51</v>
      </c>
      <c r="I137" s="1644">
        <v>3.49</v>
      </c>
      <c r="J137" s="1644">
        <v>0.15</v>
      </c>
      <c r="K137" s="1644">
        <v>-1.41</v>
      </c>
      <c r="L137" s="1644">
        <v>0.64</v>
      </c>
      <c r="M137" s="1644">
        <v>0</v>
      </c>
      <c r="N137" s="1644">
        <v>1.62</v>
      </c>
      <c r="O137" s="1644">
        <v>0.4</v>
      </c>
      <c r="P137" s="1644">
        <v>1.38</v>
      </c>
      <c r="Q137" s="1644">
        <v>-9.4700000000000006</v>
      </c>
      <c r="R137" s="1644">
        <v>1.1299999999999999</v>
      </c>
      <c r="S137" s="1644">
        <v>3.9</v>
      </c>
      <c r="T137" s="1642" t="s">
        <v>558</v>
      </c>
      <c r="U137" s="1643">
        <v>4.53</v>
      </c>
      <c r="V137" s="1643">
        <v>0</v>
      </c>
      <c r="W137" s="1643">
        <v>-0.26</v>
      </c>
      <c r="X137" s="1643">
        <v>0.28000000000000003</v>
      </c>
      <c r="Y137" s="1643">
        <v>0</v>
      </c>
      <c r="Z137" s="1643">
        <v>2.1</v>
      </c>
      <c r="AA137" s="1643">
        <v>0.01</v>
      </c>
      <c r="AB137" s="1643">
        <v>2.21</v>
      </c>
      <c r="AC137" s="1643">
        <v>1.72</v>
      </c>
      <c r="AD137" s="1643">
        <v>4.96</v>
      </c>
      <c r="AE137" s="1643">
        <v>2.56</v>
      </c>
      <c r="AF137" s="1643">
        <v>3.58</v>
      </c>
      <c r="AG137" s="1643">
        <v>-49.93</v>
      </c>
      <c r="AH137" s="1643">
        <v>1.48</v>
      </c>
      <c r="AI137" s="1643">
        <v>0.42</v>
      </c>
      <c r="AJ137" s="1643">
        <v>0</v>
      </c>
      <c r="AK137" s="1643">
        <v>1.4</v>
      </c>
    </row>
    <row r="138" spans="1:37" s="438" customFormat="1" ht="12.75" customHeight="1" x14ac:dyDescent="0.15">
      <c r="A138" s="1848" t="s">
        <v>1536</v>
      </c>
      <c r="B138" s="1642" t="s">
        <v>559</v>
      </c>
      <c r="C138" s="1644">
        <v>-0.99</v>
      </c>
      <c r="D138" s="1644">
        <v>0</v>
      </c>
      <c r="E138" s="1644">
        <v>-0.01</v>
      </c>
      <c r="F138" s="1644">
        <v>1.98</v>
      </c>
      <c r="G138" s="1644">
        <v>1.62</v>
      </c>
      <c r="H138" s="1644">
        <v>0.53</v>
      </c>
      <c r="I138" s="1644">
        <v>0.54</v>
      </c>
      <c r="J138" s="1644">
        <v>0.02</v>
      </c>
      <c r="K138" s="1644">
        <v>2.88</v>
      </c>
      <c r="L138" s="1644">
        <v>1.28</v>
      </c>
      <c r="M138" s="1644">
        <v>0</v>
      </c>
      <c r="N138" s="1644">
        <v>-1.1100000000000001</v>
      </c>
      <c r="O138" s="1644">
        <v>7.0000000000000007E-2</v>
      </c>
      <c r="P138" s="1644">
        <v>-0.85</v>
      </c>
      <c r="Q138" s="1644">
        <v>-5.38</v>
      </c>
      <c r="R138" s="1644">
        <v>0.57999999999999996</v>
      </c>
      <c r="S138" s="1644">
        <v>-7.0000000000000007E-2</v>
      </c>
      <c r="T138" s="1642" t="s">
        <v>559</v>
      </c>
      <c r="U138" s="1643">
        <v>-2.27</v>
      </c>
      <c r="V138" s="1643">
        <v>0</v>
      </c>
      <c r="W138" s="1643">
        <v>-0.61</v>
      </c>
      <c r="X138" s="1643">
        <v>1.46</v>
      </c>
      <c r="Y138" s="1643">
        <v>-0.6</v>
      </c>
      <c r="Z138" s="1643">
        <v>1.32</v>
      </c>
      <c r="AA138" s="1643">
        <v>-0.02</v>
      </c>
      <c r="AB138" s="1643">
        <v>-0.37</v>
      </c>
      <c r="AC138" s="1643">
        <v>0.19</v>
      </c>
      <c r="AD138" s="1643">
        <v>0.31</v>
      </c>
      <c r="AE138" s="1643">
        <v>-1.52</v>
      </c>
      <c r="AF138" s="1643">
        <v>1.08</v>
      </c>
      <c r="AG138" s="1643">
        <v>0</v>
      </c>
      <c r="AH138" s="1643">
        <v>0.39</v>
      </c>
      <c r="AI138" s="1643">
        <v>0.05</v>
      </c>
      <c r="AJ138" s="1643">
        <v>0</v>
      </c>
      <c r="AK138" s="1643">
        <v>1.83</v>
      </c>
    </row>
    <row r="139" spans="1:37" s="438" customFormat="1" ht="12.75" customHeight="1" x14ac:dyDescent="0.15">
      <c r="A139" s="1848" t="s">
        <v>1536</v>
      </c>
      <c r="B139" s="1642" t="s">
        <v>550</v>
      </c>
      <c r="C139" s="1644">
        <v>-2.62</v>
      </c>
      <c r="D139" s="1644">
        <v>-0.01</v>
      </c>
      <c r="E139" s="1644">
        <v>0.01</v>
      </c>
      <c r="F139" s="1644">
        <v>-2.63</v>
      </c>
      <c r="G139" s="1644">
        <v>-1.42</v>
      </c>
      <c r="H139" s="1644">
        <v>-2.42</v>
      </c>
      <c r="I139" s="1644">
        <v>-2.41</v>
      </c>
      <c r="J139" s="1644">
        <v>-0.03</v>
      </c>
      <c r="K139" s="1644">
        <v>-2.54</v>
      </c>
      <c r="L139" s="1644">
        <v>-1.71</v>
      </c>
      <c r="M139" s="1644">
        <v>0</v>
      </c>
      <c r="N139" s="1644">
        <v>-0.62</v>
      </c>
      <c r="O139" s="1644">
        <v>-0.1</v>
      </c>
      <c r="P139" s="1644">
        <v>-0.4</v>
      </c>
      <c r="Q139" s="1644">
        <v>0</v>
      </c>
      <c r="R139" s="1644">
        <v>-1.1100000000000001</v>
      </c>
      <c r="S139" s="1644">
        <v>-3.56</v>
      </c>
      <c r="T139" s="1642" t="s">
        <v>550</v>
      </c>
      <c r="U139" s="1643">
        <v>-2.25</v>
      </c>
      <c r="V139" s="1643">
        <v>0</v>
      </c>
      <c r="W139" s="1643">
        <v>-2.4300000000000002</v>
      </c>
      <c r="X139" s="1643">
        <v>-2.0499999999999998</v>
      </c>
      <c r="Y139" s="1643">
        <v>-1.05</v>
      </c>
      <c r="Z139" s="1643">
        <v>0.74</v>
      </c>
      <c r="AA139" s="1643">
        <v>0.01</v>
      </c>
      <c r="AB139" s="1643">
        <v>-1.6</v>
      </c>
      <c r="AC139" s="1643">
        <v>-1.68</v>
      </c>
      <c r="AD139" s="1643">
        <v>-2.57</v>
      </c>
      <c r="AE139" s="1643">
        <v>-0.75</v>
      </c>
      <c r="AF139" s="1643">
        <v>-2.27</v>
      </c>
      <c r="AG139" s="1643">
        <v>0</v>
      </c>
      <c r="AH139" s="1643">
        <v>-1.1599999999999999</v>
      </c>
      <c r="AI139" s="1643">
        <v>-2.5299999999999998</v>
      </c>
      <c r="AJ139" s="1643">
        <v>0</v>
      </c>
      <c r="AK139" s="1643">
        <v>-2.48</v>
      </c>
    </row>
    <row r="140" spans="1:37" s="438" customFormat="1" ht="12.75" customHeight="1" x14ac:dyDescent="0.15">
      <c r="A140" s="1848" t="s">
        <v>1817</v>
      </c>
      <c r="B140" s="1642" t="s">
        <v>552</v>
      </c>
      <c r="C140" s="1644">
        <v>-1.8</v>
      </c>
      <c r="D140" s="1644">
        <v>0.01</v>
      </c>
      <c r="E140" s="1644">
        <v>0</v>
      </c>
      <c r="F140" s="1644">
        <v>-1.02</v>
      </c>
      <c r="G140" s="1644">
        <v>-0.53</v>
      </c>
      <c r="H140" s="1644">
        <v>-0.47</v>
      </c>
      <c r="I140" s="1644">
        <v>-0.45</v>
      </c>
      <c r="J140" s="1644">
        <v>-0.22</v>
      </c>
      <c r="K140" s="1644">
        <v>-0.27</v>
      </c>
      <c r="L140" s="1644">
        <v>0.37</v>
      </c>
      <c r="M140" s="1644">
        <v>0</v>
      </c>
      <c r="N140" s="1644">
        <v>0.55000000000000004</v>
      </c>
      <c r="O140" s="1644">
        <v>0.13</v>
      </c>
      <c r="P140" s="1644">
        <v>-1.62</v>
      </c>
      <c r="Q140" s="1644">
        <v>0</v>
      </c>
      <c r="R140" s="1644">
        <v>-0.52</v>
      </c>
      <c r="S140" s="1644">
        <v>-0.59</v>
      </c>
      <c r="T140" s="1642" t="s">
        <v>552</v>
      </c>
      <c r="U140" s="1643">
        <v>-2.7</v>
      </c>
      <c r="V140" s="1643">
        <v>0</v>
      </c>
      <c r="W140" s="1643">
        <v>-2.4</v>
      </c>
      <c r="X140" s="1643">
        <v>-3.25</v>
      </c>
      <c r="Y140" s="1643">
        <v>1.67</v>
      </c>
      <c r="Z140" s="1643">
        <v>-0.89</v>
      </c>
      <c r="AA140" s="1643">
        <v>0</v>
      </c>
      <c r="AB140" s="1643">
        <v>-1.37</v>
      </c>
      <c r="AC140" s="1643">
        <v>-0.8</v>
      </c>
      <c r="AD140" s="1643">
        <v>-0.71</v>
      </c>
      <c r="AE140" s="1643">
        <v>0</v>
      </c>
      <c r="AF140" s="1643">
        <v>1.18</v>
      </c>
      <c r="AG140" s="1643">
        <v>0</v>
      </c>
      <c r="AH140" s="1643">
        <v>0.06</v>
      </c>
      <c r="AI140" s="1643">
        <v>-2.48</v>
      </c>
      <c r="AJ140" s="1643">
        <v>0</v>
      </c>
      <c r="AK140" s="1643">
        <v>0.46</v>
      </c>
    </row>
    <row r="141" spans="1:37" s="438" customFormat="1" ht="12.75" customHeight="1" x14ac:dyDescent="0.15">
      <c r="A141" s="1848" t="s">
        <v>1817</v>
      </c>
      <c r="B141" s="1642" t="s">
        <v>553</v>
      </c>
      <c r="C141" s="1644">
        <v>-1.0900000000000001</v>
      </c>
      <c r="D141" s="1644">
        <v>-0.46</v>
      </c>
      <c r="E141" s="1644">
        <v>0</v>
      </c>
      <c r="F141" s="1644">
        <v>-0.59</v>
      </c>
      <c r="G141" s="1644">
        <v>0.41</v>
      </c>
      <c r="H141" s="1644">
        <v>-0.38</v>
      </c>
      <c r="I141" s="1644">
        <v>-0.4</v>
      </c>
      <c r="J141" s="1644">
        <v>-7.0000000000000007E-2</v>
      </c>
      <c r="K141" s="1644">
        <v>1.64</v>
      </c>
      <c r="L141" s="1644">
        <v>1.17</v>
      </c>
      <c r="M141" s="1644">
        <v>0</v>
      </c>
      <c r="N141" s="1644">
        <v>-0.01</v>
      </c>
      <c r="O141" s="1644">
        <v>-0.03</v>
      </c>
      <c r="P141" s="1644">
        <v>1.58</v>
      </c>
      <c r="Q141" s="1644">
        <v>0</v>
      </c>
      <c r="R141" s="1644">
        <v>-0.08</v>
      </c>
      <c r="S141" s="1644">
        <v>0.72</v>
      </c>
      <c r="T141" s="1642" t="s">
        <v>553</v>
      </c>
      <c r="U141" s="1643">
        <v>1.57</v>
      </c>
      <c r="V141" s="1643">
        <v>0</v>
      </c>
      <c r="W141" s="1643">
        <v>-1.97</v>
      </c>
      <c r="X141" s="1643">
        <v>1.1299999999999999</v>
      </c>
      <c r="Y141" s="1643">
        <v>-1.44</v>
      </c>
      <c r="Z141" s="1643">
        <v>-0.04</v>
      </c>
      <c r="AA141" s="1643">
        <v>0</v>
      </c>
      <c r="AB141" s="1643">
        <v>-1.47</v>
      </c>
      <c r="AC141" s="1643">
        <v>0.79</v>
      </c>
      <c r="AD141" s="1643">
        <v>-0.34</v>
      </c>
      <c r="AE141" s="1643">
        <v>0</v>
      </c>
      <c r="AF141" s="1643">
        <v>-0.75</v>
      </c>
      <c r="AG141" s="1643">
        <v>-0.04</v>
      </c>
      <c r="AH141" s="1643">
        <v>-0.34</v>
      </c>
      <c r="AI141" s="1643">
        <v>1.64</v>
      </c>
      <c r="AJ141" s="1643">
        <v>0</v>
      </c>
      <c r="AK141" s="1643">
        <v>-1.01</v>
      </c>
    </row>
    <row r="142" spans="1:37" s="438" customFormat="1" ht="12.75" customHeight="1" x14ac:dyDescent="0.15">
      <c r="A142" s="1848" t="s">
        <v>1817</v>
      </c>
      <c r="B142" s="1642" t="s">
        <v>547</v>
      </c>
      <c r="C142" s="1644">
        <v>-1.63</v>
      </c>
      <c r="D142" s="1644">
        <v>-0.35</v>
      </c>
      <c r="E142" s="1644">
        <v>0</v>
      </c>
      <c r="F142" s="1644">
        <v>-1.2</v>
      </c>
      <c r="G142" s="1644">
        <v>-0.27</v>
      </c>
      <c r="H142" s="1644">
        <v>-1.7</v>
      </c>
      <c r="I142" s="1644">
        <v>-1.7</v>
      </c>
      <c r="J142" s="1644">
        <v>0.01</v>
      </c>
      <c r="K142" s="1644">
        <v>-1.35</v>
      </c>
      <c r="L142" s="1644">
        <v>-0.02</v>
      </c>
      <c r="M142" s="1644">
        <v>0</v>
      </c>
      <c r="N142" s="1644">
        <v>-1.82</v>
      </c>
      <c r="O142" s="1644">
        <v>-0.28000000000000003</v>
      </c>
      <c r="P142" s="1644">
        <v>-0.74</v>
      </c>
      <c r="Q142" s="1644">
        <v>-12.05</v>
      </c>
      <c r="R142" s="1644">
        <v>-0.34</v>
      </c>
      <c r="S142" s="1644">
        <v>-1.81</v>
      </c>
      <c r="T142" s="1642" t="s">
        <v>547</v>
      </c>
      <c r="U142" s="1643">
        <v>-1.17</v>
      </c>
      <c r="V142" s="1643">
        <v>0</v>
      </c>
      <c r="W142" s="1643">
        <v>-3.14</v>
      </c>
      <c r="X142" s="1643">
        <v>-2.3199999999999998</v>
      </c>
      <c r="Y142" s="1643">
        <v>0.66</v>
      </c>
      <c r="Z142" s="1643">
        <v>1.06</v>
      </c>
      <c r="AA142" s="1643">
        <v>-0.01</v>
      </c>
      <c r="AB142" s="1643">
        <v>-1.96</v>
      </c>
      <c r="AC142" s="1643">
        <v>-1.1299999999999999</v>
      </c>
      <c r="AD142" s="1643">
        <v>-2.11</v>
      </c>
      <c r="AE142" s="1643">
        <v>-0.13</v>
      </c>
      <c r="AF142" s="1643">
        <v>-1.93</v>
      </c>
      <c r="AG142" s="1643">
        <v>0</v>
      </c>
      <c r="AH142" s="1643">
        <v>-0.64</v>
      </c>
      <c r="AI142" s="1643">
        <v>-4.6399999999999997</v>
      </c>
      <c r="AJ142" s="1643">
        <v>0</v>
      </c>
      <c r="AK142" s="1643">
        <v>-2.42</v>
      </c>
    </row>
    <row r="143" spans="1:37" s="438" customFormat="1" ht="12.75" customHeight="1" x14ac:dyDescent="0.15">
      <c r="A143" s="1848" t="s">
        <v>1817</v>
      </c>
      <c r="B143" s="1642" t="s">
        <v>554</v>
      </c>
      <c r="C143" s="1644">
        <v>4.8</v>
      </c>
      <c r="D143" s="1644">
        <v>-0.2</v>
      </c>
      <c r="E143" s="1644">
        <v>0</v>
      </c>
      <c r="F143" s="1644">
        <v>2.96</v>
      </c>
      <c r="G143" s="1644">
        <v>1.48</v>
      </c>
      <c r="H143" s="1644">
        <v>-0.33</v>
      </c>
      <c r="I143" s="1644">
        <v>-0.28999999999999998</v>
      </c>
      <c r="J143" s="1644">
        <v>0.09</v>
      </c>
      <c r="K143" s="1644">
        <v>-0.85</v>
      </c>
      <c r="L143" s="1644">
        <v>1.08</v>
      </c>
      <c r="M143" s="1644">
        <v>0</v>
      </c>
      <c r="N143" s="1644">
        <v>-1.8</v>
      </c>
      <c r="O143" s="1644">
        <v>-0.02</v>
      </c>
      <c r="P143" s="1644">
        <v>1.1299999999999999</v>
      </c>
      <c r="Q143" s="1644">
        <v>4.26</v>
      </c>
      <c r="R143" s="1644">
        <v>0.01</v>
      </c>
      <c r="S143" s="1644">
        <v>4.2699999999999996</v>
      </c>
      <c r="T143" s="1642" t="s">
        <v>554</v>
      </c>
      <c r="U143" s="1643">
        <v>3.88</v>
      </c>
      <c r="V143" s="1643">
        <v>0</v>
      </c>
      <c r="W143" s="1643">
        <v>-0.48</v>
      </c>
      <c r="X143" s="1643">
        <v>0.85</v>
      </c>
      <c r="Y143" s="1643">
        <v>0.28999999999999998</v>
      </c>
      <c r="Z143" s="1643">
        <v>2.52</v>
      </c>
      <c r="AA143" s="1643">
        <v>0</v>
      </c>
      <c r="AB143" s="1643">
        <v>0.94</v>
      </c>
      <c r="AC143" s="1643">
        <v>0.88</v>
      </c>
      <c r="AD143" s="1643">
        <v>2.46</v>
      </c>
      <c r="AE143" s="1643">
        <v>-0.62</v>
      </c>
      <c r="AF143" s="1643">
        <v>2.09</v>
      </c>
      <c r="AG143" s="1643">
        <v>0</v>
      </c>
      <c r="AH143" s="1643">
        <v>0.13</v>
      </c>
      <c r="AI143" s="1643">
        <v>1.85</v>
      </c>
      <c r="AJ143" s="1643">
        <v>0</v>
      </c>
      <c r="AK143" s="1643">
        <v>1.98</v>
      </c>
    </row>
    <row r="144" spans="1:37" s="438" customFormat="1" ht="12.75" customHeight="1" x14ac:dyDescent="0.15">
      <c r="A144" s="1848" t="s">
        <v>1817</v>
      </c>
      <c r="B144" s="1642" t="s">
        <v>555</v>
      </c>
      <c r="C144" s="1644">
        <v>-5.04</v>
      </c>
      <c r="D144" s="1644">
        <v>-0.15</v>
      </c>
      <c r="E144" s="1644">
        <v>-0.01</v>
      </c>
      <c r="F144" s="1644">
        <v>-2.76</v>
      </c>
      <c r="G144" s="1644">
        <v>0.18</v>
      </c>
      <c r="H144" s="1644">
        <v>-2.31</v>
      </c>
      <c r="I144" s="1644">
        <v>-2.34</v>
      </c>
      <c r="J144" s="1644">
        <v>-0.27</v>
      </c>
      <c r="K144" s="1644">
        <v>-0.15</v>
      </c>
      <c r="L144" s="1644">
        <v>-1.05</v>
      </c>
      <c r="M144" s="1644">
        <v>0</v>
      </c>
      <c r="N144" s="1644">
        <v>0.43</v>
      </c>
      <c r="O144" s="1644">
        <v>-0.33</v>
      </c>
      <c r="P144" s="1644">
        <v>-2.0099999999999998</v>
      </c>
      <c r="Q144" s="1644">
        <v>0.24</v>
      </c>
      <c r="R144" s="1644">
        <v>-1.46</v>
      </c>
      <c r="S144" s="1644">
        <v>-4.76</v>
      </c>
      <c r="T144" s="1642" t="s">
        <v>555</v>
      </c>
      <c r="U144" s="1643">
        <v>-6.38</v>
      </c>
      <c r="V144" s="1643">
        <v>0</v>
      </c>
      <c r="W144" s="1643">
        <v>-2.72</v>
      </c>
      <c r="X144" s="1643">
        <v>0.48</v>
      </c>
      <c r="Y144" s="1643">
        <v>-0.26</v>
      </c>
      <c r="Z144" s="1643">
        <v>-4.67</v>
      </c>
      <c r="AA144" s="1643">
        <v>-0.01</v>
      </c>
      <c r="AB144" s="1643">
        <v>-1.1100000000000001</v>
      </c>
      <c r="AC144" s="1643">
        <v>-1.46</v>
      </c>
      <c r="AD144" s="1643">
        <v>-5.15</v>
      </c>
      <c r="AE144" s="1643">
        <v>-0.86</v>
      </c>
      <c r="AF144" s="1643">
        <v>-0.8</v>
      </c>
      <c r="AG144" s="1643">
        <v>0.04</v>
      </c>
      <c r="AH144" s="1643">
        <v>-1.23</v>
      </c>
      <c r="AI144" s="1643">
        <v>-1.22</v>
      </c>
      <c r="AJ144" s="1643">
        <v>0</v>
      </c>
      <c r="AK144" s="1643">
        <v>-2.76</v>
      </c>
    </row>
    <row r="145" spans="1:37" s="438" customFormat="1" ht="12.75" customHeight="1" x14ac:dyDescent="0.15">
      <c r="A145" s="1848" t="s">
        <v>1817</v>
      </c>
      <c r="B145" s="1642" t="s">
        <v>548</v>
      </c>
      <c r="C145" s="1644">
        <v>1.4839862903904799</v>
      </c>
      <c r="D145" s="1644">
        <v>0</v>
      </c>
      <c r="E145" s="1644">
        <v>0</v>
      </c>
      <c r="F145" s="1644">
        <v>-0.38702111024237701</v>
      </c>
      <c r="G145" s="1644">
        <v>0.188459967961805</v>
      </c>
      <c r="H145" s="1644">
        <v>0.502842318110717</v>
      </c>
      <c r="I145" s="1644">
        <v>0.509186166384062</v>
      </c>
      <c r="J145" s="1644">
        <v>3.7194030999300999E-2</v>
      </c>
      <c r="K145" s="1644">
        <v>0.64369049215502205</v>
      </c>
      <c r="L145" s="1644">
        <v>0.34341381364544299</v>
      </c>
      <c r="M145" s="1644">
        <v>0</v>
      </c>
      <c r="N145" s="1644">
        <v>-1.2396155017180599</v>
      </c>
      <c r="O145" s="1644">
        <v>3.3046926635822899E-2</v>
      </c>
      <c r="P145" s="1644">
        <v>1.33077568636854</v>
      </c>
      <c r="Q145" s="1644">
        <v>0.71709786276715404</v>
      </c>
      <c r="R145" s="1644">
        <v>0.34411391991177098</v>
      </c>
      <c r="S145" s="1644">
        <v>8.0587692859810101E-2</v>
      </c>
      <c r="T145" s="1642" t="s">
        <v>548</v>
      </c>
      <c r="U145" s="1643">
        <v>2.7347798849592801</v>
      </c>
      <c r="V145" s="1643">
        <v>0</v>
      </c>
      <c r="W145" s="1643">
        <v>-1.1619767604647899</v>
      </c>
      <c r="X145" s="1643">
        <v>-1.46943573667712</v>
      </c>
      <c r="Y145" s="1643">
        <v>0.77039274924471302</v>
      </c>
      <c r="Z145" s="1643">
        <v>0.70489434027627396</v>
      </c>
      <c r="AA145" s="1643">
        <v>-7.05904290033431E-2</v>
      </c>
      <c r="AB145" s="1643">
        <v>0.20288852519867001</v>
      </c>
      <c r="AC145" s="1643">
        <v>1.2348874181979499</v>
      </c>
      <c r="AD145" s="1643">
        <v>0.25293336285145002</v>
      </c>
      <c r="AE145" s="1643">
        <v>-6.16142945163278E-2</v>
      </c>
      <c r="AF145" s="1643">
        <v>0.92931722516809701</v>
      </c>
      <c r="AG145" s="1643">
        <v>-3.98009950248756E-2</v>
      </c>
      <c r="AH145" s="1643">
        <v>0.111966410076977</v>
      </c>
      <c r="AI145" s="1643">
        <v>0.98861593768723799</v>
      </c>
      <c r="AJ145" s="1643">
        <v>1.3612665223724099E-3</v>
      </c>
      <c r="AK145" s="1643">
        <v>1.29929343376159</v>
      </c>
    </row>
    <row r="146" spans="1:37" s="438" customFormat="1" ht="12.75" customHeight="1" x14ac:dyDescent="0.15">
      <c r="A146" s="1848" t="s">
        <v>1817</v>
      </c>
      <c r="B146" s="1642" t="s">
        <v>556</v>
      </c>
      <c r="C146" s="1644">
        <v>-3.6142917665719199</v>
      </c>
      <c r="D146" s="1644">
        <v>-0.232558139534884</v>
      </c>
      <c r="E146" s="1644">
        <v>0</v>
      </c>
      <c r="F146" s="1644">
        <v>0.207623300818741</v>
      </c>
      <c r="G146" s="1644">
        <v>-0.11294826342045</v>
      </c>
      <c r="H146" s="1644">
        <v>-1.85131097081489</v>
      </c>
      <c r="I146" s="1644">
        <v>-1.8061675140773501</v>
      </c>
      <c r="J146" s="1644">
        <v>6.0316339953158597E-2</v>
      </c>
      <c r="K146" s="1644">
        <v>-0.634674860719316</v>
      </c>
      <c r="L146" s="1644">
        <v>-0.90631293839850002</v>
      </c>
      <c r="M146" s="1644">
        <v>0</v>
      </c>
      <c r="N146" s="1644">
        <v>-0.26029239512385599</v>
      </c>
      <c r="O146" s="1644">
        <v>-9.9042588312974605E-2</v>
      </c>
      <c r="P146" s="1644">
        <v>-0.44163284793506802</v>
      </c>
      <c r="Q146" s="1644">
        <v>0</v>
      </c>
      <c r="R146" s="1644">
        <v>-0.63590799091008099</v>
      </c>
      <c r="S146" s="1644">
        <v>-4.3115522578524796</v>
      </c>
      <c r="T146" s="1642" t="s">
        <v>556</v>
      </c>
      <c r="U146" s="1643">
        <v>-2.3241066263183701</v>
      </c>
      <c r="V146" s="1643">
        <v>0</v>
      </c>
      <c r="W146" s="1643">
        <v>1.03253182461103</v>
      </c>
      <c r="X146" s="1643">
        <v>-0.27354435326299298</v>
      </c>
      <c r="Y146" s="1643">
        <v>-0.46473482777474001</v>
      </c>
      <c r="Z146" s="1643">
        <v>-5.2553572848047203</v>
      </c>
      <c r="AA146" s="1643">
        <v>5.7304299155094801E-2</v>
      </c>
      <c r="AB146" s="1643">
        <v>-2.0893303322526702</v>
      </c>
      <c r="AC146" s="1643">
        <v>-0.19188899959408101</v>
      </c>
      <c r="AD146" s="1643">
        <v>-4.05131990504968</v>
      </c>
      <c r="AE146" s="1643">
        <v>0.197555253735029</v>
      </c>
      <c r="AF146" s="1643">
        <v>-1.7403448461083999</v>
      </c>
      <c r="AG146" s="1643">
        <v>0</v>
      </c>
      <c r="AH146" s="1643">
        <v>-0.62586926286509004</v>
      </c>
      <c r="AI146" s="1643">
        <v>-0.194348931080879</v>
      </c>
      <c r="AJ146" s="1643">
        <v>0</v>
      </c>
      <c r="AK146" s="1643">
        <v>-0.61165386340133898</v>
      </c>
    </row>
    <row r="147" spans="1:37" s="438" customFormat="1" ht="12.75" customHeight="1" x14ac:dyDescent="0.15">
      <c r="A147" s="1848" t="s">
        <v>1817</v>
      </c>
      <c r="B147" s="1642" t="s">
        <v>557</v>
      </c>
      <c r="C147" s="1644">
        <v>3.5351308893387299</v>
      </c>
      <c r="D147" s="1644">
        <v>0</v>
      </c>
      <c r="E147" s="1644">
        <v>1.3262599469495999E-2</v>
      </c>
      <c r="F147" s="1644">
        <v>0.44068463505803701</v>
      </c>
      <c r="G147" s="1644">
        <v>0.82882540887665701</v>
      </c>
      <c r="H147" s="1644">
        <v>1.13459921683872</v>
      </c>
      <c r="I147" s="1644">
        <v>1.1126066212873</v>
      </c>
      <c r="J147" s="1644">
        <v>-0.20491147184068101</v>
      </c>
      <c r="K147" s="1644">
        <v>-3.8228438228438202E-2</v>
      </c>
      <c r="L147" s="1644">
        <v>0.22273265121458899</v>
      </c>
      <c r="M147" s="1644">
        <v>0</v>
      </c>
      <c r="N147" s="1644">
        <v>-0.27687648712956903</v>
      </c>
      <c r="O147" s="1644">
        <v>-9.8944591029023699E-2</v>
      </c>
      <c r="P147" s="1644">
        <v>-0.32123735871505099</v>
      </c>
      <c r="Q147" s="1644">
        <v>-8.4357337682422692E-3</v>
      </c>
      <c r="R147" s="1644">
        <v>0.25167585839601703</v>
      </c>
      <c r="S147" s="1644">
        <v>3.0599760847273498</v>
      </c>
      <c r="T147" s="1642" t="s">
        <v>557</v>
      </c>
      <c r="U147" s="1643">
        <v>1.7224598809442999</v>
      </c>
      <c r="V147" s="1643">
        <v>0</v>
      </c>
      <c r="W147" s="1643">
        <v>-0.36640360766629099</v>
      </c>
      <c r="X147" s="1643">
        <v>-0.46674445740956799</v>
      </c>
      <c r="Y147" s="1643">
        <v>-0.13650013650013701</v>
      </c>
      <c r="Z147" s="1643">
        <v>-25.908749798140001</v>
      </c>
      <c r="AA147" s="1643">
        <v>5.33091665111816E-3</v>
      </c>
      <c r="AB147" s="1643">
        <v>0.351448689734631</v>
      </c>
      <c r="AC147" s="1643">
        <v>9.6036641672515105E-2</v>
      </c>
      <c r="AD147" s="1643">
        <v>-1.7109720388126499</v>
      </c>
      <c r="AE147" s="1643">
        <v>0.235148514851485</v>
      </c>
      <c r="AF147" s="1643">
        <v>0.616116305463979</v>
      </c>
      <c r="AG147" s="1643">
        <v>0</v>
      </c>
      <c r="AH147" s="1643">
        <v>0.25097601784718299</v>
      </c>
      <c r="AI147" s="1643">
        <v>2.0753853197008998</v>
      </c>
      <c r="AJ147" s="1643">
        <v>1.36128505309012E-3</v>
      </c>
      <c r="AK147" s="1643">
        <v>1.11884637553921E-2</v>
      </c>
    </row>
    <row r="148" spans="1:37" s="438" customFormat="1" ht="12.75" customHeight="1" x14ac:dyDescent="0.15">
      <c r="A148" s="1848" t="s">
        <v>1817</v>
      </c>
      <c r="B148" s="1642" t="s">
        <v>549</v>
      </c>
      <c r="C148" s="1644">
        <v>3.82</v>
      </c>
      <c r="D148" s="1644">
        <v>-0.23</v>
      </c>
      <c r="E148" s="1644">
        <v>0</v>
      </c>
      <c r="F148" s="1644">
        <v>1.8</v>
      </c>
      <c r="G148" s="1644">
        <v>-0.41</v>
      </c>
      <c r="H148" s="1644">
        <v>-0.96</v>
      </c>
      <c r="I148" s="1644">
        <v>-0.99</v>
      </c>
      <c r="J148" s="1644">
        <v>-0.24</v>
      </c>
      <c r="K148" s="1644">
        <v>-0.99</v>
      </c>
      <c r="L148" s="1644">
        <v>7.0000000000000007E-2</v>
      </c>
      <c r="M148" s="1644">
        <v>0</v>
      </c>
      <c r="N148" s="1644">
        <v>-5.12</v>
      </c>
      <c r="O148" s="1644">
        <v>-0.25</v>
      </c>
      <c r="P148" s="1644">
        <v>-0.05</v>
      </c>
      <c r="Q148" s="1644">
        <v>0</v>
      </c>
      <c r="R148" s="1644">
        <v>-1.1599999999999999</v>
      </c>
      <c r="S148" s="1644">
        <v>3.59</v>
      </c>
      <c r="T148" s="1642" t="s">
        <v>549</v>
      </c>
      <c r="U148" s="1643">
        <v>3.17</v>
      </c>
      <c r="V148" s="1643">
        <v>0</v>
      </c>
      <c r="W148" s="1643">
        <v>-2.9</v>
      </c>
      <c r="X148" s="1643">
        <v>-1</v>
      </c>
      <c r="Y148" s="1643">
        <v>0</v>
      </c>
      <c r="Z148" s="1643">
        <v>26.07</v>
      </c>
      <c r="AA148" s="1643">
        <v>0.01</v>
      </c>
      <c r="AB148" s="1643">
        <v>-0.33</v>
      </c>
      <c r="AC148" s="1643">
        <v>0.09</v>
      </c>
      <c r="AD148" s="1643">
        <v>3.45</v>
      </c>
      <c r="AE148" s="1643">
        <v>-30.94</v>
      </c>
      <c r="AF148" s="1643">
        <v>0.2</v>
      </c>
      <c r="AG148" s="1643">
        <v>0</v>
      </c>
      <c r="AH148" s="1643">
        <v>-0.79</v>
      </c>
      <c r="AI148" s="1643">
        <v>-1.81</v>
      </c>
      <c r="AJ148" s="1643">
        <v>0</v>
      </c>
      <c r="AK148" s="1643">
        <v>-2.0499999999999998</v>
      </c>
    </row>
    <row r="149" spans="1:37" s="438" customFormat="1" ht="12.75" customHeight="1" x14ac:dyDescent="0.15">
      <c r="A149" s="1848" t="s">
        <v>1817</v>
      </c>
      <c r="B149" s="1642" t="s">
        <v>558</v>
      </c>
      <c r="C149" s="1644">
        <v>-5.0998670299130202</v>
      </c>
      <c r="D149" s="1644">
        <v>-0.289184499710816</v>
      </c>
      <c r="E149" s="1644">
        <v>-1.3260840737302699E-2</v>
      </c>
      <c r="F149" s="1644">
        <v>-2.6288076758063901</v>
      </c>
      <c r="G149" s="1644">
        <v>-3.2699457548607298</v>
      </c>
      <c r="H149" s="1644">
        <v>-5.4366177200822898</v>
      </c>
      <c r="I149" s="1644">
        <v>-5.3862702968042999</v>
      </c>
      <c r="J149" s="1644">
        <v>-0.244696646254038</v>
      </c>
      <c r="K149" s="1644">
        <v>-1.05634032557988</v>
      </c>
      <c r="L149" s="1644">
        <v>-0.79461046812921099</v>
      </c>
      <c r="M149" s="1644">
        <v>0</v>
      </c>
      <c r="N149" s="1644">
        <v>-5.1543582356834197</v>
      </c>
      <c r="O149" s="1644">
        <v>-0.76722167809337205</v>
      </c>
      <c r="P149" s="1644">
        <v>-3.58862646182068</v>
      </c>
      <c r="Q149" s="1644">
        <v>-3.9616527140156599</v>
      </c>
      <c r="R149" s="1644">
        <v>-1.7924203442315201</v>
      </c>
      <c r="S149" s="1644">
        <v>-6.1841600962760399</v>
      </c>
      <c r="T149" s="1642" t="s">
        <v>558</v>
      </c>
      <c r="U149" s="1643">
        <v>-8.1851315859998905</v>
      </c>
      <c r="V149" s="1643">
        <v>0</v>
      </c>
      <c r="W149" s="1643">
        <v>-1.3232514177693799</v>
      </c>
      <c r="X149" s="1643">
        <v>-0.34535686876438998</v>
      </c>
      <c r="Y149" s="1643">
        <v>0.19420662490768301</v>
      </c>
      <c r="Z149" s="1643">
        <v>12.8378378378378</v>
      </c>
      <c r="AA149" s="1643">
        <v>1.4663538445131701E-2</v>
      </c>
      <c r="AB149" s="1643">
        <v>-4.7497452402217499</v>
      </c>
      <c r="AC149" s="1643">
        <v>-2.0956241630171202</v>
      </c>
      <c r="AD149" s="1643">
        <v>-6.1982717575192696</v>
      </c>
      <c r="AE149" s="1643">
        <v>-17.604473302440901</v>
      </c>
      <c r="AF149" s="1643">
        <v>-4.7260344649675003</v>
      </c>
      <c r="AG149" s="1643">
        <v>0</v>
      </c>
      <c r="AH149" s="1643">
        <v>-3.00550114048034</v>
      </c>
      <c r="AI149" s="1643">
        <v>-3.1209174045579902</v>
      </c>
      <c r="AJ149" s="1643">
        <v>0</v>
      </c>
      <c r="AK149" s="1643">
        <v>-4.4355618122513496</v>
      </c>
    </row>
    <row r="150" spans="1:37" s="438" customFormat="1" ht="12.75" customHeight="1" x14ac:dyDescent="0.15">
      <c r="A150" s="1848" t="s">
        <v>1817</v>
      </c>
      <c r="B150" s="1642" t="s">
        <v>559</v>
      </c>
      <c r="C150" s="1644">
        <v>0.99620578082451605</v>
      </c>
      <c r="D150" s="1644">
        <v>-2.8651685393258401</v>
      </c>
      <c r="E150" s="1644">
        <v>1.3262599469495999E-2</v>
      </c>
      <c r="F150" s="1644">
        <v>1.29587926198096</v>
      </c>
      <c r="G150" s="1644">
        <v>-1.46981548485895</v>
      </c>
      <c r="H150" s="1644">
        <v>2.11961403610443</v>
      </c>
      <c r="I150" s="1644">
        <v>2.1028702829521899</v>
      </c>
      <c r="J150" s="1644">
        <v>-2.80302982041498E-2</v>
      </c>
      <c r="K150" s="1644">
        <v>-1.1878221155148001</v>
      </c>
      <c r="L150" s="1644">
        <v>-0.85631101215961603</v>
      </c>
      <c r="M150" s="1644">
        <v>0</v>
      </c>
      <c r="N150" s="1644">
        <v>0.68200525222435604</v>
      </c>
      <c r="O150" s="1644">
        <v>8.1685999019768002E-2</v>
      </c>
      <c r="P150" s="1644">
        <v>-0.33139069820591899</v>
      </c>
      <c r="Q150" s="1644">
        <v>0</v>
      </c>
      <c r="R150" s="1644">
        <v>-0.30292885175824003</v>
      </c>
      <c r="S150" s="1644">
        <v>0.152765075856234</v>
      </c>
      <c r="T150" s="1642" t="s">
        <v>559</v>
      </c>
      <c r="U150" s="1643">
        <v>-0.88084663280702102</v>
      </c>
      <c r="V150" s="1643">
        <v>0</v>
      </c>
      <c r="W150" s="1643">
        <v>-6.8427672955974801</v>
      </c>
      <c r="X150" s="1643">
        <v>-0.58178350023843595</v>
      </c>
      <c r="Y150" s="1643">
        <v>0.14106690406080899</v>
      </c>
      <c r="Z150" s="1643">
        <v>20.081135902636898</v>
      </c>
      <c r="AA150" s="1643">
        <v>-2.66602682022981E-3</v>
      </c>
      <c r="AB150" s="1643">
        <v>2.7224411437809399</v>
      </c>
      <c r="AC150" s="1643">
        <v>1.05336308108701</v>
      </c>
      <c r="AD150" s="1643">
        <v>0.92476625242182398</v>
      </c>
      <c r="AE150" s="1643">
        <v>-1.3902777777777799</v>
      </c>
      <c r="AF150" s="1643">
        <v>1.21148825065274</v>
      </c>
      <c r="AG150" s="1643">
        <v>3.9816842524387802E-2</v>
      </c>
      <c r="AH150" s="1643">
        <v>0.59387231745174796</v>
      </c>
      <c r="AI150" s="1643">
        <v>0.76056750036565701</v>
      </c>
      <c r="AJ150" s="1643">
        <v>0</v>
      </c>
      <c r="AK150" s="1643">
        <v>0.81274904509949197</v>
      </c>
    </row>
    <row r="151" spans="1:37" s="438" customFormat="1" ht="12.75" customHeight="1" x14ac:dyDescent="0.15">
      <c r="A151" s="1848" t="s">
        <v>1817</v>
      </c>
      <c r="B151" s="1642" t="s">
        <v>550</v>
      </c>
      <c r="C151" s="1644">
        <v>-4.3901030007351398</v>
      </c>
      <c r="D151" s="1644">
        <v>-4.7619047619047601</v>
      </c>
      <c r="E151" s="1644">
        <v>0</v>
      </c>
      <c r="F151" s="1644">
        <v>-1.8420848522454001</v>
      </c>
      <c r="G151" s="1644">
        <v>-0.75543105760348095</v>
      </c>
      <c r="H151" s="1644">
        <v>-3.1365339545588502</v>
      </c>
      <c r="I151" s="1644">
        <v>-3.13572709573763</v>
      </c>
      <c r="J151" s="1644">
        <v>2.4851211337250101E-2</v>
      </c>
      <c r="K151" s="1644">
        <v>-1.7623662043194599</v>
      </c>
      <c r="L151" s="1644">
        <v>-1.9150008399126499</v>
      </c>
      <c r="M151" s="1644">
        <v>0</v>
      </c>
      <c r="N151" s="1644">
        <v>-6.6107837036494699</v>
      </c>
      <c r="O151" s="1644">
        <v>-0.24445893089960899</v>
      </c>
      <c r="P151" s="1644">
        <v>-0.69223785746708999</v>
      </c>
      <c r="Q151" s="1644">
        <v>0</v>
      </c>
      <c r="R151" s="1644">
        <v>-0.956121514843424</v>
      </c>
      <c r="S151" s="1644">
        <v>-5.1632010613652</v>
      </c>
      <c r="T151" s="1642" t="s">
        <v>550</v>
      </c>
      <c r="U151" s="1643">
        <v>-5.09209537783559</v>
      </c>
      <c r="V151" s="1643">
        <v>0</v>
      </c>
      <c r="W151" s="1643">
        <v>-2.6927784577723402</v>
      </c>
      <c r="X151" s="1643">
        <v>-4.4733965014577297</v>
      </c>
      <c r="Y151" s="1643">
        <v>-0.33442533442533401</v>
      </c>
      <c r="Z151" s="1643">
        <v>16.658778987221901</v>
      </c>
      <c r="AA151" s="1643">
        <v>-3.1982090029583403E-2</v>
      </c>
      <c r="AB151" s="1643">
        <v>-4.77794027093596</v>
      </c>
      <c r="AC151" s="1643">
        <v>-1.9156950672645701</v>
      </c>
      <c r="AD151" s="1643">
        <v>-4.4115419384788304</v>
      </c>
      <c r="AE151" s="1643">
        <v>-0.277008310249307</v>
      </c>
      <c r="AF151" s="1643">
        <v>0.235540434441246</v>
      </c>
      <c r="AG151" s="1643">
        <v>-3.98009950248756E-2</v>
      </c>
      <c r="AH151" s="1643">
        <v>-1.6199707874120299</v>
      </c>
      <c r="AI151" s="1643">
        <v>-3.1449213769655802</v>
      </c>
      <c r="AJ151" s="1643">
        <v>-1.3612479921592099E-3</v>
      </c>
      <c r="AK151" s="1643">
        <v>-4.1495417863259396</v>
      </c>
    </row>
    <row r="152" spans="1:37" s="438" customFormat="1" ht="12.75" customHeight="1" x14ac:dyDescent="0.15">
      <c r="A152" s="1848" t="s">
        <v>2066</v>
      </c>
      <c r="B152" s="1642" t="s">
        <v>552</v>
      </c>
      <c r="C152" s="1644">
        <v>1.5111886713022999</v>
      </c>
      <c r="D152" s="1644">
        <v>-1.31995776135164</v>
      </c>
      <c r="E152" s="1644">
        <v>0</v>
      </c>
      <c r="F152" s="1644">
        <v>0.77380021885258699</v>
      </c>
      <c r="G152" s="1644">
        <v>-0.47896555303468402</v>
      </c>
      <c r="H152" s="1644">
        <v>-2.1114377558589998</v>
      </c>
      <c r="I152" s="1644">
        <v>-2.1166556497785698</v>
      </c>
      <c r="J152" s="1644">
        <v>-4.1401537589411397E-2</v>
      </c>
      <c r="K152" s="1644">
        <v>-0.51165076684603805</v>
      </c>
      <c r="L152" s="1644">
        <v>0.33709758975223297</v>
      </c>
      <c r="M152" s="1644">
        <v>0</v>
      </c>
      <c r="N152" s="1644">
        <v>2.5449495139071399</v>
      </c>
      <c r="O152" s="1644">
        <v>-6.5146579804560303E-2</v>
      </c>
      <c r="P152" s="1644">
        <v>-0.99988765307268801</v>
      </c>
      <c r="Q152" s="1644">
        <v>0</v>
      </c>
      <c r="R152" s="1644">
        <v>-0.95046039622991596</v>
      </c>
      <c r="S152" s="1644">
        <v>1.1740900220258601</v>
      </c>
      <c r="T152" s="1642" t="s">
        <v>552</v>
      </c>
      <c r="U152" s="1643">
        <v>2.4723315869423699</v>
      </c>
      <c r="V152" s="1643">
        <v>0.13003901170351101</v>
      </c>
      <c r="W152" s="1643">
        <v>-14.9277354325461</v>
      </c>
      <c r="X152" s="1643">
        <v>-0.86705202312138696</v>
      </c>
      <c r="Y152" s="1643">
        <v>-0.49305244285074001</v>
      </c>
      <c r="Z152" s="1643">
        <v>-15.140562248996</v>
      </c>
      <c r="AA152" s="1643">
        <v>-0.103833865814696</v>
      </c>
      <c r="AB152" s="1643">
        <v>-0.31343873366147801</v>
      </c>
      <c r="AC152" s="1643">
        <v>0.94882845036758001</v>
      </c>
      <c r="AD152" s="1643">
        <v>0.77063226314752797</v>
      </c>
      <c r="AE152" s="1643">
        <v>0.55710306406685195</v>
      </c>
      <c r="AF152" s="1643">
        <v>0.38356452290878501</v>
      </c>
      <c r="AG152" s="1643">
        <v>3.9816842524387802E-2</v>
      </c>
      <c r="AH152" s="1643">
        <v>-0.31767041694242198</v>
      </c>
      <c r="AI152" s="1643">
        <v>-2.7685950413223099</v>
      </c>
      <c r="AJ152" s="1643">
        <v>0</v>
      </c>
      <c r="AK152" s="1643">
        <v>0.33396673559184697</v>
      </c>
    </row>
    <row r="153" spans="1:37" s="438" customFormat="1" ht="12.75" customHeight="1" x14ac:dyDescent="0.15">
      <c r="A153" s="1848" t="s">
        <v>2066</v>
      </c>
      <c r="B153" s="1642" t="s">
        <v>553</v>
      </c>
      <c r="C153" s="1644">
        <v>-1.9181220375755299</v>
      </c>
      <c r="D153" s="1644">
        <v>-0.31578947368421101</v>
      </c>
      <c r="E153" s="1644">
        <v>0</v>
      </c>
      <c r="F153" s="1644">
        <v>-2.2948566191912598</v>
      </c>
      <c r="G153" s="1644">
        <v>-2.13188982091545</v>
      </c>
      <c r="H153" s="1644">
        <v>-1.9906425662257199</v>
      </c>
      <c r="I153" s="1644">
        <v>-2.0156557332721499</v>
      </c>
      <c r="J153" s="1644">
        <v>1.65633580297249E-2</v>
      </c>
      <c r="K153" s="1644">
        <v>-0.41602610359865699</v>
      </c>
      <c r="L153" s="1644">
        <v>-0.17162471395880999</v>
      </c>
      <c r="M153" s="1644">
        <v>0</v>
      </c>
      <c r="N153" s="1644">
        <v>-4.0309798270893404</v>
      </c>
      <c r="O153" s="1644">
        <v>-0.340853757506898</v>
      </c>
      <c r="P153" s="1644">
        <v>-0.55859680482627605</v>
      </c>
      <c r="Q153" s="1644">
        <v>-11.8333333333333</v>
      </c>
      <c r="R153" s="1644">
        <v>-1.63942781141648</v>
      </c>
      <c r="S153" s="1644">
        <v>-2.5673584704170498</v>
      </c>
      <c r="T153" s="1642" t="s">
        <v>553</v>
      </c>
      <c r="U153" s="1643">
        <v>-1.37987261146497</v>
      </c>
      <c r="V153" s="1643">
        <v>-0.12987012987013</v>
      </c>
      <c r="W153" s="1643">
        <v>9.0574608221666999</v>
      </c>
      <c r="X153" s="1643">
        <v>-1.41572433443148</v>
      </c>
      <c r="Y153" s="1643">
        <v>0.208248264597795</v>
      </c>
      <c r="Z153" s="1643">
        <v>3.75</v>
      </c>
      <c r="AA153" s="1643">
        <v>-1.3310262212165601E-2</v>
      </c>
      <c r="AB153" s="1643">
        <v>-2.9969111681738698</v>
      </c>
      <c r="AC153" s="1643">
        <v>-1.24105865522175</v>
      </c>
      <c r="AD153" s="1643">
        <v>-4.8342049522952601</v>
      </c>
      <c r="AE153" s="1643">
        <v>-1.37091678342812</v>
      </c>
      <c r="AF153" s="1643">
        <v>-2.30982445334155</v>
      </c>
      <c r="AG153" s="1643">
        <v>-3.98009950248756E-2</v>
      </c>
      <c r="AH153" s="1643">
        <v>-1.4608060519107899</v>
      </c>
      <c r="AI153" s="1643">
        <v>-0.58879912364781595</v>
      </c>
      <c r="AJ153" s="1643">
        <v>0</v>
      </c>
      <c r="AK153" s="1643">
        <v>-4.2038209052602502</v>
      </c>
    </row>
    <row r="154" spans="1:37" s="438" customFormat="1" ht="12.75" customHeight="1" x14ac:dyDescent="0.15">
      <c r="A154" s="1848" t="s">
        <v>2066</v>
      </c>
      <c r="B154" s="1642" t="s">
        <v>547</v>
      </c>
      <c r="C154" s="1644">
        <v>-4.80151801471649</v>
      </c>
      <c r="D154" s="1644">
        <v>-1.0416666666666701</v>
      </c>
      <c r="E154" s="1644">
        <v>0</v>
      </c>
      <c r="F154" s="1644">
        <v>-3.76644374219152</v>
      </c>
      <c r="G154" s="1644">
        <v>-3.0885207167168298</v>
      </c>
      <c r="H154" s="1644">
        <v>-2.7655953393991002</v>
      </c>
      <c r="I154" s="1644">
        <v>-2.7811048809768502</v>
      </c>
      <c r="J154" s="1644">
        <v>-5.7331413792664097E-3</v>
      </c>
      <c r="K154" s="1644">
        <v>-2.1472166619592001</v>
      </c>
      <c r="L154" s="1644">
        <v>-2.4969649243692</v>
      </c>
      <c r="M154" s="1644">
        <v>0</v>
      </c>
      <c r="N154" s="1644">
        <v>-3.7214303055526701</v>
      </c>
      <c r="O154" s="1644">
        <v>-0.77307134804316302</v>
      </c>
      <c r="P154" s="1644">
        <v>-3.6698235040895399</v>
      </c>
      <c r="Q154" s="1644">
        <v>0</v>
      </c>
      <c r="R154" s="1644">
        <v>-2.3043391668594002</v>
      </c>
      <c r="S154" s="1644">
        <v>-6.5100356980263898</v>
      </c>
      <c r="T154" s="1642" t="s">
        <v>547</v>
      </c>
      <c r="U154" s="1643">
        <v>-7.9951618347522801</v>
      </c>
      <c r="V154" s="1643">
        <v>0</v>
      </c>
      <c r="W154" s="1643">
        <v>-5.0873032981246</v>
      </c>
      <c r="X154" s="1643">
        <v>-4.7170611690845803</v>
      </c>
      <c r="Y154" s="1643">
        <v>0.28938818968576802</v>
      </c>
      <c r="Z154" s="1643">
        <v>3.6269430051813498</v>
      </c>
      <c r="AA154" s="1643">
        <v>-0.26549847338377802</v>
      </c>
      <c r="AB154" s="1643">
        <v>-6.33365867261573</v>
      </c>
      <c r="AC154" s="1643">
        <v>-2.54783730089575</v>
      </c>
      <c r="AD154" s="1643">
        <v>-5.2457706140935096</v>
      </c>
      <c r="AE154" s="1643">
        <v>1.37385283288454E-2</v>
      </c>
      <c r="AF154" s="1643">
        <v>-0.225340571545631</v>
      </c>
      <c r="AG154" s="1643">
        <v>0</v>
      </c>
      <c r="AH154" s="1643">
        <v>-2.1816789997448298</v>
      </c>
      <c r="AI154" s="1643">
        <v>-4.17268075055767</v>
      </c>
      <c r="AJ154" s="1643">
        <v>0</v>
      </c>
      <c r="AK154" s="1643">
        <v>-6.5717251814927602</v>
      </c>
    </row>
    <row r="155" spans="1:37" s="438" customFormat="1" ht="12.75" customHeight="1" x14ac:dyDescent="0.15">
      <c r="A155" s="1848" t="s">
        <v>2066</v>
      </c>
      <c r="B155" s="1642" t="s">
        <v>554</v>
      </c>
      <c r="C155" s="1644">
        <v>-1.7016710909491</v>
      </c>
      <c r="D155" s="1644">
        <v>-1.0309278350515501</v>
      </c>
      <c r="E155" s="1644">
        <v>-1.3260840737302699E-2</v>
      </c>
      <c r="F155" s="1644">
        <v>3.6759300102926003E-2</v>
      </c>
      <c r="G155" s="1644">
        <v>-0.92799019061420096</v>
      </c>
      <c r="H155" s="1644">
        <v>2.27074937407115</v>
      </c>
      <c r="I155" s="1644">
        <v>2.3573502660999601</v>
      </c>
      <c r="J155" s="1644">
        <v>-1.91101060610886E-3</v>
      </c>
      <c r="K155" s="1644">
        <v>-1.0180081075989</v>
      </c>
      <c r="L155" s="1644">
        <v>-2.2515154430866899</v>
      </c>
      <c r="M155" s="1644">
        <v>0</v>
      </c>
      <c r="N155" s="1644">
        <v>-2.2378191435255799</v>
      </c>
      <c r="O155" s="1644">
        <v>0.27454780361757097</v>
      </c>
      <c r="P155" s="1644">
        <v>-1.71875826326088</v>
      </c>
      <c r="Q155" s="1644">
        <v>0</v>
      </c>
      <c r="R155" s="1644">
        <v>1.06140708264821</v>
      </c>
      <c r="S155" s="1644">
        <v>1.4834209521739301</v>
      </c>
      <c r="T155" s="1642" t="s">
        <v>554</v>
      </c>
      <c r="U155" s="1643">
        <v>3.1979641402266199</v>
      </c>
      <c r="V155" s="1643">
        <v>-1.29853265809635E-2</v>
      </c>
      <c r="W155" s="1643">
        <v>4.77696216826652</v>
      </c>
      <c r="X155" s="1643">
        <v>1.55953816991211</v>
      </c>
      <c r="Y155" s="1643">
        <v>-0.34823298963462701</v>
      </c>
      <c r="Z155" s="1643">
        <v>-5.8919138561560302</v>
      </c>
      <c r="AA155" s="1643">
        <v>0.21018464321822</v>
      </c>
      <c r="AB155" s="1643">
        <v>1.0233331220463799</v>
      </c>
      <c r="AC155" s="1643">
        <v>1.67983839529362</v>
      </c>
      <c r="AD155" s="1643">
        <v>2.8276343845454899</v>
      </c>
      <c r="AE155" s="1643">
        <v>-0.83378746594005404</v>
      </c>
      <c r="AF155" s="1643">
        <v>-2.0074274816822202</v>
      </c>
      <c r="AG155" s="1643">
        <v>0</v>
      </c>
      <c r="AH155" s="1643">
        <v>0.74550128534704396</v>
      </c>
      <c r="AI155" s="1643">
        <v>0.36876070064533101</v>
      </c>
      <c r="AJ155" s="1643">
        <v>0</v>
      </c>
      <c r="AK155" s="1643">
        <v>6.6391149375758802</v>
      </c>
    </row>
    <row r="156" spans="1:37" s="438" customFormat="1" ht="12.75" customHeight="1" x14ac:dyDescent="0.15">
      <c r="A156" s="1848" t="s">
        <v>2066</v>
      </c>
      <c r="B156" s="1642" t="s">
        <v>555</v>
      </c>
      <c r="C156" s="1644">
        <v>4.3044224046245798</v>
      </c>
      <c r="D156" s="1644">
        <v>-1.0204081632653099</v>
      </c>
      <c r="E156" s="1644">
        <v>0</v>
      </c>
      <c r="F156" s="1644">
        <v>0.16200294550809999</v>
      </c>
      <c r="G156" s="1644">
        <v>-1.39335924981538E-3</v>
      </c>
      <c r="H156" s="1644">
        <v>3.7332814822016398</v>
      </c>
      <c r="I156" s="1644">
        <v>3.6527850357070002</v>
      </c>
      <c r="J156" s="1644">
        <v>0.496770352540507</v>
      </c>
      <c r="K156" s="1644">
        <v>0.78712665082204203</v>
      </c>
      <c r="L156" s="1644">
        <v>-0.94986975030179799</v>
      </c>
      <c r="M156" s="1644">
        <v>0</v>
      </c>
      <c r="N156" s="1644">
        <v>6.3155618038282704</v>
      </c>
      <c r="O156" s="1644">
        <v>0.61748456288592801</v>
      </c>
      <c r="P156" s="1644">
        <v>5.6250698246006001</v>
      </c>
      <c r="Q156" s="1644">
        <v>0</v>
      </c>
      <c r="R156" s="1644">
        <v>2.4661471305623399</v>
      </c>
      <c r="S156" s="1644">
        <v>6.6208097722762798</v>
      </c>
      <c r="T156" s="1642" t="s">
        <v>555</v>
      </c>
      <c r="U156" s="1643">
        <v>3.2845128697138199</v>
      </c>
      <c r="V156" s="1643">
        <v>1.2987012987013E-2</v>
      </c>
      <c r="W156" s="1643">
        <v>-1.44685587089594</v>
      </c>
      <c r="X156" s="1643">
        <v>2.5808732543751098</v>
      </c>
      <c r="Y156" s="1643">
        <v>0.34671034671034701</v>
      </c>
      <c r="Z156" s="1643">
        <v>1.0013953870146901</v>
      </c>
      <c r="AA156" s="1643">
        <v>9.3128450741701597E-3</v>
      </c>
      <c r="AB156" s="1643">
        <v>7.7307698144129704</v>
      </c>
      <c r="AC156" s="1643">
        <v>2.6782140387904398</v>
      </c>
      <c r="AD156" s="1643">
        <v>3.7523212187819799</v>
      </c>
      <c r="AE156" s="1643">
        <v>0.96286107290233802</v>
      </c>
      <c r="AF156" s="1643">
        <v>4.4449103679631001</v>
      </c>
      <c r="AG156" s="1643">
        <v>3.9816842524387802E-2</v>
      </c>
      <c r="AH156" s="1643">
        <v>2.2473386778814599</v>
      </c>
      <c r="AI156" s="1643">
        <v>7.5495750708215299</v>
      </c>
      <c r="AJ156" s="1643">
        <v>0</v>
      </c>
      <c r="AK156" s="1643">
        <v>2.9449794474201698</v>
      </c>
    </row>
    <row r="157" spans="1:37" s="438" customFormat="1" ht="12.75" customHeight="1" x14ac:dyDescent="0.15">
      <c r="A157" s="1848" t="s">
        <v>2066</v>
      </c>
      <c r="B157" s="1642" t="s">
        <v>548</v>
      </c>
      <c r="C157" s="1644">
        <v>1.36065279171078</v>
      </c>
      <c r="D157" s="1644">
        <v>-1.0101010101010099</v>
      </c>
      <c r="E157" s="1644">
        <v>0</v>
      </c>
      <c r="F157" s="1644">
        <v>0.23619722468261001</v>
      </c>
      <c r="G157" s="1644">
        <v>2.9167562916756302</v>
      </c>
      <c r="H157" s="1644">
        <v>2.7528827491722798</v>
      </c>
      <c r="I157" s="1644">
        <v>3.21909552015256</v>
      </c>
      <c r="J157" s="1644">
        <v>0.197561272859058</v>
      </c>
      <c r="K157" s="1644">
        <v>-1.4023940956913501</v>
      </c>
      <c r="L157" s="1644">
        <v>-6.35324015247776E-3</v>
      </c>
      <c r="M157" s="1644">
        <v>-5.9520266650794603E-3</v>
      </c>
      <c r="N157" s="1644">
        <v>4.2777130398827197</v>
      </c>
      <c r="O157" s="1644">
        <v>0.44067243349110502</v>
      </c>
      <c r="P157" s="1644">
        <v>1.24420314444067</v>
      </c>
      <c r="Q157" s="1644">
        <v>0</v>
      </c>
      <c r="R157" s="1644">
        <v>1.04016119599632</v>
      </c>
      <c r="S157" s="1644">
        <v>1.7903229499642801</v>
      </c>
      <c r="T157" s="1642" t="s">
        <v>548</v>
      </c>
      <c r="U157" s="1643">
        <v>1.0967416014144999</v>
      </c>
      <c r="V157" s="1643">
        <v>0</v>
      </c>
      <c r="W157" s="1643">
        <v>-0.93715545755236995</v>
      </c>
      <c r="X157" s="1643">
        <v>1.4981609401632701</v>
      </c>
      <c r="Y157" s="1643">
        <v>0</v>
      </c>
      <c r="Z157" s="1643">
        <v>-16.268041237113401</v>
      </c>
      <c r="AA157" s="1643">
        <v>-3.32491022742386E-2</v>
      </c>
      <c r="AB157" s="1643">
        <v>4.0183416004703796</v>
      </c>
      <c r="AC157" s="1643">
        <v>2.2624939530383701</v>
      </c>
      <c r="AD157" s="1643">
        <v>0.87303900721081495</v>
      </c>
      <c r="AE157" s="1643">
        <v>-0.54719562243502096</v>
      </c>
      <c r="AF157" s="1643">
        <v>2.69688324271949</v>
      </c>
      <c r="AG157" s="1643">
        <v>-3.98009950248756E-2</v>
      </c>
      <c r="AH157" s="1643">
        <v>1.26430662762843</v>
      </c>
      <c r="AI157" s="1643">
        <v>1.9641825534373201</v>
      </c>
      <c r="AJ157" s="1643">
        <v>1.08911699839355E-2</v>
      </c>
      <c r="AK157" s="1643">
        <v>0.83646667343013403</v>
      </c>
    </row>
    <row r="158" spans="1:37" s="438" customFormat="1" ht="12.75" customHeight="1" x14ac:dyDescent="0.15">
      <c r="A158" s="1848" t="s">
        <v>2066</v>
      </c>
      <c r="B158" s="1642" t="s">
        <v>556</v>
      </c>
      <c r="C158" s="1644">
        <v>4.1451543293409303</v>
      </c>
      <c r="D158" s="1644">
        <v>-1</v>
      </c>
      <c r="E158" s="1644">
        <v>0</v>
      </c>
      <c r="F158" s="1644">
        <v>1.21021963245182</v>
      </c>
      <c r="G158" s="1644">
        <v>3.1521803443583201</v>
      </c>
      <c r="H158" s="1644">
        <v>2.2172949002217299</v>
      </c>
      <c r="I158" s="1644">
        <v>1.7305224879715599</v>
      </c>
      <c r="J158" s="1644">
        <v>-0.51433567102937305</v>
      </c>
      <c r="K158" s="1644">
        <v>1.5479914136767901</v>
      </c>
      <c r="L158" s="1644">
        <v>5.0418766058260198</v>
      </c>
      <c r="M158" s="1644">
        <v>0</v>
      </c>
      <c r="N158" s="1644">
        <v>1.96627060176313</v>
      </c>
      <c r="O158" s="1644">
        <v>0.32749304077288299</v>
      </c>
      <c r="P158" s="1644">
        <v>4.0117647058823502</v>
      </c>
      <c r="Q158" s="1644">
        <v>0</v>
      </c>
      <c r="R158" s="1644">
        <v>1.52539235282024</v>
      </c>
      <c r="S158" s="1644">
        <v>2.50356570033804</v>
      </c>
      <c r="T158" s="1642" t="s">
        <v>556</v>
      </c>
      <c r="U158" s="1643">
        <v>-0.77196851972529901</v>
      </c>
      <c r="V158" s="1643">
        <v>0</v>
      </c>
      <c r="W158" s="1643">
        <v>-15.154349859681901</v>
      </c>
      <c r="X158" s="1643">
        <v>2.2285399853264898</v>
      </c>
      <c r="Y158" s="1643">
        <v>0</v>
      </c>
      <c r="Z158" s="1643">
        <v>3.3894691963333998</v>
      </c>
      <c r="AA158" s="1643">
        <v>0.146510388918487</v>
      </c>
      <c r="AB158" s="1643">
        <v>2.8674766286853202</v>
      </c>
      <c r="AC158" s="1643">
        <v>2.2214614477538102</v>
      </c>
      <c r="AD158" s="1643">
        <v>0.47001776369484799</v>
      </c>
      <c r="AE158" s="1643">
        <v>-0.13661202185792301</v>
      </c>
      <c r="AF158" s="1643">
        <v>0.39993514565205601</v>
      </c>
      <c r="AG158" s="1643">
        <v>3.9816842524387802E-2</v>
      </c>
      <c r="AH158" s="1643">
        <v>1.56799134901325</v>
      </c>
      <c r="AI158" s="1643">
        <v>5.6776556776556797</v>
      </c>
      <c r="AJ158" s="1643">
        <v>-1.08899839372737E-2</v>
      </c>
      <c r="AK158" s="1643">
        <v>2.46786183960086</v>
      </c>
    </row>
    <row r="159" spans="1:37" s="438" customFormat="1" ht="12.75" customHeight="1" x14ac:dyDescent="0.15">
      <c r="A159" s="1848" t="s">
        <v>2066</v>
      </c>
      <c r="B159" s="1642" t="s">
        <v>557</v>
      </c>
      <c r="C159" s="1644">
        <v>-4.6033996225982401</v>
      </c>
      <c r="D159" s="1644">
        <v>-0.99009900990098998</v>
      </c>
      <c r="E159" s="1644">
        <v>0</v>
      </c>
      <c r="F159" s="1644">
        <v>-1.40679089636886</v>
      </c>
      <c r="G159" s="1644">
        <v>-2.7546426156877999</v>
      </c>
      <c r="H159" s="1644">
        <v>-2.2960819805310502</v>
      </c>
      <c r="I159" s="1644">
        <v>-2.1851375280986902</v>
      </c>
      <c r="J159" s="1644">
        <v>-0.11218551404549899</v>
      </c>
      <c r="K159" s="1644">
        <v>-1.3635483714852601</v>
      </c>
      <c r="L159" s="1644">
        <v>-1.6829604356669501</v>
      </c>
      <c r="M159" s="1644">
        <v>0</v>
      </c>
      <c r="N159" s="1644">
        <v>-4.2393099651312198</v>
      </c>
      <c r="O159" s="1644">
        <v>-0.58603288295621003</v>
      </c>
      <c r="P159" s="1644">
        <v>-5.2344054852555901</v>
      </c>
      <c r="Q159" s="1644">
        <v>0</v>
      </c>
      <c r="R159" s="1644">
        <v>-1.7245238696068801</v>
      </c>
      <c r="S159" s="1644">
        <v>-4.6529611832688502</v>
      </c>
      <c r="T159" s="1642" t="s">
        <v>557</v>
      </c>
      <c r="U159" s="1643">
        <v>-3.53388330641496</v>
      </c>
      <c r="V159" s="1643">
        <v>0</v>
      </c>
      <c r="W159" s="1643">
        <v>2.5911708253358898</v>
      </c>
      <c r="X159" s="1643">
        <v>-1.25871592864258</v>
      </c>
      <c r="Y159" s="1643">
        <v>0.24630541871921199</v>
      </c>
      <c r="Z159" s="1643">
        <v>-5.7590571218107502</v>
      </c>
      <c r="AA159" s="1643">
        <v>2.7977990647357402E-2</v>
      </c>
      <c r="AB159" s="1643">
        <v>-6.8873761674559901</v>
      </c>
      <c r="AC159" s="1643">
        <v>-2.41285868072312</v>
      </c>
      <c r="AD159" s="1643">
        <v>5.90871752006802E-2</v>
      </c>
      <c r="AE159" s="1643">
        <v>1.10497237569061</v>
      </c>
      <c r="AF159" s="1643">
        <v>-1.1380636888224001</v>
      </c>
      <c r="AG159" s="1643">
        <v>-3.98009950248756E-2</v>
      </c>
      <c r="AH159" s="1643">
        <v>-1.88328912466844</v>
      </c>
      <c r="AI159" s="1643">
        <v>-6.71981776765376</v>
      </c>
      <c r="AJ159" s="1643">
        <v>0</v>
      </c>
      <c r="AK159" s="1643">
        <v>-2.33556212749532</v>
      </c>
    </row>
    <row r="160" spans="1:37" s="438" customFormat="1" ht="12.75" customHeight="1" x14ac:dyDescent="0.15">
      <c r="A160" s="1848" t="s">
        <v>2066</v>
      </c>
      <c r="B160" s="1642" t="s">
        <v>549</v>
      </c>
      <c r="C160" s="1644">
        <v>-0.75723834086481001</v>
      </c>
      <c r="D160" s="1644">
        <v>-0.98039215686274495</v>
      </c>
      <c r="E160" s="1644">
        <v>-2.6514649343762402E-2</v>
      </c>
      <c r="F160" s="1644">
        <v>0.147525263701409</v>
      </c>
      <c r="G160" s="1644">
        <v>0.91890950265656302</v>
      </c>
      <c r="H160" s="1644">
        <v>2.15036543109222</v>
      </c>
      <c r="I160" s="1644">
        <v>2.22452650195229</v>
      </c>
      <c r="J160" s="1644">
        <v>-7.2612852474888107E-2</v>
      </c>
      <c r="K160" s="1644">
        <v>0.54315100571129704</v>
      </c>
      <c r="L160" s="1644">
        <v>1.1850622406639</v>
      </c>
      <c r="M160" s="1644">
        <v>0</v>
      </c>
      <c r="N160" s="1644">
        <v>2.5327412313713702</v>
      </c>
      <c r="O160" s="1644">
        <v>0.163052339801076</v>
      </c>
      <c r="P160" s="1644">
        <v>1.32738364211478</v>
      </c>
      <c r="Q160" s="1644">
        <v>0</v>
      </c>
      <c r="R160" s="1644">
        <v>1.27279457837565</v>
      </c>
      <c r="S160" s="1644">
        <v>0.92412470705538496</v>
      </c>
      <c r="T160" s="1642" t="s">
        <v>549</v>
      </c>
      <c r="U160" s="1643">
        <v>-0.62518320607018796</v>
      </c>
      <c r="V160" s="1643">
        <v>0</v>
      </c>
      <c r="W160" s="1643">
        <v>-8.1128747795414498</v>
      </c>
      <c r="X160" s="1643">
        <v>1.4422193643211501</v>
      </c>
      <c r="Y160" s="1643">
        <v>-2.32567684036281E-2</v>
      </c>
      <c r="Z160" s="1643">
        <v>-3.4400258648561302</v>
      </c>
      <c r="AA160" s="1643">
        <v>-5.3263026138830098E-2</v>
      </c>
      <c r="AB160" s="1643">
        <v>1.43504531722054</v>
      </c>
      <c r="AC160" s="1643">
        <v>1.31633382225732</v>
      </c>
      <c r="AD160" s="1643">
        <v>-2.97749112755668E-2</v>
      </c>
      <c r="AE160" s="1643">
        <v>10.365853658536601</v>
      </c>
      <c r="AF160" s="1643">
        <v>1.8724145438711099</v>
      </c>
      <c r="AG160" s="1643">
        <v>0</v>
      </c>
      <c r="AH160" s="1643">
        <v>1.4668281523348099</v>
      </c>
      <c r="AI160" s="1643">
        <v>2.5551175354066298</v>
      </c>
      <c r="AJ160" s="1643">
        <v>1.36143331699613E-2</v>
      </c>
      <c r="AK160" s="1643">
        <v>2.05984877033826</v>
      </c>
    </row>
    <row r="161" spans="1:37" s="438" customFormat="1" ht="12.75" customHeight="1" x14ac:dyDescent="0.15">
      <c r="A161" s="1848" t="s">
        <v>2066</v>
      </c>
      <c r="B161" s="1642" t="s">
        <v>558</v>
      </c>
      <c r="C161" s="1644">
        <v>-1.13704373760997</v>
      </c>
      <c r="D161" s="1644">
        <v>-0.970873786407767</v>
      </c>
      <c r="E161" s="1644">
        <v>2.6521681474605499E-2</v>
      </c>
      <c r="F161" s="1644">
        <v>3.68949232585596E-2</v>
      </c>
      <c r="G161" s="1644">
        <v>-0.51126516464471405</v>
      </c>
      <c r="H161" s="1644">
        <v>1.52540869719455</v>
      </c>
      <c r="I161" s="1644">
        <v>1.63208863017715</v>
      </c>
      <c r="J161" s="1644">
        <v>1.9109010535434501E-3</v>
      </c>
      <c r="K161" s="1644">
        <v>0.563337207168634</v>
      </c>
      <c r="L161" s="1644">
        <v>2.6755282890252201</v>
      </c>
      <c r="M161" s="1644">
        <v>0</v>
      </c>
      <c r="N161" s="1644">
        <v>-2.5202685351627001</v>
      </c>
      <c r="O161" s="1644">
        <v>3.2621105855488497E-2</v>
      </c>
      <c r="P161" s="1644">
        <v>-0.77345589059522502</v>
      </c>
      <c r="Q161" s="1644">
        <v>0</v>
      </c>
      <c r="R161" s="1644">
        <v>0.17103379767322599</v>
      </c>
      <c r="S161" s="1644">
        <v>-0.63454412746544298</v>
      </c>
      <c r="T161" s="1642" t="s">
        <v>558</v>
      </c>
      <c r="U161" s="1643">
        <v>-2.1346137567132901</v>
      </c>
      <c r="V161" s="1643">
        <v>0</v>
      </c>
      <c r="W161" s="1643">
        <v>-8.8105726872246701E-2</v>
      </c>
      <c r="X161" s="1643">
        <v>-1.89257390050469</v>
      </c>
      <c r="Y161" s="1643">
        <v>0.244106474307108</v>
      </c>
      <c r="Z161" s="1643">
        <v>-3.88440024860162</v>
      </c>
      <c r="AA161" s="1643">
        <v>0.113312181726078</v>
      </c>
      <c r="AB161" s="1643">
        <v>-2.5430251761734302</v>
      </c>
      <c r="AC161" s="1643">
        <v>-0.40453983593662202</v>
      </c>
      <c r="AD161" s="1643">
        <v>1.4578268051082399</v>
      </c>
      <c r="AE161" s="1643">
        <v>2.1806853582554502</v>
      </c>
      <c r="AF161" s="1643">
        <v>2.7229521945764601</v>
      </c>
      <c r="AG161" s="1643">
        <v>0</v>
      </c>
      <c r="AH161" s="1643">
        <v>0.09</v>
      </c>
      <c r="AI161" s="1643">
        <v>0.34</v>
      </c>
      <c r="AJ161" s="1643">
        <v>0.01</v>
      </c>
      <c r="AK161" s="1643">
        <v>2.12</v>
      </c>
    </row>
    <row r="162" spans="1:37" s="438" customFormat="1" ht="12.75" customHeight="1" x14ac:dyDescent="0.15">
      <c r="A162" s="1848" t="s">
        <v>2066</v>
      </c>
      <c r="B162" s="1642" t="s">
        <v>559</v>
      </c>
      <c r="C162" s="1644">
        <v>-1.37</v>
      </c>
      <c r="D162" s="1644">
        <v>-1.44</v>
      </c>
      <c r="E162" s="1644">
        <v>0.01</v>
      </c>
      <c r="F162" s="1644">
        <v>-0.35</v>
      </c>
      <c r="G162" s="1644">
        <v>-2.2323886982674601</v>
      </c>
      <c r="H162" s="1644">
        <v>-2.48</v>
      </c>
      <c r="I162" s="1644">
        <v>-2.6</v>
      </c>
      <c r="J162" s="1644">
        <v>0.2</v>
      </c>
      <c r="K162" s="1644">
        <v>-1.1499999999999999</v>
      </c>
      <c r="L162" s="1644">
        <v>-2.15</v>
      </c>
      <c r="M162" s="1644">
        <v>0</v>
      </c>
      <c r="N162" s="1644">
        <v>-2.5106398197489401</v>
      </c>
      <c r="O162" s="1644">
        <v>-0.34</v>
      </c>
      <c r="P162" s="1644">
        <v>-3.38</v>
      </c>
      <c r="Q162" s="1644">
        <v>0</v>
      </c>
      <c r="R162" s="1644">
        <v>-1.1399999999999999</v>
      </c>
      <c r="S162" s="1644">
        <v>-2.38</v>
      </c>
      <c r="T162" s="1642" t="s">
        <v>559</v>
      </c>
      <c r="U162" s="1643">
        <v>-4.96</v>
      </c>
      <c r="V162" s="1643">
        <v>0</v>
      </c>
      <c r="W162" s="1643">
        <v>-0.83</v>
      </c>
      <c r="X162" s="1643">
        <v>-1.3</v>
      </c>
      <c r="Y162" s="1643">
        <v>-0.03</v>
      </c>
      <c r="Z162" s="1643">
        <v>7</v>
      </c>
      <c r="AA162" s="1643">
        <v>0.02</v>
      </c>
      <c r="AB162" s="1643">
        <v>1.1299999999999999</v>
      </c>
      <c r="AC162" s="1643">
        <v>-1.1478505572629301</v>
      </c>
      <c r="AD162" s="1643">
        <v>-6.0059262380295904</v>
      </c>
      <c r="AE162" s="1643">
        <v>8.9058524173027998</v>
      </c>
      <c r="AF162" s="1643">
        <v>-1.27</v>
      </c>
      <c r="AG162" s="1643">
        <v>0</v>
      </c>
      <c r="AH162" s="1643">
        <v>-1.19776417354272</v>
      </c>
      <c r="AI162" s="1643">
        <v>-1.67</v>
      </c>
      <c r="AJ162" s="1643">
        <v>-0.02</v>
      </c>
      <c r="AK162" s="1643">
        <v>-1.27246513826458</v>
      </c>
    </row>
    <row r="163" spans="1:37" s="438" customFormat="1" ht="12.75" customHeight="1" x14ac:dyDescent="0.15">
      <c r="A163" s="1848" t="s">
        <v>2066</v>
      </c>
      <c r="B163" s="1642" t="s">
        <v>550</v>
      </c>
      <c r="C163" s="1644">
        <v>2.2938226198026301</v>
      </c>
      <c r="D163" s="1644">
        <v>-1.4150943396226401</v>
      </c>
      <c r="E163" s="1644">
        <v>0</v>
      </c>
      <c r="F163" s="1644">
        <v>2.7269980359570898</v>
      </c>
      <c r="G163" s="1644">
        <v>-2.5530948793626602</v>
      </c>
      <c r="H163" s="1644">
        <v>1.5</v>
      </c>
      <c r="I163" s="1644">
        <v>1.64881240975987</v>
      </c>
      <c r="J163" s="1644">
        <v>0.05</v>
      </c>
      <c r="K163" s="1644">
        <v>0.72658838433053996</v>
      </c>
      <c r="L163" s="1644">
        <v>-0.23</v>
      </c>
      <c r="M163" s="1644">
        <v>0</v>
      </c>
      <c r="N163" s="1644">
        <v>-3.1385318876225399</v>
      </c>
      <c r="O163" s="1644">
        <v>4.8788420881444097E-2</v>
      </c>
      <c r="P163" s="1644">
        <v>-1.4515956879069301</v>
      </c>
      <c r="Q163" s="1644">
        <v>0</v>
      </c>
      <c r="R163" s="1644">
        <v>0.13520988261323799</v>
      </c>
      <c r="S163" s="1644">
        <v>1.72242501868036</v>
      </c>
      <c r="T163" s="1642" t="s">
        <v>550</v>
      </c>
      <c r="U163" s="1643">
        <v>3.3395227669539702</v>
      </c>
      <c r="V163" s="1643">
        <v>0</v>
      </c>
      <c r="W163" s="1643">
        <v>-0.26143790849673199</v>
      </c>
      <c r="X163" s="1643">
        <v>0.82511210762331799</v>
      </c>
      <c r="Y163" s="1643">
        <v>0.107051686750295</v>
      </c>
      <c r="Z163" s="1643">
        <v>-10.1195457262403</v>
      </c>
      <c r="AA163" s="1643">
        <v>-2.6658846738290099E-2</v>
      </c>
      <c r="AB163" s="1643">
        <v>1.58</v>
      </c>
      <c r="AC163" s="1643">
        <v>-0.14050656313551499</v>
      </c>
      <c r="AD163" s="1643">
        <v>1.0828102142473599</v>
      </c>
      <c r="AE163" s="1643">
        <v>-4.22420796100731</v>
      </c>
      <c r="AF163" s="1643">
        <v>0.92484260961613496</v>
      </c>
      <c r="AG163" s="1643">
        <v>0</v>
      </c>
      <c r="AH163" s="1643">
        <v>-5.3205639797818602E-2</v>
      </c>
      <c r="AI163" s="1643">
        <v>-1.43404799091296</v>
      </c>
      <c r="AJ163" s="1643">
        <v>0</v>
      </c>
      <c r="AK163" s="1643">
        <v>2.3521811473907999</v>
      </c>
    </row>
    <row r="164" spans="1:37" s="264" customFormat="1" ht="12.75" customHeight="1" x14ac:dyDescent="0.15">
      <c r="A164" s="1848" t="s">
        <v>2206</v>
      </c>
      <c r="B164" s="1642" t="s">
        <v>552</v>
      </c>
      <c r="C164" s="1644">
        <v>-0.25498726212541201</v>
      </c>
      <c r="D164" s="1644">
        <v>-2.75229357798165</v>
      </c>
      <c r="E164" s="1644">
        <v>0</v>
      </c>
      <c r="F164" s="1644">
        <v>-0.120718273728686</v>
      </c>
      <c r="G164" s="1644">
        <v>1.92342752962625</v>
      </c>
      <c r="H164" s="1644">
        <v>1.06305906705107</v>
      </c>
      <c r="I164" s="1644">
        <v>0.95308173832079202</v>
      </c>
      <c r="J164" s="1644">
        <v>0.43354732784771199</v>
      </c>
      <c r="K164" s="1644">
        <v>-0.19087449697883399</v>
      </c>
      <c r="L164" s="1644">
        <v>-0.44057241287929</v>
      </c>
      <c r="M164" s="1644">
        <v>0</v>
      </c>
      <c r="N164" s="1644">
        <v>2.2455991215953</v>
      </c>
      <c r="O164" s="1644">
        <v>8.1380208333324405E-2</v>
      </c>
      <c r="P164" s="1644">
        <v>3.2851945761217101</v>
      </c>
      <c r="Q164" s="1644">
        <v>0</v>
      </c>
      <c r="R164" s="1644">
        <v>0.72743924932475501</v>
      </c>
      <c r="S164" s="1644">
        <v>0.40703362570683899</v>
      </c>
      <c r="T164" s="1642" t="s">
        <v>552</v>
      </c>
      <c r="U164" s="1643">
        <v>6.14832465507605</v>
      </c>
      <c r="V164" s="1643">
        <v>0</v>
      </c>
      <c r="W164" s="1643">
        <v>1.39433782207613</v>
      </c>
      <c r="X164" s="1643">
        <v>1.69646114556731</v>
      </c>
      <c r="Y164" s="1643">
        <v>-4.1156779893542703E-2</v>
      </c>
      <c r="Z164" s="1643">
        <v>-8.7388173685358801</v>
      </c>
      <c r="AA164" s="1643">
        <v>1.3331200341271301E-2</v>
      </c>
      <c r="AB164" s="1643">
        <v>2.1523464458246999</v>
      </c>
      <c r="AC164" s="1643">
        <v>1.57746478873239</v>
      </c>
      <c r="AD164" s="1643">
        <v>2.3967083183222999</v>
      </c>
      <c r="AE164" s="1643">
        <v>-6.4589665653495398</v>
      </c>
      <c r="AF164" s="1643">
        <v>3.1551724137931001</v>
      </c>
      <c r="AG164" s="1643">
        <v>0</v>
      </c>
      <c r="AH164" s="1643">
        <v>0.96696212731667996</v>
      </c>
      <c r="AI164" s="1643">
        <v>2.66763848396501</v>
      </c>
      <c r="AJ164" s="1643">
        <v>-5.4449919686362499E-3</v>
      </c>
      <c r="AK164" s="1643">
        <v>1.14512941397815</v>
      </c>
    </row>
    <row r="165" spans="1:37" s="264" customFormat="1" ht="12.75" customHeight="1" x14ac:dyDescent="0.15">
      <c r="A165" s="1848" t="s">
        <v>2206</v>
      </c>
      <c r="B165" s="1642" t="s">
        <v>553</v>
      </c>
      <c r="C165" s="1644">
        <v>-2.6015038786249902</v>
      </c>
      <c r="D165" s="1644">
        <v>-0.45662100456621002</v>
      </c>
      <c r="E165" s="1644">
        <v>0</v>
      </c>
      <c r="F165" s="1644">
        <v>-2.0616271336732401</v>
      </c>
      <c r="G165" s="1644">
        <v>-0.70462742476779305</v>
      </c>
      <c r="H165" s="1644">
        <v>-0.873503246324984</v>
      </c>
      <c r="I165" s="1644">
        <v>-0.81699597007812397</v>
      </c>
      <c r="J165" s="1644">
        <v>-0.654348518636508</v>
      </c>
      <c r="K165" s="1644">
        <v>-0.43877964788689799</v>
      </c>
      <c r="L165" s="1644">
        <v>-0.91899698043849298</v>
      </c>
      <c r="M165" s="1644">
        <v>0</v>
      </c>
      <c r="N165" s="1644">
        <v>-3.4802228983624501</v>
      </c>
      <c r="O165" s="1644">
        <v>-0.25974025974025999</v>
      </c>
      <c r="P165" s="1644">
        <v>-2.25215517241379</v>
      </c>
      <c r="Q165" s="1644">
        <v>0</v>
      </c>
      <c r="R165" s="1644">
        <v>-1.2731787691349401</v>
      </c>
      <c r="S165" s="1644">
        <v>-3.4052220683002599</v>
      </c>
      <c r="T165" s="1642" t="s">
        <v>553</v>
      </c>
      <c r="U165" s="1643">
        <v>-3.74526886084552</v>
      </c>
      <c r="V165" s="1643">
        <v>0</v>
      </c>
      <c r="W165" s="1643">
        <v>-7.0837438423645303</v>
      </c>
      <c r="X165" s="1643">
        <v>-3.3668253128856001</v>
      </c>
      <c r="Y165" s="1643">
        <v>-1.50885423096443E-2</v>
      </c>
      <c r="Z165" s="1643">
        <v>-4.8182762201453802</v>
      </c>
      <c r="AA165" s="1643">
        <v>-1.86601977980967E-2</v>
      </c>
      <c r="AB165" s="1643">
        <v>-3.6470868265848599</v>
      </c>
      <c r="AC165" s="1643">
        <v>-1.36697043787508</v>
      </c>
      <c r="AD165" s="1643">
        <v>-2.7314644042788601</v>
      </c>
      <c r="AE165" s="1643">
        <v>3.13479623824451</v>
      </c>
      <c r="AF165" s="1643">
        <v>-0.922446190638879</v>
      </c>
      <c r="AG165" s="1643">
        <v>-80.675306695381295</v>
      </c>
      <c r="AH165" s="1643">
        <v>-0.95770151636073397</v>
      </c>
      <c r="AI165" s="1643">
        <v>-1.85979971387697</v>
      </c>
      <c r="AJ165" s="1643">
        <v>6.8067032413520797E-3</v>
      </c>
      <c r="AK165" s="1643">
        <v>-1.02322795922659</v>
      </c>
    </row>
    <row r="166" spans="1:37" s="264" customFormat="1" ht="12.75" customHeight="1" x14ac:dyDescent="0.15">
      <c r="A166" s="1848" t="s">
        <v>2206</v>
      </c>
      <c r="B166" s="1642" t="s">
        <v>547</v>
      </c>
      <c r="C166" s="1644">
        <v>-1.24285759781206</v>
      </c>
      <c r="D166" s="1644">
        <v>-0.68027210884353695</v>
      </c>
      <c r="E166" s="1644">
        <v>0</v>
      </c>
      <c r="F166" s="1644">
        <v>0.118369460679145</v>
      </c>
      <c r="G166" s="1644">
        <v>0.131070736366552</v>
      </c>
      <c r="H166" s="1644">
        <v>-3.2582342015341199</v>
      </c>
      <c r="I166" s="1644">
        <v>-3.2399782548073301</v>
      </c>
      <c r="J166" s="1644">
        <v>0.33369984913186901</v>
      </c>
      <c r="K166" s="1644">
        <v>-0.76812203471262996</v>
      </c>
      <c r="L166" s="1644">
        <v>-1.95333869670153</v>
      </c>
      <c r="M166" s="1644">
        <v>0</v>
      </c>
      <c r="N166" s="1644">
        <v>-1.8883745891192101</v>
      </c>
      <c r="O166" s="1644">
        <v>-0.43639890092128703</v>
      </c>
      <c r="P166" s="1644">
        <v>-1.4129395516838399</v>
      </c>
      <c r="Q166" s="1644">
        <v>0</v>
      </c>
      <c r="R166" s="1644">
        <v>-0.78431437699255901</v>
      </c>
      <c r="S166" s="1644">
        <v>-0.176269611265854</v>
      </c>
      <c r="T166" s="1642" t="s">
        <v>547</v>
      </c>
      <c r="U166" s="1643">
        <v>-2.0614363496861601</v>
      </c>
      <c r="V166" s="1643">
        <v>0</v>
      </c>
      <c r="W166" s="1643">
        <v>6.7859021567596001</v>
      </c>
      <c r="X166" s="1643">
        <v>-0.36880927291886201</v>
      </c>
      <c r="Y166" s="1643">
        <v>-1.50862660120142E-2</v>
      </c>
      <c r="Z166" s="1643">
        <v>-1.0383137784238401E-2</v>
      </c>
      <c r="AA166" s="1643">
        <v>0</v>
      </c>
      <c r="AB166" s="1643">
        <v>-2.0146676094610201</v>
      </c>
      <c r="AC166" s="1643">
        <v>-1.39898454907404</v>
      </c>
      <c r="AD166" s="1643">
        <v>-1.52203131243416</v>
      </c>
      <c r="AE166" s="1643">
        <v>-1.2383900928792599</v>
      </c>
      <c r="AF166" s="1643">
        <v>-4.1113841113841101</v>
      </c>
      <c r="AG166" s="1643">
        <v>0</v>
      </c>
      <c r="AH166" s="1643">
        <v>-1.4162077104641999</v>
      </c>
      <c r="AI166" s="1643">
        <v>-4.3775649794801597</v>
      </c>
      <c r="AJ166" s="1643">
        <v>-6.8062399607960603E-3</v>
      </c>
      <c r="AK166" s="1643">
        <v>-4.41823727734897</v>
      </c>
    </row>
    <row r="167" spans="1:37" s="264" customFormat="1" ht="12.75" customHeight="1" x14ac:dyDescent="0.15">
      <c r="A167" s="1848" t="s">
        <v>2206</v>
      </c>
      <c r="B167" s="1642" t="s">
        <v>554</v>
      </c>
      <c r="C167" s="1644">
        <v>-0.33612315970047801</v>
      </c>
      <c r="D167" s="1644">
        <v>-0.22624434389140299</v>
      </c>
      <c r="E167" s="1644">
        <v>-5.3022269353128301E-2</v>
      </c>
      <c r="F167" s="1644">
        <v>-2.2349197164761998</v>
      </c>
      <c r="G167" s="1644">
        <v>-8.6376238175510905E-2</v>
      </c>
      <c r="H167" s="1644">
        <v>0.29507334172337102</v>
      </c>
      <c r="I167" s="1644">
        <v>0.40673480014749003</v>
      </c>
      <c r="J167" s="1644">
        <v>8.3112233481443601E-3</v>
      </c>
      <c r="K167" s="1644">
        <v>0</v>
      </c>
      <c r="L167" s="1644">
        <v>-2.27987421383648</v>
      </c>
      <c r="M167" s="1644">
        <v>0</v>
      </c>
      <c r="N167" s="1644">
        <v>-3.01780504979378E-2</v>
      </c>
      <c r="O167" s="1644">
        <v>0</v>
      </c>
      <c r="P167" s="1644">
        <v>-1.2484263533361299</v>
      </c>
      <c r="Q167" s="1644">
        <v>0</v>
      </c>
      <c r="R167" s="1644">
        <v>-0.40282182104584802</v>
      </c>
      <c r="S167" s="1644">
        <v>-1.74051377843911</v>
      </c>
      <c r="T167" s="1642" t="s">
        <v>554</v>
      </c>
      <c r="U167" s="1643">
        <v>-2.9532874610878399</v>
      </c>
      <c r="V167" s="1643">
        <v>0</v>
      </c>
      <c r="W167" s="1643">
        <v>1.4046941678520599</v>
      </c>
      <c r="X167" s="1643">
        <v>0.193559739574169</v>
      </c>
      <c r="Y167" s="1643">
        <v>-0.25444596443228501</v>
      </c>
      <c r="Z167" s="1643">
        <v>3.4840304080371798</v>
      </c>
      <c r="AA167" s="1643">
        <v>-1.0661833302236299E-2</v>
      </c>
      <c r="AB167" s="1643">
        <v>-1.44359967130346E-2</v>
      </c>
      <c r="AC167" s="1643">
        <v>0.329827390332393</v>
      </c>
      <c r="AD167" s="1643">
        <v>-1.4445538351382801</v>
      </c>
      <c r="AE167" s="1643">
        <v>-1.3363879343260801</v>
      </c>
      <c r="AF167" s="1643">
        <v>1.5243902439024399</v>
      </c>
      <c r="AG167" s="1643">
        <v>0</v>
      </c>
      <c r="AH167" s="1643">
        <v>2.62329485834208E-2</v>
      </c>
      <c r="AI167" s="1643">
        <v>1.28862408202854</v>
      </c>
      <c r="AJ167" s="1643">
        <v>0</v>
      </c>
      <c r="AK167" s="1643">
        <v>9.0475408362933399E-2</v>
      </c>
    </row>
    <row r="168" spans="1:37" s="264" customFormat="1" ht="12.75" customHeight="1" x14ac:dyDescent="0.15">
      <c r="A168" s="1848" t="s">
        <v>2206</v>
      </c>
      <c r="B168" s="1642" t="s">
        <v>555</v>
      </c>
      <c r="C168" s="1644">
        <v>3.8117648900224599</v>
      </c>
      <c r="D168" s="1644">
        <v>0</v>
      </c>
      <c r="E168" s="1644">
        <v>0.15932023366967599</v>
      </c>
      <c r="F168" s="1644">
        <v>1.7403142131792899</v>
      </c>
      <c r="G168" s="1644">
        <v>1.0715593229885401</v>
      </c>
      <c r="H168" s="1644">
        <v>3.4626588983050799</v>
      </c>
      <c r="I168" s="1644">
        <v>3.3443243033131802</v>
      </c>
      <c r="J168" s="1644">
        <v>0.21013921723141599</v>
      </c>
      <c r="K168" s="1644">
        <v>-0.12236524826949099</v>
      </c>
      <c r="L168" s="1644">
        <v>2.6733824099186401</v>
      </c>
      <c r="M168" s="1644">
        <v>0</v>
      </c>
      <c r="N168" s="1644">
        <v>1.2699921898876001</v>
      </c>
      <c r="O168" s="1644">
        <v>0.32430679422733899</v>
      </c>
      <c r="P168" s="1644">
        <v>2.4285407264130701</v>
      </c>
      <c r="Q168" s="1644">
        <v>0</v>
      </c>
      <c r="R168" s="1644">
        <v>1.7705739020319999</v>
      </c>
      <c r="S168" s="1644">
        <v>5.3739390658547004</v>
      </c>
      <c r="T168" s="1642" t="s">
        <v>555</v>
      </c>
      <c r="U168" s="1643">
        <v>4.5675422138836801</v>
      </c>
      <c r="V168" s="1643">
        <v>0</v>
      </c>
      <c r="W168" s="1643">
        <v>-1.6783216783216801</v>
      </c>
      <c r="X168" s="1643">
        <v>2.4794878730502199</v>
      </c>
      <c r="Y168" s="1643">
        <v>0.23997257456290699</v>
      </c>
      <c r="Z168" s="1643">
        <v>4.9239007891769999</v>
      </c>
      <c r="AA168" s="1643">
        <v>1.06629701703409E-2</v>
      </c>
      <c r="AB168" s="1643">
        <v>4.78428999740132</v>
      </c>
      <c r="AC168" s="1643">
        <v>2.3479989497768301</v>
      </c>
      <c r="AD168" s="1643">
        <v>7.9532553611888099</v>
      </c>
      <c r="AE168" s="1643">
        <v>7.6423385555980106E-2</v>
      </c>
      <c r="AF168" s="1643">
        <v>3.2095657646318401</v>
      </c>
      <c r="AG168" s="1643">
        <v>0</v>
      </c>
      <c r="AH168" s="1643">
        <v>1.89788826516974</v>
      </c>
      <c r="AI168" s="1643">
        <v>3.3806044979229299</v>
      </c>
      <c r="AJ168" s="1643">
        <v>1.36147038801906E-2</v>
      </c>
      <c r="AK168" s="1643">
        <v>4.3224587637182701</v>
      </c>
    </row>
    <row r="169" spans="1:37" s="264" customFormat="1" ht="12.75" customHeight="1" x14ac:dyDescent="0.15">
      <c r="A169" s="1848" t="s">
        <v>2206</v>
      </c>
      <c r="B169" s="1642" t="s">
        <v>548</v>
      </c>
      <c r="C169" s="1644">
        <v>2.91628904031937</v>
      </c>
      <c r="D169" s="1644">
        <v>0.45454545454545497</v>
      </c>
      <c r="E169" s="1644">
        <v>-0.10610079575596799</v>
      </c>
      <c r="F169" s="1644">
        <v>2.5816191734289502</v>
      </c>
      <c r="G169" s="1644">
        <v>0.26967117059878298</v>
      </c>
      <c r="H169" s="1644">
        <v>0.62326972330377395</v>
      </c>
      <c r="I169" s="1644">
        <v>0.61075912719686798</v>
      </c>
      <c r="J169" s="1644">
        <v>-5.50671370851556E-2</v>
      </c>
      <c r="K169" s="1644">
        <v>0.167633009883738</v>
      </c>
      <c r="L169" s="1644">
        <v>0.57803468208092501</v>
      </c>
      <c r="M169" s="1644">
        <v>0</v>
      </c>
      <c r="N169" s="1644">
        <v>4.3809591323148904</v>
      </c>
      <c r="O169" s="1644">
        <v>0.35801464605370198</v>
      </c>
      <c r="P169" s="1644">
        <v>1.26224156692057</v>
      </c>
      <c r="Q169" s="1644">
        <v>0</v>
      </c>
      <c r="R169" s="1644">
        <v>0.614942796511455</v>
      </c>
      <c r="S169" s="1644">
        <v>2.7286157093608701</v>
      </c>
      <c r="T169" s="1642" t="s">
        <v>548</v>
      </c>
      <c r="U169" s="1643">
        <v>4.9315877547002698</v>
      </c>
      <c r="V169" s="1643">
        <v>0</v>
      </c>
      <c r="W169" s="1643">
        <v>1.7341040462427699</v>
      </c>
      <c r="X169" s="1643">
        <v>0.102891801148056</v>
      </c>
      <c r="Y169" s="1643">
        <v>2.05733095597312E-2</v>
      </c>
      <c r="Z169" s="1643">
        <v>-3.1923601637107799</v>
      </c>
      <c r="AA169" s="1643">
        <v>2.6664533503986301E-2</v>
      </c>
      <c r="AB169" s="1643">
        <v>-0.45866777858855401</v>
      </c>
      <c r="AC169" s="1643">
        <v>1.02307604865295</v>
      </c>
      <c r="AD169" s="1643">
        <v>2.7943586432934402</v>
      </c>
      <c r="AE169" s="1643">
        <v>1</v>
      </c>
      <c r="AF169" s="1643">
        <v>3.8315314244980399</v>
      </c>
      <c r="AG169" s="1643">
        <v>0</v>
      </c>
      <c r="AH169" s="1643">
        <v>0.38910505836575898</v>
      </c>
      <c r="AI169" s="1643">
        <v>1.54181818181818</v>
      </c>
      <c r="AJ169" s="1643">
        <v>-8.1681550860379006E-3</v>
      </c>
      <c r="AK169" s="1643">
        <v>0.28000000000000003</v>
      </c>
    </row>
    <row r="170" spans="1:37" s="264" customFormat="1" ht="12.75" customHeight="1" x14ac:dyDescent="0.15">
      <c r="A170" s="1848" t="s">
        <v>2206</v>
      </c>
      <c r="B170" s="1642" t="s">
        <v>556</v>
      </c>
      <c r="C170" s="1644">
        <v>-3.06856569010779</v>
      </c>
      <c r="D170" s="1644">
        <v>0</v>
      </c>
      <c r="E170" s="1644">
        <v>-1.3260840737302699E-2</v>
      </c>
      <c r="F170" s="1644">
        <v>-1.1233019853709501</v>
      </c>
      <c r="G170" s="1644">
        <v>-0.29842762426272901</v>
      </c>
      <c r="H170" s="1644">
        <v>-1.72408776115929</v>
      </c>
      <c r="I170" s="1644">
        <v>-1.7667869886026599</v>
      </c>
      <c r="J170" s="1644">
        <v>-0.119595804553594</v>
      </c>
      <c r="K170" s="1644">
        <v>0.111278195488722</v>
      </c>
      <c r="L170" s="1644">
        <v>-2.4363970471754901</v>
      </c>
      <c r="M170" s="1644">
        <v>0</v>
      </c>
      <c r="N170" s="1644">
        <v>-4.4307442159818402</v>
      </c>
      <c r="O170" s="1644">
        <v>-0.146246343841404</v>
      </c>
      <c r="P170" s="1644">
        <v>-2.86439065637882</v>
      </c>
      <c r="Q170" s="1644">
        <v>0</v>
      </c>
      <c r="R170" s="1644">
        <v>-0.93165460380550802</v>
      </c>
      <c r="S170" s="1644">
        <v>-2.98022809764523</v>
      </c>
      <c r="T170" s="1642" t="s">
        <v>556</v>
      </c>
      <c r="U170" s="1643">
        <v>-2.69902689449084</v>
      </c>
      <c r="V170" s="1643">
        <v>0</v>
      </c>
      <c r="W170" s="1643">
        <v>0.34802784222737798</v>
      </c>
      <c r="X170" s="1643">
        <v>-1.71996274448929</v>
      </c>
      <c r="Y170" s="1643">
        <v>0</v>
      </c>
      <c r="Z170" s="1643">
        <v>2.2315202231520201</v>
      </c>
      <c r="AA170" s="1643">
        <v>5.3331911149035998E-3</v>
      </c>
      <c r="AB170" s="1643">
        <v>-2.9819606550499702</v>
      </c>
      <c r="AC170" s="1643">
        <v>-1.4672939068100399</v>
      </c>
      <c r="AD170" s="1643">
        <v>-3.4641124470267899</v>
      </c>
      <c r="AE170" s="1643">
        <v>2.4675735526731999</v>
      </c>
      <c r="AF170" s="1643">
        <v>-2.3323276862381102</v>
      </c>
      <c r="AG170" s="1643">
        <v>0</v>
      </c>
      <c r="AH170" s="1643">
        <v>-0.86459164671455202</v>
      </c>
      <c r="AI170" s="1643">
        <v>-3.1144306651634701</v>
      </c>
      <c r="AJ170" s="1643">
        <v>-4.0839107529370101E-3</v>
      </c>
      <c r="AK170" s="1643">
        <v>-0.25135497275526703</v>
      </c>
    </row>
    <row r="171" spans="1:37" s="264" customFormat="1" ht="12.75" customHeight="1" x14ac:dyDescent="0.15">
      <c r="A171" s="1848" t="s">
        <v>2206</v>
      </c>
      <c r="B171" s="1642" t="s">
        <v>557</v>
      </c>
      <c r="C171" s="1644">
        <v>-1.58</v>
      </c>
      <c r="D171" s="1644">
        <v>0</v>
      </c>
      <c r="E171" s="1644">
        <v>0.09</v>
      </c>
      <c r="F171" s="1644">
        <v>-1.33</v>
      </c>
      <c r="G171" s="1644">
        <v>0</v>
      </c>
      <c r="H171" s="1644">
        <v>-0.06</v>
      </c>
      <c r="I171" s="1644">
        <v>-0.04</v>
      </c>
      <c r="J171" s="1644">
        <v>-0.13</v>
      </c>
      <c r="K171" s="1644">
        <v>0.24</v>
      </c>
      <c r="L171" s="1644">
        <v>0.38</v>
      </c>
      <c r="M171" s="1644">
        <v>0</v>
      </c>
      <c r="N171" s="1644">
        <v>-2.04</v>
      </c>
      <c r="O171" s="1644">
        <v>0.05</v>
      </c>
      <c r="P171" s="1644">
        <v>-0.68</v>
      </c>
      <c r="Q171" s="1644">
        <v>0</v>
      </c>
      <c r="R171" s="1644">
        <v>-0.05</v>
      </c>
      <c r="S171" s="1644">
        <v>-0.59</v>
      </c>
      <c r="T171" s="1642" t="s">
        <v>557</v>
      </c>
      <c r="U171" s="1643">
        <v>-1.4</v>
      </c>
      <c r="V171" s="1643">
        <v>0</v>
      </c>
      <c r="W171" s="1643">
        <v>0.94</v>
      </c>
      <c r="X171" s="1643">
        <v>0.39</v>
      </c>
      <c r="Y171" s="1643">
        <v>-0.03</v>
      </c>
      <c r="Z171" s="1643">
        <v>-2.1</v>
      </c>
      <c r="AA171" s="1643">
        <v>-0.01</v>
      </c>
      <c r="AB171" s="1643">
        <v>0.06</v>
      </c>
      <c r="AC171" s="1643">
        <v>-0.51</v>
      </c>
      <c r="AD171" s="1643">
        <v>0.99</v>
      </c>
      <c r="AE171" s="1643">
        <v>1.99</v>
      </c>
      <c r="AF171" s="1643">
        <v>-1.93</v>
      </c>
      <c r="AG171" s="1643">
        <v>0</v>
      </c>
      <c r="AH171" s="1643">
        <v>-0.28000000000000003</v>
      </c>
      <c r="AI171" s="1643">
        <v>-1.2</v>
      </c>
      <c r="AJ171" s="1643">
        <v>0</v>
      </c>
      <c r="AK171" s="1643">
        <v>-0.28000000000000003</v>
      </c>
    </row>
    <row r="172" spans="1:37" s="264" customFormat="1" ht="12.75" customHeight="1" x14ac:dyDescent="0.15">
      <c r="A172" s="1848" t="s">
        <v>2206</v>
      </c>
      <c r="B172" s="1642" t="s">
        <v>549</v>
      </c>
      <c r="C172" s="1644">
        <v>0.38</v>
      </c>
      <c r="D172" s="1644">
        <v>0</v>
      </c>
      <c r="E172" s="1644">
        <v>0</v>
      </c>
      <c r="F172" s="1644">
        <v>0.28000000000000003</v>
      </c>
      <c r="G172" s="1644">
        <v>0.12</v>
      </c>
      <c r="H172" s="1644">
        <v>-0.48</v>
      </c>
      <c r="I172" s="1644">
        <v>-0.4</v>
      </c>
      <c r="J172" s="1644">
        <v>0.03</v>
      </c>
      <c r="K172" s="1644">
        <v>-0.53</v>
      </c>
      <c r="L172" s="1644">
        <v>-0.84</v>
      </c>
      <c r="M172" s="1644">
        <v>0</v>
      </c>
      <c r="N172" s="1644">
        <v>-0.42</v>
      </c>
      <c r="O172" s="1644">
        <v>-0.03</v>
      </c>
      <c r="P172" s="1644">
        <v>0.81</v>
      </c>
      <c r="Q172" s="1644">
        <v>0</v>
      </c>
      <c r="R172" s="1644">
        <v>-0.33</v>
      </c>
      <c r="S172" s="1644">
        <v>-1.98</v>
      </c>
      <c r="T172" s="1642" t="s">
        <v>549</v>
      </c>
      <c r="U172" s="1643">
        <v>-2.11</v>
      </c>
      <c r="V172" s="1643">
        <v>0.01</v>
      </c>
      <c r="W172" s="1643">
        <v>-0.16</v>
      </c>
      <c r="X172" s="1643">
        <v>-7.0000000000000007E-2</v>
      </c>
      <c r="Y172" s="1643">
        <v>0</v>
      </c>
      <c r="Z172" s="1643">
        <v>-1.1100000000000001</v>
      </c>
      <c r="AA172" s="1643">
        <v>-0.01</v>
      </c>
      <c r="AB172" s="1643">
        <v>-0.91</v>
      </c>
      <c r="AC172" s="1643">
        <v>-0.25</v>
      </c>
      <c r="AD172" s="1643">
        <v>-3.05</v>
      </c>
      <c r="AE172" s="1643">
        <v>3.17</v>
      </c>
      <c r="AF172" s="1643">
        <v>-2.5499999999999998</v>
      </c>
      <c r="AG172" s="1643">
        <v>0</v>
      </c>
      <c r="AH172" s="1643">
        <v>-0.17</v>
      </c>
      <c r="AI172" s="1643">
        <v>-1.29</v>
      </c>
      <c r="AJ172" s="1643">
        <v>0.01</v>
      </c>
      <c r="AK172" s="1643">
        <v>-0.3</v>
      </c>
    </row>
    <row r="173" spans="1:37" s="264" customFormat="1" ht="12.75" customHeight="1" x14ac:dyDescent="0.15">
      <c r="A173" s="1848" t="s">
        <v>2206</v>
      </c>
      <c r="B173" s="1642" t="s">
        <v>558</v>
      </c>
      <c r="C173" s="1644">
        <v>0.68</v>
      </c>
      <c r="D173" s="1644">
        <v>0</v>
      </c>
      <c r="E173" s="1644">
        <v>-0.09</v>
      </c>
      <c r="F173" s="1644">
        <v>-0.89</v>
      </c>
      <c r="G173" s="1644">
        <v>-0.16</v>
      </c>
      <c r="H173" s="1644">
        <v>-0.66</v>
      </c>
      <c r="I173" s="1644">
        <v>-0.69</v>
      </c>
      <c r="J173" s="1644">
        <v>0</v>
      </c>
      <c r="K173" s="1644">
        <v>-7.0000000000000007E-2</v>
      </c>
      <c r="L173" s="1644">
        <v>-2.5656782915962499</v>
      </c>
      <c r="M173" s="1644">
        <v>0</v>
      </c>
      <c r="N173" s="1644">
        <v>-3.2046566667732801</v>
      </c>
      <c r="O173" s="1644">
        <v>-0.11363636363636399</v>
      </c>
      <c r="P173" s="1644">
        <v>-0.90194022024121701</v>
      </c>
      <c r="Q173" s="1644">
        <v>0</v>
      </c>
      <c r="R173" s="1644">
        <v>-0.49545884846579102</v>
      </c>
      <c r="S173" s="1644">
        <v>-0.2</v>
      </c>
      <c r="T173" s="1642" t="s">
        <v>558</v>
      </c>
      <c r="U173" s="1643">
        <v>-1.57008512400078</v>
      </c>
      <c r="V173" s="1643">
        <v>-2.5970653161926999E-2</v>
      </c>
      <c r="W173" s="1643">
        <v>-0.25116612845353398</v>
      </c>
      <c r="X173" s="1643">
        <v>-2.3463978447901299</v>
      </c>
      <c r="Y173" s="1643">
        <v>-1.3709898546750801E-2</v>
      </c>
      <c r="Z173" s="1643">
        <v>-0.61728395061728403</v>
      </c>
      <c r="AA173" s="1643">
        <v>1.3331200341278699E-3</v>
      </c>
      <c r="AB173" s="1643">
        <v>-2.3102597591060801</v>
      </c>
      <c r="AC173" s="1643">
        <v>-0.74289286896399498</v>
      </c>
      <c r="AD173" s="1643">
        <v>-2.79</v>
      </c>
      <c r="AE173" s="1643">
        <v>0.97</v>
      </c>
      <c r="AF173" s="1643">
        <v>-0.96</v>
      </c>
      <c r="AG173" s="1643">
        <v>0</v>
      </c>
      <c r="AH173" s="1643">
        <v>-0.46</v>
      </c>
      <c r="AI173" s="1643">
        <v>-1.78</v>
      </c>
      <c r="AJ173" s="1643">
        <v>-0.01</v>
      </c>
      <c r="AK173" s="1643">
        <v>-0.49</v>
      </c>
    </row>
    <row r="174" spans="1:37" s="264" customFormat="1" ht="12.75" customHeight="1" x14ac:dyDescent="0.15">
      <c r="A174" s="1848" t="s">
        <v>2206</v>
      </c>
      <c r="B174" s="1642" t="s">
        <v>559</v>
      </c>
      <c r="C174" s="1644">
        <v>0.692909268189561</v>
      </c>
      <c r="D174" s="1644">
        <v>-6.5420560747663599</v>
      </c>
      <c r="E174" s="1644">
        <v>0.01</v>
      </c>
      <c r="F174" s="1644">
        <v>-0.40099154272382598</v>
      </c>
      <c r="G174" s="1644">
        <v>-6.7500105468914801E-2</v>
      </c>
      <c r="H174" s="1644">
        <v>0.72830997335804504</v>
      </c>
      <c r="I174" s="1644">
        <v>0.75552658909238402</v>
      </c>
      <c r="J174" s="1644">
        <v>0.14653655415133601</v>
      </c>
      <c r="K174" s="1644">
        <v>7.1972650392850696E-2</v>
      </c>
      <c r="L174" s="1644">
        <v>0.138461538461538</v>
      </c>
      <c r="M174" s="1644">
        <v>0</v>
      </c>
      <c r="N174" s="1644">
        <v>-0.81210544681661001</v>
      </c>
      <c r="O174" s="1644">
        <v>0.342075256556442</v>
      </c>
      <c r="P174" s="1644">
        <v>1.2423019749416</v>
      </c>
      <c r="Q174" s="1644">
        <v>0</v>
      </c>
      <c r="R174" s="1644">
        <v>0.58445378045790697</v>
      </c>
      <c r="S174" s="1644">
        <v>2.19136025717776</v>
      </c>
      <c r="T174" s="1642" t="s">
        <v>559</v>
      </c>
      <c r="U174" s="1643">
        <v>3.7414452258460398</v>
      </c>
      <c r="V174" s="1643">
        <v>1.2987012987013E-2</v>
      </c>
      <c r="W174" s="1643">
        <v>7.1813285457809697E-2</v>
      </c>
      <c r="X174" s="1643">
        <v>-1.91783157176952</v>
      </c>
      <c r="Y174" s="1643">
        <v>5.2124770239499602E-2</v>
      </c>
      <c r="Z174" s="1643">
        <v>3.9910689366452701</v>
      </c>
      <c r="AA174" s="1643">
        <v>0</v>
      </c>
      <c r="AB174" s="1643">
        <v>5.1906191355985697E-2</v>
      </c>
      <c r="AC174" s="1643">
        <v>0.57702977621601603</v>
      </c>
      <c r="AD174" s="1643">
        <v>2.5732472152017198</v>
      </c>
      <c r="AE174" s="1643">
        <v>-1.3430608522633101</v>
      </c>
      <c r="AF174" s="1643">
        <v>-0.32840722495894897</v>
      </c>
      <c r="AG174" s="1643">
        <v>0</v>
      </c>
      <c r="AH174" s="1643">
        <v>0.343869858484327</v>
      </c>
      <c r="AI174" s="1643">
        <v>0.31144211238997999</v>
      </c>
      <c r="AJ174" s="1643">
        <v>-1.3613221160391001E-3</v>
      </c>
      <c r="AK174" s="1643">
        <v>1.1621428588546401</v>
      </c>
    </row>
    <row r="175" spans="1:37" s="1280" customFormat="1" ht="12.75" customHeight="1" x14ac:dyDescent="0.15">
      <c r="A175" s="1848" t="s">
        <v>2206</v>
      </c>
      <c r="B175" s="1642" t="s">
        <v>550</v>
      </c>
      <c r="C175" s="1644">
        <v>0.84694498716098598</v>
      </c>
      <c r="D175" s="1644">
        <v>-0.25423728813559299</v>
      </c>
      <c r="E175" s="1644">
        <v>0</v>
      </c>
      <c r="F175" s="1644">
        <v>0.26682261778573801</v>
      </c>
      <c r="G175" s="1644">
        <v>-0.220295223662794</v>
      </c>
      <c r="H175" s="1644">
        <v>-0.77581748175392196</v>
      </c>
      <c r="I175" s="1644">
        <v>-0.80540646166529095</v>
      </c>
      <c r="J175" s="1644">
        <v>7.1719933659061402E-2</v>
      </c>
      <c r="K175" s="1644">
        <v>5.9980806142034496E-3</v>
      </c>
      <c r="L175" s="1644">
        <v>-0.76335877862595403</v>
      </c>
      <c r="M175" s="1644">
        <v>0</v>
      </c>
      <c r="N175" s="1644">
        <v>-2.0142364241086699</v>
      </c>
      <c r="O175" s="1644">
        <v>6.5199674001630001E-2</v>
      </c>
      <c r="P175" s="1644">
        <v>-0.18018018018018001</v>
      </c>
      <c r="Q175" s="1644">
        <v>0</v>
      </c>
      <c r="R175" s="1644">
        <v>-0.74701360652688098</v>
      </c>
      <c r="S175" s="1644">
        <v>-0.37649377868169598</v>
      </c>
      <c r="T175" s="1642" t="s">
        <v>550</v>
      </c>
      <c r="U175" s="1643">
        <v>-0.81178255088855999</v>
      </c>
      <c r="V175" s="1643">
        <v>0</v>
      </c>
      <c r="W175" s="1643">
        <v>7.1864893999281407E-2</v>
      </c>
      <c r="X175" s="1643">
        <v>0.29064797401265202</v>
      </c>
      <c r="Y175" s="1643">
        <v>-2.46845858475041E-2</v>
      </c>
      <c r="Z175" s="1643">
        <v>4.4606413994169101</v>
      </c>
      <c r="AA175" s="1643">
        <v>-3.1984647369262799E-2</v>
      </c>
      <c r="AB175" s="1643">
        <v>-0.27438417404209903</v>
      </c>
      <c r="AC175" s="1643">
        <v>-0.30974593458460897</v>
      </c>
      <c r="AD175" s="1643">
        <v>0.79442955806317705</v>
      </c>
      <c r="AE175" s="1643">
        <v>-1.4381434874979599</v>
      </c>
      <c r="AF175" s="1643">
        <v>1.6242073645566799</v>
      </c>
      <c r="AG175" s="1643">
        <v>0</v>
      </c>
      <c r="AH175" s="1643">
        <v>-0.552413520978561</v>
      </c>
      <c r="AI175" s="1643">
        <v>0.42153929834103898</v>
      </c>
      <c r="AJ175" s="1643">
        <v>-2.7225701061802301E-3</v>
      </c>
      <c r="AK175" s="1643">
        <v>-0.51144860514373403</v>
      </c>
    </row>
    <row r="176" spans="1:37" s="1280" customFormat="1" ht="12.75" customHeight="1" x14ac:dyDescent="0.15">
      <c r="A176" s="1848" t="s">
        <v>2479</v>
      </c>
      <c r="B176" s="1642" t="s">
        <v>552</v>
      </c>
      <c r="C176" s="1644">
        <v>-1.2056787729652101</v>
      </c>
      <c r="D176" s="1644">
        <v>0</v>
      </c>
      <c r="E176" s="1644">
        <v>0</v>
      </c>
      <c r="F176" s="1644">
        <v>-1.22748113650312</v>
      </c>
      <c r="G176" s="1644">
        <v>-0.109326381296779</v>
      </c>
      <c r="H176" s="1644">
        <v>0.87901735570129402</v>
      </c>
      <c r="I176" s="1644">
        <v>0.93794077176746904</v>
      </c>
      <c r="J176" s="1644">
        <v>-6.6552759059814295E-2</v>
      </c>
      <c r="K176" s="1644">
        <v>-0.441896572315777</v>
      </c>
      <c r="L176" s="1644">
        <v>0.475533057217365</v>
      </c>
      <c r="M176" s="1644">
        <v>0</v>
      </c>
      <c r="N176" s="1644">
        <v>5.2957156416718503</v>
      </c>
      <c r="O176" s="1644">
        <v>0.39273441335296999</v>
      </c>
      <c r="P176" s="1644">
        <v>2.4207555362570599</v>
      </c>
      <c r="Q176" s="1644">
        <v>0</v>
      </c>
      <c r="R176" s="1644">
        <v>0.79826417722536203</v>
      </c>
      <c r="S176" s="1644">
        <v>-2.9986757280693701</v>
      </c>
      <c r="T176" s="1642" t="s">
        <v>552</v>
      </c>
      <c r="U176" s="1643">
        <v>-2.52090102588441</v>
      </c>
      <c r="V176" s="1643">
        <v>0</v>
      </c>
      <c r="W176" s="1643">
        <v>-0.19723865877711999</v>
      </c>
      <c r="X176" s="1643">
        <v>-3.4182191078448103E-2</v>
      </c>
      <c r="Y176" s="1643">
        <v>-1.64536828826852E-2</v>
      </c>
      <c r="Z176" s="1643">
        <v>0</v>
      </c>
      <c r="AA176" s="1643">
        <v>5.3310587482674103E-3</v>
      </c>
      <c r="AB176" s="1643">
        <v>1.23089844725781E-2</v>
      </c>
      <c r="AC176" s="1643">
        <v>1.0169112716978299</v>
      </c>
      <c r="AD176" s="1643">
        <v>-1.5292565546202901</v>
      </c>
      <c r="AE176" s="1643">
        <v>1.1739417989418</v>
      </c>
      <c r="AF176" s="1643">
        <v>1.8468162247903901</v>
      </c>
      <c r="AG176" s="1643">
        <v>0</v>
      </c>
      <c r="AH176" s="1643">
        <v>0.99628055260361303</v>
      </c>
      <c r="AI176" s="1643">
        <v>2.8100097861037301</v>
      </c>
      <c r="AJ176" s="1643">
        <v>1.36130358431234E-3</v>
      </c>
      <c r="AK176" s="1643">
        <v>1.5145535103754999</v>
      </c>
    </row>
    <row r="177" spans="1:37" s="1280" customFormat="1" ht="12.75" customHeight="1" x14ac:dyDescent="0.15">
      <c r="A177" s="1848" t="s">
        <v>2479</v>
      </c>
      <c r="B177" s="1642" t="s">
        <v>553</v>
      </c>
      <c r="C177" s="1644">
        <v>3.0040472395423699</v>
      </c>
      <c r="D177" s="1644">
        <v>-1.6666666666666701</v>
      </c>
      <c r="E177" s="1644">
        <v>1.32643586682584E-2</v>
      </c>
      <c r="F177" s="1644">
        <v>2.7372871926115501</v>
      </c>
      <c r="G177" s="1644">
        <v>6.5919578114700103E-2</v>
      </c>
      <c r="H177" s="1644">
        <v>2.8723293226580799</v>
      </c>
      <c r="I177" s="1644">
        <v>2.82002682525837</v>
      </c>
      <c r="J177" s="1644">
        <v>0.15702913691658901</v>
      </c>
      <c r="K177" s="1644">
        <v>-0.22046118095692099</v>
      </c>
      <c r="L177" s="1644">
        <v>5.7661107145174899</v>
      </c>
      <c r="M177" s="1644">
        <v>0</v>
      </c>
      <c r="N177" s="1644">
        <v>5.6612256190344397</v>
      </c>
      <c r="O177" s="1644">
        <v>9.8280098280098302E-2</v>
      </c>
      <c r="P177" s="1644">
        <v>6.4355863662622799</v>
      </c>
      <c r="Q177" s="1644">
        <v>0</v>
      </c>
      <c r="R177" s="1644">
        <v>1.7876436164592699</v>
      </c>
      <c r="S177" s="1644">
        <v>5.7847020355610903</v>
      </c>
      <c r="T177" s="1642" t="s">
        <v>553</v>
      </c>
      <c r="U177" s="1643">
        <v>4.3456728983533504</v>
      </c>
      <c r="V177" s="1643">
        <v>0</v>
      </c>
      <c r="W177" s="1643">
        <v>-0.125358166189112</v>
      </c>
      <c r="X177" s="1643">
        <v>3.9023307436182</v>
      </c>
      <c r="Y177" s="1643">
        <v>4.38957475994513E-2</v>
      </c>
      <c r="Z177" s="1643">
        <v>-6.2841530054644803</v>
      </c>
      <c r="AA177" s="1643">
        <v>-2.66481905878591E-2</v>
      </c>
      <c r="AB177" s="1643">
        <v>3.4341883542407801</v>
      </c>
      <c r="AC177" s="1643">
        <v>2.97660145761412</v>
      </c>
      <c r="AD177" s="1643">
        <v>5.8020377169313297</v>
      </c>
      <c r="AE177" s="1643">
        <v>0.63227953410981697</v>
      </c>
      <c r="AF177" s="1643">
        <v>4.7907390917186099</v>
      </c>
      <c r="AG177" s="1643">
        <v>0</v>
      </c>
      <c r="AH177" s="1643">
        <v>1.37355238351737</v>
      </c>
      <c r="AI177" s="1643">
        <v>5.2066480364759498</v>
      </c>
      <c r="AJ177" s="1643">
        <v>4.0840775430189503E-3</v>
      </c>
      <c r="AK177" s="1643">
        <v>2.77355778577081</v>
      </c>
    </row>
    <row r="178" spans="1:37" s="1280" customFormat="1" ht="12.75" customHeight="1" x14ac:dyDescent="0.15">
      <c r="A178" s="1848" t="s">
        <v>2479</v>
      </c>
      <c r="B178" s="1861" t="s">
        <v>547</v>
      </c>
      <c r="C178" s="1644">
        <v>1.7242649953545499</v>
      </c>
      <c r="D178" s="1644">
        <v>0</v>
      </c>
      <c r="E178" s="1644">
        <v>0</v>
      </c>
      <c r="F178" s="1644">
        <v>-0.258961932595908</v>
      </c>
      <c r="G178" s="1644">
        <v>1.748151953649</v>
      </c>
      <c r="H178" s="1644">
        <v>0.41921815813507801</v>
      </c>
      <c r="I178" s="1644">
        <v>0.386673262654748</v>
      </c>
      <c r="J178" s="1644">
        <v>0.37248380435272099</v>
      </c>
      <c r="K178" s="1644">
        <v>0.23291925465838501</v>
      </c>
      <c r="L178" s="1644">
        <v>1.7095709570957101</v>
      </c>
      <c r="M178" s="1644">
        <v>0</v>
      </c>
      <c r="N178" s="1644">
        <v>1.6772741657582899</v>
      </c>
      <c r="O178" s="1644">
        <v>8.1967213114754106E-2</v>
      </c>
      <c r="P178" s="1644">
        <v>5.2535570959503799</v>
      </c>
      <c r="Q178" s="1644">
        <v>0</v>
      </c>
      <c r="R178" s="1644">
        <v>0.40749489455010901</v>
      </c>
      <c r="S178" s="1644">
        <v>1.5292253506445901</v>
      </c>
      <c r="T178" s="1861" t="s">
        <v>547</v>
      </c>
      <c r="U178" s="1862">
        <v>-1.52356285172877E-2</v>
      </c>
      <c r="V178" s="1862">
        <v>0.13003901170351101</v>
      </c>
      <c r="W178" s="1862">
        <v>0.54015124234785705</v>
      </c>
      <c r="X178" s="1862">
        <v>0.50419418168838104</v>
      </c>
      <c r="Y178" s="1862">
        <v>0</v>
      </c>
      <c r="Z178" s="1862">
        <v>-2.9949642194540198</v>
      </c>
      <c r="AA178" s="1862">
        <v>3.1988057791757701E-2</v>
      </c>
      <c r="AB178" s="1862">
        <v>1.97068223560363</v>
      </c>
      <c r="AC178" s="1862">
        <v>1.7405557290040601</v>
      </c>
      <c r="AD178" s="1862">
        <v>0.75069201325100099</v>
      </c>
      <c r="AE178" s="1862">
        <v>1.2978257205460999</v>
      </c>
      <c r="AF178" s="1862">
        <v>0.20224852774968799</v>
      </c>
      <c r="AG178" s="1862">
        <v>0</v>
      </c>
      <c r="AH178" s="1862">
        <v>0.71883900718839</v>
      </c>
      <c r="AI178" s="1862">
        <v>5.7222826932047903</v>
      </c>
      <c r="AJ178" s="1862">
        <v>-5.4451402123604697E-3</v>
      </c>
      <c r="AK178" s="1862">
        <v>1.3872569813892</v>
      </c>
    </row>
    <row r="179" spans="1:37" s="1280" customFormat="1" ht="12.75" customHeight="1" x14ac:dyDescent="0.15">
      <c r="A179" s="1848" t="s">
        <v>2479</v>
      </c>
      <c r="B179" s="1861" t="s">
        <v>554</v>
      </c>
      <c r="C179" s="1644">
        <v>-4.7881219511208801</v>
      </c>
      <c r="D179" s="1644">
        <v>0</v>
      </c>
      <c r="E179" s="1644">
        <v>-2.6521681474605499E-2</v>
      </c>
      <c r="F179" s="1644">
        <v>-2.7906642212392598</v>
      </c>
      <c r="G179" s="1644">
        <v>-1.6505263157894701</v>
      </c>
      <c r="H179" s="1644">
        <v>-2.7978490398538902</v>
      </c>
      <c r="I179" s="1644">
        <v>-2.7545131037524602</v>
      </c>
      <c r="J179" s="1644">
        <v>6.4332677140026501E-4</v>
      </c>
      <c r="K179" s="1644">
        <v>-0.44000475680818202</v>
      </c>
      <c r="L179" s="1644">
        <v>-3.5185480019105202</v>
      </c>
      <c r="M179" s="1644">
        <v>0</v>
      </c>
      <c r="N179" s="1644">
        <v>-7.3165167514013802</v>
      </c>
      <c r="O179" s="1644">
        <v>-0.48939641109298498</v>
      </c>
      <c r="P179" s="1644">
        <v>-6.1087006165791298</v>
      </c>
      <c r="Q179" s="1644">
        <v>0</v>
      </c>
      <c r="R179" s="1644">
        <v>-1.99999496940982</v>
      </c>
      <c r="S179" s="1644">
        <v>-5.7960749195856502</v>
      </c>
      <c r="T179" s="1861" t="s">
        <v>554</v>
      </c>
      <c r="U179" s="1862">
        <v>-4.1780721924157804</v>
      </c>
      <c r="V179" s="1862">
        <v>-0.12987012987013</v>
      </c>
      <c r="W179" s="1862">
        <v>-2.70002700027E-2</v>
      </c>
      <c r="X179" s="1862">
        <v>-3.62917096663227</v>
      </c>
      <c r="Y179" s="1862">
        <v>-2.7427317608337901E-2</v>
      </c>
      <c r="Z179" s="1862">
        <v>-2.6674233825198601</v>
      </c>
      <c r="AA179" s="1862">
        <v>-0.114492637857124</v>
      </c>
      <c r="AB179" s="1862">
        <v>-4.9822038233661399</v>
      </c>
      <c r="AC179" s="1862">
        <v>-3.1118841456497899</v>
      </c>
      <c r="AD179" s="1862">
        <v>-5.5311524949595601</v>
      </c>
      <c r="AE179" s="1862">
        <v>1.2630141662399701</v>
      </c>
      <c r="AF179" s="1862">
        <v>-3.0227862705509101</v>
      </c>
      <c r="AG179" s="1862">
        <v>-2.69127258746636E-2</v>
      </c>
      <c r="AH179" s="1862">
        <v>-1.8242343541944099</v>
      </c>
      <c r="AI179" s="1862">
        <v>-4.6835630650659601</v>
      </c>
      <c r="AJ179" s="1862">
        <v>-1.3612665223724099E-3</v>
      </c>
      <c r="AK179" s="1862">
        <v>-3.0804879153473999</v>
      </c>
    </row>
    <row r="180" spans="1:37" s="1280" customFormat="1" ht="12.75" customHeight="1" x14ac:dyDescent="0.15">
      <c r="A180" s="1848" t="s">
        <v>2479</v>
      </c>
      <c r="B180" s="1861" t="s">
        <v>555</v>
      </c>
      <c r="C180" s="1644">
        <v>-1.14121219179192</v>
      </c>
      <c r="D180" s="1644">
        <v>0</v>
      </c>
      <c r="E180" s="1644">
        <v>1.3262599469495999E-2</v>
      </c>
      <c r="F180" s="1644">
        <v>-0.90163934426229497</v>
      </c>
      <c r="G180" s="1644">
        <v>-0.89576320694355605</v>
      </c>
      <c r="H180" s="1644">
        <v>-2.6500340020401199</v>
      </c>
      <c r="I180" s="1644">
        <v>-2.6713364859849098</v>
      </c>
      <c r="J180" s="1644">
        <v>-0.122724614959552</v>
      </c>
      <c r="K180" s="1644">
        <v>-0.39090262970860001</v>
      </c>
      <c r="L180" s="1644">
        <v>-0.99306431273644402</v>
      </c>
      <c r="M180" s="1644">
        <v>0</v>
      </c>
      <c r="N180" s="1644">
        <v>1.52532839228402</v>
      </c>
      <c r="O180" s="1644">
        <v>-0.29277813923227097</v>
      </c>
      <c r="P180" s="1644">
        <v>-1.46264626462646</v>
      </c>
      <c r="Q180" s="1644">
        <v>0</v>
      </c>
      <c r="R180" s="1644">
        <v>-1.21241637615222</v>
      </c>
      <c r="S180" s="1644">
        <v>-1.31424539080314</v>
      </c>
      <c r="T180" s="1861" t="s">
        <v>555</v>
      </c>
      <c r="U180" s="1862">
        <v>-0.92658717603348395</v>
      </c>
      <c r="V180" s="1862">
        <v>-1.29853265809635E-2</v>
      </c>
      <c r="W180" s="1862">
        <v>0</v>
      </c>
      <c r="X180" s="1862">
        <v>-0.83574961623742094</v>
      </c>
      <c r="Y180" s="1862">
        <v>1.5087300607606701E-2</v>
      </c>
      <c r="Z180" s="1862">
        <v>-14.3526292532037</v>
      </c>
      <c r="AA180" s="1862">
        <v>5.3255225669018797E-3</v>
      </c>
      <c r="AB180" s="1862">
        <v>-1.27480478544308</v>
      </c>
      <c r="AC180" s="1862">
        <v>-1.3429328160555101</v>
      </c>
      <c r="AD180" s="1862">
        <v>-2.2439385763542701</v>
      </c>
      <c r="AE180" s="1862">
        <v>0.68740333390616903</v>
      </c>
      <c r="AF180" s="1862">
        <v>-1.70116246101503</v>
      </c>
      <c r="AG180" s="1862">
        <v>0</v>
      </c>
      <c r="AH180" s="1862">
        <v>-1.3270266719222199</v>
      </c>
      <c r="AI180" s="1862">
        <v>-2.01858844031368</v>
      </c>
      <c r="AJ180" s="1862">
        <v>4.0839663481172898E-3</v>
      </c>
      <c r="AK180" s="1862">
        <v>-2.1832220527402399</v>
      </c>
    </row>
    <row r="181" spans="1:37" s="1280" customFormat="1" ht="12.75" customHeight="1" x14ac:dyDescent="0.15">
      <c r="A181" s="1848" t="s">
        <v>2479</v>
      </c>
      <c r="B181" s="1861" t="s">
        <v>548</v>
      </c>
      <c r="C181" s="1644">
        <v>-4.2481277081479503</v>
      </c>
      <c r="D181" s="1644">
        <v>0</v>
      </c>
      <c r="E181" s="1644">
        <v>-6.62690523525514E-2</v>
      </c>
      <c r="F181" s="1644">
        <v>-2.2640195053988199</v>
      </c>
      <c r="G181" s="1644">
        <v>1.39113015413722E-2</v>
      </c>
      <c r="H181" s="1644">
        <v>-1.5022222842430599</v>
      </c>
      <c r="I181" s="1644">
        <v>-1.50009134135241</v>
      </c>
      <c r="J181" s="1644">
        <v>0.196358673259168</v>
      </c>
      <c r="K181" s="1644">
        <v>-1.2648900896475499</v>
      </c>
      <c r="L181" s="1644">
        <v>-1.7195972114639799</v>
      </c>
      <c r="M181" s="1644">
        <v>0</v>
      </c>
      <c r="N181" s="1644">
        <v>-3.6532882782364799</v>
      </c>
      <c r="O181" s="1644">
        <v>-0.19480519480519501</v>
      </c>
      <c r="P181" s="1644">
        <v>-0.58165548098433995</v>
      </c>
      <c r="Q181" s="1644">
        <v>0</v>
      </c>
      <c r="R181" s="1644">
        <v>-0.58700503100117696</v>
      </c>
      <c r="S181" s="1644">
        <v>-4.3260667359834102</v>
      </c>
      <c r="T181" s="1861" t="s">
        <v>548</v>
      </c>
      <c r="U181" s="1862">
        <v>-2.34297064665637</v>
      </c>
      <c r="V181" s="1862">
        <v>1.2987012987013E-2</v>
      </c>
      <c r="W181" s="1862">
        <v>-0.20657445661936399</v>
      </c>
      <c r="X181" s="1862">
        <v>1.3833650354487299</v>
      </c>
      <c r="Y181" s="1862">
        <v>-1.3715539706487499E-3</v>
      </c>
      <c r="Z181" s="1862">
        <v>6.9976359338061496</v>
      </c>
      <c r="AA181" s="1862">
        <v>0</v>
      </c>
      <c r="AB181" s="1862">
        <v>-5.2760153360702997</v>
      </c>
      <c r="AC181" s="1862">
        <v>-1.4484761589647399</v>
      </c>
      <c r="AD181" s="1862">
        <v>-0.75924320742814899</v>
      </c>
      <c r="AE181" s="1862">
        <v>-0.512908189434091</v>
      </c>
      <c r="AF181" s="1862">
        <v>-2.4450959783149901</v>
      </c>
      <c r="AG181" s="1862">
        <v>0</v>
      </c>
      <c r="AH181" s="1862">
        <v>-0.74334898278560302</v>
      </c>
      <c r="AI181" s="1862">
        <v>0.45222465353756403</v>
      </c>
      <c r="AJ181" s="1862">
        <v>-2.7225701061802301E-3</v>
      </c>
      <c r="AK181" s="1862">
        <v>-1.00555939903915</v>
      </c>
    </row>
    <row r="182" spans="1:37" s="1280" customFormat="1" ht="12.75" customHeight="1" x14ac:dyDescent="0.15">
      <c r="A182" s="1848" t="s">
        <v>2479</v>
      </c>
      <c r="B182" s="1861" t="s">
        <v>556</v>
      </c>
      <c r="C182" s="1644">
        <v>0.168800644366565</v>
      </c>
      <c r="D182" s="1644">
        <v>-1.63934426229508</v>
      </c>
      <c r="E182" s="1644">
        <v>6.6312997347480099E-2</v>
      </c>
      <c r="F182" s="1644">
        <v>-0.44731093311141201</v>
      </c>
      <c r="G182" s="1644">
        <v>0.25942146224441398</v>
      </c>
      <c r="H182" s="1644">
        <v>7.7508553871936295E-2</v>
      </c>
      <c r="I182" s="1644">
        <v>0.124909921306482</v>
      </c>
      <c r="J182" s="1644">
        <v>-0.32982122919367102</v>
      </c>
      <c r="K182" s="1644">
        <v>-1.31405817174515</v>
      </c>
      <c r="L182" s="1644">
        <v>-0.68619607360452906</v>
      </c>
      <c r="M182" s="1644">
        <v>0</v>
      </c>
      <c r="N182" s="1644">
        <v>1.0436463198582699</v>
      </c>
      <c r="O182" s="1644">
        <v>-0.113507377979569</v>
      </c>
      <c r="P182" s="1644">
        <v>1.75278852720237</v>
      </c>
      <c r="Q182" s="1644">
        <v>0</v>
      </c>
      <c r="R182" s="1644">
        <v>0.145707564011963</v>
      </c>
      <c r="S182" s="1644">
        <v>0.33690930575766398</v>
      </c>
      <c r="T182" s="1861" t="s">
        <v>556</v>
      </c>
      <c r="U182" s="1862">
        <v>0.33215234720991998</v>
      </c>
      <c r="V182" s="1862">
        <v>0</v>
      </c>
      <c r="W182" s="1862">
        <v>-0.179307871615564</v>
      </c>
      <c r="X182" s="1862">
        <v>-0.94210346008907198</v>
      </c>
      <c r="Y182" s="1862">
        <v>-8.2286466619123401E-3</v>
      </c>
      <c r="Z182" s="1862">
        <v>7.5678974671956096</v>
      </c>
      <c r="AA182" s="1862">
        <v>0.127976111125923</v>
      </c>
      <c r="AB182" s="1862">
        <v>2.21790625487714</v>
      </c>
      <c r="AC182" s="1862">
        <v>0.78177102630603901</v>
      </c>
      <c r="AD182" s="1862">
        <v>0.249314158587462</v>
      </c>
      <c r="AE182" s="1862">
        <v>-1.32433572332349</v>
      </c>
      <c r="AF182" s="1862">
        <v>-0.33081546010916901</v>
      </c>
      <c r="AG182" s="1862">
        <v>0</v>
      </c>
      <c r="AH182" s="1862">
        <v>-0.415584415584416</v>
      </c>
      <c r="AI182" s="1862">
        <v>1.5405125166642</v>
      </c>
      <c r="AJ182" s="1862">
        <v>2.7226442320781902E-3</v>
      </c>
      <c r="AK182" s="1862">
        <v>-0.80068154301622096</v>
      </c>
    </row>
    <row r="183" spans="1:37" s="1280" customFormat="1" ht="12.75" customHeight="1" x14ac:dyDescent="0.15">
      <c r="A183" s="1848" t="s">
        <v>2479</v>
      </c>
      <c r="B183" s="1861" t="s">
        <v>557</v>
      </c>
      <c r="C183" s="1644">
        <v>1.2035677729733001</v>
      </c>
      <c r="D183" s="1644">
        <v>0</v>
      </c>
      <c r="E183" s="1644">
        <v>2.6532236667551098E-2</v>
      </c>
      <c r="F183" s="1644">
        <v>0.57192676547515298</v>
      </c>
      <c r="G183" s="1644">
        <v>-5.8544744912182901E-2</v>
      </c>
      <c r="H183" s="1644">
        <v>0.65717800035143203</v>
      </c>
      <c r="I183" s="1644">
        <v>0.61417215619221599</v>
      </c>
      <c r="J183" s="1644">
        <v>0.23218271042764099</v>
      </c>
      <c r="K183" s="1644">
        <v>-0.57435979825683803</v>
      </c>
      <c r="L183" s="1644">
        <v>-1.1768283411889899</v>
      </c>
      <c r="M183" s="1644">
        <v>0</v>
      </c>
      <c r="N183" s="1644">
        <v>4.1149641156348498</v>
      </c>
      <c r="O183" s="1644">
        <v>-3.2420165342843199E-2</v>
      </c>
      <c r="P183" s="1644">
        <v>-1.1809695197390599</v>
      </c>
      <c r="Q183" s="1644">
        <v>0</v>
      </c>
      <c r="R183" s="1644">
        <v>0.58958439608657998</v>
      </c>
      <c r="S183" s="1644">
        <v>0.65387734243154705</v>
      </c>
      <c r="T183" s="1861" t="s">
        <v>557</v>
      </c>
      <c r="U183" s="1862">
        <v>1.2610544065151501</v>
      </c>
      <c r="V183" s="1862">
        <v>0</v>
      </c>
      <c r="W183" s="1862">
        <v>-0.36623492630638699</v>
      </c>
      <c r="X183" s="1862">
        <v>0.80290080290080301</v>
      </c>
      <c r="Y183" s="1862">
        <v>3.5670187954451898E-2</v>
      </c>
      <c r="Z183" s="1862">
        <v>13.227756982435899</v>
      </c>
      <c r="AA183" s="1862">
        <v>1.06658134015945E-2</v>
      </c>
      <c r="AB183" s="1862">
        <v>-1.5604410846799401E-2</v>
      </c>
      <c r="AC183" s="1862">
        <v>0.806752819899903</v>
      </c>
      <c r="AD183" s="1862">
        <v>2.9570471684856399</v>
      </c>
      <c r="AE183" s="1862">
        <v>0.32157061860032199</v>
      </c>
      <c r="AF183" s="1862">
        <v>1.3523330539256799</v>
      </c>
      <c r="AG183" s="1862">
        <v>0</v>
      </c>
      <c r="AH183" s="1862">
        <v>0.798533839507789</v>
      </c>
      <c r="AI183" s="1862">
        <v>-0.39834759516081403</v>
      </c>
      <c r="AJ183" s="1862">
        <v>2.7227183620126302E-3</v>
      </c>
      <c r="AK183" s="1862">
        <v>1.7829295889671399</v>
      </c>
    </row>
    <row r="184" spans="1:37" s="1280" customFormat="1" ht="12.75" customHeight="1" x14ac:dyDescent="0.15">
      <c r="A184" s="1848" t="s">
        <v>2479</v>
      </c>
      <c r="B184" s="1861" t="s">
        <v>549</v>
      </c>
      <c r="C184" s="1644">
        <v>-3.1718342327301703E-2</v>
      </c>
      <c r="D184" s="1644">
        <v>0</v>
      </c>
      <c r="E184" s="1644">
        <v>-3.97825222119082E-2</v>
      </c>
      <c r="F184" s="1644">
        <v>0.22719328905976899</v>
      </c>
      <c r="G184" s="1644">
        <v>-1.28315387526231</v>
      </c>
      <c r="H184" s="1644">
        <v>2.5412795767897398</v>
      </c>
      <c r="I184" s="1644">
        <v>3.02351278502656</v>
      </c>
      <c r="J184" s="1644">
        <v>-2.7005651897147001E-2</v>
      </c>
      <c r="K184" s="1644">
        <v>1.7402218330414501</v>
      </c>
      <c r="L184" s="1644">
        <v>-0.70954106280193197</v>
      </c>
      <c r="M184" s="1644">
        <v>-0.26120510537251401</v>
      </c>
      <c r="N184" s="1644">
        <v>-1.30085068352587</v>
      </c>
      <c r="O184" s="1644">
        <v>1.6212710765239901E-2</v>
      </c>
      <c r="P184" s="1644">
        <v>0.33856223902494098</v>
      </c>
      <c r="Q184" s="1644">
        <v>0</v>
      </c>
      <c r="R184" s="1644">
        <v>1.0961633444386401</v>
      </c>
      <c r="S184" s="1644">
        <v>0.59696872571705795</v>
      </c>
      <c r="T184" s="1861" t="s">
        <v>549</v>
      </c>
      <c r="U184" s="1862">
        <v>5.6064409187781203</v>
      </c>
      <c r="V184" s="1862">
        <v>0</v>
      </c>
      <c r="W184" s="1862">
        <v>-0.142716974400143</v>
      </c>
      <c r="X184" s="1862">
        <v>0.64559854718604204</v>
      </c>
      <c r="Y184" s="1862">
        <v>-2.05747205267128E-2</v>
      </c>
      <c r="Z184" s="1862">
        <v>3.2708890871245901</v>
      </c>
      <c r="AA184" s="1862">
        <v>-2.3992322456813799E-2</v>
      </c>
      <c r="AB184" s="1862">
        <v>-1.61708515283843</v>
      </c>
      <c r="AC184" s="1862">
        <v>-6.34541450487104E-2</v>
      </c>
      <c r="AD184" s="1862">
        <v>6.7300577919091298</v>
      </c>
      <c r="AE184" s="1862">
        <v>-0.278481012658228</v>
      </c>
      <c r="AF184" s="1862">
        <v>1.2561534544220001</v>
      </c>
      <c r="AG184" s="1862">
        <v>0</v>
      </c>
      <c r="AH184" s="1862">
        <v>1.5014615997873999</v>
      </c>
      <c r="AI184" s="1862">
        <v>-7.3713696004717694E-2</v>
      </c>
      <c r="AJ184" s="1862">
        <v>-2.7226442320781902E-3</v>
      </c>
      <c r="AK184" s="1862">
        <v>2.1738189590757102</v>
      </c>
    </row>
    <row r="185" spans="1:37" s="1280" customFormat="1" ht="12.75" customHeight="1" x14ac:dyDescent="0.15">
      <c r="A185" s="1848" t="s">
        <v>2479</v>
      </c>
      <c r="B185" s="1861" t="s">
        <v>558</v>
      </c>
      <c r="C185" s="1644">
        <v>1.2609874155573499</v>
      </c>
      <c r="D185" s="1644">
        <v>0</v>
      </c>
      <c r="E185" s="1644">
        <v>2.6528717336516801E-2</v>
      </c>
      <c r="F185" s="1644">
        <v>3.4083926699678302</v>
      </c>
      <c r="G185" s="1644">
        <v>0.914405532257617</v>
      </c>
      <c r="H185" s="1644">
        <v>5.8159133027767798</v>
      </c>
      <c r="I185" s="1644">
        <v>5.4066565054718998</v>
      </c>
      <c r="J185" s="1644">
        <v>0.22297118774045099</v>
      </c>
      <c r="K185" s="1644">
        <v>0.58188351760623302</v>
      </c>
      <c r="L185" s="1644">
        <v>-0.95693779904306198</v>
      </c>
      <c r="M185" s="1644">
        <v>0.26188917326349598</v>
      </c>
      <c r="N185" s="1644">
        <v>6.1077549873560004</v>
      </c>
      <c r="O185" s="1644">
        <v>0.66916925085686296</v>
      </c>
      <c r="P185" s="1644">
        <v>2.6767091541135599</v>
      </c>
      <c r="Q185" s="1644">
        <v>0</v>
      </c>
      <c r="R185" s="1644">
        <v>1.99530616818082</v>
      </c>
      <c r="S185" s="1644">
        <v>3.5256131080256599</v>
      </c>
      <c r="T185" s="1861" t="s">
        <v>558</v>
      </c>
      <c r="U185" s="1862">
        <v>1.7977928946442301</v>
      </c>
      <c r="V185" s="1862">
        <v>0</v>
      </c>
      <c r="W185" s="1862">
        <v>-0.30235660293463801</v>
      </c>
      <c r="X185" s="1862">
        <v>2.9548056967007801</v>
      </c>
      <c r="Y185" s="1862">
        <v>-2.7432208155595498E-3</v>
      </c>
      <c r="Z185" s="1862">
        <v>2.5304878048780499</v>
      </c>
      <c r="AA185" s="1862">
        <v>7.9980804606894305E-3</v>
      </c>
      <c r="AB185" s="1862">
        <v>2.56840926586885</v>
      </c>
      <c r="AC185" s="1862">
        <v>2.3651230322482002</v>
      </c>
      <c r="AD185" s="1862">
        <v>3.6887285394376699</v>
      </c>
      <c r="AE185" s="1862">
        <v>-1.08514190317195</v>
      </c>
      <c r="AF185" s="1862">
        <v>7.2586029010135302</v>
      </c>
      <c r="AG185" s="1862">
        <v>0</v>
      </c>
      <c r="AH185" s="1862">
        <v>2.0612964469758599</v>
      </c>
      <c r="AI185" s="1862">
        <v>1.4963339817447301</v>
      </c>
      <c r="AJ185" s="1862">
        <v>-5.4449919686368501E-3</v>
      </c>
      <c r="AK185" s="1862">
        <v>3.5408225465373602</v>
      </c>
    </row>
    <row r="186" spans="1:37" s="1280" customFormat="1" ht="12.75" customHeight="1" x14ac:dyDescent="0.15">
      <c r="A186" s="1848" t="s">
        <v>2479</v>
      </c>
      <c r="B186" s="1861" t="s">
        <v>559</v>
      </c>
      <c r="C186" s="1644">
        <v>0.67357869167898998</v>
      </c>
      <c r="D186" s="1644">
        <v>-0.73230268510984498</v>
      </c>
      <c r="E186" s="1644">
        <v>-1.3262599469495999E-2</v>
      </c>
      <c r="F186" s="1644">
        <v>-2.1681783688071402E-2</v>
      </c>
      <c r="G186" s="1644">
        <v>0.14880331539349401</v>
      </c>
      <c r="H186" s="1644">
        <v>-0.71704399182251799</v>
      </c>
      <c r="I186" s="1644">
        <v>-0.812437457916378</v>
      </c>
      <c r="J186" s="1644">
        <v>-1.0174010665169799</v>
      </c>
      <c r="K186" s="1644">
        <v>-0.30323075392063298</v>
      </c>
      <c r="L186" s="1644">
        <v>2.63965623081645</v>
      </c>
      <c r="M186" s="1644">
        <v>0</v>
      </c>
      <c r="N186" s="1644">
        <v>-1.7088410950391799</v>
      </c>
      <c r="O186" s="1644">
        <v>-0.227975899690604</v>
      </c>
      <c r="P186" s="1644">
        <v>1.80488380323228</v>
      </c>
      <c r="Q186" s="1644">
        <v>0</v>
      </c>
      <c r="R186" s="1644">
        <v>0.23627488130530699</v>
      </c>
      <c r="S186" s="1644">
        <v>0.60692911590781395</v>
      </c>
      <c r="T186" s="1861" t="s">
        <v>559</v>
      </c>
      <c r="U186" s="1862">
        <v>1.78872880025126</v>
      </c>
      <c r="V186" s="1862">
        <v>-1.29853265809635E-2</v>
      </c>
      <c r="W186" s="1862">
        <v>-0.57471264367816099</v>
      </c>
      <c r="X186" s="1862">
        <v>0.35191037058316599</v>
      </c>
      <c r="Y186" s="1862">
        <v>3.2929489730115398E-2</v>
      </c>
      <c r="Z186" s="1862">
        <v>2.660406885759</v>
      </c>
      <c r="AA186" s="1862">
        <v>0</v>
      </c>
      <c r="AB186" s="1862">
        <v>3.3581077415504801</v>
      </c>
      <c r="AC186" s="1862">
        <v>1.4969363220352101</v>
      </c>
      <c r="AD186" s="1862">
        <v>-0.415040574862169</v>
      </c>
      <c r="AE186" s="1862">
        <v>1.6697278343629999E-2</v>
      </c>
      <c r="AF186" s="1862">
        <v>-0.43507160553507801</v>
      </c>
      <c r="AG186" s="1862">
        <v>0</v>
      </c>
      <c r="AH186" s="1862">
        <v>4.0700040700040699E-2</v>
      </c>
      <c r="AI186" s="1862">
        <v>1.7509135200974399</v>
      </c>
      <c r="AJ186" s="1862">
        <v>1.36143331699613E-2</v>
      </c>
      <c r="AK186" s="1862">
        <v>0.49226180606486403</v>
      </c>
    </row>
    <row r="187" spans="1:37" s="1280" customFormat="1" ht="12.75" customHeight="1" x14ac:dyDescent="0.15">
      <c r="A187" s="1848" t="s">
        <v>2479</v>
      </c>
      <c r="B187" s="1861" t="s">
        <v>550</v>
      </c>
      <c r="C187" s="1644">
        <v>1.6103955160627601</v>
      </c>
      <c r="D187" s="1644">
        <v>0.101812258195887</v>
      </c>
      <c r="E187" s="1644">
        <v>-3.9771974015643599E-2</v>
      </c>
      <c r="F187" s="1644">
        <v>1.12922087414121</v>
      </c>
      <c r="G187" s="1644">
        <v>0.44841170061185098</v>
      </c>
      <c r="H187" s="1644">
        <v>3.7372753550333</v>
      </c>
      <c r="I187" s="1644">
        <v>3.7811033965676102</v>
      </c>
      <c r="J187" s="1644">
        <v>-0.14395087835513801</v>
      </c>
      <c r="K187" s="1644">
        <v>-4.8563571470364497E-2</v>
      </c>
      <c r="L187" s="1644">
        <v>0.35422762975512101</v>
      </c>
      <c r="M187" s="1644">
        <v>0</v>
      </c>
      <c r="N187" s="1644">
        <v>0.117512874572288</v>
      </c>
      <c r="O187" s="1644">
        <v>0.50736497545008197</v>
      </c>
      <c r="P187" s="1644">
        <v>0.50984111927910802</v>
      </c>
      <c r="Q187" s="1644">
        <v>0</v>
      </c>
      <c r="R187" s="1644">
        <v>1.1489010040851899</v>
      </c>
      <c r="S187" s="1644">
        <v>1.4914118347788901</v>
      </c>
      <c r="T187" s="1861" t="s">
        <v>550</v>
      </c>
      <c r="U187" s="1862">
        <v>1.0728474850332099</v>
      </c>
      <c r="V187" s="1862">
        <v>1.2987012987013E-2</v>
      </c>
      <c r="W187" s="1862">
        <v>-0.31729243786356398</v>
      </c>
      <c r="X187" s="1862">
        <v>-1.1413053124833601</v>
      </c>
      <c r="Y187" s="1862">
        <v>-2.0576696205657202E-2</v>
      </c>
      <c r="Z187" s="1862">
        <v>1.7515923566878999</v>
      </c>
      <c r="AA187" s="1862">
        <v>1.06652446340488E-2</v>
      </c>
      <c r="AB187" s="1862">
        <v>2.0088544548976199</v>
      </c>
      <c r="AC187" s="1862">
        <v>1.04627924291704</v>
      </c>
      <c r="AD187" s="1862">
        <v>2.1514902233753102</v>
      </c>
      <c r="AE187" s="1862">
        <v>-0.100083402835696</v>
      </c>
      <c r="AF187" s="1862">
        <v>3.54774120885997</v>
      </c>
      <c r="AG187" s="1862">
        <v>0</v>
      </c>
      <c r="AH187" s="1862">
        <v>1.2778235779060201</v>
      </c>
      <c r="AI187" s="1862">
        <v>0.84446491632120402</v>
      </c>
      <c r="AJ187" s="1862">
        <v>2.7229407760381201E-3</v>
      </c>
      <c r="AK187" s="1862">
        <v>1.7961183504353999</v>
      </c>
    </row>
    <row r="188" spans="1:37" s="1280" customFormat="1" ht="12.75" customHeight="1" x14ac:dyDescent="0.15">
      <c r="A188" s="1863" t="s">
        <v>2730</v>
      </c>
      <c r="B188" s="1861" t="s">
        <v>552</v>
      </c>
      <c r="C188" s="1644">
        <v>-1.4929962137372099</v>
      </c>
      <c r="D188" s="1644">
        <v>0.130489744321657</v>
      </c>
      <c r="E188" s="1644">
        <v>3.9787798408488097E-2</v>
      </c>
      <c r="F188" s="1644">
        <v>-1.05940629858625</v>
      </c>
      <c r="G188" s="1644">
        <v>0.12868212717151101</v>
      </c>
      <c r="H188" s="1644">
        <v>-2.73284997211378</v>
      </c>
      <c r="I188" s="1644">
        <v>-2.6834480737085702</v>
      </c>
      <c r="J188" s="1644">
        <v>6.3695484627094797E-4</v>
      </c>
      <c r="K188" s="1644">
        <v>-2.54986258567014</v>
      </c>
      <c r="L188" s="1644">
        <v>-1.38213851761847</v>
      </c>
      <c r="M188" s="1644">
        <v>0</v>
      </c>
      <c r="N188" s="1644">
        <v>-3.23734992140731</v>
      </c>
      <c r="O188" s="1644">
        <v>-0.114435180644107</v>
      </c>
      <c r="P188" s="1644">
        <v>-0.86976962858486095</v>
      </c>
      <c r="Q188" s="1644">
        <v>0</v>
      </c>
      <c r="R188" s="1644">
        <v>-0.80094623655913999</v>
      </c>
      <c r="S188" s="1644">
        <v>-2.6830783205781401</v>
      </c>
      <c r="T188" s="1861" t="s">
        <v>552</v>
      </c>
      <c r="U188" s="1862">
        <v>-2.4256503327283698</v>
      </c>
      <c r="V188" s="1862">
        <v>0</v>
      </c>
      <c r="W188" s="1862">
        <v>-3.5242290748898703E-2</v>
      </c>
      <c r="X188" s="1862">
        <v>-3.2408202521210501</v>
      </c>
      <c r="Y188" s="1862">
        <v>-5.4868179199473299E-3</v>
      </c>
      <c r="Z188" s="1862">
        <v>-2.6779072650632298</v>
      </c>
      <c r="AA188" s="1862">
        <v>-1.8660695244188501E-2</v>
      </c>
      <c r="AB188" s="1862">
        <v>-2.78186265718815</v>
      </c>
      <c r="AC188" s="1862">
        <v>-1.63056048107316</v>
      </c>
      <c r="AD188" s="1862">
        <v>-3.1327738303817299</v>
      </c>
      <c r="AE188" s="1862">
        <v>-0.80251509886655104</v>
      </c>
      <c r="AF188" s="1862">
        <v>-1.92083461184412</v>
      </c>
      <c r="AG188" s="1862">
        <v>0</v>
      </c>
      <c r="AH188" s="1862">
        <v>-1.39547486790408</v>
      </c>
      <c r="AI188" s="1862">
        <v>-0.45850527281063702</v>
      </c>
      <c r="AJ188" s="1862">
        <v>-2.7228666339922701E-3</v>
      </c>
      <c r="AK188" s="1862">
        <v>-3.48146638127889</v>
      </c>
    </row>
    <row r="189" spans="1:37" s="1280" customFormat="1" ht="12.75" customHeight="1" x14ac:dyDescent="0.15">
      <c r="A189" s="1863" t="s">
        <v>2730</v>
      </c>
      <c r="B189" s="1861" t="s">
        <v>553</v>
      </c>
      <c r="C189" s="1644">
        <v>1.67106814916403</v>
      </c>
      <c r="D189" s="1644">
        <v>0.80154554422887203</v>
      </c>
      <c r="E189" s="1644">
        <v>0</v>
      </c>
      <c r="F189" s="1644">
        <v>0.60749363404874501</v>
      </c>
      <c r="G189" s="1644">
        <v>0.65324510770097099</v>
      </c>
      <c r="H189" s="1644">
        <v>2.45553885653454</v>
      </c>
      <c r="I189" s="1644">
        <v>2.4593385632803701</v>
      </c>
      <c r="J189" s="1644">
        <v>0.67459681297893503</v>
      </c>
      <c r="K189" s="1644">
        <v>-0.54778052487127704</v>
      </c>
      <c r="L189" s="1644">
        <v>-0.18192844147968501</v>
      </c>
      <c r="M189" s="1644">
        <v>-0.112960760998811</v>
      </c>
      <c r="N189" s="1644">
        <v>1.67295725798225</v>
      </c>
      <c r="O189" s="1644">
        <v>9.8183603338242498E-2</v>
      </c>
      <c r="P189" s="1644">
        <v>0.68639053254437898</v>
      </c>
      <c r="Q189" s="1644">
        <v>0</v>
      </c>
      <c r="R189" s="1644">
        <v>0.45505057749772299</v>
      </c>
      <c r="S189" s="1644">
        <v>-0.16118738632468099</v>
      </c>
      <c r="T189" s="1861" t="s">
        <v>553</v>
      </c>
      <c r="U189" s="1862">
        <v>2.7136792499726599</v>
      </c>
      <c r="V189" s="1862">
        <v>0</v>
      </c>
      <c r="W189" s="1862">
        <v>-4.4033465433729602E-2</v>
      </c>
      <c r="X189" s="1862">
        <v>1.88989605571694</v>
      </c>
      <c r="Y189" s="1862">
        <v>-0.143821825304423</v>
      </c>
      <c r="Z189" s="1862">
        <v>0.95118898623279102</v>
      </c>
      <c r="AA189" s="1862">
        <v>-2.6651031394914999E-2</v>
      </c>
      <c r="AB189" s="1862">
        <v>0.36429872495446303</v>
      </c>
      <c r="AC189" s="1862">
        <v>1.0359869138495099</v>
      </c>
      <c r="AD189" s="1862">
        <v>3.4577700738799102</v>
      </c>
      <c r="AE189" s="1862">
        <v>4.1383876841582498E-2</v>
      </c>
      <c r="AF189" s="1862">
        <v>1.77378052588845</v>
      </c>
      <c r="AG189" s="1862">
        <v>0</v>
      </c>
      <c r="AH189" s="1862">
        <v>1.0127275215546701</v>
      </c>
      <c r="AI189" s="1862">
        <v>1.26915338182944</v>
      </c>
      <c r="AJ189" s="1862">
        <v>-8.1679326962345797E-3</v>
      </c>
      <c r="AK189" s="1862">
        <v>2.01314795993718</v>
      </c>
    </row>
    <row r="190" spans="1:37" s="1280" customFormat="1" ht="12.75" customHeight="1" x14ac:dyDescent="0.15">
      <c r="A190" s="1863" t="s">
        <v>2730</v>
      </c>
      <c r="B190" s="1861" t="s">
        <v>547</v>
      </c>
      <c r="C190" s="1644">
        <v>0.55805730066738901</v>
      </c>
      <c r="D190" s="1644">
        <v>-0.13136288998358001</v>
      </c>
      <c r="E190" s="1644">
        <v>0</v>
      </c>
      <c r="F190" s="1644">
        <v>-1.21815372453196</v>
      </c>
      <c r="G190" s="1644">
        <v>-3.5184012384772402E-2</v>
      </c>
      <c r="H190" s="1644">
        <v>0.34954872866378101</v>
      </c>
      <c r="I190" s="1644">
        <v>0.34656984086158898</v>
      </c>
      <c r="J190" s="1644">
        <v>0.17794280134645499</v>
      </c>
      <c r="K190" s="1644">
        <v>-0.59749278499278502</v>
      </c>
      <c r="L190" s="1644">
        <v>-1.22791254866727</v>
      </c>
      <c r="M190" s="1644">
        <v>0</v>
      </c>
      <c r="N190" s="1644">
        <v>-1.0431037383491999</v>
      </c>
      <c r="O190" s="1644">
        <v>3.2738582419381199E-2</v>
      </c>
      <c r="P190" s="1644">
        <v>0.237247924080664</v>
      </c>
      <c r="Q190" s="1644">
        <v>0</v>
      </c>
      <c r="R190" s="1644">
        <v>-0.219180255497613</v>
      </c>
      <c r="S190" s="1644">
        <v>-1.8268184279167301</v>
      </c>
      <c r="T190" s="1861" t="s">
        <v>547</v>
      </c>
      <c r="U190" s="1862">
        <v>0.78153963307716201</v>
      </c>
      <c r="V190" s="1862">
        <v>0</v>
      </c>
      <c r="W190" s="1862">
        <v>0.13227513227513199</v>
      </c>
      <c r="X190" s="1862">
        <v>-1.87253698282005</v>
      </c>
      <c r="Y190" s="1862">
        <v>0.15227172958735699</v>
      </c>
      <c r="Z190" s="1862">
        <v>-3.82184772795667</v>
      </c>
      <c r="AA190" s="1862">
        <v>4.7994880546075099E-2</v>
      </c>
      <c r="AB190" s="1862">
        <v>-1.06698956515545</v>
      </c>
      <c r="AC190" s="1862">
        <v>-0.48062015503875999</v>
      </c>
      <c r="AD190" s="1862">
        <v>0.45815791848717602</v>
      </c>
      <c r="AE190" s="1862">
        <v>-0.15701181720519</v>
      </c>
      <c r="AF190" s="1862">
        <v>0.36356798094402298</v>
      </c>
      <c r="AG190" s="1862">
        <v>0</v>
      </c>
      <c r="AH190" s="1862">
        <v>0.17822868110776</v>
      </c>
      <c r="AI190" s="1862">
        <v>-0.21621621621621601</v>
      </c>
      <c r="AJ190" s="1862">
        <v>-2.7225701061802301E-3</v>
      </c>
      <c r="AK190" s="1862">
        <v>-0.56647881978380199</v>
      </c>
    </row>
    <row r="191" spans="1:37" s="1280" customFormat="1" ht="12.75" customHeight="1" x14ac:dyDescent="0.15">
      <c r="A191" s="1863" t="s">
        <v>2730</v>
      </c>
      <c r="B191" s="1861" t="s">
        <v>554</v>
      </c>
      <c r="C191" s="1644">
        <v>-3.8016461818787602E-2</v>
      </c>
      <c r="D191" s="1644">
        <v>-0.40068689181453898</v>
      </c>
      <c r="E191" s="1644">
        <v>0</v>
      </c>
      <c r="F191" s="1644">
        <v>-0.20440364340529299</v>
      </c>
      <c r="G191" s="1644">
        <v>0.26953036802890001</v>
      </c>
      <c r="H191" s="1644">
        <v>-1.11463236550621</v>
      </c>
      <c r="I191" s="1644">
        <v>-1.0702268791048599</v>
      </c>
      <c r="J191" s="1644">
        <v>0.15956762321451501</v>
      </c>
      <c r="K191" s="1644">
        <v>0.33537878573650398</v>
      </c>
      <c r="L191" s="1644">
        <v>0.34258925351604802</v>
      </c>
      <c r="M191" s="1644">
        <v>0</v>
      </c>
      <c r="N191" s="1644">
        <v>-2.7073921299024399</v>
      </c>
      <c r="O191" s="1644">
        <v>-0.472466601498859</v>
      </c>
      <c r="P191" s="1644">
        <v>0.41691483025610498</v>
      </c>
      <c r="Q191" s="1644">
        <v>0</v>
      </c>
      <c r="R191" s="1644">
        <v>-5.1276703743888798E-2</v>
      </c>
      <c r="S191" s="1644">
        <v>-0.22503030604006299</v>
      </c>
      <c r="T191" s="1861" t="s">
        <v>554</v>
      </c>
      <c r="U191" s="1862">
        <v>-0.444395676743293</v>
      </c>
      <c r="V191" s="1862">
        <v>0</v>
      </c>
      <c r="W191" s="1862">
        <v>0.13598714303375001</v>
      </c>
      <c r="X191" s="1862">
        <v>-1.02986786761269</v>
      </c>
      <c r="Y191" s="1862">
        <v>-2.7435594940876302E-3</v>
      </c>
      <c r="Z191" s="1862">
        <v>3.84375</v>
      </c>
      <c r="AA191" s="1862">
        <v>5.3330489040584496E-3</v>
      </c>
      <c r="AB191" s="1862">
        <v>-1.2620481821794201</v>
      </c>
      <c r="AC191" s="1862">
        <v>-0.57037151225528004</v>
      </c>
      <c r="AD191" s="1862">
        <v>0.19734882335418499</v>
      </c>
      <c r="AE191" s="1862">
        <v>-0.55062458908612799</v>
      </c>
      <c r="AF191" s="1862">
        <v>-0.29375000000000001</v>
      </c>
      <c r="AG191" s="1862">
        <v>17.585895117540701</v>
      </c>
      <c r="AH191" s="1862">
        <v>-0.92366204835642496</v>
      </c>
      <c r="AI191" s="1862">
        <v>-0.21574973031283701</v>
      </c>
      <c r="AJ191" s="1862">
        <v>1.08914665359691E-2</v>
      </c>
      <c r="AK191" s="1862">
        <v>-1.7426257305483399</v>
      </c>
    </row>
    <row r="192" spans="1:37" s="13" customFormat="1" ht="12.75" customHeight="1" x14ac:dyDescent="0.15">
      <c r="A192" s="1863" t="s">
        <v>2730</v>
      </c>
      <c r="B192" s="1861" t="s">
        <v>555</v>
      </c>
      <c r="C192" s="1644">
        <v>-0.37265840665931699</v>
      </c>
      <c r="D192" s="1644">
        <v>2.4537870112874199E-2</v>
      </c>
      <c r="E192" s="1644">
        <v>0</v>
      </c>
      <c r="F192" s="1644">
        <v>-0.221840561041935</v>
      </c>
      <c r="G192" s="1644">
        <v>0.105948664340505</v>
      </c>
      <c r="H192" s="1644">
        <v>-4.3478936008323102E-2</v>
      </c>
      <c r="I192" s="1644">
        <v>-4.30975052785997E-2</v>
      </c>
      <c r="J192" s="1644">
        <v>-0.19073062029193999</v>
      </c>
      <c r="K192" s="1644">
        <v>-1.0625916268451301</v>
      </c>
      <c r="L192" s="1644">
        <v>-0.102071450015011</v>
      </c>
      <c r="M192" s="1644">
        <v>0</v>
      </c>
      <c r="N192" s="1644">
        <v>-2.2058588122298701</v>
      </c>
      <c r="O192" s="1644">
        <v>-1.6289297931259199E-2</v>
      </c>
      <c r="P192" s="1644">
        <v>1.57289776164549</v>
      </c>
      <c r="Q192" s="1644">
        <v>0</v>
      </c>
      <c r="R192" s="1644">
        <v>-0.46159045834791601</v>
      </c>
      <c r="S192" s="1644">
        <v>-0.51179512479293898</v>
      </c>
      <c r="T192" s="1861" t="s">
        <v>555</v>
      </c>
      <c r="U192" s="1862">
        <v>-1.0541224775826199</v>
      </c>
      <c r="V192" s="1862">
        <v>0</v>
      </c>
      <c r="W192" s="1862">
        <v>0.21769911504424799</v>
      </c>
      <c r="X192" s="1862">
        <v>0.35730731840431201</v>
      </c>
      <c r="Y192" s="1862">
        <v>2.19532943662358E-2</v>
      </c>
      <c r="Z192" s="1862">
        <v>3.2258064516128999</v>
      </c>
      <c r="AA192" s="1862">
        <v>-3.5985126147858898E-2</v>
      </c>
      <c r="AB192" s="1862">
        <v>-3.1155885038361402</v>
      </c>
      <c r="AC192" s="1862">
        <v>9.6439455309956401E-2</v>
      </c>
      <c r="AD192" s="1862">
        <v>-0.54385779282615598</v>
      </c>
      <c r="AE192" s="1862">
        <v>-1.28985154538817</v>
      </c>
      <c r="AF192" s="1862">
        <v>-0.46656298600311003</v>
      </c>
      <c r="AG192" s="1862">
        <v>-1.8079913216416599E-2</v>
      </c>
      <c r="AH192" s="1862">
        <v>1.3585110718652401E-2</v>
      </c>
      <c r="AI192" s="1862">
        <v>1.04328869511056</v>
      </c>
      <c r="AJ192" s="1862">
        <v>-1.2251398701351701E-2</v>
      </c>
      <c r="AK192" s="1862">
        <v>0.32969460414004498</v>
      </c>
    </row>
    <row r="193" spans="1:37" s="1280" customFormat="1" ht="12.75" customHeight="1" x14ac:dyDescent="0.15">
      <c r="A193" s="1863" t="s">
        <v>2730</v>
      </c>
      <c r="B193" s="1861" t="s">
        <v>548</v>
      </c>
      <c r="C193" s="1644">
        <v>2.2137596198270999</v>
      </c>
      <c r="D193" s="1644">
        <v>-5.3137134682199098E-2</v>
      </c>
      <c r="E193" s="1644">
        <v>-1.3260840737302699E-2</v>
      </c>
      <c r="F193" s="1644">
        <v>2.0260650531157598</v>
      </c>
      <c r="G193" s="1644">
        <v>0.626883493489509</v>
      </c>
      <c r="H193" s="1644">
        <v>1.5148649074687099</v>
      </c>
      <c r="I193" s="1644">
        <v>1.3107946437006901</v>
      </c>
      <c r="J193" s="1644">
        <v>0.154363667938023</v>
      </c>
      <c r="K193" s="1644">
        <v>-0.46006460955775902</v>
      </c>
      <c r="L193" s="1644">
        <v>-0.76563291327792204</v>
      </c>
      <c r="M193" s="1644">
        <v>0</v>
      </c>
      <c r="N193" s="1644">
        <v>-0.150246147944505</v>
      </c>
      <c r="O193" s="1644">
        <v>-0.25995125913891098</v>
      </c>
      <c r="P193" s="1644">
        <v>1.9489330208461799</v>
      </c>
      <c r="Q193" s="1644">
        <v>0</v>
      </c>
      <c r="R193" s="1644">
        <v>0.82441057930151695</v>
      </c>
      <c r="S193" s="1644">
        <v>1.2032375346283299</v>
      </c>
      <c r="T193" s="1861" t="s">
        <v>548</v>
      </c>
      <c r="U193" s="1862">
        <v>0.88923409361354699</v>
      </c>
      <c r="V193" s="1862">
        <v>0</v>
      </c>
      <c r="W193" s="1862">
        <v>0.44444444444444398</v>
      </c>
      <c r="X193" s="1862">
        <v>-0.33232191879786099</v>
      </c>
      <c r="Y193" s="1862">
        <v>-2.8805398954775501E-2</v>
      </c>
      <c r="Z193" s="1862">
        <v>-1.2738853503184699</v>
      </c>
      <c r="AA193" s="1862">
        <v>2.26624363452156E-2</v>
      </c>
      <c r="AB193" s="1862">
        <v>2.2154741922677799</v>
      </c>
      <c r="AC193" s="1862">
        <v>0.81670750204176901</v>
      </c>
      <c r="AD193" s="1862">
        <v>2.7539493569044402</v>
      </c>
      <c r="AE193" s="1862">
        <v>-0.60474117077890699</v>
      </c>
      <c r="AF193" s="1862">
        <v>1.86945500633714</v>
      </c>
      <c r="AG193" s="1862">
        <v>1.8083182640144701E-2</v>
      </c>
      <c r="AH193" s="1862">
        <v>0.80799780881950101</v>
      </c>
      <c r="AI193" s="1862">
        <v>1.85567010309278</v>
      </c>
      <c r="AJ193" s="1862">
        <v>1.22528998529652E-2</v>
      </c>
      <c r="AK193" s="1862">
        <v>1.7374882406499701</v>
      </c>
    </row>
    <row r="194" spans="1:37" ht="12.75" customHeight="1" x14ac:dyDescent="0.2">
      <c r="A194" s="1863" t="s">
        <v>2730</v>
      </c>
      <c r="B194" s="1861" t="s">
        <v>556</v>
      </c>
      <c r="C194" s="1644">
        <v>5.1680360725790102</v>
      </c>
      <c r="D194" s="1644">
        <v>1.3262599469495999E-2</v>
      </c>
      <c r="E194" s="1644">
        <v>-2.04331834899877E-2</v>
      </c>
      <c r="F194" s="1644">
        <v>1.02898871431733</v>
      </c>
      <c r="G194" s="1644">
        <v>0.82699115678433699</v>
      </c>
      <c r="H194" s="1644">
        <v>1.5625500304184901</v>
      </c>
      <c r="I194" s="1644">
        <v>1.7534900565015501</v>
      </c>
      <c r="J194" s="1644">
        <v>-0.35122576510174702</v>
      </c>
      <c r="K194" s="1644">
        <v>-2.4694979520441498</v>
      </c>
      <c r="L194" s="1644">
        <v>-0.104160466638891</v>
      </c>
      <c r="M194" s="1644">
        <v>287.539744712225</v>
      </c>
      <c r="N194" s="1644">
        <v>1.95554396714686</v>
      </c>
      <c r="O194" s="1644">
        <v>0.98441345365053301</v>
      </c>
      <c r="P194" s="1644">
        <v>3.0638189677091301</v>
      </c>
      <c r="Q194" s="1644">
        <v>0</v>
      </c>
      <c r="R194" s="1644">
        <v>0.70085257186852501</v>
      </c>
      <c r="S194" s="1644">
        <v>4.4283627743467804</v>
      </c>
      <c r="T194" s="1861" t="s">
        <v>556</v>
      </c>
      <c r="U194" s="1862">
        <v>4.68687289880378</v>
      </c>
      <c r="V194" s="1862">
        <v>0</v>
      </c>
      <c r="W194" s="1862">
        <v>0.53619302949061698</v>
      </c>
      <c r="X194" s="1862">
        <v>-8.4985594941657406E-3</v>
      </c>
      <c r="Y194" s="1862">
        <v>1.7835093977226001E-2</v>
      </c>
      <c r="Z194" s="1862">
        <v>2.5473546701502299</v>
      </c>
      <c r="AA194" s="1862">
        <v>1.19992000533298E-2</v>
      </c>
      <c r="AB194" s="1862">
        <v>1.8457638531310701</v>
      </c>
      <c r="AC194" s="1862">
        <v>0.68793828892005604</v>
      </c>
      <c r="AD194" s="1862">
        <v>0.89816222191515804</v>
      </c>
      <c r="AE194" s="1862">
        <v>0.16961473225102999</v>
      </c>
      <c r="AF194" s="1862">
        <v>2.6875772759809999</v>
      </c>
      <c r="AG194" s="1862">
        <v>9471.6140199048004</v>
      </c>
      <c r="AH194" s="1862">
        <v>0.89816222191515804</v>
      </c>
      <c r="AI194" s="1862">
        <v>1.4317889317889301</v>
      </c>
      <c r="AJ194" s="1862">
        <v>-1.08902804247209E-2</v>
      </c>
      <c r="AK194" s="1862">
        <v>1.8457638531310701</v>
      </c>
    </row>
    <row r="195" spans="1:37" s="9" customFormat="1" ht="12.75" customHeight="1" x14ac:dyDescent="0.2">
      <c r="A195" s="1863" t="s">
        <v>2730</v>
      </c>
      <c r="B195" s="1642" t="s">
        <v>557</v>
      </c>
      <c r="C195" s="1643">
        <v>1.0651736796281199</v>
      </c>
      <c r="D195" s="1643">
        <v>4.0883074407195401E-2</v>
      </c>
      <c r="E195" s="1643">
        <v>-1.3260840737302699E-2</v>
      </c>
      <c r="F195" s="1643">
        <v>-0.64128403385979704</v>
      </c>
      <c r="G195" s="1643">
        <v>0.78436470792165003</v>
      </c>
      <c r="H195" s="1643">
        <v>-1.24272704275234</v>
      </c>
      <c r="I195" s="1643">
        <v>-1.17115404005502</v>
      </c>
      <c r="J195" s="1643">
        <v>-0.27292715976785198</v>
      </c>
      <c r="K195" s="1643">
        <v>1.0617506258509399</v>
      </c>
      <c r="L195" s="1643">
        <v>0.21473307485833601</v>
      </c>
      <c r="M195" s="1643">
        <v>-99.174309971821302</v>
      </c>
      <c r="N195" s="1643">
        <v>-1.6949152542372901</v>
      </c>
      <c r="O195" s="1643">
        <v>-0.26182294223531299</v>
      </c>
      <c r="P195" s="1643">
        <v>1.07941403238242</v>
      </c>
      <c r="Q195" s="1643">
        <v>0</v>
      </c>
      <c r="R195" s="1644">
        <v>-0.41320557844877898</v>
      </c>
      <c r="S195" s="1644">
        <v>-1.05601310708698</v>
      </c>
      <c r="T195" s="1861" t="s">
        <v>557</v>
      </c>
      <c r="U195" s="1644">
        <v>0.84945778730964705</v>
      </c>
      <c r="V195" s="1644">
        <v>0</v>
      </c>
      <c r="W195" s="1644">
        <v>0.134228187919463</v>
      </c>
      <c r="X195" s="1644">
        <v>1.98214595250477</v>
      </c>
      <c r="Y195" s="1644">
        <v>-6.8591810137869497E-3</v>
      </c>
      <c r="Z195" s="1644">
        <v>-0.59732502272432197</v>
      </c>
      <c r="AA195" s="1644">
        <v>-1.73291743314938E-2</v>
      </c>
      <c r="AB195" s="1644">
        <v>-0.95846645367412098</v>
      </c>
      <c r="AC195" s="1644">
        <v>-0.20948616600790501</v>
      </c>
      <c r="AD195" s="1644">
        <v>-2.5250567584030099</v>
      </c>
      <c r="AE195" s="1644">
        <v>9.53982472593215E-2</v>
      </c>
      <c r="AF195" s="1644">
        <v>-6.5032190934512596E-2</v>
      </c>
      <c r="AG195" s="1644">
        <v>4.3290043290043302E-2</v>
      </c>
      <c r="AH195" s="1644">
        <v>-0.50866098432774298</v>
      </c>
      <c r="AI195" s="1644">
        <v>8.0502334567702505E-2</v>
      </c>
      <c r="AJ195" s="1644">
        <v>-1.3612665223724099E-3</v>
      </c>
      <c r="AK195" s="1644">
        <v>-2.3355991474011799</v>
      </c>
    </row>
    <row r="196" spans="1:37" s="9" customFormat="1" ht="12.75" customHeight="1" x14ac:dyDescent="0.2">
      <c r="A196" s="1863" t="s">
        <v>2730</v>
      </c>
      <c r="B196" s="1642" t="s">
        <v>549</v>
      </c>
      <c r="C196" s="1643">
        <v>-3.70993434666818</v>
      </c>
      <c r="D196" s="1643">
        <v>-0.36659877800407298</v>
      </c>
      <c r="E196" s="1643">
        <v>-0.13243279035889299</v>
      </c>
      <c r="F196" s="1643">
        <v>-2.0073254811835701</v>
      </c>
      <c r="G196" s="1643">
        <v>4.9137208428476499E-2</v>
      </c>
      <c r="H196" s="1643">
        <v>-2.9834491433129302</v>
      </c>
      <c r="I196" s="1643">
        <v>-2.9456577371118899</v>
      </c>
      <c r="J196" s="1643">
        <v>-0.16718353178401399</v>
      </c>
      <c r="K196" s="1643">
        <v>-3.4992079763929298</v>
      </c>
      <c r="L196" s="1643">
        <v>-1.3678482129725</v>
      </c>
      <c r="M196" s="1643">
        <v>-0.15825910426714601</v>
      </c>
      <c r="N196" s="1643">
        <v>-2.29769917044921</v>
      </c>
      <c r="O196" s="1643">
        <v>-0.45610034207525701</v>
      </c>
      <c r="P196" s="1643">
        <v>-3.2811334824757599</v>
      </c>
      <c r="Q196" s="1642">
        <v>0</v>
      </c>
      <c r="R196" s="1644">
        <v>-1.0919937615063</v>
      </c>
      <c r="S196" s="1644">
        <v>-4.5943489538740803</v>
      </c>
      <c r="T196" s="1861" t="s">
        <v>549</v>
      </c>
      <c r="U196" s="1644">
        <v>-2.3854726817454099</v>
      </c>
      <c r="V196" s="1644">
        <v>1.2988699831146901E-2</v>
      </c>
      <c r="W196" s="1644">
        <v>6.2679083094555901E-2</v>
      </c>
      <c r="X196" s="1644">
        <v>-4.8930066932638701</v>
      </c>
      <c r="Y196" s="1644">
        <v>3.7053301860899203E-2</v>
      </c>
      <c r="Z196" s="1644">
        <v>-5.2767527675276797</v>
      </c>
      <c r="AA196" s="1644">
        <v>-4.7965464865297E-2</v>
      </c>
      <c r="AB196" s="1644">
        <v>-5.9691745036572597</v>
      </c>
      <c r="AC196" s="1644">
        <v>-2.0367071943003201</v>
      </c>
      <c r="AD196" s="1644">
        <v>-5.3972644360977098</v>
      </c>
      <c r="AE196" s="1644">
        <v>-2.0028521628901901</v>
      </c>
      <c r="AF196" s="1644">
        <v>-3.8336460287679799</v>
      </c>
      <c r="AG196" s="1644">
        <v>-1.7313019390581701E-2</v>
      </c>
      <c r="AH196" s="1644">
        <v>-1.34273701342737</v>
      </c>
      <c r="AI196" s="1644">
        <v>-5.5361216730037999</v>
      </c>
      <c r="AJ196" s="1644">
        <v>1.36145185225524E-2</v>
      </c>
      <c r="AK196" s="1644">
        <v>-2.2097831802655401</v>
      </c>
    </row>
    <row r="197" spans="1:37" s="1424" customFormat="1" x14ac:dyDescent="0.2">
      <c r="A197" s="1864" t="s">
        <v>583</v>
      </c>
      <c r="B197" s="1864"/>
      <c r="C197" s="2877" t="s">
        <v>1292</v>
      </c>
      <c r="D197" s="2877"/>
      <c r="E197" s="2877"/>
      <c r="F197" s="2877"/>
      <c r="G197" s="2877"/>
      <c r="H197" s="2877"/>
      <c r="I197" s="1865"/>
      <c r="J197" s="1889" t="s">
        <v>257</v>
      </c>
      <c r="K197" s="1866" t="s">
        <v>1216</v>
      </c>
      <c r="L197" s="1881"/>
      <c r="M197" s="1881"/>
      <c r="N197" s="1890"/>
      <c r="O197" s="1890"/>
      <c r="P197" s="1890"/>
      <c r="Q197" s="1890"/>
      <c r="R197" s="1890"/>
      <c r="S197" s="1890"/>
      <c r="T197" s="1889" t="s">
        <v>257</v>
      </c>
      <c r="U197" s="1866" t="s">
        <v>1216</v>
      </c>
      <c r="V197" s="1881"/>
      <c r="W197" s="1881"/>
      <c r="X197" s="1890"/>
      <c r="Y197" s="1890"/>
      <c r="Z197" s="1890"/>
      <c r="AA197" s="1890"/>
      <c r="AB197" s="1890"/>
      <c r="AC197" s="1890"/>
      <c r="AD197" s="1890"/>
      <c r="AE197" s="1890"/>
      <c r="AF197" s="1890"/>
      <c r="AG197" s="1890"/>
      <c r="AH197" s="1890"/>
      <c r="AI197" s="1890"/>
      <c r="AJ197" s="1890"/>
      <c r="AK197" s="1890"/>
    </row>
    <row r="198" spans="1:37" s="52" customFormat="1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1:37" s="52" customFormat="1" x14ac:dyDescent="0.2">
      <c r="A199" s="1371"/>
      <c r="B199" s="1371"/>
    </row>
    <row r="200" spans="1:37" s="52" customFormat="1" x14ac:dyDescent="0.2">
      <c r="C200" s="1371"/>
      <c r="D200" s="1371"/>
      <c r="E200" s="1371"/>
      <c r="F200" s="1371"/>
      <c r="G200" s="1371"/>
      <c r="H200" s="1371"/>
      <c r="I200" s="1371"/>
      <c r="J200" s="1371"/>
      <c r="K200" s="1371"/>
      <c r="L200" s="1371"/>
      <c r="M200" s="1371"/>
      <c r="N200" s="1371"/>
      <c r="O200" s="1371"/>
      <c r="P200" s="1371"/>
      <c r="Q200" s="1371"/>
      <c r="R200" s="1371"/>
      <c r="S200" s="1371"/>
      <c r="T200" s="1371"/>
      <c r="U200" s="1371"/>
      <c r="V200" s="1371"/>
      <c r="W200" s="1371"/>
      <c r="X200" s="1371"/>
      <c r="Y200" s="1371"/>
      <c r="AA200" s="1371"/>
      <c r="AB200" s="1371"/>
      <c r="AC200" s="1371"/>
      <c r="AE200" s="1371"/>
      <c r="AG200" s="1371"/>
      <c r="AH200" s="1371"/>
      <c r="AI200" s="1371"/>
      <c r="AJ200" s="1371"/>
    </row>
    <row r="201" spans="1:37" x14ac:dyDescent="0.2">
      <c r="A201" s="52"/>
      <c r="B201" s="52"/>
      <c r="C201" s="1371"/>
      <c r="D201" s="1371"/>
      <c r="E201" s="1371"/>
      <c r="F201" s="1371"/>
      <c r="G201" s="1371"/>
      <c r="H201" s="1371"/>
      <c r="I201" s="1371"/>
      <c r="J201" s="1371"/>
      <c r="K201" s="1371"/>
      <c r="L201" s="1371"/>
      <c r="M201" s="1371"/>
      <c r="N201" s="1371"/>
      <c r="O201" s="1371"/>
      <c r="P201" s="1371"/>
      <c r="Q201" s="1371"/>
      <c r="R201" s="1371"/>
      <c r="S201" s="1371"/>
      <c r="T201" s="1371"/>
      <c r="U201" s="1371"/>
      <c r="V201" s="1371"/>
      <c r="W201" s="1371"/>
      <c r="X201" s="1371"/>
      <c r="Y201" s="1371"/>
      <c r="Z201" s="1371"/>
      <c r="AA201" s="1371"/>
      <c r="AB201" s="1371"/>
      <c r="AC201" s="1371"/>
      <c r="AD201" s="52"/>
      <c r="AE201" s="1371"/>
      <c r="AF201" s="52"/>
      <c r="AG201" s="1371"/>
      <c r="AH201" s="1371"/>
      <c r="AI201" s="1371"/>
      <c r="AJ201" s="1371"/>
      <c r="AK201" s="52"/>
    </row>
    <row r="202" spans="1:37" x14ac:dyDescent="0.2">
      <c r="A202" s="52"/>
      <c r="B202" s="52"/>
      <c r="C202" s="1371"/>
      <c r="D202" s="1371"/>
      <c r="E202" s="1371"/>
      <c r="F202" s="1371"/>
      <c r="G202" s="1371"/>
      <c r="H202" s="1371"/>
      <c r="I202" s="1371"/>
      <c r="J202" s="1371"/>
      <c r="K202" s="1371"/>
      <c r="L202" s="1371"/>
      <c r="M202" s="1371"/>
      <c r="N202" s="1371"/>
      <c r="O202" s="1371"/>
      <c r="P202" s="1371"/>
      <c r="Q202" s="1371"/>
      <c r="R202" s="1371"/>
      <c r="S202" s="1371"/>
      <c r="T202" s="1371"/>
      <c r="U202" s="1371"/>
      <c r="V202" s="1371"/>
      <c r="W202" s="1371"/>
      <c r="X202" s="1371"/>
      <c r="Y202" s="1371"/>
      <c r="Z202" s="1371"/>
      <c r="AA202" s="1371"/>
      <c r="AB202" s="1371"/>
      <c r="AC202" s="1371"/>
      <c r="AD202" s="52"/>
      <c r="AE202" s="1371"/>
      <c r="AF202" s="52"/>
      <c r="AG202" s="1371"/>
      <c r="AH202" s="1371"/>
      <c r="AI202" s="1371"/>
      <c r="AJ202" s="1371"/>
      <c r="AK202" s="52"/>
    </row>
    <row r="203" spans="1:37" x14ac:dyDescent="0.2">
      <c r="A203" s="52"/>
      <c r="B203" s="52"/>
      <c r="C203" s="1371"/>
      <c r="D203" s="1371"/>
      <c r="E203" s="1371"/>
      <c r="F203" s="1371"/>
      <c r="G203" s="1371"/>
      <c r="H203" s="1371"/>
      <c r="I203" s="1371"/>
      <c r="J203" s="1371"/>
      <c r="K203" s="1371"/>
      <c r="L203" s="1371"/>
      <c r="M203" s="1371"/>
      <c r="N203" s="1371"/>
      <c r="O203" s="1371"/>
      <c r="P203" s="1371"/>
      <c r="Q203" s="1371"/>
      <c r="R203" s="1371"/>
      <c r="S203" s="1371"/>
      <c r="T203" s="1371"/>
      <c r="U203" s="1371"/>
      <c r="V203" s="1371"/>
      <c r="W203" s="1371"/>
      <c r="X203" s="1371"/>
      <c r="Y203" s="1371"/>
      <c r="Z203" s="1371"/>
      <c r="AA203" s="1371"/>
      <c r="AB203" s="1371"/>
      <c r="AC203" s="1371"/>
      <c r="AD203" s="1371"/>
      <c r="AE203" s="1371"/>
      <c r="AF203" s="1371"/>
      <c r="AG203" s="1371"/>
      <c r="AH203" s="1371"/>
      <c r="AI203" s="1371"/>
      <c r="AJ203" s="1371"/>
      <c r="AK203" s="52"/>
    </row>
    <row r="204" spans="1:37" x14ac:dyDescent="0.2">
      <c r="A204" s="52"/>
      <c r="B204" s="52"/>
      <c r="C204" s="1371"/>
      <c r="D204" s="1371"/>
      <c r="E204" s="1371"/>
      <c r="F204" s="1371"/>
      <c r="G204" s="1371"/>
      <c r="H204" s="1371"/>
      <c r="I204" s="1371"/>
      <c r="J204" s="1371"/>
      <c r="K204" s="1371"/>
      <c r="L204" s="1371"/>
      <c r="M204" s="1371"/>
      <c r="N204" s="1371"/>
      <c r="O204" s="1371"/>
      <c r="P204" s="1371"/>
      <c r="Q204" s="1371"/>
      <c r="R204" s="1371"/>
      <c r="S204" s="1371"/>
      <c r="T204" s="1371"/>
      <c r="U204" s="1371"/>
      <c r="V204" s="1371"/>
      <c r="W204" s="1371"/>
      <c r="X204" s="1371"/>
      <c r="Y204" s="1371"/>
      <c r="Z204" s="1371"/>
      <c r="AA204" s="1371"/>
      <c r="AB204" s="1371"/>
      <c r="AC204" s="1371"/>
      <c r="AD204" s="1371"/>
      <c r="AE204" s="1371"/>
      <c r="AF204" s="1371"/>
      <c r="AG204" s="1371"/>
      <c r="AH204" s="1371"/>
      <c r="AI204" s="1371"/>
      <c r="AJ204" s="1371"/>
      <c r="AK204" s="52"/>
    </row>
    <row r="205" spans="1:37" x14ac:dyDescent="0.2"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</row>
    <row r="206" spans="1:37" x14ac:dyDescent="0.2"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</row>
    <row r="207" spans="1:37" x14ac:dyDescent="0.2"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</row>
    <row r="208" spans="1:37" x14ac:dyDescent="0.2"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</row>
    <row r="209" spans="3:36" x14ac:dyDescent="0.2"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</row>
    <row r="210" spans="3:36" x14ac:dyDescent="0.2">
      <c r="C210" s="82"/>
    </row>
  </sheetData>
  <customSheetViews>
    <customSheetView guid="{A374FC54-96E3-45F0-9C12-8450400C12DF}" scale="130" hiddenRows="1">
      <pane xSplit="1" ySplit="3" topLeftCell="B38" activePane="bottomRight" state="frozen"/>
      <selection pane="bottomRight" activeCell="G52" sqref="G52"/>
      <pageMargins left="0.62992125984252001" right="0.511811023622047" top="0.511811023622047" bottom="0.511811023622047" header="0" footer="0.143700787"/>
      <pageSetup paperSize="132" firstPageNumber="96" orientation="portrait" useFirstPageNumber="1" r:id="rId1"/>
      <headerFooter>
        <oddFooter>&amp;C&amp;"Times New Roman,Regular"&amp;8&amp;P</oddFooter>
      </headerFooter>
    </customSheetView>
  </customSheetViews>
  <mergeCells count="9">
    <mergeCell ref="C197:H197"/>
    <mergeCell ref="AJ2:AK2"/>
    <mergeCell ref="AI1:AK1"/>
    <mergeCell ref="A1:I1"/>
    <mergeCell ref="J1:O1"/>
    <mergeCell ref="Q1:S1"/>
    <mergeCell ref="R2:S2"/>
    <mergeCell ref="AC1:AG1"/>
    <mergeCell ref="T1:AB1"/>
  </mergeCells>
  <phoneticPr fontId="43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Y147"/>
  <sheetViews>
    <sheetView zoomScale="150" zoomScaleNormal="150" workbookViewId="0">
      <pane xSplit="1" ySplit="4" topLeftCell="C12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L1" sqref="L1:S1"/>
    </sheetView>
  </sheetViews>
  <sheetFormatPr defaultColWidth="9.140625" defaultRowHeight="11.25" x14ac:dyDescent="0.2"/>
  <cols>
    <col min="1" max="2" width="7.85546875" style="16" customWidth="1"/>
    <col min="3" max="3" width="8.5703125" style="8" customWidth="1"/>
    <col min="4" max="4" width="7.7109375" style="8" customWidth="1"/>
    <col min="5" max="5" width="7" style="8" customWidth="1"/>
    <col min="6" max="6" width="7.42578125" style="8" customWidth="1"/>
    <col min="7" max="7" width="5.85546875" style="8" customWidth="1"/>
    <col min="8" max="8" width="8.5703125" style="8" customWidth="1"/>
    <col min="9" max="9" width="9.28515625" style="8" customWidth="1"/>
    <col min="10" max="10" width="7.42578125" style="8" customWidth="1"/>
    <col min="11" max="11" width="8.7109375" style="8" customWidth="1"/>
    <col min="12" max="12" width="6.85546875" style="8" customWidth="1"/>
    <col min="13" max="13" width="6.42578125" style="8" customWidth="1"/>
    <col min="14" max="14" width="8.5703125" style="8" customWidth="1"/>
    <col min="15" max="15" width="7" style="8" customWidth="1"/>
    <col min="16" max="16" width="7.140625" style="8" customWidth="1"/>
    <col min="17" max="17" width="6.5703125" style="8" customWidth="1"/>
    <col min="18" max="18" width="7.42578125" style="8" customWidth="1"/>
    <col min="19" max="19" width="9" style="8" customWidth="1"/>
    <col min="20" max="20" width="6.140625" style="8" customWidth="1"/>
    <col min="21" max="22" width="6.7109375" style="8" customWidth="1"/>
    <col min="23" max="16384" width="9.140625" style="8"/>
  </cols>
  <sheetData>
    <row r="1" spans="1:23" s="21" customFormat="1" ht="20.45" customHeight="1" x14ac:dyDescent="0.25">
      <c r="A1" s="2886" t="s">
        <v>584</v>
      </c>
      <c r="B1" s="2886"/>
      <c r="C1" s="2886"/>
      <c r="D1" s="2886"/>
      <c r="E1" s="2886"/>
      <c r="F1" s="2886"/>
      <c r="G1" s="2886"/>
      <c r="H1" s="2886"/>
      <c r="I1" s="2886"/>
      <c r="J1" s="2886"/>
      <c r="K1" s="2886"/>
      <c r="L1" s="2632" t="s">
        <v>308</v>
      </c>
      <c r="M1" s="2887"/>
      <c r="N1" s="2887"/>
      <c r="O1" s="2887"/>
      <c r="P1" s="2887"/>
      <c r="Q1" s="2887"/>
      <c r="R1" s="2887"/>
      <c r="S1" s="2887"/>
      <c r="T1" s="2639" t="s">
        <v>1077</v>
      </c>
      <c r="U1" s="2639"/>
      <c r="V1" s="2639"/>
    </row>
    <row r="2" spans="1:23" s="106" customFormat="1" ht="30" customHeight="1" x14ac:dyDescent="0.2">
      <c r="A2" s="836" t="s">
        <v>573</v>
      </c>
      <c r="B2" s="1749"/>
      <c r="C2" s="836" t="s">
        <v>311</v>
      </c>
      <c r="D2" s="184" t="s">
        <v>767</v>
      </c>
      <c r="E2" s="836" t="s">
        <v>1053</v>
      </c>
      <c r="F2" s="2889" t="s">
        <v>982</v>
      </c>
      <c r="G2" s="2890"/>
      <c r="H2" s="836" t="s">
        <v>310</v>
      </c>
      <c r="I2" s="836" t="s">
        <v>986</v>
      </c>
      <c r="J2" s="840" t="s">
        <v>979</v>
      </c>
      <c r="K2" s="836" t="s">
        <v>985</v>
      </c>
      <c r="L2" s="836" t="s">
        <v>981</v>
      </c>
      <c r="M2" s="2892" t="s">
        <v>1198</v>
      </c>
      <c r="N2" s="2893"/>
      <c r="O2" s="2894"/>
      <c r="P2" s="2889" t="s">
        <v>1197</v>
      </c>
      <c r="Q2" s="2890"/>
      <c r="R2" s="836" t="s">
        <v>743</v>
      </c>
      <c r="S2" s="836" t="s">
        <v>238</v>
      </c>
      <c r="T2" s="2888" t="s">
        <v>980</v>
      </c>
      <c r="U2" s="2888"/>
      <c r="V2" s="2888"/>
      <c r="W2" s="120"/>
    </row>
    <row r="3" spans="1:23" s="568" customFormat="1" ht="35.1" customHeight="1" x14ac:dyDescent="0.2">
      <c r="A3" s="565" t="s">
        <v>574</v>
      </c>
      <c r="B3" s="565"/>
      <c r="C3" s="565" t="s">
        <v>575</v>
      </c>
      <c r="D3" s="565" t="s">
        <v>528</v>
      </c>
      <c r="E3" s="571" t="s">
        <v>1054</v>
      </c>
      <c r="F3" s="565" t="s">
        <v>585</v>
      </c>
      <c r="G3" s="565" t="s">
        <v>586</v>
      </c>
      <c r="H3" s="565" t="s">
        <v>326</v>
      </c>
      <c r="I3" s="565" t="s">
        <v>587</v>
      </c>
      <c r="J3" s="572" t="s">
        <v>529</v>
      </c>
      <c r="K3" s="566" t="s">
        <v>597</v>
      </c>
      <c r="L3" s="566" t="s">
        <v>598</v>
      </c>
      <c r="M3" s="566" t="s">
        <v>599</v>
      </c>
      <c r="N3" s="566" t="s">
        <v>1196</v>
      </c>
      <c r="O3" s="566" t="s">
        <v>530</v>
      </c>
      <c r="P3" s="566" t="s">
        <v>588</v>
      </c>
      <c r="Q3" s="566" t="s">
        <v>506</v>
      </c>
      <c r="R3" s="566" t="s">
        <v>41</v>
      </c>
      <c r="S3" s="566" t="s">
        <v>589</v>
      </c>
      <c r="T3" s="566" t="s">
        <v>600</v>
      </c>
      <c r="U3" s="566" t="s">
        <v>601</v>
      </c>
      <c r="V3" s="566" t="s">
        <v>602</v>
      </c>
      <c r="W3" s="567"/>
    </row>
    <row r="4" spans="1:23" s="106" customFormat="1" ht="11.1" customHeight="1" x14ac:dyDescent="0.2">
      <c r="A4" s="121" t="s">
        <v>3070</v>
      </c>
      <c r="B4" s="121" t="s">
        <v>3067</v>
      </c>
      <c r="C4" s="121">
        <v>1</v>
      </c>
      <c r="D4" s="121">
        <v>2</v>
      </c>
      <c r="E4" s="121">
        <v>3</v>
      </c>
      <c r="F4" s="121">
        <v>4</v>
      </c>
      <c r="G4" s="121">
        <v>5</v>
      </c>
      <c r="H4" s="121">
        <v>6</v>
      </c>
      <c r="I4" s="121">
        <v>7</v>
      </c>
      <c r="J4" s="121">
        <v>8</v>
      </c>
      <c r="K4" s="121">
        <v>9</v>
      </c>
      <c r="L4" s="121">
        <v>10</v>
      </c>
      <c r="M4" s="121">
        <v>11</v>
      </c>
      <c r="N4" s="121">
        <v>12</v>
      </c>
      <c r="O4" s="121">
        <v>13</v>
      </c>
      <c r="P4" s="121">
        <v>14</v>
      </c>
      <c r="Q4" s="121">
        <v>15</v>
      </c>
      <c r="R4" s="121">
        <v>16</v>
      </c>
      <c r="S4" s="121">
        <v>17</v>
      </c>
      <c r="T4" s="121">
        <v>18</v>
      </c>
      <c r="U4" s="121">
        <v>19</v>
      </c>
      <c r="V4" s="121">
        <v>20</v>
      </c>
      <c r="W4" s="122"/>
    </row>
    <row r="5" spans="1:23" s="154" customFormat="1" ht="11.45" customHeight="1" x14ac:dyDescent="0.2">
      <c r="A5" s="832">
        <v>2002</v>
      </c>
      <c r="B5" s="990"/>
      <c r="C5" s="14">
        <v>310.03500000000003</v>
      </c>
      <c r="D5" s="14">
        <v>27.06</v>
      </c>
      <c r="E5" s="14">
        <v>12.68</v>
      </c>
      <c r="F5" s="14">
        <v>23.734200000000001</v>
      </c>
      <c r="G5" s="14">
        <v>24.9983</v>
      </c>
      <c r="H5" s="14">
        <v>46.260800000000003</v>
      </c>
      <c r="I5" s="14">
        <v>133.06700000000001</v>
      </c>
      <c r="J5" s="14">
        <v>94.361699999999999</v>
      </c>
      <c r="K5" s="14">
        <v>191.827</v>
      </c>
      <c r="L5" s="14">
        <v>222.398</v>
      </c>
      <c r="M5" s="14">
        <v>152.78299999999999</v>
      </c>
      <c r="N5" s="14">
        <v>132.167</v>
      </c>
      <c r="O5" s="14">
        <v>121.22</v>
      </c>
      <c r="P5" s="14">
        <v>356.745</v>
      </c>
      <c r="Q5" s="14">
        <v>359.661</v>
      </c>
      <c r="R5" s="14">
        <v>183.917</v>
      </c>
      <c r="S5" s="14">
        <v>409.84199999999998</v>
      </c>
      <c r="T5" s="14">
        <v>24.978300000000001</v>
      </c>
      <c r="U5" s="14">
        <v>6.2366700000000002</v>
      </c>
      <c r="V5" s="14">
        <v>20.940799999999999</v>
      </c>
      <c r="W5" s="452"/>
    </row>
    <row r="6" spans="1:23" ht="11.45" customHeight="1" x14ac:dyDescent="0.2">
      <c r="A6" s="290">
        <v>2003</v>
      </c>
      <c r="B6" s="290"/>
      <c r="C6" s="300">
        <v>363.50900000000001</v>
      </c>
      <c r="D6" s="300">
        <v>27.9542</v>
      </c>
      <c r="E6" s="300">
        <v>13.82</v>
      </c>
      <c r="F6" s="300">
        <v>26.7333</v>
      </c>
      <c r="G6" s="300">
        <v>28.852499999999999</v>
      </c>
      <c r="H6" s="300">
        <v>63.4437</v>
      </c>
      <c r="I6" s="300">
        <v>149.333</v>
      </c>
      <c r="J6" s="300">
        <v>138.89599999999999</v>
      </c>
      <c r="K6" s="300">
        <v>199.46100000000001</v>
      </c>
      <c r="L6" s="300">
        <v>248.75399999999999</v>
      </c>
      <c r="M6" s="300">
        <v>165.548</v>
      </c>
      <c r="N6" s="300">
        <v>131.571</v>
      </c>
      <c r="O6" s="300">
        <v>152.44999999999999</v>
      </c>
      <c r="P6" s="300">
        <v>410.37299999999999</v>
      </c>
      <c r="Q6" s="300">
        <v>425.53800000000001</v>
      </c>
      <c r="R6" s="300">
        <v>214.65600000000001</v>
      </c>
      <c r="S6" s="300">
        <v>500.28300000000002</v>
      </c>
      <c r="T6" s="300">
        <v>27.1768</v>
      </c>
      <c r="U6" s="300">
        <v>6.9257099999999996</v>
      </c>
      <c r="V6" s="300">
        <v>21.4998</v>
      </c>
      <c r="W6" s="82"/>
    </row>
    <row r="7" spans="1:23" s="154" customFormat="1" ht="11.45" customHeight="1" x14ac:dyDescent="0.2">
      <c r="A7" s="832">
        <v>2004</v>
      </c>
      <c r="B7" s="990"/>
      <c r="C7" s="14">
        <v>409.21199999999999</v>
      </c>
      <c r="D7" s="14">
        <v>56.729900000000001</v>
      </c>
      <c r="E7" s="14">
        <v>16.39</v>
      </c>
      <c r="F7" s="14">
        <v>33.455800000000004</v>
      </c>
      <c r="G7" s="14">
        <v>38.297499999999999</v>
      </c>
      <c r="H7" s="14">
        <v>62.006</v>
      </c>
      <c r="I7" s="14">
        <v>186.31200000000001</v>
      </c>
      <c r="J7" s="14">
        <v>175.292</v>
      </c>
      <c r="K7" s="14">
        <v>245.78299999999999</v>
      </c>
      <c r="L7" s="14">
        <v>269.95499999999998</v>
      </c>
      <c r="M7" s="14">
        <v>167.05</v>
      </c>
      <c r="N7" s="14">
        <v>133.45599999999999</v>
      </c>
      <c r="O7" s="14">
        <v>139.5</v>
      </c>
      <c r="P7" s="14">
        <v>434.72300000000001</v>
      </c>
      <c r="Q7" s="14">
        <v>448.73899999999998</v>
      </c>
      <c r="R7" s="14">
        <v>257.20499999999998</v>
      </c>
      <c r="S7" s="14">
        <v>590.452</v>
      </c>
      <c r="T7" s="14">
        <v>30.459700000000002</v>
      </c>
      <c r="U7" s="14">
        <v>7.5450999999999997</v>
      </c>
      <c r="V7" s="14">
        <v>20.571100000000001</v>
      </c>
      <c r="W7" s="452"/>
    </row>
    <row r="8" spans="1:23" ht="11.45" customHeight="1" x14ac:dyDescent="0.2">
      <c r="A8" s="290">
        <v>2005</v>
      </c>
      <c r="B8" s="290"/>
      <c r="C8" s="300">
        <v>444.84300000000002</v>
      </c>
      <c r="D8" s="300">
        <v>51.022399999999998</v>
      </c>
      <c r="E8" s="300">
        <v>28.11</v>
      </c>
      <c r="F8" s="300">
        <v>49.201700000000002</v>
      </c>
      <c r="G8" s="300">
        <v>54.434199999999997</v>
      </c>
      <c r="H8" s="300">
        <v>55.168300000000002</v>
      </c>
      <c r="I8" s="300">
        <v>201.47900000000001</v>
      </c>
      <c r="J8" s="300">
        <v>219.01900000000001</v>
      </c>
      <c r="K8" s="300">
        <v>287.81099999999998</v>
      </c>
      <c r="L8" s="300">
        <v>308.45100000000002</v>
      </c>
      <c r="M8" s="300">
        <v>163.43100000000001</v>
      </c>
      <c r="N8" s="300">
        <v>129.886</v>
      </c>
      <c r="O8" s="300">
        <v>121.4</v>
      </c>
      <c r="P8" s="300">
        <v>367.68700000000001</v>
      </c>
      <c r="Q8" s="300">
        <v>390.75200000000001</v>
      </c>
      <c r="R8" s="300">
        <v>205.762</v>
      </c>
      <c r="S8" s="300">
        <v>495.74700000000001</v>
      </c>
      <c r="T8" s="300">
        <v>30.2624</v>
      </c>
      <c r="U8" s="300">
        <v>10.0702</v>
      </c>
      <c r="V8" s="300">
        <v>21.0684</v>
      </c>
      <c r="W8" s="82"/>
    </row>
    <row r="9" spans="1:23" s="154" customFormat="1" ht="11.45" customHeight="1" x14ac:dyDescent="0.2">
      <c r="A9" s="832">
        <v>2006</v>
      </c>
      <c r="B9" s="990"/>
      <c r="C9" s="14">
        <v>604.33600000000001</v>
      </c>
      <c r="D9" s="14">
        <v>52.595999999999997</v>
      </c>
      <c r="E9" s="14">
        <v>33.450000000000003</v>
      </c>
      <c r="F9" s="14">
        <v>61.431699999999999</v>
      </c>
      <c r="G9" s="14">
        <v>65.39</v>
      </c>
      <c r="H9" s="14">
        <v>58.052500000000002</v>
      </c>
      <c r="I9" s="14">
        <v>201.63300000000001</v>
      </c>
      <c r="J9" s="14">
        <v>222.95400000000001</v>
      </c>
      <c r="K9" s="14">
        <v>303.51499999999999</v>
      </c>
      <c r="L9" s="14">
        <v>345.83100000000002</v>
      </c>
      <c r="M9" s="14">
        <v>169.399</v>
      </c>
      <c r="N9" s="14">
        <v>168.566</v>
      </c>
      <c r="O9" s="14">
        <v>153.30000000000001</v>
      </c>
      <c r="P9" s="14">
        <v>416.81400000000002</v>
      </c>
      <c r="Q9" s="14">
        <v>425.46100000000001</v>
      </c>
      <c r="R9" s="14">
        <v>193.97499999999999</v>
      </c>
      <c r="S9" s="14">
        <v>551.49599999999998</v>
      </c>
      <c r="T9" s="14">
        <v>30.639700000000001</v>
      </c>
      <c r="U9" s="14">
        <v>14.788500000000001</v>
      </c>
      <c r="V9" s="14">
        <v>22.119499999999999</v>
      </c>
      <c r="W9" s="452"/>
    </row>
    <row r="10" spans="1:23" ht="11.45" customHeight="1" x14ac:dyDescent="0.2">
      <c r="A10" s="290">
        <v>2007</v>
      </c>
      <c r="B10" s="290"/>
      <c r="C10" s="300">
        <v>696.72</v>
      </c>
      <c r="D10" s="300">
        <v>70.428299999999993</v>
      </c>
      <c r="E10" s="300">
        <v>36.630000000000003</v>
      </c>
      <c r="F10" s="300">
        <v>68.368300000000005</v>
      </c>
      <c r="G10" s="300">
        <v>72.712500000000006</v>
      </c>
      <c r="H10" s="300">
        <v>63.283700000000003</v>
      </c>
      <c r="I10" s="300">
        <v>339.05399999999997</v>
      </c>
      <c r="J10" s="300">
        <v>309.39999999999998</v>
      </c>
      <c r="K10" s="300">
        <v>332.39299999999997</v>
      </c>
      <c r="L10" s="300">
        <v>375.70800000000003</v>
      </c>
      <c r="M10" s="300">
        <v>243.411</v>
      </c>
      <c r="N10" s="300">
        <v>226.88499999999999</v>
      </c>
      <c r="O10" s="300">
        <v>209.6</v>
      </c>
      <c r="P10" s="300">
        <v>719.12199999999996</v>
      </c>
      <c r="Q10" s="300">
        <v>694.65099999999995</v>
      </c>
      <c r="R10" s="300">
        <v>263.673</v>
      </c>
      <c r="S10" s="300">
        <v>799.74199999999996</v>
      </c>
      <c r="T10" s="300">
        <v>33.284399999999998</v>
      </c>
      <c r="U10" s="300">
        <v>9.9566400000000002</v>
      </c>
      <c r="V10" s="300">
        <v>20.763200000000001</v>
      </c>
      <c r="W10" s="82"/>
    </row>
    <row r="11" spans="1:23" s="154" customFormat="1" ht="11.45" customHeight="1" x14ac:dyDescent="0.2">
      <c r="A11" s="832">
        <v>2008</v>
      </c>
      <c r="B11" s="990"/>
      <c r="C11" s="14">
        <v>871.70699999999999</v>
      </c>
      <c r="D11" s="14">
        <v>136.18299999999999</v>
      </c>
      <c r="E11" s="14">
        <v>61.565199999999997</v>
      </c>
      <c r="F11" s="14">
        <v>93.776700000000005</v>
      </c>
      <c r="G11" s="14">
        <v>97.66</v>
      </c>
      <c r="H11" s="14">
        <v>71.399900000000002</v>
      </c>
      <c r="I11" s="14">
        <v>879.38099999999997</v>
      </c>
      <c r="J11" s="14">
        <v>492.72500000000002</v>
      </c>
      <c r="K11" s="14">
        <v>700.2</v>
      </c>
      <c r="L11" s="14">
        <v>597.11800000000005</v>
      </c>
      <c r="M11" s="14">
        <v>383.31099999999998</v>
      </c>
      <c r="N11" s="14">
        <v>286.952</v>
      </c>
      <c r="O11" s="14">
        <v>289.39999999999998</v>
      </c>
      <c r="P11" s="14">
        <v>862.91800000000001</v>
      </c>
      <c r="Q11" s="14">
        <v>924.9</v>
      </c>
      <c r="R11" s="14">
        <v>367.93799999999999</v>
      </c>
      <c r="S11" s="14">
        <v>1133.79</v>
      </c>
      <c r="T11" s="14">
        <v>30.816099999999999</v>
      </c>
      <c r="U11" s="14">
        <v>12.452199999999999</v>
      </c>
      <c r="V11" s="14">
        <v>21.323399999999999</v>
      </c>
      <c r="W11" s="452"/>
    </row>
    <row r="12" spans="1:23" s="17" customFormat="1" ht="11.45" customHeight="1" x14ac:dyDescent="0.2">
      <c r="A12" s="830">
        <v>2009</v>
      </c>
      <c r="B12" s="1745"/>
      <c r="C12" s="299">
        <v>972.96600000000001</v>
      </c>
      <c r="D12" s="299">
        <v>76.975899999999996</v>
      </c>
      <c r="E12" s="299">
        <v>79.993899999999996</v>
      </c>
      <c r="F12" s="299">
        <v>61.754899999999999</v>
      </c>
      <c r="G12" s="299">
        <v>61.860599999999998</v>
      </c>
      <c r="H12" s="299">
        <v>62.752000000000002</v>
      </c>
      <c r="I12" s="299">
        <v>257.41699999999997</v>
      </c>
      <c r="J12" s="299">
        <v>249.57400000000001</v>
      </c>
      <c r="K12" s="299">
        <v>589.37599999999998</v>
      </c>
      <c r="L12" s="299">
        <v>582.69000000000005</v>
      </c>
      <c r="M12" s="299">
        <v>246.96899999999999</v>
      </c>
      <c r="N12" s="299">
        <v>190.11199999999999</v>
      </c>
      <c r="O12" s="299">
        <v>200.2</v>
      </c>
      <c r="P12" s="299">
        <v>644.06799999999998</v>
      </c>
      <c r="Q12" s="299">
        <v>634.09199999999998</v>
      </c>
      <c r="R12" s="299">
        <v>359.27</v>
      </c>
      <c r="S12" s="299">
        <v>787.02</v>
      </c>
      <c r="T12" s="299">
        <v>26.014600000000002</v>
      </c>
      <c r="U12" s="299">
        <v>18.150400000000001</v>
      </c>
      <c r="V12" s="299">
        <v>24.335699999999999</v>
      </c>
      <c r="W12" s="206"/>
    </row>
    <row r="13" spans="1:23" s="154" customFormat="1" ht="11.45" customHeight="1" x14ac:dyDescent="0.2">
      <c r="A13" s="832">
        <v>2010</v>
      </c>
      <c r="B13" s="990"/>
      <c r="C13" s="25">
        <v>1224.6600000000001</v>
      </c>
      <c r="D13" s="25">
        <v>106.035</v>
      </c>
      <c r="E13" s="25">
        <v>146.72</v>
      </c>
      <c r="F13" s="25">
        <v>78.057900000000004</v>
      </c>
      <c r="G13" s="25">
        <v>79.631500000000003</v>
      </c>
      <c r="H13" s="25">
        <v>103.545</v>
      </c>
      <c r="I13" s="25">
        <v>381.89</v>
      </c>
      <c r="J13" s="25">
        <v>288.59199999999998</v>
      </c>
      <c r="K13" s="25">
        <v>520.55600000000004</v>
      </c>
      <c r="L13" s="25">
        <v>593.779</v>
      </c>
      <c r="M13" s="25">
        <v>241.82900000000001</v>
      </c>
      <c r="N13" s="25">
        <v>194.5</v>
      </c>
      <c r="O13" s="25">
        <v>233.5</v>
      </c>
      <c r="P13" s="25">
        <v>859.94200000000001</v>
      </c>
      <c r="Q13" s="25">
        <v>819.53099999999995</v>
      </c>
      <c r="R13" s="25">
        <v>331.31700000000001</v>
      </c>
      <c r="S13" s="25">
        <v>924.82799999999997</v>
      </c>
      <c r="T13" s="25">
        <v>25.712800000000001</v>
      </c>
      <c r="U13" s="25">
        <v>20.890899999999998</v>
      </c>
      <c r="V13" s="25">
        <v>31.051200000000001</v>
      </c>
      <c r="W13" s="227"/>
    </row>
    <row r="14" spans="1:23" s="154" customFormat="1" ht="11.45" customHeight="1" x14ac:dyDescent="0.2">
      <c r="A14" s="290">
        <v>2011</v>
      </c>
      <c r="B14" s="290"/>
      <c r="C14" s="281">
        <v>1569.21</v>
      </c>
      <c r="D14" s="281">
        <v>130.12299999999999</v>
      </c>
      <c r="E14" s="281">
        <v>167.79</v>
      </c>
      <c r="F14" s="281">
        <v>106.027</v>
      </c>
      <c r="G14" s="281">
        <v>110.952</v>
      </c>
      <c r="H14" s="281">
        <v>154.608</v>
      </c>
      <c r="I14" s="281">
        <v>538.26</v>
      </c>
      <c r="J14" s="281">
        <v>420.96</v>
      </c>
      <c r="K14" s="281">
        <v>551.71100000000001</v>
      </c>
      <c r="L14" s="281">
        <v>593.49199999999996</v>
      </c>
      <c r="M14" s="281">
        <v>317.43599999999998</v>
      </c>
      <c r="N14" s="281">
        <v>279.98899999999998</v>
      </c>
      <c r="O14" s="281">
        <v>304.8</v>
      </c>
      <c r="P14" s="281">
        <v>1076.5</v>
      </c>
      <c r="Q14" s="281">
        <v>1068.3699999999999</v>
      </c>
      <c r="R14" s="281">
        <v>378.86099999999999</v>
      </c>
      <c r="S14" s="281">
        <v>1215.82</v>
      </c>
      <c r="T14" s="281">
        <v>26.665199999999999</v>
      </c>
      <c r="U14" s="281">
        <v>26.235600000000002</v>
      </c>
      <c r="V14" s="281">
        <v>37.572499999999998</v>
      </c>
      <c r="W14" s="227"/>
    </row>
    <row r="15" spans="1:23" s="154" customFormat="1" ht="11.45" customHeight="1" x14ac:dyDescent="0.2">
      <c r="A15" s="832">
        <v>2012</v>
      </c>
      <c r="B15" s="990"/>
      <c r="C15" s="25">
        <v>1669.52</v>
      </c>
      <c r="D15" s="25">
        <v>103.247</v>
      </c>
      <c r="E15" s="25">
        <v>128.52600000000001</v>
      </c>
      <c r="F15" s="25">
        <v>108.919</v>
      </c>
      <c r="G15" s="25">
        <v>111.96</v>
      </c>
      <c r="H15" s="25">
        <v>89.241</v>
      </c>
      <c r="I15" s="25">
        <v>462</v>
      </c>
      <c r="J15" s="25">
        <v>405.40199999999999</v>
      </c>
      <c r="K15" s="25">
        <v>580.23599999999999</v>
      </c>
      <c r="L15" s="25">
        <v>683.029</v>
      </c>
      <c r="M15" s="25">
        <v>287.19799999999998</v>
      </c>
      <c r="N15" s="25">
        <v>276.12200000000001</v>
      </c>
      <c r="O15" s="25">
        <v>248.5</v>
      </c>
      <c r="P15" s="25">
        <v>939.83399999999995</v>
      </c>
      <c r="Q15" s="25">
        <v>960.327</v>
      </c>
      <c r="R15" s="25">
        <v>473.28399999999999</v>
      </c>
      <c r="S15" s="25">
        <v>1151.75</v>
      </c>
      <c r="T15" s="25">
        <v>26.360900000000001</v>
      </c>
      <c r="U15" s="25">
        <v>21.374500000000001</v>
      </c>
      <c r="V15" s="25">
        <v>28.895399999999999</v>
      </c>
      <c r="W15" s="227"/>
    </row>
    <row r="16" spans="1:23" s="153" customFormat="1" ht="11.45" customHeight="1" x14ac:dyDescent="0.2">
      <c r="A16" s="290">
        <v>2013</v>
      </c>
      <c r="B16" s="290"/>
      <c r="C16" s="281">
        <v>1411.46</v>
      </c>
      <c r="D16" s="281">
        <v>90.6023</v>
      </c>
      <c r="E16" s="281">
        <v>135.36099999999999</v>
      </c>
      <c r="F16" s="281">
        <v>105.43</v>
      </c>
      <c r="G16" s="281">
        <v>108.84399999999999</v>
      </c>
      <c r="H16" s="281">
        <v>90.400599999999997</v>
      </c>
      <c r="I16" s="281">
        <v>382.06299999999999</v>
      </c>
      <c r="J16" s="281">
        <v>340.12299999999999</v>
      </c>
      <c r="K16" s="281">
        <v>518.81200000000001</v>
      </c>
      <c r="L16" s="281">
        <v>658.726</v>
      </c>
      <c r="M16" s="281">
        <v>326.16699999999997</v>
      </c>
      <c r="N16" s="281">
        <v>265.75099999999998</v>
      </c>
      <c r="O16" s="281">
        <v>314</v>
      </c>
      <c r="P16" s="281">
        <v>764.197</v>
      </c>
      <c r="Q16" s="281">
        <v>743.37900000000002</v>
      </c>
      <c r="R16" s="281">
        <v>477.29899999999998</v>
      </c>
      <c r="S16" s="281">
        <v>1011.11</v>
      </c>
      <c r="T16" s="281">
        <v>26.011800000000001</v>
      </c>
      <c r="U16" s="281">
        <v>17.708500000000001</v>
      </c>
      <c r="V16" s="281">
        <v>21.214500000000001</v>
      </c>
      <c r="W16" s="227"/>
    </row>
    <row r="17" spans="1:23" s="178" customFormat="1" ht="11.45" customHeight="1" x14ac:dyDescent="0.15">
      <c r="A17" s="833">
        <v>2014</v>
      </c>
      <c r="B17" s="833"/>
      <c r="C17" s="136">
        <v>1265.58</v>
      </c>
      <c r="D17" s="136">
        <v>75.139300000000006</v>
      </c>
      <c r="E17" s="136">
        <v>96.841499999999996</v>
      </c>
      <c r="F17" s="136">
        <v>96.664100000000005</v>
      </c>
      <c r="G17" s="136">
        <v>98.943299999999994</v>
      </c>
      <c r="H17" s="136">
        <v>83.096699999999998</v>
      </c>
      <c r="I17" s="136">
        <v>388.34399999999999</v>
      </c>
      <c r="J17" s="136">
        <v>316.20999999999998</v>
      </c>
      <c r="K17" s="136" t="s">
        <v>288</v>
      </c>
      <c r="L17" s="136">
        <v>490.76400000000001</v>
      </c>
      <c r="M17" s="136">
        <v>291.87299999999999</v>
      </c>
      <c r="N17" s="136">
        <v>242.49600000000001</v>
      </c>
      <c r="O17" s="136">
        <v>324.02499999999998</v>
      </c>
      <c r="P17" s="136">
        <v>739.40800000000002</v>
      </c>
      <c r="Q17" s="136">
        <v>743.99199999999996</v>
      </c>
      <c r="R17" s="136">
        <v>466.96600000000001</v>
      </c>
      <c r="S17" s="136">
        <v>812.71</v>
      </c>
      <c r="T17" s="136">
        <v>27.394400000000001</v>
      </c>
      <c r="U17" s="136">
        <v>17.1264</v>
      </c>
      <c r="V17" s="136">
        <v>24.865400000000001</v>
      </c>
      <c r="W17" s="487"/>
    </row>
    <row r="18" spans="1:23" s="153" customFormat="1" ht="11.45" customHeight="1" x14ac:dyDescent="0.2">
      <c r="A18" s="733">
        <v>2015</v>
      </c>
      <c r="B18" s="1747"/>
      <c r="C18" s="284">
        <f>AVERAGE(C92:C103)</f>
        <v>1160.6633333333334</v>
      </c>
      <c r="D18" s="284">
        <f t="shared" ref="D18:V18" si="0">AVERAGE(D92:D103)</f>
        <v>61.618599999999994</v>
      </c>
      <c r="E18" s="284">
        <f t="shared" si="0"/>
        <v>55.209266666666657</v>
      </c>
      <c r="F18" s="284">
        <f t="shared" si="0"/>
        <v>51.232049999999994</v>
      </c>
      <c r="G18" s="284">
        <f t="shared" si="0"/>
        <v>52.399408333333348</v>
      </c>
      <c r="H18" s="284">
        <f t="shared" si="0"/>
        <v>70.417191666666668</v>
      </c>
      <c r="I18" s="284">
        <f t="shared" si="0"/>
        <v>385</v>
      </c>
      <c r="J18" s="284">
        <f t="shared" si="0"/>
        <v>272.91941666666668</v>
      </c>
      <c r="K18" s="284" t="s">
        <v>288</v>
      </c>
      <c r="L18" s="284">
        <f t="shared" si="0"/>
        <v>469.92883333333333</v>
      </c>
      <c r="M18" s="284" t="s">
        <v>288</v>
      </c>
      <c r="N18" s="284">
        <f t="shared" si="0"/>
        <v>185.60733333333334</v>
      </c>
      <c r="O18" s="284">
        <f t="shared" si="0"/>
        <v>236.21666666666667</v>
      </c>
      <c r="P18" s="284">
        <f t="shared" si="0"/>
        <v>565.09</v>
      </c>
      <c r="Q18" s="284">
        <f>AVERAGE(Q92:Q100)</f>
        <v>593.50144444444459</v>
      </c>
      <c r="R18" s="284">
        <f t="shared" si="0"/>
        <v>352.72174999999993</v>
      </c>
      <c r="S18" s="284">
        <f t="shared" si="0"/>
        <v>672.16466666666656</v>
      </c>
      <c r="T18" s="284">
        <f t="shared" si="0"/>
        <v>25.423941666666668</v>
      </c>
      <c r="U18" s="284">
        <f t="shared" si="0"/>
        <v>13.238658333333335</v>
      </c>
      <c r="V18" s="284">
        <f t="shared" si="0"/>
        <v>24.850825</v>
      </c>
      <c r="W18" s="227"/>
    </row>
    <row r="19" spans="1:23" s="153" customFormat="1" ht="11.45" customHeight="1" x14ac:dyDescent="0.2">
      <c r="A19" s="415">
        <v>2016</v>
      </c>
      <c r="B19" s="1746"/>
      <c r="C19" s="136">
        <f t="shared" ref="C19:J19" si="1">AVERAGE(C104:C115)</f>
        <v>1249.0091666666669</v>
      </c>
      <c r="D19" s="136">
        <f t="shared" si="1"/>
        <v>70.595974999999996</v>
      </c>
      <c r="E19" s="136">
        <f t="shared" si="1"/>
        <v>57.927608333333332</v>
      </c>
      <c r="F19" s="136">
        <f t="shared" si="1"/>
        <v>41.239341666666668</v>
      </c>
      <c r="G19" s="136">
        <f t="shared" si="1"/>
        <v>44.043283333333328</v>
      </c>
      <c r="H19" s="136">
        <f t="shared" si="1"/>
        <v>74.221424999999996</v>
      </c>
      <c r="I19" s="136">
        <f t="shared" si="1"/>
        <v>290.5</v>
      </c>
      <c r="J19" s="136">
        <f t="shared" si="1"/>
        <v>199.25</v>
      </c>
      <c r="K19" s="136" t="s">
        <v>288</v>
      </c>
      <c r="L19" s="136">
        <f>AVERAGE(L104:L115)</f>
        <v>447.19941666666676</v>
      </c>
      <c r="M19" s="136" t="s">
        <v>288</v>
      </c>
      <c r="N19" s="136">
        <f>AVERAGE(N104:N115)</f>
        <v>143.15049999999999</v>
      </c>
      <c r="O19" s="136" t="s">
        <v>288</v>
      </c>
      <c r="P19" s="136">
        <f t="shared" ref="P19:V19" si="2">AVERAGE(P104:P115)</f>
        <v>639.91374999999994</v>
      </c>
      <c r="Q19" s="136">
        <f t="shared" si="2"/>
        <v>678.02857142857158</v>
      </c>
      <c r="R19" s="136">
        <f t="shared" si="2"/>
        <v>350.16058333333331</v>
      </c>
      <c r="S19" s="136">
        <f t="shared" si="2"/>
        <v>721.16600000000005</v>
      </c>
      <c r="T19" s="136">
        <f t="shared" si="2"/>
        <v>22.537283333333335</v>
      </c>
      <c r="U19" s="136">
        <f t="shared" si="2"/>
        <v>18.252850000000002</v>
      </c>
      <c r="V19" s="136">
        <f t="shared" si="2"/>
        <v>27.479150000000004</v>
      </c>
      <c r="W19" s="227"/>
    </row>
    <row r="20" spans="1:23" s="153" customFormat="1" ht="11.45" customHeight="1" x14ac:dyDescent="0.2">
      <c r="A20" s="1752"/>
      <c r="B20" s="1752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27"/>
    </row>
    <row r="21" spans="1:23" s="153" customFormat="1" ht="11.45" customHeight="1" x14ac:dyDescent="0.2">
      <c r="A21" s="1752"/>
      <c r="B21" s="1752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27"/>
    </row>
    <row r="22" spans="1:23" s="153" customFormat="1" ht="11.45" customHeight="1" x14ac:dyDescent="0.2">
      <c r="A22" s="1752"/>
      <c r="B22" s="1892"/>
      <c r="C22" s="284"/>
      <c r="D22" s="284"/>
      <c r="E22" s="284"/>
      <c r="F22" s="284"/>
      <c r="G22" s="284"/>
      <c r="H22" s="284"/>
      <c r="I22" s="284"/>
      <c r="J22" s="284"/>
      <c r="K22" s="284"/>
      <c r="L22" s="284"/>
      <c r="M22" s="284"/>
      <c r="N22" s="284"/>
      <c r="O22" s="284"/>
      <c r="P22" s="284"/>
      <c r="Q22" s="284"/>
      <c r="R22" s="284"/>
      <c r="S22" s="284"/>
      <c r="T22" s="284"/>
      <c r="U22" s="284"/>
      <c r="V22" s="284"/>
      <c r="W22" s="227"/>
    </row>
    <row r="23" spans="1:23" s="153" customFormat="1" ht="11.45" customHeight="1" x14ac:dyDescent="0.2">
      <c r="A23" s="1833"/>
      <c r="B23" s="1892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284"/>
      <c r="O23" s="284"/>
      <c r="P23" s="284"/>
      <c r="Q23" s="284"/>
      <c r="R23" s="284"/>
      <c r="S23" s="284"/>
      <c r="T23" s="284"/>
      <c r="U23" s="284"/>
      <c r="V23" s="284"/>
      <c r="W23" s="227"/>
    </row>
    <row r="24" spans="1:23" s="153" customFormat="1" ht="11.45" customHeight="1" x14ac:dyDescent="0.2">
      <c r="A24" s="1833"/>
      <c r="B24" s="1892"/>
      <c r="C24" s="284"/>
      <c r="D24" s="284"/>
      <c r="E24" s="284"/>
      <c r="F24" s="284"/>
      <c r="G24" s="284"/>
      <c r="H24" s="284"/>
      <c r="I24" s="284"/>
      <c r="J24" s="284"/>
      <c r="K24" s="284"/>
      <c r="L24" s="284"/>
      <c r="M24" s="284"/>
      <c r="N24" s="284"/>
      <c r="O24" s="284"/>
      <c r="P24" s="284"/>
      <c r="Q24" s="284"/>
      <c r="R24" s="284"/>
      <c r="S24" s="284"/>
      <c r="T24" s="284"/>
      <c r="U24" s="284"/>
      <c r="V24" s="284"/>
      <c r="W24" s="227"/>
    </row>
    <row r="25" spans="1:23" s="153" customFormat="1" ht="11.45" customHeight="1" x14ac:dyDescent="0.2">
      <c r="A25" s="1833"/>
      <c r="B25" s="1892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4"/>
      <c r="Q25" s="284"/>
      <c r="R25" s="284"/>
      <c r="S25" s="284"/>
      <c r="T25" s="284"/>
      <c r="U25" s="284"/>
      <c r="V25" s="284"/>
      <c r="W25" s="227"/>
    </row>
    <row r="26" spans="1:23" s="153" customFormat="1" ht="11.45" customHeight="1" x14ac:dyDescent="0.2">
      <c r="A26" s="1833"/>
      <c r="B26" s="1892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4"/>
      <c r="T26" s="284"/>
      <c r="U26" s="284"/>
      <c r="V26" s="284"/>
      <c r="W26" s="227"/>
    </row>
    <row r="27" spans="1:23" s="153" customFormat="1" ht="11.45" customHeight="1" x14ac:dyDescent="0.2">
      <c r="A27" s="1833"/>
      <c r="B27" s="1892"/>
      <c r="C27" s="284"/>
      <c r="D27" s="284"/>
      <c r="E27" s="284"/>
      <c r="F27" s="284"/>
      <c r="G27" s="284"/>
      <c r="H27" s="284"/>
      <c r="I27" s="284"/>
      <c r="J27" s="284"/>
      <c r="K27" s="284"/>
      <c r="L27" s="284"/>
      <c r="M27" s="284"/>
      <c r="N27" s="284"/>
      <c r="O27" s="284"/>
      <c r="P27" s="284"/>
      <c r="Q27" s="284"/>
      <c r="R27" s="284"/>
      <c r="S27" s="284"/>
      <c r="T27" s="284"/>
      <c r="U27" s="284"/>
      <c r="V27" s="284"/>
      <c r="W27" s="227"/>
    </row>
    <row r="28" spans="1:23" s="153" customFormat="1" ht="11.45" customHeight="1" x14ac:dyDescent="0.2">
      <c r="A28" s="1833"/>
      <c r="B28" s="1892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227"/>
    </row>
    <row r="29" spans="1:23" s="153" customFormat="1" ht="11.45" customHeight="1" x14ac:dyDescent="0.2">
      <c r="A29" s="1833"/>
      <c r="B29" s="1892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227"/>
    </row>
    <row r="30" spans="1:23" s="153" customFormat="1" ht="11.45" customHeight="1" x14ac:dyDescent="0.2">
      <c r="A30" s="1833"/>
      <c r="B30" s="1892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27"/>
    </row>
    <row r="31" spans="1:23" s="153" customFormat="1" ht="11.45" customHeight="1" x14ac:dyDescent="0.2">
      <c r="A31" s="1833"/>
      <c r="B31" s="1892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27"/>
    </row>
    <row r="32" spans="1:23" s="153" customFormat="1" ht="11.45" customHeight="1" x14ac:dyDescent="0.2">
      <c r="A32" s="1833">
        <v>2010</v>
      </c>
      <c r="B32" s="1830" t="s">
        <v>556</v>
      </c>
      <c r="C32" s="15">
        <v>1118</v>
      </c>
      <c r="D32" s="15">
        <v>103.9</v>
      </c>
      <c r="E32" s="15">
        <v>101</v>
      </c>
      <c r="F32" s="15">
        <v>76.599999999999994</v>
      </c>
      <c r="G32" s="15">
        <v>76.400000000000006</v>
      </c>
      <c r="H32" s="15">
        <v>77.400000000000006</v>
      </c>
      <c r="I32" s="15">
        <v>296.3</v>
      </c>
      <c r="J32" s="15">
        <v>275.8</v>
      </c>
      <c r="K32" s="15">
        <v>598</v>
      </c>
      <c r="L32" s="15">
        <v>627.29999999999995</v>
      </c>
      <c r="M32" s="15" t="s">
        <v>288</v>
      </c>
      <c r="N32" s="15">
        <v>201.2</v>
      </c>
      <c r="O32" s="15">
        <v>216</v>
      </c>
      <c r="P32" s="15">
        <v>742</v>
      </c>
      <c r="Q32" s="15">
        <v>742.2</v>
      </c>
      <c r="R32" s="15">
        <v>359</v>
      </c>
      <c r="S32" s="15">
        <v>838.4</v>
      </c>
      <c r="T32" s="15">
        <v>26.8</v>
      </c>
      <c r="U32" s="15">
        <v>28.4</v>
      </c>
      <c r="V32" s="15">
        <v>33.4</v>
      </c>
      <c r="W32" s="227"/>
    </row>
    <row r="33" spans="1:23" s="153" customFormat="1" ht="11.45" customHeight="1" x14ac:dyDescent="0.2">
      <c r="A33" s="1833">
        <v>2010</v>
      </c>
      <c r="B33" s="290" t="s">
        <v>557</v>
      </c>
      <c r="C33" s="281">
        <v>1095.4000000000001</v>
      </c>
      <c r="D33" s="281">
        <v>100.92</v>
      </c>
      <c r="E33" s="281">
        <v>101</v>
      </c>
      <c r="F33" s="281">
        <v>73.599999999999994</v>
      </c>
      <c r="G33" s="281">
        <v>74.3</v>
      </c>
      <c r="H33" s="281">
        <v>80.099999999999994</v>
      </c>
      <c r="I33" s="281">
        <v>300</v>
      </c>
      <c r="J33" s="281">
        <v>288.60000000000002</v>
      </c>
      <c r="K33" s="281">
        <v>584.75</v>
      </c>
      <c r="L33" s="281">
        <v>619.20000000000005</v>
      </c>
      <c r="M33" s="281" t="s">
        <v>288</v>
      </c>
      <c r="N33" s="281">
        <v>194.37</v>
      </c>
      <c r="O33" s="281">
        <v>219</v>
      </c>
      <c r="P33" s="281">
        <v>754.32</v>
      </c>
      <c r="Q33" s="281">
        <v>664.5</v>
      </c>
      <c r="R33" s="281">
        <v>345</v>
      </c>
      <c r="S33" s="281">
        <v>840.4</v>
      </c>
      <c r="T33" s="281">
        <v>25.9</v>
      </c>
      <c r="U33" s="281">
        <v>26</v>
      </c>
      <c r="V33" s="281">
        <v>35</v>
      </c>
      <c r="W33" s="227"/>
    </row>
    <row r="34" spans="1:23" s="153" customFormat="1" ht="11.45" customHeight="1" x14ac:dyDescent="0.2">
      <c r="A34" s="1833">
        <v>2010</v>
      </c>
      <c r="B34" s="1830" t="s">
        <v>549</v>
      </c>
      <c r="C34" s="15">
        <v>1113.3</v>
      </c>
      <c r="D34" s="15">
        <v>101.1</v>
      </c>
      <c r="E34" s="15">
        <v>101</v>
      </c>
      <c r="F34" s="15">
        <v>77.400000000000006</v>
      </c>
      <c r="G34" s="15">
        <v>79.3</v>
      </c>
      <c r="H34" s="15">
        <v>85.8</v>
      </c>
      <c r="I34" s="15">
        <v>354.4</v>
      </c>
      <c r="J34" s="15">
        <v>278.8</v>
      </c>
      <c r="K34" s="15">
        <v>544.4</v>
      </c>
      <c r="L34" s="15">
        <v>620</v>
      </c>
      <c r="M34" s="15" t="s">
        <v>288</v>
      </c>
      <c r="N34" s="15">
        <v>191.1</v>
      </c>
      <c r="O34" s="15">
        <v>219</v>
      </c>
      <c r="P34" s="15">
        <v>793.9</v>
      </c>
      <c r="Q34" s="15">
        <v>748.7</v>
      </c>
      <c r="R34" s="15">
        <v>349</v>
      </c>
      <c r="S34" s="15">
        <v>869.3</v>
      </c>
      <c r="T34" s="15">
        <v>25</v>
      </c>
      <c r="U34" s="15">
        <v>19.3</v>
      </c>
      <c r="V34" s="15">
        <v>31.9</v>
      </c>
      <c r="W34" s="227"/>
    </row>
    <row r="35" spans="1:23" s="153" customFormat="1" ht="11.45" customHeight="1" x14ac:dyDescent="0.2">
      <c r="A35" s="1833">
        <v>2010</v>
      </c>
      <c r="B35" s="290" t="s">
        <v>558</v>
      </c>
      <c r="C35" s="281">
        <v>1148.7</v>
      </c>
      <c r="D35" s="281">
        <v>107.3</v>
      </c>
      <c r="E35" s="281">
        <v>167</v>
      </c>
      <c r="F35" s="281">
        <v>83.1</v>
      </c>
      <c r="G35" s="281">
        <v>85</v>
      </c>
      <c r="H35" s="281">
        <v>88.1</v>
      </c>
      <c r="I35" s="281">
        <v>372.5</v>
      </c>
      <c r="J35" s="281">
        <v>252.7</v>
      </c>
      <c r="K35" s="281">
        <v>504.8</v>
      </c>
      <c r="L35" s="281">
        <v>609.70000000000005</v>
      </c>
      <c r="M35" s="281" t="s">
        <v>288</v>
      </c>
      <c r="N35" s="281">
        <v>192.9</v>
      </c>
      <c r="O35" s="281">
        <v>225.4</v>
      </c>
      <c r="P35" s="281">
        <v>798.5</v>
      </c>
      <c r="Q35" s="281">
        <v>791.2</v>
      </c>
      <c r="R35" s="281">
        <v>358</v>
      </c>
      <c r="S35" s="281">
        <v>868</v>
      </c>
      <c r="T35" s="281">
        <v>25.4</v>
      </c>
      <c r="U35" s="281">
        <v>16.3</v>
      </c>
      <c r="V35" s="281">
        <v>28.7</v>
      </c>
      <c r="W35" s="227"/>
    </row>
    <row r="36" spans="1:23" s="153" customFormat="1" ht="11.45" customHeight="1" x14ac:dyDescent="0.2">
      <c r="A36" s="1833">
        <v>2010</v>
      </c>
      <c r="B36" s="1830" t="s">
        <v>559</v>
      </c>
      <c r="C36" s="15">
        <v>1205.4000000000001</v>
      </c>
      <c r="D36" s="15">
        <v>107.3</v>
      </c>
      <c r="E36" s="15">
        <v>167</v>
      </c>
      <c r="F36" s="15">
        <v>76.900000000000006</v>
      </c>
      <c r="G36" s="15">
        <v>76.3</v>
      </c>
      <c r="H36" s="15">
        <v>90.1</v>
      </c>
      <c r="I36" s="15">
        <v>352.8</v>
      </c>
      <c r="J36" s="15">
        <v>229.6</v>
      </c>
      <c r="K36" s="15">
        <v>472.5</v>
      </c>
      <c r="L36" s="15">
        <v>552</v>
      </c>
      <c r="M36" s="15" t="s">
        <v>288</v>
      </c>
      <c r="N36" s="15">
        <v>181.9</v>
      </c>
      <c r="O36" s="15">
        <v>218.1</v>
      </c>
      <c r="P36" s="15">
        <v>775.9</v>
      </c>
      <c r="Q36" s="15">
        <v>785.9</v>
      </c>
      <c r="R36" s="15">
        <v>349</v>
      </c>
      <c r="S36" s="15">
        <v>832.7</v>
      </c>
      <c r="T36" s="15">
        <v>24.4</v>
      </c>
      <c r="U36" s="15">
        <v>14.6</v>
      </c>
      <c r="V36" s="15">
        <v>25.3</v>
      </c>
      <c r="W36" s="227"/>
    </row>
    <row r="37" spans="1:23" s="153" customFormat="1" ht="11.45" customHeight="1" x14ac:dyDescent="0.2">
      <c r="A37" s="1833">
        <v>2010</v>
      </c>
      <c r="B37" s="290" t="s">
        <v>550</v>
      </c>
      <c r="C37" s="281">
        <v>1232.9000000000001</v>
      </c>
      <c r="D37" s="281">
        <v>105.2</v>
      </c>
      <c r="E37" s="281">
        <v>167</v>
      </c>
      <c r="F37" s="281">
        <v>74</v>
      </c>
      <c r="G37" s="281">
        <v>74.8</v>
      </c>
      <c r="H37" s="281">
        <v>91.7</v>
      </c>
      <c r="I37" s="281">
        <v>346.8</v>
      </c>
      <c r="J37" s="281">
        <v>229.3</v>
      </c>
      <c r="K37" s="281">
        <v>458.6</v>
      </c>
      <c r="L37" s="281">
        <v>559.70000000000005</v>
      </c>
      <c r="M37" s="281" t="s">
        <v>288</v>
      </c>
      <c r="N37" s="281">
        <v>157.80000000000001</v>
      </c>
      <c r="O37" s="281">
        <v>221.3</v>
      </c>
      <c r="P37" s="281">
        <v>764.9</v>
      </c>
      <c r="Q37" s="281">
        <v>783.6</v>
      </c>
      <c r="R37" s="281">
        <v>349</v>
      </c>
      <c r="S37" s="281">
        <v>821</v>
      </c>
      <c r="T37" s="281">
        <v>24.7</v>
      </c>
      <c r="U37" s="281">
        <v>15.4</v>
      </c>
      <c r="V37" s="281">
        <v>27.6</v>
      </c>
      <c r="W37" s="227"/>
    </row>
    <row r="38" spans="1:23" s="153" customFormat="1" ht="11.45" customHeight="1" x14ac:dyDescent="0.2">
      <c r="A38" s="1833">
        <v>2010</v>
      </c>
      <c r="B38" s="1830" t="s">
        <v>552</v>
      </c>
      <c r="C38" s="15">
        <v>1193</v>
      </c>
      <c r="D38" s="15">
        <v>102.8</v>
      </c>
      <c r="E38" s="15">
        <v>205</v>
      </c>
      <c r="F38" s="15">
        <v>72.7</v>
      </c>
      <c r="G38" s="15">
        <v>74.7</v>
      </c>
      <c r="H38" s="15">
        <v>84.1</v>
      </c>
      <c r="I38" s="15">
        <v>360</v>
      </c>
      <c r="J38" s="15">
        <v>249.5</v>
      </c>
      <c r="K38" s="15">
        <v>470.7</v>
      </c>
      <c r="L38" s="15">
        <v>569.20000000000005</v>
      </c>
      <c r="M38" s="15" t="s">
        <v>288</v>
      </c>
      <c r="N38" s="15">
        <v>196.1</v>
      </c>
      <c r="O38" s="15">
        <v>223.4</v>
      </c>
      <c r="P38" s="15">
        <v>774.5</v>
      </c>
      <c r="Q38" s="15">
        <v>795.4</v>
      </c>
      <c r="R38" s="15">
        <v>371</v>
      </c>
      <c r="S38" s="15">
        <v>836.8</v>
      </c>
      <c r="T38" s="15">
        <v>25.4</v>
      </c>
      <c r="U38" s="15">
        <v>17.600000000000001</v>
      </c>
      <c r="V38" s="15">
        <v>29.2</v>
      </c>
      <c r="W38" s="227"/>
    </row>
    <row r="39" spans="1:23" s="153" customFormat="1" ht="11.45" customHeight="1" x14ac:dyDescent="0.2">
      <c r="A39" s="1833">
        <v>2010</v>
      </c>
      <c r="B39" s="290" t="s">
        <v>553</v>
      </c>
      <c r="C39" s="281">
        <v>1215.8</v>
      </c>
      <c r="D39" s="281">
        <v>96.2</v>
      </c>
      <c r="E39" s="281">
        <v>212</v>
      </c>
      <c r="F39" s="281">
        <v>74.2</v>
      </c>
      <c r="G39" s="281">
        <v>76.7</v>
      </c>
      <c r="H39" s="281">
        <v>90.4</v>
      </c>
      <c r="I39" s="281">
        <v>380.8</v>
      </c>
      <c r="J39" s="281">
        <v>273</v>
      </c>
      <c r="K39" s="281">
        <v>486.9</v>
      </c>
      <c r="L39" s="281">
        <v>570.79999999999995</v>
      </c>
      <c r="M39" s="281" t="s">
        <v>288</v>
      </c>
      <c r="N39" s="281">
        <v>246.4</v>
      </c>
      <c r="O39" s="281">
        <v>220.8</v>
      </c>
      <c r="P39" s="281">
        <v>865.2</v>
      </c>
      <c r="Q39" s="281">
        <v>814</v>
      </c>
      <c r="R39" s="281">
        <v>379</v>
      </c>
      <c r="S39" s="281">
        <v>895.6</v>
      </c>
      <c r="T39" s="281">
        <v>26</v>
      </c>
      <c r="U39" s="281">
        <v>18.600000000000001</v>
      </c>
      <c r="V39" s="281">
        <v>31</v>
      </c>
      <c r="W39" s="227"/>
    </row>
    <row r="40" spans="1:23" s="153" customFormat="1" ht="11.45" customHeight="1" x14ac:dyDescent="0.2">
      <c r="A40" s="1833">
        <v>2010</v>
      </c>
      <c r="B40" s="1830" t="s">
        <v>547</v>
      </c>
      <c r="C40" s="15">
        <v>1271</v>
      </c>
      <c r="D40" s="15">
        <v>101.7</v>
      </c>
      <c r="E40" s="15">
        <v>212</v>
      </c>
      <c r="F40" s="15">
        <v>75.3</v>
      </c>
      <c r="G40" s="15">
        <v>77.8</v>
      </c>
      <c r="H40" s="15">
        <v>104.7</v>
      </c>
      <c r="I40" s="15">
        <v>428</v>
      </c>
      <c r="J40" s="15">
        <v>315</v>
      </c>
      <c r="K40" s="15">
        <v>520</v>
      </c>
      <c r="L40" s="15">
        <v>559.20000000000005</v>
      </c>
      <c r="M40" s="15" t="s">
        <v>288</v>
      </c>
      <c r="N40" s="15">
        <v>271.7</v>
      </c>
      <c r="O40" s="15">
        <v>225.9</v>
      </c>
      <c r="P40" s="15">
        <v>880.5</v>
      </c>
      <c r="Q40" s="15">
        <v>846.3</v>
      </c>
      <c r="R40" s="15">
        <v>390</v>
      </c>
      <c r="S40" s="15">
        <v>929.6</v>
      </c>
      <c r="T40" s="15">
        <v>25.9</v>
      </c>
      <c r="U40" s="15">
        <v>22.7</v>
      </c>
      <c r="V40" s="15">
        <v>35.200000000000003</v>
      </c>
      <c r="W40" s="227"/>
    </row>
    <row r="41" spans="1:23" s="153" customFormat="1" ht="11.45" customHeight="1" x14ac:dyDescent="0.2">
      <c r="A41" s="1833">
        <v>2010</v>
      </c>
      <c r="B41" s="290" t="s">
        <v>554</v>
      </c>
      <c r="C41" s="281">
        <v>1342</v>
      </c>
      <c r="D41" s="281">
        <v>104.4</v>
      </c>
      <c r="E41" s="281">
        <v>182</v>
      </c>
      <c r="F41" s="281">
        <v>80.3</v>
      </c>
      <c r="G41" s="281">
        <v>82.9</v>
      </c>
      <c r="H41" s="281">
        <v>126.6</v>
      </c>
      <c r="I41" s="281">
        <v>455</v>
      </c>
      <c r="J41" s="281">
        <v>329.4</v>
      </c>
      <c r="K41" s="281">
        <v>533.1</v>
      </c>
      <c r="L41" s="281">
        <v>589.70000000000005</v>
      </c>
      <c r="M41" s="281" t="s">
        <v>288</v>
      </c>
      <c r="N41" s="281">
        <v>270.2</v>
      </c>
      <c r="O41" s="281" t="s">
        <v>288</v>
      </c>
      <c r="P41" s="281">
        <v>935.2</v>
      </c>
      <c r="Q41" s="281" t="s">
        <v>288</v>
      </c>
      <c r="R41" s="281">
        <v>427</v>
      </c>
      <c r="S41" s="281">
        <v>1034.8</v>
      </c>
      <c r="T41" s="281">
        <v>26.4</v>
      </c>
      <c r="U41" s="281">
        <v>26.9</v>
      </c>
      <c r="V41" s="281">
        <v>34.700000000000003</v>
      </c>
      <c r="W41" s="227"/>
    </row>
    <row r="42" spans="1:23" s="153" customFormat="1" ht="11.45" customHeight="1" x14ac:dyDescent="0.2">
      <c r="A42" s="1833">
        <v>2010</v>
      </c>
      <c r="B42" s="1830" t="s">
        <v>555</v>
      </c>
      <c r="C42" s="15">
        <v>1369.9</v>
      </c>
      <c r="D42" s="15">
        <v>114.8</v>
      </c>
      <c r="E42" s="15">
        <v>182</v>
      </c>
      <c r="F42" s="15">
        <v>83.7</v>
      </c>
      <c r="G42" s="15">
        <v>85.7</v>
      </c>
      <c r="H42" s="15">
        <v>155.5</v>
      </c>
      <c r="I42" s="15">
        <v>463.8</v>
      </c>
      <c r="J42" s="15">
        <v>366.4</v>
      </c>
      <c r="K42" s="15">
        <v>543.1</v>
      </c>
      <c r="L42" s="15">
        <v>667.3</v>
      </c>
      <c r="M42" s="15" t="s">
        <v>288</v>
      </c>
      <c r="N42" s="15">
        <v>274.10000000000002</v>
      </c>
      <c r="O42" s="15" t="s">
        <v>288</v>
      </c>
      <c r="P42" s="15">
        <v>1059</v>
      </c>
      <c r="Q42" s="15" t="s">
        <v>288</v>
      </c>
      <c r="R42" s="15">
        <v>460</v>
      </c>
      <c r="S42" s="15">
        <v>1123.3</v>
      </c>
      <c r="T42" s="15">
        <v>26.6</v>
      </c>
      <c r="U42" s="15">
        <v>28.9</v>
      </c>
      <c r="V42" s="15">
        <v>38.1</v>
      </c>
      <c r="W42" s="227"/>
    </row>
    <row r="43" spans="1:23" s="153" customFormat="1" ht="11.45" customHeight="1" x14ac:dyDescent="0.2">
      <c r="A43" s="1833">
        <v>2010</v>
      </c>
      <c r="B43" s="290" t="s">
        <v>548</v>
      </c>
      <c r="C43" s="281">
        <v>1390.6</v>
      </c>
      <c r="D43" s="281">
        <v>126.7</v>
      </c>
      <c r="E43" s="281">
        <v>182</v>
      </c>
      <c r="F43" s="281">
        <v>89.2</v>
      </c>
      <c r="G43" s="281">
        <v>91.8</v>
      </c>
      <c r="H43" s="281">
        <v>168.2</v>
      </c>
      <c r="I43" s="281">
        <v>472.5</v>
      </c>
      <c r="J43" s="281">
        <v>375.1</v>
      </c>
      <c r="K43" s="281">
        <v>536.79999999999995</v>
      </c>
      <c r="L43" s="281">
        <v>601.5</v>
      </c>
      <c r="M43" s="281" t="s">
        <v>288</v>
      </c>
      <c r="N43" s="281">
        <v>306.5</v>
      </c>
      <c r="O43" s="281">
        <v>235.8</v>
      </c>
      <c r="P43" s="281">
        <v>1171.2</v>
      </c>
      <c r="Q43" s="281">
        <v>1031.2</v>
      </c>
      <c r="R43" s="281">
        <v>484</v>
      </c>
      <c r="S43" s="281">
        <v>1208.3</v>
      </c>
      <c r="T43" s="281">
        <v>26</v>
      </c>
      <c r="U43" s="281">
        <v>31.1</v>
      </c>
      <c r="V43" s="281">
        <v>38</v>
      </c>
      <c r="W43" s="227"/>
    </row>
    <row r="44" spans="1:23" s="153" customFormat="1" ht="11.45" customHeight="1" x14ac:dyDescent="0.2">
      <c r="A44" s="1833">
        <v>2011</v>
      </c>
      <c r="B44" s="290" t="s">
        <v>556</v>
      </c>
      <c r="C44" s="281">
        <v>1356.4</v>
      </c>
      <c r="D44" s="281">
        <v>141.9</v>
      </c>
      <c r="E44" s="281">
        <v>179.6</v>
      </c>
      <c r="F44" s="281">
        <v>92.2</v>
      </c>
      <c r="G44" s="281">
        <v>96.3</v>
      </c>
      <c r="H44" s="281">
        <v>178.9</v>
      </c>
      <c r="I44" s="281">
        <v>475</v>
      </c>
      <c r="J44" s="281">
        <v>374.1</v>
      </c>
      <c r="K44" s="281">
        <v>528.4</v>
      </c>
      <c r="L44" s="281">
        <v>593.9</v>
      </c>
      <c r="M44" s="281" t="s">
        <v>288</v>
      </c>
      <c r="N44" s="281">
        <v>326.5</v>
      </c>
      <c r="O44" s="281">
        <v>273.7</v>
      </c>
      <c r="P44" s="281">
        <v>1238.5999999999999</v>
      </c>
      <c r="Q44" s="281" t="s">
        <v>288</v>
      </c>
      <c r="R44" s="281">
        <v>511</v>
      </c>
      <c r="S44" s="281">
        <v>1257.0999999999999</v>
      </c>
      <c r="T44" s="281">
        <v>26.2</v>
      </c>
      <c r="U44" s="281">
        <v>32.1</v>
      </c>
      <c r="V44" s="281">
        <v>39.700000000000003</v>
      </c>
      <c r="W44" s="227"/>
    </row>
    <row r="45" spans="1:23" s="153" customFormat="1" ht="11.45" customHeight="1" x14ac:dyDescent="0.2">
      <c r="A45" s="1833">
        <v>2011</v>
      </c>
      <c r="B45" s="1830" t="s">
        <v>557</v>
      </c>
      <c r="C45" s="15">
        <v>1372.7</v>
      </c>
      <c r="D45" s="15">
        <v>137.5</v>
      </c>
      <c r="E45" s="15">
        <v>187.2</v>
      </c>
      <c r="F45" s="15">
        <v>99.9</v>
      </c>
      <c r="G45" s="15">
        <v>104</v>
      </c>
      <c r="H45" s="15">
        <v>213.2</v>
      </c>
      <c r="I45" s="15">
        <v>490</v>
      </c>
      <c r="J45" s="15">
        <v>358.1</v>
      </c>
      <c r="K45" s="15">
        <v>532.79999999999995</v>
      </c>
      <c r="L45" s="15">
        <v>576.79999999999995</v>
      </c>
      <c r="M45" s="15" t="s">
        <v>288</v>
      </c>
      <c r="N45" s="15">
        <v>348.2</v>
      </c>
      <c r="O45" s="15">
        <v>293</v>
      </c>
      <c r="P45" s="15">
        <v>1248.5999999999999</v>
      </c>
      <c r="Q45" s="15">
        <v>1184.9000000000001</v>
      </c>
      <c r="R45" s="15">
        <v>512</v>
      </c>
      <c r="S45" s="15">
        <v>1268.4000000000001</v>
      </c>
      <c r="T45" s="15">
        <v>26.8</v>
      </c>
      <c r="U45" s="15">
        <v>29.3</v>
      </c>
      <c r="V45" s="15">
        <v>40.4</v>
      </c>
      <c r="W45" s="227"/>
    </row>
    <row r="46" spans="1:23" s="153" customFormat="1" ht="11.45" customHeight="1" x14ac:dyDescent="0.2">
      <c r="A46" s="1833">
        <v>2011</v>
      </c>
      <c r="B46" s="290" t="s">
        <v>549</v>
      </c>
      <c r="C46" s="281">
        <v>1424</v>
      </c>
      <c r="D46" s="281">
        <v>135.1</v>
      </c>
      <c r="E46" s="281">
        <v>169.4</v>
      </c>
      <c r="F46" s="281">
        <v>108.6</v>
      </c>
      <c r="G46" s="281">
        <v>114.4</v>
      </c>
      <c r="H46" s="281">
        <v>229.7</v>
      </c>
      <c r="I46" s="281">
        <v>494</v>
      </c>
      <c r="J46" s="281">
        <v>327.8</v>
      </c>
      <c r="K46" s="281">
        <v>509</v>
      </c>
      <c r="L46" s="281">
        <v>564.20000000000005</v>
      </c>
      <c r="M46" s="281" t="s">
        <v>288</v>
      </c>
      <c r="N46" s="281">
        <v>316.8</v>
      </c>
      <c r="O46" s="281">
        <v>308.3</v>
      </c>
      <c r="P46" s="281">
        <v>1142.2</v>
      </c>
      <c r="Q46" s="281">
        <v>1207.3</v>
      </c>
      <c r="R46" s="281">
        <v>499</v>
      </c>
      <c r="S46" s="281">
        <v>1245.0999999999999</v>
      </c>
      <c r="T46" s="281">
        <v>26.9</v>
      </c>
      <c r="U46" s="281">
        <v>25.9</v>
      </c>
      <c r="V46" s="281">
        <v>36.1</v>
      </c>
      <c r="W46" s="227"/>
    </row>
    <row r="47" spans="1:23" s="153" customFormat="1" ht="11.45" customHeight="1" x14ac:dyDescent="0.2">
      <c r="A47" s="1833">
        <v>2011</v>
      </c>
      <c r="B47" s="1830" t="s">
        <v>558</v>
      </c>
      <c r="C47" s="15">
        <v>1479.8</v>
      </c>
      <c r="D47" s="15">
        <v>133.9</v>
      </c>
      <c r="E47" s="15">
        <v>179.3</v>
      </c>
      <c r="F47" s="15">
        <v>115.8</v>
      </c>
      <c r="G47" s="15">
        <v>123.1</v>
      </c>
      <c r="H47" s="15">
        <v>216.6</v>
      </c>
      <c r="I47" s="15">
        <v>535.6</v>
      </c>
      <c r="J47" s="15">
        <v>340.4</v>
      </c>
      <c r="K47" s="15">
        <v>500.6</v>
      </c>
      <c r="L47" s="15">
        <v>562.70000000000005</v>
      </c>
      <c r="M47" s="15" t="s">
        <v>288</v>
      </c>
      <c r="N47" s="15">
        <v>336.1</v>
      </c>
      <c r="O47" s="15">
        <v>312.60000000000002</v>
      </c>
      <c r="P47" s="15">
        <v>1123.8</v>
      </c>
      <c r="Q47" s="15">
        <v>1148.77</v>
      </c>
      <c r="R47" s="15">
        <v>501</v>
      </c>
      <c r="S47" s="15">
        <v>1279.0999999999999</v>
      </c>
      <c r="T47" s="15">
        <v>27.2</v>
      </c>
      <c r="U47" s="15">
        <v>23.9</v>
      </c>
      <c r="V47" s="15">
        <v>35.799999999999997</v>
      </c>
      <c r="W47" s="227"/>
    </row>
    <row r="48" spans="1:23" s="153" customFormat="1" ht="11.45" customHeight="1" x14ac:dyDescent="0.2">
      <c r="A48" s="1833">
        <v>2011</v>
      </c>
      <c r="B48" s="290" t="s">
        <v>559</v>
      </c>
      <c r="C48" s="281">
        <v>1512.6</v>
      </c>
      <c r="D48" s="281">
        <v>126.84</v>
      </c>
      <c r="E48" s="281">
        <v>177.1</v>
      </c>
      <c r="F48" s="281">
        <v>108.8</v>
      </c>
      <c r="G48" s="281">
        <v>114.5</v>
      </c>
      <c r="H48" s="281">
        <v>165.5</v>
      </c>
      <c r="I48" s="281">
        <v>547.5</v>
      </c>
      <c r="J48" s="281">
        <v>397.4</v>
      </c>
      <c r="K48" s="281">
        <v>500.6</v>
      </c>
      <c r="L48" s="281">
        <v>540.24</v>
      </c>
      <c r="M48" s="281" t="s">
        <v>288</v>
      </c>
      <c r="N48" s="281">
        <v>354.5</v>
      </c>
      <c r="O48" s="281">
        <v>305.10000000000002</v>
      </c>
      <c r="P48" s="281">
        <v>1143.4000000000001</v>
      </c>
      <c r="Q48" s="281">
        <v>1108.44</v>
      </c>
      <c r="R48" s="281">
        <v>499</v>
      </c>
      <c r="S48" s="281">
        <v>1255.7</v>
      </c>
      <c r="T48" s="281">
        <v>27.1</v>
      </c>
      <c r="U48" s="281">
        <v>21.9</v>
      </c>
      <c r="V48" s="281">
        <v>34.200000000000003</v>
      </c>
      <c r="W48" s="227"/>
    </row>
    <row r="49" spans="1:23" s="153" customFormat="1" ht="11.45" customHeight="1" x14ac:dyDescent="0.2">
      <c r="A49" s="1833">
        <v>2011</v>
      </c>
      <c r="B49" s="1830" t="s">
        <v>550</v>
      </c>
      <c r="C49" s="15">
        <v>1528.66</v>
      </c>
      <c r="D49" s="15">
        <v>127.8</v>
      </c>
      <c r="E49" s="15">
        <v>170.88</v>
      </c>
      <c r="F49" s="15">
        <v>107.52</v>
      </c>
      <c r="G49" s="15">
        <v>113.76</v>
      </c>
      <c r="H49" s="15">
        <v>160.65</v>
      </c>
      <c r="I49" s="15">
        <v>549.5</v>
      </c>
      <c r="J49" s="15">
        <v>485.9</v>
      </c>
      <c r="K49" s="15">
        <v>518.09</v>
      </c>
      <c r="L49" s="15">
        <v>550.75</v>
      </c>
      <c r="M49" s="15" t="s">
        <v>288</v>
      </c>
      <c r="N49" s="15">
        <v>326.45</v>
      </c>
      <c r="O49" s="15">
        <v>307.5</v>
      </c>
      <c r="P49" s="15">
        <v>1075.9100000000001</v>
      </c>
      <c r="Q49" s="15">
        <v>1125.6199999999999</v>
      </c>
      <c r="R49" s="15">
        <v>500</v>
      </c>
      <c r="S49" s="15">
        <v>1250.0999999999999</v>
      </c>
      <c r="T49" s="15">
        <v>26.96</v>
      </c>
      <c r="U49" s="15">
        <v>24.92</v>
      </c>
      <c r="V49" s="15">
        <v>35.119999999999997</v>
      </c>
      <c r="W49" s="227"/>
    </row>
    <row r="50" spans="1:23" s="153" customFormat="1" ht="11.45" customHeight="1" x14ac:dyDescent="0.2">
      <c r="A50" s="1833">
        <v>2011</v>
      </c>
      <c r="B50" s="290" t="s">
        <v>552</v>
      </c>
      <c r="C50" s="281">
        <v>1572.21</v>
      </c>
      <c r="D50" s="281">
        <v>128.57</v>
      </c>
      <c r="E50" s="281">
        <v>172.98</v>
      </c>
      <c r="F50" s="281">
        <v>109.98</v>
      </c>
      <c r="G50" s="281">
        <v>116.46</v>
      </c>
      <c r="H50" s="281">
        <v>149.25</v>
      </c>
      <c r="I50" s="281">
        <v>555</v>
      </c>
      <c r="J50" s="281">
        <v>474.75</v>
      </c>
      <c r="K50" s="281">
        <v>546.19000000000005</v>
      </c>
      <c r="L50" s="281">
        <v>668.09</v>
      </c>
      <c r="M50" s="281" t="s">
        <v>288</v>
      </c>
      <c r="N50" s="281">
        <v>303.88</v>
      </c>
      <c r="O50" s="281">
        <v>317.10000000000002</v>
      </c>
      <c r="P50" s="281">
        <v>1033.57</v>
      </c>
      <c r="Q50" s="281">
        <v>1128.4000000000001</v>
      </c>
      <c r="R50" s="281">
        <v>502</v>
      </c>
      <c r="S50" s="281">
        <v>1242.0999999999999</v>
      </c>
      <c r="T50" s="281">
        <v>26.81</v>
      </c>
      <c r="U50" s="281">
        <v>29.47</v>
      </c>
      <c r="V50" s="281">
        <v>37.89</v>
      </c>
      <c r="W50" s="227"/>
    </row>
    <row r="51" spans="1:23" s="153" customFormat="1" ht="11.45" customHeight="1" x14ac:dyDescent="0.2">
      <c r="A51" s="1833">
        <v>2011</v>
      </c>
      <c r="B51" s="1830" t="s">
        <v>553</v>
      </c>
      <c r="C51" s="15">
        <v>1757.21</v>
      </c>
      <c r="D51" s="15">
        <v>127.79</v>
      </c>
      <c r="E51" s="15">
        <v>177.45</v>
      </c>
      <c r="F51" s="15">
        <v>104.96</v>
      </c>
      <c r="G51" s="15">
        <v>110.08</v>
      </c>
      <c r="H51" s="15">
        <v>114.1</v>
      </c>
      <c r="I51" s="15">
        <v>560</v>
      </c>
      <c r="J51" s="15">
        <v>477.5</v>
      </c>
      <c r="K51" s="15">
        <v>577.29999999999995</v>
      </c>
      <c r="L51" s="15">
        <v>579.29999999999995</v>
      </c>
      <c r="M51" s="15" t="s">
        <v>288</v>
      </c>
      <c r="N51" s="15">
        <v>327.08999999999997</v>
      </c>
      <c r="O51" s="15">
        <v>317.10000000000002</v>
      </c>
      <c r="P51" s="15">
        <v>1047.51</v>
      </c>
      <c r="Q51" s="15">
        <v>1047.51</v>
      </c>
      <c r="R51" s="15">
        <v>501</v>
      </c>
      <c r="S51" s="15">
        <v>1225.2</v>
      </c>
      <c r="T51" s="15">
        <v>27.23</v>
      </c>
      <c r="U51" s="15">
        <v>28.88</v>
      </c>
      <c r="V51" s="15">
        <v>39.61</v>
      </c>
      <c r="W51" s="227"/>
    </row>
    <row r="52" spans="1:23" s="153" customFormat="1" ht="11.45" customHeight="1" x14ac:dyDescent="0.2">
      <c r="A52" s="1833">
        <v>2011</v>
      </c>
      <c r="B52" s="290" t="s">
        <v>547</v>
      </c>
      <c r="C52" s="281">
        <v>1770.95</v>
      </c>
      <c r="D52" s="281">
        <v>131.30000000000001</v>
      </c>
      <c r="E52" s="281">
        <v>177.23</v>
      </c>
      <c r="F52" s="281">
        <v>106</v>
      </c>
      <c r="G52" s="281">
        <v>110.88</v>
      </c>
      <c r="H52" s="281">
        <v>116.65</v>
      </c>
      <c r="I52" s="281">
        <v>560</v>
      </c>
      <c r="J52" s="281">
        <v>503.8</v>
      </c>
      <c r="K52" s="281">
        <v>615.54999999999995</v>
      </c>
      <c r="L52" s="281">
        <v>625.63</v>
      </c>
      <c r="M52" s="281" t="s">
        <v>288</v>
      </c>
      <c r="N52" s="281">
        <v>315.92</v>
      </c>
      <c r="O52" s="281">
        <v>316.39999999999998</v>
      </c>
      <c r="P52" s="281">
        <v>995.18</v>
      </c>
      <c r="Q52" s="281">
        <v>995.18</v>
      </c>
      <c r="R52" s="281">
        <v>491</v>
      </c>
      <c r="S52" s="281">
        <v>1218.9000000000001</v>
      </c>
      <c r="T52" s="281">
        <v>26.25</v>
      </c>
      <c r="U52" s="281">
        <v>26.64</v>
      </c>
      <c r="V52" s="281">
        <v>39.28</v>
      </c>
      <c r="W52" s="227"/>
    </row>
    <row r="53" spans="1:23" s="153" customFormat="1" ht="11.45" customHeight="1" x14ac:dyDescent="0.2">
      <c r="A53" s="1833">
        <v>2011</v>
      </c>
      <c r="B53" s="1830" t="s">
        <v>554</v>
      </c>
      <c r="C53" s="15">
        <v>1665.21</v>
      </c>
      <c r="D53" s="15">
        <v>127.49</v>
      </c>
      <c r="E53" s="15">
        <v>150.43</v>
      </c>
      <c r="F53" s="15">
        <v>103.88</v>
      </c>
      <c r="G53" s="15">
        <v>109.47</v>
      </c>
      <c r="H53" s="15">
        <v>110.61</v>
      </c>
      <c r="I53" s="15">
        <v>592.5</v>
      </c>
      <c r="J53" s="15">
        <v>487.13</v>
      </c>
      <c r="K53" s="15">
        <v>602.14</v>
      </c>
      <c r="L53" s="15">
        <v>623.74</v>
      </c>
      <c r="M53" s="15" t="s">
        <v>288</v>
      </c>
      <c r="N53" s="15">
        <v>289.01</v>
      </c>
      <c r="O53" s="15">
        <v>303.3</v>
      </c>
      <c r="P53" s="15">
        <v>914.44</v>
      </c>
      <c r="Q53" s="15">
        <v>914.44</v>
      </c>
      <c r="R53" s="15">
        <v>446</v>
      </c>
      <c r="S53" s="15">
        <v>1126.8</v>
      </c>
      <c r="T53" s="15">
        <v>26.21</v>
      </c>
      <c r="U53" s="15">
        <v>26.3</v>
      </c>
      <c r="V53" s="15">
        <v>38.200000000000003</v>
      </c>
      <c r="W53" s="227"/>
    </row>
    <row r="54" spans="1:23" s="153" customFormat="1" ht="11.45" customHeight="1" x14ac:dyDescent="0.2">
      <c r="A54" s="1833">
        <v>2011</v>
      </c>
      <c r="B54" s="290" t="s">
        <v>555</v>
      </c>
      <c r="C54" s="281">
        <v>1738.11</v>
      </c>
      <c r="D54" s="281">
        <v>121.93</v>
      </c>
      <c r="E54" s="281">
        <v>135.54</v>
      </c>
      <c r="F54" s="281">
        <v>108.52</v>
      </c>
      <c r="G54" s="281">
        <v>110.5</v>
      </c>
      <c r="H54" s="281">
        <v>104.68</v>
      </c>
      <c r="I54" s="281">
        <v>570</v>
      </c>
      <c r="J54" s="281">
        <v>470.9</v>
      </c>
      <c r="K54" s="281">
        <v>609.09</v>
      </c>
      <c r="L54" s="281">
        <v>725.2</v>
      </c>
      <c r="M54" s="281" t="s">
        <v>288</v>
      </c>
      <c r="N54" s="281">
        <v>280.7</v>
      </c>
      <c r="O54" s="281">
        <v>303.3</v>
      </c>
      <c r="P54" s="281">
        <v>985.77</v>
      </c>
      <c r="Q54" s="281">
        <v>974.3</v>
      </c>
      <c r="R54" s="281">
        <v>429</v>
      </c>
      <c r="S54" s="281">
        <v>1118.5</v>
      </c>
      <c r="T54" s="281">
        <v>26.34</v>
      </c>
      <c r="U54" s="281">
        <v>24.52</v>
      </c>
      <c r="V54" s="281">
        <v>38.11</v>
      </c>
      <c r="W54" s="227"/>
    </row>
    <row r="55" spans="1:23" s="153" customFormat="1" ht="11.45" customHeight="1" x14ac:dyDescent="0.2">
      <c r="A55" s="1833">
        <v>2011</v>
      </c>
      <c r="B55" s="990" t="s">
        <v>548</v>
      </c>
      <c r="C55" s="25">
        <v>1641.8</v>
      </c>
      <c r="D55" s="25">
        <v>117.49</v>
      </c>
      <c r="E55" s="25">
        <v>136.5</v>
      </c>
      <c r="F55" s="25">
        <v>106.21</v>
      </c>
      <c r="G55" s="25">
        <v>108</v>
      </c>
      <c r="H55" s="25">
        <v>95.45</v>
      </c>
      <c r="I55" s="25">
        <v>530</v>
      </c>
      <c r="J55" s="25">
        <v>353.8</v>
      </c>
      <c r="K55" s="25">
        <v>580.91</v>
      </c>
      <c r="L55" s="25">
        <v>776.4</v>
      </c>
      <c r="M55" s="25" t="s">
        <v>288</v>
      </c>
      <c r="N55" s="25">
        <v>269.10000000000002</v>
      </c>
      <c r="O55" s="25" t="s">
        <v>288</v>
      </c>
      <c r="P55" s="25">
        <v>969.07</v>
      </c>
      <c r="Q55" s="25">
        <v>1001.1</v>
      </c>
      <c r="R55" s="25">
        <v>420</v>
      </c>
      <c r="S55" s="25">
        <v>1103</v>
      </c>
      <c r="T55" s="25">
        <v>25.95</v>
      </c>
      <c r="U55" s="25">
        <v>23.42</v>
      </c>
      <c r="V55" s="25">
        <v>36.6</v>
      </c>
      <c r="W55" s="227"/>
    </row>
    <row r="56" spans="1:23" s="153" customFormat="1" ht="11.45" customHeight="1" x14ac:dyDescent="0.2">
      <c r="A56" s="1752">
        <v>2012</v>
      </c>
      <c r="B56" s="990" t="s">
        <v>556</v>
      </c>
      <c r="C56" s="25">
        <v>1652.2</v>
      </c>
      <c r="D56" s="25">
        <v>124.18</v>
      </c>
      <c r="E56" s="25">
        <v>140.4</v>
      </c>
      <c r="F56" s="25">
        <v>109.54</v>
      </c>
      <c r="G56" s="25">
        <v>110.99</v>
      </c>
      <c r="H56" s="25">
        <v>101.11</v>
      </c>
      <c r="I56" s="25">
        <v>435</v>
      </c>
      <c r="J56" s="25">
        <v>368.4</v>
      </c>
      <c r="K56" s="25">
        <v>541.05999999999995</v>
      </c>
      <c r="L56" s="25">
        <v>698.7</v>
      </c>
      <c r="M56" s="25" t="s">
        <v>288</v>
      </c>
      <c r="N56" s="25">
        <v>275</v>
      </c>
      <c r="O56" s="25" t="s">
        <v>288</v>
      </c>
      <c r="P56" s="25">
        <v>1020.54</v>
      </c>
      <c r="Q56" s="25" t="s">
        <v>288</v>
      </c>
      <c r="R56" s="25">
        <v>442</v>
      </c>
      <c r="S56" s="25">
        <v>1131.9000000000001</v>
      </c>
      <c r="T56" s="25">
        <v>25.81</v>
      </c>
      <c r="U56" s="25">
        <v>24.02</v>
      </c>
      <c r="V56" s="25">
        <v>35.36</v>
      </c>
      <c r="W56" s="227"/>
    </row>
    <row r="57" spans="1:23" s="153" customFormat="1" ht="11.45" customHeight="1" x14ac:dyDescent="0.2">
      <c r="A57" s="1833">
        <v>2012</v>
      </c>
      <c r="B57" s="290" t="s">
        <v>557</v>
      </c>
      <c r="C57" s="281">
        <v>1742.1</v>
      </c>
      <c r="D57" s="281">
        <v>123.4</v>
      </c>
      <c r="E57" s="281">
        <v>140.4</v>
      </c>
      <c r="F57" s="281">
        <v>116.2</v>
      </c>
      <c r="G57" s="281">
        <v>119.7</v>
      </c>
      <c r="H57" s="281">
        <v>100.8</v>
      </c>
      <c r="I57" s="281">
        <v>445</v>
      </c>
      <c r="J57" s="281">
        <v>382.9</v>
      </c>
      <c r="K57" s="281">
        <v>547.5</v>
      </c>
      <c r="L57" s="281">
        <v>670.9</v>
      </c>
      <c r="M57" s="281" t="s">
        <v>288</v>
      </c>
      <c r="N57" s="281">
        <v>277.8</v>
      </c>
      <c r="O57" s="281">
        <v>246.4</v>
      </c>
      <c r="P57" s="281">
        <v>1047.7</v>
      </c>
      <c r="Q57" s="281">
        <v>1020.9</v>
      </c>
      <c r="R57" s="281">
        <v>462</v>
      </c>
      <c r="S57" s="281">
        <v>1170.2</v>
      </c>
      <c r="T57" s="281">
        <v>26.3</v>
      </c>
      <c r="U57" s="281">
        <v>24.1</v>
      </c>
      <c r="V57" s="281">
        <v>33.700000000000003</v>
      </c>
      <c r="W57" s="227"/>
    </row>
    <row r="58" spans="1:23" s="153" customFormat="1" ht="11.45" customHeight="1" x14ac:dyDescent="0.2">
      <c r="A58" s="1833">
        <v>2012</v>
      </c>
      <c r="B58" s="990" t="s">
        <v>549</v>
      </c>
      <c r="C58" s="25">
        <v>1673.8</v>
      </c>
      <c r="D58" s="25">
        <v>112.6</v>
      </c>
      <c r="E58" s="25">
        <v>144.69999999999999</v>
      </c>
      <c r="F58" s="25">
        <v>122.3</v>
      </c>
      <c r="G58" s="25">
        <v>124.9</v>
      </c>
      <c r="H58" s="25">
        <v>99.5</v>
      </c>
      <c r="I58" s="25">
        <v>441.3</v>
      </c>
      <c r="J58" s="25">
        <v>410.6</v>
      </c>
      <c r="K58" s="25">
        <v>577.1</v>
      </c>
      <c r="L58" s="25">
        <v>705</v>
      </c>
      <c r="M58" s="25" t="s">
        <v>288</v>
      </c>
      <c r="N58" s="25">
        <v>283.89999999999998</v>
      </c>
      <c r="O58" s="25">
        <v>248.5</v>
      </c>
      <c r="P58" s="25">
        <v>1105.7</v>
      </c>
      <c r="Q58" s="25">
        <v>1032.5</v>
      </c>
      <c r="R58" s="25">
        <v>496</v>
      </c>
      <c r="S58" s="25">
        <v>1196.5</v>
      </c>
      <c r="T58" s="25">
        <v>26.3</v>
      </c>
      <c r="U58" s="25">
        <v>23.8</v>
      </c>
      <c r="V58" s="25">
        <v>33.5</v>
      </c>
      <c r="W58" s="227"/>
    </row>
    <row r="59" spans="1:23" s="153" customFormat="1" ht="11.45" customHeight="1" x14ac:dyDescent="0.2">
      <c r="A59" s="1833">
        <v>2012</v>
      </c>
      <c r="B59" s="290" t="s">
        <v>558</v>
      </c>
      <c r="C59" s="281">
        <v>1649.7</v>
      </c>
      <c r="D59" s="281">
        <v>108.9</v>
      </c>
      <c r="E59" s="281">
        <v>147.69999999999999</v>
      </c>
      <c r="F59" s="281">
        <v>117.4</v>
      </c>
      <c r="G59" s="281">
        <v>120.6</v>
      </c>
      <c r="H59" s="281">
        <v>100.1</v>
      </c>
      <c r="I59" s="281">
        <v>441.3</v>
      </c>
      <c r="J59" s="281">
        <v>493.4</v>
      </c>
      <c r="K59" s="281">
        <v>586</v>
      </c>
      <c r="L59" s="281">
        <v>661.1</v>
      </c>
      <c r="M59" s="281" t="s">
        <v>288</v>
      </c>
      <c r="N59" s="281">
        <v>266.3</v>
      </c>
      <c r="O59" s="281">
        <v>251.5</v>
      </c>
      <c r="P59" s="281">
        <v>1157.7</v>
      </c>
      <c r="Q59" s="281">
        <v>1053.2</v>
      </c>
      <c r="R59" s="281">
        <v>529</v>
      </c>
      <c r="S59" s="281">
        <v>1232.5999999999999</v>
      </c>
      <c r="T59" s="281">
        <v>26.6</v>
      </c>
      <c r="U59" s="281">
        <v>22.5</v>
      </c>
      <c r="V59" s="281">
        <v>31.9</v>
      </c>
      <c r="W59" s="227"/>
    </row>
    <row r="60" spans="1:23" s="153" customFormat="1" ht="11.45" customHeight="1" x14ac:dyDescent="0.2">
      <c r="A60" s="1833">
        <v>2012</v>
      </c>
      <c r="B60" s="990" t="s">
        <v>559</v>
      </c>
      <c r="C60" s="25">
        <v>1589</v>
      </c>
      <c r="D60" s="25">
        <v>101.2</v>
      </c>
      <c r="E60" s="25">
        <v>136.30000000000001</v>
      </c>
      <c r="F60" s="25">
        <v>107.5</v>
      </c>
      <c r="G60" s="25">
        <v>110.5</v>
      </c>
      <c r="H60" s="25">
        <v>88.5</v>
      </c>
      <c r="I60" s="25">
        <v>485</v>
      </c>
      <c r="J60" s="25">
        <v>485</v>
      </c>
      <c r="K60" s="25">
        <v>612.4</v>
      </c>
      <c r="L60" s="25">
        <v>631.70000000000005</v>
      </c>
      <c r="M60" s="25" t="s">
        <v>288</v>
      </c>
      <c r="N60" s="25">
        <v>264.39999999999998</v>
      </c>
      <c r="O60" s="25">
        <v>254.5</v>
      </c>
      <c r="P60" s="25">
        <v>1031.0999999999999</v>
      </c>
      <c r="Q60" s="25">
        <v>1064</v>
      </c>
      <c r="R60" s="25">
        <v>521</v>
      </c>
      <c r="S60" s="25">
        <v>1134.5999999999999</v>
      </c>
      <c r="T60" s="25">
        <v>26.5</v>
      </c>
      <c r="U60" s="25">
        <v>20.3</v>
      </c>
      <c r="V60" s="25">
        <v>30.4</v>
      </c>
      <c r="W60" s="227"/>
    </row>
    <row r="61" spans="1:23" s="153" customFormat="1" ht="11.45" customHeight="1" x14ac:dyDescent="0.2">
      <c r="A61" s="1833">
        <v>2012</v>
      </c>
      <c r="B61" s="290" t="s">
        <v>550</v>
      </c>
      <c r="C61" s="281">
        <v>1598.8</v>
      </c>
      <c r="D61" s="281">
        <v>91.7</v>
      </c>
      <c r="E61" s="281">
        <v>134.6</v>
      </c>
      <c r="F61" s="281">
        <v>94.2</v>
      </c>
      <c r="G61" s="281">
        <v>95.6</v>
      </c>
      <c r="H61" s="281">
        <v>82.2</v>
      </c>
      <c r="I61" s="281">
        <v>485</v>
      </c>
      <c r="J61" s="281">
        <v>420</v>
      </c>
      <c r="K61" s="281">
        <v>606.1</v>
      </c>
      <c r="L61" s="281">
        <v>726.9</v>
      </c>
      <c r="M61" s="281" t="s">
        <v>288</v>
      </c>
      <c r="N61" s="281">
        <v>276.2</v>
      </c>
      <c r="O61" s="281">
        <v>259.8</v>
      </c>
      <c r="P61" s="281">
        <v>927.6</v>
      </c>
      <c r="Q61" s="281">
        <v>1017.7</v>
      </c>
      <c r="R61" s="281">
        <v>522</v>
      </c>
      <c r="S61" s="281">
        <v>1097.8</v>
      </c>
      <c r="T61" s="281">
        <v>25.9</v>
      </c>
      <c r="U61" s="281">
        <v>20.100000000000001</v>
      </c>
      <c r="V61" s="281">
        <v>28.9</v>
      </c>
      <c r="W61" s="227"/>
    </row>
    <row r="62" spans="1:23" s="153" customFormat="1" ht="11.45" customHeight="1" x14ac:dyDescent="0.2">
      <c r="A62" s="1833">
        <v>2012</v>
      </c>
      <c r="B62" s="990" t="s">
        <v>552</v>
      </c>
      <c r="C62" s="25">
        <v>1594.3</v>
      </c>
      <c r="D62" s="25">
        <v>90.5</v>
      </c>
      <c r="E62" s="25">
        <v>127.9</v>
      </c>
      <c r="F62" s="25">
        <v>99.2</v>
      </c>
      <c r="G62" s="25">
        <v>103.1</v>
      </c>
      <c r="H62" s="25">
        <v>84</v>
      </c>
      <c r="I62" s="25">
        <v>485</v>
      </c>
      <c r="J62" s="25">
        <v>384.5</v>
      </c>
      <c r="K62" s="25">
        <v>578.4</v>
      </c>
      <c r="L62" s="25">
        <v>664.8</v>
      </c>
      <c r="M62" s="25" t="s">
        <v>288</v>
      </c>
      <c r="N62" s="25">
        <v>345.7</v>
      </c>
      <c r="O62" s="25">
        <v>259.8</v>
      </c>
      <c r="P62" s="25">
        <v>952.5</v>
      </c>
      <c r="Q62" s="25">
        <v>981.4</v>
      </c>
      <c r="R62" s="25">
        <v>609</v>
      </c>
      <c r="S62" s="25">
        <v>1175.3</v>
      </c>
      <c r="T62" s="25">
        <v>25.9</v>
      </c>
      <c r="U62" s="25">
        <v>22.8</v>
      </c>
      <c r="V62" s="25">
        <v>28.7</v>
      </c>
      <c r="W62" s="227"/>
    </row>
    <row r="63" spans="1:23" s="153" customFormat="1" ht="11.45" customHeight="1" x14ac:dyDescent="0.2">
      <c r="A63" s="1833">
        <v>2012</v>
      </c>
      <c r="B63" s="290" t="s">
        <v>553</v>
      </c>
      <c r="C63" s="281">
        <v>1630.3</v>
      </c>
      <c r="D63" s="281">
        <v>93.4</v>
      </c>
      <c r="E63" s="281">
        <v>107.8</v>
      </c>
      <c r="F63" s="281">
        <v>108.4</v>
      </c>
      <c r="G63" s="281">
        <v>113.3</v>
      </c>
      <c r="H63" s="281">
        <v>84.4</v>
      </c>
      <c r="I63" s="281">
        <v>485</v>
      </c>
      <c r="J63" s="281">
        <v>374.9</v>
      </c>
      <c r="K63" s="281">
        <v>582.9</v>
      </c>
      <c r="L63" s="281">
        <v>693.5</v>
      </c>
      <c r="M63" s="281" t="s">
        <v>288</v>
      </c>
      <c r="N63" s="281">
        <v>349.4</v>
      </c>
      <c r="O63" s="281">
        <v>261.2</v>
      </c>
      <c r="P63" s="281">
        <v>930.6</v>
      </c>
      <c r="Q63" s="281">
        <v>973.6</v>
      </c>
      <c r="R63" s="281">
        <v>623</v>
      </c>
      <c r="S63" s="281">
        <v>1188.5</v>
      </c>
      <c r="T63" s="281">
        <v>26.1</v>
      </c>
      <c r="U63" s="281">
        <v>20.5</v>
      </c>
      <c r="V63" s="281">
        <v>28.8</v>
      </c>
      <c r="W63" s="227"/>
    </row>
    <row r="64" spans="1:23" s="153" customFormat="1" ht="11.45" customHeight="1" x14ac:dyDescent="0.2">
      <c r="A64" s="1833">
        <v>2012</v>
      </c>
      <c r="B64" s="1893" t="s">
        <v>547</v>
      </c>
      <c r="C64" s="1841">
        <v>1744.8</v>
      </c>
      <c r="D64" s="1841">
        <v>95.3</v>
      </c>
      <c r="E64" s="1841">
        <v>99.5</v>
      </c>
      <c r="F64" s="1841">
        <v>111</v>
      </c>
      <c r="G64" s="1841">
        <v>113.4</v>
      </c>
      <c r="H64" s="1841">
        <v>84.2</v>
      </c>
      <c r="I64" s="1841">
        <v>485</v>
      </c>
      <c r="J64" s="1841">
        <v>384.5</v>
      </c>
      <c r="K64" s="1841">
        <v>590.5</v>
      </c>
      <c r="L64" s="1841">
        <v>742.7</v>
      </c>
      <c r="M64" s="1841" t="s">
        <v>288</v>
      </c>
      <c r="N64" s="1841">
        <v>353.4</v>
      </c>
      <c r="O64" s="1841">
        <v>263.60000000000002</v>
      </c>
      <c r="P64" s="1841">
        <v>879.5</v>
      </c>
      <c r="Q64" s="1841">
        <v>944.75</v>
      </c>
      <c r="R64" s="1841">
        <v>615</v>
      </c>
      <c r="S64" s="1841">
        <v>1213.3</v>
      </c>
      <c r="T64" s="1841">
        <v>26.8</v>
      </c>
      <c r="U64" s="1841">
        <v>20.2</v>
      </c>
      <c r="V64" s="1841">
        <v>25.8</v>
      </c>
      <c r="W64" s="227"/>
    </row>
    <row r="65" spans="1:23" s="153" customFormat="1" ht="11.45" customHeight="1" x14ac:dyDescent="0.2">
      <c r="A65" s="1833">
        <v>2012</v>
      </c>
      <c r="B65" s="290" t="s">
        <v>554</v>
      </c>
      <c r="C65" s="281">
        <v>1746.6</v>
      </c>
      <c r="D65" s="281">
        <v>87.7</v>
      </c>
      <c r="E65" s="281">
        <v>114</v>
      </c>
      <c r="F65" s="281">
        <v>108.7</v>
      </c>
      <c r="G65" s="281">
        <v>112</v>
      </c>
      <c r="H65" s="281">
        <v>82</v>
      </c>
      <c r="I65" s="281">
        <v>474</v>
      </c>
      <c r="J65" s="281">
        <v>396</v>
      </c>
      <c r="K65" s="281">
        <v>584.70000000000005</v>
      </c>
      <c r="L65" s="281">
        <v>675.76</v>
      </c>
      <c r="M65" s="281" t="s">
        <v>288</v>
      </c>
      <c r="N65" s="281">
        <v>358.2</v>
      </c>
      <c r="O65" s="281">
        <v>264.5</v>
      </c>
      <c r="P65" s="281">
        <v>768.1</v>
      </c>
      <c r="Q65" s="281">
        <v>870.62</v>
      </c>
      <c r="R65" s="281">
        <v>566</v>
      </c>
      <c r="S65" s="281">
        <v>1119.9000000000001</v>
      </c>
      <c r="T65" s="281">
        <v>26.7</v>
      </c>
      <c r="U65" s="281">
        <v>20.399999999999999</v>
      </c>
      <c r="V65" s="281">
        <v>24.2</v>
      </c>
      <c r="W65" s="227"/>
    </row>
    <row r="66" spans="1:23" s="153" customFormat="1" ht="11.45" customHeight="1" x14ac:dyDescent="0.2">
      <c r="A66" s="1833">
        <v>2012</v>
      </c>
      <c r="B66" s="990" t="s">
        <v>555</v>
      </c>
      <c r="C66" s="25">
        <v>1721.64</v>
      </c>
      <c r="D66" s="25">
        <v>92.03</v>
      </c>
      <c r="E66" s="25">
        <v>120.95</v>
      </c>
      <c r="F66" s="25">
        <v>107.1</v>
      </c>
      <c r="G66" s="25">
        <v>109.71</v>
      </c>
      <c r="H66" s="25">
        <v>80.87</v>
      </c>
      <c r="I66" s="25">
        <v>447.5</v>
      </c>
      <c r="J66" s="25">
        <v>374.2</v>
      </c>
      <c r="K66" s="25">
        <v>590.73</v>
      </c>
      <c r="L66" s="25">
        <v>698.04</v>
      </c>
      <c r="M66" s="25" t="s">
        <v>288</v>
      </c>
      <c r="N66" s="25">
        <v>361</v>
      </c>
      <c r="O66" s="25">
        <v>271.10000000000002</v>
      </c>
      <c r="P66" s="25">
        <v>743.13</v>
      </c>
      <c r="Q66" s="25">
        <v>833.74</v>
      </c>
      <c r="R66" s="25">
        <v>533</v>
      </c>
      <c r="S66" s="25">
        <v>1071.8</v>
      </c>
      <c r="T66" s="25">
        <v>26.55</v>
      </c>
      <c r="U66" s="25">
        <v>19.309999999999999</v>
      </c>
      <c r="V66" s="25">
        <v>22.71</v>
      </c>
      <c r="W66" s="227"/>
    </row>
    <row r="67" spans="1:23" s="153" customFormat="1" ht="11.45" customHeight="1" x14ac:dyDescent="0.2">
      <c r="A67" s="1833">
        <v>2012</v>
      </c>
      <c r="B67" s="290" t="s">
        <v>548</v>
      </c>
      <c r="C67" s="281">
        <v>1684.76</v>
      </c>
      <c r="D67" s="281">
        <v>99.51</v>
      </c>
      <c r="E67" s="281">
        <v>128.87</v>
      </c>
      <c r="F67" s="281">
        <v>105.67</v>
      </c>
      <c r="G67" s="281">
        <v>109.64</v>
      </c>
      <c r="H67" s="281">
        <v>83.37</v>
      </c>
      <c r="I67" s="281">
        <v>435</v>
      </c>
      <c r="J67" s="281">
        <v>378.75</v>
      </c>
      <c r="K67" s="281">
        <v>565.52</v>
      </c>
      <c r="L67" s="281">
        <v>714.95</v>
      </c>
      <c r="M67" s="281" t="s">
        <v>288</v>
      </c>
      <c r="N67" s="281">
        <v>347.89</v>
      </c>
      <c r="O67" s="281">
        <v>281.60000000000002</v>
      </c>
      <c r="P67" s="281">
        <v>713.94</v>
      </c>
      <c r="Q67" s="281">
        <v>802.29</v>
      </c>
      <c r="R67" s="281">
        <v>535</v>
      </c>
      <c r="S67" s="281">
        <v>1088.8</v>
      </c>
      <c r="T67" s="281">
        <v>26.84</v>
      </c>
      <c r="U67" s="281">
        <v>19.2</v>
      </c>
      <c r="V67" s="281">
        <v>22.56</v>
      </c>
      <c r="W67" s="227"/>
    </row>
    <row r="68" spans="1:23" s="153" customFormat="1" ht="11.45" customHeight="1" x14ac:dyDescent="0.2">
      <c r="A68" s="1752">
        <v>2013</v>
      </c>
      <c r="B68" s="290" t="s">
        <v>556</v>
      </c>
      <c r="C68" s="281">
        <v>1671.85</v>
      </c>
      <c r="D68" s="281">
        <v>99.4</v>
      </c>
      <c r="E68" s="281">
        <v>150.49</v>
      </c>
      <c r="F68" s="281">
        <v>107.54</v>
      </c>
      <c r="G68" s="281">
        <v>112.93</v>
      </c>
      <c r="H68" s="281">
        <v>85.51</v>
      </c>
      <c r="I68" s="281">
        <v>435</v>
      </c>
      <c r="J68" s="281">
        <v>393.4</v>
      </c>
      <c r="K68" s="281">
        <v>573.39</v>
      </c>
      <c r="L68" s="281">
        <v>714.84</v>
      </c>
      <c r="M68" s="281" t="s">
        <v>288</v>
      </c>
      <c r="N68" s="281">
        <v>335.5</v>
      </c>
      <c r="O68" s="281">
        <v>291.7</v>
      </c>
      <c r="P68" s="281">
        <v>776.54</v>
      </c>
      <c r="Q68" s="281">
        <v>726.47</v>
      </c>
      <c r="R68" s="281">
        <v>526</v>
      </c>
      <c r="S68" s="281">
        <v>1122.8</v>
      </c>
      <c r="T68" s="281">
        <v>26.55</v>
      </c>
      <c r="U68" s="281">
        <v>18.850000000000001</v>
      </c>
      <c r="V68" s="281">
        <v>22.59</v>
      </c>
      <c r="W68" s="227"/>
    </row>
    <row r="69" spans="1:23" s="153" customFormat="1" ht="11.45" customHeight="1" x14ac:dyDescent="0.2">
      <c r="A69" s="1833">
        <v>2013</v>
      </c>
      <c r="B69" s="990" t="s">
        <v>557</v>
      </c>
      <c r="C69" s="25">
        <v>1627.57</v>
      </c>
      <c r="D69" s="25">
        <v>101.72</v>
      </c>
      <c r="E69" s="25">
        <v>154.63999999999999</v>
      </c>
      <c r="F69" s="25">
        <v>111.22</v>
      </c>
      <c r="G69" s="25">
        <v>116.46</v>
      </c>
      <c r="H69" s="25">
        <v>89.71</v>
      </c>
      <c r="I69" s="25">
        <v>435</v>
      </c>
      <c r="J69" s="25">
        <v>411.5</v>
      </c>
      <c r="K69" s="25">
        <v>574.07000000000005</v>
      </c>
      <c r="L69" s="25">
        <v>740.48</v>
      </c>
      <c r="M69" s="25" t="s">
        <v>288</v>
      </c>
      <c r="N69" s="25">
        <v>318.92</v>
      </c>
      <c r="O69" s="25">
        <v>298.89999999999998</v>
      </c>
      <c r="P69" s="25">
        <v>792.38</v>
      </c>
      <c r="Q69" s="25">
        <v>739.71</v>
      </c>
      <c r="R69" s="25">
        <v>536</v>
      </c>
      <c r="S69" s="25">
        <v>1132</v>
      </c>
      <c r="T69" s="25">
        <v>25.74</v>
      </c>
      <c r="U69" s="25">
        <v>18.21</v>
      </c>
      <c r="V69" s="25">
        <v>21.85</v>
      </c>
      <c r="W69" s="227"/>
    </row>
    <row r="70" spans="1:23" s="153" customFormat="1" ht="11.45" customHeight="1" x14ac:dyDescent="0.2">
      <c r="A70" s="1833">
        <v>2013</v>
      </c>
      <c r="B70" s="290" t="s">
        <v>549</v>
      </c>
      <c r="C70" s="281">
        <v>1593.09</v>
      </c>
      <c r="D70" s="281">
        <v>97.48</v>
      </c>
      <c r="E70" s="281">
        <v>139.87</v>
      </c>
      <c r="F70" s="281">
        <v>105.48</v>
      </c>
      <c r="G70" s="281">
        <v>109.24</v>
      </c>
      <c r="H70" s="281">
        <v>94.45</v>
      </c>
      <c r="I70" s="281">
        <v>435</v>
      </c>
      <c r="J70" s="281">
        <v>385</v>
      </c>
      <c r="K70" s="281">
        <v>565.30999999999995</v>
      </c>
      <c r="L70" s="281">
        <v>716.41</v>
      </c>
      <c r="M70" s="281" t="s">
        <v>288</v>
      </c>
      <c r="N70" s="281">
        <v>309.93</v>
      </c>
      <c r="O70" s="281">
        <v>313.10000000000002</v>
      </c>
      <c r="P70" s="281">
        <v>771.87</v>
      </c>
      <c r="Q70" s="281">
        <v>757.18</v>
      </c>
      <c r="R70" s="281">
        <v>536</v>
      </c>
      <c r="S70" s="281">
        <v>1102.9000000000001</v>
      </c>
      <c r="T70" s="281">
        <v>25.06</v>
      </c>
      <c r="U70" s="281">
        <v>18.329999999999998</v>
      </c>
      <c r="V70" s="281">
        <v>21.54</v>
      </c>
      <c r="W70" s="227"/>
    </row>
    <row r="71" spans="1:23" s="153" customFormat="1" ht="11.45" customHeight="1" x14ac:dyDescent="0.2">
      <c r="A71" s="1833">
        <v>2013</v>
      </c>
      <c r="B71" s="990" t="s">
        <v>558</v>
      </c>
      <c r="C71" s="25">
        <v>1487.86</v>
      </c>
      <c r="D71" s="25">
        <v>94.03</v>
      </c>
      <c r="E71" s="25">
        <v>137.38999999999999</v>
      </c>
      <c r="F71" s="25">
        <v>101.66</v>
      </c>
      <c r="G71" s="25">
        <v>102.88</v>
      </c>
      <c r="H71" s="25">
        <v>92.54</v>
      </c>
      <c r="I71" s="25">
        <v>435</v>
      </c>
      <c r="J71" s="25">
        <v>361.5</v>
      </c>
      <c r="K71" s="25">
        <v>553.73</v>
      </c>
      <c r="L71" s="25">
        <v>703.53</v>
      </c>
      <c r="M71" s="25" t="s">
        <v>288</v>
      </c>
      <c r="N71" s="25">
        <v>308.74</v>
      </c>
      <c r="O71" s="25">
        <v>311.7</v>
      </c>
      <c r="P71" s="25">
        <v>756.46</v>
      </c>
      <c r="Q71" s="25">
        <v>713.476</v>
      </c>
      <c r="R71" s="25">
        <v>518</v>
      </c>
      <c r="S71" s="25">
        <v>1068.7</v>
      </c>
      <c r="T71" s="25">
        <v>25.45</v>
      </c>
      <c r="U71" s="25">
        <v>17.66</v>
      </c>
      <c r="V71" s="25">
        <v>20.73</v>
      </c>
      <c r="W71" s="227"/>
    </row>
    <row r="72" spans="1:23" s="153" customFormat="1" ht="11.45" customHeight="1" x14ac:dyDescent="0.2">
      <c r="A72" s="1833">
        <v>2013</v>
      </c>
      <c r="B72" s="290" t="s">
        <v>559</v>
      </c>
      <c r="C72" s="281">
        <v>1414.03</v>
      </c>
      <c r="D72" s="281">
        <v>93.98</v>
      </c>
      <c r="E72" s="281">
        <v>124.01</v>
      </c>
      <c r="F72" s="281">
        <v>100.3</v>
      </c>
      <c r="G72" s="281">
        <v>103.03</v>
      </c>
      <c r="H72" s="281">
        <v>92.62</v>
      </c>
      <c r="I72" s="281">
        <v>423</v>
      </c>
      <c r="J72" s="281">
        <v>344.4</v>
      </c>
      <c r="K72" s="281">
        <v>552.09</v>
      </c>
      <c r="L72" s="281">
        <v>682.84</v>
      </c>
      <c r="M72" s="281" t="s">
        <v>288</v>
      </c>
      <c r="N72" s="281">
        <v>319.11</v>
      </c>
      <c r="O72" s="281">
        <v>310.3</v>
      </c>
      <c r="P72" s="281">
        <v>763.38</v>
      </c>
      <c r="Q72" s="281">
        <v>713.68399999999997</v>
      </c>
      <c r="R72" s="281">
        <v>542</v>
      </c>
      <c r="S72" s="281">
        <v>1082.8</v>
      </c>
      <c r="T72" s="281">
        <v>25.45</v>
      </c>
      <c r="U72" s="281">
        <v>17.079999999999998</v>
      </c>
      <c r="V72" s="281">
        <v>19.8</v>
      </c>
      <c r="W72" s="227"/>
    </row>
    <row r="73" spans="1:23" s="153" customFormat="1" ht="11.45" customHeight="1" x14ac:dyDescent="0.2">
      <c r="A73" s="1833">
        <v>2013</v>
      </c>
      <c r="B73" s="990" t="s">
        <v>550</v>
      </c>
      <c r="C73" s="25">
        <v>1343.35</v>
      </c>
      <c r="D73" s="25">
        <v>88.67</v>
      </c>
      <c r="E73" s="25">
        <v>114.8</v>
      </c>
      <c r="F73" s="25">
        <v>100.33</v>
      </c>
      <c r="G73" s="25">
        <v>103.11</v>
      </c>
      <c r="H73" s="25">
        <v>93.1</v>
      </c>
      <c r="I73" s="25">
        <v>420</v>
      </c>
      <c r="J73" s="25">
        <v>321.38</v>
      </c>
      <c r="K73" s="25">
        <v>546.29999999999995</v>
      </c>
      <c r="L73" s="25">
        <v>683.7</v>
      </c>
      <c r="M73" s="25" t="s">
        <v>288</v>
      </c>
      <c r="N73" s="25">
        <v>313.5</v>
      </c>
      <c r="O73" s="25">
        <v>318.5</v>
      </c>
      <c r="P73" s="25">
        <v>763</v>
      </c>
      <c r="Q73" s="25">
        <v>698.721</v>
      </c>
      <c r="R73" s="25">
        <v>560.20000000000005</v>
      </c>
      <c r="S73" s="25">
        <v>1058.5999999999999</v>
      </c>
      <c r="T73" s="25">
        <v>25.7</v>
      </c>
      <c r="U73" s="25">
        <v>17</v>
      </c>
      <c r="V73" s="25">
        <v>19.600000000000001</v>
      </c>
      <c r="W73" s="227"/>
    </row>
    <row r="74" spans="1:23" s="153" customFormat="1" ht="11.45" customHeight="1" x14ac:dyDescent="0.2">
      <c r="A74" s="1833">
        <v>2013</v>
      </c>
      <c r="B74" s="290" t="s">
        <v>552</v>
      </c>
      <c r="C74" s="281">
        <v>1285.5</v>
      </c>
      <c r="D74" s="281">
        <v>82.8</v>
      </c>
      <c r="E74" s="281">
        <v>127.2</v>
      </c>
      <c r="F74" s="281">
        <v>103.4</v>
      </c>
      <c r="G74" s="281">
        <v>107.7</v>
      </c>
      <c r="H74" s="281">
        <v>92.6</v>
      </c>
      <c r="I74" s="281">
        <v>408</v>
      </c>
      <c r="J74" s="281">
        <v>321.5</v>
      </c>
      <c r="K74" s="281">
        <v>538.29999999999995</v>
      </c>
      <c r="L74" s="281">
        <v>636</v>
      </c>
      <c r="M74" s="281" t="s">
        <v>288</v>
      </c>
      <c r="N74" s="281">
        <v>304.7</v>
      </c>
      <c r="O74" s="281">
        <v>318.5</v>
      </c>
      <c r="P74" s="281">
        <v>729.9</v>
      </c>
      <c r="Q74" s="281">
        <v>689.00300000000004</v>
      </c>
      <c r="R74" s="281">
        <v>548.29999999999995</v>
      </c>
      <c r="S74" s="281">
        <v>1000.8</v>
      </c>
      <c r="T74" s="281">
        <v>25.3</v>
      </c>
      <c r="U74" s="281">
        <v>17.100000000000001</v>
      </c>
      <c r="V74" s="281">
        <v>20.5</v>
      </c>
      <c r="W74" s="227"/>
    </row>
    <row r="75" spans="1:23" s="153" customFormat="1" ht="11.45" customHeight="1" x14ac:dyDescent="0.2">
      <c r="A75" s="1833">
        <v>2013</v>
      </c>
      <c r="B75" s="990" t="s">
        <v>553</v>
      </c>
      <c r="C75" s="25">
        <v>1351.7</v>
      </c>
      <c r="D75" s="25">
        <v>82.5</v>
      </c>
      <c r="E75" s="25">
        <v>137.1</v>
      </c>
      <c r="F75" s="25">
        <v>106.7</v>
      </c>
      <c r="G75" s="25">
        <v>111</v>
      </c>
      <c r="H75" s="25">
        <v>92.7</v>
      </c>
      <c r="I75" s="25">
        <v>357.5</v>
      </c>
      <c r="J75" s="25">
        <v>303.3</v>
      </c>
      <c r="K75" s="25">
        <v>503.8</v>
      </c>
      <c r="L75" s="25">
        <v>672.4</v>
      </c>
      <c r="M75" s="25" t="s">
        <v>288</v>
      </c>
      <c r="N75" s="25">
        <v>305.5</v>
      </c>
      <c r="O75" s="25">
        <v>295.39999999999998</v>
      </c>
      <c r="P75" s="25">
        <v>722.8</v>
      </c>
      <c r="Q75" s="25">
        <v>678.47</v>
      </c>
      <c r="R75" s="25">
        <v>498</v>
      </c>
      <c r="S75" s="25">
        <v>944.3</v>
      </c>
      <c r="T75" s="25">
        <v>25.8</v>
      </c>
      <c r="U75" s="25">
        <v>17.2</v>
      </c>
      <c r="V75" s="25">
        <v>21.4</v>
      </c>
      <c r="W75" s="227"/>
    </row>
    <row r="76" spans="1:23" s="153" customFormat="1" ht="11.45" customHeight="1" x14ac:dyDescent="0.2">
      <c r="A76" s="1833">
        <v>2013</v>
      </c>
      <c r="B76" s="290" t="s">
        <v>547</v>
      </c>
      <c r="C76" s="281">
        <v>1348.6</v>
      </c>
      <c r="D76" s="281">
        <v>83.2</v>
      </c>
      <c r="E76" s="281">
        <v>134.19999999999999</v>
      </c>
      <c r="F76" s="281">
        <v>108.4</v>
      </c>
      <c r="G76" s="281">
        <v>111.6</v>
      </c>
      <c r="H76" s="281">
        <v>90.1</v>
      </c>
      <c r="I76" s="281">
        <v>332.5</v>
      </c>
      <c r="J76" s="281">
        <v>297.8</v>
      </c>
      <c r="K76" s="281">
        <v>470</v>
      </c>
      <c r="L76" s="281">
        <v>624.10900000000004</v>
      </c>
      <c r="M76" s="281" t="s">
        <v>288</v>
      </c>
      <c r="N76" s="281">
        <v>307.5</v>
      </c>
      <c r="O76" s="281">
        <v>284.10000000000002</v>
      </c>
      <c r="P76" s="281">
        <v>725.8</v>
      </c>
      <c r="Q76" s="281">
        <v>693.41499999999996</v>
      </c>
      <c r="R76" s="281">
        <v>503.2</v>
      </c>
      <c r="S76" s="281">
        <v>935</v>
      </c>
      <c r="T76" s="281">
        <v>26.4</v>
      </c>
      <c r="U76" s="281">
        <v>17.600000000000001</v>
      </c>
      <c r="V76" s="281">
        <v>21.6</v>
      </c>
      <c r="W76" s="227"/>
    </row>
    <row r="77" spans="1:23" s="153" customFormat="1" ht="11.45" customHeight="1" x14ac:dyDescent="0.2">
      <c r="A77" s="1833">
        <v>2013</v>
      </c>
      <c r="B77" s="990" t="s">
        <v>554</v>
      </c>
      <c r="C77" s="25">
        <v>1316.58</v>
      </c>
      <c r="D77" s="25">
        <v>85.084800000000001</v>
      </c>
      <c r="E77" s="25">
        <v>132.57</v>
      </c>
      <c r="F77" s="25">
        <v>106.39400000000001</v>
      </c>
      <c r="G77" s="25">
        <v>109.479</v>
      </c>
      <c r="H77" s="25">
        <v>89.347800000000007</v>
      </c>
      <c r="I77" s="25">
        <v>310</v>
      </c>
      <c r="J77" s="25">
        <v>299.3</v>
      </c>
      <c r="K77" s="25">
        <v>453.26100000000002</v>
      </c>
      <c r="L77" s="25">
        <v>576.87199999999996</v>
      </c>
      <c r="M77" s="25" t="s">
        <v>288</v>
      </c>
      <c r="N77" s="25">
        <v>325.07299999999998</v>
      </c>
      <c r="O77" s="25">
        <v>271.5</v>
      </c>
      <c r="P77" s="25">
        <v>762.62099999999998</v>
      </c>
      <c r="Q77" s="25">
        <v>683.98800000000006</v>
      </c>
      <c r="R77" s="25">
        <v>472.82799999999997</v>
      </c>
      <c r="S77" s="25">
        <v>897.66399999999999</v>
      </c>
      <c r="T77" s="25">
        <v>26.766200000000001</v>
      </c>
      <c r="U77" s="25">
        <v>18.8126</v>
      </c>
      <c r="V77" s="25">
        <v>22.193899999999999</v>
      </c>
      <c r="W77" s="227"/>
    </row>
    <row r="78" spans="1:23" s="153" customFormat="1" ht="11.45" customHeight="1" x14ac:dyDescent="0.2">
      <c r="A78" s="1833">
        <v>2013</v>
      </c>
      <c r="B78" s="290" t="s">
        <v>555</v>
      </c>
      <c r="C78" s="281">
        <v>1275.8599999999999</v>
      </c>
      <c r="D78" s="281">
        <v>88.125</v>
      </c>
      <c r="E78" s="281">
        <v>135.32</v>
      </c>
      <c r="F78" s="281">
        <v>105.854</v>
      </c>
      <c r="G78" s="281">
        <v>108.07599999999999</v>
      </c>
      <c r="H78" s="281">
        <v>84.647599999999997</v>
      </c>
      <c r="I78" s="281">
        <v>295</v>
      </c>
      <c r="J78" s="281">
        <v>312.375</v>
      </c>
      <c r="K78" s="281">
        <v>448.81</v>
      </c>
      <c r="L78" s="281">
        <v>651.79999999999995</v>
      </c>
      <c r="M78" s="281" t="s">
        <v>288</v>
      </c>
      <c r="N78" s="281">
        <v>306.75200000000001</v>
      </c>
      <c r="O78" s="281">
        <v>278.2</v>
      </c>
      <c r="P78" s="281">
        <v>810.30100000000004</v>
      </c>
      <c r="Q78" s="281">
        <v>682.81200000000001</v>
      </c>
      <c r="R78" s="281">
        <v>476.66199999999998</v>
      </c>
      <c r="S78" s="281">
        <v>897.31299999999999</v>
      </c>
      <c r="T78" s="281">
        <v>26.7361</v>
      </c>
      <c r="U78" s="281">
        <v>17.739000000000001</v>
      </c>
      <c r="V78" s="281">
        <v>21.6065</v>
      </c>
      <c r="W78" s="227"/>
    </row>
    <row r="79" spans="1:23" s="153" customFormat="1" ht="11.45" customHeight="1" x14ac:dyDescent="0.2">
      <c r="A79" s="1833">
        <v>2013</v>
      </c>
      <c r="B79" s="990" t="s">
        <v>548</v>
      </c>
      <c r="C79" s="25">
        <v>1221.51</v>
      </c>
      <c r="D79" s="25">
        <v>90.361599999999996</v>
      </c>
      <c r="E79" s="25">
        <v>135.79</v>
      </c>
      <c r="F79" s="25">
        <v>107.943</v>
      </c>
      <c r="G79" s="25">
        <v>110.634</v>
      </c>
      <c r="H79" s="25">
        <v>87.487499999999997</v>
      </c>
      <c r="I79" s="25">
        <v>298.75</v>
      </c>
      <c r="J79" s="25">
        <v>330.125</v>
      </c>
      <c r="K79" s="25">
        <v>447.54500000000002</v>
      </c>
      <c r="L79" s="25">
        <v>581.40300000000002</v>
      </c>
      <c r="M79" s="25" t="s">
        <v>288</v>
      </c>
      <c r="N79" s="25">
        <v>291.55700000000002</v>
      </c>
      <c r="O79" s="25">
        <v>535.5</v>
      </c>
      <c r="P79" s="25">
        <v>795.27499999999998</v>
      </c>
      <c r="Q79" s="25">
        <v>750.1</v>
      </c>
      <c r="R79" s="25">
        <v>488.66899999999998</v>
      </c>
      <c r="S79" s="25">
        <v>872.47299999999996</v>
      </c>
      <c r="T79" s="25">
        <v>27.228300000000001</v>
      </c>
      <c r="U79" s="25">
        <v>16.5</v>
      </c>
      <c r="V79" s="25">
        <v>20.7</v>
      </c>
      <c r="W79" s="227"/>
    </row>
    <row r="80" spans="1:23" s="153" customFormat="1" ht="11.45" customHeight="1" x14ac:dyDescent="0.2">
      <c r="A80" s="1833">
        <v>2014</v>
      </c>
      <c r="B80" s="990" t="s">
        <v>556</v>
      </c>
      <c r="C80" s="25">
        <v>1244.27</v>
      </c>
      <c r="D80" s="25">
        <v>87.439300000000003</v>
      </c>
      <c r="E80" s="25">
        <v>128.119</v>
      </c>
      <c r="F80" s="25">
        <v>104.18899999999999</v>
      </c>
      <c r="G80" s="25">
        <v>107.57</v>
      </c>
      <c r="H80" s="25">
        <v>90.9636</v>
      </c>
      <c r="I80" s="25">
        <v>322</v>
      </c>
      <c r="J80" s="25">
        <v>352.6</v>
      </c>
      <c r="K80" s="25">
        <v>441.04300000000001</v>
      </c>
      <c r="L80" s="25">
        <v>539.23500000000001</v>
      </c>
      <c r="M80" s="25" t="s">
        <v>288</v>
      </c>
      <c r="N80" s="25">
        <v>275.53399999999999</v>
      </c>
      <c r="O80" s="25">
        <v>330.7</v>
      </c>
      <c r="P80" s="25">
        <v>769.33699999999999</v>
      </c>
      <c r="Q80" s="25">
        <v>763.32399999999996</v>
      </c>
      <c r="R80" s="25">
        <v>476.10199999999998</v>
      </c>
      <c r="S80" s="25">
        <v>831.35199999999998</v>
      </c>
      <c r="T80" s="25">
        <v>27.393599999999999</v>
      </c>
      <c r="U80" s="25">
        <v>15.707599999999999</v>
      </c>
      <c r="V80" s="25">
        <v>21.578099999999999</v>
      </c>
      <c r="W80" s="227"/>
    </row>
    <row r="81" spans="1:25" s="153" customFormat="1" ht="11.45" customHeight="1" x14ac:dyDescent="0.2">
      <c r="A81" s="1833">
        <v>2014</v>
      </c>
      <c r="B81" s="290" t="s">
        <v>557</v>
      </c>
      <c r="C81" s="281">
        <v>1299.58</v>
      </c>
      <c r="D81" s="281">
        <v>81.7393</v>
      </c>
      <c r="E81" s="281">
        <v>121.37</v>
      </c>
      <c r="F81" s="281">
        <v>104.94199999999999</v>
      </c>
      <c r="G81" s="281">
        <v>108.812</v>
      </c>
      <c r="H81" s="281">
        <v>94.05</v>
      </c>
      <c r="I81" s="281">
        <v>387.5</v>
      </c>
      <c r="J81" s="281">
        <v>344.125</v>
      </c>
      <c r="K81" s="281">
        <v>447</v>
      </c>
      <c r="L81" s="281">
        <v>527.82299999999998</v>
      </c>
      <c r="M81" s="281" t="s">
        <v>288</v>
      </c>
      <c r="N81" s="281">
        <v>292.267</v>
      </c>
      <c r="O81" s="281">
        <v>332.3</v>
      </c>
      <c r="P81" s="281">
        <v>811.20500000000004</v>
      </c>
      <c r="Q81" s="281">
        <v>756.01400000000001</v>
      </c>
      <c r="R81" s="281">
        <v>496.79899999999998</v>
      </c>
      <c r="S81" s="281">
        <v>873.65599999999995</v>
      </c>
      <c r="T81" s="281">
        <v>27.5045</v>
      </c>
      <c r="U81" s="281">
        <v>16.885300000000001</v>
      </c>
      <c r="V81" s="281">
        <v>22.596299999999999</v>
      </c>
      <c r="W81" s="227"/>
    </row>
    <row r="82" spans="1:25" s="153" customFormat="1" ht="11.45" customHeight="1" x14ac:dyDescent="0.2">
      <c r="A82" s="1833">
        <v>2014</v>
      </c>
      <c r="B82" s="1831" t="s">
        <v>549</v>
      </c>
      <c r="C82" s="237">
        <v>1336.08</v>
      </c>
      <c r="D82" s="237">
        <v>78.578599999999994</v>
      </c>
      <c r="E82" s="237">
        <v>111.833</v>
      </c>
      <c r="F82" s="237">
        <v>104.15</v>
      </c>
      <c r="G82" s="237">
        <v>107.40600000000001</v>
      </c>
      <c r="H82" s="237">
        <v>96.947599999999994</v>
      </c>
      <c r="I82" s="237">
        <v>388.125</v>
      </c>
      <c r="J82" s="237">
        <v>315.75</v>
      </c>
      <c r="K82" s="237">
        <v>434.14299999999997</v>
      </c>
      <c r="L82" s="237">
        <v>501.971</v>
      </c>
      <c r="M82" s="237" t="s">
        <v>288</v>
      </c>
      <c r="N82" s="237">
        <v>323.55399999999997</v>
      </c>
      <c r="O82" s="237">
        <v>330.2</v>
      </c>
      <c r="P82" s="237">
        <v>860.51900000000001</v>
      </c>
      <c r="Q82" s="237">
        <v>767.65</v>
      </c>
      <c r="R82" s="237">
        <v>522.00099999999998</v>
      </c>
      <c r="S82" s="237">
        <v>928.54399999999998</v>
      </c>
      <c r="T82" s="237">
        <v>27.642099999999999</v>
      </c>
      <c r="U82" s="237">
        <v>17.888100000000001</v>
      </c>
      <c r="V82" s="237">
        <v>23.011900000000001</v>
      </c>
      <c r="W82" s="227"/>
    </row>
    <row r="83" spans="1:25" s="153" customFormat="1" ht="11.45" customHeight="1" x14ac:dyDescent="0.2">
      <c r="A83" s="1833">
        <v>2014</v>
      </c>
      <c r="B83" s="1832" t="s">
        <v>558</v>
      </c>
      <c r="C83" s="276">
        <v>1298.45</v>
      </c>
      <c r="D83" s="276">
        <v>78.0214</v>
      </c>
      <c r="E83" s="276">
        <v>114.581</v>
      </c>
      <c r="F83" s="276">
        <v>104.777</v>
      </c>
      <c r="G83" s="276">
        <v>107.875</v>
      </c>
      <c r="H83" s="276">
        <v>94.202500000000001</v>
      </c>
      <c r="I83" s="276">
        <v>371.25</v>
      </c>
      <c r="J83" s="276">
        <v>291.125</v>
      </c>
      <c r="K83" s="276">
        <v>409.94099999999997</v>
      </c>
      <c r="L83" s="276">
        <v>489.66300000000001</v>
      </c>
      <c r="M83" s="276" t="s">
        <v>288</v>
      </c>
      <c r="N83" s="276">
        <v>324.93200000000002</v>
      </c>
      <c r="O83" s="276">
        <v>332.5</v>
      </c>
      <c r="P83" s="276">
        <v>825.32500000000005</v>
      </c>
      <c r="Q83" s="276">
        <v>783.61800000000005</v>
      </c>
      <c r="R83" s="276">
        <v>547.18799999999999</v>
      </c>
      <c r="S83" s="276">
        <v>934.09699999999998</v>
      </c>
      <c r="T83" s="276">
        <v>27.832899999999999</v>
      </c>
      <c r="U83" s="276">
        <v>18.2148</v>
      </c>
      <c r="V83" s="276">
        <v>24.65</v>
      </c>
      <c r="W83" s="227"/>
    </row>
    <row r="84" spans="1:25" s="153" customFormat="1" ht="11.45" customHeight="1" x14ac:dyDescent="0.2">
      <c r="A84" s="1833">
        <v>2014</v>
      </c>
      <c r="B84" s="1831" t="s">
        <v>559</v>
      </c>
      <c r="C84" s="237">
        <v>1288.74</v>
      </c>
      <c r="D84" s="237">
        <v>78.953599999999994</v>
      </c>
      <c r="E84" s="237">
        <v>100.56</v>
      </c>
      <c r="F84" s="237">
        <v>105.515</v>
      </c>
      <c r="G84" s="237">
        <v>109.676</v>
      </c>
      <c r="H84" s="237">
        <v>92.712500000000006</v>
      </c>
      <c r="I84" s="237">
        <v>365</v>
      </c>
      <c r="J84" s="237">
        <v>299.10000000000002</v>
      </c>
      <c r="K84" s="237">
        <v>403.59100000000001</v>
      </c>
      <c r="L84" s="237">
        <v>481.29500000000002</v>
      </c>
      <c r="M84" s="237" t="s">
        <v>288</v>
      </c>
      <c r="N84" s="237">
        <v>334.74799999999999</v>
      </c>
      <c r="O84" s="237">
        <v>348.2</v>
      </c>
      <c r="P84" s="237">
        <v>800.28700000000003</v>
      </c>
      <c r="Q84" s="237">
        <v>800.096</v>
      </c>
      <c r="R84" s="237">
        <v>546.03300000000002</v>
      </c>
      <c r="S84" s="237">
        <v>893.53200000000004</v>
      </c>
      <c r="T84" s="237">
        <v>28.010100000000001</v>
      </c>
      <c r="U84" s="237">
        <v>18.240500000000001</v>
      </c>
      <c r="V84" s="237">
        <v>25.1586</v>
      </c>
      <c r="W84" s="227"/>
    </row>
    <row r="85" spans="1:25" s="153" customFormat="1" ht="11.45" customHeight="1" x14ac:dyDescent="0.2">
      <c r="A85" s="1833">
        <v>2014</v>
      </c>
      <c r="B85" s="1832" t="s">
        <v>550</v>
      </c>
      <c r="C85" s="276">
        <v>1279.0999999999999</v>
      </c>
      <c r="D85" s="276">
        <v>76.585700000000003</v>
      </c>
      <c r="E85" s="276">
        <v>92.742900000000006</v>
      </c>
      <c r="F85" s="276">
        <v>108.008</v>
      </c>
      <c r="G85" s="276">
        <v>111.86799999999999</v>
      </c>
      <c r="H85" s="276">
        <v>90.897599999999997</v>
      </c>
      <c r="I85" s="276">
        <v>371.25</v>
      </c>
      <c r="J85" s="276">
        <v>297.875</v>
      </c>
      <c r="K85" s="276">
        <v>414.66699999999997</v>
      </c>
      <c r="L85" s="276">
        <v>477.81</v>
      </c>
      <c r="M85" s="276" t="s">
        <v>288</v>
      </c>
      <c r="N85" s="276">
        <v>306.53399999999999</v>
      </c>
      <c r="O85" s="276">
        <v>334.4</v>
      </c>
      <c r="P85" s="276">
        <v>758.47199999999998</v>
      </c>
      <c r="Q85" s="276">
        <v>777.03399999999999</v>
      </c>
      <c r="R85" s="276">
        <v>528.00300000000004</v>
      </c>
      <c r="S85" s="276">
        <v>871.57</v>
      </c>
      <c r="T85" s="276">
        <v>28.109500000000001</v>
      </c>
      <c r="U85" s="276">
        <v>18.241900000000001</v>
      </c>
      <c r="V85" s="276">
        <v>25.946200000000001</v>
      </c>
      <c r="W85" s="227"/>
    </row>
    <row r="86" spans="1:25" s="153" customFormat="1" ht="11.45" customHeight="1" x14ac:dyDescent="0.2">
      <c r="A86" s="1833">
        <v>2014</v>
      </c>
      <c r="B86" s="1831" t="s">
        <v>552</v>
      </c>
      <c r="C86" s="237">
        <v>1310.5899999999999</v>
      </c>
      <c r="D86" s="237">
        <v>73.660700000000006</v>
      </c>
      <c r="E86" s="237">
        <v>95.9739</v>
      </c>
      <c r="F86" s="237">
        <v>105.705</v>
      </c>
      <c r="G86" s="237">
        <v>106.983</v>
      </c>
      <c r="H86" s="237">
        <v>83.837000000000003</v>
      </c>
      <c r="I86" s="237">
        <v>411.5</v>
      </c>
      <c r="J86" s="237">
        <v>301.7</v>
      </c>
      <c r="K86" s="237">
        <v>428</v>
      </c>
      <c r="L86" s="237">
        <v>479.64800000000002</v>
      </c>
      <c r="M86" s="237" t="s">
        <v>288</v>
      </c>
      <c r="N86" s="237">
        <v>280.36</v>
      </c>
      <c r="O86" s="237">
        <v>336.9</v>
      </c>
      <c r="P86" s="237">
        <v>752.88499999999999</v>
      </c>
      <c r="Q86" s="237">
        <v>774.80799999999999</v>
      </c>
      <c r="R86" s="237">
        <v>463.23399999999998</v>
      </c>
      <c r="S86" s="237">
        <v>813.85599999999999</v>
      </c>
      <c r="T86" s="237">
        <v>28.387699999999999</v>
      </c>
      <c r="U86" s="237">
        <v>18.730499999999999</v>
      </c>
      <c r="V86" s="237">
        <v>25.58</v>
      </c>
      <c r="W86" s="227"/>
    </row>
    <row r="87" spans="1:25" s="153" customFormat="1" ht="11.45" customHeight="1" x14ac:dyDescent="0.2">
      <c r="A87" s="1833">
        <v>2014</v>
      </c>
      <c r="B87" s="1832" t="s">
        <v>553</v>
      </c>
      <c r="C87" s="276">
        <v>1295.1300000000001</v>
      </c>
      <c r="D87" s="276">
        <v>73.8643</v>
      </c>
      <c r="E87" s="276">
        <v>92.633300000000006</v>
      </c>
      <c r="F87" s="276">
        <v>101.854</v>
      </c>
      <c r="G87" s="276">
        <v>101.922</v>
      </c>
      <c r="H87" s="276" t="s">
        <v>288</v>
      </c>
      <c r="I87" s="276">
        <v>417.5</v>
      </c>
      <c r="J87" s="276">
        <v>321.875</v>
      </c>
      <c r="K87" s="276" t="s">
        <v>288</v>
      </c>
      <c r="L87" s="276">
        <v>480.077</v>
      </c>
      <c r="M87" s="276" t="s">
        <v>288</v>
      </c>
      <c r="N87" s="276">
        <v>263.40899999999999</v>
      </c>
      <c r="O87" s="276">
        <v>349.8</v>
      </c>
      <c r="P87" s="276">
        <v>677.86199999999997</v>
      </c>
      <c r="Q87" s="276">
        <v>798.37099999999998</v>
      </c>
      <c r="R87" s="276">
        <v>432.98500000000001</v>
      </c>
      <c r="S87" s="276">
        <v>745.84400000000005</v>
      </c>
      <c r="T87" s="276">
        <v>27.773399999999999</v>
      </c>
      <c r="U87" s="276">
        <v>17.717600000000001</v>
      </c>
      <c r="V87" s="276" t="s">
        <v>288</v>
      </c>
      <c r="W87" s="227"/>
    </row>
    <row r="88" spans="1:25" s="153" customFormat="1" ht="11.45" customHeight="1" x14ac:dyDescent="0.2">
      <c r="A88" s="1833">
        <v>2014</v>
      </c>
      <c r="B88" s="1831" t="s">
        <v>547</v>
      </c>
      <c r="C88" s="237">
        <v>1236.55</v>
      </c>
      <c r="D88" s="237">
        <v>70.650000000000006</v>
      </c>
      <c r="E88" s="237">
        <v>82.268199999999993</v>
      </c>
      <c r="F88" s="237">
        <v>96.988200000000006</v>
      </c>
      <c r="G88" s="237">
        <v>97.336399999999998</v>
      </c>
      <c r="H88" s="237" t="s">
        <v>288</v>
      </c>
      <c r="I88" s="237">
        <v>410</v>
      </c>
      <c r="J88" s="237">
        <v>325.625</v>
      </c>
      <c r="K88" s="237" t="s">
        <v>288</v>
      </c>
      <c r="L88" s="237">
        <v>484.238</v>
      </c>
      <c r="M88" s="237" t="s">
        <v>288</v>
      </c>
      <c r="N88" s="237">
        <v>243.72</v>
      </c>
      <c r="O88" s="237">
        <v>328.6</v>
      </c>
      <c r="P88" s="237">
        <v>656.98299999999995</v>
      </c>
      <c r="Q88" s="237">
        <v>737.71699999999998</v>
      </c>
      <c r="R88" s="237">
        <v>368.85</v>
      </c>
      <c r="S88" s="237">
        <v>711.73500000000001</v>
      </c>
      <c r="T88" s="237">
        <v>27.0992</v>
      </c>
      <c r="U88" s="237">
        <v>16.5443</v>
      </c>
      <c r="V88" s="237" t="s">
        <v>288</v>
      </c>
      <c r="W88" s="227"/>
    </row>
    <row r="89" spans="1:25" s="153" customFormat="1" ht="11.45" customHeight="1" x14ac:dyDescent="0.2">
      <c r="A89" s="1833">
        <v>2014</v>
      </c>
      <c r="B89" s="1832" t="s">
        <v>554</v>
      </c>
      <c r="C89" s="276">
        <v>1222.49</v>
      </c>
      <c r="D89" s="276">
        <v>68.2607</v>
      </c>
      <c r="E89" s="276">
        <v>80.091300000000004</v>
      </c>
      <c r="F89" s="276">
        <v>86.716099999999997</v>
      </c>
      <c r="G89" s="276">
        <v>87.269599999999997</v>
      </c>
      <c r="H89" s="276" t="s">
        <v>288</v>
      </c>
      <c r="I89" s="276">
        <v>410</v>
      </c>
      <c r="J89" s="276">
        <v>321.125</v>
      </c>
      <c r="K89" s="276" t="s">
        <v>288</v>
      </c>
      <c r="L89" s="276">
        <v>482.97699999999998</v>
      </c>
      <c r="M89" s="276" t="s">
        <v>288</v>
      </c>
      <c r="N89" s="276">
        <v>245.38499999999999</v>
      </c>
      <c r="O89" s="276">
        <v>338</v>
      </c>
      <c r="P89" s="276">
        <v>673.08699999999999</v>
      </c>
      <c r="Q89" s="276">
        <v>717.75900000000001</v>
      </c>
      <c r="R89" s="276">
        <v>354.44099999999997</v>
      </c>
      <c r="S89" s="276">
        <v>721.38</v>
      </c>
      <c r="T89" s="276">
        <v>26.714500000000001</v>
      </c>
      <c r="U89" s="276">
        <v>16.4757</v>
      </c>
      <c r="V89" s="276" t="s">
        <v>288</v>
      </c>
      <c r="W89" s="227"/>
    </row>
    <row r="90" spans="1:25" s="153" customFormat="1" ht="11.45" customHeight="1" x14ac:dyDescent="0.2">
      <c r="A90" s="1833">
        <v>2014</v>
      </c>
      <c r="B90" s="1831" t="s">
        <v>555</v>
      </c>
      <c r="C90" s="237">
        <v>1175.33</v>
      </c>
      <c r="D90" s="237">
        <v>67.017899999999997</v>
      </c>
      <c r="E90" s="237">
        <v>73.125</v>
      </c>
      <c r="F90" s="237">
        <v>76.734499999999997</v>
      </c>
      <c r="G90" s="237">
        <v>78.438000000000002</v>
      </c>
      <c r="H90" s="237" t="s">
        <v>288</v>
      </c>
      <c r="I90" s="237">
        <v>405</v>
      </c>
      <c r="J90" s="237">
        <v>311.25</v>
      </c>
      <c r="K90" s="237" t="s">
        <v>288</v>
      </c>
      <c r="L90" s="237">
        <v>528.029</v>
      </c>
      <c r="M90" s="237" t="s">
        <v>288</v>
      </c>
      <c r="N90" s="237">
        <v>258.65899999999999</v>
      </c>
      <c r="O90" s="237" t="s">
        <v>288</v>
      </c>
      <c r="P90" s="237">
        <v>662.40300000000002</v>
      </c>
      <c r="Q90" s="237">
        <v>708.56700000000001</v>
      </c>
      <c r="R90" s="237">
        <v>379.34500000000003</v>
      </c>
      <c r="S90" s="237">
        <v>721.39800000000002</v>
      </c>
      <c r="T90" s="237">
        <v>26.2486</v>
      </c>
      <c r="U90" s="237">
        <v>15.8789</v>
      </c>
      <c r="V90" s="237" t="s">
        <v>288</v>
      </c>
      <c r="W90" s="227"/>
    </row>
    <row r="91" spans="1:25" s="153" customFormat="1" ht="11.45" customHeight="1" x14ac:dyDescent="0.2">
      <c r="A91" s="1833">
        <v>2014</v>
      </c>
      <c r="B91" s="1832" t="s">
        <v>548</v>
      </c>
      <c r="C91" s="276">
        <v>1200.6199999999999</v>
      </c>
      <c r="D91" s="276">
        <v>66.674999999999997</v>
      </c>
      <c r="E91" s="276">
        <v>68.8</v>
      </c>
      <c r="F91" s="276">
        <v>60.3917</v>
      </c>
      <c r="G91" s="276">
        <v>62.162999999999997</v>
      </c>
      <c r="H91" s="276" t="s">
        <v>288</v>
      </c>
      <c r="I91" s="276">
        <v>401</v>
      </c>
      <c r="J91" s="276">
        <v>312.375</v>
      </c>
      <c r="K91" s="276" t="s">
        <v>288</v>
      </c>
      <c r="L91" s="276">
        <v>463.73700000000002</v>
      </c>
      <c r="M91" s="276" t="s">
        <v>288</v>
      </c>
      <c r="N91" s="276">
        <v>269.637</v>
      </c>
      <c r="O91" s="276" t="s">
        <v>288</v>
      </c>
      <c r="P91" s="276">
        <v>624.53499999999997</v>
      </c>
      <c r="Q91" s="276">
        <v>676.36400000000003</v>
      </c>
      <c r="R91" s="276">
        <v>378.78199999999998</v>
      </c>
      <c r="S91" s="276">
        <v>705.55899999999997</v>
      </c>
      <c r="T91" s="276">
        <v>26.016500000000001</v>
      </c>
      <c r="U91" s="276">
        <v>14.9923</v>
      </c>
      <c r="V91" s="276" t="s">
        <v>3075</v>
      </c>
      <c r="W91" s="227"/>
    </row>
    <row r="92" spans="1:25" s="153" customFormat="1" ht="11.45" customHeight="1" x14ac:dyDescent="0.2">
      <c r="A92" s="1747">
        <v>2015</v>
      </c>
      <c r="B92" s="829" t="s">
        <v>556</v>
      </c>
      <c r="C92" s="237">
        <v>1250.75</v>
      </c>
      <c r="D92" s="237">
        <v>66.535700000000006</v>
      </c>
      <c r="E92" s="237">
        <v>67.386399999999995</v>
      </c>
      <c r="F92" s="237">
        <v>46.335000000000001</v>
      </c>
      <c r="G92" s="237">
        <v>48.416800000000002</v>
      </c>
      <c r="H92" s="237">
        <v>67.349999999999994</v>
      </c>
      <c r="I92" s="237">
        <v>400</v>
      </c>
      <c r="J92" s="237">
        <v>319.2</v>
      </c>
      <c r="K92" s="237" t="s">
        <v>288</v>
      </c>
      <c r="L92" s="237">
        <v>546.59199999999998</v>
      </c>
      <c r="M92" s="237" t="s">
        <v>288</v>
      </c>
      <c r="N92" s="237">
        <v>210.608</v>
      </c>
      <c r="O92" s="237">
        <v>261.8</v>
      </c>
      <c r="P92" s="237">
        <v>641.59699999999998</v>
      </c>
      <c r="Q92" s="237">
        <v>617.11199999999997</v>
      </c>
      <c r="R92" s="237">
        <v>379.041</v>
      </c>
      <c r="S92" s="237">
        <v>707.88099999999997</v>
      </c>
      <c r="T92" s="237">
        <v>25.170200000000001</v>
      </c>
      <c r="U92" s="237">
        <v>15.0625</v>
      </c>
      <c r="V92" s="237">
        <v>25.24</v>
      </c>
      <c r="W92" s="227"/>
      <c r="Y92" s="227"/>
    </row>
    <row r="93" spans="1:25" s="153" customFormat="1" ht="11.45" customHeight="1" x14ac:dyDescent="0.2">
      <c r="A93" s="1747">
        <v>2015</v>
      </c>
      <c r="B93" s="830" t="s">
        <v>557</v>
      </c>
      <c r="C93" s="276">
        <v>1227.08</v>
      </c>
      <c r="D93" s="276">
        <v>65.785700000000006</v>
      </c>
      <c r="E93" s="276">
        <v>62.69</v>
      </c>
      <c r="F93" s="276">
        <v>56.15</v>
      </c>
      <c r="G93" s="276">
        <v>57.930500000000002</v>
      </c>
      <c r="H93" s="276">
        <v>69.842500000000001</v>
      </c>
      <c r="I93" s="276">
        <v>400</v>
      </c>
      <c r="J93" s="276">
        <v>297</v>
      </c>
      <c r="K93" s="276" t="s">
        <v>288</v>
      </c>
      <c r="L93" s="276">
        <v>501.76499999999999</v>
      </c>
      <c r="M93" s="276" t="s">
        <v>288</v>
      </c>
      <c r="N93" s="276">
        <v>201.714</v>
      </c>
      <c r="O93" s="276">
        <v>253</v>
      </c>
      <c r="P93" s="276">
        <v>634.37800000000004</v>
      </c>
      <c r="Q93" s="276">
        <v>628.54300000000001</v>
      </c>
      <c r="R93" s="276">
        <v>374.25200000000001</v>
      </c>
      <c r="S93" s="276">
        <v>697.93600000000004</v>
      </c>
      <c r="T93" s="276">
        <v>25.485399999999998</v>
      </c>
      <c r="U93" s="276">
        <v>14.5121</v>
      </c>
      <c r="V93" s="276">
        <v>24.62</v>
      </c>
      <c r="W93" s="227"/>
      <c r="Y93" s="227"/>
    </row>
    <row r="94" spans="1:25" s="153" customFormat="1" ht="11.45" customHeight="1" x14ac:dyDescent="0.2">
      <c r="A94" s="1747">
        <v>2015</v>
      </c>
      <c r="B94" s="829" t="s">
        <v>549</v>
      </c>
      <c r="C94" s="237">
        <v>1178.6300000000001</v>
      </c>
      <c r="D94" s="237">
        <v>64.408900000000003</v>
      </c>
      <c r="E94" s="237">
        <v>56.940899999999999</v>
      </c>
      <c r="F94" s="237">
        <v>54.909100000000002</v>
      </c>
      <c r="G94" s="237">
        <v>55.791400000000003</v>
      </c>
      <c r="H94" s="237">
        <v>69.3523</v>
      </c>
      <c r="I94" s="237">
        <v>400</v>
      </c>
      <c r="J94" s="237">
        <v>271</v>
      </c>
      <c r="K94" s="237" t="s">
        <v>288</v>
      </c>
      <c r="L94" s="237">
        <v>503.84899999999999</v>
      </c>
      <c r="M94" s="237" t="s">
        <v>288</v>
      </c>
      <c r="N94" s="237">
        <v>202.679</v>
      </c>
      <c r="O94" s="237">
        <v>250.4</v>
      </c>
      <c r="P94" s="237">
        <v>607.65499999999997</v>
      </c>
      <c r="Q94" s="237">
        <v>615.98599999999999</v>
      </c>
      <c r="R94" s="237">
        <v>364.86</v>
      </c>
      <c r="S94" s="237">
        <v>683.43200000000002</v>
      </c>
      <c r="T94" s="237">
        <v>24.9069</v>
      </c>
      <c r="U94" s="237">
        <v>12.8409</v>
      </c>
      <c r="V94" s="237">
        <v>24.4</v>
      </c>
      <c r="W94" s="227"/>
      <c r="Y94" s="227"/>
    </row>
    <row r="95" spans="1:25" s="153" customFormat="1" ht="11.45" customHeight="1" x14ac:dyDescent="0.2">
      <c r="A95" s="1747">
        <v>2015</v>
      </c>
      <c r="B95" s="830" t="s">
        <v>558</v>
      </c>
      <c r="C95" s="276">
        <v>1198.93</v>
      </c>
      <c r="D95" s="276">
        <v>61.943899999999999</v>
      </c>
      <c r="E95" s="276">
        <v>51.15</v>
      </c>
      <c r="F95" s="276">
        <v>58.665500000000002</v>
      </c>
      <c r="G95" s="276">
        <v>59.389499999999998</v>
      </c>
      <c r="H95" s="276">
        <v>71.702500000000001</v>
      </c>
      <c r="I95" s="276">
        <v>380</v>
      </c>
      <c r="J95" s="276">
        <v>259</v>
      </c>
      <c r="K95" s="276" t="s">
        <v>288</v>
      </c>
      <c r="L95" s="276">
        <v>504.22399999999999</v>
      </c>
      <c r="M95" s="276" t="s">
        <v>288</v>
      </c>
      <c r="N95" s="276">
        <v>195.89599999999999</v>
      </c>
      <c r="O95" s="276">
        <v>234.3</v>
      </c>
      <c r="P95" s="276">
        <v>591.78800000000001</v>
      </c>
      <c r="Q95" s="276">
        <v>604.04200000000003</v>
      </c>
      <c r="R95" s="276">
        <v>349.71100000000001</v>
      </c>
      <c r="S95" s="276">
        <v>691.673</v>
      </c>
      <c r="T95" s="276">
        <v>24.853300000000001</v>
      </c>
      <c r="U95" s="276">
        <v>12.911</v>
      </c>
      <c r="V95" s="276">
        <v>24.39</v>
      </c>
      <c r="W95" s="227"/>
      <c r="Y95" s="227"/>
    </row>
    <row r="96" spans="1:25" s="153" customFormat="1" ht="11.45" customHeight="1" x14ac:dyDescent="0.2">
      <c r="A96" s="1747">
        <v>2015</v>
      </c>
      <c r="B96" s="829" t="s">
        <v>559</v>
      </c>
      <c r="C96" s="237">
        <v>1198.6300000000001</v>
      </c>
      <c r="D96" s="237">
        <v>64.711500000000001</v>
      </c>
      <c r="E96" s="237">
        <v>60.2333</v>
      </c>
      <c r="F96" s="237">
        <v>63.674799999999998</v>
      </c>
      <c r="G96" s="237">
        <v>64.561400000000006</v>
      </c>
      <c r="H96" s="237">
        <v>72.863200000000006</v>
      </c>
      <c r="I96" s="237">
        <v>380</v>
      </c>
      <c r="J96" s="237">
        <v>280</v>
      </c>
      <c r="K96" s="237" t="s">
        <v>288</v>
      </c>
      <c r="L96" s="237">
        <v>444.74299999999999</v>
      </c>
      <c r="M96" s="237" t="s">
        <v>288</v>
      </c>
      <c r="N96" s="237">
        <v>193.15199999999999</v>
      </c>
      <c r="O96" s="237">
        <v>234.5</v>
      </c>
      <c r="P96" s="237">
        <v>601.39700000000005</v>
      </c>
      <c r="Q96" s="237">
        <v>595.471</v>
      </c>
      <c r="R96" s="237">
        <v>340.471</v>
      </c>
      <c r="S96" s="237">
        <v>716.49</v>
      </c>
      <c r="T96" s="237">
        <v>25.732500000000002</v>
      </c>
      <c r="U96" s="237">
        <v>12.7035</v>
      </c>
      <c r="V96" s="237">
        <v>24.72</v>
      </c>
      <c r="W96" s="227"/>
      <c r="Y96" s="227"/>
    </row>
    <row r="97" spans="1:25" s="153" customFormat="1" ht="11.45" customHeight="1" x14ac:dyDescent="0.2">
      <c r="A97" s="1747">
        <v>2015</v>
      </c>
      <c r="B97" s="830" t="s">
        <v>550</v>
      </c>
      <c r="C97" s="276">
        <v>1181.5</v>
      </c>
      <c r="D97" s="276">
        <v>63.043799999999997</v>
      </c>
      <c r="E97" s="276">
        <v>62.2864</v>
      </c>
      <c r="F97" s="276">
        <v>61.758600000000001</v>
      </c>
      <c r="G97" s="276">
        <v>62.3459</v>
      </c>
      <c r="H97" s="276">
        <v>72.3523</v>
      </c>
      <c r="I97" s="276">
        <v>380</v>
      </c>
      <c r="J97" s="276">
        <v>292</v>
      </c>
      <c r="K97" s="276" t="s">
        <v>288</v>
      </c>
      <c r="L97" s="276">
        <v>466.17599999999999</v>
      </c>
      <c r="M97" s="276" t="s">
        <v>288</v>
      </c>
      <c r="N97" s="276">
        <v>199.82300000000001</v>
      </c>
      <c r="O97" s="276">
        <v>233.4</v>
      </c>
      <c r="P97" s="276">
        <v>606.404</v>
      </c>
      <c r="Q97" s="276">
        <v>593.16099999999994</v>
      </c>
      <c r="R97" s="276">
        <v>353.90199999999999</v>
      </c>
      <c r="S97" s="276">
        <v>738.03700000000003</v>
      </c>
      <c r="T97" s="276">
        <v>25.865200000000002</v>
      </c>
      <c r="U97" s="276">
        <v>12.1136</v>
      </c>
      <c r="V97" s="276">
        <v>24.76</v>
      </c>
      <c r="W97" s="227"/>
      <c r="Y97" s="227"/>
    </row>
    <row r="98" spans="1:25" s="153" customFormat="1" ht="11.45" customHeight="1" x14ac:dyDescent="0.2">
      <c r="A98" s="1747">
        <v>2015</v>
      </c>
      <c r="B98" s="829" t="s">
        <v>552</v>
      </c>
      <c r="C98" s="237">
        <v>1128.31</v>
      </c>
      <c r="D98" s="237">
        <v>63.353999999999999</v>
      </c>
      <c r="E98" s="237">
        <v>51.504300000000001</v>
      </c>
      <c r="F98" s="237">
        <v>56.266100000000002</v>
      </c>
      <c r="G98" s="237">
        <v>55.865699999999997</v>
      </c>
      <c r="H98" s="237">
        <v>72.347800000000007</v>
      </c>
      <c r="I98" s="237">
        <v>380</v>
      </c>
      <c r="J98" s="237">
        <v>273</v>
      </c>
      <c r="K98" s="237" t="s">
        <v>288</v>
      </c>
      <c r="L98" s="237">
        <v>460.57799999999997</v>
      </c>
      <c r="M98" s="237" t="s">
        <v>288</v>
      </c>
      <c r="N98" s="237">
        <v>199.197</v>
      </c>
      <c r="O98" s="237">
        <v>225.6</v>
      </c>
      <c r="P98" s="237">
        <v>575.68200000000002</v>
      </c>
      <c r="Q98" s="237">
        <v>587.58799999999997</v>
      </c>
      <c r="R98" s="237">
        <v>394.642</v>
      </c>
      <c r="S98" s="237">
        <v>695.78800000000001</v>
      </c>
      <c r="T98" s="237">
        <v>25.8688</v>
      </c>
      <c r="U98" s="237">
        <v>11.8786</v>
      </c>
      <c r="V98" s="237">
        <v>24.67</v>
      </c>
      <c r="W98" s="227"/>
      <c r="Y98" s="227"/>
    </row>
    <row r="99" spans="1:25" s="153" customFormat="1" ht="11.45" customHeight="1" x14ac:dyDescent="0.2">
      <c r="A99" s="1747">
        <v>2015</v>
      </c>
      <c r="B99" s="830" t="s">
        <v>553</v>
      </c>
      <c r="C99" s="276">
        <v>1117.93</v>
      </c>
      <c r="D99" s="276">
        <v>62.7562</v>
      </c>
      <c r="E99" s="276">
        <v>55.381</v>
      </c>
      <c r="F99" s="276">
        <v>47.3033</v>
      </c>
      <c r="G99" s="276">
        <v>46.994300000000003</v>
      </c>
      <c r="H99" s="276">
        <v>71.822500000000005</v>
      </c>
      <c r="I99" s="276">
        <v>380</v>
      </c>
      <c r="J99" s="276">
        <v>273</v>
      </c>
      <c r="K99" s="276" t="s">
        <v>288</v>
      </c>
      <c r="L99" s="276">
        <v>451.36</v>
      </c>
      <c r="M99" s="276" t="s">
        <v>288</v>
      </c>
      <c r="N99" s="276">
        <v>173.46899999999999</v>
      </c>
      <c r="O99" s="276">
        <v>230.2</v>
      </c>
      <c r="P99" s="276">
        <v>484.678</v>
      </c>
      <c r="Q99" s="276">
        <v>538.529</v>
      </c>
      <c r="R99" s="276">
        <v>370.40800000000002</v>
      </c>
      <c r="S99" s="276">
        <v>628.74699999999996</v>
      </c>
      <c r="T99" s="276">
        <v>25.947700000000001</v>
      </c>
      <c r="U99" s="276">
        <v>10.674799999999999</v>
      </c>
      <c r="V99" s="276">
        <v>24.5</v>
      </c>
      <c r="W99" s="227"/>
      <c r="Y99" s="227"/>
    </row>
    <row r="100" spans="1:25" s="153" customFormat="1" ht="11.45" customHeight="1" x14ac:dyDescent="0.2">
      <c r="A100" s="1747">
        <v>2015</v>
      </c>
      <c r="B100" s="829" t="s">
        <v>547</v>
      </c>
      <c r="C100" s="237">
        <v>1124.77</v>
      </c>
      <c r="D100" s="237">
        <v>58.655799999999999</v>
      </c>
      <c r="E100" s="237">
        <v>56.431800000000003</v>
      </c>
      <c r="F100" s="237">
        <v>46.144500000000001</v>
      </c>
      <c r="G100" s="237">
        <v>47.234499999999997</v>
      </c>
      <c r="H100" s="237">
        <v>68.736400000000003</v>
      </c>
      <c r="I100" s="237">
        <v>380</v>
      </c>
      <c r="J100" s="237">
        <v>259</v>
      </c>
      <c r="K100" s="237"/>
      <c r="L100" s="237">
        <v>458.15699999999998</v>
      </c>
      <c r="M100" s="237" t="s">
        <v>288</v>
      </c>
      <c r="N100" s="237">
        <v>163.827</v>
      </c>
      <c r="O100" s="237">
        <v>229.7</v>
      </c>
      <c r="P100" s="237">
        <v>483.48700000000002</v>
      </c>
      <c r="Q100" s="237">
        <v>561.08100000000002</v>
      </c>
      <c r="R100" s="237">
        <v>342.95499999999998</v>
      </c>
      <c r="S100" s="237">
        <v>590.25</v>
      </c>
      <c r="T100" s="237">
        <v>25.535799999999998</v>
      </c>
      <c r="U100" s="237">
        <v>12.1371</v>
      </c>
      <c r="V100" s="237">
        <v>24.434799999999999</v>
      </c>
      <c r="W100" s="227"/>
      <c r="Y100" s="227"/>
    </row>
    <row r="101" spans="1:25" s="153" customFormat="1" ht="11.45" customHeight="1" x14ac:dyDescent="0.2">
      <c r="A101" s="1747">
        <v>2015</v>
      </c>
      <c r="B101" s="830" t="s">
        <v>554</v>
      </c>
      <c r="C101" s="276">
        <v>1159.25</v>
      </c>
      <c r="D101" s="276">
        <v>56.0503</v>
      </c>
      <c r="E101" s="276">
        <v>52.740900000000003</v>
      </c>
      <c r="F101" s="276">
        <v>46.5518</v>
      </c>
      <c r="G101" s="276">
        <v>48.124099999999999</v>
      </c>
      <c r="H101" s="276">
        <v>69.027299999999997</v>
      </c>
      <c r="I101" s="276">
        <v>380</v>
      </c>
      <c r="J101" s="276">
        <v>255</v>
      </c>
      <c r="K101" s="276" t="s">
        <v>288</v>
      </c>
      <c r="L101" s="276">
        <v>405.63600000000002</v>
      </c>
      <c r="M101" s="276" t="s">
        <v>288</v>
      </c>
      <c r="N101" s="276">
        <v>165.38800000000001</v>
      </c>
      <c r="O101" s="276">
        <v>226</v>
      </c>
      <c r="P101" s="276">
        <v>530.24699999999996</v>
      </c>
      <c r="Q101" s="276" t="s">
        <v>288</v>
      </c>
      <c r="R101" s="276">
        <v>338.214</v>
      </c>
      <c r="S101" s="276">
        <v>623.80700000000002</v>
      </c>
      <c r="T101" s="276">
        <v>25.5</v>
      </c>
      <c r="U101" s="276">
        <v>14.1418</v>
      </c>
      <c r="V101" s="276">
        <v>25.0382</v>
      </c>
      <c r="W101" s="227"/>
      <c r="Y101" s="227"/>
    </row>
    <row r="102" spans="1:25" s="153" customFormat="1" ht="11.45" customHeight="1" x14ac:dyDescent="0.2">
      <c r="A102" s="1747">
        <v>2015</v>
      </c>
      <c r="B102" s="829" t="s">
        <v>555</v>
      </c>
      <c r="C102" s="237">
        <v>1086.44</v>
      </c>
      <c r="D102" s="237">
        <v>56.326500000000003</v>
      </c>
      <c r="E102" s="237">
        <v>46.161900000000003</v>
      </c>
      <c r="F102" s="237">
        <v>42.323300000000003</v>
      </c>
      <c r="G102" s="237">
        <v>44.417099999999998</v>
      </c>
      <c r="H102" s="237">
        <v>69.221400000000003</v>
      </c>
      <c r="I102" s="237">
        <v>380</v>
      </c>
      <c r="J102" s="237">
        <v>257</v>
      </c>
      <c r="K102" s="237" t="s">
        <v>288</v>
      </c>
      <c r="L102" s="237">
        <v>460.50099999999998</v>
      </c>
      <c r="M102" s="237" t="s">
        <v>288</v>
      </c>
      <c r="N102" s="237">
        <v>157.74199999999999</v>
      </c>
      <c r="O102" s="237">
        <v>229.7</v>
      </c>
      <c r="P102" s="237">
        <v>503.16399999999999</v>
      </c>
      <c r="Q102" s="237" t="s">
        <v>288</v>
      </c>
      <c r="R102" s="237">
        <v>320.34300000000002</v>
      </c>
      <c r="S102" s="237">
        <v>614.73599999999999</v>
      </c>
      <c r="T102" s="237">
        <v>25.2958</v>
      </c>
      <c r="U102" s="237">
        <v>14.888</v>
      </c>
      <c r="V102" s="237">
        <v>25.606000000000002</v>
      </c>
      <c r="W102" s="227"/>
      <c r="Y102" s="227"/>
    </row>
    <row r="103" spans="1:25" s="153" customFormat="1" ht="11.45" customHeight="1" x14ac:dyDescent="0.2">
      <c r="A103" s="1747">
        <v>2015</v>
      </c>
      <c r="B103" s="830" t="s">
        <v>548</v>
      </c>
      <c r="C103" s="276">
        <v>1075.74</v>
      </c>
      <c r="D103" s="276">
        <v>55.850900000000003</v>
      </c>
      <c r="E103" s="276">
        <v>39.604300000000002</v>
      </c>
      <c r="F103" s="276">
        <v>34.702599999999997</v>
      </c>
      <c r="G103" s="276">
        <v>37.721699999999998</v>
      </c>
      <c r="H103" s="276">
        <v>70.388099999999994</v>
      </c>
      <c r="I103" s="276">
        <v>380</v>
      </c>
      <c r="J103" s="276">
        <v>239.833</v>
      </c>
      <c r="K103" s="276" t="s">
        <v>288</v>
      </c>
      <c r="L103" s="276">
        <v>435.565</v>
      </c>
      <c r="M103" s="276" t="s">
        <v>288</v>
      </c>
      <c r="N103" s="276">
        <v>163.79300000000001</v>
      </c>
      <c r="O103" s="276">
        <v>226</v>
      </c>
      <c r="P103" s="276">
        <v>520.60299999999995</v>
      </c>
      <c r="Q103" s="276" t="s">
        <v>288</v>
      </c>
      <c r="R103" s="276">
        <v>303.86200000000002</v>
      </c>
      <c r="S103" s="276">
        <v>677.19899999999996</v>
      </c>
      <c r="T103" s="276">
        <v>24.925699999999999</v>
      </c>
      <c r="U103" s="276">
        <v>15</v>
      </c>
      <c r="V103" s="276">
        <v>25.8309</v>
      </c>
      <c r="W103" s="227"/>
      <c r="Y103" s="227"/>
    </row>
    <row r="104" spans="1:25" s="153" customFormat="1" ht="11.45" customHeight="1" x14ac:dyDescent="0.2">
      <c r="A104" s="1746">
        <v>2016</v>
      </c>
      <c r="B104" s="830" t="s">
        <v>556</v>
      </c>
      <c r="C104" s="276">
        <v>1097.9100000000001</v>
      </c>
      <c r="D104" s="276">
        <v>53.373899999999999</v>
      </c>
      <c r="E104" s="276">
        <v>41.252400000000002</v>
      </c>
      <c r="F104" s="276">
        <v>27.246700000000001</v>
      </c>
      <c r="G104" s="276">
        <v>30.8033</v>
      </c>
      <c r="H104" s="276">
        <v>68.75</v>
      </c>
      <c r="I104" s="276">
        <v>380</v>
      </c>
      <c r="J104" s="276">
        <v>214</v>
      </c>
      <c r="K104" s="276" t="s">
        <v>288</v>
      </c>
      <c r="L104" s="276">
        <v>419.29700000000003</v>
      </c>
      <c r="M104" s="276" t="s">
        <v>288</v>
      </c>
      <c r="N104" s="276">
        <v>164.55799999999999</v>
      </c>
      <c r="O104" s="276" t="s">
        <v>288</v>
      </c>
      <c r="P104" s="276">
        <v>531.61900000000003</v>
      </c>
      <c r="Q104" s="276" t="s">
        <v>288</v>
      </c>
      <c r="R104" s="276">
        <v>297.17700000000002</v>
      </c>
      <c r="S104" s="276">
        <v>659.90099999999995</v>
      </c>
      <c r="T104" s="276">
        <v>23.9497</v>
      </c>
      <c r="U104" s="276">
        <v>14.2911</v>
      </c>
      <c r="V104" s="276">
        <v>25.831600000000002</v>
      </c>
      <c r="W104" s="227"/>
      <c r="Y104" s="227"/>
    </row>
    <row r="105" spans="1:25" s="153" customFormat="1" ht="12" customHeight="1" x14ac:dyDescent="0.2">
      <c r="A105" s="1746">
        <v>2016</v>
      </c>
      <c r="B105" s="829" t="s">
        <v>557</v>
      </c>
      <c r="C105" s="237">
        <v>1199.5</v>
      </c>
      <c r="D105" s="237">
        <v>54.329500000000003</v>
      </c>
      <c r="E105" s="237">
        <v>46.176200000000001</v>
      </c>
      <c r="F105" s="237">
        <v>29.614799999999999</v>
      </c>
      <c r="G105" s="237">
        <v>33.198099999999997</v>
      </c>
      <c r="H105" s="237">
        <v>66.571399999999997</v>
      </c>
      <c r="I105" s="237">
        <v>329</v>
      </c>
      <c r="J105" s="237">
        <v>209</v>
      </c>
      <c r="K105" s="237" t="s">
        <v>288</v>
      </c>
      <c r="L105" s="237">
        <v>448.315</v>
      </c>
      <c r="M105" s="237" t="s">
        <v>288</v>
      </c>
      <c r="N105" s="237">
        <v>159.25200000000001</v>
      </c>
      <c r="O105" s="237" t="s">
        <v>288</v>
      </c>
      <c r="P105" s="237">
        <v>595.90099999999995</v>
      </c>
      <c r="Q105" s="237" t="s">
        <v>288</v>
      </c>
      <c r="R105" s="237">
        <v>291.36799999999999</v>
      </c>
      <c r="S105" s="237">
        <v>686.904</v>
      </c>
      <c r="T105" s="237">
        <v>23.770800000000001</v>
      </c>
      <c r="U105" s="237">
        <v>13.2905</v>
      </c>
      <c r="V105" s="237">
        <v>25.4985</v>
      </c>
      <c r="W105" s="227"/>
      <c r="Y105" s="227"/>
    </row>
    <row r="106" spans="1:25" s="153" customFormat="1" ht="11.45" customHeight="1" x14ac:dyDescent="0.2">
      <c r="A106" s="1746">
        <v>2016</v>
      </c>
      <c r="B106" s="830" t="s">
        <v>549</v>
      </c>
      <c r="C106" s="276">
        <v>1245.1400000000001</v>
      </c>
      <c r="D106" s="276">
        <v>55.917900000000003</v>
      </c>
      <c r="E106" s="276">
        <v>55.521700000000003</v>
      </c>
      <c r="F106" s="276">
        <v>35.173000000000002</v>
      </c>
      <c r="G106" s="276">
        <v>39.070900000000002</v>
      </c>
      <c r="H106" s="276">
        <v>65.457099999999997</v>
      </c>
      <c r="I106" s="276">
        <v>275</v>
      </c>
      <c r="J106" s="276">
        <v>203</v>
      </c>
      <c r="K106" s="276" t="s">
        <v>288</v>
      </c>
      <c r="L106" s="276">
        <v>434.28100000000001</v>
      </c>
      <c r="M106" s="276" t="s">
        <v>288</v>
      </c>
      <c r="N106" s="276">
        <v>164.03100000000001</v>
      </c>
      <c r="O106" s="276" t="s">
        <v>288</v>
      </c>
      <c r="P106" s="276">
        <v>633.06799999999998</v>
      </c>
      <c r="Q106" s="276" t="s">
        <v>288</v>
      </c>
      <c r="R106" s="276">
        <v>296.18099999999998</v>
      </c>
      <c r="S106" s="276">
        <v>713.85599999999999</v>
      </c>
      <c r="T106" s="276">
        <v>23.656700000000001</v>
      </c>
      <c r="U106" s="276">
        <v>15.435</v>
      </c>
      <c r="V106" s="276">
        <v>26.316800000000001</v>
      </c>
      <c r="W106" s="227"/>
      <c r="Y106" s="227"/>
    </row>
    <row r="107" spans="1:25" s="153" customFormat="1" ht="11.45" customHeight="1" x14ac:dyDescent="0.2">
      <c r="A107" s="1746">
        <v>2016</v>
      </c>
      <c r="B107" s="829" t="s">
        <v>558</v>
      </c>
      <c r="C107" s="237">
        <v>1242.26</v>
      </c>
      <c r="D107" s="237">
        <v>54.830399999999997</v>
      </c>
      <c r="E107" s="237">
        <v>59.581000000000003</v>
      </c>
      <c r="F107" s="237">
        <v>39.037599999999998</v>
      </c>
      <c r="G107" s="237">
        <v>42.247100000000003</v>
      </c>
      <c r="H107" s="237">
        <v>69.278599999999997</v>
      </c>
      <c r="I107" s="237">
        <v>278</v>
      </c>
      <c r="J107" s="237">
        <v>204</v>
      </c>
      <c r="K107" s="237" t="s">
        <v>288</v>
      </c>
      <c r="L107" s="237">
        <v>441.2</v>
      </c>
      <c r="M107" s="237" t="s">
        <v>288</v>
      </c>
      <c r="N107" s="237">
        <v>163.36500000000001</v>
      </c>
      <c r="O107" s="237" t="s">
        <v>288</v>
      </c>
      <c r="P107" s="237">
        <v>681.077</v>
      </c>
      <c r="Q107" s="237">
        <v>669.2</v>
      </c>
      <c r="R107" s="237">
        <v>327.70100000000002</v>
      </c>
      <c r="S107" s="237">
        <v>748.53099999999995</v>
      </c>
      <c r="T107" s="237">
        <v>23.670200000000001</v>
      </c>
      <c r="U107" s="237">
        <v>15.217599999999999</v>
      </c>
      <c r="V107" s="237">
        <v>27.902899999999999</v>
      </c>
      <c r="W107" s="227"/>
      <c r="Y107" s="227"/>
    </row>
    <row r="108" spans="1:25" s="153" customFormat="1" ht="11.45" customHeight="1" x14ac:dyDescent="0.2">
      <c r="A108" s="1746">
        <v>2016</v>
      </c>
      <c r="B108" s="830" t="s">
        <v>559</v>
      </c>
      <c r="C108" s="276">
        <v>1261</v>
      </c>
      <c r="D108" s="276">
        <v>55.2</v>
      </c>
      <c r="E108" s="276">
        <v>54.9</v>
      </c>
      <c r="F108" s="276">
        <v>44</v>
      </c>
      <c r="G108" s="276">
        <v>47.1</v>
      </c>
      <c r="H108" s="276">
        <v>70.3</v>
      </c>
      <c r="I108" s="276">
        <v>284</v>
      </c>
      <c r="J108" s="276">
        <v>200</v>
      </c>
      <c r="K108" s="276" t="s">
        <v>288</v>
      </c>
      <c r="L108" s="276">
        <v>448</v>
      </c>
      <c r="M108" s="276" t="s">
        <v>288</v>
      </c>
      <c r="N108" s="276">
        <v>157.5</v>
      </c>
      <c r="O108" s="276" t="s">
        <v>288</v>
      </c>
      <c r="P108" s="276">
        <v>644.6</v>
      </c>
      <c r="Q108" s="276" t="s">
        <v>288</v>
      </c>
      <c r="R108" s="276">
        <v>407.5</v>
      </c>
      <c r="S108" s="276">
        <v>707</v>
      </c>
      <c r="T108" s="276">
        <v>24.2</v>
      </c>
      <c r="U108" s="276">
        <v>16.7</v>
      </c>
      <c r="V108" s="276">
        <v>27.3</v>
      </c>
      <c r="W108" s="227"/>
    </row>
    <row r="109" spans="1:25" s="153" customFormat="1" ht="11.45" customHeight="1" x14ac:dyDescent="0.2">
      <c r="A109" s="1746">
        <v>2016</v>
      </c>
      <c r="B109" s="829" t="s">
        <v>550</v>
      </c>
      <c r="C109" s="237">
        <v>1276.4000000000001</v>
      </c>
      <c r="D109" s="237">
        <v>57</v>
      </c>
      <c r="E109" s="237">
        <v>51.4</v>
      </c>
      <c r="F109" s="237">
        <v>45.8</v>
      </c>
      <c r="G109" s="237">
        <v>48.5</v>
      </c>
      <c r="H109" s="237">
        <v>74.099999999999994</v>
      </c>
      <c r="I109" s="237">
        <v>285</v>
      </c>
      <c r="J109" s="237">
        <v>191</v>
      </c>
      <c r="K109" s="237" t="s">
        <v>288</v>
      </c>
      <c r="L109" s="237">
        <v>455.1</v>
      </c>
      <c r="M109" s="237" t="s">
        <v>288</v>
      </c>
      <c r="N109" s="237">
        <v>156.6</v>
      </c>
      <c r="O109" s="237" t="s">
        <v>288</v>
      </c>
      <c r="P109" s="237">
        <v>618.5</v>
      </c>
      <c r="Q109" s="237" t="s">
        <v>288</v>
      </c>
      <c r="R109" s="237">
        <v>443.4</v>
      </c>
      <c r="S109" s="237">
        <v>703.6</v>
      </c>
      <c r="T109" s="237">
        <v>23.6</v>
      </c>
      <c r="U109" s="237">
        <v>19.399999999999999</v>
      </c>
      <c r="V109" s="237">
        <v>27.4</v>
      </c>
      <c r="W109" s="227"/>
    </row>
    <row r="110" spans="1:25" s="153" customFormat="1" ht="11.45" customHeight="1" x14ac:dyDescent="0.2">
      <c r="A110" s="1746">
        <v>2016</v>
      </c>
      <c r="B110" s="830" t="s">
        <v>552</v>
      </c>
      <c r="C110" s="276">
        <v>1336.7</v>
      </c>
      <c r="D110" s="276">
        <v>66.7</v>
      </c>
      <c r="E110" s="276">
        <v>56.6</v>
      </c>
      <c r="F110" s="276">
        <v>42.7</v>
      </c>
      <c r="G110" s="276">
        <v>45.1</v>
      </c>
      <c r="H110" s="276">
        <v>81.099999999999994</v>
      </c>
      <c r="I110" s="276">
        <v>285</v>
      </c>
      <c r="J110" s="276">
        <v>177</v>
      </c>
      <c r="K110" s="276" t="s">
        <v>288</v>
      </c>
      <c r="L110" s="276">
        <v>506.3</v>
      </c>
      <c r="M110" s="276" t="s">
        <v>288</v>
      </c>
      <c r="N110" s="276">
        <v>133.6</v>
      </c>
      <c r="O110" s="276" t="s">
        <v>288</v>
      </c>
      <c r="P110" s="276">
        <v>584.20000000000005</v>
      </c>
      <c r="Q110" s="276">
        <v>660.5</v>
      </c>
      <c r="R110" s="276">
        <v>403.3</v>
      </c>
      <c r="S110" s="276">
        <v>669.9</v>
      </c>
      <c r="T110" s="276">
        <v>21.9</v>
      </c>
      <c r="U110" s="276">
        <v>19.7</v>
      </c>
      <c r="V110" s="276">
        <v>28.1</v>
      </c>
      <c r="W110" s="227"/>
    </row>
    <row r="111" spans="1:25" s="153" customFormat="1" ht="11.45" customHeight="1" x14ac:dyDescent="0.2">
      <c r="A111" s="1746">
        <v>2016</v>
      </c>
      <c r="B111" s="829" t="s">
        <v>553</v>
      </c>
      <c r="C111" s="237">
        <v>1340.2</v>
      </c>
      <c r="D111" s="237">
        <v>72.2</v>
      </c>
      <c r="E111" s="237">
        <v>60.5</v>
      </c>
      <c r="F111" s="237">
        <v>43.6</v>
      </c>
      <c r="G111" s="237">
        <v>46.1</v>
      </c>
      <c r="H111" s="237">
        <v>80.3</v>
      </c>
      <c r="I111" s="237">
        <v>283</v>
      </c>
      <c r="J111" s="237">
        <v>182</v>
      </c>
      <c r="K111" s="237" t="s">
        <v>288</v>
      </c>
      <c r="L111" s="237">
        <v>481.7</v>
      </c>
      <c r="M111" s="237" t="s">
        <v>288</v>
      </c>
      <c r="N111" s="237">
        <v>127.9</v>
      </c>
      <c r="O111" s="237" t="s">
        <v>288</v>
      </c>
      <c r="P111" s="237">
        <v>664.4</v>
      </c>
      <c r="Q111" s="237">
        <v>644.20000000000005</v>
      </c>
      <c r="R111" s="237">
        <v>364.5</v>
      </c>
      <c r="S111" s="237">
        <v>711.7</v>
      </c>
      <c r="T111" s="237">
        <v>21.8</v>
      </c>
      <c r="U111" s="237">
        <v>20.5</v>
      </c>
      <c r="V111" s="237">
        <v>27.2</v>
      </c>
      <c r="W111" s="227"/>
    </row>
    <row r="112" spans="1:25" s="153" customFormat="1" ht="11.45" customHeight="1" x14ac:dyDescent="0.2">
      <c r="A112" s="1746">
        <v>2016</v>
      </c>
      <c r="B112" s="830" t="s">
        <v>547</v>
      </c>
      <c r="C112" s="276">
        <v>1326.6</v>
      </c>
      <c r="D112" s="276">
        <v>78.099999999999994</v>
      </c>
      <c r="E112" s="276">
        <v>56.7</v>
      </c>
      <c r="F112" s="276">
        <v>43.8</v>
      </c>
      <c r="G112" s="276">
        <v>46.2</v>
      </c>
      <c r="H112" s="276">
        <v>77.900000000000006</v>
      </c>
      <c r="I112" s="276">
        <v>277</v>
      </c>
      <c r="J112" s="276">
        <v>191</v>
      </c>
      <c r="K112" s="276" t="s">
        <v>288</v>
      </c>
      <c r="L112" s="276">
        <v>446.9</v>
      </c>
      <c r="M112" s="276" t="s">
        <v>288</v>
      </c>
      <c r="N112" s="276">
        <v>123.2</v>
      </c>
      <c r="O112" s="276" t="s">
        <v>288</v>
      </c>
      <c r="P112" s="276">
        <v>692.4</v>
      </c>
      <c r="Q112" s="276">
        <v>669.5</v>
      </c>
      <c r="R112" s="276">
        <v>342.2</v>
      </c>
      <c r="S112" s="276">
        <v>722.6</v>
      </c>
      <c r="T112" s="276">
        <v>21.9</v>
      </c>
      <c r="U112" s="276">
        <v>21.9</v>
      </c>
      <c r="V112" s="276">
        <v>27.5</v>
      </c>
      <c r="W112" s="227"/>
    </row>
    <row r="113" spans="1:24" s="153" customFormat="1" ht="11.45" customHeight="1" x14ac:dyDescent="0.2">
      <c r="A113" s="1746">
        <v>2016</v>
      </c>
      <c r="B113" s="829" t="s">
        <v>554</v>
      </c>
      <c r="C113" s="237">
        <v>1266.5999999999999</v>
      </c>
      <c r="D113" s="237">
        <v>99.8</v>
      </c>
      <c r="E113" s="237">
        <v>59</v>
      </c>
      <c r="F113" s="237">
        <v>48.3</v>
      </c>
      <c r="G113" s="237">
        <v>49.7</v>
      </c>
      <c r="H113" s="237">
        <v>78.5</v>
      </c>
      <c r="I113" s="237">
        <v>273</v>
      </c>
      <c r="J113" s="237">
        <v>193</v>
      </c>
      <c r="K113" s="237" t="s">
        <v>288</v>
      </c>
      <c r="L113" s="237">
        <v>429.1</v>
      </c>
      <c r="M113" s="237" t="s">
        <v>288</v>
      </c>
      <c r="N113" s="237">
        <v>122.5</v>
      </c>
      <c r="O113" s="237" t="s">
        <v>288</v>
      </c>
      <c r="P113" s="237">
        <v>651.4</v>
      </c>
      <c r="Q113" s="237">
        <v>705.9</v>
      </c>
      <c r="R113" s="237">
        <v>337.1</v>
      </c>
      <c r="S113" s="237">
        <v>757.3</v>
      </c>
      <c r="T113" s="237">
        <v>20.5</v>
      </c>
      <c r="U113" s="237">
        <v>22.9</v>
      </c>
      <c r="V113" s="237">
        <v>28.6</v>
      </c>
      <c r="W113" s="227"/>
    </row>
    <row r="114" spans="1:24" s="153" customFormat="1" ht="10.5" customHeight="1" x14ac:dyDescent="0.2">
      <c r="A114" s="1746">
        <v>2016</v>
      </c>
      <c r="B114" s="830" t="s">
        <v>555</v>
      </c>
      <c r="C114" s="276">
        <v>1238.4000000000001</v>
      </c>
      <c r="D114" s="276">
        <v>107.2</v>
      </c>
      <c r="E114" s="276">
        <v>74.099999999999994</v>
      </c>
      <c r="F114" s="276">
        <v>43.8</v>
      </c>
      <c r="G114" s="276">
        <v>46.4</v>
      </c>
      <c r="H114" s="276">
        <v>78.900000000000006</v>
      </c>
      <c r="I114" s="276">
        <v>270</v>
      </c>
      <c r="J114" s="276">
        <v>211</v>
      </c>
      <c r="K114" s="276" t="s">
        <v>288</v>
      </c>
      <c r="L114" s="276">
        <v>440.6</v>
      </c>
      <c r="M114" s="276" t="s">
        <v>288</v>
      </c>
      <c r="N114" s="276">
        <v>122.5</v>
      </c>
      <c r="O114" s="276" t="s">
        <v>288</v>
      </c>
      <c r="P114" s="276">
        <v>670</v>
      </c>
      <c r="Q114" s="276">
        <v>685.3</v>
      </c>
      <c r="R114" s="276">
        <v>345.7</v>
      </c>
      <c r="S114" s="276">
        <v>772.4</v>
      </c>
      <c r="T114" s="276">
        <v>20.7</v>
      </c>
      <c r="U114" s="276">
        <v>20.9</v>
      </c>
      <c r="V114" s="276">
        <v>28.8</v>
      </c>
      <c r="W114" s="227"/>
    </row>
    <row r="115" spans="1:24" s="153" customFormat="1" ht="10.5" customHeight="1" x14ac:dyDescent="0.2">
      <c r="A115" s="1746">
        <v>2016</v>
      </c>
      <c r="B115" s="829" t="s">
        <v>548</v>
      </c>
      <c r="C115" s="237">
        <v>1157.4000000000001</v>
      </c>
      <c r="D115" s="237">
        <v>92.5</v>
      </c>
      <c r="E115" s="237">
        <v>79.400000000000006</v>
      </c>
      <c r="F115" s="237">
        <v>51.8</v>
      </c>
      <c r="G115" s="237">
        <v>54.1</v>
      </c>
      <c r="H115" s="237">
        <v>79.5</v>
      </c>
      <c r="I115" s="237">
        <v>267</v>
      </c>
      <c r="J115" s="237">
        <v>216</v>
      </c>
      <c r="K115" s="237" t="s">
        <v>288</v>
      </c>
      <c r="L115" s="237">
        <v>415.6</v>
      </c>
      <c r="M115" s="237" t="s">
        <v>288</v>
      </c>
      <c r="N115" s="237">
        <v>122.8</v>
      </c>
      <c r="O115" s="237" t="s">
        <v>288</v>
      </c>
      <c r="P115" s="237">
        <v>711.8</v>
      </c>
      <c r="Q115" s="237">
        <v>711.6</v>
      </c>
      <c r="R115" s="237">
        <v>345.8</v>
      </c>
      <c r="S115" s="237">
        <v>800.3</v>
      </c>
      <c r="T115" s="237">
        <v>20.8</v>
      </c>
      <c r="U115" s="237">
        <v>18.8</v>
      </c>
      <c r="V115" s="237">
        <v>29.3</v>
      </c>
      <c r="W115" s="227"/>
    </row>
    <row r="116" spans="1:24" s="153" customFormat="1" ht="11.45" customHeight="1" x14ac:dyDescent="0.2">
      <c r="A116" s="1747">
        <v>2017</v>
      </c>
      <c r="B116" s="829" t="s">
        <v>556</v>
      </c>
      <c r="C116" s="237">
        <v>1192.0999999999999</v>
      </c>
      <c r="D116" s="237">
        <v>89.7</v>
      </c>
      <c r="E116" s="237">
        <v>80.8</v>
      </c>
      <c r="F116" s="237">
        <v>53.4</v>
      </c>
      <c r="G116" s="237">
        <v>54.9</v>
      </c>
      <c r="H116" s="237">
        <v>82.3</v>
      </c>
      <c r="I116" s="237">
        <v>269</v>
      </c>
      <c r="J116" s="237">
        <v>241</v>
      </c>
      <c r="K116" s="237" t="s">
        <v>288</v>
      </c>
      <c r="L116" s="237">
        <v>422.5</v>
      </c>
      <c r="M116" s="237" t="s">
        <v>288</v>
      </c>
      <c r="N116" s="237">
        <v>137.1</v>
      </c>
      <c r="O116" s="237" t="s">
        <v>288</v>
      </c>
      <c r="P116" s="237">
        <v>726.5</v>
      </c>
      <c r="Q116" s="237">
        <v>746.6</v>
      </c>
      <c r="R116" s="237">
        <v>364.7</v>
      </c>
      <c r="S116" s="237">
        <v>771.9</v>
      </c>
      <c r="T116" s="237">
        <v>20.5</v>
      </c>
      <c r="U116" s="237">
        <v>20.5</v>
      </c>
      <c r="V116" s="237">
        <v>29</v>
      </c>
      <c r="W116" s="227"/>
    </row>
    <row r="117" spans="1:24" s="153" customFormat="1" ht="11.45" customHeight="1" x14ac:dyDescent="0.2">
      <c r="A117" s="1747">
        <v>2017</v>
      </c>
      <c r="B117" s="830" t="s">
        <v>557</v>
      </c>
      <c r="C117" s="276">
        <v>1234.2</v>
      </c>
      <c r="D117" s="276">
        <v>86.2</v>
      </c>
      <c r="E117" s="276">
        <v>88.8</v>
      </c>
      <c r="F117" s="276">
        <v>54.2</v>
      </c>
      <c r="G117" s="276">
        <v>55.5</v>
      </c>
      <c r="H117" s="276">
        <v>85.2</v>
      </c>
      <c r="I117" s="276">
        <v>270</v>
      </c>
      <c r="J117" s="276">
        <v>247</v>
      </c>
      <c r="K117" s="276" t="s">
        <v>288</v>
      </c>
      <c r="L117" s="276">
        <v>430.1</v>
      </c>
      <c r="M117" s="276" t="s">
        <v>288</v>
      </c>
      <c r="N117" s="276">
        <v>147.30000000000001</v>
      </c>
      <c r="O117" s="276" t="s">
        <v>288</v>
      </c>
      <c r="P117" s="276">
        <v>706.8</v>
      </c>
      <c r="Q117" s="276">
        <v>761.4</v>
      </c>
      <c r="R117" s="276">
        <v>371.4</v>
      </c>
      <c r="S117" s="276">
        <v>742.9</v>
      </c>
      <c r="T117" s="276">
        <v>20.8</v>
      </c>
      <c r="U117" s="276">
        <v>20.3</v>
      </c>
      <c r="V117" s="276">
        <v>30.4</v>
      </c>
      <c r="W117" s="227"/>
    </row>
    <row r="118" spans="1:24" s="153" customFormat="1" ht="11.45" customHeight="1" x14ac:dyDescent="0.2">
      <c r="A118" s="1747">
        <v>2017</v>
      </c>
      <c r="B118" s="829" t="s">
        <v>549</v>
      </c>
      <c r="C118" s="237">
        <v>1231.4000000000001</v>
      </c>
      <c r="D118" s="237">
        <v>86.3</v>
      </c>
      <c r="E118" s="237">
        <v>87.2</v>
      </c>
      <c r="F118" s="237">
        <v>51.2</v>
      </c>
      <c r="G118" s="237">
        <v>52</v>
      </c>
      <c r="H118" s="237">
        <v>86.8</v>
      </c>
      <c r="I118" s="237">
        <v>278</v>
      </c>
      <c r="J118" s="237">
        <v>234</v>
      </c>
      <c r="K118" s="237" t="s">
        <v>288</v>
      </c>
      <c r="L118" s="237">
        <v>424.6</v>
      </c>
      <c r="M118" s="237" t="s">
        <v>288</v>
      </c>
      <c r="N118" s="237">
        <v>146.4</v>
      </c>
      <c r="O118" s="237" t="s">
        <v>288</v>
      </c>
      <c r="P118" s="237">
        <v>663.3</v>
      </c>
      <c r="Q118" s="237" t="s">
        <v>288</v>
      </c>
      <c r="R118" s="237">
        <v>356.9</v>
      </c>
      <c r="S118" s="237">
        <v>723.4</v>
      </c>
      <c r="T118" s="237">
        <v>20.5</v>
      </c>
      <c r="U118" s="237">
        <v>18.100000000000001</v>
      </c>
      <c r="V118" s="237">
        <v>29.8</v>
      </c>
      <c r="W118" s="227"/>
    </row>
    <row r="119" spans="1:24" s="153" customFormat="1" ht="11.45" customHeight="1" x14ac:dyDescent="0.2">
      <c r="A119" s="1747">
        <v>2017</v>
      </c>
      <c r="B119" s="830" t="s">
        <v>558</v>
      </c>
      <c r="C119" s="276">
        <v>1266.9000000000001</v>
      </c>
      <c r="D119" s="276">
        <v>90.7</v>
      </c>
      <c r="E119" s="276">
        <v>70.400000000000006</v>
      </c>
      <c r="F119" s="276">
        <v>52.4</v>
      </c>
      <c r="G119" s="276">
        <v>53.1</v>
      </c>
      <c r="H119" s="276">
        <v>87</v>
      </c>
      <c r="I119" s="276">
        <v>276</v>
      </c>
      <c r="J119" s="276">
        <v>205</v>
      </c>
      <c r="K119" s="276" t="s">
        <v>288</v>
      </c>
      <c r="L119" s="276">
        <v>410.3</v>
      </c>
      <c r="M119" s="276" t="s">
        <v>288</v>
      </c>
      <c r="N119" s="276">
        <v>138.4</v>
      </c>
      <c r="O119" s="276" t="s">
        <v>288</v>
      </c>
      <c r="P119" s="276">
        <v>623.20000000000005</v>
      </c>
      <c r="Q119" s="276" t="s">
        <v>288</v>
      </c>
      <c r="R119" s="276">
        <v>342.6</v>
      </c>
      <c r="S119" s="276">
        <v>695.3</v>
      </c>
      <c r="T119" s="276">
        <v>21</v>
      </c>
      <c r="U119" s="276">
        <v>16.399999999999999</v>
      </c>
      <c r="V119" s="276">
        <v>28.7</v>
      </c>
      <c r="W119" s="227"/>
    </row>
    <row r="120" spans="1:24" s="153" customFormat="1" ht="11.45" customHeight="1" thickBot="1" x14ac:dyDescent="0.25">
      <c r="A120" s="1747">
        <v>2017</v>
      </c>
      <c r="B120" s="435" t="s">
        <v>559</v>
      </c>
      <c r="C120" s="642">
        <v>1246</v>
      </c>
      <c r="D120" s="642" t="s">
        <v>288</v>
      </c>
      <c r="E120" s="642">
        <v>61.6</v>
      </c>
      <c r="F120" s="642">
        <v>50.3</v>
      </c>
      <c r="G120" s="642">
        <v>50.9</v>
      </c>
      <c r="H120" s="642">
        <v>88.6</v>
      </c>
      <c r="I120" s="642">
        <v>273</v>
      </c>
      <c r="J120" s="642">
        <v>180</v>
      </c>
      <c r="K120" s="642" t="s">
        <v>288</v>
      </c>
      <c r="L120" s="642">
        <v>444.7</v>
      </c>
      <c r="M120" s="642" t="s">
        <v>288</v>
      </c>
      <c r="N120" s="642">
        <v>146.5</v>
      </c>
      <c r="O120" s="642" t="s">
        <v>288</v>
      </c>
      <c r="P120" s="642">
        <v>655.5</v>
      </c>
      <c r="Q120" s="642" t="s">
        <v>288</v>
      </c>
      <c r="R120" s="642">
        <v>341</v>
      </c>
      <c r="S120" s="642">
        <v>714.1</v>
      </c>
      <c r="T120" s="642">
        <v>21.5</v>
      </c>
      <c r="U120" s="642">
        <v>15.7</v>
      </c>
      <c r="V120" s="642">
        <v>28.4</v>
      </c>
      <c r="W120" s="227"/>
    </row>
    <row r="121" spans="1:24" ht="11.25" customHeight="1" x14ac:dyDescent="0.2">
      <c r="A121" s="10" t="s">
        <v>672</v>
      </c>
      <c r="B121" s="1748"/>
      <c r="C121" s="2884" t="s">
        <v>153</v>
      </c>
      <c r="D121" s="2884"/>
      <c r="E121" s="2884"/>
      <c r="F121" s="2884"/>
      <c r="G121" s="2884"/>
      <c r="H121" s="2884"/>
      <c r="I121" s="23"/>
      <c r="J121" s="23"/>
      <c r="K121" s="23"/>
      <c r="L121" s="10"/>
      <c r="M121" s="1119"/>
      <c r="N121" s="1119"/>
      <c r="O121" s="1119"/>
      <c r="P121" s="1119"/>
      <c r="Q121" s="1119"/>
      <c r="R121" s="1119"/>
      <c r="S121" s="837"/>
      <c r="T121" s="837"/>
      <c r="U121" s="13"/>
      <c r="V121" s="23"/>
    </row>
    <row r="122" spans="1:24" s="13" customFormat="1" ht="9" customHeight="1" x14ac:dyDescent="0.2">
      <c r="C122" s="2891" t="s">
        <v>154</v>
      </c>
      <c r="D122" s="2891"/>
      <c r="E122" s="2891"/>
      <c r="F122" s="2891"/>
      <c r="G122" s="2891"/>
      <c r="H122" s="2891"/>
      <c r="I122" s="2891"/>
      <c r="J122" s="581"/>
      <c r="K122" s="581"/>
      <c r="L122" s="10" t="s">
        <v>646</v>
      </c>
      <c r="M122" s="2885" t="s">
        <v>1217</v>
      </c>
      <c r="N122" s="2885"/>
      <c r="O122" s="2885"/>
      <c r="P122" s="2885"/>
      <c r="Q122" s="2885"/>
      <c r="R122" s="2885"/>
      <c r="T122" s="837"/>
      <c r="U122" s="837"/>
    </row>
    <row r="123" spans="1:24" s="13" customFormat="1" ht="10.5" customHeight="1" x14ac:dyDescent="0.2">
      <c r="C123" s="2884" t="s">
        <v>1155</v>
      </c>
      <c r="D123" s="2884"/>
      <c r="G123" s="82"/>
      <c r="H123" s="128"/>
      <c r="L123" s="13" t="s">
        <v>1351</v>
      </c>
    </row>
    <row r="124" spans="1:24" s="13" customFormat="1" ht="8.25" customHeight="1" x14ac:dyDescent="0.2">
      <c r="A124" s="27"/>
      <c r="B124" s="27"/>
      <c r="G124" s="82"/>
      <c r="H124" s="82"/>
      <c r="J124" s="569"/>
    </row>
    <row r="125" spans="1:24" x14ac:dyDescent="0.2">
      <c r="D125" s="82"/>
      <c r="E125" s="82"/>
      <c r="F125" s="82"/>
      <c r="G125" s="82"/>
      <c r="H125" s="82"/>
      <c r="I125" s="82"/>
      <c r="J125" s="569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569"/>
      <c r="W125" s="569"/>
      <c r="X125" s="82"/>
    </row>
    <row r="126" spans="1:24" x14ac:dyDescent="0.2">
      <c r="E126" s="82"/>
      <c r="G126" s="82"/>
      <c r="I126" s="82"/>
      <c r="J126" s="16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569"/>
      <c r="W126" s="569"/>
      <c r="X126" s="82"/>
    </row>
    <row r="127" spans="1:24" x14ac:dyDescent="0.2">
      <c r="E127" s="82"/>
      <c r="G127" s="82"/>
      <c r="H127" s="16"/>
      <c r="I127" s="82"/>
      <c r="K127" s="82"/>
      <c r="M127" s="82"/>
      <c r="N127" s="82"/>
      <c r="O127" s="82"/>
      <c r="P127" s="82"/>
      <c r="Q127" s="82"/>
      <c r="R127" s="82"/>
      <c r="S127" s="82"/>
      <c r="T127" s="82"/>
      <c r="U127" s="82"/>
      <c r="V127" s="569"/>
      <c r="W127" s="569"/>
      <c r="X127" s="82"/>
    </row>
    <row r="128" spans="1:24" ht="10.5" customHeight="1" x14ac:dyDescent="0.2">
      <c r="E128" s="82"/>
      <c r="G128" s="82"/>
      <c r="H128" s="16"/>
      <c r="I128" s="82"/>
      <c r="K128" s="82"/>
      <c r="M128" s="82"/>
      <c r="N128" s="82"/>
      <c r="O128" s="82"/>
      <c r="P128" s="82"/>
      <c r="Q128" s="82"/>
      <c r="R128" s="82"/>
      <c r="S128" s="82"/>
      <c r="T128" s="82"/>
      <c r="U128" s="82"/>
      <c r="V128" s="569"/>
      <c r="W128" s="569"/>
      <c r="X128" s="82"/>
    </row>
    <row r="129" spans="4:24" x14ac:dyDescent="0.2">
      <c r="E129" s="82"/>
      <c r="G129" s="82"/>
      <c r="H129" s="16"/>
      <c r="I129" s="82"/>
      <c r="K129" s="82"/>
      <c r="M129" s="82"/>
      <c r="N129" s="82"/>
      <c r="O129" s="82"/>
      <c r="P129" s="82"/>
      <c r="Q129" s="82"/>
      <c r="R129" s="82"/>
      <c r="S129" s="82"/>
      <c r="T129" s="82"/>
      <c r="U129" s="82"/>
      <c r="V129" s="569"/>
      <c r="W129" s="569"/>
      <c r="X129" s="82"/>
    </row>
    <row r="130" spans="4:24" x14ac:dyDescent="0.2">
      <c r="E130" s="82"/>
      <c r="G130" s="82"/>
      <c r="H130" s="16"/>
      <c r="I130" s="82"/>
      <c r="K130" s="82"/>
      <c r="M130" s="82"/>
      <c r="N130" s="82"/>
      <c r="O130" s="82"/>
      <c r="P130" s="82"/>
      <c r="Q130" s="82"/>
      <c r="R130" s="82"/>
      <c r="S130" s="82"/>
      <c r="T130" s="82"/>
      <c r="U130" s="82"/>
      <c r="V130" s="569"/>
      <c r="W130" s="569"/>
      <c r="X130" s="82"/>
    </row>
    <row r="131" spans="4:24" x14ac:dyDescent="0.2">
      <c r="E131" s="82"/>
      <c r="G131" s="82"/>
      <c r="H131" s="16"/>
      <c r="I131" s="82"/>
      <c r="K131" s="82"/>
      <c r="M131" s="82"/>
      <c r="N131" s="82"/>
      <c r="O131" s="82"/>
      <c r="P131" s="82"/>
      <c r="Q131" s="82"/>
      <c r="R131" s="82"/>
      <c r="S131" s="82"/>
      <c r="T131" s="82"/>
      <c r="U131" s="82"/>
      <c r="V131" s="569"/>
      <c r="W131" s="569"/>
      <c r="X131" s="82"/>
    </row>
    <row r="132" spans="4:24" x14ac:dyDescent="0.2">
      <c r="D132" s="82"/>
      <c r="E132" s="82"/>
      <c r="F132" s="82"/>
      <c r="G132" s="82"/>
      <c r="H132" s="82"/>
      <c r="I132" s="82"/>
      <c r="J132" s="569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569"/>
      <c r="W132" s="569"/>
      <c r="X132" s="82"/>
    </row>
    <row r="133" spans="4:24" x14ac:dyDescent="0.2">
      <c r="D133" s="82"/>
      <c r="E133" s="82"/>
      <c r="F133" s="82"/>
      <c r="G133" s="82"/>
      <c r="H133" s="82"/>
      <c r="I133" s="82"/>
      <c r="J133" s="569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569"/>
      <c r="W133" s="569"/>
      <c r="X133" s="82"/>
    </row>
    <row r="134" spans="4:24" x14ac:dyDescent="0.2">
      <c r="D134" s="82"/>
      <c r="E134" s="82"/>
      <c r="F134" s="82"/>
      <c r="G134" s="82"/>
      <c r="H134" s="82"/>
      <c r="I134" s="82"/>
      <c r="J134" s="569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569"/>
      <c r="W134" s="569"/>
      <c r="X134" s="82"/>
    </row>
    <row r="135" spans="4:24" x14ac:dyDescent="0.2">
      <c r="D135" s="82"/>
      <c r="E135" s="82"/>
      <c r="F135" s="82"/>
      <c r="G135" s="82"/>
      <c r="H135" s="82"/>
      <c r="I135" s="82"/>
      <c r="J135" s="569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569"/>
      <c r="W135" s="569"/>
      <c r="X135" s="82"/>
    </row>
    <row r="136" spans="4:24" x14ac:dyDescent="0.2"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569"/>
      <c r="W136" s="569"/>
      <c r="X136" s="82"/>
    </row>
    <row r="137" spans="4:24" x14ac:dyDescent="0.2"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569"/>
      <c r="W137" s="13"/>
      <c r="X137" s="82"/>
    </row>
    <row r="138" spans="4:24" x14ac:dyDescent="0.2">
      <c r="D138" s="82"/>
      <c r="E138" s="82"/>
      <c r="F138" s="82"/>
      <c r="G138" s="82"/>
      <c r="H138" s="82"/>
      <c r="I138" s="82"/>
      <c r="J138" s="570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569"/>
      <c r="W138" s="13"/>
      <c r="X138" s="82"/>
    </row>
    <row r="139" spans="4:24" x14ac:dyDescent="0.2">
      <c r="D139" s="82"/>
      <c r="E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S139" s="82"/>
      <c r="T139" s="82"/>
      <c r="U139" s="82"/>
      <c r="V139" s="569"/>
      <c r="W139" s="13"/>
      <c r="X139" s="82"/>
    </row>
    <row r="140" spans="4:24" x14ac:dyDescent="0.2">
      <c r="D140" s="82"/>
      <c r="E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S140" s="82"/>
      <c r="T140" s="82"/>
      <c r="U140" s="82"/>
      <c r="V140" s="569"/>
      <c r="W140" s="13"/>
      <c r="X140" s="82"/>
    </row>
    <row r="141" spans="4:24" x14ac:dyDescent="0.2">
      <c r="E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T141" s="82"/>
      <c r="U141" s="82"/>
      <c r="V141" s="569"/>
      <c r="W141" s="13"/>
      <c r="X141" s="82"/>
    </row>
    <row r="142" spans="4:24" x14ac:dyDescent="0.2">
      <c r="E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S142" s="82"/>
      <c r="T142" s="82"/>
      <c r="U142" s="82"/>
      <c r="V142" s="569"/>
      <c r="W142" s="13"/>
      <c r="X142" s="82"/>
    </row>
    <row r="143" spans="4:24" x14ac:dyDescent="0.2"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569"/>
      <c r="W143" s="13"/>
      <c r="X143" s="82"/>
    </row>
    <row r="144" spans="4:24" x14ac:dyDescent="0.2"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569"/>
      <c r="W144" s="13"/>
      <c r="X144" s="82"/>
    </row>
    <row r="145" spans="4:24" x14ac:dyDescent="0.2"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569"/>
      <c r="W145" s="13"/>
      <c r="X145" s="82"/>
    </row>
    <row r="146" spans="4:24" x14ac:dyDescent="0.2"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X146" s="82"/>
    </row>
    <row r="147" spans="4:24" x14ac:dyDescent="0.2">
      <c r="K147" s="82"/>
      <c r="L147" s="82"/>
      <c r="N147" s="82"/>
      <c r="P147" s="82"/>
      <c r="Q147" s="82"/>
      <c r="R147" s="82"/>
      <c r="S147" s="82"/>
    </row>
  </sheetData>
  <customSheetViews>
    <customSheetView guid="{A374FC54-96E3-45F0-9C12-8450400C12DF}" scale="150">
      <pane xSplit="1" ySplit="4" topLeftCell="I44" activePane="bottomRight" state="frozen"/>
      <selection pane="bottomRight" activeCell="L57" sqref="L57"/>
      <pageMargins left="0.62992125984252001" right="0.511811023622047" top="0.511811023622047" bottom="0.511811023622047" header="0" footer="0.39370078740157499"/>
      <pageSetup paperSize="132" firstPageNumber="100" orientation="portrait" useFirstPageNumber="1" r:id="rId1"/>
      <headerFooter alignWithMargins="0">
        <oddFooter>&amp;C&amp;"Times New Roman,Regular"&amp;8&amp;P</oddFooter>
      </headerFooter>
    </customSheetView>
  </customSheetViews>
  <mergeCells count="11">
    <mergeCell ref="C123:D123"/>
    <mergeCell ref="M122:R122"/>
    <mergeCell ref="A1:K1"/>
    <mergeCell ref="L1:S1"/>
    <mergeCell ref="T2:V2"/>
    <mergeCell ref="F2:G2"/>
    <mergeCell ref="T1:V1"/>
    <mergeCell ref="C121:H121"/>
    <mergeCell ref="C122:I122"/>
    <mergeCell ref="P2:Q2"/>
    <mergeCell ref="M2:O2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S237"/>
  <sheetViews>
    <sheetView zoomScale="150" zoomScaleNormal="150" workbookViewId="0">
      <pane xSplit="1" ySplit="5" topLeftCell="D60" activePane="bottomRight" state="frozen"/>
      <selection activeCell="X47" sqref="X47:X50"/>
      <selection pane="topRight" activeCell="X47" sqref="X47:X50"/>
      <selection pane="bottomLeft" activeCell="X47" sqref="X47:X50"/>
      <selection pane="bottomRight" activeCell="J2" activeCellId="1" sqref="A1:J1 J2"/>
    </sheetView>
  </sheetViews>
  <sheetFormatPr defaultColWidth="9.140625" defaultRowHeight="11.25" x14ac:dyDescent="0.2"/>
  <cols>
    <col min="1" max="2" width="9.28515625" style="3" customWidth="1"/>
    <col min="3" max="3" width="9.140625" style="1"/>
    <col min="4" max="4" width="7.5703125" style="1" customWidth="1"/>
    <col min="5" max="5" width="9.28515625" style="1" customWidth="1"/>
    <col min="6" max="6" width="9.7109375" style="1" customWidth="1"/>
    <col min="7" max="7" width="9.28515625" style="1" customWidth="1"/>
    <col min="8" max="8" width="8.5703125" style="1" customWidth="1"/>
    <col min="9" max="9" width="8.42578125" style="1" customWidth="1"/>
    <col min="10" max="10" width="7.42578125" style="1" customWidth="1"/>
    <col min="11" max="11" width="10.85546875" style="1" customWidth="1"/>
    <col min="12" max="12" width="11.7109375" style="1" customWidth="1"/>
    <col min="13" max="13" width="11.5703125" style="1" customWidth="1"/>
    <col min="14" max="14" width="11.7109375" style="1" customWidth="1"/>
    <col min="15" max="15" width="11.28515625" style="1" customWidth="1"/>
    <col min="16" max="16" width="11.140625" style="1" customWidth="1"/>
    <col min="17" max="17" width="10.85546875" style="3" customWidth="1"/>
    <col min="18" max="16384" width="9.140625" style="1"/>
  </cols>
  <sheetData>
    <row r="1" spans="1:19" s="74" customFormat="1" ht="12.75" customHeight="1" x14ac:dyDescent="0.2">
      <c r="A1" s="2851" t="s">
        <v>226</v>
      </c>
      <c r="B1" s="2851"/>
      <c r="C1" s="2851"/>
      <c r="D1" s="2851"/>
      <c r="E1" s="2851"/>
      <c r="F1" s="2851"/>
      <c r="G1" s="2851"/>
      <c r="H1" s="2851"/>
      <c r="I1" s="2851"/>
      <c r="J1" s="2851"/>
      <c r="K1" s="2903" t="s">
        <v>1257</v>
      </c>
      <c r="L1" s="2903"/>
      <c r="M1" s="2903"/>
      <c r="N1" s="2903"/>
      <c r="O1" s="2903"/>
      <c r="P1" s="2898" t="s">
        <v>1508</v>
      </c>
      <c r="Q1" s="2898"/>
    </row>
    <row r="2" spans="1:19" s="19" customFormat="1" ht="9.75" customHeight="1" x14ac:dyDescent="0.2">
      <c r="P2" s="2904" t="s">
        <v>24</v>
      </c>
      <c r="Q2" s="2904"/>
    </row>
    <row r="3" spans="1:19" s="73" customFormat="1" ht="13.5" customHeight="1" x14ac:dyDescent="0.2">
      <c r="A3" s="2845" t="s">
        <v>3070</v>
      </c>
      <c r="B3" s="1716"/>
      <c r="C3" s="2859" t="s">
        <v>225</v>
      </c>
      <c r="D3" s="2900"/>
      <c r="E3" s="2900"/>
      <c r="F3" s="2900"/>
      <c r="G3" s="2900"/>
      <c r="H3" s="2900"/>
      <c r="I3" s="2900"/>
      <c r="J3" s="2900"/>
      <c r="K3" s="2900"/>
      <c r="L3" s="2785"/>
      <c r="M3" s="2859" t="s">
        <v>570</v>
      </c>
      <c r="N3" s="2900"/>
      <c r="O3" s="2900"/>
      <c r="P3" s="2901"/>
      <c r="Q3" s="2902" t="s">
        <v>474</v>
      </c>
    </row>
    <row r="4" spans="1:19" s="19" customFormat="1" ht="12.75" customHeight="1" x14ac:dyDescent="0.2">
      <c r="A4" s="2845"/>
      <c r="B4" s="1702" t="s">
        <v>3067</v>
      </c>
      <c r="C4" s="2899" t="s">
        <v>741</v>
      </c>
      <c r="D4" s="2905" t="s">
        <v>277</v>
      </c>
      <c r="E4" s="2612" t="s">
        <v>913</v>
      </c>
      <c r="F4" s="2612" t="s">
        <v>742</v>
      </c>
      <c r="G4" s="2662" t="s">
        <v>531</v>
      </c>
      <c r="H4" s="2662"/>
      <c r="I4" s="2895" t="s">
        <v>533</v>
      </c>
      <c r="J4" s="2896"/>
      <c r="K4" s="2897" t="s">
        <v>915</v>
      </c>
      <c r="L4" s="2612" t="s">
        <v>916</v>
      </c>
      <c r="M4" s="2897" t="s">
        <v>914</v>
      </c>
      <c r="N4" s="2897" t="s">
        <v>917</v>
      </c>
      <c r="O4" s="2897" t="s">
        <v>571</v>
      </c>
      <c r="P4" s="2897" t="s">
        <v>534</v>
      </c>
      <c r="Q4" s="2637"/>
    </row>
    <row r="5" spans="1:19" s="19" customFormat="1" ht="11.25" customHeight="1" x14ac:dyDescent="0.2">
      <c r="A5" s="2845"/>
      <c r="B5" s="1702"/>
      <c r="C5" s="2899"/>
      <c r="D5" s="2906"/>
      <c r="E5" s="2614"/>
      <c r="F5" s="2614"/>
      <c r="G5" s="1560" t="s">
        <v>472</v>
      </c>
      <c r="H5" s="1560" t="s">
        <v>532</v>
      </c>
      <c r="I5" s="1560" t="s">
        <v>472</v>
      </c>
      <c r="J5" s="1560" t="s">
        <v>532</v>
      </c>
      <c r="K5" s="2467"/>
      <c r="L5" s="2614"/>
      <c r="M5" s="2467"/>
      <c r="N5" s="2467"/>
      <c r="O5" s="2467"/>
      <c r="P5" s="2467"/>
      <c r="Q5" s="2638"/>
    </row>
    <row r="6" spans="1:19" s="9" customFormat="1" ht="12.95" customHeight="1" x14ac:dyDescent="0.2">
      <c r="A6" s="990" t="s">
        <v>696</v>
      </c>
      <c r="B6" s="990"/>
      <c r="C6" s="25">
        <v>13153.5</v>
      </c>
      <c r="D6" s="25">
        <v>38.950000000000003</v>
      </c>
      <c r="E6" s="25">
        <v>660.36</v>
      </c>
      <c r="F6" s="25">
        <v>28652.63</v>
      </c>
      <c r="G6" s="25">
        <v>21984.81</v>
      </c>
      <c r="H6" s="25">
        <v>13792.62</v>
      </c>
      <c r="I6" s="25">
        <v>11923.97</v>
      </c>
      <c r="J6" s="25">
        <v>4367.71</v>
      </c>
      <c r="K6" s="25">
        <v>484.44</v>
      </c>
      <c r="L6" s="25">
        <v>95058.99</v>
      </c>
      <c r="M6" s="25">
        <v>407.8</v>
      </c>
      <c r="N6" s="25">
        <v>64.63</v>
      </c>
      <c r="O6" s="25">
        <v>217.14</v>
      </c>
      <c r="P6" s="25">
        <v>2018.8599999999997</v>
      </c>
      <c r="Q6" s="224" t="s">
        <v>696</v>
      </c>
      <c r="S6" s="151"/>
    </row>
    <row r="7" spans="1:19" s="9" customFormat="1" ht="12.95" customHeight="1" x14ac:dyDescent="0.2">
      <c r="A7" s="290" t="s">
        <v>804</v>
      </c>
      <c r="B7" s="290"/>
      <c r="C7" s="281">
        <v>13322.45</v>
      </c>
      <c r="D7" s="281">
        <v>33.47</v>
      </c>
      <c r="E7" s="281">
        <v>772.53</v>
      </c>
      <c r="F7" s="281">
        <v>37120.65</v>
      </c>
      <c r="G7" s="281">
        <v>26367.260000000002</v>
      </c>
      <c r="H7" s="281">
        <v>14846.48</v>
      </c>
      <c r="I7" s="281">
        <v>11985.29</v>
      </c>
      <c r="J7" s="281">
        <v>4205.01</v>
      </c>
      <c r="K7" s="281">
        <v>498.59</v>
      </c>
      <c r="L7" s="281">
        <v>109151.73</v>
      </c>
      <c r="M7" s="281">
        <v>293.5</v>
      </c>
      <c r="N7" s="281">
        <v>75.7</v>
      </c>
      <c r="O7" s="281">
        <v>166.19</v>
      </c>
      <c r="P7" s="281">
        <v>2015.1900000000003</v>
      </c>
      <c r="Q7" s="291" t="s">
        <v>804</v>
      </c>
      <c r="S7" s="151"/>
    </row>
    <row r="8" spans="1:19" s="236" customFormat="1" ht="12.95" customHeight="1" x14ac:dyDescent="0.2">
      <c r="A8" s="1561" t="s">
        <v>978</v>
      </c>
      <c r="B8" s="1699"/>
      <c r="C8" s="25">
        <v>13650.83</v>
      </c>
      <c r="D8" s="25">
        <v>41.980000000000004</v>
      </c>
      <c r="E8" s="25">
        <v>822.39</v>
      </c>
      <c r="F8" s="25">
        <v>43207.27</v>
      </c>
      <c r="G8" s="25">
        <v>29252.109999999997</v>
      </c>
      <c r="H8" s="25">
        <v>15325.119999999999</v>
      </c>
      <c r="I8" s="25">
        <v>13647.190000000002</v>
      </c>
      <c r="J8" s="25">
        <v>4335.7699999999995</v>
      </c>
      <c r="K8" s="25">
        <v>643.71</v>
      </c>
      <c r="L8" s="25">
        <v>120819.84999999998</v>
      </c>
      <c r="M8" s="25">
        <v>424.8</v>
      </c>
      <c r="N8" s="25">
        <v>71.41</v>
      </c>
      <c r="O8" s="25">
        <v>219.57</v>
      </c>
      <c r="P8" s="25">
        <v>2214.5200000000004</v>
      </c>
      <c r="Q8" s="239" t="s">
        <v>978</v>
      </c>
      <c r="S8" s="237"/>
    </row>
    <row r="9" spans="1:19" s="236" customFormat="1" ht="12.95" customHeight="1" x14ac:dyDescent="0.2">
      <c r="A9" s="1562" t="s">
        <v>1029</v>
      </c>
      <c r="B9" s="1700"/>
      <c r="C9" s="276">
        <v>15349.850000000002</v>
      </c>
      <c r="D9" s="276">
        <v>40.630000000000003</v>
      </c>
      <c r="E9" s="276">
        <v>960.37999999999988</v>
      </c>
      <c r="F9" s="276">
        <v>47477.399999999994</v>
      </c>
      <c r="G9" s="276">
        <v>32290.130000000005</v>
      </c>
      <c r="H9" s="276">
        <v>17690.469999999998</v>
      </c>
      <c r="I9" s="276">
        <v>15758.310000000001</v>
      </c>
      <c r="J9" s="276">
        <v>5252.42</v>
      </c>
      <c r="K9" s="276">
        <v>881.11</v>
      </c>
      <c r="L9" s="276">
        <v>135700.70000000001</v>
      </c>
      <c r="M9" s="281">
        <v>362.66</v>
      </c>
      <c r="N9" s="281">
        <v>86.53</v>
      </c>
      <c r="O9" s="281">
        <v>253.13</v>
      </c>
      <c r="P9" s="281">
        <v>2139.31</v>
      </c>
      <c r="Q9" s="303" t="s">
        <v>1029</v>
      </c>
      <c r="S9" s="237"/>
    </row>
    <row r="10" spans="1:19" s="236" customFormat="1" ht="12.95" customHeight="1" x14ac:dyDescent="0.2">
      <c r="A10" s="1561" t="s">
        <v>1150</v>
      </c>
      <c r="B10" s="1699"/>
      <c r="C10" s="237">
        <v>18016.580000000002</v>
      </c>
      <c r="D10" s="237">
        <v>32.749999999999993</v>
      </c>
      <c r="E10" s="237">
        <v>1582.0299999999997</v>
      </c>
      <c r="F10" s="237">
        <v>53235.45</v>
      </c>
      <c r="G10" s="237">
        <v>34862.82</v>
      </c>
      <c r="H10" s="237">
        <v>20583.86</v>
      </c>
      <c r="I10" s="237">
        <v>19630.96</v>
      </c>
      <c r="J10" s="237">
        <v>6560.2000000000007</v>
      </c>
      <c r="K10" s="237">
        <v>1014.0699999999999</v>
      </c>
      <c r="L10" s="237">
        <v>155518.71999999997</v>
      </c>
      <c r="M10" s="25">
        <v>432.78999999999996</v>
      </c>
      <c r="N10" s="25">
        <v>95.44</v>
      </c>
      <c r="O10" s="25">
        <v>195.29999999999998</v>
      </c>
      <c r="P10" s="25">
        <v>2279.71</v>
      </c>
      <c r="Q10" s="239" t="s">
        <v>1150</v>
      </c>
      <c r="R10" s="237"/>
    </row>
    <row r="11" spans="1:19" s="236" customFormat="1" ht="12.95" customHeight="1" x14ac:dyDescent="0.2">
      <c r="A11" s="1562" t="s">
        <v>1174</v>
      </c>
      <c r="B11" s="1700"/>
      <c r="C11" s="276">
        <v>21069.19</v>
      </c>
      <c r="D11" s="276">
        <v>22.699999999999996</v>
      </c>
      <c r="E11" s="276">
        <v>1790.5100000000002</v>
      </c>
      <c r="F11" s="276">
        <v>52754.93</v>
      </c>
      <c r="G11" s="276">
        <v>38287.759999999995</v>
      </c>
      <c r="H11" s="276">
        <v>25561.09</v>
      </c>
      <c r="I11" s="276">
        <v>23481.699999999997</v>
      </c>
      <c r="J11" s="276">
        <v>7628.89</v>
      </c>
      <c r="K11" s="276">
        <v>1059.67</v>
      </c>
      <c r="L11" s="276">
        <v>171656.43999999997</v>
      </c>
      <c r="M11" s="281">
        <v>1684.0539999999999</v>
      </c>
      <c r="N11" s="281">
        <v>100.30000000000001</v>
      </c>
      <c r="O11" s="281">
        <v>374.15</v>
      </c>
      <c r="P11" s="281">
        <v>2470.79</v>
      </c>
      <c r="Q11" s="303" t="s">
        <v>1174</v>
      </c>
      <c r="R11" s="237"/>
    </row>
    <row r="12" spans="1:19" s="236" customFormat="1" ht="12.95" customHeight="1" x14ac:dyDescent="0.2">
      <c r="A12" s="1561" t="s">
        <v>1296</v>
      </c>
      <c r="B12" s="1699"/>
      <c r="C12" s="237">
        <v>24502.12</v>
      </c>
      <c r="D12" s="237">
        <v>35.769999999999996</v>
      </c>
      <c r="E12" s="237">
        <v>2080.3399999999997</v>
      </c>
      <c r="F12" s="237">
        <v>64548.260000000009</v>
      </c>
      <c r="G12" s="237">
        <v>47171.799999999996</v>
      </c>
      <c r="H12" s="237">
        <v>29367.759999999998</v>
      </c>
      <c r="I12" s="237">
        <v>29639.15</v>
      </c>
      <c r="J12" s="237">
        <v>7912.2300000000005</v>
      </c>
      <c r="K12" s="237">
        <v>1149.8200000000002</v>
      </c>
      <c r="L12" s="237">
        <v>206407.25</v>
      </c>
      <c r="M12" s="25">
        <v>550.11999999999989</v>
      </c>
      <c r="N12" s="25">
        <v>100.05</v>
      </c>
      <c r="O12" s="25">
        <v>404.92</v>
      </c>
      <c r="P12" s="25">
        <v>2756.99</v>
      </c>
      <c r="Q12" s="239" t="s">
        <v>1296</v>
      </c>
      <c r="R12" s="237"/>
    </row>
    <row r="13" spans="1:19" s="236" customFormat="1" ht="12.95" customHeight="1" x14ac:dyDescent="0.2">
      <c r="A13" s="1562" t="s">
        <v>1404</v>
      </c>
      <c r="B13" s="1700"/>
      <c r="C13" s="276">
        <v>24277.399999999998</v>
      </c>
      <c r="D13" s="276">
        <v>42.169999999999995</v>
      </c>
      <c r="E13" s="276">
        <v>2373.3299999999995</v>
      </c>
      <c r="F13" s="276">
        <v>71795.500000000015</v>
      </c>
      <c r="G13" s="276">
        <v>56323.020000000004</v>
      </c>
      <c r="H13" s="276">
        <v>31398.55</v>
      </c>
      <c r="I13" s="276">
        <v>28891.02</v>
      </c>
      <c r="J13" s="276">
        <v>7664.0400000000009</v>
      </c>
      <c r="K13" s="276">
        <v>1127.3900000000001</v>
      </c>
      <c r="L13" s="276">
        <v>223892.42</v>
      </c>
      <c r="M13" s="281">
        <v>892.1400000000001</v>
      </c>
      <c r="N13" s="281">
        <v>100.23</v>
      </c>
      <c r="O13" s="281">
        <v>443.39</v>
      </c>
      <c r="P13" s="281">
        <v>3032.62</v>
      </c>
      <c r="Q13" s="303" t="s">
        <v>1404</v>
      </c>
      <c r="R13" s="237"/>
    </row>
    <row r="14" spans="1:19" s="153" customFormat="1" ht="12.95" customHeight="1" x14ac:dyDescent="0.2">
      <c r="A14" s="1561" t="s">
        <v>1484</v>
      </c>
      <c r="B14" s="1699"/>
      <c r="C14" s="1184">
        <v>23559.5</v>
      </c>
      <c r="D14" s="1184">
        <v>1.0300000000000002</v>
      </c>
      <c r="E14" s="1184">
        <v>2279.4000000000005</v>
      </c>
      <c r="F14" s="1184">
        <v>70501.5</v>
      </c>
      <c r="G14" s="1184">
        <v>56080.7</v>
      </c>
      <c r="H14" s="1184">
        <v>30016.640000000007</v>
      </c>
      <c r="I14" s="1184">
        <v>25471.140000000003</v>
      </c>
      <c r="J14" s="1184">
        <v>6975.1500000000005</v>
      </c>
      <c r="K14" s="1184">
        <v>1566.73</v>
      </c>
      <c r="L14" s="1184">
        <v>216451.78999999995</v>
      </c>
      <c r="M14" s="25">
        <v>649.49299999999994</v>
      </c>
      <c r="N14" s="25">
        <v>240.14999999999998</v>
      </c>
      <c r="O14" s="25">
        <v>454.72999999999996</v>
      </c>
      <c r="P14" s="25">
        <v>2095.779</v>
      </c>
      <c r="Q14" s="239" t="s">
        <v>1484</v>
      </c>
    </row>
    <row r="15" spans="1:19" s="153" customFormat="1" ht="12.95" customHeight="1" x14ac:dyDescent="0.2">
      <c r="A15" s="1562" t="s">
        <v>1536</v>
      </c>
      <c r="B15" s="1700"/>
      <c r="C15" s="276">
        <v>30455.91</v>
      </c>
      <c r="D15" s="276">
        <v>0.6</v>
      </c>
      <c r="E15" s="276">
        <v>2418.1799999999998</v>
      </c>
      <c r="F15" s="276">
        <v>86693.939999999988</v>
      </c>
      <c r="G15" s="276">
        <v>63786.770000000004</v>
      </c>
      <c r="H15" s="276">
        <v>38271.78</v>
      </c>
      <c r="I15" s="276">
        <v>30047.73</v>
      </c>
      <c r="J15" s="276">
        <v>8422.1200000000008</v>
      </c>
      <c r="K15" s="276">
        <v>1592.17</v>
      </c>
      <c r="L15" s="276">
        <v>261689.19999999995</v>
      </c>
      <c r="M15" s="276">
        <v>840.56999999999994</v>
      </c>
      <c r="N15" s="276">
        <v>87.8</v>
      </c>
      <c r="O15" s="276">
        <v>318.12</v>
      </c>
      <c r="P15" s="276">
        <v>9056.1600000000017</v>
      </c>
      <c r="Q15" s="303" t="s">
        <v>1536</v>
      </c>
    </row>
    <row r="16" spans="1:19" s="153" customFormat="1" ht="12.95" customHeight="1" x14ac:dyDescent="0.2">
      <c r="A16" s="1559" t="s">
        <v>1817</v>
      </c>
      <c r="B16" s="1693"/>
      <c r="C16" s="237">
        <v>35276.579999999994</v>
      </c>
      <c r="D16" s="237">
        <v>0.67</v>
      </c>
      <c r="E16" s="237">
        <v>3102.86</v>
      </c>
      <c r="F16" s="237">
        <v>102908.16</v>
      </c>
      <c r="G16" s="237">
        <v>72606.449999999983</v>
      </c>
      <c r="H16" s="237">
        <v>44328.739999999991</v>
      </c>
      <c r="I16" s="237">
        <v>31234.449999999997</v>
      </c>
      <c r="J16" s="237">
        <v>9817.81</v>
      </c>
      <c r="K16" s="237">
        <v>2358.12</v>
      </c>
      <c r="L16" s="237">
        <v>301633.83999999997</v>
      </c>
      <c r="M16" s="237">
        <v>860.08999999999992</v>
      </c>
      <c r="N16" s="237">
        <v>124.69</v>
      </c>
      <c r="O16" s="237">
        <v>230.06</v>
      </c>
      <c r="P16" s="237">
        <v>10402.980000000001</v>
      </c>
      <c r="Q16" s="354" t="s">
        <v>1817</v>
      </c>
    </row>
    <row r="17" spans="1:17" s="153" customFormat="1" ht="12.95" customHeight="1" x14ac:dyDescent="0.2">
      <c r="A17" s="1090" t="s">
        <v>2066</v>
      </c>
      <c r="B17" s="1090"/>
      <c r="C17" s="315">
        <v>37004.269999999997</v>
      </c>
      <c r="D17" s="315">
        <v>2.8599999999999985</v>
      </c>
      <c r="E17" s="315">
        <v>9855.0999999999985</v>
      </c>
      <c r="F17" s="315">
        <v>111791.82</v>
      </c>
      <c r="G17" s="315">
        <v>80994.319999999992</v>
      </c>
      <c r="H17" s="315">
        <v>45426.239999999998</v>
      </c>
      <c r="I17" s="315">
        <v>32980.19</v>
      </c>
      <c r="J17" s="315">
        <v>10298.98</v>
      </c>
      <c r="K17" s="315">
        <v>3148.3879999999999</v>
      </c>
      <c r="L17" s="315">
        <v>331502.16800000001</v>
      </c>
      <c r="M17" s="315">
        <v>1020.7299999999999</v>
      </c>
      <c r="N17" s="315">
        <v>142.55000000000001</v>
      </c>
      <c r="O17" s="315">
        <v>201.49</v>
      </c>
      <c r="P17" s="315">
        <v>15288.83</v>
      </c>
      <c r="Q17" s="288" t="s">
        <v>2066</v>
      </c>
    </row>
    <row r="18" spans="1:17" s="153" customFormat="1" ht="12.95" customHeight="1" x14ac:dyDescent="0.2">
      <c r="A18" s="99" t="s">
        <v>2205</v>
      </c>
      <c r="B18" s="99"/>
      <c r="C18" s="322">
        <f>SUM(C190:C201)</f>
        <v>39603.270000000004</v>
      </c>
      <c r="D18" s="322">
        <f t="shared" ref="D18:L18" si="0">SUM(D190:D201)</f>
        <v>7.0000000000000007E-2</v>
      </c>
      <c r="E18" s="322">
        <f t="shared" si="0"/>
        <v>4305.6100000000006</v>
      </c>
      <c r="F18" s="322">
        <f t="shared" si="0"/>
        <v>125795.88</v>
      </c>
      <c r="G18" s="322">
        <f t="shared" si="0"/>
        <v>97064.340000000011</v>
      </c>
      <c r="H18" s="322">
        <f t="shared" si="0"/>
        <v>49520.630000000012</v>
      </c>
      <c r="I18" s="322">
        <f t="shared" si="0"/>
        <v>40123.919999999998</v>
      </c>
      <c r="J18" s="322">
        <f t="shared" si="0"/>
        <v>11425.590000000002</v>
      </c>
      <c r="K18" s="322">
        <f t="shared" si="0"/>
        <v>4192.3500000000004</v>
      </c>
      <c r="L18" s="322">
        <f t="shared" si="0"/>
        <v>372031.66000000003</v>
      </c>
      <c r="M18" s="322">
        <f>SUM(M190:M201)</f>
        <v>1134.81</v>
      </c>
      <c r="N18" s="322">
        <f t="shared" ref="N18" si="1">SUM(N190:N201)</f>
        <v>134.16</v>
      </c>
      <c r="O18" s="322">
        <f>SUM(O190:O201)</f>
        <v>111.3</v>
      </c>
      <c r="P18" s="322">
        <f>SUM(P190:P201)</f>
        <v>15004.31</v>
      </c>
      <c r="Q18" s="437" t="s">
        <v>2205</v>
      </c>
    </row>
    <row r="19" spans="1:17" s="153" customFormat="1" ht="12.95" customHeight="1" x14ac:dyDescent="0.2">
      <c r="A19" s="1090" t="s">
        <v>2478</v>
      </c>
      <c r="B19" s="1090"/>
      <c r="C19" s="315">
        <f t="shared" ref="C19:L19" si="2">SUM(C202:C213)</f>
        <v>38077.460000000006</v>
      </c>
      <c r="D19" s="315">
        <f t="shared" si="2"/>
        <v>3</v>
      </c>
      <c r="E19" s="315">
        <f t="shared" si="2"/>
        <v>5370.9299999999994</v>
      </c>
      <c r="F19" s="315">
        <f t="shared" si="2"/>
        <v>126980.18000000001</v>
      </c>
      <c r="G19" s="315">
        <f t="shared" si="2"/>
        <v>86509.1</v>
      </c>
      <c r="H19" s="315">
        <f t="shared" si="2"/>
        <v>51003.740000000005</v>
      </c>
      <c r="I19" s="315">
        <f t="shared" si="2"/>
        <v>45540.33</v>
      </c>
      <c r="J19" s="315">
        <f t="shared" si="2"/>
        <v>11112.179999999998</v>
      </c>
      <c r="K19" s="315">
        <f t="shared" si="2"/>
        <v>6279.5</v>
      </c>
      <c r="L19" s="315">
        <f t="shared" si="2"/>
        <v>370876.42</v>
      </c>
      <c r="M19" s="322"/>
      <c r="N19" s="322"/>
      <c r="O19" s="322"/>
      <c r="P19" s="322"/>
      <c r="Q19" s="437"/>
    </row>
    <row r="20" spans="1:17" s="153" customFormat="1" ht="12.95" customHeight="1" x14ac:dyDescent="0.2">
      <c r="A20" s="99"/>
      <c r="B20" s="99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  <c r="O20" s="322"/>
      <c r="P20" s="322"/>
      <c r="Q20" s="437"/>
    </row>
    <row r="21" spans="1:17" s="153" customFormat="1" ht="12.95" customHeight="1" x14ac:dyDescent="0.2">
      <c r="A21" s="99"/>
      <c r="B21" s="99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  <c r="O21" s="322"/>
      <c r="P21" s="322"/>
      <c r="Q21" s="437"/>
    </row>
    <row r="22" spans="1:17" s="153" customFormat="1" ht="12.95" customHeight="1" x14ac:dyDescent="0.2">
      <c r="A22" s="99" t="s">
        <v>81</v>
      </c>
      <c r="B22" s="533" t="s">
        <v>552</v>
      </c>
      <c r="C22" s="132">
        <v>692.27</v>
      </c>
      <c r="D22" s="132" t="s">
        <v>288</v>
      </c>
      <c r="E22" s="132">
        <v>0.94</v>
      </c>
      <c r="F22" s="132">
        <v>735.69</v>
      </c>
      <c r="G22" s="132">
        <v>928.58</v>
      </c>
      <c r="H22" s="132">
        <v>674.64</v>
      </c>
      <c r="I22" s="132">
        <v>543.02</v>
      </c>
      <c r="J22" s="132">
        <v>228.9</v>
      </c>
      <c r="K22" s="132">
        <f>0.41+33.83</f>
        <v>34.239999999999995</v>
      </c>
      <c r="L22" s="132">
        <f t="shared" ref="L22:L33" si="3">C22+E22+F22+G22+H22+I22+J22+K22</f>
        <v>3838.2799999999997</v>
      </c>
      <c r="M22" s="132">
        <v>136.11000000000001</v>
      </c>
      <c r="N22" s="132">
        <v>0.93</v>
      </c>
      <c r="O22" s="132">
        <v>136.11000000000001</v>
      </c>
      <c r="P22" s="132" t="s">
        <v>572</v>
      </c>
      <c r="Q22" s="90" t="s">
        <v>552</v>
      </c>
    </row>
    <row r="23" spans="1:17" s="153" customFormat="1" ht="12.95" customHeight="1" x14ac:dyDescent="0.2">
      <c r="A23" s="99" t="s">
        <v>81</v>
      </c>
      <c r="B23" s="222" t="s">
        <v>553</v>
      </c>
      <c r="C23" s="132">
        <v>743.57</v>
      </c>
      <c r="D23" s="132" t="s">
        <v>288</v>
      </c>
      <c r="E23" s="132">
        <v>2.97</v>
      </c>
      <c r="F23" s="132">
        <v>704.47</v>
      </c>
      <c r="G23" s="132">
        <v>917.03</v>
      </c>
      <c r="H23" s="132">
        <v>815.58</v>
      </c>
      <c r="I23" s="132">
        <v>526.77</v>
      </c>
      <c r="J23" s="132">
        <v>234.64</v>
      </c>
      <c r="K23" s="132">
        <f>0.2+33.16</f>
        <v>33.36</v>
      </c>
      <c r="L23" s="132">
        <f t="shared" si="3"/>
        <v>3978.39</v>
      </c>
      <c r="M23" s="132">
        <v>7.33</v>
      </c>
      <c r="N23" s="132">
        <v>2.64</v>
      </c>
      <c r="O23" s="132">
        <v>13.42</v>
      </c>
      <c r="P23" s="132" t="s">
        <v>288</v>
      </c>
      <c r="Q23" s="90" t="s">
        <v>553</v>
      </c>
    </row>
    <row r="24" spans="1:17" s="153" customFormat="1" ht="12.95" customHeight="1" x14ac:dyDescent="0.2">
      <c r="A24" s="99" t="s">
        <v>81</v>
      </c>
      <c r="B24" s="533" t="s">
        <v>547</v>
      </c>
      <c r="C24" s="132">
        <v>748.11</v>
      </c>
      <c r="D24" s="132" t="s">
        <v>288</v>
      </c>
      <c r="E24" s="132">
        <v>0.05</v>
      </c>
      <c r="F24" s="132">
        <v>1310.29</v>
      </c>
      <c r="G24" s="132">
        <v>963.18</v>
      </c>
      <c r="H24" s="132">
        <v>697.7</v>
      </c>
      <c r="I24" s="132">
        <v>607.47</v>
      </c>
      <c r="J24" s="132">
        <v>225.71</v>
      </c>
      <c r="K24" s="132">
        <f>0.24+27.4</f>
        <v>27.639999999999997</v>
      </c>
      <c r="L24" s="132">
        <f t="shared" si="3"/>
        <v>4580.1500000000005</v>
      </c>
      <c r="M24" s="132">
        <v>6.11</v>
      </c>
      <c r="N24" s="132">
        <v>2.14</v>
      </c>
      <c r="O24" s="132">
        <v>11.22</v>
      </c>
      <c r="P24" s="132" t="s">
        <v>288</v>
      </c>
      <c r="Q24" s="90" t="s">
        <v>547</v>
      </c>
    </row>
    <row r="25" spans="1:17" s="153" customFormat="1" ht="12.95" customHeight="1" x14ac:dyDescent="0.2">
      <c r="A25" s="99" t="s">
        <v>81</v>
      </c>
      <c r="B25" s="222" t="s">
        <v>554</v>
      </c>
      <c r="C25" s="132">
        <v>738.52</v>
      </c>
      <c r="D25" s="132" t="s">
        <v>288</v>
      </c>
      <c r="E25" s="132">
        <v>0.12</v>
      </c>
      <c r="F25" s="132">
        <v>942.35</v>
      </c>
      <c r="G25" s="132">
        <v>1089.53</v>
      </c>
      <c r="H25" s="132">
        <v>801.73</v>
      </c>
      <c r="I25" s="132">
        <v>601.17999999999995</v>
      </c>
      <c r="J25" s="132">
        <v>287.47000000000003</v>
      </c>
      <c r="K25" s="132">
        <f>0.45+30.57</f>
        <v>31.02</v>
      </c>
      <c r="L25" s="132">
        <f t="shared" si="3"/>
        <v>4491.920000000001</v>
      </c>
      <c r="M25" s="132">
        <v>10.02</v>
      </c>
      <c r="N25" s="132">
        <v>2.19</v>
      </c>
      <c r="O25" s="132">
        <v>27.61</v>
      </c>
      <c r="P25" s="132" t="s">
        <v>288</v>
      </c>
      <c r="Q25" s="90" t="s">
        <v>554</v>
      </c>
    </row>
    <row r="26" spans="1:17" s="153" customFormat="1" ht="12.95" customHeight="1" x14ac:dyDescent="0.2">
      <c r="A26" s="99" t="s">
        <v>81</v>
      </c>
      <c r="B26" s="533" t="s">
        <v>555</v>
      </c>
      <c r="C26" s="132">
        <v>754.73</v>
      </c>
      <c r="D26" s="132" t="s">
        <v>288</v>
      </c>
      <c r="E26" s="132">
        <v>0.21</v>
      </c>
      <c r="F26" s="132">
        <v>963.62</v>
      </c>
      <c r="G26" s="132">
        <v>1121.94</v>
      </c>
      <c r="H26" s="132">
        <v>888.56</v>
      </c>
      <c r="I26" s="132">
        <v>649.25</v>
      </c>
      <c r="J26" s="132">
        <v>263.95999999999998</v>
      </c>
      <c r="K26" s="132">
        <f>0.24+33.76</f>
        <v>34</v>
      </c>
      <c r="L26" s="132">
        <f t="shared" si="3"/>
        <v>4676.2699999999995</v>
      </c>
      <c r="M26" s="132">
        <v>9.5500000000000007</v>
      </c>
      <c r="N26" s="132">
        <v>3.93</v>
      </c>
      <c r="O26" s="132">
        <v>12.87</v>
      </c>
      <c r="P26" s="132" t="s">
        <v>288</v>
      </c>
      <c r="Q26" s="90" t="s">
        <v>555</v>
      </c>
    </row>
    <row r="27" spans="1:17" s="153" customFormat="1" ht="12.95" customHeight="1" x14ac:dyDescent="0.2">
      <c r="A27" s="99" t="s">
        <v>81</v>
      </c>
      <c r="B27" s="222" t="s">
        <v>548</v>
      </c>
      <c r="C27" s="132">
        <v>663.22</v>
      </c>
      <c r="D27" s="132" t="s">
        <v>288</v>
      </c>
      <c r="E27" s="132">
        <v>5.7</v>
      </c>
      <c r="F27" s="132">
        <v>1329.05</v>
      </c>
      <c r="G27" s="132">
        <v>1115.06</v>
      </c>
      <c r="H27" s="132">
        <v>816.41</v>
      </c>
      <c r="I27" s="132">
        <v>631.05999999999995</v>
      </c>
      <c r="J27" s="132">
        <v>240.96</v>
      </c>
      <c r="K27" s="132">
        <f>0.4+25.81+0.01</f>
        <v>26.22</v>
      </c>
      <c r="L27" s="132">
        <f t="shared" si="3"/>
        <v>4827.68</v>
      </c>
      <c r="M27" s="132">
        <v>13.29</v>
      </c>
      <c r="N27" s="132">
        <v>2.87</v>
      </c>
      <c r="O27" s="132">
        <v>11.78</v>
      </c>
      <c r="P27" s="132" t="s">
        <v>288</v>
      </c>
      <c r="Q27" s="90" t="s">
        <v>548</v>
      </c>
    </row>
    <row r="28" spans="1:17" s="153" customFormat="1" ht="12.95" customHeight="1" x14ac:dyDescent="0.2">
      <c r="A28" s="99" t="s">
        <v>81</v>
      </c>
      <c r="B28" s="533" t="s">
        <v>556</v>
      </c>
      <c r="C28" s="132">
        <v>717.31</v>
      </c>
      <c r="D28" s="132" t="s">
        <v>288</v>
      </c>
      <c r="E28" s="132">
        <v>25.64</v>
      </c>
      <c r="F28" s="132">
        <v>986.31</v>
      </c>
      <c r="G28" s="132">
        <v>1121.6099999999999</v>
      </c>
      <c r="H28" s="132">
        <v>911.45</v>
      </c>
      <c r="I28" s="132">
        <v>633.26</v>
      </c>
      <c r="J28" s="132">
        <v>253.32</v>
      </c>
      <c r="K28" s="132">
        <f>0.44+34.67+0.01</f>
        <v>35.119999999999997</v>
      </c>
      <c r="L28" s="132">
        <f t="shared" si="3"/>
        <v>4684.0199999999995</v>
      </c>
      <c r="M28" s="132">
        <v>17.53</v>
      </c>
      <c r="N28" s="132">
        <v>4.7699999999999996</v>
      </c>
      <c r="O28" s="132">
        <v>13.25</v>
      </c>
      <c r="P28" s="132" t="s">
        <v>288</v>
      </c>
      <c r="Q28" s="90" t="s">
        <v>556</v>
      </c>
    </row>
    <row r="29" spans="1:17" s="153" customFormat="1" ht="12.95" customHeight="1" x14ac:dyDescent="0.2">
      <c r="A29" s="99" t="s">
        <v>81</v>
      </c>
      <c r="B29" s="1263" t="s">
        <v>557</v>
      </c>
      <c r="C29" s="132">
        <v>680.02</v>
      </c>
      <c r="D29" s="132" t="s">
        <v>288</v>
      </c>
      <c r="E29" s="132">
        <v>228.72</v>
      </c>
      <c r="F29" s="132">
        <v>1057.94</v>
      </c>
      <c r="G29" s="132">
        <v>1021.89</v>
      </c>
      <c r="H29" s="132">
        <v>839.36</v>
      </c>
      <c r="I29" s="132">
        <v>572.51</v>
      </c>
      <c r="J29" s="132">
        <v>232.64</v>
      </c>
      <c r="K29" s="132">
        <f>0.26+33.3+0.01</f>
        <v>33.569999999999993</v>
      </c>
      <c r="L29" s="132">
        <f t="shared" si="3"/>
        <v>4666.6500000000005</v>
      </c>
      <c r="M29" s="132">
        <v>18.18</v>
      </c>
      <c r="N29" s="132">
        <v>4.83</v>
      </c>
      <c r="O29" s="132">
        <v>12.95</v>
      </c>
      <c r="P29" s="132" t="s">
        <v>288</v>
      </c>
      <c r="Q29" s="90" t="s">
        <v>557</v>
      </c>
    </row>
    <row r="30" spans="1:17" s="153" customFormat="1" ht="12.95" customHeight="1" x14ac:dyDescent="0.2">
      <c r="A30" s="99" t="s">
        <v>81</v>
      </c>
      <c r="B30" s="533" t="s">
        <v>549</v>
      </c>
      <c r="C30" s="132">
        <v>810.08</v>
      </c>
      <c r="D30" s="132" t="s">
        <v>288</v>
      </c>
      <c r="E30" s="132">
        <v>68.34</v>
      </c>
      <c r="F30" s="132">
        <v>1797.47</v>
      </c>
      <c r="G30" s="132">
        <v>1170.6500000000001</v>
      </c>
      <c r="H30" s="132">
        <v>1087.04</v>
      </c>
      <c r="I30" s="132">
        <v>660.56</v>
      </c>
      <c r="J30" s="132">
        <v>296.64</v>
      </c>
      <c r="K30" s="132">
        <f>0.39+32.79+0.02</f>
        <v>33.200000000000003</v>
      </c>
      <c r="L30" s="132">
        <f t="shared" si="3"/>
        <v>5923.98</v>
      </c>
      <c r="M30" s="132">
        <v>25.7</v>
      </c>
      <c r="N30" s="132">
        <v>4.37</v>
      </c>
      <c r="O30" s="132">
        <v>15.2</v>
      </c>
      <c r="P30" s="132" t="s">
        <v>288</v>
      </c>
      <c r="Q30" s="90" t="s">
        <v>549</v>
      </c>
    </row>
    <row r="31" spans="1:17" s="153" customFormat="1" ht="12.95" customHeight="1" x14ac:dyDescent="0.2">
      <c r="A31" s="99" t="s">
        <v>81</v>
      </c>
      <c r="B31" s="1263" t="s">
        <v>558</v>
      </c>
      <c r="C31" s="132">
        <v>648.21</v>
      </c>
      <c r="D31" s="132" t="s">
        <v>288</v>
      </c>
      <c r="E31" s="132">
        <v>11.3</v>
      </c>
      <c r="F31" s="132">
        <v>1426.1</v>
      </c>
      <c r="G31" s="132">
        <v>1228.3699999999999</v>
      </c>
      <c r="H31" s="132">
        <v>907.37</v>
      </c>
      <c r="I31" s="132">
        <v>691.28</v>
      </c>
      <c r="J31" s="132">
        <v>260.42</v>
      </c>
      <c r="K31" s="132">
        <f>0.49+28.79+0.02</f>
        <v>29.299999999999997</v>
      </c>
      <c r="L31" s="132">
        <f t="shared" si="3"/>
        <v>5202.3499999999995</v>
      </c>
      <c r="M31" s="132">
        <v>29.01</v>
      </c>
      <c r="N31" s="132">
        <v>4.3600000000000003</v>
      </c>
      <c r="O31" s="132">
        <v>19.21</v>
      </c>
      <c r="P31" s="132" t="s">
        <v>288</v>
      </c>
      <c r="Q31" s="90" t="s">
        <v>558</v>
      </c>
    </row>
    <row r="32" spans="1:17" s="153" customFormat="1" ht="12.95" customHeight="1" x14ac:dyDescent="0.2">
      <c r="A32" s="99" t="s">
        <v>81</v>
      </c>
      <c r="B32" s="533" t="s">
        <v>559</v>
      </c>
      <c r="C32" s="132">
        <v>781.86</v>
      </c>
      <c r="D32" s="132" t="s">
        <v>288</v>
      </c>
      <c r="E32" s="132">
        <v>2.13</v>
      </c>
      <c r="F32" s="132">
        <v>1571.83</v>
      </c>
      <c r="G32" s="132">
        <v>1320.37</v>
      </c>
      <c r="H32" s="132">
        <v>978.52</v>
      </c>
      <c r="I32" s="132">
        <v>743.17</v>
      </c>
      <c r="J32" s="132">
        <v>282.37</v>
      </c>
      <c r="K32" s="132">
        <f>0.44+37.52+0.06</f>
        <v>38.020000000000003</v>
      </c>
      <c r="L32" s="132">
        <f t="shared" si="3"/>
        <v>5718.2699999999995</v>
      </c>
      <c r="M32" s="132">
        <v>30.54</v>
      </c>
      <c r="N32" s="132">
        <v>4.17</v>
      </c>
      <c r="O32" s="132" t="s">
        <v>288</v>
      </c>
      <c r="P32" s="132" t="s">
        <v>288</v>
      </c>
      <c r="Q32" s="90" t="s">
        <v>559</v>
      </c>
    </row>
    <row r="33" spans="1:17" s="153" customFormat="1" ht="12.95" customHeight="1" x14ac:dyDescent="0.2">
      <c r="A33" s="99" t="s">
        <v>81</v>
      </c>
      <c r="B33" s="222" t="s">
        <v>550</v>
      </c>
      <c r="C33" s="132">
        <v>1019.22</v>
      </c>
      <c r="D33" s="132" t="s">
        <v>288</v>
      </c>
      <c r="E33" s="132">
        <v>1.37</v>
      </c>
      <c r="F33" s="132">
        <v>4217.16</v>
      </c>
      <c r="G33" s="132">
        <v>1818.64</v>
      </c>
      <c r="H33" s="132">
        <v>1232.8599999999999</v>
      </c>
      <c r="I33" s="132">
        <v>733.81</v>
      </c>
      <c r="J33" s="132">
        <v>396.1</v>
      </c>
      <c r="K33" s="132">
        <f>0.71+34.3+0.03</f>
        <v>35.04</v>
      </c>
      <c r="L33" s="132">
        <f t="shared" si="3"/>
        <v>9454.2000000000007</v>
      </c>
      <c r="M33" s="132">
        <v>54.24</v>
      </c>
      <c r="N33" s="132">
        <v>9.26</v>
      </c>
      <c r="O33" s="132">
        <v>69.349999999999994</v>
      </c>
      <c r="P33" s="132" t="s">
        <v>288</v>
      </c>
      <c r="Q33" s="90" t="s">
        <v>550</v>
      </c>
    </row>
    <row r="34" spans="1:17" s="153" customFormat="1" ht="12.95" customHeight="1" x14ac:dyDescent="0.2">
      <c r="A34" s="99" t="s">
        <v>189</v>
      </c>
      <c r="B34" s="533" t="s">
        <v>552</v>
      </c>
      <c r="C34" s="15">
        <v>740.48</v>
      </c>
      <c r="D34" s="15">
        <v>0.56000000000000005</v>
      </c>
      <c r="E34" s="15">
        <v>0.87</v>
      </c>
      <c r="F34" s="15">
        <v>873.9</v>
      </c>
      <c r="G34" s="15">
        <v>1202.95</v>
      </c>
      <c r="H34" s="15">
        <v>842.59</v>
      </c>
      <c r="I34" s="15">
        <v>596.1</v>
      </c>
      <c r="J34" s="15">
        <v>235.03</v>
      </c>
      <c r="K34" s="15">
        <f>0.25+41.77+8.29</f>
        <v>50.31</v>
      </c>
      <c r="L34" s="15">
        <f t="shared" ref="L34:L45" si="4">C34+D34+E34+F34+G34+H34+I34+J34+K34</f>
        <v>4542.7900000000009</v>
      </c>
      <c r="M34" s="15">
        <v>6.37</v>
      </c>
      <c r="N34" s="15">
        <v>0.78</v>
      </c>
      <c r="O34" s="15">
        <v>11.83</v>
      </c>
      <c r="P34" s="15">
        <v>88.89</v>
      </c>
      <c r="Q34" s="67" t="s">
        <v>552</v>
      </c>
    </row>
    <row r="35" spans="1:17" s="153" customFormat="1" ht="12.95" customHeight="1" x14ac:dyDescent="0.2">
      <c r="A35" s="99" t="s">
        <v>189</v>
      </c>
      <c r="B35" s="222" t="s">
        <v>553</v>
      </c>
      <c r="C35" s="281">
        <v>911.75</v>
      </c>
      <c r="D35" s="281">
        <v>3.42</v>
      </c>
      <c r="E35" s="281">
        <v>1.1000000000000001</v>
      </c>
      <c r="F35" s="279">
        <v>1031.24</v>
      </c>
      <c r="G35" s="281">
        <v>1228.82</v>
      </c>
      <c r="H35" s="281">
        <v>1068.1099999999999</v>
      </c>
      <c r="I35" s="281">
        <v>795.14</v>
      </c>
      <c r="J35" s="281">
        <v>338.31</v>
      </c>
      <c r="K35" s="281">
        <f>0.17+26.07</f>
        <v>26.240000000000002</v>
      </c>
      <c r="L35" s="281">
        <f t="shared" si="4"/>
        <v>5404.13</v>
      </c>
      <c r="M35" s="281">
        <v>9.49</v>
      </c>
      <c r="N35" s="281">
        <v>2.35</v>
      </c>
      <c r="O35" s="281" t="s">
        <v>288</v>
      </c>
      <c r="P35" s="281">
        <v>89.57</v>
      </c>
      <c r="Q35" s="291" t="s">
        <v>553</v>
      </c>
    </row>
    <row r="36" spans="1:17" s="153" customFormat="1" ht="12.95" customHeight="1" x14ac:dyDescent="0.2">
      <c r="A36" s="99" t="s">
        <v>189</v>
      </c>
      <c r="B36" s="533" t="s">
        <v>547</v>
      </c>
      <c r="C36" s="15">
        <v>783.87</v>
      </c>
      <c r="D36" s="15">
        <v>6.26</v>
      </c>
      <c r="E36" s="15">
        <v>0.59</v>
      </c>
      <c r="F36" s="793">
        <v>1689.93</v>
      </c>
      <c r="G36" s="15">
        <v>1335.05</v>
      </c>
      <c r="H36" s="15">
        <v>845.84</v>
      </c>
      <c r="I36" s="15">
        <v>780.94</v>
      </c>
      <c r="J36" s="15">
        <v>275.22000000000003</v>
      </c>
      <c r="K36" s="15">
        <f>0.15+34.42+0.04</f>
        <v>34.61</v>
      </c>
      <c r="L36" s="15">
        <f t="shared" si="4"/>
        <v>5752.3099999999995</v>
      </c>
      <c r="M36" s="15">
        <v>9.7200000000000006</v>
      </c>
      <c r="N36" s="15">
        <v>2.66</v>
      </c>
      <c r="O36" s="15">
        <v>10.97</v>
      </c>
      <c r="P36" s="15">
        <v>87.55</v>
      </c>
      <c r="Q36" s="67" t="s">
        <v>547</v>
      </c>
    </row>
    <row r="37" spans="1:17" s="153" customFormat="1" ht="12.95" customHeight="1" x14ac:dyDescent="0.2">
      <c r="A37" s="99" t="s">
        <v>189</v>
      </c>
      <c r="B37" s="222" t="s">
        <v>554</v>
      </c>
      <c r="C37" s="281">
        <v>876.76</v>
      </c>
      <c r="D37" s="281">
        <v>2.13</v>
      </c>
      <c r="E37" s="281">
        <v>1.1299999999999999</v>
      </c>
      <c r="F37" s="279">
        <v>1285.24</v>
      </c>
      <c r="G37" s="281">
        <v>1391.11</v>
      </c>
      <c r="H37" s="281">
        <v>958.43</v>
      </c>
      <c r="I37" s="281">
        <v>795.25</v>
      </c>
      <c r="J37" s="281">
        <v>339.69</v>
      </c>
      <c r="K37" s="281">
        <f>0.27+35.46</f>
        <v>35.730000000000004</v>
      </c>
      <c r="L37" s="281">
        <f t="shared" si="4"/>
        <v>5685.4699999999993</v>
      </c>
      <c r="M37" s="281">
        <v>13.41</v>
      </c>
      <c r="N37" s="281">
        <v>2.91</v>
      </c>
      <c r="O37" s="281">
        <v>13.74</v>
      </c>
      <c r="P37" s="281">
        <v>75.63</v>
      </c>
      <c r="Q37" s="291" t="s">
        <v>554</v>
      </c>
    </row>
    <row r="38" spans="1:17" s="153" customFormat="1" ht="12.95" customHeight="1" x14ac:dyDescent="0.2">
      <c r="A38" s="99" t="s">
        <v>189</v>
      </c>
      <c r="B38" s="533" t="s">
        <v>555</v>
      </c>
      <c r="C38" s="15">
        <v>890.15</v>
      </c>
      <c r="D38" s="15">
        <v>4.38</v>
      </c>
      <c r="E38" s="15">
        <v>0.91</v>
      </c>
      <c r="F38" s="15">
        <v>1350.06</v>
      </c>
      <c r="G38" s="15">
        <v>1361.92</v>
      </c>
      <c r="H38" s="15">
        <v>912.77</v>
      </c>
      <c r="I38" s="15">
        <v>780.88</v>
      </c>
      <c r="J38" s="15">
        <v>333.45</v>
      </c>
      <c r="K38" s="15">
        <f>0.18+43.67+0.05-11.77</f>
        <v>32.129999999999995</v>
      </c>
      <c r="L38" s="15">
        <f t="shared" si="4"/>
        <v>5666.6500000000005</v>
      </c>
      <c r="M38" s="15">
        <v>12.34</v>
      </c>
      <c r="N38" s="15">
        <v>3.71</v>
      </c>
      <c r="O38" s="15" t="s">
        <v>288</v>
      </c>
      <c r="P38" s="15">
        <v>84.43</v>
      </c>
      <c r="Q38" s="67" t="s">
        <v>555</v>
      </c>
    </row>
    <row r="39" spans="1:17" s="153" customFormat="1" ht="12.95" customHeight="1" x14ac:dyDescent="0.2">
      <c r="A39" s="99" t="s">
        <v>189</v>
      </c>
      <c r="B39" s="222" t="s">
        <v>548</v>
      </c>
      <c r="C39" s="281">
        <v>942.53</v>
      </c>
      <c r="D39" s="281">
        <v>3.68</v>
      </c>
      <c r="E39" s="281">
        <v>1.06</v>
      </c>
      <c r="F39" s="279">
        <v>1811.73</v>
      </c>
      <c r="G39" s="281">
        <v>1547.35</v>
      </c>
      <c r="H39" s="281">
        <v>1064.3800000000001</v>
      </c>
      <c r="I39" s="281">
        <v>816.39</v>
      </c>
      <c r="J39" s="281">
        <v>330.62</v>
      </c>
      <c r="K39" s="281">
        <f>30.98+0.37+0.01</f>
        <v>31.360000000000003</v>
      </c>
      <c r="L39" s="281">
        <f t="shared" si="4"/>
        <v>6549.1</v>
      </c>
      <c r="M39" s="281">
        <v>19.3</v>
      </c>
      <c r="N39" s="281">
        <v>3.09</v>
      </c>
      <c r="O39" s="281" t="s">
        <v>288</v>
      </c>
      <c r="P39" s="281">
        <v>87.49</v>
      </c>
      <c r="Q39" s="291" t="s">
        <v>548</v>
      </c>
    </row>
    <row r="40" spans="1:17" s="153" customFormat="1" ht="12.95" customHeight="1" x14ac:dyDescent="0.2">
      <c r="A40" s="99" t="s">
        <v>189</v>
      </c>
      <c r="B40" s="533" t="s">
        <v>556</v>
      </c>
      <c r="C40" s="15">
        <v>1049.3</v>
      </c>
      <c r="D40" s="15">
        <v>0.69</v>
      </c>
      <c r="E40" s="15">
        <v>11.99</v>
      </c>
      <c r="F40" s="793">
        <v>1453.63</v>
      </c>
      <c r="G40" s="15">
        <v>1473.95</v>
      </c>
      <c r="H40" s="15">
        <v>1129.4000000000001</v>
      </c>
      <c r="I40" s="15">
        <v>900.33</v>
      </c>
      <c r="J40" s="15">
        <v>361.71</v>
      </c>
      <c r="K40" s="15">
        <f>0.38+38.31+0.02</f>
        <v>38.710000000000008</v>
      </c>
      <c r="L40" s="15">
        <f t="shared" si="4"/>
        <v>6419.7100000000009</v>
      </c>
      <c r="M40" s="15">
        <v>17.53</v>
      </c>
      <c r="N40" s="15">
        <v>4.13</v>
      </c>
      <c r="O40" s="15">
        <v>11.28</v>
      </c>
      <c r="P40" s="15">
        <v>154.77000000000001</v>
      </c>
      <c r="Q40" s="67" t="s">
        <v>556</v>
      </c>
    </row>
    <row r="41" spans="1:17" s="153" customFormat="1" ht="12.95" customHeight="1" x14ac:dyDescent="0.2">
      <c r="A41" s="99" t="s">
        <v>189</v>
      </c>
      <c r="B41" s="1263" t="s">
        <v>557</v>
      </c>
      <c r="C41" s="281">
        <v>871.79</v>
      </c>
      <c r="D41" s="281">
        <v>0.6</v>
      </c>
      <c r="E41" s="281">
        <v>342.02</v>
      </c>
      <c r="F41" s="281">
        <v>1335.9</v>
      </c>
      <c r="G41" s="281">
        <v>1321.68</v>
      </c>
      <c r="H41" s="281">
        <v>963.77</v>
      </c>
      <c r="I41" s="281">
        <v>692.44</v>
      </c>
      <c r="J41" s="281">
        <v>273.22000000000003</v>
      </c>
      <c r="K41" s="281">
        <f>0.17+32.88</f>
        <v>33.050000000000004</v>
      </c>
      <c r="L41" s="281">
        <f t="shared" si="4"/>
        <v>5834.4700000000012</v>
      </c>
      <c r="M41" s="281">
        <v>18.190000000000001</v>
      </c>
      <c r="N41" s="281">
        <v>5.27</v>
      </c>
      <c r="O41" s="281">
        <v>9.76</v>
      </c>
      <c r="P41" s="281">
        <v>129.22</v>
      </c>
      <c r="Q41" s="291" t="s">
        <v>557</v>
      </c>
    </row>
    <row r="42" spans="1:17" s="153" customFormat="1" ht="12.95" customHeight="1" x14ac:dyDescent="0.2">
      <c r="A42" s="99" t="s">
        <v>189</v>
      </c>
      <c r="B42" s="533" t="s">
        <v>549</v>
      </c>
      <c r="C42" s="15">
        <v>1031.5899999999999</v>
      </c>
      <c r="D42" s="15">
        <v>3.45</v>
      </c>
      <c r="E42" s="15">
        <v>39.1</v>
      </c>
      <c r="F42" s="15">
        <v>2421.5100000000002</v>
      </c>
      <c r="G42" s="15">
        <v>1506.26</v>
      </c>
      <c r="H42" s="15">
        <v>1015.9</v>
      </c>
      <c r="I42" s="15">
        <v>868.08</v>
      </c>
      <c r="J42" s="15">
        <v>353.98</v>
      </c>
      <c r="K42" s="15">
        <f>28.16+0.35-7.03</f>
        <v>21.48</v>
      </c>
      <c r="L42" s="15">
        <f t="shared" si="4"/>
        <v>7261.3499999999985</v>
      </c>
      <c r="M42" s="15">
        <v>26.02</v>
      </c>
      <c r="N42" s="15">
        <v>5.08</v>
      </c>
      <c r="O42" s="15">
        <v>13.12</v>
      </c>
      <c r="P42" s="15">
        <v>173.72</v>
      </c>
      <c r="Q42" s="67" t="s">
        <v>549</v>
      </c>
    </row>
    <row r="43" spans="1:17" s="153" customFormat="1" ht="12.95" customHeight="1" x14ac:dyDescent="0.2">
      <c r="A43" s="99" t="s">
        <v>189</v>
      </c>
      <c r="B43" s="1263" t="s">
        <v>558</v>
      </c>
      <c r="C43" s="281">
        <v>954.94</v>
      </c>
      <c r="D43" s="281">
        <v>1.03</v>
      </c>
      <c r="E43" s="281">
        <v>20.18</v>
      </c>
      <c r="F43" s="279">
        <v>1743.29</v>
      </c>
      <c r="G43" s="281">
        <v>1580.3</v>
      </c>
      <c r="H43" s="281">
        <v>1008.78</v>
      </c>
      <c r="I43" s="281">
        <v>856.99</v>
      </c>
      <c r="J43" s="281">
        <v>295.45999999999998</v>
      </c>
      <c r="K43" s="281">
        <f>0.41+39.93-8+7.03</f>
        <v>39.369999999999997</v>
      </c>
      <c r="L43" s="281">
        <f t="shared" si="4"/>
        <v>6500.3399999999992</v>
      </c>
      <c r="M43" s="281">
        <v>31.78</v>
      </c>
      <c r="N43" s="281">
        <v>5.38</v>
      </c>
      <c r="O43" s="281">
        <v>11.02</v>
      </c>
      <c r="P43" s="281">
        <v>155.71</v>
      </c>
      <c r="Q43" s="291" t="s">
        <v>558</v>
      </c>
    </row>
    <row r="44" spans="1:17" s="153" customFormat="1" ht="12.95" customHeight="1" x14ac:dyDescent="0.2">
      <c r="A44" s="99" t="s">
        <v>189</v>
      </c>
      <c r="B44" s="533" t="s">
        <v>559</v>
      </c>
      <c r="C44" s="15">
        <v>1323.92</v>
      </c>
      <c r="D44" s="15">
        <v>1.82</v>
      </c>
      <c r="E44" s="15">
        <v>18.420000000000002</v>
      </c>
      <c r="F44" s="793">
        <v>1926.99</v>
      </c>
      <c r="G44" s="15">
        <f>1802.57-5.01</f>
        <v>1797.56</v>
      </c>
      <c r="H44" s="15">
        <v>1284.8800000000001</v>
      </c>
      <c r="I44" s="15">
        <v>932.92</v>
      </c>
      <c r="J44" s="15">
        <v>413.31</v>
      </c>
      <c r="K44" s="15">
        <f>30.04+0.36+8-10.89</f>
        <v>27.509999999999998</v>
      </c>
      <c r="L44" s="15">
        <f t="shared" si="4"/>
        <v>7727.3300000000008</v>
      </c>
      <c r="M44" s="15">
        <v>30.94</v>
      </c>
      <c r="N44" s="15">
        <v>6.75</v>
      </c>
      <c r="O44" s="15">
        <v>15.66</v>
      </c>
      <c r="P44" s="15">
        <v>163.95</v>
      </c>
      <c r="Q44" s="224" t="s">
        <v>559</v>
      </c>
    </row>
    <row r="45" spans="1:17" s="153" customFormat="1" ht="12.95" customHeight="1" x14ac:dyDescent="0.2">
      <c r="A45" s="99" t="s">
        <v>189</v>
      </c>
      <c r="B45" s="222" t="s">
        <v>550</v>
      </c>
      <c r="C45" s="281">
        <v>1197.05</v>
      </c>
      <c r="D45" s="281">
        <v>0.69</v>
      </c>
      <c r="E45" s="281">
        <v>48.81</v>
      </c>
      <c r="F45" s="281">
        <v>6084.1</v>
      </c>
      <c r="G45" s="281">
        <v>2081</v>
      </c>
      <c r="H45" s="281">
        <v>1280.96</v>
      </c>
      <c r="I45" s="281">
        <v>885.7</v>
      </c>
      <c r="J45" s="281">
        <v>448.71</v>
      </c>
      <c r="K45" s="281">
        <f>0.59+30.28+0.02+1.55</f>
        <v>32.44</v>
      </c>
      <c r="L45" s="281">
        <f t="shared" si="4"/>
        <v>12059.460000000001</v>
      </c>
      <c r="M45" s="281">
        <v>48.57</v>
      </c>
      <c r="N45" s="281">
        <v>15.15</v>
      </c>
      <c r="O45" s="281">
        <v>78.290000000000006</v>
      </c>
      <c r="P45" s="281">
        <v>185.89</v>
      </c>
      <c r="Q45" s="291" t="s">
        <v>550</v>
      </c>
    </row>
    <row r="46" spans="1:17" s="153" customFormat="1" ht="12.95" customHeight="1" x14ac:dyDescent="0.2">
      <c r="A46" s="99" t="s">
        <v>696</v>
      </c>
      <c r="B46" s="533" t="s">
        <v>552</v>
      </c>
      <c r="C46" s="281">
        <v>906.96</v>
      </c>
      <c r="D46" s="281">
        <v>3.51</v>
      </c>
      <c r="E46" s="281">
        <v>11.38</v>
      </c>
      <c r="F46" s="279">
        <v>1267.31</v>
      </c>
      <c r="G46" s="281">
        <f>1435.87-4.12+12.94-328.28+269.01-14.14</f>
        <v>1371.28</v>
      </c>
      <c r="H46" s="281">
        <f>1070.87-117.73+14.14</f>
        <v>967.27999999999986</v>
      </c>
      <c r="I46" s="281">
        <f>840.52-123.12+44.7</f>
        <v>762.1</v>
      </c>
      <c r="J46" s="281">
        <f>316.87+120</f>
        <v>436.87</v>
      </c>
      <c r="K46" s="281">
        <f>0.26+29.08+0.01-20.42+18.55+5.27+7.45</f>
        <v>40.200000000000003</v>
      </c>
      <c r="L46" s="281">
        <f t="shared" ref="L46:L57" si="5">C46+D46+E46+F46+G46+H46+I46+J46+K46</f>
        <v>5766.8899999999994</v>
      </c>
      <c r="M46" s="281">
        <v>62.35</v>
      </c>
      <c r="N46" s="281">
        <v>1.88</v>
      </c>
      <c r="O46" s="281">
        <v>10.87</v>
      </c>
      <c r="P46" s="281">
        <v>141.44</v>
      </c>
      <c r="Q46" s="291" t="s">
        <v>552</v>
      </c>
    </row>
    <row r="47" spans="1:17" s="153" customFormat="1" ht="12.95" customHeight="1" x14ac:dyDescent="0.2">
      <c r="A47" s="99" t="s">
        <v>696</v>
      </c>
      <c r="B47" s="222" t="s">
        <v>553</v>
      </c>
      <c r="C47" s="15">
        <v>1089.97</v>
      </c>
      <c r="D47" s="15">
        <v>3.81</v>
      </c>
      <c r="E47" s="15">
        <v>6.24</v>
      </c>
      <c r="F47" s="793">
        <v>1343.38</v>
      </c>
      <c r="G47" s="15">
        <f>1416.36+1.02-4.47-58.99</f>
        <v>1353.9199999999998</v>
      </c>
      <c r="H47" s="15">
        <f>870.5+100</f>
        <v>970.5</v>
      </c>
      <c r="I47" s="15">
        <f>870.08+217.02-106.3</f>
        <v>980.80000000000018</v>
      </c>
      <c r="J47" s="15">
        <v>325.17</v>
      </c>
      <c r="K47" s="15">
        <f>0.12+32.28+0.01-15.45+13.59+9.43+7.49</f>
        <v>47.47</v>
      </c>
      <c r="L47" s="15">
        <f t="shared" si="5"/>
        <v>6121.26</v>
      </c>
      <c r="M47" s="15">
        <v>75.14</v>
      </c>
      <c r="N47" s="15">
        <v>5.12</v>
      </c>
      <c r="O47" s="15">
        <v>12.65</v>
      </c>
      <c r="P47" s="15">
        <v>124.55</v>
      </c>
      <c r="Q47" s="67" t="s">
        <v>553</v>
      </c>
    </row>
    <row r="48" spans="1:17" s="153" customFormat="1" ht="12.95" customHeight="1" x14ac:dyDescent="0.2">
      <c r="A48" s="99" t="s">
        <v>696</v>
      </c>
      <c r="B48" s="533" t="s">
        <v>547</v>
      </c>
      <c r="C48" s="281">
        <v>983.1</v>
      </c>
      <c r="D48" s="281">
        <v>8.4600000000000009</v>
      </c>
      <c r="E48" s="281">
        <v>10.33</v>
      </c>
      <c r="F48" s="279">
        <v>2061.4499999999998</v>
      </c>
      <c r="G48" s="281">
        <f>1418.87-4.21+0.59+372.29-33.84-410.81</f>
        <v>1342.8899999999999</v>
      </c>
      <c r="H48" s="281">
        <f>950.13-5.5</f>
        <v>944.63</v>
      </c>
      <c r="I48" s="281">
        <f>808.32+23.05</f>
        <v>831.37</v>
      </c>
      <c r="J48" s="281">
        <f>299.5-33.83</f>
        <v>265.67</v>
      </c>
      <c r="K48" s="281">
        <f>0.22+37.67+0.01+8.58+23.65+7.45</f>
        <v>77.58</v>
      </c>
      <c r="L48" s="281">
        <f t="shared" si="5"/>
        <v>6525.48</v>
      </c>
      <c r="M48" s="281">
        <v>12.33</v>
      </c>
      <c r="N48" s="281">
        <v>3.5</v>
      </c>
      <c r="O48" s="281">
        <v>11.89</v>
      </c>
      <c r="P48" s="281">
        <v>141.69</v>
      </c>
      <c r="Q48" s="291" t="s">
        <v>547</v>
      </c>
    </row>
    <row r="49" spans="1:17" s="153" customFormat="1" ht="12.95" customHeight="1" x14ac:dyDescent="0.2">
      <c r="A49" s="99" t="s">
        <v>696</v>
      </c>
      <c r="B49" s="222" t="s">
        <v>554</v>
      </c>
      <c r="C49" s="15">
        <v>1027.56</v>
      </c>
      <c r="D49" s="15">
        <v>9.1</v>
      </c>
      <c r="E49" s="15">
        <v>15.82</v>
      </c>
      <c r="F49" s="15">
        <v>1613.05</v>
      </c>
      <c r="G49" s="15">
        <f>1638.7+14.04+20.77</f>
        <v>1673.51</v>
      </c>
      <c r="H49" s="15">
        <f>986.75-3.52+0.76</f>
        <v>983.99</v>
      </c>
      <c r="I49" s="15">
        <v>945.62</v>
      </c>
      <c r="J49" s="15">
        <f>350.2+28</f>
        <v>378.2</v>
      </c>
      <c r="K49" s="15">
        <f>0.35+50.69-15.45+13.56+0.68+7.45-0.45</f>
        <v>56.830000000000005</v>
      </c>
      <c r="L49" s="15">
        <f t="shared" si="5"/>
        <v>6703.6799999999994</v>
      </c>
      <c r="M49" s="15">
        <v>14.07</v>
      </c>
      <c r="N49" s="15">
        <v>4.58</v>
      </c>
      <c r="O49" s="15">
        <v>13.09</v>
      </c>
      <c r="P49" s="15">
        <v>177.63</v>
      </c>
      <c r="Q49" s="67" t="s">
        <v>554</v>
      </c>
    </row>
    <row r="50" spans="1:17" s="153" customFormat="1" ht="12.95" customHeight="1" x14ac:dyDescent="0.2">
      <c r="A50" s="99" t="s">
        <v>696</v>
      </c>
      <c r="B50" s="533" t="s">
        <v>555</v>
      </c>
      <c r="C50" s="281">
        <v>1021.72</v>
      </c>
      <c r="D50" s="281">
        <v>4.37</v>
      </c>
      <c r="E50" s="281">
        <v>15.8</v>
      </c>
      <c r="F50" s="281">
        <v>1627.89</v>
      </c>
      <c r="G50" s="281">
        <f>1641.04+8.82+15.48</f>
        <v>1665.34</v>
      </c>
      <c r="H50" s="281">
        <v>1058</v>
      </c>
      <c r="I50" s="281">
        <v>874.3</v>
      </c>
      <c r="J50" s="281">
        <v>364.92</v>
      </c>
      <c r="K50" s="281">
        <f>0.19+40.63+24.58-2.15-20.01-10.44+9.74-0.47</f>
        <v>42.070000000000014</v>
      </c>
      <c r="L50" s="281">
        <f t="shared" si="5"/>
        <v>6674.41</v>
      </c>
      <c r="M50" s="281">
        <v>17.75</v>
      </c>
      <c r="N50" s="281">
        <v>3.39</v>
      </c>
      <c r="O50" s="281">
        <v>11.86</v>
      </c>
      <c r="P50" s="281">
        <v>135.65</v>
      </c>
      <c r="Q50" s="291" t="s">
        <v>555</v>
      </c>
    </row>
    <row r="51" spans="1:17" s="153" customFormat="1" ht="12.95" customHeight="1" x14ac:dyDescent="0.2">
      <c r="A51" s="99" t="s">
        <v>696</v>
      </c>
      <c r="B51" s="222" t="s">
        <v>548</v>
      </c>
      <c r="C51" s="15">
        <v>1040.7</v>
      </c>
      <c r="D51" s="15">
        <v>5.19</v>
      </c>
      <c r="E51" s="15">
        <v>17.22</v>
      </c>
      <c r="F51" s="15">
        <v>2327.04</v>
      </c>
      <c r="G51" s="15">
        <v>1663.01</v>
      </c>
      <c r="H51" s="15">
        <v>1208.01</v>
      </c>
      <c r="I51" s="15">
        <v>889.37</v>
      </c>
      <c r="J51" s="15">
        <v>325.27</v>
      </c>
      <c r="K51" s="15">
        <f>0.29+36.61</f>
        <v>36.9</v>
      </c>
      <c r="L51" s="15">
        <f t="shared" si="5"/>
        <v>7512.7099999999991</v>
      </c>
      <c r="M51" s="15">
        <v>22.48</v>
      </c>
      <c r="N51" s="15">
        <v>4.1399999999999997</v>
      </c>
      <c r="O51" s="15">
        <v>11.19</v>
      </c>
      <c r="P51" s="15">
        <v>224.49</v>
      </c>
      <c r="Q51" s="67" t="s">
        <v>548</v>
      </c>
    </row>
    <row r="52" spans="1:17" s="153" customFormat="1" ht="12.95" customHeight="1" x14ac:dyDescent="0.2">
      <c r="A52" s="99" t="s">
        <v>696</v>
      </c>
      <c r="B52" s="533" t="s">
        <v>556</v>
      </c>
      <c r="C52" s="281">
        <v>1218.1099999999999</v>
      </c>
      <c r="D52" s="281">
        <v>0.72</v>
      </c>
      <c r="E52" s="281">
        <v>16.13</v>
      </c>
      <c r="F52" s="281">
        <v>1849.31</v>
      </c>
      <c r="G52" s="281">
        <v>1887.7</v>
      </c>
      <c r="H52" s="281">
        <v>1230.29</v>
      </c>
      <c r="I52" s="281">
        <v>951.02</v>
      </c>
      <c r="J52" s="281">
        <v>363.7</v>
      </c>
      <c r="K52" s="281">
        <f>0.38+41.62+0.03</f>
        <v>42.03</v>
      </c>
      <c r="L52" s="281">
        <f t="shared" si="5"/>
        <v>7559.01</v>
      </c>
      <c r="M52" s="281">
        <v>24.89</v>
      </c>
      <c r="N52" s="281">
        <v>4.13</v>
      </c>
      <c r="O52" s="281">
        <v>13.98</v>
      </c>
      <c r="P52" s="281">
        <v>166.93</v>
      </c>
      <c r="Q52" s="291" t="s">
        <v>556</v>
      </c>
    </row>
    <row r="53" spans="1:17" s="153" customFormat="1" ht="12.95" customHeight="1" x14ac:dyDescent="0.2">
      <c r="A53" s="99" t="s">
        <v>696</v>
      </c>
      <c r="B53" s="1263" t="s">
        <v>557</v>
      </c>
      <c r="C53" s="15">
        <v>1017.5</v>
      </c>
      <c r="D53" s="15">
        <v>0.3</v>
      </c>
      <c r="E53" s="15">
        <v>453.25</v>
      </c>
      <c r="F53" s="15">
        <v>1869.72</v>
      </c>
      <c r="G53" s="15">
        <v>1694.8</v>
      </c>
      <c r="H53" s="15">
        <f>1059.59-3.18-0.5+13.99</f>
        <v>1069.8999999999999</v>
      </c>
      <c r="I53" s="15">
        <v>993.77</v>
      </c>
      <c r="J53" s="15">
        <v>357.49</v>
      </c>
      <c r="K53" s="15">
        <f>32.65+0.24+1.19-3.11-2+4-0.95+37.07-52.54</f>
        <v>16.550000000000004</v>
      </c>
      <c r="L53" s="15">
        <f t="shared" si="5"/>
        <v>7473.28</v>
      </c>
      <c r="M53" s="15">
        <v>25.11</v>
      </c>
      <c r="N53" s="15">
        <v>5.27</v>
      </c>
      <c r="O53" s="15">
        <v>9.75</v>
      </c>
      <c r="P53" s="15">
        <v>186.86</v>
      </c>
      <c r="Q53" s="67" t="s">
        <v>557</v>
      </c>
    </row>
    <row r="54" spans="1:17" s="153" customFormat="1" ht="12.95" customHeight="1" x14ac:dyDescent="0.2">
      <c r="A54" s="99" t="s">
        <v>696</v>
      </c>
      <c r="B54" s="533" t="s">
        <v>549</v>
      </c>
      <c r="C54" s="281">
        <v>1085.05</v>
      </c>
      <c r="D54" s="281">
        <v>1.84</v>
      </c>
      <c r="E54" s="281">
        <v>56.65</v>
      </c>
      <c r="F54" s="281">
        <v>3093.14</v>
      </c>
      <c r="G54" s="281">
        <v>2094.04</v>
      </c>
      <c r="H54" s="281">
        <v>1136.81</v>
      </c>
      <c r="I54" s="281">
        <v>1091.92</v>
      </c>
      <c r="J54" s="281">
        <v>328.64</v>
      </c>
      <c r="K54" s="281">
        <f>0.34+41.35+0.01</f>
        <v>41.7</v>
      </c>
      <c r="L54" s="281">
        <f t="shared" si="5"/>
        <v>8929.7900000000009</v>
      </c>
      <c r="M54" s="281">
        <v>27.56</v>
      </c>
      <c r="N54" s="281">
        <v>5.07</v>
      </c>
      <c r="O54" s="281">
        <v>14.51</v>
      </c>
      <c r="P54" s="281">
        <v>167.55</v>
      </c>
      <c r="Q54" s="291" t="s">
        <v>549</v>
      </c>
    </row>
    <row r="55" spans="1:17" s="153" customFormat="1" ht="12.95" customHeight="1" x14ac:dyDescent="0.2">
      <c r="A55" s="99" t="s">
        <v>696</v>
      </c>
      <c r="B55" s="1263" t="s">
        <v>558</v>
      </c>
      <c r="C55" s="15">
        <v>1318.37</v>
      </c>
      <c r="D55" s="15">
        <v>0.76</v>
      </c>
      <c r="E55" s="15">
        <v>18.62</v>
      </c>
      <c r="F55" s="15">
        <v>2216.63</v>
      </c>
      <c r="G55" s="357">
        <v>1986.56</v>
      </c>
      <c r="H55" s="15">
        <v>1217.98</v>
      </c>
      <c r="I55" s="15">
        <v>1143.8900000000001</v>
      </c>
      <c r="J55" s="15">
        <v>332.68</v>
      </c>
      <c r="K55" s="15">
        <f>0.33+51.1+0.02</f>
        <v>51.45</v>
      </c>
      <c r="L55" s="15">
        <f t="shared" si="5"/>
        <v>8286.94</v>
      </c>
      <c r="M55" s="15">
        <v>36.799999999999997</v>
      </c>
      <c r="N55" s="15">
        <v>5.37</v>
      </c>
      <c r="O55" s="15">
        <v>14.58</v>
      </c>
      <c r="P55" s="15">
        <v>172.7</v>
      </c>
      <c r="Q55" s="67" t="s">
        <v>558</v>
      </c>
    </row>
    <row r="56" spans="1:17" s="153" customFormat="1" ht="12.95" customHeight="1" x14ac:dyDescent="0.2">
      <c r="A56" s="99" t="s">
        <v>696</v>
      </c>
      <c r="B56" s="533" t="s">
        <v>559</v>
      </c>
      <c r="C56" s="281">
        <v>1311.03</v>
      </c>
      <c r="D56" s="281">
        <v>0.7</v>
      </c>
      <c r="E56" s="281">
        <v>27.64</v>
      </c>
      <c r="F56" s="281">
        <v>2432.02</v>
      </c>
      <c r="G56" s="281">
        <v>2275.8000000000002</v>
      </c>
      <c r="H56" s="281">
        <v>1434.79</v>
      </c>
      <c r="I56" s="281">
        <v>1361.26</v>
      </c>
      <c r="J56" s="281">
        <v>372.41</v>
      </c>
      <c r="K56" s="281">
        <f>0.3+43.1</f>
        <v>43.4</v>
      </c>
      <c r="L56" s="281">
        <f t="shared" si="5"/>
        <v>9259.0499999999993</v>
      </c>
      <c r="M56" s="281">
        <v>32.96</v>
      </c>
      <c r="N56" s="281">
        <v>6.35</v>
      </c>
      <c r="O56" s="281">
        <v>14.91</v>
      </c>
      <c r="P56" s="281">
        <v>175.28</v>
      </c>
      <c r="Q56" s="291" t="s">
        <v>559</v>
      </c>
    </row>
    <row r="57" spans="1:17" s="153" customFormat="1" ht="12.95" customHeight="1" x14ac:dyDescent="0.2">
      <c r="A57" s="99" t="s">
        <v>696</v>
      </c>
      <c r="B57" s="222" t="s">
        <v>550</v>
      </c>
      <c r="C57" s="25">
        <v>1266.17</v>
      </c>
      <c r="D57" s="25">
        <v>0.2</v>
      </c>
      <c r="E57" s="25">
        <v>16.739999999999998</v>
      </c>
      <c r="F57" s="25">
        <v>6982.55</v>
      </c>
      <c r="G57" s="25">
        <v>2992.64</v>
      </c>
      <c r="H57" s="25">
        <v>1507.88</v>
      </c>
      <c r="I57" s="25">
        <v>1154.1199999999999</v>
      </c>
      <c r="J57" s="25">
        <v>406.87</v>
      </c>
      <c r="K57" s="25">
        <f>0.59+41.9+0.01</f>
        <v>42.5</v>
      </c>
      <c r="L57" s="25">
        <f t="shared" si="5"/>
        <v>14369.67</v>
      </c>
      <c r="M57" s="25">
        <v>56.36</v>
      </c>
      <c r="N57" s="25">
        <v>15.83</v>
      </c>
      <c r="O57" s="25">
        <v>77.86</v>
      </c>
      <c r="P57" s="25">
        <v>204.09</v>
      </c>
      <c r="Q57" s="67" t="s">
        <v>550</v>
      </c>
    </row>
    <row r="58" spans="1:17" s="153" customFormat="1" ht="12.95" customHeight="1" x14ac:dyDescent="0.2">
      <c r="A58" s="99" t="s">
        <v>804</v>
      </c>
      <c r="B58" s="533" t="s">
        <v>552</v>
      </c>
      <c r="C58" s="25">
        <v>1138.6300000000001</v>
      </c>
      <c r="D58" s="25">
        <v>3.63</v>
      </c>
      <c r="E58" s="25">
        <v>13.73</v>
      </c>
      <c r="F58" s="25">
        <v>1434</v>
      </c>
      <c r="G58" s="25">
        <v>1627.19</v>
      </c>
      <c r="H58" s="25">
        <v>1201.54</v>
      </c>
      <c r="I58" s="25">
        <v>533.37</v>
      </c>
      <c r="J58" s="25">
        <v>432.73</v>
      </c>
      <c r="K58" s="25">
        <f>0.21+46.53+0.06</f>
        <v>46.800000000000004</v>
      </c>
      <c r="L58" s="25">
        <f>C58+D58+E58+F58+G58+H58+I58+J58+K58</f>
        <v>6431.62</v>
      </c>
      <c r="M58" s="25">
        <v>12.36</v>
      </c>
      <c r="N58" s="25">
        <v>5.28</v>
      </c>
      <c r="O58" s="25">
        <v>16.68</v>
      </c>
      <c r="P58" s="25">
        <v>180.77</v>
      </c>
      <c r="Q58" s="67" t="s">
        <v>552</v>
      </c>
    </row>
    <row r="59" spans="1:17" s="153" customFormat="1" ht="12.95" customHeight="1" x14ac:dyDescent="0.2">
      <c r="A59" s="99" t="s">
        <v>804</v>
      </c>
      <c r="B59" s="222" t="s">
        <v>553</v>
      </c>
      <c r="C59" s="281">
        <v>946.05</v>
      </c>
      <c r="D59" s="281">
        <v>3.35</v>
      </c>
      <c r="E59" s="281">
        <v>15.8</v>
      </c>
      <c r="F59" s="281">
        <v>1517.9</v>
      </c>
      <c r="G59" s="281">
        <v>1610.39</v>
      </c>
      <c r="H59" s="281">
        <v>1088.05</v>
      </c>
      <c r="I59" s="281">
        <v>828.07</v>
      </c>
      <c r="J59" s="281">
        <v>338.5</v>
      </c>
      <c r="K59" s="281">
        <f>0.17+47.81</f>
        <v>47.980000000000004</v>
      </c>
      <c r="L59" s="281">
        <f>C59+D59+E59+F59+G59+H59+I59+J59+K59</f>
        <v>6396.0899999999992</v>
      </c>
      <c r="M59" s="281">
        <v>13.49</v>
      </c>
      <c r="N59" s="281">
        <v>2.98</v>
      </c>
      <c r="O59" s="281">
        <v>11.67</v>
      </c>
      <c r="P59" s="281">
        <v>112.31</v>
      </c>
      <c r="Q59" s="291" t="s">
        <v>553</v>
      </c>
    </row>
    <row r="60" spans="1:17" s="153" customFormat="1" ht="12.95" customHeight="1" x14ac:dyDescent="0.2">
      <c r="A60" s="99" t="s">
        <v>804</v>
      </c>
      <c r="B60" s="533" t="s">
        <v>547</v>
      </c>
      <c r="C60" s="25">
        <v>1101.0999999999999</v>
      </c>
      <c r="D60" s="25">
        <v>2.5</v>
      </c>
      <c r="E60" s="25">
        <v>22.23</v>
      </c>
      <c r="F60" s="25">
        <v>2750.98</v>
      </c>
      <c r="G60" s="25">
        <v>1772.87</v>
      </c>
      <c r="H60" s="25">
        <v>1103.57</v>
      </c>
      <c r="I60" s="25">
        <v>1009.31</v>
      </c>
      <c r="J60" s="25">
        <v>388.95</v>
      </c>
      <c r="K60" s="25">
        <f>0.25+52.72</f>
        <v>52.97</v>
      </c>
      <c r="L60" s="25">
        <f>C60+D60+E60+F60+G60+H60+I60+J60+K60</f>
        <v>8204.48</v>
      </c>
      <c r="M60" s="25">
        <v>16.61</v>
      </c>
      <c r="N60" s="25">
        <v>4.5999999999999996</v>
      </c>
      <c r="O60" s="25">
        <v>15.13</v>
      </c>
      <c r="P60" s="25">
        <v>202.15</v>
      </c>
      <c r="Q60" s="224" t="s">
        <v>547</v>
      </c>
    </row>
    <row r="61" spans="1:17" s="153" customFormat="1" ht="12.95" customHeight="1" x14ac:dyDescent="0.2">
      <c r="A61" s="99" t="s">
        <v>804</v>
      </c>
      <c r="B61" s="222" t="s">
        <v>554</v>
      </c>
      <c r="C61" s="276">
        <v>1094.05</v>
      </c>
      <c r="D61" s="276">
        <v>5.39</v>
      </c>
      <c r="E61" s="276">
        <v>18.46</v>
      </c>
      <c r="F61" s="276">
        <v>2121.59</v>
      </c>
      <c r="G61" s="276">
        <v>1956.81</v>
      </c>
      <c r="H61" s="276">
        <v>1168.27</v>
      </c>
      <c r="I61" s="276">
        <v>907.62</v>
      </c>
      <c r="J61" s="276">
        <v>393.58</v>
      </c>
      <c r="K61" s="276">
        <f>61.2+0.31</f>
        <v>61.510000000000005</v>
      </c>
      <c r="L61" s="276">
        <f>C61+D61+E61+F61+G61+H61+I61+J61+K61</f>
        <v>7727.28</v>
      </c>
      <c r="M61" s="281">
        <v>16.68</v>
      </c>
      <c r="N61" s="281">
        <v>3.74</v>
      </c>
      <c r="O61" s="281">
        <v>14.56</v>
      </c>
      <c r="P61" s="281">
        <v>144.47</v>
      </c>
      <c r="Q61" s="303" t="s">
        <v>554</v>
      </c>
    </row>
    <row r="62" spans="1:17" s="153" customFormat="1" ht="12.95" customHeight="1" x14ac:dyDescent="0.2">
      <c r="A62" s="99" t="s">
        <v>804</v>
      </c>
      <c r="B62" s="533" t="s">
        <v>555</v>
      </c>
      <c r="C62" s="237">
        <v>1097.56</v>
      </c>
      <c r="D62" s="237">
        <v>4.62</v>
      </c>
      <c r="E62" s="237">
        <v>20.350000000000001</v>
      </c>
      <c r="F62" s="237">
        <v>2108.2199999999998</v>
      </c>
      <c r="G62" s="237">
        <v>1981.76</v>
      </c>
      <c r="H62" s="237">
        <v>1165.3800000000001</v>
      </c>
      <c r="I62" s="237">
        <v>958.02</v>
      </c>
      <c r="J62" s="237">
        <v>371.99</v>
      </c>
      <c r="K62" s="237">
        <f>0.24+48.58+12.62</f>
        <v>61.44</v>
      </c>
      <c r="L62" s="25">
        <f t="shared" ref="L62:L69" si="6">C62+D62+E62+F62+G62+H62+I62+J62+K62</f>
        <v>7769.3399999999992</v>
      </c>
      <c r="M62" s="25">
        <v>17.75</v>
      </c>
      <c r="N62" s="25">
        <v>5.88</v>
      </c>
      <c r="O62" s="25">
        <v>14.72</v>
      </c>
      <c r="P62" s="25">
        <v>125.22</v>
      </c>
      <c r="Q62" s="239" t="s">
        <v>555</v>
      </c>
    </row>
    <row r="63" spans="1:17" s="153" customFormat="1" ht="12.95" customHeight="1" x14ac:dyDescent="0.2">
      <c r="A63" s="99" t="s">
        <v>804</v>
      </c>
      <c r="B63" s="222" t="s">
        <v>548</v>
      </c>
      <c r="C63" s="276">
        <v>955.94</v>
      </c>
      <c r="D63" s="276">
        <v>2.3199999999999998</v>
      </c>
      <c r="E63" s="276">
        <v>15.31</v>
      </c>
      <c r="F63" s="276">
        <v>2992.9</v>
      </c>
      <c r="G63" s="276">
        <v>1988.15</v>
      </c>
      <c r="H63" s="276">
        <v>1089.21</v>
      </c>
      <c r="I63" s="276">
        <v>925.95</v>
      </c>
      <c r="J63" s="276">
        <v>334.71</v>
      </c>
      <c r="K63" s="276">
        <f>0.36+61.2</f>
        <v>61.56</v>
      </c>
      <c r="L63" s="281">
        <f t="shared" si="6"/>
        <v>8366.0499999999993</v>
      </c>
      <c r="M63" s="281">
        <v>21.19</v>
      </c>
      <c r="N63" s="281">
        <v>5.99</v>
      </c>
      <c r="O63" s="281">
        <v>13.94</v>
      </c>
      <c r="P63" s="281">
        <v>230.45</v>
      </c>
      <c r="Q63" s="303" t="s">
        <v>548</v>
      </c>
    </row>
    <row r="64" spans="1:17" s="153" customFormat="1" ht="12.95" customHeight="1" x14ac:dyDescent="0.2">
      <c r="A64" s="99" t="s">
        <v>804</v>
      </c>
      <c r="B64" s="533" t="s">
        <v>556</v>
      </c>
      <c r="C64" s="237">
        <v>1211.51</v>
      </c>
      <c r="D64" s="237">
        <v>2.34</v>
      </c>
      <c r="E64" s="237">
        <v>192</v>
      </c>
      <c r="F64" s="237">
        <v>2526.13</v>
      </c>
      <c r="G64" s="237">
        <v>2253.5500000000002</v>
      </c>
      <c r="H64" s="237">
        <v>1489.32</v>
      </c>
      <c r="I64" s="237">
        <v>1090.1400000000001</v>
      </c>
      <c r="J64" s="237">
        <v>362.58</v>
      </c>
      <c r="K64" s="237">
        <f>0.31+40.01</f>
        <v>40.32</v>
      </c>
      <c r="L64" s="25">
        <f t="shared" si="6"/>
        <v>9167.89</v>
      </c>
      <c r="M64" s="25">
        <v>27.99</v>
      </c>
      <c r="N64" s="25">
        <v>6.89</v>
      </c>
      <c r="O64" s="25">
        <v>15.52</v>
      </c>
      <c r="P64" s="25">
        <v>143.25</v>
      </c>
      <c r="Q64" s="239" t="s">
        <v>556</v>
      </c>
    </row>
    <row r="65" spans="1:17" s="153" customFormat="1" ht="12.95" customHeight="1" x14ac:dyDescent="0.2">
      <c r="A65" s="99" t="s">
        <v>804</v>
      </c>
      <c r="B65" s="1263" t="s">
        <v>557</v>
      </c>
      <c r="C65" s="276">
        <v>1050.8900000000001</v>
      </c>
      <c r="D65" s="276">
        <v>0.08</v>
      </c>
      <c r="E65" s="276">
        <v>330.07</v>
      </c>
      <c r="F65" s="276">
        <v>2822.52</v>
      </c>
      <c r="G65" s="276">
        <v>1935.63</v>
      </c>
      <c r="H65" s="276">
        <v>1177.43</v>
      </c>
      <c r="I65" s="276">
        <v>1111.7</v>
      </c>
      <c r="J65" s="276">
        <v>320.82</v>
      </c>
      <c r="K65" s="276">
        <f>54.26+0.17</f>
        <v>54.43</v>
      </c>
      <c r="L65" s="281">
        <f t="shared" si="6"/>
        <v>8803.57</v>
      </c>
      <c r="M65" s="281">
        <v>23.81</v>
      </c>
      <c r="N65" s="281">
        <v>5.71</v>
      </c>
      <c r="O65" s="281">
        <v>13.16</v>
      </c>
      <c r="P65" s="281">
        <v>178.57</v>
      </c>
      <c r="Q65" s="303" t="s">
        <v>557</v>
      </c>
    </row>
    <row r="66" spans="1:17" s="153" customFormat="1" ht="12.95" customHeight="1" x14ac:dyDescent="0.2">
      <c r="A66" s="99" t="s">
        <v>804</v>
      </c>
      <c r="B66" s="533" t="s">
        <v>549</v>
      </c>
      <c r="C66" s="237">
        <v>1026.31</v>
      </c>
      <c r="D66" s="237">
        <v>1.62</v>
      </c>
      <c r="E66" s="237">
        <v>60.77</v>
      </c>
      <c r="F66" s="237">
        <v>4123.63</v>
      </c>
      <c r="G66" s="237">
        <v>2322.02</v>
      </c>
      <c r="H66" s="237">
        <v>1141.3399999999999</v>
      </c>
      <c r="I66" s="237">
        <v>1173.74</v>
      </c>
      <c r="J66" s="237">
        <v>287.29000000000002</v>
      </c>
      <c r="K66" s="237">
        <f>0.28+46.07</f>
        <v>46.35</v>
      </c>
      <c r="L66" s="25">
        <f t="shared" si="6"/>
        <v>10183.070000000002</v>
      </c>
      <c r="M66" s="25">
        <v>26.19</v>
      </c>
      <c r="N66" s="25">
        <v>6.06</v>
      </c>
      <c r="O66" s="25">
        <v>11.52</v>
      </c>
      <c r="P66" s="25">
        <v>166.63</v>
      </c>
      <c r="Q66" s="239" t="s">
        <v>549</v>
      </c>
    </row>
    <row r="67" spans="1:17" s="153" customFormat="1" ht="12.95" customHeight="1" x14ac:dyDescent="0.2">
      <c r="A67" s="99" t="s">
        <v>804</v>
      </c>
      <c r="B67" s="1263" t="s">
        <v>558</v>
      </c>
      <c r="C67" s="276">
        <v>1171.96</v>
      </c>
      <c r="D67" s="276">
        <v>0.56999999999999995</v>
      </c>
      <c r="E67" s="276">
        <v>41.61</v>
      </c>
      <c r="F67" s="276">
        <v>3489.19</v>
      </c>
      <c r="G67" s="276">
        <v>2367.66</v>
      </c>
      <c r="H67" s="276">
        <v>1376.57</v>
      </c>
      <c r="I67" s="276">
        <v>1217.4000000000001</v>
      </c>
      <c r="J67" s="276">
        <v>295.25</v>
      </c>
      <c r="K67" s="276">
        <f>56.81+0.4+0.05</f>
        <v>57.26</v>
      </c>
      <c r="L67" s="281">
        <f t="shared" si="6"/>
        <v>10017.469999999999</v>
      </c>
      <c r="M67" s="281">
        <v>27.92</v>
      </c>
      <c r="N67" s="281">
        <v>7.56</v>
      </c>
      <c r="O67" s="281">
        <v>14.07</v>
      </c>
      <c r="P67" s="281">
        <v>195.7</v>
      </c>
      <c r="Q67" s="303" t="s">
        <v>558</v>
      </c>
    </row>
    <row r="68" spans="1:17" s="153" customFormat="1" ht="12.95" customHeight="1" x14ac:dyDescent="0.2">
      <c r="A68" s="99" t="s">
        <v>804</v>
      </c>
      <c r="B68" s="533" t="s">
        <v>559</v>
      </c>
      <c r="C68" s="237">
        <v>1113.04</v>
      </c>
      <c r="D68" s="237">
        <v>1.44</v>
      </c>
      <c r="E68" s="237">
        <v>26.54</v>
      </c>
      <c r="F68" s="237">
        <v>3261.64</v>
      </c>
      <c r="G68" s="237">
        <v>2616.9</v>
      </c>
      <c r="H68" s="237">
        <v>1218.76</v>
      </c>
      <c r="I68" s="237">
        <v>1298.8599999999999</v>
      </c>
      <c r="J68" s="237">
        <v>307.39999999999998</v>
      </c>
      <c r="K68" s="237">
        <f>0.36+50.64+0.02</f>
        <v>51.02</v>
      </c>
      <c r="L68" s="25">
        <f>C68+D68+E68+F68+G68+H68+I68+J68+K68</f>
        <v>9895.6</v>
      </c>
      <c r="M68" s="25">
        <v>34.1</v>
      </c>
      <c r="N68" s="25">
        <v>6.79</v>
      </c>
      <c r="O68" s="25">
        <v>11.72</v>
      </c>
      <c r="P68" s="25">
        <v>187.93</v>
      </c>
      <c r="Q68" s="239" t="s">
        <v>559</v>
      </c>
    </row>
    <row r="69" spans="1:17" s="153" customFormat="1" ht="12.95" customHeight="1" x14ac:dyDescent="0.2">
      <c r="A69" s="99" t="s">
        <v>804</v>
      </c>
      <c r="B69" s="222" t="s">
        <v>550</v>
      </c>
      <c r="C69" s="276">
        <v>1332.74</v>
      </c>
      <c r="D69" s="276">
        <v>3.68</v>
      </c>
      <c r="E69" s="276">
        <v>15.66</v>
      </c>
      <c r="F69" s="276">
        <v>7912.61</v>
      </c>
      <c r="G69" s="276">
        <v>3934.33</v>
      </c>
      <c r="H69" s="276">
        <v>1625.99</v>
      </c>
      <c r="I69" s="276">
        <v>931.11</v>
      </c>
      <c r="J69" s="276">
        <v>368.98</v>
      </c>
      <c r="K69" s="276">
        <f>0.62+37.82+0.92</f>
        <v>39.36</v>
      </c>
      <c r="L69" s="281">
        <f t="shared" si="6"/>
        <v>16164.460000000001</v>
      </c>
      <c r="M69" s="281">
        <v>55.41</v>
      </c>
      <c r="N69" s="281">
        <v>14.22</v>
      </c>
      <c r="O69" s="281">
        <v>13.5</v>
      </c>
      <c r="P69" s="281">
        <v>147.74</v>
      </c>
      <c r="Q69" s="303" t="s">
        <v>550</v>
      </c>
    </row>
    <row r="70" spans="1:17" s="153" customFormat="1" ht="12.95" customHeight="1" x14ac:dyDescent="0.2">
      <c r="A70" s="99" t="s">
        <v>978</v>
      </c>
      <c r="B70" s="533" t="s">
        <v>552</v>
      </c>
      <c r="C70" s="276">
        <v>1199.58</v>
      </c>
      <c r="D70" s="276">
        <v>4.45</v>
      </c>
      <c r="E70" s="276">
        <v>12.09</v>
      </c>
      <c r="F70" s="276">
        <v>1864.65</v>
      </c>
      <c r="G70" s="276">
        <v>2048.8200000000002</v>
      </c>
      <c r="H70" s="276">
        <v>1366.07</v>
      </c>
      <c r="I70" s="276">
        <v>837.62</v>
      </c>
      <c r="J70" s="276">
        <v>413.67</v>
      </c>
      <c r="K70" s="276">
        <f>0.32+48.76+0.07</f>
        <v>49.15</v>
      </c>
      <c r="L70" s="281">
        <v>7786.55</v>
      </c>
      <c r="M70" s="281">
        <v>14.33</v>
      </c>
      <c r="N70" s="281">
        <v>3.8</v>
      </c>
      <c r="O70" s="281">
        <v>15.7</v>
      </c>
      <c r="P70" s="281">
        <v>181.3</v>
      </c>
      <c r="Q70" s="303" t="s">
        <v>552</v>
      </c>
    </row>
    <row r="71" spans="1:17" s="153" customFormat="1" ht="12.95" customHeight="1" x14ac:dyDescent="0.2">
      <c r="A71" s="99" t="s">
        <v>978</v>
      </c>
      <c r="B71" s="222" t="s">
        <v>553</v>
      </c>
      <c r="C71" s="237">
        <v>948.4</v>
      </c>
      <c r="D71" s="237">
        <v>4.6500000000000004</v>
      </c>
      <c r="E71" s="237">
        <v>16.489999999999998</v>
      </c>
      <c r="F71" s="237">
        <v>1986.81</v>
      </c>
      <c r="G71" s="237">
        <v>1897.02</v>
      </c>
      <c r="H71" s="237">
        <v>1081.47</v>
      </c>
      <c r="I71" s="237">
        <v>937.38</v>
      </c>
      <c r="J71" s="237">
        <v>295.95999999999998</v>
      </c>
      <c r="K71" s="237">
        <f>0.21+46.82</f>
        <v>47.03</v>
      </c>
      <c r="L71" s="25">
        <v>7207.45</v>
      </c>
      <c r="M71" s="25">
        <v>14.06</v>
      </c>
      <c r="N71" s="25">
        <v>3.57</v>
      </c>
      <c r="O71" s="25">
        <v>9.86</v>
      </c>
      <c r="P71" s="25">
        <v>143.91</v>
      </c>
      <c r="Q71" s="239" t="s">
        <v>553</v>
      </c>
    </row>
    <row r="72" spans="1:17" s="153" customFormat="1" ht="12.95" customHeight="1" x14ac:dyDescent="0.2">
      <c r="A72" s="99" t="s">
        <v>978</v>
      </c>
      <c r="B72" s="533" t="s">
        <v>547</v>
      </c>
      <c r="C72" s="276">
        <v>1165.24</v>
      </c>
      <c r="D72" s="276">
        <v>3.17</v>
      </c>
      <c r="E72" s="276">
        <v>15.68</v>
      </c>
      <c r="F72" s="276">
        <v>3460.6</v>
      </c>
      <c r="G72" s="276">
        <v>2173.23</v>
      </c>
      <c r="H72" s="276">
        <v>1267.44</v>
      </c>
      <c r="I72" s="276">
        <v>1137.22</v>
      </c>
      <c r="J72" s="276">
        <v>388.41</v>
      </c>
      <c r="K72" s="276">
        <f>0.35+49.21</f>
        <v>49.56</v>
      </c>
      <c r="L72" s="281">
        <v>9659.98</v>
      </c>
      <c r="M72" s="281">
        <v>17.68</v>
      </c>
      <c r="N72" s="281">
        <v>7.83</v>
      </c>
      <c r="O72" s="281">
        <v>11.4</v>
      </c>
      <c r="P72" s="281">
        <v>154.87</v>
      </c>
      <c r="Q72" s="303" t="s">
        <v>547</v>
      </c>
    </row>
    <row r="73" spans="1:17" s="153" customFormat="1" ht="12.95" customHeight="1" x14ac:dyDescent="0.2">
      <c r="A73" s="99" t="s">
        <v>978</v>
      </c>
      <c r="B73" s="222" t="s">
        <v>554</v>
      </c>
      <c r="C73" s="237">
        <v>1024.71</v>
      </c>
      <c r="D73" s="237">
        <v>4.0199999999999996</v>
      </c>
      <c r="E73" s="237">
        <v>14.61</v>
      </c>
      <c r="F73" s="237">
        <v>2958.56</v>
      </c>
      <c r="G73" s="237">
        <v>2098.9899999999998</v>
      </c>
      <c r="H73" s="237">
        <v>1158.49</v>
      </c>
      <c r="I73" s="237">
        <v>1226.71</v>
      </c>
      <c r="J73" s="237">
        <v>357.14</v>
      </c>
      <c r="K73" s="237">
        <f>0.29+61.67</f>
        <v>61.96</v>
      </c>
      <c r="L73" s="25">
        <v>8904.08</v>
      </c>
      <c r="M73" s="25">
        <v>16.62</v>
      </c>
      <c r="N73" s="25">
        <v>2.87</v>
      </c>
      <c r="O73" s="25">
        <v>10.57</v>
      </c>
      <c r="P73" s="25">
        <v>124.78</v>
      </c>
      <c r="Q73" s="239" t="s">
        <v>554</v>
      </c>
    </row>
    <row r="74" spans="1:17" s="153" customFormat="1" ht="12.95" customHeight="1" x14ac:dyDescent="0.2">
      <c r="A74" s="99" t="s">
        <v>978</v>
      </c>
      <c r="B74" s="533" t="s">
        <v>555</v>
      </c>
      <c r="C74" s="276">
        <v>983.15</v>
      </c>
      <c r="D74" s="276">
        <v>2.3199999999999998</v>
      </c>
      <c r="E74" s="276">
        <v>16</v>
      </c>
      <c r="F74" s="276">
        <v>2600.62</v>
      </c>
      <c r="G74" s="276">
        <v>2111.0300000000002</v>
      </c>
      <c r="H74" s="276">
        <v>1176.33</v>
      </c>
      <c r="I74" s="276">
        <v>1067.47</v>
      </c>
      <c r="J74" s="276">
        <v>344.03</v>
      </c>
      <c r="K74" s="276">
        <f>0.25+53.91+0.08</f>
        <v>54.239999999999995</v>
      </c>
      <c r="L74" s="281">
        <v>8332.7199999999993</v>
      </c>
      <c r="M74" s="281">
        <v>22.08</v>
      </c>
      <c r="N74" s="281">
        <v>5.48</v>
      </c>
      <c r="O74" s="281">
        <v>10.98</v>
      </c>
      <c r="P74" s="281">
        <v>166.67</v>
      </c>
      <c r="Q74" s="303" t="s">
        <v>555</v>
      </c>
    </row>
    <row r="75" spans="1:17" s="153" customFormat="1" ht="12.95" customHeight="1" x14ac:dyDescent="0.2">
      <c r="A75" s="99" t="s">
        <v>978</v>
      </c>
      <c r="B75" s="222" t="s">
        <v>548</v>
      </c>
      <c r="C75" s="237">
        <v>1078.6600000000001</v>
      </c>
      <c r="D75" s="237">
        <v>4.33</v>
      </c>
      <c r="E75" s="237">
        <v>15.67</v>
      </c>
      <c r="F75" s="237">
        <v>3024.31</v>
      </c>
      <c r="G75" s="237">
        <v>2125.41</v>
      </c>
      <c r="H75" s="237">
        <v>1192.27</v>
      </c>
      <c r="I75" s="237">
        <v>1011.24</v>
      </c>
      <c r="J75" s="237">
        <v>288.22000000000003</v>
      </c>
      <c r="K75" s="237">
        <f>0.42+51.11</f>
        <v>51.53</v>
      </c>
      <c r="L75" s="25">
        <v>8784.6299999999992</v>
      </c>
      <c r="M75" s="25">
        <v>34.869999999999997</v>
      </c>
      <c r="N75" s="25">
        <v>5.24</v>
      </c>
      <c r="O75" s="25">
        <v>10.85</v>
      </c>
      <c r="P75" s="25">
        <v>256.39</v>
      </c>
      <c r="Q75" s="239" t="s">
        <v>548</v>
      </c>
    </row>
    <row r="76" spans="1:17" s="153" customFormat="1" ht="12.95" customHeight="1" x14ac:dyDescent="0.2">
      <c r="A76" s="99" t="s">
        <v>978</v>
      </c>
      <c r="B76" s="533" t="s">
        <v>556</v>
      </c>
      <c r="C76" s="276">
        <v>1085.03</v>
      </c>
      <c r="D76" s="276">
        <v>4.28</v>
      </c>
      <c r="E76" s="276">
        <v>242.1</v>
      </c>
      <c r="F76" s="276">
        <v>2742.06</v>
      </c>
      <c r="G76" s="276">
        <v>2293.84</v>
      </c>
      <c r="H76" s="276">
        <v>1221.1600000000001</v>
      </c>
      <c r="I76" s="276">
        <v>1219.8699999999999</v>
      </c>
      <c r="J76" s="276">
        <v>318.43</v>
      </c>
      <c r="K76" s="276">
        <f>0.46+48.96</f>
        <v>49.42</v>
      </c>
      <c r="L76" s="281">
        <v>9159.4500000000007</v>
      </c>
      <c r="M76" s="281">
        <v>29.18</v>
      </c>
      <c r="N76" s="281">
        <v>5.83</v>
      </c>
      <c r="O76" s="281">
        <v>12.21</v>
      </c>
      <c r="P76" s="281">
        <v>160.88</v>
      </c>
      <c r="Q76" s="303" t="s">
        <v>556</v>
      </c>
    </row>
    <row r="77" spans="1:17" s="153" customFormat="1" ht="12.95" customHeight="1" x14ac:dyDescent="0.2">
      <c r="A77" s="99" t="s">
        <v>978</v>
      </c>
      <c r="B77" s="1263" t="s">
        <v>557</v>
      </c>
      <c r="C77" s="237">
        <v>1043.45</v>
      </c>
      <c r="D77" s="237">
        <v>2.62</v>
      </c>
      <c r="E77" s="237">
        <v>367.99</v>
      </c>
      <c r="F77" s="237">
        <v>2514.8200000000002</v>
      </c>
      <c r="G77" s="237">
        <v>2242.4699999999998</v>
      </c>
      <c r="H77" s="237">
        <v>1255.94</v>
      </c>
      <c r="I77" s="237">
        <v>1066.67</v>
      </c>
      <c r="J77" s="237">
        <v>325.12</v>
      </c>
      <c r="K77" s="237">
        <f>0.36+48.45+0.01</f>
        <v>48.82</v>
      </c>
      <c r="L77" s="25">
        <v>8863.8700000000008</v>
      </c>
      <c r="M77" s="25">
        <v>28.49</v>
      </c>
      <c r="N77" s="25">
        <v>6.55</v>
      </c>
      <c r="O77" s="25">
        <v>11.19</v>
      </c>
      <c r="P77" s="25">
        <v>184.06</v>
      </c>
      <c r="Q77" s="239" t="s">
        <v>557</v>
      </c>
    </row>
    <row r="78" spans="1:17" s="153" customFormat="1" ht="12.95" customHeight="1" x14ac:dyDescent="0.2">
      <c r="A78" s="99" t="s">
        <v>978</v>
      </c>
      <c r="B78" s="533" t="s">
        <v>549</v>
      </c>
      <c r="C78" s="276">
        <v>1150.6300000000001</v>
      </c>
      <c r="D78" s="276">
        <v>2.08</v>
      </c>
      <c r="E78" s="276">
        <v>72.040000000000006</v>
      </c>
      <c r="F78" s="276">
        <v>4133.7299999999996</v>
      </c>
      <c r="G78" s="276">
        <v>2545.7800000000002</v>
      </c>
      <c r="H78" s="276">
        <v>1210.0999999999999</v>
      </c>
      <c r="I78" s="276">
        <v>1281.1600000000001</v>
      </c>
      <c r="J78" s="276">
        <v>340.15</v>
      </c>
      <c r="K78" s="276">
        <f>0.51+50.93+0.01</f>
        <v>51.449999999999996</v>
      </c>
      <c r="L78" s="281">
        <v>10778.77</v>
      </c>
      <c r="M78" s="281">
        <v>30.77</v>
      </c>
      <c r="N78" s="281">
        <v>8.1300000000000008</v>
      </c>
      <c r="O78" s="281">
        <v>13.34</v>
      </c>
      <c r="P78" s="281">
        <v>196.27</v>
      </c>
      <c r="Q78" s="303" t="s">
        <v>549</v>
      </c>
    </row>
    <row r="79" spans="1:17" s="153" customFormat="1" ht="12.95" customHeight="1" x14ac:dyDescent="0.2">
      <c r="A79" s="99" t="s">
        <v>978</v>
      </c>
      <c r="B79" s="1263" t="s">
        <v>558</v>
      </c>
      <c r="C79" s="237">
        <v>1286.6300000000001</v>
      </c>
      <c r="D79" s="237">
        <v>3.38</v>
      </c>
      <c r="E79" s="237">
        <v>13.33</v>
      </c>
      <c r="F79" s="237">
        <v>4006.85</v>
      </c>
      <c r="G79" s="237">
        <v>2912.01</v>
      </c>
      <c r="H79" s="237">
        <v>1325.05</v>
      </c>
      <c r="I79" s="237">
        <v>1370.79</v>
      </c>
      <c r="J79" s="237">
        <v>403.41</v>
      </c>
      <c r="K79" s="237">
        <f>56.91+0.01+0.44</f>
        <v>57.359999999999992</v>
      </c>
      <c r="L79" s="237">
        <v>11369.96</v>
      </c>
      <c r="M79" s="237">
        <v>88.5</v>
      </c>
      <c r="N79" s="237">
        <v>7.16</v>
      </c>
      <c r="O79" s="237">
        <v>12.35</v>
      </c>
      <c r="P79" s="237">
        <v>224.42</v>
      </c>
      <c r="Q79" s="239" t="s">
        <v>558</v>
      </c>
    </row>
    <row r="80" spans="1:17" s="153" customFormat="1" ht="12.95" customHeight="1" x14ac:dyDescent="0.2">
      <c r="A80" s="99" t="s">
        <v>978</v>
      </c>
      <c r="B80" s="533" t="s">
        <v>559</v>
      </c>
      <c r="C80" s="276">
        <v>1276.6500000000001</v>
      </c>
      <c r="D80" s="276">
        <v>2.79</v>
      </c>
      <c r="E80" s="276">
        <v>19.68</v>
      </c>
      <c r="F80" s="276">
        <v>4738.37</v>
      </c>
      <c r="G80" s="276">
        <v>3257.6</v>
      </c>
      <c r="H80" s="276">
        <v>1420.74</v>
      </c>
      <c r="I80" s="276">
        <v>1315.1</v>
      </c>
      <c r="J80" s="276">
        <v>438.13</v>
      </c>
      <c r="K80" s="276">
        <f>55.8+0.01+0.4</f>
        <v>56.209999999999994</v>
      </c>
      <c r="L80" s="276">
        <v>12516.46</v>
      </c>
      <c r="M80" s="276">
        <v>37.65</v>
      </c>
      <c r="N80" s="276">
        <v>6.64</v>
      </c>
      <c r="O80" s="276">
        <v>13.89</v>
      </c>
      <c r="P80" s="276">
        <v>210.72</v>
      </c>
      <c r="Q80" s="303" t="s">
        <v>559</v>
      </c>
    </row>
    <row r="81" spans="1:17" s="153" customFormat="1" ht="12.95" customHeight="1" x14ac:dyDescent="0.2">
      <c r="A81" s="99" t="s">
        <v>978</v>
      </c>
      <c r="B81" s="222" t="s">
        <v>550</v>
      </c>
      <c r="C81" s="237">
        <v>1408.7</v>
      </c>
      <c r="D81" s="237">
        <v>3.89</v>
      </c>
      <c r="E81" s="237">
        <v>16.71</v>
      </c>
      <c r="F81" s="237">
        <v>9175.89</v>
      </c>
      <c r="G81" s="237">
        <v>3545.91</v>
      </c>
      <c r="H81" s="237">
        <v>1650.06</v>
      </c>
      <c r="I81" s="237">
        <v>1175.96</v>
      </c>
      <c r="J81" s="237">
        <v>423.1</v>
      </c>
      <c r="K81" s="237">
        <f>0.71+0.01+66.26</f>
        <v>66.98</v>
      </c>
      <c r="L81" s="237">
        <v>17455.93</v>
      </c>
      <c r="M81" s="237">
        <v>90.57</v>
      </c>
      <c r="N81" s="237">
        <v>8.31</v>
      </c>
      <c r="O81" s="237">
        <v>87.23</v>
      </c>
      <c r="P81" s="237">
        <v>210.25</v>
      </c>
      <c r="Q81" s="239" t="s">
        <v>550</v>
      </c>
    </row>
    <row r="82" spans="1:17" s="153" customFormat="1" ht="12.95" customHeight="1" x14ac:dyDescent="0.2">
      <c r="A82" s="99" t="s">
        <v>1029</v>
      </c>
      <c r="B82" s="533" t="s">
        <v>552</v>
      </c>
      <c r="C82" s="237">
        <v>1035.8599999999999</v>
      </c>
      <c r="D82" s="237">
        <v>4.17</v>
      </c>
      <c r="E82" s="237">
        <v>12.89</v>
      </c>
      <c r="F82" s="237">
        <v>2023.64</v>
      </c>
      <c r="G82" s="237">
        <v>2273.58</v>
      </c>
      <c r="H82" s="237">
        <v>1306.5899999999999</v>
      </c>
      <c r="I82" s="237">
        <v>809.81</v>
      </c>
      <c r="J82" s="237">
        <v>427.56</v>
      </c>
      <c r="K82" s="237">
        <f>58.4+0.25+11.72</f>
        <v>70.37</v>
      </c>
      <c r="L82" s="237">
        <f>SUM(C82:K82)</f>
        <v>7964.4700000000012</v>
      </c>
      <c r="M82" s="237" t="s">
        <v>288</v>
      </c>
      <c r="N82" s="237">
        <v>3.39</v>
      </c>
      <c r="O82" s="237">
        <v>15.11</v>
      </c>
      <c r="P82" s="237">
        <v>125.89</v>
      </c>
      <c r="Q82" s="239" t="s">
        <v>552</v>
      </c>
    </row>
    <row r="83" spans="1:17" s="153" customFormat="1" ht="12.95" customHeight="1" x14ac:dyDescent="0.2">
      <c r="A83" s="99" t="s">
        <v>1029</v>
      </c>
      <c r="B83" s="222" t="s">
        <v>553</v>
      </c>
      <c r="C83" s="276">
        <v>1261</v>
      </c>
      <c r="D83" s="276">
        <v>3.39</v>
      </c>
      <c r="E83" s="276">
        <v>12.16</v>
      </c>
      <c r="F83" s="276">
        <v>2300.29</v>
      </c>
      <c r="G83" s="276">
        <v>2206.0100000000002</v>
      </c>
      <c r="H83" s="276">
        <v>1370.29</v>
      </c>
      <c r="I83" s="276">
        <v>1221.1099999999999</v>
      </c>
      <c r="J83" s="276">
        <v>451.18</v>
      </c>
      <c r="K83" s="276">
        <f>58.33+0.27</f>
        <v>58.6</v>
      </c>
      <c r="L83" s="276">
        <f>SUM(C83:K83)</f>
        <v>8884.0300000000007</v>
      </c>
      <c r="M83" s="276">
        <v>15.71</v>
      </c>
      <c r="N83" s="276">
        <v>5.14</v>
      </c>
      <c r="O83" s="276">
        <v>13.06</v>
      </c>
      <c r="P83" s="276">
        <v>151.58000000000001</v>
      </c>
      <c r="Q83" s="303" t="s">
        <v>553</v>
      </c>
    </row>
    <row r="84" spans="1:17" s="153" customFormat="1" ht="12.95" customHeight="1" x14ac:dyDescent="0.2">
      <c r="A84" s="99" t="s">
        <v>1029</v>
      </c>
      <c r="B84" s="533" t="s">
        <v>547</v>
      </c>
      <c r="C84" s="237">
        <v>1311.14</v>
      </c>
      <c r="D84" s="237">
        <v>5.16</v>
      </c>
      <c r="E84" s="237">
        <v>16.73</v>
      </c>
      <c r="F84" s="237">
        <v>4112.09</v>
      </c>
      <c r="G84" s="237">
        <v>2448.4299999999998</v>
      </c>
      <c r="H84" s="237">
        <v>1474.78</v>
      </c>
      <c r="I84" s="237">
        <v>1463.96</v>
      </c>
      <c r="J84" s="237">
        <v>449.43</v>
      </c>
      <c r="K84" s="237">
        <f>88.76+0.37</f>
        <v>89.13000000000001</v>
      </c>
      <c r="L84" s="237">
        <f>SUM(C84:K84)</f>
        <v>11370.85</v>
      </c>
      <c r="M84" s="237">
        <v>21.07</v>
      </c>
      <c r="N84" s="237">
        <v>4.95</v>
      </c>
      <c r="O84" s="237">
        <v>15.17</v>
      </c>
      <c r="P84" s="237">
        <v>164.81</v>
      </c>
      <c r="Q84" s="239" t="s">
        <v>547</v>
      </c>
    </row>
    <row r="85" spans="1:17" s="153" customFormat="1" ht="12.95" customHeight="1" x14ac:dyDescent="0.2">
      <c r="A85" s="99" t="s">
        <v>1029</v>
      </c>
      <c r="B85" s="222" t="s">
        <v>554</v>
      </c>
      <c r="C85" s="276">
        <v>1034.5</v>
      </c>
      <c r="D85" s="276">
        <v>7.65</v>
      </c>
      <c r="E85" s="276">
        <v>17.8</v>
      </c>
      <c r="F85" s="276">
        <v>3242.49</v>
      </c>
      <c r="G85" s="276">
        <v>2535.17</v>
      </c>
      <c r="H85" s="276">
        <v>1270.44</v>
      </c>
      <c r="I85" s="276">
        <v>1250.8399999999999</v>
      </c>
      <c r="J85" s="276">
        <v>344.37</v>
      </c>
      <c r="K85" s="276">
        <f>0.37+77.23</f>
        <v>77.600000000000009</v>
      </c>
      <c r="L85" s="276">
        <f t="shared" ref="L85:L105" si="7">SUM(C85:K85)</f>
        <v>9780.86</v>
      </c>
      <c r="M85" s="276">
        <v>21.25</v>
      </c>
      <c r="N85" s="276">
        <v>4.92</v>
      </c>
      <c r="O85" s="276">
        <v>12.32</v>
      </c>
      <c r="P85" s="276">
        <v>110.18</v>
      </c>
      <c r="Q85" s="303" t="s">
        <v>554</v>
      </c>
    </row>
    <row r="86" spans="1:17" s="153" customFormat="1" ht="12.95" customHeight="1" x14ac:dyDescent="0.2">
      <c r="A86" s="99" t="s">
        <v>1029</v>
      </c>
      <c r="B86" s="533" t="s">
        <v>555</v>
      </c>
      <c r="C86" s="237">
        <v>1154.1099999999999</v>
      </c>
      <c r="D86" s="237">
        <v>7.84</v>
      </c>
      <c r="E86" s="237">
        <v>15.33</v>
      </c>
      <c r="F86" s="237">
        <v>2948.39</v>
      </c>
      <c r="G86" s="237">
        <v>2534.0700000000002</v>
      </c>
      <c r="H86" s="237">
        <v>1336.4</v>
      </c>
      <c r="I86" s="237">
        <v>1250.53</v>
      </c>
      <c r="J86" s="237">
        <v>407.14</v>
      </c>
      <c r="K86" s="237">
        <f>0.27+75.79</f>
        <v>76.06</v>
      </c>
      <c r="L86" s="237">
        <f>SUM(C86:K86)</f>
        <v>9729.869999999999</v>
      </c>
      <c r="M86" s="237">
        <v>28.96</v>
      </c>
      <c r="N86" s="237">
        <v>7.99</v>
      </c>
      <c r="O86" s="237">
        <v>14.36</v>
      </c>
      <c r="P86" s="237">
        <v>323.43</v>
      </c>
      <c r="Q86" s="239" t="s">
        <v>555</v>
      </c>
    </row>
    <row r="87" spans="1:17" s="153" customFormat="1" ht="12.95" customHeight="1" x14ac:dyDescent="0.2">
      <c r="A87" s="99" t="s">
        <v>1029</v>
      </c>
      <c r="B87" s="222" t="s">
        <v>548</v>
      </c>
      <c r="C87" s="276">
        <v>1224.0899999999999</v>
      </c>
      <c r="D87" s="276">
        <v>3.34</v>
      </c>
      <c r="E87" s="276">
        <v>19.03</v>
      </c>
      <c r="F87" s="276">
        <v>4094.3</v>
      </c>
      <c r="G87" s="276">
        <v>2651.06</v>
      </c>
      <c r="H87" s="276">
        <v>1521.47</v>
      </c>
      <c r="I87" s="276">
        <v>1356.27</v>
      </c>
      <c r="J87" s="276">
        <v>428.22</v>
      </c>
      <c r="K87" s="276">
        <f>0.41+66.67</f>
        <v>67.08</v>
      </c>
      <c r="L87" s="276">
        <f t="shared" si="7"/>
        <v>11364.859999999999</v>
      </c>
      <c r="M87" s="276">
        <v>28.4</v>
      </c>
      <c r="N87" s="276">
        <v>6.82</v>
      </c>
      <c r="O87" s="276">
        <v>12.57</v>
      </c>
      <c r="P87" s="276">
        <v>213.86</v>
      </c>
      <c r="Q87" s="303" t="s">
        <v>548</v>
      </c>
    </row>
    <row r="88" spans="1:17" s="153" customFormat="1" ht="12.95" customHeight="1" x14ac:dyDescent="0.2">
      <c r="A88" s="99" t="s">
        <v>1029</v>
      </c>
      <c r="B88" s="533" t="s">
        <v>556</v>
      </c>
      <c r="C88" s="237">
        <v>1184.19</v>
      </c>
      <c r="D88" s="237">
        <v>0.98</v>
      </c>
      <c r="E88" s="237">
        <v>524.16999999999996</v>
      </c>
      <c r="F88" s="237">
        <v>3189.76</v>
      </c>
      <c r="G88" s="237">
        <v>2598.15</v>
      </c>
      <c r="H88" s="237">
        <v>1455.51</v>
      </c>
      <c r="I88" s="237">
        <v>1357.67</v>
      </c>
      <c r="J88" s="237">
        <v>378.11</v>
      </c>
      <c r="K88" s="237">
        <f>0.37+58.67</f>
        <v>59.04</v>
      </c>
      <c r="L88" s="237">
        <f>SUM(C88:K88)</f>
        <v>10747.580000000002</v>
      </c>
      <c r="M88" s="237" t="s">
        <v>288</v>
      </c>
      <c r="N88" s="237" t="s">
        <v>288</v>
      </c>
      <c r="O88" s="237" t="s">
        <v>288</v>
      </c>
      <c r="P88" s="237" t="s">
        <v>288</v>
      </c>
      <c r="Q88" s="239" t="s">
        <v>556</v>
      </c>
    </row>
    <row r="89" spans="1:17" s="153" customFormat="1" ht="12.95" customHeight="1" x14ac:dyDescent="0.2">
      <c r="A89" s="99" t="s">
        <v>1029</v>
      </c>
      <c r="B89" s="1263" t="s">
        <v>557</v>
      </c>
      <c r="C89" s="276">
        <v>1154.04</v>
      </c>
      <c r="D89" s="276">
        <v>0.85</v>
      </c>
      <c r="E89" s="276">
        <v>220.03</v>
      </c>
      <c r="F89" s="276">
        <v>2997.91</v>
      </c>
      <c r="G89" s="276">
        <v>2419.6799999999998</v>
      </c>
      <c r="H89" s="276">
        <v>1425.4</v>
      </c>
      <c r="I89" s="276">
        <v>1311.46</v>
      </c>
      <c r="J89" s="276">
        <v>393.74</v>
      </c>
      <c r="K89" s="276">
        <f>0.35+73.72</f>
        <v>74.069999999999993</v>
      </c>
      <c r="L89" s="276">
        <f t="shared" si="7"/>
        <v>9997.1799999999985</v>
      </c>
      <c r="M89" s="276" t="s">
        <v>288</v>
      </c>
      <c r="N89" s="276" t="s">
        <v>288</v>
      </c>
      <c r="O89" s="276" t="s">
        <v>288</v>
      </c>
      <c r="P89" s="276" t="s">
        <v>288</v>
      </c>
      <c r="Q89" s="303" t="s">
        <v>557</v>
      </c>
    </row>
    <row r="90" spans="1:17" s="153" customFormat="1" ht="12.95" customHeight="1" x14ac:dyDescent="0.2">
      <c r="A90" s="99" t="s">
        <v>1029</v>
      </c>
      <c r="B90" s="533" t="s">
        <v>549</v>
      </c>
      <c r="C90" s="237">
        <v>1247.53</v>
      </c>
      <c r="D90" s="237">
        <v>1.03</v>
      </c>
      <c r="E90" s="237">
        <v>48.18</v>
      </c>
      <c r="F90" s="237">
        <v>4827.6000000000004</v>
      </c>
      <c r="G90" s="237">
        <v>2972.91</v>
      </c>
      <c r="H90" s="237">
        <v>1545.3</v>
      </c>
      <c r="I90" s="237">
        <v>1358.83</v>
      </c>
      <c r="J90" s="237">
        <v>419.04</v>
      </c>
      <c r="K90" s="237">
        <f>0.47+62.83</f>
        <v>63.3</v>
      </c>
      <c r="L90" s="237">
        <f t="shared" si="7"/>
        <v>12483.72</v>
      </c>
      <c r="M90" s="237" t="s">
        <v>288</v>
      </c>
      <c r="N90" s="237" t="s">
        <v>288</v>
      </c>
      <c r="O90" s="237" t="s">
        <v>288</v>
      </c>
      <c r="P90" s="237" t="s">
        <v>288</v>
      </c>
      <c r="Q90" s="239" t="s">
        <v>549</v>
      </c>
    </row>
    <row r="91" spans="1:17" s="153" customFormat="1" ht="12.95" customHeight="1" x14ac:dyDescent="0.2">
      <c r="A91" s="99" t="s">
        <v>1029</v>
      </c>
      <c r="B91" s="1263" t="s">
        <v>558</v>
      </c>
      <c r="C91" s="276">
        <v>1418.2</v>
      </c>
      <c r="D91" s="276">
        <v>1.64</v>
      </c>
      <c r="E91" s="276">
        <v>20.98</v>
      </c>
      <c r="F91" s="276">
        <v>3777.81</v>
      </c>
      <c r="G91" s="276">
        <v>3259.68</v>
      </c>
      <c r="H91" s="276">
        <v>1592.26</v>
      </c>
      <c r="I91" s="276">
        <v>1564.76</v>
      </c>
      <c r="J91" s="276">
        <v>464.57</v>
      </c>
      <c r="K91" s="276">
        <f>0.39+69.69</f>
        <v>70.08</v>
      </c>
      <c r="L91" s="276">
        <f t="shared" si="7"/>
        <v>12169.98</v>
      </c>
      <c r="M91" s="276" t="s">
        <v>288</v>
      </c>
      <c r="N91" s="276" t="s">
        <v>288</v>
      </c>
      <c r="O91" s="276" t="s">
        <v>288</v>
      </c>
      <c r="P91" s="276" t="s">
        <v>288</v>
      </c>
      <c r="Q91" s="303" t="s">
        <v>558</v>
      </c>
    </row>
    <row r="92" spans="1:17" s="153" customFormat="1" ht="12.95" customHeight="1" x14ac:dyDescent="0.2">
      <c r="A92" s="99" t="s">
        <v>1029</v>
      </c>
      <c r="B92" s="533" t="s">
        <v>559</v>
      </c>
      <c r="C92" s="237">
        <v>1646.02</v>
      </c>
      <c r="D92" s="237">
        <v>1.91</v>
      </c>
      <c r="E92" s="237">
        <v>38.590000000000003</v>
      </c>
      <c r="F92" s="237">
        <v>4038.35</v>
      </c>
      <c r="G92" s="237">
        <v>3648.13</v>
      </c>
      <c r="H92" s="237">
        <v>1661.22</v>
      </c>
      <c r="I92" s="237">
        <v>1648.29</v>
      </c>
      <c r="J92" s="237">
        <v>522.66999999999996</v>
      </c>
      <c r="K92" s="237">
        <f>0.45+106.31</f>
        <v>106.76</v>
      </c>
      <c r="L92" s="237">
        <f t="shared" si="7"/>
        <v>13311.939999999999</v>
      </c>
      <c r="M92" s="237" t="s">
        <v>288</v>
      </c>
      <c r="N92" s="237" t="s">
        <v>288</v>
      </c>
      <c r="O92" s="237" t="s">
        <v>288</v>
      </c>
      <c r="P92" s="237" t="s">
        <v>288</v>
      </c>
      <c r="Q92" s="239" t="s">
        <v>559</v>
      </c>
    </row>
    <row r="93" spans="1:17" s="153" customFormat="1" ht="12.95" customHeight="1" x14ac:dyDescent="0.2">
      <c r="A93" s="99" t="s">
        <v>1029</v>
      </c>
      <c r="B93" s="222" t="s">
        <v>550</v>
      </c>
      <c r="C93" s="276">
        <v>1684.28</v>
      </c>
      <c r="D93" s="276">
        <v>2.58</v>
      </c>
      <c r="E93" s="276">
        <v>14.49</v>
      </c>
      <c r="F93" s="276">
        <v>11289.23</v>
      </c>
      <c r="G93" s="276">
        <v>2743.26</v>
      </c>
      <c r="H93" s="276">
        <v>1716.55</v>
      </c>
      <c r="I93" s="276">
        <v>1164.79</v>
      </c>
      <c r="J93" s="276">
        <v>563.9</v>
      </c>
      <c r="K93" s="276">
        <f>0.74+79.32</f>
        <v>80.059999999999988</v>
      </c>
      <c r="L93" s="276">
        <f t="shared" si="7"/>
        <v>19259.140000000003</v>
      </c>
      <c r="M93" s="276" t="s">
        <v>288</v>
      </c>
      <c r="N93" s="276" t="s">
        <v>288</v>
      </c>
      <c r="O93" s="276" t="s">
        <v>288</v>
      </c>
      <c r="P93" s="276" t="s">
        <v>288</v>
      </c>
      <c r="Q93" s="303" t="s">
        <v>550</v>
      </c>
    </row>
    <row r="94" spans="1:17" s="153" customFormat="1" ht="12.95" customHeight="1" x14ac:dyDescent="0.2">
      <c r="A94" s="99" t="s">
        <v>1150</v>
      </c>
      <c r="B94" s="533" t="s">
        <v>552</v>
      </c>
      <c r="C94" s="276">
        <v>1122.01</v>
      </c>
      <c r="D94" s="276">
        <v>3.08</v>
      </c>
      <c r="E94" s="276">
        <v>43.14</v>
      </c>
      <c r="F94" s="276">
        <v>2459.71</v>
      </c>
      <c r="G94" s="276">
        <v>2136.52</v>
      </c>
      <c r="H94" s="276">
        <v>1392.08</v>
      </c>
      <c r="I94" s="276">
        <v>995.89</v>
      </c>
      <c r="J94" s="276">
        <v>506.66</v>
      </c>
      <c r="K94" s="276">
        <f>0.37+68.6+0</f>
        <v>68.97</v>
      </c>
      <c r="L94" s="276">
        <f t="shared" si="7"/>
        <v>8728.06</v>
      </c>
      <c r="M94" s="276" t="s">
        <v>288</v>
      </c>
      <c r="N94" s="276" t="s">
        <v>288</v>
      </c>
      <c r="O94" s="276" t="s">
        <v>288</v>
      </c>
      <c r="P94" s="276" t="s">
        <v>288</v>
      </c>
      <c r="Q94" s="303" t="s">
        <v>552</v>
      </c>
    </row>
    <row r="95" spans="1:17" s="153" customFormat="1" ht="12.95" customHeight="1" x14ac:dyDescent="0.2">
      <c r="A95" s="99" t="s">
        <v>1150</v>
      </c>
      <c r="B95" s="222" t="s">
        <v>553</v>
      </c>
      <c r="C95" s="237">
        <v>1261.3800000000001</v>
      </c>
      <c r="D95" s="237">
        <v>6.53</v>
      </c>
      <c r="E95" s="237">
        <v>32.619999999999997</v>
      </c>
      <c r="F95" s="237">
        <v>2533.29</v>
      </c>
      <c r="G95" s="237">
        <v>2313.4299999999998</v>
      </c>
      <c r="H95" s="237">
        <v>1466.68</v>
      </c>
      <c r="I95" s="237">
        <v>1345.51</v>
      </c>
      <c r="J95" s="237">
        <v>498.72</v>
      </c>
      <c r="K95" s="237">
        <f>0.33+68.48+0</f>
        <v>68.81</v>
      </c>
      <c r="L95" s="237">
        <f t="shared" si="7"/>
        <v>9526.9699999999993</v>
      </c>
      <c r="M95" s="237" t="s">
        <v>288</v>
      </c>
      <c r="N95" s="237" t="s">
        <v>288</v>
      </c>
      <c r="O95" s="237" t="s">
        <v>288</v>
      </c>
      <c r="P95" s="237" t="s">
        <v>288</v>
      </c>
      <c r="Q95" s="239" t="s">
        <v>553</v>
      </c>
    </row>
    <row r="96" spans="1:17" s="153" customFormat="1" ht="12.95" customHeight="1" x14ac:dyDescent="0.2">
      <c r="A96" s="99" t="s">
        <v>1150</v>
      </c>
      <c r="B96" s="533" t="s">
        <v>547</v>
      </c>
      <c r="C96" s="276">
        <v>1382.02</v>
      </c>
      <c r="D96" s="276">
        <v>1.54</v>
      </c>
      <c r="E96" s="276">
        <v>42.77</v>
      </c>
      <c r="F96" s="276">
        <v>4471.28</v>
      </c>
      <c r="G96" s="276">
        <v>3121.08</v>
      </c>
      <c r="H96" s="276">
        <v>1709.66</v>
      </c>
      <c r="I96" s="276">
        <v>1465.92</v>
      </c>
      <c r="J96" s="276">
        <v>518.30999999999995</v>
      </c>
      <c r="K96" s="276">
        <f>0.32+78.68</f>
        <v>79</v>
      </c>
      <c r="L96" s="276">
        <f t="shared" si="7"/>
        <v>12791.579999999998</v>
      </c>
      <c r="M96" s="276" t="s">
        <v>288</v>
      </c>
      <c r="N96" s="276" t="s">
        <v>288</v>
      </c>
      <c r="O96" s="276" t="s">
        <v>288</v>
      </c>
      <c r="P96" s="276" t="s">
        <v>288</v>
      </c>
      <c r="Q96" s="303" t="s">
        <v>547</v>
      </c>
    </row>
    <row r="97" spans="1:17" s="153" customFormat="1" ht="12.95" customHeight="1" x14ac:dyDescent="0.2">
      <c r="A97" s="99" t="s">
        <v>1150</v>
      </c>
      <c r="B97" s="222" t="s">
        <v>554</v>
      </c>
      <c r="C97" s="237">
        <v>1309.26</v>
      </c>
      <c r="D97" s="237">
        <v>5.56</v>
      </c>
      <c r="E97" s="237">
        <v>47.7</v>
      </c>
      <c r="F97" s="237">
        <v>3307.76</v>
      </c>
      <c r="G97" s="237">
        <v>2743.76</v>
      </c>
      <c r="H97" s="237">
        <v>1644.48</v>
      </c>
      <c r="I97" s="237">
        <v>1570.5</v>
      </c>
      <c r="J97" s="237">
        <v>536.1</v>
      </c>
      <c r="K97" s="237">
        <f>0.41+63.55</f>
        <v>63.959999999999994</v>
      </c>
      <c r="L97" s="237">
        <f t="shared" si="7"/>
        <v>11229.08</v>
      </c>
      <c r="M97" s="237" t="s">
        <v>288</v>
      </c>
      <c r="N97" s="237" t="s">
        <v>288</v>
      </c>
      <c r="O97" s="237" t="s">
        <v>288</v>
      </c>
      <c r="P97" s="237" t="s">
        <v>288</v>
      </c>
      <c r="Q97" s="239" t="s">
        <v>554</v>
      </c>
    </row>
    <row r="98" spans="1:17" s="153" customFormat="1" ht="12.95" customHeight="1" x14ac:dyDescent="0.2">
      <c r="A98" s="99" t="s">
        <v>1150</v>
      </c>
      <c r="B98" s="533" t="s">
        <v>555</v>
      </c>
      <c r="C98" s="276">
        <v>1569.71</v>
      </c>
      <c r="D98" s="276">
        <v>3.67</v>
      </c>
      <c r="E98" s="276">
        <v>46.31</v>
      </c>
      <c r="F98" s="276">
        <v>3138.55</v>
      </c>
      <c r="G98" s="276">
        <v>3386.93</v>
      </c>
      <c r="H98" s="276">
        <v>1598.91</v>
      </c>
      <c r="I98" s="276">
        <v>2160.29</v>
      </c>
      <c r="J98" s="276">
        <v>523.04999999999995</v>
      </c>
      <c r="K98" s="276">
        <f>0.38+86.59</f>
        <v>86.97</v>
      </c>
      <c r="L98" s="276">
        <f t="shared" si="7"/>
        <v>12514.389999999998</v>
      </c>
      <c r="M98" s="276" t="s">
        <v>288</v>
      </c>
      <c r="N98" s="276" t="s">
        <v>288</v>
      </c>
      <c r="O98" s="276" t="s">
        <v>288</v>
      </c>
      <c r="P98" s="276" t="s">
        <v>288</v>
      </c>
      <c r="Q98" s="303" t="s">
        <v>555</v>
      </c>
    </row>
    <row r="99" spans="1:17" s="153" customFormat="1" ht="12.95" customHeight="1" x14ac:dyDescent="0.2">
      <c r="A99" s="99" t="s">
        <v>1150</v>
      </c>
      <c r="B99" s="222" t="s">
        <v>548</v>
      </c>
      <c r="C99" s="237">
        <v>1593.82</v>
      </c>
      <c r="D99" s="237">
        <v>3.58</v>
      </c>
      <c r="E99" s="237">
        <v>295.44</v>
      </c>
      <c r="F99" s="237">
        <v>4610.99</v>
      </c>
      <c r="G99" s="237">
        <v>2827.54</v>
      </c>
      <c r="H99" s="237">
        <v>1660.71</v>
      </c>
      <c r="I99" s="237">
        <v>1644.39</v>
      </c>
      <c r="J99" s="237">
        <v>509.17</v>
      </c>
      <c r="K99" s="237">
        <f>0.43+78.16</f>
        <v>78.59</v>
      </c>
      <c r="L99" s="237">
        <f t="shared" si="7"/>
        <v>13224.229999999998</v>
      </c>
      <c r="M99" s="237" t="s">
        <v>288</v>
      </c>
      <c r="N99" s="237" t="s">
        <v>288</v>
      </c>
      <c r="O99" s="237" t="s">
        <v>288</v>
      </c>
      <c r="P99" s="237" t="s">
        <v>288</v>
      </c>
      <c r="Q99" s="239" t="s">
        <v>548</v>
      </c>
    </row>
    <row r="100" spans="1:17" s="153" customFormat="1" ht="12.95" customHeight="1" x14ac:dyDescent="0.2">
      <c r="A100" s="99" t="s">
        <v>1150</v>
      </c>
      <c r="B100" s="533" t="s">
        <v>556</v>
      </c>
      <c r="C100" s="276">
        <v>1490.7</v>
      </c>
      <c r="D100" s="276">
        <v>1.1200000000000001</v>
      </c>
      <c r="E100" s="276">
        <v>464.77</v>
      </c>
      <c r="F100" s="276">
        <v>3447.14</v>
      </c>
      <c r="G100" s="276">
        <v>2609.17</v>
      </c>
      <c r="H100" s="276">
        <v>1719.74</v>
      </c>
      <c r="I100" s="276">
        <v>1572.76</v>
      </c>
      <c r="J100" s="276">
        <v>496.08</v>
      </c>
      <c r="K100" s="276">
        <f>0.37+82.88</f>
        <v>83.25</v>
      </c>
      <c r="L100" s="276">
        <f t="shared" si="7"/>
        <v>11884.73</v>
      </c>
      <c r="M100" s="276" t="s">
        <v>288</v>
      </c>
      <c r="N100" s="276" t="s">
        <v>288</v>
      </c>
      <c r="O100" s="276" t="s">
        <v>288</v>
      </c>
      <c r="P100" s="276" t="s">
        <v>288</v>
      </c>
      <c r="Q100" s="303" t="s">
        <v>556</v>
      </c>
    </row>
    <row r="101" spans="1:17" s="153" customFormat="1" ht="12.95" customHeight="1" x14ac:dyDescent="0.2">
      <c r="A101" s="99" t="s">
        <v>1150</v>
      </c>
      <c r="B101" s="1263" t="s">
        <v>557</v>
      </c>
      <c r="C101" s="237">
        <v>1483.99</v>
      </c>
      <c r="D101" s="237">
        <v>0.98</v>
      </c>
      <c r="E101" s="237">
        <v>302.56</v>
      </c>
      <c r="F101" s="237">
        <v>3247.01</v>
      </c>
      <c r="G101" s="237">
        <v>2532.87</v>
      </c>
      <c r="H101" s="237">
        <v>1641.92</v>
      </c>
      <c r="I101" s="237">
        <v>1507.84</v>
      </c>
      <c r="J101" s="237">
        <v>599.88</v>
      </c>
      <c r="K101" s="237">
        <f>73.94+0.34</f>
        <v>74.28</v>
      </c>
      <c r="L101" s="237">
        <f t="shared" si="7"/>
        <v>11391.33</v>
      </c>
      <c r="M101" s="237" t="s">
        <v>288</v>
      </c>
      <c r="N101" s="237" t="s">
        <v>288</v>
      </c>
      <c r="O101" s="237" t="s">
        <v>288</v>
      </c>
      <c r="P101" s="237" t="s">
        <v>288</v>
      </c>
      <c r="Q101" s="239" t="s">
        <v>557</v>
      </c>
    </row>
    <row r="102" spans="1:17" s="153" customFormat="1" ht="12.95" customHeight="1" x14ac:dyDescent="0.2">
      <c r="A102" s="99" t="s">
        <v>1150</v>
      </c>
      <c r="B102" s="533" t="s">
        <v>549</v>
      </c>
      <c r="C102" s="276">
        <v>1660.76</v>
      </c>
      <c r="D102" s="276">
        <v>1.61</v>
      </c>
      <c r="E102" s="276">
        <v>113.06</v>
      </c>
      <c r="F102" s="276">
        <v>5217.03</v>
      </c>
      <c r="G102" s="276">
        <v>2816.7</v>
      </c>
      <c r="H102" s="276">
        <v>1863.84</v>
      </c>
      <c r="I102" s="276">
        <v>1768.06</v>
      </c>
      <c r="J102" s="276">
        <v>548.51</v>
      </c>
      <c r="K102" s="276">
        <f>82.98+0.55</f>
        <v>83.53</v>
      </c>
      <c r="L102" s="276">
        <f t="shared" si="7"/>
        <v>14073.1</v>
      </c>
      <c r="M102" s="276" t="s">
        <v>288</v>
      </c>
      <c r="N102" s="276" t="s">
        <v>288</v>
      </c>
      <c r="O102" s="276" t="s">
        <v>288</v>
      </c>
      <c r="P102" s="276" t="s">
        <v>288</v>
      </c>
      <c r="Q102" s="303" t="s">
        <v>549</v>
      </c>
    </row>
    <row r="103" spans="1:17" s="153" customFormat="1" ht="12.95" customHeight="1" x14ac:dyDescent="0.2">
      <c r="A103" s="99" t="s">
        <v>1150</v>
      </c>
      <c r="B103" s="1263" t="s">
        <v>558</v>
      </c>
      <c r="C103" s="237">
        <v>1447.16</v>
      </c>
      <c r="D103" s="237">
        <v>1.45</v>
      </c>
      <c r="E103" s="237">
        <v>70.27</v>
      </c>
      <c r="F103" s="237">
        <v>5348.65</v>
      </c>
      <c r="G103" s="237">
        <v>2771.93</v>
      </c>
      <c r="H103" s="237">
        <v>1744.25</v>
      </c>
      <c r="I103" s="237">
        <v>1867.71</v>
      </c>
      <c r="J103" s="237">
        <v>549.19000000000005</v>
      </c>
      <c r="K103" s="237">
        <f>104.66+0.49</f>
        <v>105.14999999999999</v>
      </c>
      <c r="L103" s="237">
        <f t="shared" si="7"/>
        <v>13905.759999999998</v>
      </c>
      <c r="M103" s="237" t="s">
        <v>288</v>
      </c>
      <c r="N103" s="237" t="s">
        <v>288</v>
      </c>
      <c r="O103" s="237" t="s">
        <v>288</v>
      </c>
      <c r="P103" s="237" t="s">
        <v>288</v>
      </c>
      <c r="Q103" s="239" t="s">
        <v>558</v>
      </c>
    </row>
    <row r="104" spans="1:17" s="153" customFormat="1" ht="12.95" customHeight="1" x14ac:dyDescent="0.2">
      <c r="A104" s="99" t="s">
        <v>1150</v>
      </c>
      <c r="B104" s="533" t="s">
        <v>559</v>
      </c>
      <c r="C104" s="276">
        <v>1833.02</v>
      </c>
      <c r="D104" s="276">
        <v>0.96</v>
      </c>
      <c r="E104" s="276">
        <v>75.040000000000006</v>
      </c>
      <c r="F104" s="276">
        <v>4093.18</v>
      </c>
      <c r="G104" s="276">
        <v>3716.46</v>
      </c>
      <c r="H104" s="276">
        <v>1998.82</v>
      </c>
      <c r="I104" s="276">
        <v>1910.23</v>
      </c>
      <c r="J104" s="276">
        <v>594.97</v>
      </c>
      <c r="K104" s="276">
        <f>0.35+130.19</f>
        <v>130.54</v>
      </c>
      <c r="L104" s="276">
        <f t="shared" si="7"/>
        <v>14353.22</v>
      </c>
      <c r="M104" s="276" t="s">
        <v>288</v>
      </c>
      <c r="N104" s="276" t="s">
        <v>288</v>
      </c>
      <c r="O104" s="276" t="s">
        <v>288</v>
      </c>
      <c r="P104" s="276" t="s">
        <v>288</v>
      </c>
      <c r="Q104" s="303" t="s">
        <v>559</v>
      </c>
    </row>
    <row r="105" spans="1:17" s="153" customFormat="1" ht="12.95" customHeight="1" x14ac:dyDescent="0.2">
      <c r="A105" s="99" t="s">
        <v>1150</v>
      </c>
      <c r="B105" s="222" t="s">
        <v>550</v>
      </c>
      <c r="C105" s="237">
        <v>1862.41</v>
      </c>
      <c r="D105" s="237">
        <v>2.66</v>
      </c>
      <c r="E105" s="237">
        <v>48.36</v>
      </c>
      <c r="F105" s="237">
        <v>11389</v>
      </c>
      <c r="G105" s="237">
        <v>3876.16</v>
      </c>
      <c r="H105" s="237">
        <v>2142.67</v>
      </c>
      <c r="I105" s="237">
        <v>1821.75</v>
      </c>
      <c r="J105" s="237">
        <v>677.78</v>
      </c>
      <c r="K105" s="237">
        <f>0.48</f>
        <v>0.48</v>
      </c>
      <c r="L105" s="237">
        <f t="shared" si="7"/>
        <v>21821.27</v>
      </c>
      <c r="M105" s="237" t="s">
        <v>288</v>
      </c>
      <c r="N105" s="237" t="s">
        <v>288</v>
      </c>
      <c r="O105" s="237" t="s">
        <v>288</v>
      </c>
      <c r="P105" s="237" t="s">
        <v>288</v>
      </c>
      <c r="Q105" s="239" t="s">
        <v>550</v>
      </c>
    </row>
    <row r="106" spans="1:17" s="153" customFormat="1" ht="12.95" customHeight="1" x14ac:dyDescent="0.2">
      <c r="A106" s="99" t="s">
        <v>1174</v>
      </c>
      <c r="B106" s="533" t="s">
        <v>552</v>
      </c>
      <c r="C106" s="237">
        <v>1242.47</v>
      </c>
      <c r="D106" s="237">
        <v>2.15</v>
      </c>
      <c r="E106" s="237">
        <v>39.78</v>
      </c>
      <c r="F106" s="237">
        <v>2683.49</v>
      </c>
      <c r="G106" s="237">
        <v>2385.09</v>
      </c>
      <c r="H106" s="237">
        <v>1477.14</v>
      </c>
      <c r="I106" s="237">
        <v>1240.05</v>
      </c>
      <c r="J106" s="237">
        <v>449.74</v>
      </c>
      <c r="K106" s="237">
        <f>0.32+73.91</f>
        <v>74.22999999999999</v>
      </c>
      <c r="L106" s="237">
        <f t="shared" ref="L106:L117" si="8">SUM(C106:K106)</f>
        <v>9594.14</v>
      </c>
      <c r="M106" s="237">
        <v>15.82</v>
      </c>
      <c r="N106" s="237">
        <v>3.72</v>
      </c>
      <c r="O106" s="237">
        <v>17.239999999999998</v>
      </c>
      <c r="P106" s="237">
        <v>148.08000000000001</v>
      </c>
      <c r="Q106" s="239" t="s">
        <v>552</v>
      </c>
    </row>
    <row r="107" spans="1:17" s="153" customFormat="1" ht="12.95" customHeight="1" x14ac:dyDescent="0.2">
      <c r="A107" s="99" t="s">
        <v>1174</v>
      </c>
      <c r="B107" s="222" t="s">
        <v>553</v>
      </c>
      <c r="C107" s="276">
        <v>1737.32</v>
      </c>
      <c r="D107" s="276">
        <v>2.21</v>
      </c>
      <c r="E107" s="276">
        <v>50.58</v>
      </c>
      <c r="F107" s="276">
        <v>2861.17</v>
      </c>
      <c r="G107" s="276">
        <v>3011.15</v>
      </c>
      <c r="H107" s="276">
        <v>2063.2600000000002</v>
      </c>
      <c r="I107" s="276">
        <v>1910.81</v>
      </c>
      <c r="J107" s="276">
        <v>708.46</v>
      </c>
      <c r="K107" s="276">
        <f>0.2+82.31</f>
        <v>82.51</v>
      </c>
      <c r="L107" s="276">
        <f t="shared" si="8"/>
        <v>12427.47</v>
      </c>
      <c r="M107" s="276">
        <v>31.75</v>
      </c>
      <c r="N107" s="276">
        <v>8.23</v>
      </c>
      <c r="O107" s="276">
        <v>25.87</v>
      </c>
      <c r="P107" s="276">
        <v>202.65</v>
      </c>
      <c r="Q107" s="303" t="s">
        <v>553</v>
      </c>
    </row>
    <row r="108" spans="1:17" s="153" customFormat="1" ht="12.95" customHeight="1" x14ac:dyDescent="0.2">
      <c r="A108" s="99" t="s">
        <v>1174</v>
      </c>
      <c r="B108" s="533" t="s">
        <v>547</v>
      </c>
      <c r="C108" s="237">
        <v>1443.81</v>
      </c>
      <c r="D108" s="237">
        <v>0.47</v>
      </c>
      <c r="E108" s="237">
        <v>54.09</v>
      </c>
      <c r="F108" s="237">
        <v>5146.28</v>
      </c>
      <c r="G108" s="237">
        <v>3184.16</v>
      </c>
      <c r="H108" s="237">
        <v>1814.92</v>
      </c>
      <c r="I108" s="237">
        <v>2172.56</v>
      </c>
      <c r="J108" s="237">
        <v>491.84</v>
      </c>
      <c r="K108" s="237">
        <f>0.18+105.61</f>
        <v>105.79</v>
      </c>
      <c r="L108" s="237">
        <f t="shared" si="8"/>
        <v>14413.92</v>
      </c>
      <c r="M108" s="237">
        <v>29.23</v>
      </c>
      <c r="N108" s="237">
        <v>4.8600000000000003</v>
      </c>
      <c r="O108" s="237">
        <v>21.66</v>
      </c>
      <c r="P108" s="237">
        <v>181.13</v>
      </c>
      <c r="Q108" s="239" t="s">
        <v>547</v>
      </c>
    </row>
    <row r="109" spans="1:17" s="153" customFormat="1" ht="12.95" customHeight="1" x14ac:dyDescent="0.2">
      <c r="A109" s="99" t="s">
        <v>1174</v>
      </c>
      <c r="B109" s="222" t="s">
        <v>554</v>
      </c>
      <c r="C109" s="276">
        <v>1567.22</v>
      </c>
      <c r="D109" s="276">
        <v>4.2699999999999996</v>
      </c>
      <c r="E109" s="276">
        <v>53.88</v>
      </c>
      <c r="F109" s="276">
        <v>3652.38</v>
      </c>
      <c r="G109" s="276">
        <v>3321.61</v>
      </c>
      <c r="H109" s="276">
        <v>1943.09</v>
      </c>
      <c r="I109" s="276">
        <v>2159.1799999999998</v>
      </c>
      <c r="J109" s="276">
        <v>586.49</v>
      </c>
      <c r="K109" s="276">
        <f>0.26+92.77</f>
        <v>93.03</v>
      </c>
      <c r="L109" s="276">
        <f t="shared" si="8"/>
        <v>13381.150000000001</v>
      </c>
      <c r="M109" s="276">
        <v>36.86</v>
      </c>
      <c r="N109" s="276">
        <v>7.51</v>
      </c>
      <c r="O109" s="276">
        <v>23.06</v>
      </c>
      <c r="P109" s="276">
        <v>180.26</v>
      </c>
      <c r="Q109" s="303" t="s">
        <v>554</v>
      </c>
    </row>
    <row r="110" spans="1:17" s="153" customFormat="1" ht="12.95" customHeight="1" x14ac:dyDescent="0.2">
      <c r="A110" s="99" t="s">
        <v>1174</v>
      </c>
      <c r="B110" s="533" t="s">
        <v>555</v>
      </c>
      <c r="C110" s="237">
        <v>1779.09</v>
      </c>
      <c r="D110" s="237">
        <v>3.07</v>
      </c>
      <c r="E110" s="237">
        <v>61.96</v>
      </c>
      <c r="F110" s="237">
        <v>3929.55</v>
      </c>
      <c r="G110" s="237">
        <v>3296.48</v>
      </c>
      <c r="H110" s="237">
        <v>2213.39</v>
      </c>
      <c r="I110" s="237">
        <v>2006.05</v>
      </c>
      <c r="J110" s="237">
        <v>658.68</v>
      </c>
      <c r="K110" s="237">
        <f>0.19+97.52</f>
        <v>97.71</v>
      </c>
      <c r="L110" s="237">
        <f t="shared" si="8"/>
        <v>14045.979999999998</v>
      </c>
      <c r="M110" s="237">
        <v>47.9</v>
      </c>
      <c r="N110" s="237">
        <v>8.52</v>
      </c>
      <c r="O110" s="237">
        <v>23.41</v>
      </c>
      <c r="P110" s="237">
        <v>178.94</v>
      </c>
      <c r="Q110" s="239" t="s">
        <v>555</v>
      </c>
    </row>
    <row r="111" spans="1:17" s="153" customFormat="1" ht="12.95" customHeight="1" x14ac:dyDescent="0.2">
      <c r="A111" s="99" t="s">
        <v>1174</v>
      </c>
      <c r="B111" s="222" t="s">
        <v>548</v>
      </c>
      <c r="C111" s="276">
        <v>1921.88</v>
      </c>
      <c r="D111" s="276">
        <v>3.26</v>
      </c>
      <c r="E111" s="276">
        <v>596.08000000000004</v>
      </c>
      <c r="F111" s="276">
        <v>5939.36</v>
      </c>
      <c r="G111" s="276">
        <v>3378.93</v>
      </c>
      <c r="H111" s="276">
        <v>2249.59</v>
      </c>
      <c r="I111" s="276">
        <v>1582.36</v>
      </c>
      <c r="J111" s="276">
        <v>569.57000000000005</v>
      </c>
      <c r="K111" s="276">
        <f>0.21+93.47</f>
        <v>93.679999999999993</v>
      </c>
      <c r="L111" s="276">
        <f t="shared" si="8"/>
        <v>16334.710000000001</v>
      </c>
      <c r="M111" s="276">
        <v>45.52</v>
      </c>
      <c r="N111" s="276">
        <v>8.14</v>
      </c>
      <c r="O111" s="276">
        <v>18.39</v>
      </c>
      <c r="P111" s="276">
        <v>368.22</v>
      </c>
      <c r="Q111" s="303" t="s">
        <v>548</v>
      </c>
    </row>
    <row r="112" spans="1:17" s="153" customFormat="1" ht="12.95" customHeight="1" x14ac:dyDescent="0.2">
      <c r="A112" s="99" t="s">
        <v>1174</v>
      </c>
      <c r="B112" s="533" t="s">
        <v>556</v>
      </c>
      <c r="C112" s="237">
        <v>2085.41</v>
      </c>
      <c r="D112" s="237">
        <v>0.8</v>
      </c>
      <c r="E112" s="237">
        <v>391.26</v>
      </c>
      <c r="F112" s="237">
        <v>4275.72</v>
      </c>
      <c r="G112" s="237">
        <v>3489</v>
      </c>
      <c r="H112" s="237">
        <v>2425.39</v>
      </c>
      <c r="I112" s="237">
        <v>2177.96</v>
      </c>
      <c r="J112" s="237">
        <v>653.76</v>
      </c>
      <c r="K112" s="237">
        <f>0.22+92.88</f>
        <v>93.1</v>
      </c>
      <c r="L112" s="237">
        <f t="shared" si="8"/>
        <v>15592.400000000001</v>
      </c>
      <c r="M112" s="237">
        <v>42.32</v>
      </c>
      <c r="N112" s="237">
        <v>8.5299999999999994</v>
      </c>
      <c r="O112" s="237">
        <v>26.22</v>
      </c>
      <c r="P112" s="237">
        <v>183.41</v>
      </c>
      <c r="Q112" s="239" t="s">
        <v>556</v>
      </c>
    </row>
    <row r="113" spans="1:17" s="153" customFormat="1" ht="12.95" customHeight="1" x14ac:dyDescent="0.2">
      <c r="A113" s="99" t="s">
        <v>1174</v>
      </c>
      <c r="B113" s="1263" t="s">
        <v>557</v>
      </c>
      <c r="C113" s="276">
        <v>1711.09</v>
      </c>
      <c r="D113" s="276">
        <v>1.02</v>
      </c>
      <c r="E113" s="276">
        <v>232.9</v>
      </c>
      <c r="F113" s="276">
        <v>3744.71</v>
      </c>
      <c r="G113" s="276">
        <v>3116.34</v>
      </c>
      <c r="H113" s="276">
        <v>2134.8000000000002</v>
      </c>
      <c r="I113" s="276">
        <v>1777.51</v>
      </c>
      <c r="J113" s="276">
        <v>671.71</v>
      </c>
      <c r="K113" s="276">
        <f>0.21+86.93</f>
        <v>87.14</v>
      </c>
      <c r="L113" s="276">
        <f t="shared" si="8"/>
        <v>13477.220000000001</v>
      </c>
      <c r="M113" s="276">
        <v>40.26</v>
      </c>
      <c r="N113" s="276">
        <v>9.86</v>
      </c>
      <c r="O113" s="276">
        <v>22.36</v>
      </c>
      <c r="P113" s="276">
        <v>172.69</v>
      </c>
      <c r="Q113" s="303" t="s">
        <v>557</v>
      </c>
    </row>
    <row r="114" spans="1:17" s="153" customFormat="1" ht="12.95" customHeight="1" x14ac:dyDescent="0.2">
      <c r="A114" s="99" t="s">
        <v>1174</v>
      </c>
      <c r="B114" s="533" t="s">
        <v>549</v>
      </c>
      <c r="C114" s="237">
        <v>1869.65</v>
      </c>
      <c r="D114" s="237">
        <v>2.59</v>
      </c>
      <c r="E114" s="237">
        <v>140.44999999999999</v>
      </c>
      <c r="F114" s="237">
        <v>6258.52</v>
      </c>
      <c r="G114" s="237">
        <v>3592.23</v>
      </c>
      <c r="H114" s="237">
        <v>2354.3000000000002</v>
      </c>
      <c r="I114" s="237">
        <v>2325.71</v>
      </c>
      <c r="J114" s="237">
        <v>708.79</v>
      </c>
      <c r="K114" s="237">
        <f>0.21+75.29</f>
        <v>75.5</v>
      </c>
      <c r="L114" s="237">
        <f t="shared" si="8"/>
        <v>17327.740000000002</v>
      </c>
      <c r="M114" s="237">
        <v>52.5</v>
      </c>
      <c r="N114" s="237">
        <v>12</v>
      </c>
      <c r="O114" s="237">
        <v>25.43</v>
      </c>
      <c r="P114" s="237">
        <v>243.9</v>
      </c>
      <c r="Q114" s="239" t="s">
        <v>549</v>
      </c>
    </row>
    <row r="115" spans="1:17" s="153" customFormat="1" ht="12.95" customHeight="1" x14ac:dyDescent="0.2">
      <c r="A115" s="99" t="s">
        <v>1174</v>
      </c>
      <c r="B115" s="1263" t="s">
        <v>558</v>
      </c>
      <c r="C115" s="276">
        <v>1901.29</v>
      </c>
      <c r="D115" s="276">
        <v>0.86</v>
      </c>
      <c r="E115" s="276">
        <v>67.349999999999994</v>
      </c>
      <c r="F115" s="276">
        <v>5153.29</v>
      </c>
      <c r="G115" s="276">
        <v>3559.56</v>
      </c>
      <c r="H115" s="276">
        <v>2341.73</v>
      </c>
      <c r="I115" s="276">
        <v>2344.94</v>
      </c>
      <c r="J115" s="276">
        <v>723.71</v>
      </c>
      <c r="K115" s="276">
        <f>0.11+71.23</f>
        <v>71.34</v>
      </c>
      <c r="L115" s="276">
        <f t="shared" si="8"/>
        <v>16164.07</v>
      </c>
      <c r="M115" s="276">
        <v>61.2</v>
      </c>
      <c r="N115" s="276">
        <v>9.7799999999999994</v>
      </c>
      <c r="O115" s="276">
        <v>25.17</v>
      </c>
      <c r="P115" s="276">
        <v>217.91</v>
      </c>
      <c r="Q115" s="303" t="s">
        <v>558</v>
      </c>
    </row>
    <row r="116" spans="1:17" s="153" customFormat="1" ht="12.95" customHeight="1" x14ac:dyDescent="0.2">
      <c r="A116" s="99" t="s">
        <v>1174</v>
      </c>
      <c r="B116" s="533" t="s">
        <v>559</v>
      </c>
      <c r="C116" s="237">
        <v>1992.71</v>
      </c>
      <c r="D116" s="237">
        <v>0.56999999999999995</v>
      </c>
      <c r="E116" s="237">
        <v>58.68</v>
      </c>
      <c r="F116" s="237">
        <v>4611.41</v>
      </c>
      <c r="G116" s="237">
        <v>3492.32</v>
      </c>
      <c r="H116" s="237">
        <v>2515.2800000000002</v>
      </c>
      <c r="I116" s="237">
        <v>2416.4299999999998</v>
      </c>
      <c r="J116" s="237">
        <v>780.63</v>
      </c>
      <c r="K116" s="237">
        <f>0.19+68.51</f>
        <v>68.7</v>
      </c>
      <c r="L116" s="237">
        <f t="shared" si="8"/>
        <v>15936.730000000001</v>
      </c>
      <c r="M116" s="237">
        <v>68.343999999999994</v>
      </c>
      <c r="N116" s="237">
        <v>7.86</v>
      </c>
      <c r="O116" s="237">
        <v>25.78</v>
      </c>
      <c r="P116" s="237">
        <v>194.79</v>
      </c>
      <c r="Q116" s="195" t="s">
        <v>559</v>
      </c>
    </row>
    <row r="117" spans="1:17" s="153" customFormat="1" ht="12.95" customHeight="1" x14ac:dyDescent="0.2">
      <c r="A117" s="99" t="s">
        <v>1174</v>
      </c>
      <c r="B117" s="222" t="s">
        <v>550</v>
      </c>
      <c r="C117" s="276">
        <v>1890.97</v>
      </c>
      <c r="D117" s="276">
        <v>1.41</v>
      </c>
      <c r="E117" s="276">
        <v>69.84</v>
      </c>
      <c r="F117" s="276">
        <v>14473.36</v>
      </c>
      <c r="G117" s="276">
        <v>4822.62</v>
      </c>
      <c r="H117" s="276">
        <v>2020.73</v>
      </c>
      <c r="I117" s="276">
        <v>2308.9499999999998</v>
      </c>
      <c r="J117" s="276">
        <v>607.89</v>
      </c>
      <c r="K117" s="276">
        <f>0.3+113.05</f>
        <v>113.35</v>
      </c>
      <c r="L117" s="276">
        <f t="shared" si="8"/>
        <v>26309.119999999999</v>
      </c>
      <c r="M117" s="276">
        <v>1212.3499999999999</v>
      </c>
      <c r="N117" s="276">
        <v>11.29</v>
      </c>
      <c r="O117" s="276">
        <v>119.56</v>
      </c>
      <c r="P117" s="276">
        <v>198.81</v>
      </c>
      <c r="Q117" s="286" t="s">
        <v>550</v>
      </c>
    </row>
    <row r="118" spans="1:17" s="153" customFormat="1" ht="12.95" customHeight="1" x14ac:dyDescent="0.2">
      <c r="A118" s="99" t="s">
        <v>1296</v>
      </c>
      <c r="B118" s="533" t="s">
        <v>552</v>
      </c>
      <c r="C118" s="276">
        <v>1908.89</v>
      </c>
      <c r="D118" s="276">
        <v>3.95</v>
      </c>
      <c r="E118" s="276">
        <v>58.56</v>
      </c>
      <c r="F118" s="276">
        <v>2991.95</v>
      </c>
      <c r="G118" s="276">
        <v>3610.21</v>
      </c>
      <c r="H118" s="276">
        <v>2196.31</v>
      </c>
      <c r="I118" s="276">
        <v>1705.32</v>
      </c>
      <c r="J118" s="276">
        <v>667.85</v>
      </c>
      <c r="K118" s="276">
        <f>0.12+82.49</f>
        <v>82.61</v>
      </c>
      <c r="L118" s="276">
        <f t="shared" ref="L118:L141" si="9">SUM(C118:K118)</f>
        <v>13225.650000000001</v>
      </c>
      <c r="M118" s="276">
        <v>36.81</v>
      </c>
      <c r="N118" s="276">
        <v>4.97</v>
      </c>
      <c r="O118" s="276">
        <v>24.67</v>
      </c>
      <c r="P118" s="276">
        <v>196.81</v>
      </c>
      <c r="Q118" s="286" t="s">
        <v>552</v>
      </c>
    </row>
    <row r="119" spans="1:17" s="153" customFormat="1" ht="12.95" customHeight="1" x14ac:dyDescent="0.2">
      <c r="A119" s="99" t="s">
        <v>1296</v>
      </c>
      <c r="B119" s="222" t="s">
        <v>553</v>
      </c>
      <c r="C119" s="237">
        <v>2071.38</v>
      </c>
      <c r="D119" s="237">
        <v>3.39</v>
      </c>
      <c r="E119" s="237">
        <v>77.87</v>
      </c>
      <c r="F119" s="237">
        <v>3516.74</v>
      </c>
      <c r="G119" s="237">
        <v>3605.58</v>
      </c>
      <c r="H119" s="237">
        <v>2369.59</v>
      </c>
      <c r="I119" s="237">
        <v>2193.65</v>
      </c>
      <c r="J119" s="237">
        <v>723.6</v>
      </c>
      <c r="K119" s="237">
        <f>0.11+88.57</f>
        <v>88.679999999999993</v>
      </c>
      <c r="L119" s="237">
        <f t="shared" si="9"/>
        <v>14650.48</v>
      </c>
      <c r="M119" s="237">
        <v>41.19</v>
      </c>
      <c r="N119" s="237">
        <v>5.31</v>
      </c>
      <c r="O119" s="237">
        <v>23.85</v>
      </c>
      <c r="P119" s="237">
        <v>190.91</v>
      </c>
      <c r="Q119" s="195" t="s">
        <v>553</v>
      </c>
    </row>
    <row r="120" spans="1:17" s="153" customFormat="1" ht="12.95" customHeight="1" x14ac:dyDescent="0.2">
      <c r="A120" s="99" t="s">
        <v>1296</v>
      </c>
      <c r="B120" s="533" t="s">
        <v>547</v>
      </c>
      <c r="C120" s="276">
        <v>1649.4</v>
      </c>
      <c r="D120" s="276">
        <v>1.18</v>
      </c>
      <c r="E120" s="276">
        <v>81.47</v>
      </c>
      <c r="F120" s="276">
        <v>5066.8100000000004</v>
      </c>
      <c r="G120" s="276">
        <v>3551.11</v>
      </c>
      <c r="H120" s="276">
        <v>1908.62</v>
      </c>
      <c r="I120" s="276">
        <v>2880.52</v>
      </c>
      <c r="J120" s="276">
        <v>520.96</v>
      </c>
      <c r="K120" s="276">
        <f>0.22+91.86</f>
        <v>92.08</v>
      </c>
      <c r="L120" s="276">
        <f t="shared" si="9"/>
        <v>15752.15</v>
      </c>
      <c r="M120" s="276">
        <v>45.05</v>
      </c>
      <c r="N120" s="276">
        <v>5.83</v>
      </c>
      <c r="O120" s="276">
        <v>22.11</v>
      </c>
      <c r="P120" s="276">
        <v>181.73</v>
      </c>
      <c r="Q120" s="286" t="s">
        <v>547</v>
      </c>
    </row>
    <row r="121" spans="1:17" s="153" customFormat="1" ht="12.95" customHeight="1" x14ac:dyDescent="0.2">
      <c r="A121" s="99" t="s">
        <v>1296</v>
      </c>
      <c r="B121" s="222" t="s">
        <v>554</v>
      </c>
      <c r="C121" s="237">
        <v>1959.98</v>
      </c>
      <c r="D121" s="237">
        <v>5.34</v>
      </c>
      <c r="E121" s="237">
        <v>85.49</v>
      </c>
      <c r="F121" s="237">
        <v>3760.28</v>
      </c>
      <c r="G121" s="237">
        <v>3746.86</v>
      </c>
      <c r="H121" s="237">
        <v>2307.4299999999998</v>
      </c>
      <c r="I121" s="237">
        <v>2334.23</v>
      </c>
      <c r="J121" s="237">
        <v>655.49</v>
      </c>
      <c r="K121" s="237">
        <f>1.02+90.47</f>
        <v>91.49</v>
      </c>
      <c r="L121" s="237">
        <f t="shared" si="9"/>
        <v>14946.59</v>
      </c>
      <c r="M121" s="237">
        <v>32.619999999999997</v>
      </c>
      <c r="N121" s="237">
        <v>8.17</v>
      </c>
      <c r="O121" s="237">
        <v>26.88</v>
      </c>
      <c r="P121" s="237">
        <v>217.95</v>
      </c>
      <c r="Q121" s="195" t="s">
        <v>554</v>
      </c>
    </row>
    <row r="122" spans="1:17" s="153" customFormat="1" ht="12.95" customHeight="1" x14ac:dyDescent="0.2">
      <c r="A122" s="99" t="s">
        <v>1296</v>
      </c>
      <c r="B122" s="533" t="s">
        <v>555</v>
      </c>
      <c r="C122" s="276">
        <v>2240.69</v>
      </c>
      <c r="D122" s="276">
        <v>6.7</v>
      </c>
      <c r="E122" s="276">
        <v>77.33</v>
      </c>
      <c r="F122" s="276">
        <v>4043.55</v>
      </c>
      <c r="G122" s="276">
        <v>3751.31</v>
      </c>
      <c r="H122" s="276">
        <v>2646.07</v>
      </c>
      <c r="I122" s="276">
        <v>2212.17</v>
      </c>
      <c r="J122" s="276">
        <v>761.74</v>
      </c>
      <c r="K122" s="276">
        <f>0.12+99.63</f>
        <v>99.75</v>
      </c>
      <c r="L122" s="276">
        <f t="shared" si="9"/>
        <v>15839.31</v>
      </c>
      <c r="M122" s="276">
        <v>44.86</v>
      </c>
      <c r="N122" s="276">
        <v>8.9600000000000009</v>
      </c>
      <c r="O122" s="276">
        <v>22.51</v>
      </c>
      <c r="P122" s="276">
        <v>244.1</v>
      </c>
      <c r="Q122" s="286" t="s">
        <v>555</v>
      </c>
    </row>
    <row r="123" spans="1:17" s="153" customFormat="1" ht="12.95" customHeight="1" x14ac:dyDescent="0.2">
      <c r="A123" s="99" t="s">
        <v>1296</v>
      </c>
      <c r="B123" s="222" t="s">
        <v>548</v>
      </c>
      <c r="C123" s="237">
        <v>2076.2600000000002</v>
      </c>
      <c r="D123" s="237">
        <v>2.4500000000000002</v>
      </c>
      <c r="E123" s="237">
        <v>648.1</v>
      </c>
      <c r="F123" s="237">
        <v>5992.45</v>
      </c>
      <c r="G123" s="237">
        <v>3679.48</v>
      </c>
      <c r="H123" s="237">
        <v>2437.21</v>
      </c>
      <c r="I123" s="237">
        <v>2229.6</v>
      </c>
      <c r="J123" s="237">
        <v>587.77</v>
      </c>
      <c r="K123" s="237">
        <f>0.19+95.32</f>
        <v>95.509999999999991</v>
      </c>
      <c r="L123" s="237">
        <f t="shared" si="9"/>
        <v>17748.829999999998</v>
      </c>
      <c r="M123" s="237">
        <v>42.6</v>
      </c>
      <c r="N123" s="237">
        <v>8.65</v>
      </c>
      <c r="O123" s="237">
        <v>24.18</v>
      </c>
      <c r="P123" s="237">
        <v>213.37</v>
      </c>
      <c r="Q123" s="195" t="s">
        <v>548</v>
      </c>
    </row>
    <row r="124" spans="1:17" s="153" customFormat="1" ht="12.95" customHeight="1" x14ac:dyDescent="0.2">
      <c r="A124" s="99" t="s">
        <v>1296</v>
      </c>
      <c r="B124" s="533" t="s">
        <v>556</v>
      </c>
      <c r="C124" s="276">
        <v>2202.48</v>
      </c>
      <c r="D124" s="276">
        <v>3.41</v>
      </c>
      <c r="E124" s="276">
        <v>346.43</v>
      </c>
      <c r="F124" s="276">
        <v>4569.3100000000004</v>
      </c>
      <c r="G124" s="276">
        <v>3868.62</v>
      </c>
      <c r="H124" s="276">
        <v>2673.98</v>
      </c>
      <c r="I124" s="276">
        <v>2462.08</v>
      </c>
      <c r="J124" s="276">
        <v>705.31</v>
      </c>
      <c r="K124" s="276">
        <f>0.15+98.59</f>
        <v>98.740000000000009</v>
      </c>
      <c r="L124" s="276">
        <f t="shared" si="9"/>
        <v>16930.36</v>
      </c>
      <c r="M124" s="276">
        <v>43.05</v>
      </c>
      <c r="N124" s="276">
        <v>12.32</v>
      </c>
      <c r="O124" s="276">
        <v>27.97</v>
      </c>
      <c r="P124" s="276">
        <v>285.61</v>
      </c>
      <c r="Q124" s="286" t="s">
        <v>556</v>
      </c>
    </row>
    <row r="125" spans="1:17" s="153" customFormat="1" ht="12.95" customHeight="1" x14ac:dyDescent="0.2">
      <c r="A125" s="99" t="s">
        <v>1296</v>
      </c>
      <c r="B125" s="1263" t="s">
        <v>557</v>
      </c>
      <c r="C125" s="237">
        <v>1868.15</v>
      </c>
      <c r="D125" s="237">
        <v>2.87</v>
      </c>
      <c r="E125" s="237">
        <v>294.64</v>
      </c>
      <c r="F125" s="237">
        <v>4031.53</v>
      </c>
      <c r="G125" s="237">
        <v>3928.25</v>
      </c>
      <c r="H125" s="237">
        <v>2308.77</v>
      </c>
      <c r="I125" s="237">
        <v>2434.81</v>
      </c>
      <c r="J125" s="237">
        <v>652.54999999999995</v>
      </c>
      <c r="K125" s="237">
        <f>0.14+92.51</f>
        <v>92.65</v>
      </c>
      <c r="L125" s="237">
        <f t="shared" si="9"/>
        <v>15614.22</v>
      </c>
      <c r="M125" s="237">
        <v>48.19</v>
      </c>
      <c r="N125" s="237">
        <v>10.69</v>
      </c>
      <c r="O125" s="237">
        <v>28.3</v>
      </c>
      <c r="P125" s="237">
        <v>232.57</v>
      </c>
      <c r="Q125" s="195" t="s">
        <v>557</v>
      </c>
    </row>
    <row r="126" spans="1:17" s="153" customFormat="1" ht="12.95" customHeight="1" x14ac:dyDescent="0.2">
      <c r="A126" s="99" t="s">
        <v>1296</v>
      </c>
      <c r="B126" s="533" t="s">
        <v>549</v>
      </c>
      <c r="C126" s="276">
        <v>2084.89</v>
      </c>
      <c r="D126" s="276">
        <v>1.52</v>
      </c>
      <c r="E126" s="276">
        <v>148.84</v>
      </c>
      <c r="F126" s="276">
        <v>6527.61</v>
      </c>
      <c r="G126" s="276">
        <v>3775.74</v>
      </c>
      <c r="H126" s="276">
        <v>2580.4899999999998</v>
      </c>
      <c r="I126" s="276">
        <v>2689.22</v>
      </c>
      <c r="J126" s="276">
        <v>670.76</v>
      </c>
      <c r="K126" s="276">
        <f>0.19+90.42</f>
        <v>90.61</v>
      </c>
      <c r="L126" s="276">
        <f t="shared" si="9"/>
        <v>18569.68</v>
      </c>
      <c r="M126" s="276">
        <v>53.02</v>
      </c>
      <c r="N126" s="276">
        <v>11.28</v>
      </c>
      <c r="O126" s="276">
        <v>23.61</v>
      </c>
      <c r="P126" s="276">
        <v>250.91</v>
      </c>
      <c r="Q126" s="286" t="s">
        <v>549</v>
      </c>
    </row>
    <row r="127" spans="1:17" s="153" customFormat="1" ht="12.95" customHeight="1" x14ac:dyDescent="0.2">
      <c r="A127" s="99" t="s">
        <v>1296</v>
      </c>
      <c r="B127" s="1263" t="s">
        <v>558</v>
      </c>
      <c r="C127" s="237">
        <v>2226.79</v>
      </c>
      <c r="D127" s="237">
        <v>2.3199999999999998</v>
      </c>
      <c r="E127" s="237">
        <v>103.91</v>
      </c>
      <c r="F127" s="237">
        <v>4859.96</v>
      </c>
      <c r="G127" s="237">
        <v>4180.97</v>
      </c>
      <c r="H127" s="237">
        <v>2815.44</v>
      </c>
      <c r="I127" s="237">
        <v>3332.71</v>
      </c>
      <c r="J127" s="237">
        <v>669.45</v>
      </c>
      <c r="K127" s="237">
        <f>0.17+94.53</f>
        <v>94.7</v>
      </c>
      <c r="L127" s="237">
        <f t="shared" si="9"/>
        <v>18286.250000000004</v>
      </c>
      <c r="M127" s="237">
        <v>69.7</v>
      </c>
      <c r="N127" s="237">
        <v>8.75</v>
      </c>
      <c r="O127" s="237">
        <v>27.06</v>
      </c>
      <c r="P127" s="237">
        <v>193.37</v>
      </c>
      <c r="Q127" s="195" t="s">
        <v>558</v>
      </c>
    </row>
    <row r="128" spans="1:17" s="153" customFormat="1" ht="12.95" customHeight="1" x14ac:dyDescent="0.2">
      <c r="A128" s="99" t="s">
        <v>1296</v>
      </c>
      <c r="B128" s="533" t="s">
        <v>559</v>
      </c>
      <c r="C128" s="276">
        <v>2189.69</v>
      </c>
      <c r="D128" s="276">
        <v>1.17</v>
      </c>
      <c r="E128" s="276">
        <v>91.48</v>
      </c>
      <c r="F128" s="276">
        <v>5084.7700000000004</v>
      </c>
      <c r="G128" s="276">
        <v>4038.56</v>
      </c>
      <c r="H128" s="276">
        <v>2810.89</v>
      </c>
      <c r="I128" s="276">
        <v>2901.81</v>
      </c>
      <c r="J128" s="276">
        <v>704.91</v>
      </c>
      <c r="K128" s="276">
        <f>0.16+84.54</f>
        <v>84.7</v>
      </c>
      <c r="L128" s="276">
        <f t="shared" si="9"/>
        <v>17907.98</v>
      </c>
      <c r="M128" s="276">
        <v>54.73</v>
      </c>
      <c r="N128" s="276">
        <v>9.2899999999999991</v>
      </c>
      <c r="O128" s="276">
        <v>26.99</v>
      </c>
      <c r="P128" s="276">
        <v>376.02</v>
      </c>
      <c r="Q128" s="286" t="s">
        <v>559</v>
      </c>
    </row>
    <row r="129" spans="1:17" s="153" customFormat="1" ht="12.95" customHeight="1" x14ac:dyDescent="0.2">
      <c r="A129" s="99" t="s">
        <v>1296</v>
      </c>
      <c r="B129" s="222" t="s">
        <v>550</v>
      </c>
      <c r="C129" s="237">
        <v>2023.52</v>
      </c>
      <c r="D129" s="237">
        <v>1.47</v>
      </c>
      <c r="E129" s="237">
        <v>66.22</v>
      </c>
      <c r="F129" s="237">
        <v>14103.3</v>
      </c>
      <c r="G129" s="237">
        <v>5435.11</v>
      </c>
      <c r="H129" s="237">
        <v>2312.96</v>
      </c>
      <c r="I129" s="237">
        <v>2263.0300000000002</v>
      </c>
      <c r="J129" s="237">
        <v>591.84</v>
      </c>
      <c r="K129" s="237">
        <f>0.3+138</f>
        <v>138.30000000000001</v>
      </c>
      <c r="L129" s="237">
        <f t="shared" si="9"/>
        <v>26935.749999999996</v>
      </c>
      <c r="M129" s="237">
        <v>38.299999999999997</v>
      </c>
      <c r="N129" s="237">
        <v>5.83</v>
      </c>
      <c r="O129" s="237">
        <v>126.79</v>
      </c>
      <c r="P129" s="237">
        <v>173.64</v>
      </c>
      <c r="Q129" s="195" t="s">
        <v>550</v>
      </c>
    </row>
    <row r="130" spans="1:17" s="153" customFormat="1" ht="12.95" customHeight="1" x14ac:dyDescent="0.2">
      <c r="A130" s="99" t="s">
        <v>1404</v>
      </c>
      <c r="B130" s="533" t="s">
        <v>552</v>
      </c>
      <c r="C130" s="237">
        <v>1941.13</v>
      </c>
      <c r="D130" s="237">
        <v>5.01</v>
      </c>
      <c r="E130" s="237">
        <v>88.01</v>
      </c>
      <c r="F130" s="237">
        <v>3802.39</v>
      </c>
      <c r="G130" s="237">
        <v>3438.24</v>
      </c>
      <c r="H130" s="237">
        <v>2297.52</v>
      </c>
      <c r="I130" s="237">
        <v>1416.13</v>
      </c>
      <c r="J130" s="237">
        <v>604.35</v>
      </c>
      <c r="K130" s="237">
        <v>119.82000000000001</v>
      </c>
      <c r="L130" s="237">
        <f t="shared" si="9"/>
        <v>13712.6</v>
      </c>
      <c r="M130" s="237">
        <v>35.68</v>
      </c>
      <c r="N130" s="237">
        <v>6.01</v>
      </c>
      <c r="O130" s="237">
        <v>25.84</v>
      </c>
      <c r="P130" s="237">
        <v>211.18</v>
      </c>
      <c r="Q130" s="195" t="s">
        <v>552</v>
      </c>
    </row>
    <row r="131" spans="1:17" s="153" customFormat="1" ht="12.95" customHeight="1" x14ac:dyDescent="0.2">
      <c r="A131" s="99" t="s">
        <v>1404</v>
      </c>
      <c r="B131" s="222" t="s">
        <v>553</v>
      </c>
      <c r="C131" s="276">
        <v>1817.61</v>
      </c>
      <c r="D131" s="276">
        <v>4.32</v>
      </c>
      <c r="E131" s="276">
        <v>106.83</v>
      </c>
      <c r="F131" s="276">
        <v>3851.75</v>
      </c>
      <c r="G131" s="276">
        <v>3633.28</v>
      </c>
      <c r="H131" s="276">
        <v>2459.38</v>
      </c>
      <c r="I131" s="276">
        <v>2403.86</v>
      </c>
      <c r="J131" s="276">
        <v>584.32000000000005</v>
      </c>
      <c r="K131" s="276">
        <v>87.17</v>
      </c>
      <c r="L131" s="276">
        <f t="shared" si="9"/>
        <v>14948.520000000002</v>
      </c>
      <c r="M131" s="276">
        <v>31.46</v>
      </c>
      <c r="N131" s="276">
        <v>6.01</v>
      </c>
      <c r="O131" s="276">
        <v>24.11</v>
      </c>
      <c r="P131" s="276">
        <v>287.58</v>
      </c>
      <c r="Q131" s="286" t="s">
        <v>553</v>
      </c>
    </row>
    <row r="132" spans="1:17" s="153" customFormat="1" ht="12.95" customHeight="1" x14ac:dyDescent="0.2">
      <c r="A132" s="99" t="s">
        <v>1404</v>
      </c>
      <c r="B132" s="533" t="s">
        <v>547</v>
      </c>
      <c r="C132" s="237">
        <v>2132.86</v>
      </c>
      <c r="D132" s="237">
        <v>6.1</v>
      </c>
      <c r="E132" s="237">
        <v>95.7</v>
      </c>
      <c r="F132" s="237">
        <v>5559.25</v>
      </c>
      <c r="G132" s="237">
        <v>3984.08</v>
      </c>
      <c r="H132" s="237">
        <v>2585.21</v>
      </c>
      <c r="I132" s="237">
        <v>2358.2800000000002</v>
      </c>
      <c r="J132" s="237">
        <v>709.18</v>
      </c>
      <c r="K132" s="237">
        <v>88.63</v>
      </c>
      <c r="L132" s="237">
        <f t="shared" si="9"/>
        <v>17519.29</v>
      </c>
      <c r="M132" s="237">
        <v>44.48</v>
      </c>
      <c r="N132" s="237">
        <v>6</v>
      </c>
      <c r="O132" s="237">
        <v>29.71</v>
      </c>
      <c r="P132" s="237">
        <v>275.51</v>
      </c>
      <c r="Q132" s="195" t="s">
        <v>547</v>
      </c>
    </row>
    <row r="133" spans="1:17" s="153" customFormat="1" ht="12.95" customHeight="1" x14ac:dyDescent="0.2">
      <c r="A133" s="99" t="s">
        <v>1404</v>
      </c>
      <c r="B133" s="222" t="s">
        <v>554</v>
      </c>
      <c r="C133" s="276">
        <v>2049.61</v>
      </c>
      <c r="D133" s="276">
        <v>12.9</v>
      </c>
      <c r="E133" s="276">
        <v>103.61</v>
      </c>
      <c r="F133" s="276">
        <v>3844.49</v>
      </c>
      <c r="G133" s="276">
        <v>4410.78</v>
      </c>
      <c r="H133" s="276">
        <v>2774.31</v>
      </c>
      <c r="I133" s="276">
        <v>2277.6</v>
      </c>
      <c r="J133" s="276">
        <v>647.86</v>
      </c>
      <c r="K133" s="276">
        <v>91.95</v>
      </c>
      <c r="L133" s="276">
        <f t="shared" si="9"/>
        <v>16213.11</v>
      </c>
      <c r="M133" s="276">
        <v>38.86</v>
      </c>
      <c r="N133" s="276">
        <v>9.68</v>
      </c>
      <c r="O133" s="276">
        <v>30.52</v>
      </c>
      <c r="P133" s="276">
        <v>248.16</v>
      </c>
      <c r="Q133" s="286" t="s">
        <v>554</v>
      </c>
    </row>
    <row r="134" spans="1:17" s="153" customFormat="1" ht="12.95" customHeight="1" x14ac:dyDescent="0.2">
      <c r="A134" s="99" t="s">
        <v>1404</v>
      </c>
      <c r="B134" s="533" t="s">
        <v>555</v>
      </c>
      <c r="C134" s="237">
        <v>1928.36</v>
      </c>
      <c r="D134" s="237">
        <v>3.29</v>
      </c>
      <c r="E134" s="237">
        <v>105.35</v>
      </c>
      <c r="F134" s="237">
        <v>4379.97</v>
      </c>
      <c r="G134" s="237">
        <v>4408.97</v>
      </c>
      <c r="H134" s="237">
        <v>2895.15</v>
      </c>
      <c r="I134" s="237">
        <v>2804.5</v>
      </c>
      <c r="J134" s="237">
        <v>645.82000000000005</v>
      </c>
      <c r="K134" s="237">
        <v>95.62</v>
      </c>
      <c r="L134" s="237">
        <f t="shared" si="9"/>
        <v>17267.03</v>
      </c>
      <c r="M134" s="237">
        <v>42.29</v>
      </c>
      <c r="N134" s="237">
        <v>8.9600000000000009</v>
      </c>
      <c r="O134" s="237">
        <v>27.87</v>
      </c>
      <c r="P134" s="237">
        <v>244.79</v>
      </c>
      <c r="Q134" s="195" t="s">
        <v>555</v>
      </c>
    </row>
    <row r="135" spans="1:17" s="153" customFormat="1" ht="12.95" customHeight="1" x14ac:dyDescent="0.2">
      <c r="A135" s="99" t="s">
        <v>1404</v>
      </c>
      <c r="B135" s="222" t="s">
        <v>548</v>
      </c>
      <c r="C135" s="276">
        <v>1764.21</v>
      </c>
      <c r="D135" s="276">
        <v>1.46</v>
      </c>
      <c r="E135" s="276">
        <v>311.89999999999998</v>
      </c>
      <c r="F135" s="276">
        <v>6708.44</v>
      </c>
      <c r="G135" s="276">
        <v>4370.8599999999997</v>
      </c>
      <c r="H135" s="276">
        <v>2438.84</v>
      </c>
      <c r="I135" s="276">
        <v>2132.85</v>
      </c>
      <c r="J135" s="276">
        <v>509.78</v>
      </c>
      <c r="K135" s="276">
        <v>94.8</v>
      </c>
      <c r="L135" s="276">
        <f t="shared" si="9"/>
        <v>18333.139999999996</v>
      </c>
      <c r="M135" s="276">
        <v>238.23</v>
      </c>
      <c r="N135" s="276">
        <v>6.91</v>
      </c>
      <c r="O135" s="276">
        <v>22.39</v>
      </c>
      <c r="P135" s="276">
        <v>281.86</v>
      </c>
      <c r="Q135" s="286" t="s">
        <v>548</v>
      </c>
    </row>
    <row r="136" spans="1:17" s="153" customFormat="1" ht="12.95" customHeight="1" x14ac:dyDescent="0.2">
      <c r="A136" s="99" t="s">
        <v>1404</v>
      </c>
      <c r="B136" s="533" t="s">
        <v>556</v>
      </c>
      <c r="C136" s="237">
        <v>2285.2600000000002</v>
      </c>
      <c r="D136" s="237">
        <v>1.43</v>
      </c>
      <c r="E136" s="237">
        <v>762.35</v>
      </c>
      <c r="F136" s="237">
        <v>5161.68</v>
      </c>
      <c r="G136" s="237">
        <v>4634.5400000000018</v>
      </c>
      <c r="H136" s="237">
        <v>2983.11</v>
      </c>
      <c r="I136" s="237">
        <v>2174.3000000000002</v>
      </c>
      <c r="J136" s="237">
        <v>683.97</v>
      </c>
      <c r="K136" s="237">
        <v>92.210000000000008</v>
      </c>
      <c r="L136" s="237">
        <f t="shared" si="9"/>
        <v>18778.850000000002</v>
      </c>
      <c r="M136" s="237">
        <v>50.98</v>
      </c>
      <c r="N136" s="237">
        <v>10.29</v>
      </c>
      <c r="O136" s="237">
        <v>32.619999999999997</v>
      </c>
      <c r="P136" s="237">
        <v>297.16000000000003</v>
      </c>
      <c r="Q136" s="195" t="s">
        <v>556</v>
      </c>
    </row>
    <row r="137" spans="1:17" s="153" customFormat="1" ht="12.95" customHeight="1" x14ac:dyDescent="0.2">
      <c r="A137" s="99" t="s">
        <v>1404</v>
      </c>
      <c r="B137" s="1263" t="s">
        <v>557</v>
      </c>
      <c r="C137" s="276">
        <v>1808.41</v>
      </c>
      <c r="D137" s="276">
        <v>2.84</v>
      </c>
      <c r="E137" s="276">
        <v>370.12</v>
      </c>
      <c r="F137" s="276">
        <v>4886.62</v>
      </c>
      <c r="G137" s="276">
        <v>4478.1899999999996</v>
      </c>
      <c r="H137" s="276">
        <v>2443.04</v>
      </c>
      <c r="I137" s="276">
        <v>2033.72</v>
      </c>
      <c r="J137" s="276">
        <v>602.63</v>
      </c>
      <c r="K137" s="276">
        <v>97.19</v>
      </c>
      <c r="L137" s="276">
        <f t="shared" si="9"/>
        <v>16722.759999999998</v>
      </c>
      <c r="M137" s="276">
        <v>46.08</v>
      </c>
      <c r="N137" s="276">
        <v>10.46</v>
      </c>
      <c r="O137" s="276">
        <v>27.57</v>
      </c>
      <c r="P137" s="276">
        <v>279.01</v>
      </c>
      <c r="Q137" s="286" t="s">
        <v>557</v>
      </c>
    </row>
    <row r="138" spans="1:17" s="153" customFormat="1" ht="12.95" customHeight="1" x14ac:dyDescent="0.2">
      <c r="A138" s="99" t="s">
        <v>1404</v>
      </c>
      <c r="B138" s="533" t="s">
        <v>549</v>
      </c>
      <c r="C138" s="237">
        <v>2038.34</v>
      </c>
      <c r="D138" s="237">
        <v>1.4</v>
      </c>
      <c r="E138" s="237">
        <v>125.21</v>
      </c>
      <c r="F138" s="237">
        <v>7350.76</v>
      </c>
      <c r="G138" s="237">
        <v>4598.58</v>
      </c>
      <c r="H138" s="237">
        <v>2596.46</v>
      </c>
      <c r="I138" s="237">
        <v>2482.11</v>
      </c>
      <c r="J138" s="237">
        <v>664.76</v>
      </c>
      <c r="K138" s="237">
        <v>95.76</v>
      </c>
      <c r="L138" s="237">
        <f t="shared" si="9"/>
        <v>19953.379999999997</v>
      </c>
      <c r="M138" s="237">
        <v>45.47</v>
      </c>
      <c r="N138" s="237">
        <v>11.21</v>
      </c>
      <c r="O138" s="237">
        <v>28.11</v>
      </c>
      <c r="P138" s="237">
        <v>165.85</v>
      </c>
      <c r="Q138" s="195" t="s">
        <v>549</v>
      </c>
    </row>
    <row r="139" spans="1:17" s="153" customFormat="1" ht="12.95" customHeight="1" x14ac:dyDescent="0.2">
      <c r="A139" s="99" t="s">
        <v>1404</v>
      </c>
      <c r="B139" s="1263" t="s">
        <v>558</v>
      </c>
      <c r="C139" s="276">
        <v>2410.37</v>
      </c>
      <c r="D139" s="276">
        <v>1.67</v>
      </c>
      <c r="E139" s="276">
        <v>98.87</v>
      </c>
      <c r="F139" s="276">
        <v>5370.08</v>
      </c>
      <c r="G139" s="276">
        <v>4773.67</v>
      </c>
      <c r="H139" s="276">
        <v>3016.83</v>
      </c>
      <c r="I139" s="276">
        <v>3190.46</v>
      </c>
      <c r="J139" s="276">
        <v>688.2</v>
      </c>
      <c r="K139" s="276">
        <v>67.680000000000007</v>
      </c>
      <c r="L139" s="276">
        <f t="shared" si="9"/>
        <v>19617.830000000002</v>
      </c>
      <c r="M139" s="276">
        <v>66.5</v>
      </c>
      <c r="N139" s="276">
        <v>9.92</v>
      </c>
      <c r="O139" s="276">
        <v>26.95</v>
      </c>
      <c r="P139" s="276">
        <v>269.14</v>
      </c>
      <c r="Q139" s="286" t="s">
        <v>558</v>
      </c>
    </row>
    <row r="140" spans="1:17" s="153" customFormat="1" ht="12.95" customHeight="1" x14ac:dyDescent="0.2">
      <c r="A140" s="99" t="s">
        <v>1404</v>
      </c>
      <c r="B140" s="533" t="s">
        <v>559</v>
      </c>
      <c r="C140" s="237">
        <v>2270.98</v>
      </c>
      <c r="D140" s="237">
        <v>1.1100000000000001</v>
      </c>
      <c r="E140" s="237">
        <v>94.7</v>
      </c>
      <c r="F140" s="237">
        <v>5711.8</v>
      </c>
      <c r="G140" s="237">
        <v>5369.08</v>
      </c>
      <c r="H140" s="237">
        <v>2654.65</v>
      </c>
      <c r="I140" s="237">
        <v>3630.93</v>
      </c>
      <c r="J140" s="237">
        <v>686.33</v>
      </c>
      <c r="K140" s="237">
        <v>129.32</v>
      </c>
      <c r="L140" s="237">
        <f t="shared" si="9"/>
        <v>20548.900000000001</v>
      </c>
      <c r="M140" s="237">
        <v>70.17</v>
      </c>
      <c r="N140" s="237">
        <v>6.95</v>
      </c>
      <c r="O140" s="237">
        <v>25.79</v>
      </c>
      <c r="P140" s="237">
        <v>232.86</v>
      </c>
      <c r="Q140" s="195" t="s">
        <v>559</v>
      </c>
    </row>
    <row r="141" spans="1:17" s="153" customFormat="1" ht="12.95" customHeight="1" x14ac:dyDescent="0.2">
      <c r="A141" s="99" t="s">
        <v>1404</v>
      </c>
      <c r="B141" s="222" t="s">
        <v>550</v>
      </c>
      <c r="C141" s="276">
        <v>1830.26</v>
      </c>
      <c r="D141" s="276">
        <v>0.64</v>
      </c>
      <c r="E141" s="276">
        <v>110.68</v>
      </c>
      <c r="F141" s="276">
        <v>15168.27</v>
      </c>
      <c r="G141" s="276">
        <v>8222.75</v>
      </c>
      <c r="H141" s="276">
        <v>2254.0500000000002</v>
      </c>
      <c r="I141" s="276">
        <v>1986.28</v>
      </c>
      <c r="J141" s="276">
        <v>636.84</v>
      </c>
      <c r="K141" s="276">
        <v>67.239999999999995</v>
      </c>
      <c r="L141" s="276">
        <f t="shared" si="9"/>
        <v>30277.010000000002</v>
      </c>
      <c r="M141" s="276">
        <v>181.94</v>
      </c>
      <c r="N141" s="276">
        <v>7.83</v>
      </c>
      <c r="O141" s="276">
        <v>141.91</v>
      </c>
      <c r="P141" s="276">
        <v>239.52</v>
      </c>
      <c r="Q141" s="286" t="s">
        <v>550</v>
      </c>
    </row>
    <row r="142" spans="1:17" s="153" customFormat="1" ht="12.95" customHeight="1" x14ac:dyDescent="0.2">
      <c r="A142" s="99" t="s">
        <v>1484</v>
      </c>
      <c r="B142" s="533" t="s">
        <v>552</v>
      </c>
      <c r="C142" s="276">
        <v>2058.85</v>
      </c>
      <c r="D142" s="276">
        <v>0.46</v>
      </c>
      <c r="E142" s="276">
        <v>117.55</v>
      </c>
      <c r="F142" s="276">
        <v>5350.61</v>
      </c>
      <c r="G142" s="276">
        <v>4666.8</v>
      </c>
      <c r="H142" s="276">
        <v>2526.5500000000002</v>
      </c>
      <c r="I142" s="276">
        <v>1357.3</v>
      </c>
      <c r="J142" s="276">
        <v>714.63</v>
      </c>
      <c r="K142" s="276">
        <f>103.22+42.24+0.1</f>
        <v>145.56</v>
      </c>
      <c r="L142" s="276">
        <f t="shared" ref="L142:L165" si="10">SUM(C142:K142)</f>
        <v>16938.310000000001</v>
      </c>
      <c r="M142" s="276">
        <v>37.15</v>
      </c>
      <c r="N142" s="276">
        <v>18.059999999999999</v>
      </c>
      <c r="O142" s="276">
        <v>18.920000000000002</v>
      </c>
      <c r="P142" s="276">
        <v>264.83999999999997</v>
      </c>
      <c r="Q142" s="286" t="s">
        <v>552</v>
      </c>
    </row>
    <row r="143" spans="1:17" s="153" customFormat="1" ht="12.95" customHeight="1" x14ac:dyDescent="0.2">
      <c r="A143" s="99" t="s">
        <v>1484</v>
      </c>
      <c r="B143" s="222" t="s">
        <v>553</v>
      </c>
      <c r="C143" s="237">
        <v>1667.76</v>
      </c>
      <c r="D143" s="237">
        <v>0.21</v>
      </c>
      <c r="E143" s="237">
        <v>101.26</v>
      </c>
      <c r="F143" s="237">
        <v>3872.03</v>
      </c>
      <c r="G143" s="237">
        <v>4088.67</v>
      </c>
      <c r="H143" s="237">
        <v>2075.9</v>
      </c>
      <c r="I143" s="237">
        <v>1227.92</v>
      </c>
      <c r="J143" s="237">
        <v>527.54</v>
      </c>
      <c r="K143" s="237">
        <f>0.07+39.11+82.28</f>
        <v>121.46000000000001</v>
      </c>
      <c r="L143" s="237">
        <f t="shared" si="10"/>
        <v>13682.75</v>
      </c>
      <c r="M143" s="237">
        <v>40</v>
      </c>
      <c r="N143" s="237">
        <v>18.059999999999999</v>
      </c>
      <c r="O143" s="237">
        <v>19.16</v>
      </c>
      <c r="P143" s="237">
        <v>197.32</v>
      </c>
      <c r="Q143" s="195" t="s">
        <v>553</v>
      </c>
    </row>
    <row r="144" spans="1:17" s="153" customFormat="1" ht="12.95" customHeight="1" x14ac:dyDescent="0.2">
      <c r="A144" s="99" t="s">
        <v>1484</v>
      </c>
      <c r="B144" s="533" t="s">
        <v>547</v>
      </c>
      <c r="C144" s="276">
        <v>2163.59</v>
      </c>
      <c r="D144" s="276">
        <v>0.19</v>
      </c>
      <c r="E144" s="276">
        <v>91.24</v>
      </c>
      <c r="F144" s="276">
        <v>6102.93</v>
      </c>
      <c r="G144" s="276">
        <v>4380.51</v>
      </c>
      <c r="H144" s="276">
        <v>2563.46</v>
      </c>
      <c r="I144" s="276">
        <v>1731.06</v>
      </c>
      <c r="J144" s="276">
        <v>644.66</v>
      </c>
      <c r="K144" s="276">
        <f>0.1+45.77+91.63</f>
        <v>137.5</v>
      </c>
      <c r="L144" s="276">
        <f t="shared" si="10"/>
        <v>17815.140000000003</v>
      </c>
      <c r="M144" s="276">
        <v>47.97</v>
      </c>
      <c r="N144" s="276">
        <v>18.059999999999999</v>
      </c>
      <c r="O144" s="276">
        <v>40.31</v>
      </c>
      <c r="P144" s="276">
        <v>271.61</v>
      </c>
      <c r="Q144" s="286" t="s">
        <v>547</v>
      </c>
    </row>
    <row r="145" spans="1:17" s="153" customFormat="1" ht="12.95" customHeight="1" x14ac:dyDescent="0.2">
      <c r="A145" s="99" t="s">
        <v>1484</v>
      </c>
      <c r="B145" s="222" t="s">
        <v>554</v>
      </c>
      <c r="C145" s="237">
        <v>2254.19</v>
      </c>
      <c r="D145" s="237">
        <v>0.05</v>
      </c>
      <c r="E145" s="237">
        <v>100.13</v>
      </c>
      <c r="F145" s="237">
        <v>4553.87</v>
      </c>
      <c r="G145" s="237">
        <v>4974.33</v>
      </c>
      <c r="H145" s="237">
        <v>2747.4</v>
      </c>
      <c r="I145" s="237">
        <v>2323.7800000000002</v>
      </c>
      <c r="J145" s="237">
        <v>702.94</v>
      </c>
      <c r="K145" s="237">
        <f>0.11+58.38+94.8</f>
        <v>153.29</v>
      </c>
      <c r="L145" s="237">
        <f t="shared" si="10"/>
        <v>17809.98</v>
      </c>
      <c r="M145" s="237">
        <v>87.85</v>
      </c>
      <c r="N145" s="237">
        <v>23.27</v>
      </c>
      <c r="O145" s="237">
        <v>22.67</v>
      </c>
      <c r="P145" s="237">
        <v>271.04000000000002</v>
      </c>
      <c r="Q145" s="195" t="s">
        <v>554</v>
      </c>
    </row>
    <row r="146" spans="1:17" s="153" customFormat="1" ht="12.95" customHeight="1" x14ac:dyDescent="0.2">
      <c r="A146" s="99" t="s">
        <v>1484</v>
      </c>
      <c r="B146" s="533" t="s">
        <v>555</v>
      </c>
      <c r="C146" s="276">
        <v>2232.59</v>
      </c>
      <c r="D146" s="276">
        <v>0.03</v>
      </c>
      <c r="E146" s="276">
        <v>93.09</v>
      </c>
      <c r="F146" s="276">
        <v>4742.76</v>
      </c>
      <c r="G146" s="276">
        <v>5538.19</v>
      </c>
      <c r="H146" s="276">
        <v>2571.2600000000002</v>
      </c>
      <c r="I146" s="276">
        <v>2313.5300000000002</v>
      </c>
      <c r="J146" s="276">
        <v>633.48</v>
      </c>
      <c r="K146" s="276">
        <f>0.12+55.18+93.4</f>
        <v>148.69999999999999</v>
      </c>
      <c r="L146" s="276">
        <f t="shared" si="10"/>
        <v>18273.63</v>
      </c>
      <c r="M146" s="276">
        <v>50.868000000000002</v>
      </c>
      <c r="N146" s="276">
        <v>23.27</v>
      </c>
      <c r="O146" s="276">
        <v>20.32</v>
      </c>
      <c r="P146" s="276">
        <v>212.39</v>
      </c>
      <c r="Q146" s="286" t="s">
        <v>555</v>
      </c>
    </row>
    <row r="147" spans="1:17" s="153" customFormat="1" ht="12.95" customHeight="1" x14ac:dyDescent="0.2">
      <c r="A147" s="99" t="s">
        <v>1484</v>
      </c>
      <c r="B147" s="222" t="s">
        <v>548</v>
      </c>
      <c r="C147" s="237">
        <v>2123.1799999999998</v>
      </c>
      <c r="D147" s="237">
        <v>0</v>
      </c>
      <c r="E147" s="237">
        <v>994.56</v>
      </c>
      <c r="F147" s="237">
        <v>6994.58</v>
      </c>
      <c r="G147" s="237">
        <v>5273.21</v>
      </c>
      <c r="H147" s="237">
        <v>2653.05</v>
      </c>
      <c r="I147" s="237">
        <v>2209</v>
      </c>
      <c r="J147" s="237">
        <v>646.72</v>
      </c>
      <c r="K147" s="237">
        <f>0.15+56.36+103.67</f>
        <v>160.18</v>
      </c>
      <c r="L147" s="237">
        <f t="shared" si="10"/>
        <v>21054.48</v>
      </c>
      <c r="M147" s="237">
        <v>52.83</v>
      </c>
      <c r="N147" s="237">
        <v>23.27</v>
      </c>
      <c r="O147" s="237">
        <v>33.68</v>
      </c>
      <c r="P147" s="237">
        <v>282.91000000000003</v>
      </c>
      <c r="Q147" s="195" t="s">
        <v>548</v>
      </c>
    </row>
    <row r="148" spans="1:17" s="153" customFormat="1" ht="12.95" customHeight="1" x14ac:dyDescent="0.2">
      <c r="A148" s="99" t="s">
        <v>1484</v>
      </c>
      <c r="B148" s="533" t="s">
        <v>556</v>
      </c>
      <c r="C148" s="276">
        <v>2250.9</v>
      </c>
      <c r="D148" s="276">
        <v>0.04</v>
      </c>
      <c r="E148" s="276">
        <v>385.13</v>
      </c>
      <c r="F148" s="276">
        <v>6395.74</v>
      </c>
      <c r="G148" s="276">
        <v>5042.22</v>
      </c>
      <c r="H148" s="276">
        <v>2676.5</v>
      </c>
      <c r="I148" s="276">
        <v>2883.6</v>
      </c>
      <c r="J148" s="276">
        <v>716.92</v>
      </c>
      <c r="K148" s="276">
        <f>0.1+67.74+111.19</f>
        <v>179.02999999999997</v>
      </c>
      <c r="L148" s="276">
        <f t="shared" si="10"/>
        <v>20530.079999999994</v>
      </c>
      <c r="M148" s="276">
        <v>51.32</v>
      </c>
      <c r="N148" s="276">
        <v>26.95</v>
      </c>
      <c r="O148" s="276">
        <v>23.39</v>
      </c>
      <c r="P148" s="276">
        <v>165.47</v>
      </c>
      <c r="Q148" s="286" t="s">
        <v>556</v>
      </c>
    </row>
    <row r="149" spans="1:17" s="153" customFormat="1" ht="12.95" customHeight="1" x14ac:dyDescent="0.2">
      <c r="A149" s="99" t="s">
        <v>1484</v>
      </c>
      <c r="B149" s="1263" t="s">
        <v>557</v>
      </c>
      <c r="C149" s="237">
        <v>2183.6</v>
      </c>
      <c r="D149" s="237">
        <v>0.04</v>
      </c>
      <c r="E149" s="237">
        <v>242.63</v>
      </c>
      <c r="F149" s="237">
        <v>5177.92</v>
      </c>
      <c r="G149" s="237">
        <v>4655.57</v>
      </c>
      <c r="H149" s="237">
        <v>2760.02</v>
      </c>
      <c r="I149" s="237">
        <v>2627.71</v>
      </c>
      <c r="J149" s="237">
        <v>769.83</v>
      </c>
      <c r="K149" s="237">
        <f>0.07+59.31+82.76</f>
        <v>142.14000000000001</v>
      </c>
      <c r="L149" s="237">
        <f t="shared" si="10"/>
        <v>18559.460000000003</v>
      </c>
      <c r="M149" s="237">
        <v>57.38</v>
      </c>
      <c r="N149" s="237">
        <v>26.95</v>
      </c>
      <c r="O149" s="237">
        <v>19.48</v>
      </c>
      <c r="P149" s="237">
        <v>151.94</v>
      </c>
      <c r="Q149" s="195" t="s">
        <v>557</v>
      </c>
    </row>
    <row r="150" spans="1:17" s="153" customFormat="1" ht="12.95" customHeight="1" x14ac:dyDescent="0.2">
      <c r="A150" s="99" t="s">
        <v>1484</v>
      </c>
      <c r="B150" s="533" t="s">
        <v>549</v>
      </c>
      <c r="C150" s="276">
        <v>2122.73</v>
      </c>
      <c r="D150" s="276">
        <v>0</v>
      </c>
      <c r="E150" s="276">
        <v>47.34</v>
      </c>
      <c r="F150" s="276">
        <v>7676.05</v>
      </c>
      <c r="G150" s="276">
        <v>3986.91</v>
      </c>
      <c r="H150" s="276">
        <v>2597.27</v>
      </c>
      <c r="I150" s="276">
        <v>2886.51</v>
      </c>
      <c r="J150" s="276">
        <v>554.1</v>
      </c>
      <c r="K150" s="276">
        <f>0.05+66.05+83.66</f>
        <v>149.76</v>
      </c>
      <c r="L150" s="276">
        <f t="shared" si="10"/>
        <v>20020.669999999995</v>
      </c>
      <c r="M150" s="276">
        <v>26.22</v>
      </c>
      <c r="N150" s="276">
        <v>26.95</v>
      </c>
      <c r="O150" s="276">
        <v>12.11</v>
      </c>
      <c r="P150" s="276">
        <v>144.83000000000001</v>
      </c>
      <c r="Q150" s="286" t="s">
        <v>549</v>
      </c>
    </row>
    <row r="151" spans="1:17" s="153" customFormat="1" ht="12.95" customHeight="1" x14ac:dyDescent="0.2">
      <c r="A151" s="99" t="s">
        <v>1484</v>
      </c>
      <c r="B151" s="1263" t="s">
        <v>558</v>
      </c>
      <c r="C151" s="237">
        <v>979.4</v>
      </c>
      <c r="D151" s="237">
        <v>0</v>
      </c>
      <c r="E151" s="237">
        <v>23.96</v>
      </c>
      <c r="F151" s="237">
        <v>2461.88</v>
      </c>
      <c r="G151" s="237">
        <v>2657.85</v>
      </c>
      <c r="H151" s="237">
        <v>1501.45</v>
      </c>
      <c r="I151" s="237">
        <v>1299.55</v>
      </c>
      <c r="J151" s="237">
        <v>169.47</v>
      </c>
      <c r="K151" s="237">
        <f>0.06+37.35+50.17</f>
        <v>87.580000000000013</v>
      </c>
      <c r="L151" s="237">
        <f t="shared" si="10"/>
        <v>9181.14</v>
      </c>
      <c r="M151" s="237">
        <v>1.4999999999999999E-2</v>
      </c>
      <c r="N151" s="237">
        <v>11.77</v>
      </c>
      <c r="O151" s="237">
        <v>2.68</v>
      </c>
      <c r="P151" s="237" t="s">
        <v>288</v>
      </c>
      <c r="Q151" s="195" t="s">
        <v>558</v>
      </c>
    </row>
    <row r="152" spans="1:17" s="153" customFormat="1" ht="12.95" customHeight="1" x14ac:dyDescent="0.2">
      <c r="A152" s="99" t="s">
        <v>1484</v>
      </c>
      <c r="B152" s="533" t="s">
        <v>559</v>
      </c>
      <c r="C152" s="276">
        <v>1469.6</v>
      </c>
      <c r="D152" s="276">
        <v>0</v>
      </c>
      <c r="E152" s="276">
        <v>23.34</v>
      </c>
      <c r="F152" s="276">
        <v>2910.36</v>
      </c>
      <c r="G152" s="276">
        <v>3859.17</v>
      </c>
      <c r="H152" s="276">
        <v>2199.56</v>
      </c>
      <c r="I152" s="276">
        <v>2798.73</v>
      </c>
      <c r="J152" s="276">
        <v>355.71</v>
      </c>
      <c r="K152" s="276">
        <f>0.06+60.86+13.01</f>
        <v>73.930000000000007</v>
      </c>
      <c r="L152" s="276">
        <f t="shared" si="10"/>
        <v>13690.4</v>
      </c>
      <c r="M152" s="276">
        <v>17.59</v>
      </c>
      <c r="N152" s="276">
        <v>11.77</v>
      </c>
      <c r="O152" s="276">
        <v>5.63</v>
      </c>
      <c r="P152" s="276">
        <v>0.57899999999999996</v>
      </c>
      <c r="Q152" s="286" t="s">
        <v>559</v>
      </c>
    </row>
    <row r="153" spans="1:17" s="153" customFormat="1" ht="12.95" customHeight="1" x14ac:dyDescent="0.2">
      <c r="A153" s="99" t="s">
        <v>1484</v>
      </c>
      <c r="B153" s="222" t="s">
        <v>550</v>
      </c>
      <c r="C153" s="237">
        <v>2053.11</v>
      </c>
      <c r="D153" s="237">
        <v>0.01</v>
      </c>
      <c r="E153" s="237">
        <v>59.17</v>
      </c>
      <c r="F153" s="237">
        <v>14262.77</v>
      </c>
      <c r="G153" s="237">
        <v>6957.27</v>
      </c>
      <c r="H153" s="237">
        <v>3144.22</v>
      </c>
      <c r="I153" s="237">
        <v>1812.45</v>
      </c>
      <c r="J153" s="237">
        <v>539.15</v>
      </c>
      <c r="K153" s="237">
        <f>0.1+46.33+21.17</f>
        <v>67.599999999999994</v>
      </c>
      <c r="L153" s="237">
        <f t="shared" si="10"/>
        <v>28895.750000000004</v>
      </c>
      <c r="M153" s="237">
        <v>180.3</v>
      </c>
      <c r="N153" s="237">
        <v>11.77</v>
      </c>
      <c r="O153" s="237">
        <v>236.38</v>
      </c>
      <c r="P153" s="237">
        <v>132.85</v>
      </c>
      <c r="Q153" s="195" t="s">
        <v>550</v>
      </c>
    </row>
    <row r="154" spans="1:17" s="153" customFormat="1" ht="12.95" customHeight="1" x14ac:dyDescent="0.2">
      <c r="A154" s="99" t="s">
        <v>1536</v>
      </c>
      <c r="B154" s="533" t="s">
        <v>552</v>
      </c>
      <c r="C154" s="237">
        <v>1987.76</v>
      </c>
      <c r="D154" s="237">
        <v>0</v>
      </c>
      <c r="E154" s="237">
        <v>35.74</v>
      </c>
      <c r="F154" s="237">
        <v>4116.05</v>
      </c>
      <c r="G154" s="237">
        <v>4024.77</v>
      </c>
      <c r="H154" s="237">
        <v>2518.0300000000002</v>
      </c>
      <c r="I154" s="237">
        <v>1515.97</v>
      </c>
      <c r="J154" s="237">
        <v>510.11</v>
      </c>
      <c r="K154" s="237">
        <f>0.03+43.88+2.33</f>
        <v>46.24</v>
      </c>
      <c r="L154" s="237">
        <f t="shared" si="10"/>
        <v>14754.67</v>
      </c>
      <c r="M154" s="237">
        <v>37.43</v>
      </c>
      <c r="N154" s="237">
        <v>3.16</v>
      </c>
      <c r="O154" s="237">
        <v>14.96</v>
      </c>
      <c r="P154" s="237">
        <v>689.66</v>
      </c>
      <c r="Q154" s="195" t="s">
        <v>552</v>
      </c>
    </row>
    <row r="155" spans="1:17" s="153" customFormat="1" ht="12.95" customHeight="1" x14ac:dyDescent="0.2">
      <c r="A155" s="99" t="s">
        <v>1536</v>
      </c>
      <c r="B155" s="222" t="s">
        <v>553</v>
      </c>
      <c r="C155" s="276">
        <v>1979.39</v>
      </c>
      <c r="D155" s="276">
        <v>0</v>
      </c>
      <c r="E155" s="276">
        <v>50.44</v>
      </c>
      <c r="F155" s="276">
        <v>4662.82</v>
      </c>
      <c r="G155" s="276">
        <v>4032.1</v>
      </c>
      <c r="H155" s="276">
        <v>2525.42</v>
      </c>
      <c r="I155" s="276">
        <v>1608.04</v>
      </c>
      <c r="J155" s="276">
        <v>487.8</v>
      </c>
      <c r="K155" s="276">
        <f>0.1+40.63+19.43</f>
        <v>60.160000000000004</v>
      </c>
      <c r="L155" s="276">
        <f t="shared" si="10"/>
        <v>15406.169999999998</v>
      </c>
      <c r="M155" s="276">
        <v>43.88</v>
      </c>
      <c r="N155" s="276">
        <v>4.8899999999999997</v>
      </c>
      <c r="O155" s="276">
        <v>22.29</v>
      </c>
      <c r="P155" s="276">
        <v>575.09</v>
      </c>
      <c r="Q155" s="286" t="s">
        <v>553</v>
      </c>
    </row>
    <row r="156" spans="1:17" s="153" customFormat="1" ht="12.95" customHeight="1" x14ac:dyDescent="0.2">
      <c r="A156" s="99" t="s">
        <v>1536</v>
      </c>
      <c r="B156" s="533" t="s">
        <v>547</v>
      </c>
      <c r="C156" s="237">
        <v>2316.65</v>
      </c>
      <c r="D156" s="237">
        <v>0</v>
      </c>
      <c r="E156" s="237">
        <v>37.51</v>
      </c>
      <c r="F156" s="237">
        <v>7103.89</v>
      </c>
      <c r="G156" s="237">
        <v>4519.8599999999997</v>
      </c>
      <c r="H156" s="237">
        <v>2999.57</v>
      </c>
      <c r="I156" s="237">
        <v>2151.3200000000002</v>
      </c>
      <c r="J156" s="237">
        <v>633.98</v>
      </c>
      <c r="K156" s="237">
        <f>0.1+51.57+16.04</f>
        <v>67.710000000000008</v>
      </c>
      <c r="L156" s="237">
        <f t="shared" si="10"/>
        <v>19830.489999999998</v>
      </c>
      <c r="M156" s="237">
        <v>59.71</v>
      </c>
      <c r="N156" s="237">
        <v>8.1300000000000008</v>
      </c>
      <c r="O156" s="237">
        <v>20.93</v>
      </c>
      <c r="P156" s="237">
        <v>929.69</v>
      </c>
      <c r="Q156" s="195" t="s">
        <v>547</v>
      </c>
    </row>
    <row r="157" spans="1:17" s="153" customFormat="1" ht="12.95" customHeight="1" x14ac:dyDescent="0.2">
      <c r="A157" s="99" t="s">
        <v>1536</v>
      </c>
      <c r="B157" s="222" t="s">
        <v>554</v>
      </c>
      <c r="C157" s="276">
        <v>2207.19</v>
      </c>
      <c r="D157" s="276">
        <v>0</v>
      </c>
      <c r="E157" s="276">
        <v>45.93</v>
      </c>
      <c r="F157" s="276">
        <v>4804.72</v>
      </c>
      <c r="G157" s="276">
        <v>4810.53</v>
      </c>
      <c r="H157" s="276">
        <v>2889.27</v>
      </c>
      <c r="I157" s="276">
        <v>2593.1799999999998</v>
      </c>
      <c r="J157" s="276">
        <v>709.97</v>
      </c>
      <c r="K157" s="276">
        <f>0.07+63.01+14.91</f>
        <v>77.989999999999995</v>
      </c>
      <c r="L157" s="276">
        <f t="shared" si="10"/>
        <v>18138.780000000002</v>
      </c>
      <c r="M157" s="276">
        <v>65.06</v>
      </c>
      <c r="N157" s="276">
        <v>10.98</v>
      </c>
      <c r="O157" s="276">
        <v>17.98</v>
      </c>
      <c r="P157" s="276">
        <v>862.74</v>
      </c>
      <c r="Q157" s="286" t="s">
        <v>554</v>
      </c>
    </row>
    <row r="158" spans="1:17" s="153" customFormat="1" ht="12.95" customHeight="1" x14ac:dyDescent="0.2">
      <c r="A158" s="99" t="s">
        <v>1536</v>
      </c>
      <c r="B158" s="533" t="s">
        <v>555</v>
      </c>
      <c r="C158" s="237">
        <v>2336.5300000000002</v>
      </c>
      <c r="D158" s="237">
        <v>0</v>
      </c>
      <c r="E158" s="237">
        <v>55.93</v>
      </c>
      <c r="F158" s="237">
        <v>5265.3</v>
      </c>
      <c r="G158" s="237">
        <v>5087.13</v>
      </c>
      <c r="H158" s="237">
        <v>2900.11</v>
      </c>
      <c r="I158" s="237">
        <v>2618.7800000000002</v>
      </c>
      <c r="J158" s="237">
        <v>711.85</v>
      </c>
      <c r="K158" s="237">
        <f>0.04+60.08+28.82</f>
        <v>88.94</v>
      </c>
      <c r="L158" s="237">
        <f t="shared" si="10"/>
        <v>19064.569999999996</v>
      </c>
      <c r="M158" s="237">
        <v>60.44</v>
      </c>
      <c r="N158" s="237">
        <v>6.89</v>
      </c>
      <c r="O158" s="237">
        <v>19.93</v>
      </c>
      <c r="P158" s="237">
        <v>1209.8599999999999</v>
      </c>
      <c r="Q158" s="195" t="s">
        <v>555</v>
      </c>
    </row>
    <row r="159" spans="1:17" s="153" customFormat="1" ht="12.95" customHeight="1" x14ac:dyDescent="0.2">
      <c r="A159" s="99" t="s">
        <v>1536</v>
      </c>
      <c r="B159" s="222" t="s">
        <v>548</v>
      </c>
      <c r="C159" s="276">
        <v>2349.64</v>
      </c>
      <c r="D159" s="276">
        <v>0</v>
      </c>
      <c r="E159" s="276">
        <v>1086.43</v>
      </c>
      <c r="F159" s="276">
        <v>8260.4500000000007</v>
      </c>
      <c r="G159" s="276">
        <v>5382.05</v>
      </c>
      <c r="H159" s="276">
        <v>2874.17</v>
      </c>
      <c r="I159" s="276">
        <v>2544.0700000000002</v>
      </c>
      <c r="J159" s="276">
        <v>705.67</v>
      </c>
      <c r="K159" s="276">
        <f>0.15+67.98+35.71</f>
        <v>103.84</v>
      </c>
      <c r="L159" s="276">
        <f t="shared" si="10"/>
        <v>23306.319999999996</v>
      </c>
      <c r="M159" s="276">
        <v>79.2</v>
      </c>
      <c r="N159" s="276">
        <v>8.2100000000000009</v>
      </c>
      <c r="O159" s="276">
        <v>18.47</v>
      </c>
      <c r="P159" s="276">
        <v>131.77000000000001</v>
      </c>
      <c r="Q159" s="286" t="s">
        <v>548</v>
      </c>
    </row>
    <row r="160" spans="1:17" s="153" customFormat="1" ht="12.95" customHeight="1" x14ac:dyDescent="0.2">
      <c r="A160" s="99" t="s">
        <v>1536</v>
      </c>
      <c r="B160" s="533" t="s">
        <v>556</v>
      </c>
      <c r="C160" s="237">
        <v>2523.4299999999998</v>
      </c>
      <c r="D160" s="237">
        <v>0</v>
      </c>
      <c r="E160" s="237">
        <v>499.05</v>
      </c>
      <c r="F160" s="237">
        <v>6563.77</v>
      </c>
      <c r="G160" s="237">
        <v>5565.98</v>
      </c>
      <c r="H160" s="237">
        <v>2952.73</v>
      </c>
      <c r="I160" s="237">
        <v>2762.09</v>
      </c>
      <c r="J160" s="237">
        <v>673.84</v>
      </c>
      <c r="K160" s="237">
        <f>0.08+67.39+23.61</f>
        <v>91.08</v>
      </c>
      <c r="L160" s="237">
        <f t="shared" si="10"/>
        <v>21631.97</v>
      </c>
      <c r="M160" s="237">
        <v>70.47</v>
      </c>
      <c r="N160" s="237">
        <v>9.25</v>
      </c>
      <c r="O160" s="237">
        <v>20.02</v>
      </c>
      <c r="P160" s="237">
        <v>795.31</v>
      </c>
      <c r="Q160" s="195" t="s">
        <v>556</v>
      </c>
    </row>
    <row r="161" spans="1:17" s="153" customFormat="1" ht="12.95" customHeight="1" x14ac:dyDescent="0.2">
      <c r="A161" s="99" t="s">
        <v>1536</v>
      </c>
      <c r="B161" s="1263" t="s">
        <v>557</v>
      </c>
      <c r="C161" s="276">
        <v>2617.89</v>
      </c>
      <c r="D161" s="276">
        <v>0</v>
      </c>
      <c r="E161" s="276">
        <v>329.49</v>
      </c>
      <c r="F161" s="276">
        <v>5882.03</v>
      </c>
      <c r="G161" s="276">
        <v>5312.55</v>
      </c>
      <c r="H161" s="276">
        <v>3050.02</v>
      </c>
      <c r="I161" s="276">
        <v>2857.77</v>
      </c>
      <c r="J161" s="276">
        <v>776.54</v>
      </c>
      <c r="K161" s="276">
        <f>0.08+64.83+47.57</f>
        <v>112.47999999999999</v>
      </c>
      <c r="L161" s="276">
        <f t="shared" si="10"/>
        <v>20938.77</v>
      </c>
      <c r="M161" s="276">
        <v>64.680000000000007</v>
      </c>
      <c r="N161" s="276">
        <v>8.18</v>
      </c>
      <c r="O161" s="276">
        <v>17.25</v>
      </c>
      <c r="P161" s="276">
        <v>823.87</v>
      </c>
      <c r="Q161" s="286" t="s">
        <v>557</v>
      </c>
    </row>
    <row r="162" spans="1:17" s="153" customFormat="1" ht="12.95" customHeight="1" x14ac:dyDescent="0.2">
      <c r="A162" s="99" t="s">
        <v>1536</v>
      </c>
      <c r="B162" s="533" t="s">
        <v>549</v>
      </c>
      <c r="C162" s="237">
        <v>3142.97</v>
      </c>
      <c r="D162" s="237">
        <v>0</v>
      </c>
      <c r="E162" s="237">
        <v>78.489999999999995</v>
      </c>
      <c r="F162" s="237">
        <v>8907.43</v>
      </c>
      <c r="G162" s="237">
        <v>5195.6899999999996</v>
      </c>
      <c r="H162" s="237">
        <v>3792.03</v>
      </c>
      <c r="I162" s="237">
        <v>3135.4</v>
      </c>
      <c r="J162" s="237">
        <v>816.15</v>
      </c>
      <c r="K162" s="237">
        <f>0.61+73.07+43.82</f>
        <v>117.5</v>
      </c>
      <c r="L162" s="237">
        <f t="shared" si="10"/>
        <v>25185.66</v>
      </c>
      <c r="M162" s="237">
        <v>65.150000000000006</v>
      </c>
      <c r="N162" s="237">
        <v>11.12</v>
      </c>
      <c r="O162" s="237">
        <v>19.940000000000001</v>
      </c>
      <c r="P162" s="237">
        <v>950.97</v>
      </c>
      <c r="Q162" s="195" t="s">
        <v>549</v>
      </c>
    </row>
    <row r="163" spans="1:17" s="153" customFormat="1" ht="12.95" customHeight="1" x14ac:dyDescent="0.2">
      <c r="A163" s="99" t="s">
        <v>1536</v>
      </c>
      <c r="B163" s="1263" t="s">
        <v>558</v>
      </c>
      <c r="C163" s="276">
        <v>2819.02</v>
      </c>
      <c r="D163" s="276">
        <v>0</v>
      </c>
      <c r="E163" s="276">
        <v>56.3</v>
      </c>
      <c r="F163" s="276">
        <v>3829.8</v>
      </c>
      <c r="G163" s="276">
        <v>4969.71</v>
      </c>
      <c r="H163" s="276">
        <v>3583.46</v>
      </c>
      <c r="I163" s="276">
        <v>3214.89</v>
      </c>
      <c r="J163" s="276">
        <v>740.44</v>
      </c>
      <c r="K163" s="276">
        <f>0.05+70.74+41.71</f>
        <v>112.5</v>
      </c>
      <c r="L163" s="276">
        <f t="shared" si="10"/>
        <v>19326.12</v>
      </c>
      <c r="M163" s="276">
        <v>49.38</v>
      </c>
      <c r="N163" s="276">
        <v>6.38</v>
      </c>
      <c r="O163" s="276">
        <v>12.48</v>
      </c>
      <c r="P163" s="276">
        <v>403.47</v>
      </c>
      <c r="Q163" s="286" t="s">
        <v>558</v>
      </c>
    </row>
    <row r="164" spans="1:17" s="153" customFormat="1" ht="12.95" customHeight="1" x14ac:dyDescent="0.2">
      <c r="A164" s="99" t="s">
        <v>1536</v>
      </c>
      <c r="B164" s="533" t="s">
        <v>559</v>
      </c>
      <c r="C164" s="237">
        <v>2661.3</v>
      </c>
      <c r="D164" s="237">
        <v>0</v>
      </c>
      <c r="E164" s="237">
        <v>55.21</v>
      </c>
      <c r="F164" s="237">
        <v>6003.47</v>
      </c>
      <c r="G164" s="237">
        <v>6015.29</v>
      </c>
      <c r="H164" s="237">
        <v>3606.56</v>
      </c>
      <c r="I164" s="237">
        <v>3327.94</v>
      </c>
      <c r="J164" s="237">
        <v>705.92</v>
      </c>
      <c r="K164" s="237">
        <f>0.05+80.16+33.11</f>
        <v>113.32</v>
      </c>
      <c r="L164" s="237">
        <f t="shared" si="10"/>
        <v>22489.01</v>
      </c>
      <c r="M164" s="237">
        <v>70.25</v>
      </c>
      <c r="N164" s="237">
        <v>4.8499999999999996</v>
      </c>
      <c r="O164" s="237">
        <v>19.36</v>
      </c>
      <c r="P164" s="237">
        <v>526.99</v>
      </c>
      <c r="Q164" s="195" t="s">
        <v>559</v>
      </c>
    </row>
    <row r="165" spans="1:17" s="153" customFormat="1" ht="12.95" customHeight="1" x14ac:dyDescent="0.2">
      <c r="A165" s="99" t="s">
        <v>1536</v>
      </c>
      <c r="B165" s="222" t="s">
        <v>550</v>
      </c>
      <c r="C165" s="276">
        <v>3514.14</v>
      </c>
      <c r="D165" s="276">
        <v>0.6</v>
      </c>
      <c r="E165" s="276">
        <v>87.66</v>
      </c>
      <c r="F165" s="276">
        <v>19488.509999999998</v>
      </c>
      <c r="G165" s="276">
        <v>8871.11</v>
      </c>
      <c r="H165" s="276">
        <v>4580.41</v>
      </c>
      <c r="I165" s="276">
        <v>1718.28</v>
      </c>
      <c r="J165" s="276">
        <v>949.85</v>
      </c>
      <c r="K165" s="276">
        <f>0.09+569.75+28.87</f>
        <v>598.71</v>
      </c>
      <c r="L165" s="276">
        <f t="shared" si="10"/>
        <v>39809.26999999999</v>
      </c>
      <c r="M165" s="276">
        <v>174.92</v>
      </c>
      <c r="N165" s="276">
        <v>5.76</v>
      </c>
      <c r="O165" s="276">
        <v>114.51</v>
      </c>
      <c r="P165" s="276">
        <v>1156.74</v>
      </c>
      <c r="Q165" s="286" t="s">
        <v>550</v>
      </c>
    </row>
    <row r="166" spans="1:17" s="153" customFormat="1" ht="12.95" customHeight="1" x14ac:dyDescent="0.2">
      <c r="A166" s="99" t="s">
        <v>1817</v>
      </c>
      <c r="B166" s="533" t="s">
        <v>552</v>
      </c>
      <c r="C166" s="276">
        <v>1933.39</v>
      </c>
      <c r="D166" s="276">
        <v>0.62</v>
      </c>
      <c r="E166" s="276">
        <v>34.65</v>
      </c>
      <c r="F166" s="276">
        <v>4711.41</v>
      </c>
      <c r="G166" s="276">
        <v>4267.47</v>
      </c>
      <c r="H166" s="276">
        <v>2499.27</v>
      </c>
      <c r="I166" s="276">
        <v>1353.4</v>
      </c>
      <c r="J166" s="276">
        <v>481.4</v>
      </c>
      <c r="K166" s="276">
        <f>0.03+41.93+20.68</f>
        <v>62.64</v>
      </c>
      <c r="L166" s="276">
        <f t="shared" ref="L166:L179" si="11">SUM(C166:K166)</f>
        <v>15344.25</v>
      </c>
      <c r="M166" s="276">
        <v>9.6300000000000008</v>
      </c>
      <c r="N166" s="276">
        <v>1.89</v>
      </c>
      <c r="O166" s="276">
        <v>5.6</v>
      </c>
      <c r="P166" s="276">
        <v>216.96</v>
      </c>
      <c r="Q166" s="286" t="s">
        <v>552</v>
      </c>
    </row>
    <row r="167" spans="1:17" s="153" customFormat="1" ht="12.95" customHeight="1" x14ac:dyDescent="0.2">
      <c r="A167" s="99" t="s">
        <v>1817</v>
      </c>
      <c r="B167" s="222" t="s">
        <v>553</v>
      </c>
      <c r="C167" s="237">
        <v>2556.0500000000002</v>
      </c>
      <c r="D167" s="237">
        <v>0.05</v>
      </c>
      <c r="E167" s="237">
        <v>59.01</v>
      </c>
      <c r="F167" s="237">
        <v>5242.96</v>
      </c>
      <c r="G167" s="237">
        <v>4805.08</v>
      </c>
      <c r="H167" s="237">
        <v>3370.35</v>
      </c>
      <c r="I167" s="237">
        <v>2346.04</v>
      </c>
      <c r="J167" s="237">
        <v>720.73</v>
      </c>
      <c r="K167" s="237">
        <f>0.06+57.89+27.84</f>
        <v>85.79</v>
      </c>
      <c r="L167" s="237">
        <f t="shared" si="11"/>
        <v>19186.060000000001</v>
      </c>
      <c r="M167" s="237">
        <v>40.49</v>
      </c>
      <c r="N167" s="237">
        <v>4.97</v>
      </c>
      <c r="O167" s="237">
        <v>10.44</v>
      </c>
      <c r="P167" s="237">
        <v>744.89</v>
      </c>
      <c r="Q167" s="195" t="s">
        <v>553</v>
      </c>
    </row>
    <row r="168" spans="1:17" s="153" customFormat="1" ht="12.95" customHeight="1" x14ac:dyDescent="0.2">
      <c r="A168" s="99" t="s">
        <v>1817</v>
      </c>
      <c r="B168" s="533" t="s">
        <v>547</v>
      </c>
      <c r="C168" s="276">
        <v>3230.7</v>
      </c>
      <c r="D168" s="276">
        <v>0</v>
      </c>
      <c r="E168" s="276">
        <v>65.010000000000005</v>
      </c>
      <c r="F168" s="276">
        <v>7917</v>
      </c>
      <c r="G168" s="276">
        <v>5418.97</v>
      </c>
      <c r="H168" s="276">
        <v>3663.92</v>
      </c>
      <c r="I168" s="276">
        <v>2581.77</v>
      </c>
      <c r="J168" s="276">
        <v>810.3</v>
      </c>
      <c r="K168" s="276">
        <f>0.11+62.51+29.52</f>
        <v>92.14</v>
      </c>
      <c r="L168" s="276">
        <f t="shared" si="11"/>
        <v>23779.809999999998</v>
      </c>
      <c r="M168" s="276">
        <v>77.52</v>
      </c>
      <c r="N168" s="276">
        <v>11.43</v>
      </c>
      <c r="O168" s="276">
        <v>17.739999999999998</v>
      </c>
      <c r="P168" s="276">
        <v>1113.45</v>
      </c>
      <c r="Q168" s="286" t="s">
        <v>547</v>
      </c>
    </row>
    <row r="169" spans="1:17" s="153" customFormat="1" ht="12.95" customHeight="1" x14ac:dyDescent="0.2">
      <c r="A169" s="99" t="s">
        <v>1817</v>
      </c>
      <c r="B169" s="222" t="s">
        <v>554</v>
      </c>
      <c r="C169" s="237">
        <v>2723.41</v>
      </c>
      <c r="D169" s="237">
        <v>0</v>
      </c>
      <c r="E169" s="237">
        <v>63.38</v>
      </c>
      <c r="F169" s="237">
        <v>5669.14</v>
      </c>
      <c r="G169" s="237">
        <v>5388.53</v>
      </c>
      <c r="H169" s="237">
        <v>3598.02</v>
      </c>
      <c r="I169" s="237">
        <v>2780.14</v>
      </c>
      <c r="J169" s="237">
        <v>763.56</v>
      </c>
      <c r="K169" s="237">
        <f>0.07+69.88+51.69</f>
        <v>121.63999999999999</v>
      </c>
      <c r="L169" s="237">
        <f t="shared" si="11"/>
        <v>21107.82</v>
      </c>
      <c r="M169" s="237">
        <v>70.36</v>
      </c>
      <c r="N169" s="237">
        <v>8.6999999999999993</v>
      </c>
      <c r="O169" s="237">
        <v>14.11</v>
      </c>
      <c r="P169" s="237">
        <v>927.89</v>
      </c>
      <c r="Q169" s="195" t="s">
        <v>554</v>
      </c>
    </row>
    <row r="170" spans="1:17" s="153" customFormat="1" ht="12.95" customHeight="1" x14ac:dyDescent="0.2">
      <c r="A170" s="99" t="s">
        <v>1817</v>
      </c>
      <c r="B170" s="533" t="s">
        <v>555</v>
      </c>
      <c r="C170" s="276">
        <v>2877.57</v>
      </c>
      <c r="D170" s="276">
        <v>0</v>
      </c>
      <c r="E170" s="276">
        <v>74.62</v>
      </c>
      <c r="F170" s="276">
        <v>5971.02</v>
      </c>
      <c r="G170" s="276">
        <v>5698.88</v>
      </c>
      <c r="H170" s="276">
        <v>3780.48</v>
      </c>
      <c r="I170" s="276">
        <v>2717.93</v>
      </c>
      <c r="J170" s="276">
        <v>809.11</v>
      </c>
      <c r="K170" s="276">
        <f>0.03+143.01+57.19</f>
        <v>200.23</v>
      </c>
      <c r="L170" s="276">
        <f t="shared" si="11"/>
        <v>22129.84</v>
      </c>
      <c r="M170" s="276">
        <v>74.91</v>
      </c>
      <c r="N170" s="276">
        <v>9.6</v>
      </c>
      <c r="O170" s="276">
        <v>15.54</v>
      </c>
      <c r="P170" s="276">
        <v>1039.56</v>
      </c>
      <c r="Q170" s="286" t="s">
        <v>555</v>
      </c>
    </row>
    <row r="171" spans="1:17" s="153" customFormat="1" ht="12.95" customHeight="1" x14ac:dyDescent="0.2">
      <c r="A171" s="99" t="s">
        <v>1817</v>
      </c>
      <c r="B171" s="222" t="s">
        <v>548</v>
      </c>
      <c r="C171" s="237">
        <v>2909.25</v>
      </c>
      <c r="D171" s="237">
        <v>0</v>
      </c>
      <c r="E171" s="237">
        <v>1491.55</v>
      </c>
      <c r="F171" s="237">
        <v>9859.65</v>
      </c>
      <c r="G171" s="237">
        <v>6021.3</v>
      </c>
      <c r="H171" s="237">
        <v>3594.78</v>
      </c>
      <c r="I171" s="237">
        <v>2663.02</v>
      </c>
      <c r="J171" s="237">
        <v>820.46</v>
      </c>
      <c r="K171" s="237">
        <f>0.06+76.51+77.04</f>
        <v>153.61000000000001</v>
      </c>
      <c r="L171" s="237">
        <f t="shared" si="11"/>
        <v>27513.62</v>
      </c>
      <c r="M171" s="237">
        <v>62.34</v>
      </c>
      <c r="N171" s="237">
        <v>10.34</v>
      </c>
      <c r="O171" s="237">
        <v>9.8699999999999992</v>
      </c>
      <c r="P171" s="237">
        <v>133.12</v>
      </c>
      <c r="Q171" s="195" t="s">
        <v>548</v>
      </c>
    </row>
    <row r="172" spans="1:17" s="153" customFormat="1" ht="12.95" customHeight="1" x14ac:dyDescent="0.2">
      <c r="A172" s="99" t="s">
        <v>1817</v>
      </c>
      <c r="B172" s="533" t="s">
        <v>556</v>
      </c>
      <c r="C172" s="276">
        <v>2955.71</v>
      </c>
      <c r="D172" s="276">
        <v>0</v>
      </c>
      <c r="E172" s="276">
        <v>527.32000000000005</v>
      </c>
      <c r="F172" s="276">
        <v>7036.32</v>
      </c>
      <c r="G172" s="276">
        <v>6147.76</v>
      </c>
      <c r="H172" s="276">
        <v>3780.5</v>
      </c>
      <c r="I172" s="276">
        <v>2921.99</v>
      </c>
      <c r="J172" s="276">
        <v>798.25</v>
      </c>
      <c r="K172" s="276">
        <f>0+84.47+97.28</f>
        <v>181.75</v>
      </c>
      <c r="L172" s="276">
        <f t="shared" si="11"/>
        <v>24349.599999999999</v>
      </c>
      <c r="M172" s="276">
        <v>67.81</v>
      </c>
      <c r="N172" s="276">
        <v>12.74</v>
      </c>
      <c r="O172" s="276">
        <v>10.31</v>
      </c>
      <c r="P172" s="276">
        <v>1146.31</v>
      </c>
      <c r="Q172" s="286" t="s">
        <v>556</v>
      </c>
    </row>
    <row r="173" spans="1:17" s="153" customFormat="1" ht="12.95" customHeight="1" x14ac:dyDescent="0.2">
      <c r="A173" s="99" t="s">
        <v>1817</v>
      </c>
      <c r="B173" s="1263" t="s">
        <v>557</v>
      </c>
      <c r="C173" s="237">
        <v>3081.62</v>
      </c>
      <c r="D173" s="237">
        <v>0</v>
      </c>
      <c r="E173" s="237">
        <v>259.25</v>
      </c>
      <c r="F173" s="237">
        <v>6446.87</v>
      </c>
      <c r="G173" s="237">
        <v>5615.67</v>
      </c>
      <c r="H173" s="237">
        <v>4060.43</v>
      </c>
      <c r="I173" s="237">
        <v>2491.92</v>
      </c>
      <c r="J173" s="237">
        <v>905.89</v>
      </c>
      <c r="K173" s="237">
        <f>0.11+65+92.7</f>
        <v>157.81</v>
      </c>
      <c r="L173" s="237">
        <f t="shared" si="11"/>
        <v>23019.460000000003</v>
      </c>
      <c r="M173" s="237">
        <v>60.46</v>
      </c>
      <c r="N173" s="237">
        <v>10.4</v>
      </c>
      <c r="O173" s="237">
        <v>9.15</v>
      </c>
      <c r="P173" s="237">
        <v>906.21</v>
      </c>
      <c r="Q173" s="195" t="s">
        <v>557</v>
      </c>
    </row>
    <row r="174" spans="1:17" s="153" customFormat="1" ht="12.95" customHeight="1" x14ac:dyDescent="0.2">
      <c r="A174" s="99" t="s">
        <v>1817</v>
      </c>
      <c r="B174" s="533" t="s">
        <v>549</v>
      </c>
      <c r="C174" s="276">
        <v>3239.52</v>
      </c>
      <c r="D174" s="276">
        <v>0</v>
      </c>
      <c r="E174" s="276">
        <v>118.55</v>
      </c>
      <c r="F174" s="276">
        <v>10252.530000000001</v>
      </c>
      <c r="G174" s="276">
        <v>5801.56</v>
      </c>
      <c r="H174" s="276">
        <v>4078.89</v>
      </c>
      <c r="I174" s="276">
        <v>2909.53</v>
      </c>
      <c r="J174" s="276">
        <v>977.75</v>
      </c>
      <c r="K174" s="276">
        <f>0.08+72.83+97.34</f>
        <v>170.25</v>
      </c>
      <c r="L174" s="276">
        <f t="shared" si="11"/>
        <v>27548.579999999998</v>
      </c>
      <c r="M174" s="276">
        <v>72.77</v>
      </c>
      <c r="N174" s="276">
        <v>12.22</v>
      </c>
      <c r="O174" s="276">
        <v>9.8800000000000008</v>
      </c>
      <c r="P174" s="276">
        <v>1205.1400000000001</v>
      </c>
      <c r="Q174" s="286" t="s">
        <v>549</v>
      </c>
    </row>
    <row r="175" spans="1:17" s="153" customFormat="1" ht="12.95" customHeight="1" x14ac:dyDescent="0.2">
      <c r="A175" s="99" t="s">
        <v>1817</v>
      </c>
      <c r="B175" s="1263" t="s">
        <v>558</v>
      </c>
      <c r="C175" s="237">
        <v>3155.35</v>
      </c>
      <c r="D175" s="237">
        <v>0</v>
      </c>
      <c r="E175" s="237">
        <v>118.21</v>
      </c>
      <c r="F175" s="237">
        <v>6003.38</v>
      </c>
      <c r="G175" s="237">
        <v>6289.82</v>
      </c>
      <c r="H175" s="237">
        <v>3937.06</v>
      </c>
      <c r="I175" s="237">
        <v>3139.3</v>
      </c>
      <c r="J175" s="237">
        <v>886.71</v>
      </c>
      <c r="K175" s="237">
        <f>0+75.8+118.21</f>
        <v>194.01</v>
      </c>
      <c r="L175" s="237">
        <f t="shared" si="11"/>
        <v>23723.839999999997</v>
      </c>
      <c r="M175" s="237">
        <v>70.13</v>
      </c>
      <c r="N175" s="237">
        <v>10.75</v>
      </c>
      <c r="O175" s="237">
        <v>9.2899999999999991</v>
      </c>
      <c r="P175" s="237">
        <v>889.69</v>
      </c>
      <c r="Q175" s="195" t="s">
        <v>558</v>
      </c>
    </row>
    <row r="176" spans="1:17" s="153" customFormat="1" ht="12.95" customHeight="1" x14ac:dyDescent="0.2">
      <c r="A176" s="99" t="s">
        <v>1817</v>
      </c>
      <c r="B176" s="533" t="s">
        <v>559</v>
      </c>
      <c r="C176" s="276">
        <v>3016.07</v>
      </c>
      <c r="D176" s="276">
        <v>0</v>
      </c>
      <c r="E176" s="276">
        <v>131.63999999999999</v>
      </c>
      <c r="F176" s="276">
        <v>7411.86</v>
      </c>
      <c r="G176" s="276">
        <v>6736.2</v>
      </c>
      <c r="H176" s="276">
        <v>3621.81</v>
      </c>
      <c r="I176" s="276">
        <v>3104.94</v>
      </c>
      <c r="J176" s="276">
        <v>791.81</v>
      </c>
      <c r="K176" s="276">
        <f>0.02+257.86+94.48</f>
        <v>352.36</v>
      </c>
      <c r="L176" s="276">
        <f t="shared" si="11"/>
        <v>25166.690000000002</v>
      </c>
      <c r="M176" s="276">
        <v>66.36</v>
      </c>
      <c r="N176" s="276">
        <v>16.86</v>
      </c>
      <c r="O176" s="276">
        <v>7.35</v>
      </c>
      <c r="P176" s="276">
        <v>794.95</v>
      </c>
      <c r="Q176" s="286" t="s">
        <v>559</v>
      </c>
    </row>
    <row r="177" spans="1:17" s="153" customFormat="1" ht="12.95" customHeight="1" x14ac:dyDescent="0.2">
      <c r="A177" s="99" t="s">
        <v>1817</v>
      </c>
      <c r="B177" s="222" t="s">
        <v>550</v>
      </c>
      <c r="C177" s="237">
        <v>3597.94</v>
      </c>
      <c r="D177" s="237">
        <v>0</v>
      </c>
      <c r="E177" s="237">
        <v>159.66999999999999</v>
      </c>
      <c r="F177" s="237">
        <v>26386.02</v>
      </c>
      <c r="G177" s="237">
        <v>10415.209999999999</v>
      </c>
      <c r="H177" s="237">
        <v>4343.2299999999996</v>
      </c>
      <c r="I177" s="237">
        <v>2224.4699999999998</v>
      </c>
      <c r="J177" s="237">
        <v>1051.8399999999999</v>
      </c>
      <c r="K177" s="237">
        <f>0.06+466.15+119.68</f>
        <v>585.89</v>
      </c>
      <c r="L177" s="237">
        <f t="shared" si="11"/>
        <v>48764.26999999999</v>
      </c>
      <c r="M177" s="237">
        <v>187.31</v>
      </c>
      <c r="N177" s="237">
        <v>14.79</v>
      </c>
      <c r="O177" s="237">
        <v>110.78</v>
      </c>
      <c r="P177" s="237">
        <v>1284.81</v>
      </c>
      <c r="Q177" s="195" t="s">
        <v>550</v>
      </c>
    </row>
    <row r="178" spans="1:17" s="153" customFormat="1" ht="12.95" customHeight="1" x14ac:dyDescent="0.2">
      <c r="A178" s="99" t="s">
        <v>2066</v>
      </c>
      <c r="B178" s="533" t="s">
        <v>552</v>
      </c>
      <c r="C178" s="237">
        <v>2692.53</v>
      </c>
      <c r="D178" s="237">
        <v>0.7</v>
      </c>
      <c r="E178" s="237">
        <v>4768.28</v>
      </c>
      <c r="F178" s="237">
        <v>4659.8599999999997</v>
      </c>
      <c r="G178" s="237">
        <v>1368.51</v>
      </c>
      <c r="H178" s="237">
        <v>3315.15</v>
      </c>
      <c r="I178" s="237">
        <v>115.56</v>
      </c>
      <c r="J178" s="237">
        <v>758.3</v>
      </c>
      <c r="K178" s="237">
        <f>0.03+46.95+95.22</f>
        <v>142.19999999999999</v>
      </c>
      <c r="L178" s="237">
        <f t="shared" si="11"/>
        <v>17821.09</v>
      </c>
      <c r="M178" s="237">
        <v>44.05</v>
      </c>
      <c r="N178" s="237">
        <v>4.9000000000000004</v>
      </c>
      <c r="O178" s="237">
        <v>6.43</v>
      </c>
      <c r="P178" s="237">
        <v>1011.8</v>
      </c>
      <c r="Q178" s="195" t="s">
        <v>552</v>
      </c>
    </row>
    <row r="179" spans="1:17" s="153" customFormat="1" ht="12.95" customHeight="1" x14ac:dyDescent="0.2">
      <c r="A179" s="99" t="s">
        <v>2066</v>
      </c>
      <c r="B179" s="222" t="s">
        <v>553</v>
      </c>
      <c r="C179" s="276">
        <v>3330.91</v>
      </c>
      <c r="D179" s="276">
        <v>1.57</v>
      </c>
      <c r="E179" s="276">
        <v>124.41</v>
      </c>
      <c r="F179" s="276">
        <v>5544.96</v>
      </c>
      <c r="G179" s="276">
        <v>5991.45</v>
      </c>
      <c r="H179" s="276">
        <v>3861.21</v>
      </c>
      <c r="I179" s="276">
        <v>2556.65</v>
      </c>
      <c r="J179" s="276">
        <v>903.23</v>
      </c>
      <c r="K179" s="276">
        <f>0.02+65.37+96.78</f>
        <v>162.17000000000002</v>
      </c>
      <c r="L179" s="276">
        <f t="shared" si="11"/>
        <v>22476.559999999998</v>
      </c>
      <c r="M179" s="276">
        <v>68.16</v>
      </c>
      <c r="N179" s="276">
        <v>9.11</v>
      </c>
      <c r="O179" s="276">
        <v>7.59</v>
      </c>
      <c r="P179" s="276">
        <v>1235.6600000000001</v>
      </c>
      <c r="Q179" s="286" t="s">
        <v>553</v>
      </c>
    </row>
    <row r="180" spans="1:17" s="153" customFormat="1" ht="12.95" customHeight="1" x14ac:dyDescent="0.2">
      <c r="A180" s="99" t="s">
        <v>2066</v>
      </c>
      <c r="B180" s="533" t="s">
        <v>547</v>
      </c>
      <c r="C180" s="237">
        <v>3026.84</v>
      </c>
      <c r="D180" s="237">
        <v>0.24</v>
      </c>
      <c r="E180" s="237">
        <v>142.9</v>
      </c>
      <c r="F180" s="237">
        <v>9606.2900000000009</v>
      </c>
      <c r="G180" s="237">
        <v>6528.06</v>
      </c>
      <c r="H180" s="237">
        <v>3732.29</v>
      </c>
      <c r="I180" s="237">
        <v>3105.3</v>
      </c>
      <c r="J180" s="237">
        <v>831.97</v>
      </c>
      <c r="K180" s="237">
        <f>0.05+87.31+122.68</f>
        <v>210.04000000000002</v>
      </c>
      <c r="L180" s="237">
        <f t="shared" ref="L180:L186" si="12">SUM(C180:K180)</f>
        <v>27183.930000000004</v>
      </c>
      <c r="M180" s="237">
        <v>93.55</v>
      </c>
      <c r="N180" s="237">
        <v>10.07</v>
      </c>
      <c r="O180" s="237">
        <v>7.57</v>
      </c>
      <c r="P180" s="237">
        <v>1192.28</v>
      </c>
      <c r="Q180" s="195" t="s">
        <v>547</v>
      </c>
    </row>
    <row r="181" spans="1:17" s="153" customFormat="1" ht="12.95" customHeight="1" x14ac:dyDescent="0.2">
      <c r="A181" s="99" t="s">
        <v>2066</v>
      </c>
      <c r="B181" s="222" t="s">
        <v>554</v>
      </c>
      <c r="C181" s="276">
        <v>2979.88</v>
      </c>
      <c r="D181" s="276">
        <v>0.19</v>
      </c>
      <c r="E181" s="276">
        <v>158.94999999999999</v>
      </c>
      <c r="F181" s="276">
        <v>6527.94</v>
      </c>
      <c r="G181" s="276">
        <v>6506.95</v>
      </c>
      <c r="H181" s="276">
        <v>3666.87</v>
      </c>
      <c r="I181" s="276">
        <v>3023.35</v>
      </c>
      <c r="J181" s="276">
        <v>834.99</v>
      </c>
      <c r="K181" s="276">
        <f>0.018+75.37+129.79</f>
        <v>205.178</v>
      </c>
      <c r="L181" s="276">
        <f t="shared" si="12"/>
        <v>23904.297999999999</v>
      </c>
      <c r="M181" s="276">
        <v>70.59</v>
      </c>
      <c r="N181" s="276">
        <v>9.74</v>
      </c>
      <c r="O181" s="276">
        <v>6.44</v>
      </c>
      <c r="P181" s="276">
        <v>1235.6600000000001</v>
      </c>
      <c r="Q181" s="286" t="s">
        <v>554</v>
      </c>
    </row>
    <row r="182" spans="1:17" s="153" customFormat="1" ht="12.95" customHeight="1" x14ac:dyDescent="0.2">
      <c r="A182" s="99" t="s">
        <v>2066</v>
      </c>
      <c r="B182" s="533" t="s">
        <v>555</v>
      </c>
      <c r="C182" s="237">
        <v>3109.85</v>
      </c>
      <c r="D182" s="237">
        <v>0.08</v>
      </c>
      <c r="E182" s="237">
        <v>148.84</v>
      </c>
      <c r="F182" s="237">
        <v>6628</v>
      </c>
      <c r="G182" s="237">
        <v>6756.48</v>
      </c>
      <c r="H182" s="237">
        <v>4104.8500000000004</v>
      </c>
      <c r="I182" s="237">
        <v>2888.98</v>
      </c>
      <c r="J182" s="237">
        <v>920.51</v>
      </c>
      <c r="K182" s="237">
        <f>0.05+221.94+120.42</f>
        <v>342.41</v>
      </c>
      <c r="L182" s="237">
        <f t="shared" si="12"/>
        <v>24899.999999999996</v>
      </c>
      <c r="M182" s="237">
        <v>93.82</v>
      </c>
      <c r="N182" s="237">
        <v>10.94</v>
      </c>
      <c r="O182" s="237">
        <v>11.78</v>
      </c>
      <c r="P182" s="237">
        <v>1221.92</v>
      </c>
      <c r="Q182" s="195" t="s">
        <v>555</v>
      </c>
    </row>
    <row r="183" spans="1:17" s="153" customFormat="1" ht="12.95" customHeight="1" x14ac:dyDescent="0.2">
      <c r="A183" s="99" t="s">
        <v>2066</v>
      </c>
      <c r="B183" s="222" t="s">
        <v>548</v>
      </c>
      <c r="C183" s="276">
        <v>2722.65</v>
      </c>
      <c r="D183" s="276">
        <v>0.01</v>
      </c>
      <c r="E183" s="276">
        <v>1963.61</v>
      </c>
      <c r="F183" s="276">
        <v>10991.98</v>
      </c>
      <c r="G183" s="276">
        <v>6872.87</v>
      </c>
      <c r="H183" s="276">
        <v>3416.51</v>
      </c>
      <c r="I183" s="276">
        <v>2718.26</v>
      </c>
      <c r="J183" s="276">
        <v>739.4</v>
      </c>
      <c r="K183" s="276">
        <f>0+70.12+118.44</f>
        <v>188.56</v>
      </c>
      <c r="L183" s="276">
        <f t="shared" si="12"/>
        <v>29613.850000000002</v>
      </c>
      <c r="M183" s="276">
        <v>92.42</v>
      </c>
      <c r="N183" s="276">
        <v>13.66</v>
      </c>
      <c r="O183" s="276">
        <v>6.32</v>
      </c>
      <c r="P183" s="276">
        <v>1511.22</v>
      </c>
      <c r="Q183" s="286" t="s">
        <v>548</v>
      </c>
    </row>
    <row r="184" spans="1:17" s="153" customFormat="1" ht="12.95" customHeight="1" x14ac:dyDescent="0.2">
      <c r="A184" s="99" t="s">
        <v>2066</v>
      </c>
      <c r="B184" s="533" t="s">
        <v>556</v>
      </c>
      <c r="C184" s="237">
        <v>3053.41</v>
      </c>
      <c r="D184" s="237">
        <v>0.01</v>
      </c>
      <c r="E184" s="237">
        <v>481.04</v>
      </c>
      <c r="F184" s="237">
        <v>8504.11</v>
      </c>
      <c r="G184" s="237">
        <v>6793.74</v>
      </c>
      <c r="H184" s="237">
        <v>3581.14</v>
      </c>
      <c r="I184" s="237">
        <v>3297.16</v>
      </c>
      <c r="J184" s="237">
        <v>859.74</v>
      </c>
      <c r="K184" s="237">
        <f>12.96+180.76+114.72</f>
        <v>308.44</v>
      </c>
      <c r="L184" s="237">
        <f t="shared" si="12"/>
        <v>26878.789999999997</v>
      </c>
      <c r="M184" s="237">
        <v>101.53</v>
      </c>
      <c r="N184" s="237">
        <v>13.61</v>
      </c>
      <c r="O184" s="237">
        <v>7.8</v>
      </c>
      <c r="P184" s="237">
        <v>1255.95</v>
      </c>
      <c r="Q184" s="195" t="s">
        <v>556</v>
      </c>
    </row>
    <row r="185" spans="1:17" s="153" customFormat="1" ht="12.95" customHeight="1" x14ac:dyDescent="0.2">
      <c r="A185" s="99" t="s">
        <v>2066</v>
      </c>
      <c r="B185" s="1263" t="s">
        <v>557</v>
      </c>
      <c r="C185" s="276">
        <v>2672.96</v>
      </c>
      <c r="D185" s="276">
        <v>0.01</v>
      </c>
      <c r="E185" s="276">
        <v>437.77</v>
      </c>
      <c r="F185" s="276">
        <v>7046.36</v>
      </c>
      <c r="G185" s="276">
        <v>6182.69</v>
      </c>
      <c r="H185" s="276">
        <v>3354.16</v>
      </c>
      <c r="I185" s="276">
        <v>3000.6</v>
      </c>
      <c r="J185" s="276">
        <v>725.91</v>
      </c>
      <c r="K185" s="276">
        <f>11.79+164.5+130.43</f>
        <v>306.72000000000003</v>
      </c>
      <c r="L185" s="276">
        <f t="shared" si="12"/>
        <v>23727.18</v>
      </c>
      <c r="M185" s="276">
        <v>88.02</v>
      </c>
      <c r="N185" s="276">
        <v>20.49</v>
      </c>
      <c r="O185" s="276">
        <v>7.9</v>
      </c>
      <c r="P185" s="276">
        <v>1215.73</v>
      </c>
      <c r="Q185" s="286" t="s">
        <v>557</v>
      </c>
    </row>
    <row r="186" spans="1:17" s="153" customFormat="1" ht="12.95" customHeight="1" x14ac:dyDescent="0.2">
      <c r="A186" s="99" t="s">
        <v>2066</v>
      </c>
      <c r="B186" s="533" t="s">
        <v>549</v>
      </c>
      <c r="C186" s="237">
        <v>3238.67</v>
      </c>
      <c r="D186" s="237">
        <v>0.02</v>
      </c>
      <c r="E186" s="237">
        <v>469.06</v>
      </c>
      <c r="F186" s="237">
        <v>10648.56</v>
      </c>
      <c r="G186" s="237">
        <v>6626.98</v>
      </c>
      <c r="H186" s="237">
        <v>4064.04</v>
      </c>
      <c r="I186" s="237">
        <v>3215.07</v>
      </c>
      <c r="J186" s="237">
        <v>879.54</v>
      </c>
      <c r="K186" s="237">
        <f>12.64+176.25+140.68</f>
        <v>329.57</v>
      </c>
      <c r="L186" s="237">
        <f t="shared" si="12"/>
        <v>29471.510000000002</v>
      </c>
      <c r="M186" s="237">
        <v>74.7</v>
      </c>
      <c r="N186" s="237">
        <v>13.95</v>
      </c>
      <c r="O186" s="237">
        <v>11.9</v>
      </c>
      <c r="P186" s="237">
        <v>1324.02</v>
      </c>
      <c r="Q186" s="195" t="s">
        <v>549</v>
      </c>
    </row>
    <row r="187" spans="1:17" s="153" customFormat="1" ht="12.95" customHeight="1" x14ac:dyDescent="0.2">
      <c r="A187" s="99" t="s">
        <v>2066</v>
      </c>
      <c r="B187" s="1263" t="s">
        <v>558</v>
      </c>
      <c r="C187" s="276">
        <v>2707.86</v>
      </c>
      <c r="D187" s="276">
        <v>0.01</v>
      </c>
      <c r="E187" s="276">
        <v>480.64</v>
      </c>
      <c r="F187" s="276">
        <v>6679.19</v>
      </c>
      <c r="G187" s="276">
        <v>6790.6</v>
      </c>
      <c r="H187" s="276">
        <v>3397.96</v>
      </c>
      <c r="I187" s="276">
        <v>3294.45</v>
      </c>
      <c r="J187" s="276">
        <v>735.39</v>
      </c>
      <c r="K187" s="276">
        <f>12.95+180.6+151.89</f>
        <v>345.43999999999994</v>
      </c>
      <c r="L187" s="276">
        <f t="shared" ref="L187:L194" si="13">SUM(C187:K187)</f>
        <v>24431.54</v>
      </c>
      <c r="M187" s="276">
        <v>70.930000000000007</v>
      </c>
      <c r="N187" s="276">
        <v>9.06</v>
      </c>
      <c r="O187" s="276">
        <v>8.25</v>
      </c>
      <c r="P187" s="276">
        <v>866.4</v>
      </c>
      <c r="Q187" s="286" t="s">
        <v>558</v>
      </c>
    </row>
    <row r="188" spans="1:17" s="153" customFormat="1" ht="12.95" customHeight="1" x14ac:dyDescent="0.2">
      <c r="A188" s="99" t="s">
        <v>2066</v>
      </c>
      <c r="B188" s="533" t="s">
        <v>559</v>
      </c>
      <c r="C188" s="237">
        <v>3729.89</v>
      </c>
      <c r="D188" s="237">
        <v>0.01</v>
      </c>
      <c r="E188" s="237">
        <v>521.91999999999996</v>
      </c>
      <c r="F188" s="237">
        <v>10793.52</v>
      </c>
      <c r="G188" s="237">
        <v>7371.16</v>
      </c>
      <c r="H188" s="237">
        <v>4683.45</v>
      </c>
      <c r="I188" s="237">
        <v>3577.39</v>
      </c>
      <c r="J188" s="237">
        <v>1012.95</v>
      </c>
      <c r="K188" s="237">
        <f>14.07+196.12+107.68</f>
        <v>317.87</v>
      </c>
      <c r="L188" s="237">
        <f t="shared" si="13"/>
        <v>32008.16</v>
      </c>
      <c r="M188" s="237">
        <v>95.07</v>
      </c>
      <c r="N188" s="237">
        <v>11.86</v>
      </c>
      <c r="O188" s="237">
        <v>7.38</v>
      </c>
      <c r="P188" s="237">
        <v>1353.83</v>
      </c>
      <c r="Q188" s="195" t="s">
        <v>559</v>
      </c>
    </row>
    <row r="189" spans="1:17" s="153" customFormat="1" ht="12.95" customHeight="1" x14ac:dyDescent="0.2">
      <c r="A189" s="99" t="s">
        <v>2066</v>
      </c>
      <c r="B189" s="222" t="s">
        <v>550</v>
      </c>
      <c r="C189" s="276">
        <v>3595.78</v>
      </c>
      <c r="D189" s="276">
        <v>0.01</v>
      </c>
      <c r="E189" s="276">
        <v>231.31</v>
      </c>
      <c r="F189" s="276">
        <v>24161.05</v>
      </c>
      <c r="G189" s="276">
        <v>10500.23</v>
      </c>
      <c r="H189" s="276">
        <v>4512.17</v>
      </c>
      <c r="I189" s="276">
        <v>4489.76</v>
      </c>
      <c r="J189" s="276">
        <v>976.53</v>
      </c>
      <c r="K189" s="276">
        <f>0.07+344.92+226.14</f>
        <v>571.13</v>
      </c>
      <c r="L189" s="276">
        <f t="shared" si="13"/>
        <v>49037.97</v>
      </c>
      <c r="M189" s="276">
        <v>127.89</v>
      </c>
      <c r="N189" s="276">
        <v>15.16</v>
      </c>
      <c r="O189" s="276">
        <v>112.13</v>
      </c>
      <c r="P189" s="276">
        <v>1864.36</v>
      </c>
      <c r="Q189" s="286" t="s">
        <v>550</v>
      </c>
    </row>
    <row r="190" spans="1:17" s="153" customFormat="1" ht="12.95" customHeight="1" x14ac:dyDescent="0.2">
      <c r="A190" s="99" t="s">
        <v>2205</v>
      </c>
      <c r="B190" s="533" t="s">
        <v>552</v>
      </c>
      <c r="C190" s="276">
        <v>2987.04</v>
      </c>
      <c r="D190" s="276">
        <v>0.01</v>
      </c>
      <c r="E190" s="276">
        <v>157.72999999999999</v>
      </c>
      <c r="F190" s="276">
        <v>5559.12</v>
      </c>
      <c r="G190" s="276">
        <v>6616.48</v>
      </c>
      <c r="H190" s="276">
        <v>3805.48</v>
      </c>
      <c r="I190" s="276">
        <v>1652.78</v>
      </c>
      <c r="J190" s="276">
        <v>828.74</v>
      </c>
      <c r="K190" s="276">
        <f>109.63+105+0.35</f>
        <v>214.98</v>
      </c>
      <c r="L190" s="276">
        <f t="shared" si="13"/>
        <v>21822.36</v>
      </c>
      <c r="M190" s="276">
        <v>74.92</v>
      </c>
      <c r="N190" s="276">
        <v>5.93</v>
      </c>
      <c r="O190" s="276">
        <v>7.22</v>
      </c>
      <c r="P190" s="276">
        <v>1059.07</v>
      </c>
      <c r="Q190" s="286" t="s">
        <v>552</v>
      </c>
    </row>
    <row r="191" spans="1:17" s="153" customFormat="1" ht="12.95" customHeight="1" x14ac:dyDescent="0.2">
      <c r="A191" s="99" t="s">
        <v>2205</v>
      </c>
      <c r="B191" s="222" t="s">
        <v>553</v>
      </c>
      <c r="C191" s="237">
        <v>3342.74</v>
      </c>
      <c r="D191" s="237">
        <v>0.01</v>
      </c>
      <c r="E191" s="237">
        <v>143.32</v>
      </c>
      <c r="F191" s="237">
        <v>6905.66</v>
      </c>
      <c r="G191" s="237">
        <v>6237.29</v>
      </c>
      <c r="H191" s="237">
        <v>4197.1499999999996</v>
      </c>
      <c r="I191" s="237">
        <v>3220.48</v>
      </c>
      <c r="J191" s="237">
        <v>913</v>
      </c>
      <c r="K191" s="237">
        <f>0.27+129.3+149.19</f>
        <v>278.76</v>
      </c>
      <c r="L191" s="237">
        <f t="shared" si="13"/>
        <v>25238.409999999996</v>
      </c>
      <c r="M191" s="237">
        <v>92.12</v>
      </c>
      <c r="N191" s="237">
        <v>7.94</v>
      </c>
      <c r="O191" s="237">
        <v>7.15</v>
      </c>
      <c r="P191" s="237">
        <v>1401.42</v>
      </c>
      <c r="Q191" s="195" t="s">
        <v>553</v>
      </c>
    </row>
    <row r="192" spans="1:17" s="153" customFormat="1" ht="12.95" customHeight="1" x14ac:dyDescent="0.2">
      <c r="A192" s="99" t="s">
        <v>2205</v>
      </c>
      <c r="B192" s="533" t="s">
        <v>547</v>
      </c>
      <c r="C192" s="276">
        <v>3045.82</v>
      </c>
      <c r="D192" s="276">
        <v>0</v>
      </c>
      <c r="E192" s="276">
        <v>161.5</v>
      </c>
      <c r="F192" s="276">
        <v>10267.969999999999</v>
      </c>
      <c r="G192" s="276">
        <v>6441.03</v>
      </c>
      <c r="H192" s="276">
        <v>3972.51</v>
      </c>
      <c r="I192" s="276">
        <v>3453.83</v>
      </c>
      <c r="J192" s="276">
        <v>778.83</v>
      </c>
      <c r="K192" s="276">
        <f>0.17+125.6+179.67</f>
        <v>305.44</v>
      </c>
      <c r="L192" s="276">
        <f t="shared" si="13"/>
        <v>28426.930000000004</v>
      </c>
      <c r="M192" s="276">
        <v>78.34</v>
      </c>
      <c r="N192" s="276">
        <v>7.67</v>
      </c>
      <c r="O192" s="276">
        <v>7.54</v>
      </c>
      <c r="P192" s="276">
        <v>1158.97</v>
      </c>
      <c r="Q192" s="286" t="s">
        <v>547</v>
      </c>
    </row>
    <row r="193" spans="1:19" s="153" customFormat="1" ht="12.95" customHeight="1" x14ac:dyDescent="0.2">
      <c r="A193" s="99" t="s">
        <v>2205</v>
      </c>
      <c r="B193" s="222" t="s">
        <v>554</v>
      </c>
      <c r="C193" s="237">
        <v>3291.55</v>
      </c>
      <c r="D193" s="237">
        <v>0.02</v>
      </c>
      <c r="E193" s="237">
        <v>153.91</v>
      </c>
      <c r="F193" s="237">
        <v>7939.61</v>
      </c>
      <c r="G193" s="237">
        <v>6794.19</v>
      </c>
      <c r="H193" s="237">
        <v>4295.1899999999996</v>
      </c>
      <c r="I193" s="237">
        <v>3045.22</v>
      </c>
      <c r="J193" s="237">
        <v>942.34</v>
      </c>
      <c r="K193" s="237">
        <f>2.27+170.74+212.3</f>
        <v>385.31000000000006</v>
      </c>
      <c r="L193" s="237">
        <f t="shared" si="13"/>
        <v>26847.34</v>
      </c>
      <c r="M193" s="237">
        <v>84.55</v>
      </c>
      <c r="N193" s="237">
        <v>8.3000000000000007</v>
      </c>
      <c r="O193" s="237">
        <v>8.59</v>
      </c>
      <c r="P193" s="237">
        <v>1137.2</v>
      </c>
      <c r="Q193" s="195" t="s">
        <v>554</v>
      </c>
    </row>
    <row r="194" spans="1:19" s="153" customFormat="1" ht="12.95" customHeight="1" x14ac:dyDescent="0.2">
      <c r="A194" s="99" t="s">
        <v>2205</v>
      </c>
      <c r="B194" s="533" t="s">
        <v>555</v>
      </c>
      <c r="C194" s="276">
        <v>3354.53</v>
      </c>
      <c r="D194" s="276">
        <v>0</v>
      </c>
      <c r="E194" s="276">
        <v>148.82</v>
      </c>
      <c r="F194" s="276">
        <v>7897.73</v>
      </c>
      <c r="G194" s="276">
        <v>8151.29</v>
      </c>
      <c r="H194" s="276">
        <v>4398.3500000000004</v>
      </c>
      <c r="I194" s="276">
        <v>3082.13</v>
      </c>
      <c r="J194" s="276">
        <v>1018.2</v>
      </c>
      <c r="K194" s="276">
        <f>0+92.92+207.87</f>
        <v>300.79000000000002</v>
      </c>
      <c r="L194" s="276">
        <f t="shared" si="13"/>
        <v>28351.840000000004</v>
      </c>
      <c r="M194" s="276">
        <v>82.22</v>
      </c>
      <c r="N194" s="276">
        <v>11.14</v>
      </c>
      <c r="O194" s="276">
        <v>7.67</v>
      </c>
      <c r="P194" s="276">
        <v>1379.5</v>
      </c>
      <c r="Q194" s="286" t="s">
        <v>555</v>
      </c>
    </row>
    <row r="195" spans="1:19" s="153" customFormat="1" ht="12.95" customHeight="1" x14ac:dyDescent="0.2">
      <c r="A195" s="99" t="s">
        <v>2205</v>
      </c>
      <c r="B195" s="222" t="s">
        <v>548</v>
      </c>
      <c r="C195" s="237">
        <v>2975.63</v>
      </c>
      <c r="D195" s="237">
        <v>0</v>
      </c>
      <c r="E195" s="237">
        <v>141.52000000000001</v>
      </c>
      <c r="F195" s="237">
        <v>10376.280000000001</v>
      </c>
      <c r="G195" s="237">
        <v>6677.34</v>
      </c>
      <c r="H195" s="237">
        <v>3782.91</v>
      </c>
      <c r="I195" s="237">
        <v>2698.7</v>
      </c>
      <c r="J195" s="237">
        <v>868.95</v>
      </c>
      <c r="K195" s="237">
        <f>0.03+106.67+175.2</f>
        <v>281.89999999999998</v>
      </c>
      <c r="L195" s="237">
        <f>C195+D195+E195+F195+G195+H195+I195+J195+K195</f>
        <v>27803.230000000003</v>
      </c>
      <c r="M195" s="237">
        <v>80.08</v>
      </c>
      <c r="N195" s="237">
        <v>11.47</v>
      </c>
      <c r="O195" s="237">
        <v>6.96</v>
      </c>
      <c r="P195" s="237">
        <v>1310.52</v>
      </c>
      <c r="Q195" s="195" t="s">
        <v>548</v>
      </c>
    </row>
    <row r="196" spans="1:19" s="153" customFormat="1" ht="12.95" customHeight="1" x14ac:dyDescent="0.2">
      <c r="A196" s="99" t="s">
        <v>2205</v>
      </c>
      <c r="B196" s="533" t="s">
        <v>556</v>
      </c>
      <c r="C196" s="276">
        <v>3525.79</v>
      </c>
      <c r="D196" s="276">
        <v>0.01</v>
      </c>
      <c r="E196" s="276">
        <v>2235.58</v>
      </c>
      <c r="F196" s="276">
        <v>10828.56</v>
      </c>
      <c r="G196" s="276">
        <v>7376.37</v>
      </c>
      <c r="H196" s="276">
        <v>4197.1400000000003</v>
      </c>
      <c r="I196" s="276">
        <v>3582.81</v>
      </c>
      <c r="J196" s="276">
        <v>1117.52</v>
      </c>
      <c r="K196" s="276">
        <f>1.61+158.45+191.26</f>
        <v>351.32</v>
      </c>
      <c r="L196" s="276">
        <f>C196+D196+E196+F196+G196+H196+I196+J196+K196</f>
        <v>33215.1</v>
      </c>
      <c r="M196" s="276">
        <v>89.21</v>
      </c>
      <c r="N196" s="276">
        <v>11.74</v>
      </c>
      <c r="O196" s="276">
        <v>8.51</v>
      </c>
      <c r="P196" s="276">
        <v>1268.06</v>
      </c>
      <c r="Q196" s="286" t="s">
        <v>556</v>
      </c>
    </row>
    <row r="197" spans="1:19" s="153" customFormat="1" ht="12.95" customHeight="1" x14ac:dyDescent="0.2">
      <c r="A197" s="99" t="s">
        <v>2205</v>
      </c>
      <c r="B197" s="1263" t="s">
        <v>557</v>
      </c>
      <c r="C197" s="1184">
        <v>3128.78</v>
      </c>
      <c r="D197" s="1184">
        <v>0.01</v>
      </c>
      <c r="E197" s="1184">
        <v>452.71</v>
      </c>
      <c r="F197" s="1184">
        <v>8215.3799999999992</v>
      </c>
      <c r="G197" s="1184">
        <v>6596.68</v>
      </c>
      <c r="H197" s="1184">
        <v>3593.22</v>
      </c>
      <c r="I197" s="1184">
        <v>3340.35</v>
      </c>
      <c r="J197" s="1184">
        <v>942.77</v>
      </c>
      <c r="K197" s="1184">
        <f>1.64+279.98+199.91</f>
        <v>481.53</v>
      </c>
      <c r="L197" s="1184">
        <f>C197+D197+E197+F197+G197+H197+I197+J197+K197</f>
        <v>26751.429999999997</v>
      </c>
      <c r="M197" s="1184">
        <v>80.7</v>
      </c>
      <c r="N197" s="1184">
        <v>14.47</v>
      </c>
      <c r="O197" s="1184">
        <v>8.02</v>
      </c>
      <c r="P197" s="1184">
        <v>1320.59</v>
      </c>
      <c r="Q197" s="1264" t="s">
        <v>557</v>
      </c>
    </row>
    <row r="198" spans="1:19" s="153" customFormat="1" ht="12.95" customHeight="1" x14ac:dyDescent="0.2">
      <c r="A198" s="99" t="s">
        <v>2205</v>
      </c>
      <c r="B198" s="533" t="s">
        <v>549</v>
      </c>
      <c r="C198" s="276">
        <v>3563.57</v>
      </c>
      <c r="D198" s="276">
        <v>0</v>
      </c>
      <c r="E198" s="276">
        <v>220.11</v>
      </c>
      <c r="F198" s="276">
        <v>11762.7</v>
      </c>
      <c r="G198" s="276">
        <v>6798.42</v>
      </c>
      <c r="H198" s="276">
        <v>3983.03</v>
      </c>
      <c r="I198" s="276">
        <v>3665.46</v>
      </c>
      <c r="J198" s="276">
        <v>1142.3699999999999</v>
      </c>
      <c r="K198" s="276">
        <f>1.55+272.81+210.73</f>
        <v>485.09000000000003</v>
      </c>
      <c r="L198" s="276">
        <f>C198+D198+E198+F198+G198+H198+I198+J198+K198</f>
        <v>31620.75</v>
      </c>
      <c r="M198" s="276">
        <v>73.67</v>
      </c>
      <c r="N198" s="276">
        <v>14.52</v>
      </c>
      <c r="O198" s="276">
        <v>17.62</v>
      </c>
      <c r="P198" s="276">
        <v>1390.98</v>
      </c>
      <c r="Q198" s="286" t="s">
        <v>549</v>
      </c>
    </row>
    <row r="199" spans="1:19" s="153" customFormat="1" ht="12.95" customHeight="1" x14ac:dyDescent="0.2">
      <c r="A199" s="99" t="s">
        <v>2205</v>
      </c>
      <c r="B199" s="1263" t="s">
        <v>558</v>
      </c>
      <c r="C199" s="1184">
        <v>3324.82</v>
      </c>
      <c r="D199" s="1184">
        <v>0</v>
      </c>
      <c r="E199" s="1184">
        <v>188.86</v>
      </c>
      <c r="F199" s="1184">
        <v>8444.0300000000007</v>
      </c>
      <c r="G199" s="1184">
        <v>7681.02</v>
      </c>
      <c r="H199" s="1184">
        <v>4057.8</v>
      </c>
      <c r="I199" s="1184">
        <v>3638.39</v>
      </c>
      <c r="J199" s="1184">
        <v>876.93</v>
      </c>
      <c r="K199" s="1184">
        <f>0.76+196.99+240.78</f>
        <v>438.53</v>
      </c>
      <c r="L199" s="1184">
        <f t="shared" ref="L199:L219" si="14">C199+D199+E199+F199+G199+H199+I199+J199+K199</f>
        <v>28650.38</v>
      </c>
      <c r="M199" s="1184">
        <v>69.81</v>
      </c>
      <c r="N199" s="1184">
        <v>13.19</v>
      </c>
      <c r="O199" s="1184">
        <v>6.16</v>
      </c>
      <c r="P199" s="1184">
        <v>1009.42</v>
      </c>
      <c r="Q199" s="1264" t="s">
        <v>558</v>
      </c>
    </row>
    <row r="200" spans="1:19" s="153" customFormat="1" ht="12.95" customHeight="1" x14ac:dyDescent="0.2">
      <c r="A200" s="99" t="s">
        <v>2205</v>
      </c>
      <c r="B200" s="533" t="s">
        <v>559</v>
      </c>
      <c r="C200" s="276">
        <v>3597.27</v>
      </c>
      <c r="D200" s="276">
        <v>0.01</v>
      </c>
      <c r="E200" s="276">
        <v>116.41</v>
      </c>
      <c r="F200" s="276">
        <v>11733.69</v>
      </c>
      <c r="G200" s="276">
        <v>7860.1</v>
      </c>
      <c r="H200" s="276">
        <v>4382.3</v>
      </c>
      <c r="I200" s="276">
        <v>5850.07</v>
      </c>
      <c r="J200" s="276">
        <v>1058.6600000000001</v>
      </c>
      <c r="K200" s="276">
        <f>128.56+99.41+175.5</f>
        <v>403.47</v>
      </c>
      <c r="L200" s="276">
        <f t="shared" si="14"/>
        <v>35001.98000000001</v>
      </c>
      <c r="M200" s="276">
        <v>95.64</v>
      </c>
      <c r="N200" s="276">
        <v>9.98</v>
      </c>
      <c r="O200" s="276">
        <v>13.99</v>
      </c>
      <c r="P200" s="276">
        <v>1308.57</v>
      </c>
      <c r="Q200" s="286" t="s">
        <v>559</v>
      </c>
    </row>
    <row r="201" spans="1:19" s="153" customFormat="1" ht="12.95" customHeight="1" x14ac:dyDescent="0.2">
      <c r="A201" s="99" t="s">
        <v>2205</v>
      </c>
      <c r="B201" s="222" t="s">
        <v>550</v>
      </c>
      <c r="C201" s="237">
        <v>3465.73</v>
      </c>
      <c r="D201" s="237">
        <v>0</v>
      </c>
      <c r="E201" s="237">
        <v>185.14</v>
      </c>
      <c r="F201" s="237">
        <v>25865.15</v>
      </c>
      <c r="G201" s="237">
        <v>19834.13</v>
      </c>
      <c r="H201" s="237">
        <v>4855.55</v>
      </c>
      <c r="I201" s="237">
        <v>2893.7</v>
      </c>
      <c r="J201" s="237">
        <v>937.28</v>
      </c>
      <c r="K201" s="237">
        <f>0.01+82.67+182.55</f>
        <v>265.23</v>
      </c>
      <c r="L201" s="237">
        <f t="shared" si="14"/>
        <v>58301.91</v>
      </c>
      <c r="M201" s="237">
        <v>233.55</v>
      </c>
      <c r="N201" s="237">
        <v>17.809999999999999</v>
      </c>
      <c r="O201" s="237">
        <v>11.87</v>
      </c>
      <c r="P201" s="237">
        <v>1260.01</v>
      </c>
      <c r="Q201" s="195" t="s">
        <v>550</v>
      </c>
    </row>
    <row r="202" spans="1:19" s="153" customFormat="1" ht="12.95" customHeight="1" x14ac:dyDescent="0.2">
      <c r="A202" s="1090" t="s">
        <v>2478</v>
      </c>
      <c r="B202" s="222" t="s">
        <v>552</v>
      </c>
      <c r="C202" s="237">
        <v>3182</v>
      </c>
      <c r="D202" s="237">
        <v>0</v>
      </c>
      <c r="E202" s="237">
        <v>149.49</v>
      </c>
      <c r="F202" s="237">
        <v>5027.3</v>
      </c>
      <c r="G202" s="237">
        <v>6463.57</v>
      </c>
      <c r="H202" s="237">
        <v>4151.45</v>
      </c>
      <c r="I202" s="237">
        <v>1618.2</v>
      </c>
      <c r="J202" s="237">
        <v>837.04</v>
      </c>
      <c r="K202" s="237">
        <f>1.64+338+147.39</f>
        <v>487.03</v>
      </c>
      <c r="L202" s="237">
        <f t="shared" si="14"/>
        <v>21916.080000000002</v>
      </c>
      <c r="M202" s="237">
        <v>69.930000000000007</v>
      </c>
      <c r="N202" s="237">
        <v>5.6070000000000002</v>
      </c>
      <c r="O202" s="237">
        <v>7.0549999999999997</v>
      </c>
      <c r="P202" s="237">
        <v>1161</v>
      </c>
      <c r="Q202" s="195" t="s">
        <v>552</v>
      </c>
    </row>
    <row r="203" spans="1:19" s="153" customFormat="1" ht="12.95" customHeight="1" x14ac:dyDescent="0.2">
      <c r="A203" s="1090" t="s">
        <v>2478</v>
      </c>
      <c r="B203" s="533" t="s">
        <v>553</v>
      </c>
      <c r="C203" s="276">
        <v>2999.57</v>
      </c>
      <c r="D203" s="276">
        <v>0</v>
      </c>
      <c r="E203" s="276">
        <v>137.88</v>
      </c>
      <c r="F203" s="276">
        <v>6644.85</v>
      </c>
      <c r="G203" s="276">
        <v>5372.67</v>
      </c>
      <c r="H203" s="276">
        <v>4251.45</v>
      </c>
      <c r="I203" s="276">
        <v>2433</v>
      </c>
      <c r="J203" s="276">
        <v>756.47</v>
      </c>
      <c r="K203" s="276">
        <f>1.47+338.13+153.88</f>
        <v>493.48</v>
      </c>
      <c r="L203" s="276">
        <f t="shared" si="14"/>
        <v>23089.370000000003</v>
      </c>
      <c r="M203" s="276">
        <v>62.46</v>
      </c>
      <c r="N203" s="276">
        <v>8.2799999999999994</v>
      </c>
      <c r="O203" s="276">
        <v>5.4909999999999997</v>
      </c>
      <c r="P203" s="276">
        <v>995.33</v>
      </c>
      <c r="Q203" s="286" t="s">
        <v>553</v>
      </c>
    </row>
    <row r="204" spans="1:19" s="153" customFormat="1" ht="12.95" customHeight="1" x14ac:dyDescent="0.2">
      <c r="A204" s="1090" t="s">
        <v>2478</v>
      </c>
      <c r="B204" s="222" t="s">
        <v>547</v>
      </c>
      <c r="C204" s="237">
        <v>3219.87</v>
      </c>
      <c r="D204" s="237">
        <v>0</v>
      </c>
      <c r="E204" s="237">
        <v>145.88</v>
      </c>
      <c r="F204" s="237">
        <v>11908.81</v>
      </c>
      <c r="G204" s="237">
        <v>6178.67</v>
      </c>
      <c r="H204" s="237">
        <v>4333.7700000000004</v>
      </c>
      <c r="I204" s="237">
        <v>3330.31</v>
      </c>
      <c r="J204" s="237">
        <v>903.85</v>
      </c>
      <c r="K204" s="237">
        <f>1.45+328.13+198.88</f>
        <v>528.46</v>
      </c>
      <c r="L204" s="237">
        <f t="shared" si="14"/>
        <v>30549.62</v>
      </c>
      <c r="M204" s="237">
        <v>85.18</v>
      </c>
      <c r="N204" s="237">
        <v>7.9690000000000003</v>
      </c>
      <c r="O204" s="237">
        <v>25.361000000000001</v>
      </c>
      <c r="P204" s="237">
        <v>1340.74</v>
      </c>
      <c r="Q204" s="195" t="s">
        <v>547</v>
      </c>
      <c r="S204" s="227"/>
    </row>
    <row r="205" spans="1:19" s="153" customFormat="1" ht="12.95" customHeight="1" x14ac:dyDescent="0.2">
      <c r="A205" s="1090" t="s">
        <v>2478</v>
      </c>
      <c r="B205" s="533" t="s">
        <v>554</v>
      </c>
      <c r="C205" s="276">
        <v>3355.89</v>
      </c>
      <c r="D205" s="276">
        <v>0</v>
      </c>
      <c r="E205" s="276">
        <v>202.27</v>
      </c>
      <c r="F205" s="276">
        <v>8338.8700000000008</v>
      </c>
      <c r="G205" s="276">
        <v>6709.11</v>
      </c>
      <c r="H205" s="276">
        <v>4324.8</v>
      </c>
      <c r="I205" s="276">
        <v>3421</v>
      </c>
      <c r="J205" s="276">
        <v>927.8</v>
      </c>
      <c r="K205" s="276">
        <f>1.62+394.78+178.25</f>
        <v>574.65</v>
      </c>
      <c r="L205" s="276">
        <f t="shared" si="14"/>
        <v>27854.39</v>
      </c>
      <c r="M205" s="276">
        <v>86.7</v>
      </c>
      <c r="N205" s="276">
        <v>6.6929999999999996</v>
      </c>
      <c r="O205" s="276">
        <v>9.3740000000000006</v>
      </c>
      <c r="P205" s="276">
        <v>1311.27</v>
      </c>
      <c r="Q205" s="286" t="s">
        <v>554</v>
      </c>
    </row>
    <row r="206" spans="1:19" s="153" customFormat="1" ht="12.95" customHeight="1" x14ac:dyDescent="0.2">
      <c r="A206" s="1090" t="s">
        <v>2478</v>
      </c>
      <c r="B206" s="222" t="s">
        <v>555</v>
      </c>
      <c r="C206" s="237">
        <v>2801.44</v>
      </c>
      <c r="D206" s="237">
        <v>0</v>
      </c>
      <c r="E206" s="237">
        <v>357</v>
      </c>
      <c r="F206" s="237">
        <v>8198.93</v>
      </c>
      <c r="G206" s="237">
        <v>6425.42</v>
      </c>
      <c r="H206" s="237">
        <v>3722.4</v>
      </c>
      <c r="I206" s="237">
        <v>3050</v>
      </c>
      <c r="J206" s="237">
        <v>945.45</v>
      </c>
      <c r="K206" s="237">
        <f>1+343+125.6</f>
        <v>469.6</v>
      </c>
      <c r="L206" s="237">
        <f t="shared" si="14"/>
        <v>25970.240000000002</v>
      </c>
      <c r="M206" s="237">
        <v>70.599999999999994</v>
      </c>
      <c r="N206" s="237">
        <v>8.7609999999999992</v>
      </c>
      <c r="O206" s="237">
        <v>11.776</v>
      </c>
      <c r="P206" s="237">
        <v>1192.6199999999999</v>
      </c>
      <c r="Q206" s="195" t="s">
        <v>555</v>
      </c>
    </row>
    <row r="207" spans="1:19" s="153" customFormat="1" ht="12.95" customHeight="1" x14ac:dyDescent="0.2">
      <c r="A207" s="1090" t="s">
        <v>2478</v>
      </c>
      <c r="B207" s="533" t="s">
        <v>548</v>
      </c>
      <c r="C207" s="276">
        <v>3248.23</v>
      </c>
      <c r="D207" s="276">
        <v>3</v>
      </c>
      <c r="E207" s="276">
        <v>303</v>
      </c>
      <c r="F207" s="276">
        <v>12802.69</v>
      </c>
      <c r="G207" s="276">
        <v>7078.25</v>
      </c>
      <c r="H207" s="276">
        <v>4543</v>
      </c>
      <c r="I207" s="276">
        <v>3459</v>
      </c>
      <c r="J207" s="276">
        <v>982</v>
      </c>
      <c r="K207" s="276">
        <f>2+173.41+234.63</f>
        <v>410.03999999999996</v>
      </c>
      <c r="L207" s="276">
        <f t="shared" si="14"/>
        <v>32829.21</v>
      </c>
      <c r="M207" s="276">
        <v>11.9</v>
      </c>
      <c r="N207" s="276">
        <v>10.862</v>
      </c>
      <c r="O207" s="276">
        <v>11.019</v>
      </c>
      <c r="P207" s="276">
        <v>1285.6600000000001</v>
      </c>
      <c r="Q207" s="286" t="s">
        <v>548</v>
      </c>
    </row>
    <row r="208" spans="1:19" s="153" customFormat="1" ht="12.95" customHeight="1" x14ac:dyDescent="0.2">
      <c r="A208" s="1090" t="s">
        <v>2478</v>
      </c>
      <c r="B208" s="222" t="s">
        <v>556</v>
      </c>
      <c r="C208" s="237">
        <v>3316.15</v>
      </c>
      <c r="D208" s="237">
        <v>0</v>
      </c>
      <c r="E208" s="237">
        <v>2568.4499999999998</v>
      </c>
      <c r="F208" s="237">
        <v>12090.06</v>
      </c>
      <c r="G208" s="237">
        <v>7435.29</v>
      </c>
      <c r="H208" s="237">
        <v>4385.42</v>
      </c>
      <c r="I208" s="237">
        <v>4177.4799999999996</v>
      </c>
      <c r="J208" s="237">
        <v>992.57</v>
      </c>
      <c r="K208" s="237">
        <f>1.67+711.42+202.57</f>
        <v>915.65999999999985</v>
      </c>
      <c r="L208" s="237">
        <f t="shared" si="14"/>
        <v>35881.08</v>
      </c>
      <c r="M208" s="237">
        <v>78.400000000000006</v>
      </c>
      <c r="N208" s="237">
        <v>12.86</v>
      </c>
      <c r="O208" s="237">
        <v>16.649000000000001</v>
      </c>
      <c r="P208" s="237">
        <v>1337.42</v>
      </c>
      <c r="Q208" s="195" t="s">
        <v>556</v>
      </c>
    </row>
    <row r="209" spans="1:17" s="153" customFormat="1" ht="12.95" customHeight="1" x14ac:dyDescent="0.2">
      <c r="A209" s="1090" t="s">
        <v>2478</v>
      </c>
      <c r="B209" s="533" t="s">
        <v>557</v>
      </c>
      <c r="C209" s="276">
        <v>3025.68</v>
      </c>
      <c r="D209" s="276">
        <v>0</v>
      </c>
      <c r="E209" s="276">
        <v>735.25</v>
      </c>
      <c r="F209" s="276">
        <v>9097.85</v>
      </c>
      <c r="G209" s="276">
        <v>6609.69</v>
      </c>
      <c r="H209" s="276">
        <v>3756.55</v>
      </c>
      <c r="I209" s="276">
        <v>3450.7</v>
      </c>
      <c r="J209" s="276">
        <v>1122</v>
      </c>
      <c r="K209" s="276">
        <f>1.1+269.25+187.46</f>
        <v>457.81000000000006</v>
      </c>
      <c r="L209" s="276">
        <f t="shared" si="14"/>
        <v>28255.530000000002</v>
      </c>
      <c r="M209" s="276">
        <v>77.900000000000006</v>
      </c>
      <c r="N209" s="276">
        <v>10.831</v>
      </c>
      <c r="O209" s="276">
        <v>11.448</v>
      </c>
      <c r="P209" s="276">
        <v>1485.73</v>
      </c>
      <c r="Q209" s="286" t="s">
        <v>557</v>
      </c>
    </row>
    <row r="210" spans="1:17" s="153" customFormat="1" ht="12.95" customHeight="1" x14ac:dyDescent="0.2">
      <c r="A210" s="1090" t="s">
        <v>2478</v>
      </c>
      <c r="B210" s="1208" t="s">
        <v>549</v>
      </c>
      <c r="C210" s="494">
        <v>3161.12</v>
      </c>
      <c r="D210" s="494">
        <v>0</v>
      </c>
      <c r="E210" s="494">
        <v>226</v>
      </c>
      <c r="F210" s="494">
        <v>12809</v>
      </c>
      <c r="G210" s="494">
        <v>7310.55</v>
      </c>
      <c r="H210" s="494">
        <v>4090.54</v>
      </c>
      <c r="I210" s="494">
        <v>3551</v>
      </c>
      <c r="J210" s="494">
        <v>1094.53</v>
      </c>
      <c r="K210" s="494">
        <f>1+216+189.67</f>
        <v>406.66999999999996</v>
      </c>
      <c r="L210" s="494">
        <f t="shared" si="14"/>
        <v>32649.409999999996</v>
      </c>
      <c r="M210" s="494">
        <v>75.099999999999994</v>
      </c>
      <c r="N210" s="494">
        <v>9.3030000000000008</v>
      </c>
      <c r="O210" s="494">
        <v>12.815</v>
      </c>
      <c r="P210" s="494">
        <v>1213.76</v>
      </c>
      <c r="Q210" s="1376" t="s">
        <v>549</v>
      </c>
    </row>
    <row r="211" spans="1:17" s="153" customFormat="1" ht="12.95" customHeight="1" x14ac:dyDescent="0.2">
      <c r="A211" s="1090" t="s">
        <v>2478</v>
      </c>
      <c r="B211" s="1425" t="s">
        <v>558</v>
      </c>
      <c r="C211" s="805">
        <v>3411.45</v>
      </c>
      <c r="D211" s="805">
        <v>0</v>
      </c>
      <c r="E211" s="805">
        <v>188.19</v>
      </c>
      <c r="F211" s="805">
        <v>9521.7999999999993</v>
      </c>
      <c r="G211" s="805">
        <v>8544.65</v>
      </c>
      <c r="H211" s="805">
        <v>4627.57</v>
      </c>
      <c r="I211" s="805">
        <v>8979.68</v>
      </c>
      <c r="J211" s="805">
        <v>896.3</v>
      </c>
      <c r="K211" s="805">
        <f>1+259+174.5</f>
        <v>434.5</v>
      </c>
      <c r="L211" s="805">
        <f t="shared" si="14"/>
        <v>36604.14</v>
      </c>
      <c r="M211" s="805">
        <v>102.8</v>
      </c>
      <c r="N211" s="805">
        <v>9.3889999999999993</v>
      </c>
      <c r="O211" s="805">
        <v>8.0370000000000008</v>
      </c>
      <c r="P211" s="805">
        <v>1228.3699999999999</v>
      </c>
      <c r="Q211" s="1426" t="s">
        <v>558</v>
      </c>
    </row>
    <row r="212" spans="1:17" s="153" customFormat="1" ht="12.95" customHeight="1" x14ac:dyDescent="0.2">
      <c r="A212" s="1090" t="s">
        <v>2478</v>
      </c>
      <c r="B212" s="1208" t="s">
        <v>559</v>
      </c>
      <c r="C212" s="494">
        <v>3563.65</v>
      </c>
      <c r="D212" s="494">
        <v>0</v>
      </c>
      <c r="E212" s="494">
        <v>160.52000000000001</v>
      </c>
      <c r="F212" s="494">
        <v>9179.02</v>
      </c>
      <c r="G212" s="494">
        <v>7161.23</v>
      </c>
      <c r="H212" s="494">
        <v>4948.58</v>
      </c>
      <c r="I212" s="494">
        <v>5603.96</v>
      </c>
      <c r="J212" s="494">
        <v>949</v>
      </c>
      <c r="K212" s="494">
        <f>1+449.1+168.73</f>
        <v>618.83000000000004</v>
      </c>
      <c r="L212" s="494">
        <f t="shared" si="14"/>
        <v>32184.79</v>
      </c>
      <c r="M212" s="494">
        <v>132</v>
      </c>
      <c r="N212" s="494">
        <v>9.7739999999999991</v>
      </c>
      <c r="O212" s="494">
        <v>10.795</v>
      </c>
      <c r="P212" s="494">
        <v>155.50399999999999</v>
      </c>
      <c r="Q212" s="1376" t="s">
        <v>559</v>
      </c>
    </row>
    <row r="213" spans="1:17" s="153" customFormat="1" ht="12.95" customHeight="1" x14ac:dyDescent="0.2">
      <c r="A213" s="1090" t="s">
        <v>2478</v>
      </c>
      <c r="B213" s="1425" t="s">
        <v>550</v>
      </c>
      <c r="C213" s="805">
        <v>2792.41</v>
      </c>
      <c r="D213" s="805">
        <v>0</v>
      </c>
      <c r="E213" s="805">
        <v>197</v>
      </c>
      <c r="F213" s="805">
        <v>21361</v>
      </c>
      <c r="G213" s="805">
        <v>11220</v>
      </c>
      <c r="H213" s="805">
        <v>3868.21</v>
      </c>
      <c r="I213" s="805">
        <v>2466</v>
      </c>
      <c r="J213" s="805">
        <v>705.17</v>
      </c>
      <c r="K213" s="805">
        <f>0.77+330+152</f>
        <v>482.77</v>
      </c>
      <c r="L213" s="805">
        <f t="shared" si="14"/>
        <v>43092.56</v>
      </c>
      <c r="M213" s="805">
        <v>301.60000000000002</v>
      </c>
      <c r="N213" s="805">
        <v>8.9649999999999999</v>
      </c>
      <c r="O213" s="805">
        <v>12.294</v>
      </c>
      <c r="P213" s="805">
        <v>134.12100000000001</v>
      </c>
      <c r="Q213" s="1426" t="s">
        <v>550</v>
      </c>
    </row>
    <row r="214" spans="1:17" s="153" customFormat="1" ht="12.95" customHeight="1" x14ac:dyDescent="0.2">
      <c r="A214" s="99" t="s">
        <v>2729</v>
      </c>
      <c r="B214" s="533" t="s">
        <v>552</v>
      </c>
      <c r="C214" s="805">
        <v>3518.76</v>
      </c>
      <c r="D214" s="805">
        <v>0</v>
      </c>
      <c r="E214" s="805">
        <v>161</v>
      </c>
      <c r="F214" s="805">
        <v>6132.54</v>
      </c>
      <c r="G214" s="805">
        <v>6930</v>
      </c>
      <c r="H214" s="805">
        <v>5263</v>
      </c>
      <c r="I214" s="805">
        <v>4027</v>
      </c>
      <c r="J214" s="805">
        <v>820.8</v>
      </c>
      <c r="K214" s="805">
        <f>235+168.43+0</f>
        <v>403.43</v>
      </c>
      <c r="L214" s="805">
        <f t="shared" si="14"/>
        <v>27256.53</v>
      </c>
      <c r="M214" s="805">
        <v>89.49</v>
      </c>
      <c r="N214" s="805">
        <v>6.3360000000000003</v>
      </c>
      <c r="O214" s="805">
        <v>9.9550000000000001</v>
      </c>
      <c r="P214" s="805">
        <v>141.001</v>
      </c>
      <c r="Q214" s="286" t="s">
        <v>552</v>
      </c>
    </row>
    <row r="215" spans="1:17" s="153" customFormat="1" ht="12.95" customHeight="1" x14ac:dyDescent="0.2">
      <c r="A215" s="99" t="s">
        <v>2729</v>
      </c>
      <c r="B215" s="222" t="s">
        <v>553</v>
      </c>
      <c r="C215" s="494">
        <v>2779</v>
      </c>
      <c r="D215" s="494">
        <v>0</v>
      </c>
      <c r="E215" s="494">
        <v>201</v>
      </c>
      <c r="F215" s="494">
        <v>8247</v>
      </c>
      <c r="G215" s="494">
        <v>6819</v>
      </c>
      <c r="H215" s="494">
        <v>3982</v>
      </c>
      <c r="I215" s="494">
        <v>3808</v>
      </c>
      <c r="J215" s="494">
        <v>886</v>
      </c>
      <c r="K215" s="494">
        <f>0+256+196</f>
        <v>452</v>
      </c>
      <c r="L215" s="494">
        <f t="shared" si="14"/>
        <v>27174</v>
      </c>
      <c r="M215" s="494">
        <v>90.13</v>
      </c>
      <c r="N215" s="494">
        <v>9.1479999999999997</v>
      </c>
      <c r="O215" s="494">
        <v>9.8550000000000004</v>
      </c>
      <c r="P215" s="494">
        <v>158.82599999999999</v>
      </c>
      <c r="Q215" s="195" t="s">
        <v>553</v>
      </c>
    </row>
    <row r="216" spans="1:17" s="153" customFormat="1" ht="12.95" customHeight="1" x14ac:dyDescent="0.2">
      <c r="A216" s="99" t="s">
        <v>2729</v>
      </c>
      <c r="B216" s="533" t="s">
        <v>547</v>
      </c>
      <c r="C216" s="805">
        <v>3490</v>
      </c>
      <c r="D216" s="805">
        <v>0</v>
      </c>
      <c r="E216" s="805">
        <v>199</v>
      </c>
      <c r="F216" s="805">
        <v>13367.76</v>
      </c>
      <c r="G216" s="805">
        <v>7575</v>
      </c>
      <c r="H216" s="805">
        <v>5624</v>
      </c>
      <c r="I216" s="805">
        <v>4332</v>
      </c>
      <c r="J216" s="805">
        <v>1167</v>
      </c>
      <c r="K216" s="805">
        <f>0+452.24+202</f>
        <v>654.24</v>
      </c>
      <c r="L216" s="805">
        <f t="shared" si="14"/>
        <v>36409</v>
      </c>
      <c r="M216" s="805">
        <v>85.7</v>
      </c>
      <c r="N216" s="805">
        <v>9.6180000000000003</v>
      </c>
      <c r="O216" s="805">
        <v>9.0530000000000008</v>
      </c>
      <c r="P216" s="805">
        <v>181.38499999999999</v>
      </c>
      <c r="Q216" s="286" t="s">
        <v>547</v>
      </c>
    </row>
    <row r="217" spans="1:17" s="153" customFormat="1" ht="12.95" customHeight="1" x14ac:dyDescent="0.2">
      <c r="A217" s="99" t="s">
        <v>2729</v>
      </c>
      <c r="B217" s="222" t="s">
        <v>554</v>
      </c>
      <c r="C217" s="494">
        <v>2455</v>
      </c>
      <c r="D217" s="494">
        <v>0</v>
      </c>
      <c r="E217" s="494">
        <v>213.76</v>
      </c>
      <c r="F217" s="494">
        <v>9164</v>
      </c>
      <c r="G217" s="494">
        <v>7109</v>
      </c>
      <c r="H217" s="494">
        <v>3835</v>
      </c>
      <c r="I217" s="494">
        <v>4112</v>
      </c>
      <c r="J217" s="494">
        <v>962</v>
      </c>
      <c r="K217" s="494">
        <f>0+449+214.89</f>
        <v>663.89</v>
      </c>
      <c r="L217" s="494">
        <f t="shared" si="14"/>
        <v>28514.65</v>
      </c>
      <c r="M217" s="494">
        <v>88.1</v>
      </c>
      <c r="N217" s="494">
        <v>10.666</v>
      </c>
      <c r="O217" s="494">
        <v>19.512</v>
      </c>
      <c r="P217" s="494">
        <v>142.40600000000001</v>
      </c>
      <c r="Q217" s="195" t="s">
        <v>554</v>
      </c>
    </row>
    <row r="218" spans="1:17" x14ac:dyDescent="0.2">
      <c r="A218" s="99" t="s">
        <v>2729</v>
      </c>
      <c r="B218" s="533" t="s">
        <v>555</v>
      </c>
      <c r="C218" s="805">
        <v>2678</v>
      </c>
      <c r="D218" s="805">
        <v>0</v>
      </c>
      <c r="E218" s="805">
        <v>211</v>
      </c>
      <c r="F218" s="805">
        <v>9989</v>
      </c>
      <c r="G218" s="805">
        <v>7153.45</v>
      </c>
      <c r="H218" s="805">
        <v>4562</v>
      </c>
      <c r="I218" s="805">
        <v>3785</v>
      </c>
      <c r="J218" s="805">
        <v>890</v>
      </c>
      <c r="K218" s="805">
        <f>0+203+213</f>
        <v>416</v>
      </c>
      <c r="L218" s="805">
        <f t="shared" si="14"/>
        <v>29684.45</v>
      </c>
      <c r="M218" s="805" t="s">
        <v>288</v>
      </c>
      <c r="N218" s="805" t="s">
        <v>288</v>
      </c>
      <c r="O218" s="805" t="s">
        <v>288</v>
      </c>
      <c r="P218" s="805" t="s">
        <v>288</v>
      </c>
      <c r="Q218" s="286" t="s">
        <v>555</v>
      </c>
    </row>
    <row r="219" spans="1:17" x14ac:dyDescent="0.2">
      <c r="A219" s="99" t="s">
        <v>2729</v>
      </c>
      <c r="B219" s="1579" t="s">
        <v>548</v>
      </c>
      <c r="C219" s="494">
        <v>3137</v>
      </c>
      <c r="D219" s="494">
        <v>0</v>
      </c>
      <c r="E219" s="494">
        <v>208</v>
      </c>
      <c r="F219" s="494">
        <v>13775</v>
      </c>
      <c r="G219" s="494">
        <v>8066</v>
      </c>
      <c r="H219" s="494">
        <v>5873</v>
      </c>
      <c r="I219" s="494">
        <v>3738</v>
      </c>
      <c r="J219" s="494">
        <v>940</v>
      </c>
      <c r="K219" s="494">
        <f>0+249+210</f>
        <v>459</v>
      </c>
      <c r="L219" s="494">
        <f t="shared" si="14"/>
        <v>36196</v>
      </c>
      <c r="M219" s="494" t="s">
        <v>288</v>
      </c>
      <c r="N219" s="494" t="s">
        <v>288</v>
      </c>
      <c r="O219" s="494" t="s">
        <v>288</v>
      </c>
      <c r="P219" s="494" t="s">
        <v>288</v>
      </c>
      <c r="Q219" s="195" t="s">
        <v>548</v>
      </c>
    </row>
    <row r="220" spans="1:17" ht="10.5" customHeight="1" x14ac:dyDescent="0.2">
      <c r="A220" s="99" t="s">
        <v>2729</v>
      </c>
      <c r="B220" s="1621" t="s">
        <v>556</v>
      </c>
      <c r="C220" s="805">
        <v>2694</v>
      </c>
      <c r="D220" s="805">
        <v>0</v>
      </c>
      <c r="E220" s="805">
        <v>2599</v>
      </c>
      <c r="F220" s="805">
        <v>12966</v>
      </c>
      <c r="G220" s="805">
        <v>7808</v>
      </c>
      <c r="H220" s="805">
        <v>4519</v>
      </c>
      <c r="I220" s="805">
        <v>4641</v>
      </c>
      <c r="J220" s="805">
        <v>975</v>
      </c>
      <c r="K220" s="805">
        <f>0+229+209</f>
        <v>438</v>
      </c>
      <c r="L220" s="805">
        <f>C220+D220+E220+F220+G220+H220+I220+J220+K220</f>
        <v>36640</v>
      </c>
      <c r="M220" s="805"/>
      <c r="N220" s="805"/>
      <c r="O220" s="805"/>
      <c r="P220" s="805"/>
      <c r="Q220" s="286" t="s">
        <v>556</v>
      </c>
    </row>
    <row r="221" spans="1:17" ht="12" thickBot="1" x14ac:dyDescent="0.25">
      <c r="A221" s="99" t="s">
        <v>2729</v>
      </c>
      <c r="B221" s="1622" t="s">
        <v>557</v>
      </c>
      <c r="C221" s="1453">
        <v>2597</v>
      </c>
      <c r="D221" s="1453">
        <v>0</v>
      </c>
      <c r="E221" s="1453">
        <v>478</v>
      </c>
      <c r="F221" s="1453">
        <v>9858</v>
      </c>
      <c r="G221" s="1453">
        <v>7304</v>
      </c>
      <c r="H221" s="1453">
        <v>4826</v>
      </c>
      <c r="I221" s="1453">
        <v>3545</v>
      </c>
      <c r="J221" s="1453">
        <v>1098</v>
      </c>
      <c r="K221" s="1453">
        <f>0+186+220</f>
        <v>406</v>
      </c>
      <c r="L221" s="1453">
        <f>C221+D221+E221+F221+G221+H221+I221+J221+K221</f>
        <v>30112</v>
      </c>
      <c r="M221" s="1453"/>
      <c r="N221" s="1453"/>
      <c r="O221" s="1453"/>
      <c r="P221" s="1453"/>
      <c r="Q221" s="1623" t="s">
        <v>557</v>
      </c>
    </row>
    <row r="222" spans="1:17" x14ac:dyDescent="0.2">
      <c r="A222" s="111" t="s">
        <v>2003</v>
      </c>
      <c r="B222" s="111"/>
      <c r="C222" s="84"/>
      <c r="D222" s="84"/>
      <c r="E222" s="84"/>
      <c r="F222" s="84"/>
      <c r="G222" s="584"/>
      <c r="H222" s="584"/>
      <c r="I222" s="9"/>
      <c r="J222" s="9"/>
      <c r="K222" s="8"/>
      <c r="L222" s="8"/>
      <c r="M222" s="8"/>
      <c r="N222" s="8"/>
      <c r="O222" s="8"/>
      <c r="P222" s="84"/>
      <c r="Q222" s="84"/>
    </row>
    <row r="223" spans="1:17" x14ac:dyDescent="0.2">
      <c r="A223" s="84" t="s">
        <v>2002</v>
      </c>
      <c r="B223" s="84"/>
      <c r="C223" s="84"/>
      <c r="F223" s="28"/>
      <c r="G223" s="28"/>
      <c r="H223" s="8"/>
      <c r="I223" s="28"/>
      <c r="M223" s="8"/>
      <c r="P223" s="84"/>
      <c r="Q223" s="84"/>
    </row>
    <row r="224" spans="1:17" x14ac:dyDescent="0.2">
      <c r="C224" s="444"/>
      <c r="D224" s="444"/>
      <c r="E224" s="444"/>
      <c r="F224" s="444"/>
      <c r="G224" s="82"/>
      <c r="H224" s="444"/>
      <c r="I224" s="444"/>
      <c r="M224" s="444"/>
    </row>
    <row r="225" spans="3:14" x14ac:dyDescent="0.2">
      <c r="G225" s="82"/>
      <c r="K225" s="444"/>
      <c r="N225" s="444"/>
    </row>
    <row r="226" spans="3:14" x14ac:dyDescent="0.2">
      <c r="G226" s="82"/>
      <c r="K226" s="444"/>
      <c r="M226" s="444"/>
      <c r="N226" s="444"/>
    </row>
    <row r="227" spans="3:14" x14ac:dyDescent="0.2">
      <c r="C227" s="444"/>
      <c r="D227" s="444"/>
      <c r="E227" s="444"/>
      <c r="F227" s="444"/>
      <c r="G227" s="82"/>
      <c r="H227" s="444"/>
      <c r="I227" s="444"/>
      <c r="J227" s="444"/>
      <c r="K227" s="444"/>
      <c r="L227" s="237"/>
      <c r="M227" s="444"/>
      <c r="N227" s="444"/>
    </row>
    <row r="228" spans="3:14" x14ac:dyDescent="0.2">
      <c r="C228" s="444"/>
      <c r="D228" s="444"/>
      <c r="E228" s="444"/>
      <c r="F228" s="444"/>
      <c r="G228" s="82"/>
      <c r="H228" s="444"/>
      <c r="I228" s="444"/>
      <c r="J228" s="444"/>
      <c r="K228" s="444"/>
      <c r="L228" s="237"/>
      <c r="M228" s="444"/>
      <c r="N228" s="444"/>
    </row>
    <row r="229" spans="3:14" x14ac:dyDescent="0.2">
      <c r="G229" s="82"/>
      <c r="K229" s="444"/>
      <c r="L229" s="237"/>
      <c r="M229" s="444"/>
      <c r="N229" s="444"/>
    </row>
    <row r="230" spans="3:14" x14ac:dyDescent="0.2">
      <c r="G230" s="82"/>
      <c r="K230" s="444"/>
      <c r="L230" s="237"/>
      <c r="M230" s="444"/>
      <c r="N230" s="444"/>
    </row>
    <row r="231" spans="3:14" x14ac:dyDescent="0.2">
      <c r="G231" s="82"/>
      <c r="L231" s="237"/>
      <c r="M231" s="444"/>
      <c r="N231" s="444"/>
    </row>
    <row r="232" spans="3:14" x14ac:dyDescent="0.2">
      <c r="C232" s="444"/>
      <c r="D232" s="444"/>
      <c r="E232" s="444"/>
      <c r="F232" s="444"/>
      <c r="G232" s="82"/>
      <c r="H232" s="444"/>
      <c r="I232" s="444"/>
      <c r="J232" s="444"/>
      <c r="K232" s="444"/>
      <c r="L232" s="237"/>
      <c r="M232" s="444"/>
    </row>
    <row r="233" spans="3:14" x14ac:dyDescent="0.2">
      <c r="C233" s="444"/>
      <c r="D233" s="444"/>
      <c r="E233" s="444"/>
      <c r="F233" s="444"/>
      <c r="G233" s="444"/>
      <c r="H233" s="444"/>
      <c r="I233" s="444"/>
      <c r="J233" s="444"/>
      <c r="K233" s="444"/>
      <c r="L233" s="237"/>
      <c r="M233" s="444"/>
    </row>
    <row r="234" spans="3:14" x14ac:dyDescent="0.2">
      <c r="C234" s="444"/>
      <c r="D234" s="444"/>
      <c r="E234" s="444"/>
      <c r="F234" s="444"/>
      <c r="G234" s="444"/>
      <c r="H234" s="444"/>
      <c r="I234" s="444"/>
      <c r="J234" s="444"/>
      <c r="K234" s="444"/>
      <c r="L234" s="237"/>
      <c r="M234" s="444"/>
    </row>
    <row r="235" spans="3:14" x14ac:dyDescent="0.2">
      <c r="C235" s="444"/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</row>
    <row r="236" spans="3:14" x14ac:dyDescent="0.2">
      <c r="C236" s="444"/>
      <c r="D236" s="444"/>
      <c r="E236" s="444"/>
      <c r="F236" s="444"/>
      <c r="G236" s="444"/>
      <c r="H236" s="444"/>
      <c r="I236" s="444"/>
      <c r="J236" s="444"/>
      <c r="K236" s="444"/>
      <c r="L236" s="444"/>
    </row>
    <row r="237" spans="3:14" x14ac:dyDescent="0.2">
      <c r="C237" s="444"/>
      <c r="D237" s="444"/>
      <c r="E237" s="444"/>
      <c r="F237" s="444"/>
      <c r="G237" s="444"/>
      <c r="H237" s="444"/>
      <c r="I237" s="444"/>
      <c r="J237" s="444"/>
      <c r="K237" s="444"/>
    </row>
  </sheetData>
  <customSheetViews>
    <customSheetView guid="{A374FC54-96E3-45F0-9C12-8450400C12DF}" scale="150">
      <pane xSplit="1" ySplit="5" topLeftCell="G36" activePane="bottomRight" state="frozen"/>
      <selection pane="bottomRight" activeCell="J49" sqref="J49"/>
      <pageMargins left="0.59055118110236204" right="0.511811023622047" top="0.511811023622047" bottom="0.511811023622047" header="0" footer="0.35433070866141703"/>
      <pageSetup paperSize="132" firstPageNumber="102" orientation="portrait" useFirstPageNumber="1" r:id="rId1"/>
      <headerFooter alignWithMargins="0">
        <oddFooter>&amp;C&amp;"Times New Roman,Regular"&amp;8&amp;P</oddFooter>
      </headerFooter>
    </customSheetView>
  </customSheetViews>
  <mergeCells count="21">
    <mergeCell ref="A1:J1"/>
    <mergeCell ref="P1:Q1"/>
    <mergeCell ref="A3:A5"/>
    <mergeCell ref="F4:F5"/>
    <mergeCell ref="C4:C5"/>
    <mergeCell ref="G4:H4"/>
    <mergeCell ref="M3:P3"/>
    <mergeCell ref="Q3:Q5"/>
    <mergeCell ref="K1:O1"/>
    <mergeCell ref="P2:Q2"/>
    <mergeCell ref="K3:L3"/>
    <mergeCell ref="C3:J3"/>
    <mergeCell ref="O4:O5"/>
    <mergeCell ref="P4:P5"/>
    <mergeCell ref="K4:K5"/>
    <mergeCell ref="D4:D5"/>
    <mergeCell ref="I4:J4"/>
    <mergeCell ref="E4:E5"/>
    <mergeCell ref="M4:M5"/>
    <mergeCell ref="L4:L5"/>
    <mergeCell ref="N4:N5"/>
  </mergeCells>
  <phoneticPr fontId="0" type="noConversion"/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W168"/>
  <sheetViews>
    <sheetView zoomScale="120" zoomScaleNormal="120" zoomScaleSheetLayoutView="90" workbookViewId="0">
      <pane ySplit="5" topLeftCell="A6" activePane="bottomLeft" state="frozen"/>
      <selection activeCell="X47" sqref="X47:X50"/>
      <selection pane="bottomLeft" activeCell="A6" sqref="A6"/>
    </sheetView>
  </sheetViews>
  <sheetFormatPr defaultColWidth="8.85546875" defaultRowHeight="15" x14ac:dyDescent="0.25"/>
  <cols>
    <col min="1" max="2" width="8.140625" style="630" customWidth="1"/>
    <col min="3" max="3" width="8.42578125" style="630" customWidth="1"/>
    <col min="4" max="4" width="9.85546875" style="630" customWidth="1"/>
    <col min="5" max="5" width="7.5703125" style="630" customWidth="1"/>
    <col min="6" max="6" width="12.28515625" style="630" bestFit="1" customWidth="1"/>
    <col min="7" max="7" width="8" style="630" customWidth="1"/>
    <col min="8" max="8" width="7.42578125" style="630" customWidth="1"/>
    <col min="9" max="10" width="8.42578125" style="630" customWidth="1"/>
    <col min="11" max="11" width="9.7109375" style="630" customWidth="1"/>
    <col min="12" max="12" width="6.85546875" style="630" customWidth="1"/>
    <col min="13" max="13" width="9" style="630" customWidth="1"/>
    <col min="14" max="14" width="7.28515625" style="630" customWidth="1"/>
    <col min="15" max="15" width="7.85546875" style="630" customWidth="1"/>
    <col min="16" max="16" width="5.28515625" style="630" customWidth="1"/>
    <col min="17" max="17" width="7.85546875" style="630" customWidth="1"/>
    <col min="18" max="18" width="7" style="630" customWidth="1"/>
    <col min="19" max="19" width="9.28515625" style="630" customWidth="1"/>
    <col min="20" max="20" width="8" style="630" customWidth="1"/>
    <col min="21" max="16384" width="8.85546875" style="630"/>
  </cols>
  <sheetData>
    <row r="1" spans="1:20" s="628" customFormat="1" ht="15" customHeight="1" x14ac:dyDescent="0.3">
      <c r="A1" s="627"/>
      <c r="B1" s="627"/>
      <c r="F1" s="2910" t="s">
        <v>1853</v>
      </c>
      <c r="G1" s="2910"/>
      <c r="H1" s="2910"/>
      <c r="I1" s="2910"/>
      <c r="J1" s="2910"/>
      <c r="K1" s="2911" t="s">
        <v>1393</v>
      </c>
      <c r="L1" s="2911"/>
      <c r="M1" s="629"/>
      <c r="N1" s="629"/>
      <c r="S1" s="2908" t="s">
        <v>1507</v>
      </c>
      <c r="T1" s="2908"/>
    </row>
    <row r="2" spans="1:20" ht="10.5" customHeight="1" x14ac:dyDescent="0.35">
      <c r="D2" s="631"/>
      <c r="S2" s="2909" t="s">
        <v>24</v>
      </c>
      <c r="T2" s="2909"/>
    </row>
    <row r="3" spans="1:20" ht="13.9" customHeight="1" x14ac:dyDescent="0.25">
      <c r="A3" s="1768" t="s">
        <v>3070</v>
      </c>
      <c r="B3" s="1751" t="s">
        <v>3061</v>
      </c>
      <c r="C3" s="2912" t="s">
        <v>475</v>
      </c>
      <c r="D3" s="2912" t="s">
        <v>1386</v>
      </c>
      <c r="E3" s="2914" t="s">
        <v>1379</v>
      </c>
      <c r="F3" s="2914"/>
      <c r="G3" s="2914"/>
      <c r="H3" s="2352" t="s">
        <v>1366</v>
      </c>
      <c r="I3" s="2915" t="s">
        <v>1380</v>
      </c>
      <c r="J3" s="2916"/>
      <c r="K3" s="2916"/>
      <c r="L3" s="2916"/>
      <c r="M3" s="2917"/>
      <c r="N3" s="2907" t="s">
        <v>1402</v>
      </c>
      <c r="O3" s="2907" t="s">
        <v>1403</v>
      </c>
      <c r="P3" s="2352" t="s">
        <v>1367</v>
      </c>
      <c r="Q3" s="2907" t="s">
        <v>1368</v>
      </c>
      <c r="R3" s="2352" t="s">
        <v>1369</v>
      </c>
      <c r="S3" s="2352" t="s">
        <v>1370</v>
      </c>
      <c r="T3" s="2352" t="s">
        <v>1371</v>
      </c>
    </row>
    <row r="4" spans="1:20" ht="65.25" customHeight="1" x14ac:dyDescent="0.25">
      <c r="A4" s="1768"/>
      <c r="B4" s="1751"/>
      <c r="C4" s="2913"/>
      <c r="D4" s="2913"/>
      <c r="E4" s="1478" t="s">
        <v>1387</v>
      </c>
      <c r="F4" s="1478" t="s">
        <v>1385</v>
      </c>
      <c r="G4" s="1478" t="s">
        <v>1383</v>
      </c>
      <c r="H4" s="2352"/>
      <c r="I4" s="1478" t="s">
        <v>120</v>
      </c>
      <c r="J4" s="1478" t="s">
        <v>1394</v>
      </c>
      <c r="K4" s="1478" t="s">
        <v>1401</v>
      </c>
      <c r="L4" s="1477" t="s">
        <v>1506</v>
      </c>
      <c r="M4" s="1478" t="s">
        <v>1384</v>
      </c>
      <c r="N4" s="2907"/>
      <c r="O4" s="2907"/>
      <c r="P4" s="2352"/>
      <c r="Q4" s="2907"/>
      <c r="R4" s="2352"/>
      <c r="S4" s="2352"/>
      <c r="T4" s="2352"/>
    </row>
    <row r="5" spans="1:20" ht="12" customHeight="1" x14ac:dyDescent="0.25">
      <c r="A5" s="1768"/>
      <c r="B5" s="1750"/>
      <c r="C5" s="635">
        <v>1</v>
      </c>
      <c r="D5" s="635">
        <v>2</v>
      </c>
      <c r="E5" s="635">
        <v>3</v>
      </c>
      <c r="F5" s="635">
        <v>4</v>
      </c>
      <c r="G5" s="635">
        <v>5</v>
      </c>
      <c r="H5" s="635">
        <v>6</v>
      </c>
      <c r="I5" s="635">
        <v>7</v>
      </c>
      <c r="J5" s="635">
        <v>8</v>
      </c>
      <c r="K5" s="635">
        <v>9</v>
      </c>
      <c r="L5" s="635">
        <v>10</v>
      </c>
      <c r="M5" s="635">
        <v>11</v>
      </c>
      <c r="N5" s="635">
        <v>12</v>
      </c>
      <c r="O5" s="635">
        <v>13</v>
      </c>
      <c r="P5" s="635">
        <v>14</v>
      </c>
      <c r="Q5" s="635">
        <v>15</v>
      </c>
      <c r="R5" s="635">
        <v>16</v>
      </c>
      <c r="S5" s="635">
        <v>17</v>
      </c>
      <c r="T5" s="635">
        <v>18</v>
      </c>
    </row>
    <row r="6" spans="1:20" ht="12" customHeight="1" x14ac:dyDescent="0.25">
      <c r="A6" s="1811"/>
      <c r="B6" s="1812"/>
      <c r="C6" s="1813"/>
      <c r="D6" s="1813"/>
      <c r="E6" s="1813"/>
      <c r="F6" s="1813"/>
      <c r="G6" s="1813"/>
      <c r="H6" s="1813"/>
      <c r="I6" s="1813"/>
      <c r="J6" s="1813"/>
      <c r="K6" s="1813"/>
      <c r="L6" s="1813"/>
      <c r="M6" s="1813"/>
      <c r="N6" s="1813"/>
      <c r="O6" s="1813"/>
      <c r="P6" s="1813"/>
      <c r="Q6" s="1813"/>
      <c r="R6" s="1813"/>
      <c r="S6" s="1813"/>
      <c r="T6" s="1813"/>
    </row>
    <row r="7" spans="1:20" ht="12" customHeight="1" x14ac:dyDescent="0.25">
      <c r="A7" s="1811"/>
      <c r="B7" s="1812"/>
      <c r="C7" s="1813"/>
      <c r="D7" s="1813"/>
      <c r="E7" s="1813"/>
      <c r="F7" s="1813"/>
      <c r="G7" s="1813"/>
      <c r="H7" s="1813"/>
      <c r="I7" s="1813"/>
      <c r="J7" s="1813"/>
      <c r="K7" s="1813"/>
      <c r="L7" s="1813"/>
      <c r="M7" s="1813"/>
      <c r="N7" s="1813"/>
      <c r="O7" s="1813"/>
      <c r="P7" s="1813"/>
      <c r="Q7" s="1813"/>
      <c r="R7" s="1813"/>
      <c r="S7" s="1813"/>
      <c r="T7" s="1813"/>
    </row>
    <row r="8" spans="1:20" ht="12" customHeight="1" x14ac:dyDescent="0.25">
      <c r="A8" s="1811"/>
      <c r="B8" s="1812"/>
      <c r="C8" s="1813"/>
      <c r="D8" s="1813"/>
      <c r="E8" s="1813"/>
      <c r="F8" s="1813"/>
      <c r="G8" s="1813"/>
      <c r="H8" s="1813"/>
      <c r="I8" s="1813"/>
      <c r="J8" s="1813"/>
      <c r="K8" s="1813"/>
      <c r="L8" s="1813"/>
      <c r="M8" s="1813"/>
      <c r="N8" s="1813"/>
      <c r="O8" s="1813"/>
      <c r="P8" s="1813"/>
      <c r="Q8" s="1813"/>
      <c r="R8" s="1813"/>
      <c r="S8" s="1813"/>
      <c r="T8" s="1813"/>
    </row>
    <row r="9" spans="1:20" ht="12" customHeight="1" x14ac:dyDescent="0.25">
      <c r="A9" s="1811"/>
      <c r="B9" s="1812"/>
      <c r="C9" s="1813"/>
      <c r="D9" s="1813"/>
      <c r="E9" s="1813"/>
      <c r="F9" s="1813"/>
      <c r="G9" s="1813"/>
      <c r="H9" s="1813"/>
      <c r="I9" s="1813"/>
      <c r="J9" s="1813"/>
      <c r="K9" s="1813"/>
      <c r="L9" s="1813"/>
      <c r="M9" s="1813"/>
      <c r="N9" s="1813"/>
      <c r="O9" s="1813"/>
      <c r="P9" s="1813"/>
      <c r="Q9" s="1813"/>
      <c r="R9" s="1813"/>
      <c r="S9" s="1813"/>
      <c r="T9" s="1813"/>
    </row>
    <row r="10" spans="1:20" ht="12" customHeight="1" x14ac:dyDescent="0.25">
      <c r="A10" s="1811"/>
      <c r="B10" s="1812"/>
      <c r="C10" s="1813"/>
      <c r="D10" s="1813"/>
      <c r="E10" s="1813"/>
      <c r="F10" s="1813"/>
      <c r="G10" s="1813"/>
      <c r="H10" s="1813"/>
      <c r="I10" s="1813"/>
      <c r="J10" s="1813"/>
      <c r="K10" s="1813"/>
      <c r="L10" s="1813"/>
      <c r="M10" s="1813"/>
      <c r="N10" s="1813"/>
      <c r="O10" s="1813"/>
      <c r="P10" s="1813"/>
      <c r="Q10" s="1813"/>
      <c r="R10" s="1813"/>
      <c r="S10" s="1813"/>
      <c r="T10" s="1813"/>
    </row>
    <row r="11" spans="1:20" ht="11.25" customHeight="1" x14ac:dyDescent="0.25">
      <c r="A11" s="1025" t="s">
        <v>1296</v>
      </c>
      <c r="B11" s="1025"/>
      <c r="C11" s="1024">
        <v>253510</v>
      </c>
      <c r="D11" s="1024">
        <v>7347.2</v>
      </c>
      <c r="E11" s="1024">
        <v>22375.9</v>
      </c>
      <c r="F11" s="1024">
        <v>9706.7000000000007</v>
      </c>
      <c r="G11" s="1024">
        <v>12669.2</v>
      </c>
      <c r="H11" s="1024">
        <v>5756.5</v>
      </c>
      <c r="I11" s="1024">
        <v>153411.20000000001</v>
      </c>
      <c r="J11" s="1024">
        <v>78799.199999999997</v>
      </c>
      <c r="K11" s="1024">
        <v>3.3</v>
      </c>
      <c r="L11" s="1024">
        <v>0</v>
      </c>
      <c r="M11" s="1024">
        <v>232213.7</v>
      </c>
      <c r="N11" s="1024">
        <v>345.5</v>
      </c>
      <c r="O11" s="1024">
        <v>0</v>
      </c>
      <c r="P11" s="1024">
        <v>0</v>
      </c>
      <c r="Q11" s="1024">
        <v>0</v>
      </c>
      <c r="R11" s="1024">
        <v>0</v>
      </c>
      <c r="S11" s="1024">
        <v>30308.5</v>
      </c>
      <c r="T11" s="1024">
        <v>16415.2</v>
      </c>
    </row>
    <row r="12" spans="1:20" ht="11.25" customHeight="1" x14ac:dyDescent="0.25">
      <c r="A12" s="1075" t="s">
        <v>1404</v>
      </c>
      <c r="B12" s="1075"/>
      <c r="C12" s="1076">
        <v>257195.6</v>
      </c>
      <c r="D12" s="1076">
        <v>7031.1</v>
      </c>
      <c r="E12" s="1076">
        <v>32153.4</v>
      </c>
      <c r="F12" s="1076">
        <v>10645.9</v>
      </c>
      <c r="G12" s="1076">
        <v>21507.5</v>
      </c>
      <c r="H12" s="1076">
        <v>5537.7</v>
      </c>
      <c r="I12" s="1076">
        <v>168858.3</v>
      </c>
      <c r="J12" s="1076">
        <v>75787.5</v>
      </c>
      <c r="K12" s="1076">
        <v>13.1</v>
      </c>
      <c r="L12" s="1076">
        <v>0</v>
      </c>
      <c r="M12" s="1076">
        <v>244658.9</v>
      </c>
      <c r="N12" s="1076">
        <v>411.8</v>
      </c>
      <c r="O12" s="1076">
        <v>0</v>
      </c>
      <c r="P12" s="1076">
        <v>0</v>
      </c>
      <c r="Q12" s="1076">
        <v>0</v>
      </c>
      <c r="R12" s="1076">
        <v>0</v>
      </c>
      <c r="S12" s="1076">
        <v>33548.6</v>
      </c>
      <c r="T12" s="1076">
        <v>12652.6</v>
      </c>
    </row>
    <row r="13" spans="1:20" s="760" customFormat="1" ht="11.25" customHeight="1" x14ac:dyDescent="0.2">
      <c r="A13" s="1025" t="s">
        <v>1484</v>
      </c>
      <c r="B13" s="1025"/>
      <c r="C13" s="899">
        <v>286040.90000000002</v>
      </c>
      <c r="D13" s="899">
        <v>15922.6</v>
      </c>
      <c r="E13" s="899">
        <v>47201.9</v>
      </c>
      <c r="F13" s="899">
        <v>14955.8</v>
      </c>
      <c r="G13" s="899">
        <v>32246.100000000002</v>
      </c>
      <c r="H13" s="899">
        <v>5752</v>
      </c>
      <c r="I13" s="899">
        <v>206552.2</v>
      </c>
      <c r="J13" s="899">
        <v>76360.399999999994</v>
      </c>
      <c r="K13" s="899">
        <v>28.9</v>
      </c>
      <c r="L13" s="899">
        <v>0</v>
      </c>
      <c r="M13" s="899">
        <v>282941.5</v>
      </c>
      <c r="N13" s="899">
        <v>1272.5</v>
      </c>
      <c r="O13" s="899">
        <v>0</v>
      </c>
      <c r="P13" s="899">
        <v>0</v>
      </c>
      <c r="Q13" s="899">
        <v>0</v>
      </c>
      <c r="R13" s="899">
        <v>0</v>
      </c>
      <c r="S13" s="899">
        <v>36493.599999999999</v>
      </c>
      <c r="T13" s="899">
        <v>19254</v>
      </c>
    </row>
    <row r="14" spans="1:20" s="760" customFormat="1" ht="11.25" customHeight="1" x14ac:dyDescent="0.2">
      <c r="A14" s="758" t="s">
        <v>1536</v>
      </c>
      <c r="B14" s="758"/>
      <c r="C14" s="898">
        <v>366917.3</v>
      </c>
      <c r="D14" s="898">
        <v>22091.200000000001</v>
      </c>
      <c r="E14" s="898">
        <v>33870.800000000003</v>
      </c>
      <c r="F14" s="898">
        <v>25244.5</v>
      </c>
      <c r="G14" s="898">
        <v>8626.3000000000029</v>
      </c>
      <c r="H14" s="898">
        <v>5935.6</v>
      </c>
      <c r="I14" s="898">
        <v>225322.2</v>
      </c>
      <c r="J14" s="898">
        <v>121126</v>
      </c>
      <c r="K14" s="898">
        <v>57.5</v>
      </c>
      <c r="L14" s="898">
        <v>0</v>
      </c>
      <c r="M14" s="898">
        <v>346505.7</v>
      </c>
      <c r="N14" s="898">
        <v>1529.9</v>
      </c>
      <c r="O14" s="898">
        <v>0</v>
      </c>
      <c r="P14" s="898">
        <v>0</v>
      </c>
      <c r="Q14" s="898">
        <v>0</v>
      </c>
      <c r="R14" s="898">
        <v>0</v>
      </c>
      <c r="S14" s="898">
        <v>43524.7</v>
      </c>
      <c r="T14" s="898">
        <v>12010.1</v>
      </c>
    </row>
    <row r="15" spans="1:20" s="760" customFormat="1" ht="11.25" customHeight="1" x14ac:dyDescent="0.2">
      <c r="A15" s="759" t="s">
        <v>1817</v>
      </c>
      <c r="B15" s="759"/>
      <c r="C15" s="899">
        <v>347746.8</v>
      </c>
      <c r="D15" s="899">
        <v>19369.2</v>
      </c>
      <c r="E15" s="899">
        <v>58719.3</v>
      </c>
      <c r="F15" s="899">
        <v>13785.7</v>
      </c>
      <c r="G15" s="899">
        <v>44933.600000000006</v>
      </c>
      <c r="H15" s="899">
        <v>6093.7</v>
      </c>
      <c r="I15" s="899">
        <v>254519.5</v>
      </c>
      <c r="J15" s="899">
        <v>90931.1</v>
      </c>
      <c r="K15" s="899">
        <v>48.2</v>
      </c>
      <c r="L15" s="899">
        <v>0</v>
      </c>
      <c r="M15" s="899">
        <v>345498.8</v>
      </c>
      <c r="N15" s="899">
        <v>1321.7</v>
      </c>
      <c r="O15" s="899">
        <v>0</v>
      </c>
      <c r="P15" s="899">
        <v>0</v>
      </c>
      <c r="Q15" s="899">
        <v>0</v>
      </c>
      <c r="R15" s="899">
        <v>0</v>
      </c>
      <c r="S15" s="899">
        <v>62830.400000000001</v>
      </c>
      <c r="T15" s="899">
        <v>8492.4</v>
      </c>
    </row>
    <row r="16" spans="1:20" s="760" customFormat="1" ht="11.25" customHeight="1" x14ac:dyDescent="0.2">
      <c r="A16" s="1178" t="s">
        <v>2066</v>
      </c>
      <c r="B16" s="1178"/>
      <c r="C16" s="900">
        <v>287497.5</v>
      </c>
      <c r="D16" s="900">
        <v>66711.3</v>
      </c>
      <c r="E16" s="900">
        <v>156819.70000000001</v>
      </c>
      <c r="F16" s="900">
        <v>12866.8</v>
      </c>
      <c r="G16" s="900">
        <v>143952.90000000002</v>
      </c>
      <c r="H16" s="900">
        <v>6413.1</v>
      </c>
      <c r="I16" s="900">
        <v>310153.40000000002</v>
      </c>
      <c r="J16" s="900">
        <v>71488.899999999994</v>
      </c>
      <c r="K16" s="900">
        <v>148.5</v>
      </c>
      <c r="L16" s="900">
        <v>0</v>
      </c>
      <c r="M16" s="900">
        <v>381790.80000000005</v>
      </c>
      <c r="N16" s="900">
        <v>2173.5</v>
      </c>
      <c r="O16" s="900">
        <v>0</v>
      </c>
      <c r="P16" s="900">
        <v>0</v>
      </c>
      <c r="Q16" s="900">
        <v>0</v>
      </c>
      <c r="R16" s="900">
        <v>0</v>
      </c>
      <c r="S16" s="900">
        <v>102034.3</v>
      </c>
      <c r="T16" s="900">
        <v>18557.599999999999</v>
      </c>
    </row>
    <row r="17" spans="1:20" s="760" customFormat="1" ht="11.25" customHeight="1" x14ac:dyDescent="0.2">
      <c r="A17" s="1410" t="s">
        <v>2213</v>
      </c>
      <c r="B17" s="1410"/>
      <c r="C17" s="897">
        <f>C127</f>
        <v>245780.7</v>
      </c>
      <c r="D17" s="897">
        <f t="shared" ref="D17:T17" si="0">D127</f>
        <v>176941.7</v>
      </c>
      <c r="E17" s="897">
        <f t="shared" si="0"/>
        <v>144599.29999999999</v>
      </c>
      <c r="F17" s="897">
        <f t="shared" si="0"/>
        <v>10034.1</v>
      </c>
      <c r="G17" s="897">
        <f t="shared" si="0"/>
        <v>134565.19999999998</v>
      </c>
      <c r="H17" s="897">
        <f t="shared" si="0"/>
        <v>6717.3</v>
      </c>
      <c r="I17" s="897">
        <f t="shared" si="0"/>
        <v>318403</v>
      </c>
      <c r="J17" s="897">
        <f t="shared" si="0"/>
        <v>93283.3</v>
      </c>
      <c r="K17" s="897">
        <f t="shared" si="0"/>
        <v>54.8</v>
      </c>
      <c r="L17" s="897">
        <f t="shared" si="0"/>
        <v>0</v>
      </c>
      <c r="M17" s="897">
        <f t="shared" si="0"/>
        <v>411741.1</v>
      </c>
      <c r="N17" s="897">
        <f t="shared" si="0"/>
        <v>2090.1999999999998</v>
      </c>
      <c r="O17" s="897">
        <f t="shared" si="0"/>
        <v>0</v>
      </c>
      <c r="P17" s="897">
        <f t="shared" si="0"/>
        <v>0</v>
      </c>
      <c r="Q17" s="897">
        <f t="shared" si="0"/>
        <v>0</v>
      </c>
      <c r="R17" s="897">
        <f t="shared" si="0"/>
        <v>0</v>
      </c>
      <c r="S17" s="897">
        <f t="shared" si="0"/>
        <v>122311.9</v>
      </c>
      <c r="T17" s="897">
        <f t="shared" si="0"/>
        <v>27861.599999999999</v>
      </c>
    </row>
    <row r="18" spans="1:20" s="760" customFormat="1" ht="11.25" customHeight="1" x14ac:dyDescent="0.2">
      <c r="A18" s="1411" t="s">
        <v>2505</v>
      </c>
      <c r="B18" s="1411"/>
      <c r="C18" s="900">
        <f t="shared" ref="C18:T18" si="1">C139</f>
        <v>293991.7</v>
      </c>
      <c r="D18" s="900">
        <f t="shared" si="1"/>
        <v>226621</v>
      </c>
      <c r="E18" s="900">
        <f t="shared" si="1"/>
        <v>87500.4</v>
      </c>
      <c r="F18" s="900">
        <f t="shared" si="1"/>
        <v>13151.9</v>
      </c>
      <c r="G18" s="900">
        <f t="shared" si="1"/>
        <v>74348.5</v>
      </c>
      <c r="H18" s="900">
        <f t="shared" si="1"/>
        <v>6959.6</v>
      </c>
      <c r="I18" s="900">
        <f t="shared" si="1"/>
        <v>324728.5</v>
      </c>
      <c r="J18" s="900">
        <f t="shared" si="1"/>
        <v>86435.5</v>
      </c>
      <c r="K18" s="900">
        <f t="shared" si="1"/>
        <v>46.9</v>
      </c>
      <c r="L18" s="900">
        <f t="shared" si="1"/>
        <v>0</v>
      </c>
      <c r="M18" s="900">
        <f t="shared" si="1"/>
        <v>411210.9</v>
      </c>
      <c r="N18" s="900">
        <f t="shared" si="1"/>
        <v>2324.4</v>
      </c>
      <c r="O18" s="900">
        <f t="shared" si="1"/>
        <v>0</v>
      </c>
      <c r="P18" s="900">
        <f t="shared" si="1"/>
        <v>0</v>
      </c>
      <c r="Q18" s="900">
        <f t="shared" si="1"/>
        <v>0</v>
      </c>
      <c r="R18" s="900">
        <f t="shared" si="1"/>
        <v>0</v>
      </c>
      <c r="S18" s="900">
        <f t="shared" si="1"/>
        <v>145048.70000000001</v>
      </c>
      <c r="T18" s="900">
        <f t="shared" si="1"/>
        <v>43336.800000000003</v>
      </c>
    </row>
    <row r="19" spans="1:20" s="760" customFormat="1" ht="11.25" customHeight="1" x14ac:dyDescent="0.2">
      <c r="A19" s="1410"/>
      <c r="B19" s="1410"/>
      <c r="C19" s="897"/>
      <c r="D19" s="897"/>
      <c r="E19" s="897"/>
      <c r="F19" s="897"/>
      <c r="G19" s="897"/>
      <c r="H19" s="897"/>
      <c r="I19" s="897"/>
      <c r="J19" s="897"/>
      <c r="K19" s="897"/>
      <c r="L19" s="897"/>
      <c r="M19" s="897"/>
      <c r="N19" s="897"/>
      <c r="O19" s="897"/>
      <c r="P19" s="897"/>
      <c r="Q19" s="897"/>
      <c r="R19" s="897"/>
      <c r="S19" s="897"/>
      <c r="T19" s="897"/>
    </row>
    <row r="20" spans="1:20" s="760" customFormat="1" ht="11.25" customHeight="1" x14ac:dyDescent="0.2">
      <c r="A20" s="1410" t="s">
        <v>1150</v>
      </c>
      <c r="B20" s="758" t="s">
        <v>552</v>
      </c>
      <c r="C20" s="897"/>
      <c r="D20" s="897"/>
      <c r="E20" s="897"/>
      <c r="F20" s="897"/>
      <c r="G20" s="897"/>
      <c r="H20" s="897"/>
      <c r="I20" s="897"/>
      <c r="J20" s="897"/>
      <c r="K20" s="897"/>
      <c r="L20" s="897"/>
      <c r="M20" s="897"/>
      <c r="N20" s="897"/>
      <c r="O20" s="897"/>
      <c r="P20" s="897"/>
      <c r="Q20" s="897"/>
      <c r="R20" s="897"/>
      <c r="S20" s="897"/>
      <c r="T20" s="897"/>
    </row>
    <row r="21" spans="1:20" s="760" customFormat="1" ht="11.25" customHeight="1" x14ac:dyDescent="0.2">
      <c r="A21" s="1410" t="s">
        <v>1150</v>
      </c>
      <c r="B21" s="759" t="s">
        <v>553</v>
      </c>
      <c r="C21" s="897"/>
      <c r="D21" s="897"/>
      <c r="E21" s="897"/>
      <c r="F21" s="897"/>
      <c r="G21" s="897"/>
      <c r="H21" s="897"/>
      <c r="I21" s="897"/>
      <c r="J21" s="897"/>
      <c r="K21" s="897"/>
      <c r="L21" s="897"/>
      <c r="M21" s="897"/>
      <c r="N21" s="897"/>
      <c r="O21" s="897"/>
      <c r="P21" s="897"/>
      <c r="Q21" s="897"/>
      <c r="R21" s="897"/>
      <c r="S21" s="897"/>
      <c r="T21" s="897"/>
    </row>
    <row r="22" spans="1:20" s="760" customFormat="1" ht="11.25" customHeight="1" x14ac:dyDescent="0.2">
      <c r="A22" s="1410" t="s">
        <v>1150</v>
      </c>
      <c r="B22" s="758" t="s">
        <v>547</v>
      </c>
      <c r="C22" s="897"/>
      <c r="D22" s="897"/>
      <c r="E22" s="897"/>
      <c r="F22" s="897"/>
      <c r="G22" s="897"/>
      <c r="H22" s="897"/>
      <c r="I22" s="897"/>
      <c r="J22" s="897"/>
      <c r="K22" s="897"/>
      <c r="L22" s="897"/>
      <c r="M22" s="897"/>
      <c r="N22" s="897"/>
      <c r="O22" s="897"/>
      <c r="P22" s="897"/>
      <c r="Q22" s="897"/>
      <c r="R22" s="897"/>
      <c r="S22" s="897"/>
      <c r="T22" s="897"/>
    </row>
    <row r="23" spans="1:20" s="760" customFormat="1" ht="11.25" customHeight="1" x14ac:dyDescent="0.2">
      <c r="A23" s="1410" t="s">
        <v>1150</v>
      </c>
      <c r="B23" s="759" t="s">
        <v>554</v>
      </c>
      <c r="C23" s="897"/>
      <c r="D23" s="897"/>
      <c r="E23" s="897"/>
      <c r="F23" s="897"/>
      <c r="G23" s="897"/>
      <c r="H23" s="897"/>
      <c r="I23" s="897"/>
      <c r="J23" s="897"/>
      <c r="K23" s="897"/>
      <c r="L23" s="897"/>
      <c r="M23" s="897"/>
      <c r="N23" s="897"/>
      <c r="O23" s="897"/>
      <c r="P23" s="897"/>
      <c r="Q23" s="897"/>
      <c r="R23" s="897"/>
      <c r="S23" s="897"/>
      <c r="T23" s="897"/>
    </row>
    <row r="24" spans="1:20" s="760" customFormat="1" ht="11.25" customHeight="1" x14ac:dyDescent="0.2">
      <c r="A24" s="1410" t="s">
        <v>1150</v>
      </c>
      <c r="B24" s="758" t="s">
        <v>555</v>
      </c>
      <c r="C24" s="897"/>
      <c r="D24" s="897"/>
      <c r="E24" s="897"/>
      <c r="F24" s="897"/>
      <c r="G24" s="897"/>
      <c r="H24" s="897"/>
      <c r="I24" s="897"/>
      <c r="J24" s="897"/>
      <c r="K24" s="897"/>
      <c r="L24" s="897"/>
      <c r="M24" s="897"/>
      <c r="N24" s="897"/>
      <c r="O24" s="897"/>
      <c r="P24" s="897"/>
      <c r="Q24" s="897"/>
      <c r="R24" s="897"/>
      <c r="S24" s="897"/>
      <c r="T24" s="897"/>
    </row>
    <row r="25" spans="1:20" s="760" customFormat="1" ht="11.25" customHeight="1" x14ac:dyDescent="0.2">
      <c r="A25" s="1410" t="s">
        <v>1150</v>
      </c>
      <c r="B25" s="759" t="s">
        <v>548</v>
      </c>
      <c r="C25" s="897"/>
      <c r="D25" s="897"/>
      <c r="E25" s="897"/>
      <c r="F25" s="897"/>
      <c r="G25" s="897"/>
      <c r="H25" s="897"/>
      <c r="I25" s="897"/>
      <c r="J25" s="897"/>
      <c r="K25" s="897"/>
      <c r="L25" s="897"/>
      <c r="M25" s="897"/>
      <c r="N25" s="897"/>
      <c r="O25" s="897"/>
      <c r="P25" s="897"/>
      <c r="Q25" s="897"/>
      <c r="R25" s="897"/>
      <c r="S25" s="897"/>
      <c r="T25" s="897"/>
    </row>
    <row r="26" spans="1:20" s="760" customFormat="1" ht="11.25" customHeight="1" x14ac:dyDescent="0.2">
      <c r="A26" s="1410" t="s">
        <v>1150</v>
      </c>
      <c r="B26" s="758" t="s">
        <v>556</v>
      </c>
      <c r="C26" s="897"/>
      <c r="D26" s="897"/>
      <c r="E26" s="897"/>
      <c r="F26" s="897"/>
      <c r="G26" s="897"/>
      <c r="H26" s="897"/>
      <c r="I26" s="897"/>
      <c r="J26" s="897"/>
      <c r="K26" s="897"/>
      <c r="L26" s="897"/>
      <c r="M26" s="897"/>
      <c r="N26" s="897"/>
      <c r="O26" s="897"/>
      <c r="P26" s="897"/>
      <c r="Q26" s="897"/>
      <c r="R26" s="897"/>
      <c r="S26" s="897"/>
      <c r="T26" s="897"/>
    </row>
    <row r="27" spans="1:20" s="760" customFormat="1" ht="11.25" customHeight="1" x14ac:dyDescent="0.2">
      <c r="A27" s="1410" t="s">
        <v>1150</v>
      </c>
      <c r="B27" s="759" t="s">
        <v>557</v>
      </c>
      <c r="C27" s="897"/>
      <c r="D27" s="897"/>
      <c r="E27" s="897"/>
      <c r="F27" s="897"/>
      <c r="G27" s="897"/>
      <c r="H27" s="897"/>
      <c r="I27" s="897"/>
      <c r="J27" s="897"/>
      <c r="K27" s="897"/>
      <c r="L27" s="897"/>
      <c r="M27" s="897"/>
      <c r="N27" s="897"/>
      <c r="O27" s="897"/>
      <c r="P27" s="897"/>
      <c r="Q27" s="897"/>
      <c r="R27" s="897"/>
      <c r="S27" s="897"/>
      <c r="T27" s="897"/>
    </row>
    <row r="28" spans="1:20" s="760" customFormat="1" ht="11.25" customHeight="1" x14ac:dyDescent="0.2">
      <c r="A28" s="1410" t="s">
        <v>1150</v>
      </c>
      <c r="B28" s="758" t="s">
        <v>549</v>
      </c>
      <c r="C28" s="897"/>
      <c r="D28" s="897"/>
      <c r="E28" s="897"/>
      <c r="F28" s="897"/>
      <c r="G28" s="897"/>
      <c r="H28" s="897"/>
      <c r="I28" s="897"/>
      <c r="J28" s="897"/>
      <c r="K28" s="897"/>
      <c r="L28" s="897"/>
      <c r="M28" s="897"/>
      <c r="N28" s="897"/>
      <c r="O28" s="897"/>
      <c r="P28" s="897"/>
      <c r="Q28" s="897"/>
      <c r="R28" s="897"/>
      <c r="S28" s="897"/>
      <c r="T28" s="897"/>
    </row>
    <row r="29" spans="1:20" s="760" customFormat="1" ht="11.25" customHeight="1" x14ac:dyDescent="0.2">
      <c r="A29" s="1410" t="s">
        <v>1150</v>
      </c>
      <c r="B29" s="759" t="s">
        <v>558</v>
      </c>
      <c r="C29" s="897"/>
      <c r="D29" s="897"/>
      <c r="E29" s="897"/>
      <c r="F29" s="897"/>
      <c r="G29" s="897"/>
      <c r="H29" s="897"/>
      <c r="I29" s="897"/>
      <c r="J29" s="897"/>
      <c r="K29" s="897"/>
      <c r="L29" s="897"/>
      <c r="M29" s="897"/>
      <c r="N29" s="897"/>
      <c r="O29" s="897"/>
      <c r="P29" s="897"/>
      <c r="Q29" s="897"/>
      <c r="R29" s="897"/>
      <c r="S29" s="897"/>
      <c r="T29" s="897"/>
    </row>
    <row r="30" spans="1:20" s="760" customFormat="1" ht="11.25" customHeight="1" x14ac:dyDescent="0.2">
      <c r="A30" s="1410" t="s">
        <v>1150</v>
      </c>
      <c r="B30" s="758" t="s">
        <v>559</v>
      </c>
      <c r="C30" s="897"/>
      <c r="D30" s="897"/>
      <c r="E30" s="897"/>
      <c r="F30" s="897"/>
      <c r="G30" s="897"/>
      <c r="H30" s="897"/>
      <c r="I30" s="897"/>
      <c r="J30" s="897"/>
      <c r="K30" s="897"/>
      <c r="L30" s="897"/>
      <c r="M30" s="897"/>
      <c r="N30" s="897"/>
      <c r="O30" s="897"/>
      <c r="P30" s="897"/>
      <c r="Q30" s="897"/>
      <c r="R30" s="897"/>
      <c r="S30" s="897"/>
      <c r="T30" s="897"/>
    </row>
    <row r="31" spans="1:20" s="760" customFormat="1" ht="11.25" customHeight="1" x14ac:dyDescent="0.2">
      <c r="A31" s="1410" t="s">
        <v>1150</v>
      </c>
      <c r="B31" s="759" t="s">
        <v>550</v>
      </c>
      <c r="C31" s="897"/>
      <c r="D31" s="897"/>
      <c r="E31" s="897"/>
      <c r="F31" s="897"/>
      <c r="G31" s="897"/>
      <c r="H31" s="897"/>
      <c r="I31" s="897"/>
      <c r="J31" s="897"/>
      <c r="K31" s="897"/>
      <c r="L31" s="897"/>
      <c r="M31" s="897"/>
      <c r="N31" s="897"/>
      <c r="O31" s="897"/>
      <c r="P31" s="897"/>
      <c r="Q31" s="897"/>
      <c r="R31" s="897"/>
      <c r="S31" s="897"/>
      <c r="T31" s="897"/>
    </row>
    <row r="32" spans="1:20" s="760" customFormat="1" ht="11.25" customHeight="1" x14ac:dyDescent="0.2">
      <c r="A32" s="1410" t="s">
        <v>1174</v>
      </c>
      <c r="B32" s="758" t="s">
        <v>552</v>
      </c>
      <c r="C32" s="897"/>
      <c r="D32" s="897"/>
      <c r="E32" s="897"/>
      <c r="F32" s="897"/>
      <c r="G32" s="897"/>
      <c r="H32" s="897"/>
      <c r="I32" s="897"/>
      <c r="J32" s="897"/>
      <c r="K32" s="897"/>
      <c r="L32" s="897"/>
      <c r="M32" s="897"/>
      <c r="N32" s="897"/>
      <c r="O32" s="897"/>
      <c r="P32" s="897"/>
      <c r="Q32" s="897"/>
      <c r="R32" s="897"/>
      <c r="S32" s="897"/>
      <c r="T32" s="897"/>
    </row>
    <row r="33" spans="1:20" s="760" customFormat="1" ht="11.25" customHeight="1" x14ac:dyDescent="0.2">
      <c r="A33" s="1410" t="s">
        <v>1174</v>
      </c>
      <c r="B33" s="759" t="s">
        <v>553</v>
      </c>
      <c r="C33" s="897"/>
      <c r="D33" s="897"/>
      <c r="E33" s="897"/>
      <c r="F33" s="897"/>
      <c r="G33" s="897"/>
      <c r="H33" s="897"/>
      <c r="I33" s="897"/>
      <c r="J33" s="897"/>
      <c r="K33" s="897"/>
      <c r="L33" s="897"/>
      <c r="M33" s="897"/>
      <c r="N33" s="897"/>
      <c r="O33" s="897"/>
      <c r="P33" s="897"/>
      <c r="Q33" s="897"/>
      <c r="R33" s="897"/>
      <c r="S33" s="897"/>
      <c r="T33" s="897"/>
    </row>
    <row r="34" spans="1:20" s="760" customFormat="1" ht="11.25" customHeight="1" x14ac:dyDescent="0.2">
      <c r="A34" s="1410" t="s">
        <v>1174</v>
      </c>
      <c r="B34" s="758" t="s">
        <v>547</v>
      </c>
      <c r="C34" s="897"/>
      <c r="D34" s="897"/>
      <c r="E34" s="897"/>
      <c r="F34" s="897"/>
      <c r="G34" s="897"/>
      <c r="H34" s="897"/>
      <c r="I34" s="897"/>
      <c r="J34" s="897"/>
      <c r="K34" s="897"/>
      <c r="L34" s="897"/>
      <c r="M34" s="897"/>
      <c r="N34" s="897"/>
      <c r="O34" s="897"/>
      <c r="P34" s="897"/>
      <c r="Q34" s="897"/>
      <c r="R34" s="897"/>
      <c r="S34" s="897"/>
      <c r="T34" s="897"/>
    </row>
    <row r="35" spans="1:20" s="760" customFormat="1" ht="11.25" customHeight="1" x14ac:dyDescent="0.2">
      <c r="A35" s="1410" t="s">
        <v>1174</v>
      </c>
      <c r="B35" s="759" t="s">
        <v>554</v>
      </c>
      <c r="C35" s="897"/>
      <c r="D35" s="897"/>
      <c r="E35" s="897"/>
      <c r="F35" s="897"/>
      <c r="G35" s="897"/>
      <c r="H35" s="897"/>
      <c r="I35" s="897"/>
      <c r="J35" s="897"/>
      <c r="K35" s="897"/>
      <c r="L35" s="897"/>
      <c r="M35" s="897"/>
      <c r="N35" s="897"/>
      <c r="O35" s="897"/>
      <c r="P35" s="897"/>
      <c r="Q35" s="897"/>
      <c r="R35" s="897"/>
      <c r="S35" s="897"/>
      <c r="T35" s="897"/>
    </row>
    <row r="36" spans="1:20" s="760" customFormat="1" ht="11.25" customHeight="1" x14ac:dyDescent="0.2">
      <c r="A36" s="1410" t="s">
        <v>1174</v>
      </c>
      <c r="B36" s="758" t="s">
        <v>555</v>
      </c>
      <c r="C36" s="897"/>
      <c r="D36" s="897"/>
      <c r="E36" s="897"/>
      <c r="F36" s="897"/>
      <c r="G36" s="897"/>
      <c r="H36" s="897"/>
      <c r="I36" s="897"/>
      <c r="J36" s="897"/>
      <c r="K36" s="897"/>
      <c r="L36" s="897"/>
      <c r="M36" s="897"/>
      <c r="N36" s="897"/>
      <c r="O36" s="897"/>
      <c r="P36" s="897"/>
      <c r="Q36" s="897"/>
      <c r="R36" s="897"/>
      <c r="S36" s="897"/>
      <c r="T36" s="897"/>
    </row>
    <row r="37" spans="1:20" s="760" customFormat="1" ht="11.25" customHeight="1" x14ac:dyDescent="0.2">
      <c r="A37" s="1410" t="s">
        <v>1174</v>
      </c>
      <c r="B37" s="759" t="s">
        <v>548</v>
      </c>
      <c r="C37" s="897"/>
      <c r="D37" s="897"/>
      <c r="E37" s="897"/>
      <c r="F37" s="897"/>
      <c r="G37" s="897"/>
      <c r="H37" s="897"/>
      <c r="I37" s="897"/>
      <c r="J37" s="897"/>
      <c r="K37" s="897"/>
      <c r="L37" s="897"/>
      <c r="M37" s="897"/>
      <c r="N37" s="897"/>
      <c r="O37" s="897"/>
      <c r="P37" s="897"/>
      <c r="Q37" s="897"/>
      <c r="R37" s="897"/>
      <c r="S37" s="897"/>
      <c r="T37" s="897"/>
    </row>
    <row r="38" spans="1:20" s="760" customFormat="1" ht="11.25" customHeight="1" x14ac:dyDescent="0.2">
      <c r="A38" s="1410" t="s">
        <v>1174</v>
      </c>
      <c r="B38" s="758" t="s">
        <v>556</v>
      </c>
      <c r="C38" s="897"/>
      <c r="D38" s="897"/>
      <c r="E38" s="897"/>
      <c r="F38" s="897"/>
      <c r="G38" s="897"/>
      <c r="H38" s="897"/>
      <c r="I38" s="897"/>
      <c r="J38" s="897"/>
      <c r="K38" s="897"/>
      <c r="L38" s="897"/>
      <c r="M38" s="897"/>
      <c r="N38" s="897"/>
      <c r="O38" s="897"/>
      <c r="P38" s="897"/>
      <c r="Q38" s="897"/>
      <c r="R38" s="897"/>
      <c r="S38" s="897"/>
      <c r="T38" s="897"/>
    </row>
    <row r="39" spans="1:20" s="760" customFormat="1" ht="11.25" customHeight="1" x14ac:dyDescent="0.2">
      <c r="A39" s="1410" t="s">
        <v>1174</v>
      </c>
      <c r="B39" s="759" t="s">
        <v>557</v>
      </c>
      <c r="C39" s="897"/>
      <c r="D39" s="897"/>
      <c r="E39" s="897"/>
      <c r="F39" s="897"/>
      <c r="G39" s="897"/>
      <c r="H39" s="897"/>
      <c r="I39" s="897"/>
      <c r="J39" s="897"/>
      <c r="K39" s="897"/>
      <c r="L39" s="897"/>
      <c r="M39" s="897"/>
      <c r="N39" s="897"/>
      <c r="O39" s="897"/>
      <c r="P39" s="897"/>
      <c r="Q39" s="897"/>
      <c r="R39" s="897"/>
      <c r="S39" s="897"/>
      <c r="T39" s="897"/>
    </row>
    <row r="40" spans="1:20" s="760" customFormat="1" ht="11.25" customHeight="1" x14ac:dyDescent="0.2">
      <c r="A40" s="1410" t="s">
        <v>1174</v>
      </c>
      <c r="B40" s="758" t="s">
        <v>549</v>
      </c>
      <c r="C40" s="897"/>
      <c r="D40" s="897"/>
      <c r="E40" s="897"/>
      <c r="F40" s="897"/>
      <c r="G40" s="897"/>
      <c r="H40" s="897"/>
      <c r="I40" s="897"/>
      <c r="J40" s="897"/>
      <c r="K40" s="897"/>
      <c r="L40" s="897"/>
      <c r="M40" s="897"/>
      <c r="N40" s="897"/>
      <c r="O40" s="897"/>
      <c r="P40" s="897"/>
      <c r="Q40" s="897"/>
      <c r="R40" s="897"/>
      <c r="S40" s="897"/>
      <c r="T40" s="897"/>
    </row>
    <row r="41" spans="1:20" s="760" customFormat="1" ht="11.25" customHeight="1" x14ac:dyDescent="0.2">
      <c r="A41" s="1410" t="s">
        <v>1174</v>
      </c>
      <c r="B41" s="759" t="s">
        <v>558</v>
      </c>
      <c r="C41" s="897"/>
      <c r="D41" s="897"/>
      <c r="E41" s="897"/>
      <c r="F41" s="897"/>
      <c r="G41" s="897"/>
      <c r="H41" s="897"/>
      <c r="I41" s="897"/>
      <c r="J41" s="897"/>
      <c r="K41" s="897"/>
      <c r="L41" s="897"/>
      <c r="M41" s="897"/>
      <c r="N41" s="897"/>
      <c r="O41" s="897"/>
      <c r="P41" s="897"/>
      <c r="Q41" s="897"/>
      <c r="R41" s="897"/>
      <c r="S41" s="897"/>
      <c r="T41" s="897"/>
    </row>
    <row r="42" spans="1:20" s="760" customFormat="1" ht="11.25" customHeight="1" x14ac:dyDescent="0.2">
      <c r="A42" s="1410" t="s">
        <v>1174</v>
      </c>
      <c r="B42" s="758" t="s">
        <v>559</v>
      </c>
      <c r="C42" s="897"/>
      <c r="D42" s="897"/>
      <c r="E42" s="897"/>
      <c r="F42" s="897"/>
      <c r="G42" s="897"/>
      <c r="H42" s="897"/>
      <c r="I42" s="897"/>
      <c r="J42" s="897"/>
      <c r="K42" s="897"/>
      <c r="L42" s="897"/>
      <c r="M42" s="897"/>
      <c r="N42" s="897"/>
      <c r="O42" s="897"/>
      <c r="P42" s="897"/>
      <c r="Q42" s="897"/>
      <c r="R42" s="897"/>
      <c r="S42" s="897"/>
      <c r="T42" s="897"/>
    </row>
    <row r="43" spans="1:20" s="760" customFormat="1" ht="11.25" customHeight="1" x14ac:dyDescent="0.2">
      <c r="A43" s="1410" t="s">
        <v>1174</v>
      </c>
      <c r="B43" s="759" t="s">
        <v>550</v>
      </c>
      <c r="C43" s="897"/>
      <c r="D43" s="897"/>
      <c r="E43" s="897"/>
      <c r="F43" s="897"/>
      <c r="G43" s="897"/>
      <c r="H43" s="897"/>
      <c r="I43" s="897"/>
      <c r="J43" s="897"/>
      <c r="K43" s="897"/>
      <c r="L43" s="897"/>
      <c r="M43" s="897"/>
      <c r="N43" s="897"/>
      <c r="O43" s="897"/>
      <c r="P43" s="897"/>
      <c r="Q43" s="897"/>
      <c r="R43" s="897"/>
      <c r="S43" s="897"/>
      <c r="T43" s="897"/>
    </row>
    <row r="44" spans="1:20" s="760" customFormat="1" ht="11.25" customHeight="1" x14ac:dyDescent="0.2">
      <c r="A44" s="1410" t="s">
        <v>1296</v>
      </c>
      <c r="B44" s="758" t="s">
        <v>552</v>
      </c>
      <c r="C44" s="1195">
        <v>2516491</v>
      </c>
      <c r="D44" s="1195">
        <v>65078</v>
      </c>
      <c r="E44" s="1195">
        <v>113041</v>
      </c>
      <c r="F44" s="1195">
        <v>148082</v>
      </c>
      <c r="G44" s="1195">
        <f>E44-F44</f>
        <v>-35041</v>
      </c>
      <c r="H44" s="1195">
        <v>53760</v>
      </c>
      <c r="I44" s="1195">
        <v>1369563</v>
      </c>
      <c r="J44" s="1195">
        <v>717758</v>
      </c>
      <c r="K44" s="1195">
        <v>155</v>
      </c>
      <c r="L44" s="1195">
        <v>0</v>
      </c>
      <c r="M44" s="1195">
        <f>I44+J44+K44+L44</f>
        <v>2087476</v>
      </c>
      <c r="N44" s="1195">
        <v>8379</v>
      </c>
      <c r="O44" s="1195">
        <v>190</v>
      </c>
      <c r="P44" s="1195">
        <v>0</v>
      </c>
      <c r="Q44" s="1195">
        <v>0</v>
      </c>
      <c r="R44" s="1195">
        <v>0</v>
      </c>
      <c r="S44" s="1195">
        <v>228335</v>
      </c>
      <c r="T44" s="1195">
        <v>275908</v>
      </c>
    </row>
    <row r="45" spans="1:20" s="760" customFormat="1" ht="11.25" customHeight="1" x14ac:dyDescent="0.2">
      <c r="A45" s="1410" t="s">
        <v>1296</v>
      </c>
      <c r="B45" s="759" t="s">
        <v>553</v>
      </c>
      <c r="C45" s="1311">
        <v>2516310</v>
      </c>
      <c r="D45" s="1311">
        <v>66697</v>
      </c>
      <c r="E45" s="1311">
        <v>171998</v>
      </c>
      <c r="F45" s="1311">
        <v>96393</v>
      </c>
      <c r="G45" s="1311">
        <f t="shared" ref="G45:G55" si="2">E45-F45</f>
        <v>75605</v>
      </c>
      <c r="H45" s="1311">
        <v>53082</v>
      </c>
      <c r="I45" s="1311">
        <v>1576547</v>
      </c>
      <c r="J45" s="1311">
        <v>709859</v>
      </c>
      <c r="K45" s="1311">
        <v>104</v>
      </c>
      <c r="L45" s="1311">
        <v>0</v>
      </c>
      <c r="M45" s="1311">
        <f t="shared" ref="M45:M55" si="3">I45+J45+K45+L45</f>
        <v>2286510</v>
      </c>
      <c r="N45" s="1311">
        <v>8988</v>
      </c>
      <c r="O45" s="1311">
        <v>809</v>
      </c>
      <c r="P45" s="1311">
        <v>0</v>
      </c>
      <c r="Q45" s="1311">
        <v>0</v>
      </c>
      <c r="R45" s="1311">
        <v>0</v>
      </c>
      <c r="S45" s="1311">
        <v>230875</v>
      </c>
      <c r="T45" s="1311">
        <v>184512</v>
      </c>
    </row>
    <row r="46" spans="1:20" s="760" customFormat="1" ht="11.25" customHeight="1" x14ac:dyDescent="0.2">
      <c r="A46" s="1410" t="s">
        <v>1296</v>
      </c>
      <c r="B46" s="758" t="s">
        <v>547</v>
      </c>
      <c r="C46" s="1195">
        <v>2508112</v>
      </c>
      <c r="D46" s="1195">
        <v>69251</v>
      </c>
      <c r="E46" s="1195">
        <v>113310</v>
      </c>
      <c r="F46" s="1195">
        <v>117147</v>
      </c>
      <c r="G46" s="1195">
        <f t="shared" si="2"/>
        <v>-3837</v>
      </c>
      <c r="H46" s="1195">
        <v>53566</v>
      </c>
      <c r="I46" s="1195">
        <v>1425872</v>
      </c>
      <c r="J46" s="1195">
        <v>711055</v>
      </c>
      <c r="K46" s="1195">
        <v>236</v>
      </c>
      <c r="L46" s="1195">
        <v>0</v>
      </c>
      <c r="M46" s="1195">
        <f t="shared" si="3"/>
        <v>2137163</v>
      </c>
      <c r="N46" s="1195">
        <v>9696</v>
      </c>
      <c r="O46" s="1195">
        <v>0</v>
      </c>
      <c r="P46" s="1195">
        <v>0</v>
      </c>
      <c r="Q46" s="1195">
        <v>0</v>
      </c>
      <c r="R46" s="1195">
        <v>0</v>
      </c>
      <c r="S46" s="1195">
        <v>238172</v>
      </c>
      <c r="T46" s="1195">
        <v>242061</v>
      </c>
    </row>
    <row r="47" spans="1:20" s="760" customFormat="1" ht="11.25" customHeight="1" x14ac:dyDescent="0.2">
      <c r="A47" s="1410" t="s">
        <v>1296</v>
      </c>
      <c r="B47" s="759" t="s">
        <v>554</v>
      </c>
      <c r="C47" s="1311">
        <v>2516396</v>
      </c>
      <c r="D47" s="1311">
        <v>71969</v>
      </c>
      <c r="E47" s="1311">
        <v>112041</v>
      </c>
      <c r="F47" s="1311">
        <v>97739</v>
      </c>
      <c r="G47" s="1311">
        <f t="shared" si="2"/>
        <v>14302</v>
      </c>
      <c r="H47" s="1311">
        <v>53825</v>
      </c>
      <c r="I47" s="1311">
        <v>1375333</v>
      </c>
      <c r="J47" s="1311">
        <v>711869</v>
      </c>
      <c r="K47" s="1311">
        <v>148</v>
      </c>
      <c r="L47" s="1311">
        <v>0</v>
      </c>
      <c r="M47" s="1311">
        <f t="shared" si="3"/>
        <v>2087350</v>
      </c>
      <c r="N47" s="1311">
        <v>9445</v>
      </c>
      <c r="O47" s="1311">
        <v>210</v>
      </c>
      <c r="P47" s="1311">
        <v>0</v>
      </c>
      <c r="Q47" s="1311">
        <v>0</v>
      </c>
      <c r="R47" s="1311">
        <v>0</v>
      </c>
      <c r="S47" s="1311">
        <v>237874</v>
      </c>
      <c r="T47" s="1311">
        <v>321613</v>
      </c>
    </row>
    <row r="48" spans="1:20" s="760" customFormat="1" ht="11.25" customHeight="1" x14ac:dyDescent="0.2">
      <c r="A48" s="1410" t="s">
        <v>1296</v>
      </c>
      <c r="B48" s="758" t="s">
        <v>555</v>
      </c>
      <c r="C48" s="1195">
        <v>2528327</v>
      </c>
      <c r="D48" s="1195">
        <v>71002</v>
      </c>
      <c r="E48" s="1195">
        <v>119475</v>
      </c>
      <c r="F48" s="1195">
        <v>99915</v>
      </c>
      <c r="G48" s="1195">
        <f t="shared" si="2"/>
        <v>19560</v>
      </c>
      <c r="H48" s="1195">
        <v>54037</v>
      </c>
      <c r="I48" s="1195">
        <v>1367015</v>
      </c>
      <c r="J48" s="1195">
        <v>707679</v>
      </c>
      <c r="K48" s="1195">
        <v>107</v>
      </c>
      <c r="L48" s="1195">
        <v>0</v>
      </c>
      <c r="M48" s="1195">
        <f t="shared" si="3"/>
        <v>2074801</v>
      </c>
      <c r="N48" s="1195">
        <v>7454</v>
      </c>
      <c r="O48" s="1195">
        <v>1045</v>
      </c>
      <c r="P48" s="1195">
        <v>0</v>
      </c>
      <c r="Q48" s="1195">
        <v>0</v>
      </c>
      <c r="R48" s="1195">
        <v>0</v>
      </c>
      <c r="S48" s="1195">
        <v>285181</v>
      </c>
      <c r="T48" s="1195">
        <v>304445</v>
      </c>
    </row>
    <row r="49" spans="1:20" s="760" customFormat="1" ht="11.25" customHeight="1" x14ac:dyDescent="0.2">
      <c r="A49" s="1410" t="s">
        <v>1296</v>
      </c>
      <c r="B49" s="759" t="s">
        <v>548</v>
      </c>
      <c r="C49" s="1311">
        <v>2534979</v>
      </c>
      <c r="D49" s="1311">
        <v>65381</v>
      </c>
      <c r="E49" s="1311">
        <v>118166</v>
      </c>
      <c r="F49" s="1311">
        <v>101875</v>
      </c>
      <c r="G49" s="1311">
        <f t="shared" si="2"/>
        <v>16291</v>
      </c>
      <c r="H49" s="1311">
        <v>55362</v>
      </c>
      <c r="I49" s="1311">
        <v>1391509</v>
      </c>
      <c r="J49" s="1311">
        <v>762873</v>
      </c>
      <c r="K49" s="1311">
        <v>100</v>
      </c>
      <c r="L49" s="1311">
        <v>0</v>
      </c>
      <c r="M49" s="1311">
        <f t="shared" si="3"/>
        <v>2154482</v>
      </c>
      <c r="N49" s="1311">
        <v>7890</v>
      </c>
      <c r="O49" s="1311">
        <v>0</v>
      </c>
      <c r="P49" s="1311">
        <v>0</v>
      </c>
      <c r="Q49" s="1311">
        <v>0</v>
      </c>
      <c r="R49" s="1311">
        <v>0</v>
      </c>
      <c r="S49" s="1311">
        <v>301325</v>
      </c>
      <c r="T49" s="1311">
        <v>208316</v>
      </c>
    </row>
    <row r="50" spans="1:20" s="760" customFormat="1" ht="11.25" customHeight="1" x14ac:dyDescent="0.2">
      <c r="A50" s="1410" t="s">
        <v>1296</v>
      </c>
      <c r="B50" s="758" t="s">
        <v>556</v>
      </c>
      <c r="C50" s="1195">
        <v>2535619</v>
      </c>
      <c r="D50" s="1195">
        <v>66721</v>
      </c>
      <c r="E50" s="1195">
        <v>116387</v>
      </c>
      <c r="F50" s="1195">
        <v>116526</v>
      </c>
      <c r="G50" s="1195">
        <f t="shared" si="2"/>
        <v>-139</v>
      </c>
      <c r="H50" s="1195">
        <v>55465</v>
      </c>
      <c r="I50" s="1195">
        <v>1387593</v>
      </c>
      <c r="J50" s="1195">
        <v>700158</v>
      </c>
      <c r="K50" s="1195">
        <v>134</v>
      </c>
      <c r="L50" s="1195">
        <v>0</v>
      </c>
      <c r="M50" s="1195">
        <f t="shared" si="3"/>
        <v>2087885</v>
      </c>
      <c r="N50" s="1195">
        <v>8246</v>
      </c>
      <c r="O50" s="1195">
        <v>310</v>
      </c>
      <c r="P50" s="1195">
        <v>0</v>
      </c>
      <c r="Q50" s="1195">
        <v>0</v>
      </c>
      <c r="R50" s="1195">
        <v>0</v>
      </c>
      <c r="S50" s="1195">
        <v>326295</v>
      </c>
      <c r="T50" s="1195">
        <v>234930</v>
      </c>
    </row>
    <row r="51" spans="1:20" s="760" customFormat="1" ht="11.25" customHeight="1" x14ac:dyDescent="0.2">
      <c r="A51" s="1410" t="s">
        <v>1296</v>
      </c>
      <c r="B51" s="759" t="s">
        <v>557</v>
      </c>
      <c r="C51" s="1311">
        <v>2535729</v>
      </c>
      <c r="D51" s="1311">
        <v>66250</v>
      </c>
      <c r="E51" s="1311">
        <v>101602</v>
      </c>
      <c r="F51" s="1311">
        <v>108066</v>
      </c>
      <c r="G51" s="1311">
        <f t="shared" si="2"/>
        <v>-6464</v>
      </c>
      <c r="H51" s="1311">
        <v>55076</v>
      </c>
      <c r="I51" s="1311">
        <v>1395923</v>
      </c>
      <c r="J51" s="1311">
        <v>694206</v>
      </c>
      <c r="K51" s="1311">
        <v>74</v>
      </c>
      <c r="L51" s="1311">
        <v>0</v>
      </c>
      <c r="M51" s="1311">
        <f t="shared" si="3"/>
        <v>2090203</v>
      </c>
      <c r="N51" s="1311">
        <v>9394</v>
      </c>
      <c r="O51" s="1311">
        <v>2487</v>
      </c>
      <c r="P51" s="1311">
        <v>0</v>
      </c>
      <c r="Q51" s="1311">
        <v>0</v>
      </c>
      <c r="R51" s="1311">
        <v>0</v>
      </c>
      <c r="S51" s="1311">
        <v>323192</v>
      </c>
      <c r="T51" s="1311">
        <v>225315</v>
      </c>
    </row>
    <row r="52" spans="1:20" s="760" customFormat="1" ht="11.25" customHeight="1" x14ac:dyDescent="0.2">
      <c r="A52" s="1410" t="s">
        <v>1296</v>
      </c>
      <c r="B52" s="758" t="s">
        <v>549</v>
      </c>
      <c r="C52" s="1195">
        <v>2529084</v>
      </c>
      <c r="D52" s="1195">
        <v>66613</v>
      </c>
      <c r="E52" s="1195">
        <v>103248</v>
      </c>
      <c r="F52" s="1195">
        <v>84994</v>
      </c>
      <c r="G52" s="1195">
        <f t="shared" si="2"/>
        <v>18254</v>
      </c>
      <c r="H52" s="1195">
        <v>55835</v>
      </c>
      <c r="I52" s="1195">
        <v>1386485</v>
      </c>
      <c r="J52" s="1195">
        <v>720718</v>
      </c>
      <c r="K52" s="1195">
        <v>27</v>
      </c>
      <c r="L52" s="1195">
        <v>0</v>
      </c>
      <c r="M52" s="1195">
        <f t="shared" si="3"/>
        <v>2107230</v>
      </c>
      <c r="N52" s="1195">
        <v>4735</v>
      </c>
      <c r="O52" s="1195">
        <v>2777</v>
      </c>
      <c r="P52" s="1195">
        <v>0</v>
      </c>
      <c r="Q52" s="1195">
        <v>0</v>
      </c>
      <c r="R52" s="1195">
        <v>0</v>
      </c>
      <c r="S52" s="1195">
        <v>327366</v>
      </c>
      <c r="T52" s="1195">
        <v>227678</v>
      </c>
    </row>
    <row r="53" spans="1:20" s="760" customFormat="1" ht="11.25" customHeight="1" x14ac:dyDescent="0.2">
      <c r="A53" s="1410" t="s">
        <v>1296</v>
      </c>
      <c r="B53" s="759" t="s">
        <v>558</v>
      </c>
      <c r="C53" s="1311">
        <v>2513204</v>
      </c>
      <c r="D53" s="1311">
        <v>73619</v>
      </c>
      <c r="E53" s="1311">
        <v>111367</v>
      </c>
      <c r="F53" s="1311">
        <v>90221</v>
      </c>
      <c r="G53" s="1311">
        <f t="shared" si="2"/>
        <v>21146</v>
      </c>
      <c r="H53" s="1311">
        <v>56122</v>
      </c>
      <c r="I53" s="1311">
        <v>1393703</v>
      </c>
      <c r="J53" s="1311">
        <v>714719</v>
      </c>
      <c r="K53" s="1311">
        <v>121</v>
      </c>
      <c r="L53" s="1311">
        <v>0</v>
      </c>
      <c r="M53" s="1311">
        <f t="shared" si="3"/>
        <v>2108543</v>
      </c>
      <c r="N53" s="1311">
        <v>5301</v>
      </c>
      <c r="O53" s="1311">
        <v>2338</v>
      </c>
      <c r="P53" s="1311">
        <v>0</v>
      </c>
      <c r="Q53" s="1311">
        <v>0</v>
      </c>
      <c r="R53" s="1311">
        <v>0</v>
      </c>
      <c r="S53" s="1311">
        <v>325957</v>
      </c>
      <c r="T53" s="1311">
        <v>221952</v>
      </c>
    </row>
    <row r="54" spans="1:20" s="760" customFormat="1" ht="11.25" customHeight="1" x14ac:dyDescent="0.2">
      <c r="A54" s="1410" t="s">
        <v>1296</v>
      </c>
      <c r="B54" s="758" t="s">
        <v>559</v>
      </c>
      <c r="C54" s="1195">
        <v>2523794</v>
      </c>
      <c r="D54" s="1195">
        <v>72723</v>
      </c>
      <c r="E54" s="1195">
        <v>103640</v>
      </c>
      <c r="F54" s="1195">
        <v>84336</v>
      </c>
      <c r="G54" s="1195">
        <f t="shared" si="2"/>
        <v>19304</v>
      </c>
      <c r="H54" s="1195">
        <v>56488</v>
      </c>
      <c r="I54" s="1195">
        <v>1450992</v>
      </c>
      <c r="J54" s="1195">
        <v>644076</v>
      </c>
      <c r="K54" s="1195">
        <v>64</v>
      </c>
      <c r="L54" s="1195">
        <v>0</v>
      </c>
      <c r="M54" s="1195">
        <f t="shared" si="3"/>
        <v>2095132</v>
      </c>
      <c r="N54" s="1195">
        <v>4089</v>
      </c>
      <c r="O54" s="1195">
        <v>0</v>
      </c>
      <c r="P54" s="1195">
        <v>0</v>
      </c>
      <c r="Q54" s="1195">
        <v>0</v>
      </c>
      <c r="R54" s="1195">
        <v>0</v>
      </c>
      <c r="S54" s="1195">
        <v>331477</v>
      </c>
      <c r="T54" s="1195">
        <v>241611</v>
      </c>
    </row>
    <row r="55" spans="1:20" s="760" customFormat="1" ht="11.25" customHeight="1" x14ac:dyDescent="0.2">
      <c r="A55" s="1410" t="s">
        <v>1296</v>
      </c>
      <c r="B55" s="759" t="s">
        <v>550</v>
      </c>
      <c r="C55" s="1814">
        <v>2535100</v>
      </c>
      <c r="D55" s="1814">
        <v>73472</v>
      </c>
      <c r="E55" s="1814">
        <v>223759</v>
      </c>
      <c r="F55" s="1814">
        <v>97067</v>
      </c>
      <c r="G55" s="1814">
        <f t="shared" si="2"/>
        <v>126692</v>
      </c>
      <c r="H55" s="1814">
        <v>57565</v>
      </c>
      <c r="I55" s="1814">
        <v>1534112</v>
      </c>
      <c r="J55" s="1814">
        <v>787992</v>
      </c>
      <c r="K55" s="1814">
        <v>33</v>
      </c>
      <c r="L55" s="1814">
        <v>0</v>
      </c>
      <c r="M55" s="1814">
        <f t="shared" si="3"/>
        <v>2322137</v>
      </c>
      <c r="N55" s="1814">
        <v>3455</v>
      </c>
      <c r="O55" s="1814">
        <v>0</v>
      </c>
      <c r="P55" s="1814">
        <v>0</v>
      </c>
      <c r="Q55" s="1814">
        <v>0</v>
      </c>
      <c r="R55" s="1814">
        <v>0</v>
      </c>
      <c r="S55" s="1814">
        <v>303085</v>
      </c>
      <c r="T55" s="1814">
        <v>164152</v>
      </c>
    </row>
    <row r="56" spans="1:20" s="760" customFormat="1" ht="11.25" customHeight="1" x14ac:dyDescent="0.2">
      <c r="A56" s="1410" t="s">
        <v>1404</v>
      </c>
      <c r="B56" s="1808" t="s">
        <v>552</v>
      </c>
      <c r="C56" s="1311">
        <v>2183749</v>
      </c>
      <c r="D56" s="1311">
        <v>3246226</v>
      </c>
      <c r="E56" s="1311">
        <v>10323050</v>
      </c>
      <c r="F56" s="1311">
        <f t="shared" ref="F56:F67" si="4">D56+E56</f>
        <v>13569276</v>
      </c>
      <c r="G56" s="1311">
        <v>1361691</v>
      </c>
      <c r="H56" s="1311">
        <v>1076629</v>
      </c>
      <c r="I56" s="1311">
        <v>8997518</v>
      </c>
      <c r="J56" s="1311">
        <v>2311773</v>
      </c>
      <c r="K56" s="1311">
        <f t="shared" ref="K56:K67" si="5">G56+H56+I56+J56</f>
        <v>13747611</v>
      </c>
      <c r="L56" s="1311">
        <v>4933</v>
      </c>
      <c r="M56" s="1311">
        <v>16848</v>
      </c>
      <c r="N56" s="1311">
        <v>1620</v>
      </c>
      <c r="O56" s="1311">
        <v>0</v>
      </c>
      <c r="P56" s="1311">
        <v>0</v>
      </c>
      <c r="Q56" s="1311">
        <v>1522055</v>
      </c>
      <c r="R56" s="1311">
        <v>459958</v>
      </c>
      <c r="S56" s="897"/>
      <c r="T56" s="897"/>
    </row>
    <row r="57" spans="1:20" s="760" customFormat="1" ht="11.25" customHeight="1" x14ac:dyDescent="0.2">
      <c r="A57" s="1410" t="s">
        <v>1404</v>
      </c>
      <c r="B57" s="1807" t="s">
        <v>553</v>
      </c>
      <c r="C57" s="1195">
        <v>2227007</v>
      </c>
      <c r="D57" s="1195">
        <v>3329853</v>
      </c>
      <c r="E57" s="1195">
        <v>10416887</v>
      </c>
      <c r="F57" s="1195">
        <f t="shared" si="4"/>
        <v>13746740</v>
      </c>
      <c r="G57" s="1195">
        <v>1518517</v>
      </c>
      <c r="H57" s="1195">
        <v>1036595</v>
      </c>
      <c r="I57" s="1195">
        <v>9062669</v>
      </c>
      <c r="J57" s="1195">
        <v>2351098</v>
      </c>
      <c r="K57" s="1195">
        <f t="shared" si="5"/>
        <v>13968879</v>
      </c>
      <c r="L57" s="1195">
        <v>5293</v>
      </c>
      <c r="M57" s="1195">
        <v>18017</v>
      </c>
      <c r="N57" s="1195">
        <v>1342</v>
      </c>
      <c r="O57" s="1195">
        <v>0</v>
      </c>
      <c r="P57" s="1195">
        <v>0</v>
      </c>
      <c r="Q57" s="1195">
        <v>1549845</v>
      </c>
      <c r="R57" s="1195">
        <v>430371</v>
      </c>
      <c r="S57" s="897"/>
      <c r="T57" s="897"/>
    </row>
    <row r="58" spans="1:20" s="760" customFormat="1" ht="11.25" customHeight="1" x14ac:dyDescent="0.2">
      <c r="A58" s="1410" t="s">
        <v>1404</v>
      </c>
      <c r="B58" s="1808" t="s">
        <v>547</v>
      </c>
      <c r="C58" s="1311">
        <v>2206712</v>
      </c>
      <c r="D58" s="1311">
        <v>3314238</v>
      </c>
      <c r="E58" s="1311">
        <v>10505532</v>
      </c>
      <c r="F58" s="1311">
        <f t="shared" si="4"/>
        <v>13819770</v>
      </c>
      <c r="G58" s="1311">
        <v>1394865</v>
      </c>
      <c r="H58" s="1311">
        <v>1039992</v>
      </c>
      <c r="I58" s="1311">
        <v>9141082</v>
      </c>
      <c r="J58" s="1311">
        <v>2393694</v>
      </c>
      <c r="K58" s="1311">
        <f t="shared" si="5"/>
        <v>13969633</v>
      </c>
      <c r="L58" s="1311">
        <v>7293</v>
      </c>
      <c r="M58" s="1311">
        <v>17926</v>
      </c>
      <c r="N58" s="1311">
        <v>1420</v>
      </c>
      <c r="O58" s="1311">
        <v>0</v>
      </c>
      <c r="P58" s="1311">
        <v>0</v>
      </c>
      <c r="Q58" s="1311">
        <v>1535919</v>
      </c>
      <c r="R58" s="1311">
        <v>494291</v>
      </c>
      <c r="S58" s="897"/>
      <c r="T58" s="897"/>
    </row>
    <row r="59" spans="1:20" s="760" customFormat="1" ht="11.25" customHeight="1" x14ac:dyDescent="0.2">
      <c r="A59" s="1410" t="s">
        <v>1404</v>
      </c>
      <c r="B59" s="1807" t="s">
        <v>554</v>
      </c>
      <c r="C59" s="1195">
        <v>2134210</v>
      </c>
      <c r="D59" s="1195">
        <v>3359739</v>
      </c>
      <c r="E59" s="1195">
        <v>10655080</v>
      </c>
      <c r="F59" s="1195">
        <f t="shared" si="4"/>
        <v>14014819</v>
      </c>
      <c r="G59" s="1195">
        <v>1375482</v>
      </c>
      <c r="H59" s="1195">
        <v>1055825</v>
      </c>
      <c r="I59" s="1195">
        <v>9210843</v>
      </c>
      <c r="J59" s="1195">
        <v>2436837</v>
      </c>
      <c r="K59" s="1195">
        <f t="shared" si="5"/>
        <v>14078987</v>
      </c>
      <c r="L59" s="1195">
        <v>8778</v>
      </c>
      <c r="M59" s="1195">
        <v>17501</v>
      </c>
      <c r="N59" s="1195">
        <v>1434</v>
      </c>
      <c r="O59" s="1195">
        <v>0</v>
      </c>
      <c r="P59" s="1195">
        <v>0</v>
      </c>
      <c r="Q59" s="1195">
        <v>1557906</v>
      </c>
      <c r="R59" s="1195">
        <v>484423</v>
      </c>
      <c r="S59" s="897"/>
      <c r="T59" s="897"/>
    </row>
    <row r="60" spans="1:20" s="760" customFormat="1" ht="11.25" customHeight="1" x14ac:dyDescent="0.2">
      <c r="A60" s="1410" t="s">
        <v>1404</v>
      </c>
      <c r="B60" s="1808" t="s">
        <v>555</v>
      </c>
      <c r="C60" s="1311">
        <v>2110407</v>
      </c>
      <c r="D60" s="1311">
        <v>3416463</v>
      </c>
      <c r="E60" s="1311">
        <v>10775986</v>
      </c>
      <c r="F60" s="1311">
        <f t="shared" si="4"/>
        <v>14192449</v>
      </c>
      <c r="G60" s="1311">
        <v>1375822</v>
      </c>
      <c r="H60" s="1311">
        <v>1052515</v>
      </c>
      <c r="I60" s="1311">
        <v>9275843</v>
      </c>
      <c r="J60" s="1311">
        <v>2473984</v>
      </c>
      <c r="K60" s="1311">
        <f t="shared" si="5"/>
        <v>14178164</v>
      </c>
      <c r="L60" s="1311">
        <v>7177</v>
      </c>
      <c r="M60" s="1311">
        <v>17894</v>
      </c>
      <c r="N60" s="1311">
        <v>1378</v>
      </c>
      <c r="O60" s="1311">
        <v>0</v>
      </c>
      <c r="P60" s="1311">
        <v>0</v>
      </c>
      <c r="Q60" s="1311">
        <v>1591493</v>
      </c>
      <c r="R60" s="1311">
        <v>506750</v>
      </c>
      <c r="S60" s="897"/>
      <c r="T60" s="897"/>
    </row>
    <row r="61" spans="1:20" s="760" customFormat="1" ht="11.25" customHeight="1" x14ac:dyDescent="0.2">
      <c r="A61" s="1410" t="s">
        <v>1404</v>
      </c>
      <c r="B61" s="1807" t="s">
        <v>548</v>
      </c>
      <c r="C61" s="1809">
        <v>2179902</v>
      </c>
      <c r="D61" s="1195">
        <v>3457006</v>
      </c>
      <c r="E61" s="1195">
        <v>10959902</v>
      </c>
      <c r="F61" s="1195">
        <f t="shared" si="4"/>
        <v>14416908</v>
      </c>
      <c r="G61" s="1195">
        <v>1431478</v>
      </c>
      <c r="H61" s="1195">
        <v>1110055</v>
      </c>
      <c r="I61" s="1195">
        <v>9407231</v>
      </c>
      <c r="J61" s="1195">
        <v>2507628</v>
      </c>
      <c r="K61" s="1195">
        <f t="shared" si="5"/>
        <v>14456392</v>
      </c>
      <c r="L61" s="1195">
        <v>12230</v>
      </c>
      <c r="M61" s="1195">
        <v>19262</v>
      </c>
      <c r="N61" s="1195">
        <v>1408</v>
      </c>
      <c r="O61" s="1195">
        <v>0</v>
      </c>
      <c r="P61" s="1195">
        <v>0</v>
      </c>
      <c r="Q61" s="1195">
        <v>1640728</v>
      </c>
      <c r="R61" s="1195">
        <v>466790</v>
      </c>
      <c r="S61" s="897"/>
      <c r="T61" s="897"/>
    </row>
    <row r="62" spans="1:20" s="760" customFormat="1" ht="11.25" customHeight="1" x14ac:dyDescent="0.2">
      <c r="A62" s="1410" t="s">
        <v>1404</v>
      </c>
      <c r="B62" s="1808" t="s">
        <v>556</v>
      </c>
      <c r="C62" s="1810">
        <v>2089244</v>
      </c>
      <c r="D62" s="1311">
        <v>3524537</v>
      </c>
      <c r="E62" s="1311">
        <v>11041739</v>
      </c>
      <c r="F62" s="1311">
        <f t="shared" si="4"/>
        <v>14566276</v>
      </c>
      <c r="G62" s="1311">
        <v>1431482</v>
      </c>
      <c r="H62" s="1311">
        <v>1069698</v>
      </c>
      <c r="I62" s="1311">
        <v>9443636</v>
      </c>
      <c r="J62" s="1311">
        <v>2566565</v>
      </c>
      <c r="K62" s="1311">
        <f t="shared" si="5"/>
        <v>14511381</v>
      </c>
      <c r="L62" s="1311">
        <v>10656</v>
      </c>
      <c r="M62" s="1311">
        <v>19175</v>
      </c>
      <c r="N62" s="1311">
        <v>1622</v>
      </c>
      <c r="O62" s="1311">
        <v>0</v>
      </c>
      <c r="P62" s="1311">
        <v>0</v>
      </c>
      <c r="Q62" s="1311">
        <v>1452536</v>
      </c>
      <c r="R62" s="1311">
        <v>660150</v>
      </c>
      <c r="S62" s="897"/>
      <c r="T62" s="897"/>
    </row>
    <row r="63" spans="1:20" s="760" customFormat="1" ht="11.25" customHeight="1" x14ac:dyDescent="0.2">
      <c r="A63" s="1410" t="s">
        <v>1404</v>
      </c>
      <c r="B63" s="1807" t="s">
        <v>557</v>
      </c>
      <c r="C63" s="1809">
        <v>2144728</v>
      </c>
      <c r="D63" s="1195">
        <v>3514948</v>
      </c>
      <c r="E63" s="1195">
        <v>11122658</v>
      </c>
      <c r="F63" s="1195">
        <f t="shared" si="4"/>
        <v>14637606</v>
      </c>
      <c r="G63" s="1195">
        <v>1444290</v>
      </c>
      <c r="H63" s="1195">
        <v>1064771</v>
      </c>
      <c r="I63" s="1195">
        <v>9507149</v>
      </c>
      <c r="J63" s="1195">
        <v>2611699</v>
      </c>
      <c r="K63" s="1195">
        <f t="shared" si="5"/>
        <v>14627909</v>
      </c>
      <c r="L63" s="1195">
        <v>10288</v>
      </c>
      <c r="M63" s="1195">
        <v>19162</v>
      </c>
      <c r="N63" s="1195">
        <v>1298</v>
      </c>
      <c r="O63" s="1195">
        <v>0</v>
      </c>
      <c r="P63" s="1195">
        <v>0</v>
      </c>
      <c r="Q63" s="1195">
        <v>1476239</v>
      </c>
      <c r="R63" s="1195">
        <v>647438</v>
      </c>
      <c r="S63" s="897"/>
      <c r="T63" s="897"/>
    </row>
    <row r="64" spans="1:20" s="760" customFormat="1" ht="11.25" customHeight="1" x14ac:dyDescent="0.2">
      <c r="A64" s="1410" t="s">
        <v>1404</v>
      </c>
      <c r="B64" s="1808" t="s">
        <v>549</v>
      </c>
      <c r="C64" s="1810">
        <v>2187129</v>
      </c>
      <c r="D64" s="1311">
        <v>3552363</v>
      </c>
      <c r="E64" s="1311">
        <v>11216529</v>
      </c>
      <c r="F64" s="1311">
        <f t="shared" si="4"/>
        <v>14768892</v>
      </c>
      <c r="G64" s="1311">
        <v>1431119</v>
      </c>
      <c r="H64" s="1311">
        <v>1070671</v>
      </c>
      <c r="I64" s="1311">
        <v>9597024</v>
      </c>
      <c r="J64" s="1311">
        <v>2651671</v>
      </c>
      <c r="K64" s="1311">
        <f t="shared" si="5"/>
        <v>14750485</v>
      </c>
      <c r="L64" s="1311">
        <v>10278</v>
      </c>
      <c r="M64" s="1311">
        <v>19498</v>
      </c>
      <c r="N64" s="1311">
        <v>1269</v>
      </c>
      <c r="O64" s="1311">
        <v>0</v>
      </c>
      <c r="P64" s="1311">
        <v>0</v>
      </c>
      <c r="Q64" s="1311">
        <v>1481667</v>
      </c>
      <c r="R64" s="1311">
        <v>692824</v>
      </c>
      <c r="S64" s="897"/>
      <c r="T64" s="897"/>
    </row>
    <row r="65" spans="1:20" s="760" customFormat="1" ht="11.25" customHeight="1" x14ac:dyDescent="0.2">
      <c r="A65" s="1410" t="s">
        <v>1404</v>
      </c>
      <c r="B65" s="1807" t="s">
        <v>558</v>
      </c>
      <c r="C65" s="1809">
        <v>2129324</v>
      </c>
      <c r="D65" s="1195">
        <v>3595375</v>
      </c>
      <c r="E65" s="1195">
        <v>11308943</v>
      </c>
      <c r="F65" s="1195">
        <f t="shared" si="4"/>
        <v>14904318</v>
      </c>
      <c r="G65" s="1195">
        <v>1432259</v>
      </c>
      <c r="H65" s="1195">
        <v>1085797</v>
      </c>
      <c r="I65" s="1195">
        <v>9606751</v>
      </c>
      <c r="J65" s="1195">
        <v>2688045</v>
      </c>
      <c r="K65" s="1195">
        <f t="shared" si="5"/>
        <v>14812852</v>
      </c>
      <c r="L65" s="1195">
        <v>12567</v>
      </c>
      <c r="M65" s="1195">
        <v>19513</v>
      </c>
      <c r="N65" s="1195">
        <v>1251</v>
      </c>
      <c r="O65" s="1195">
        <v>0</v>
      </c>
      <c r="P65" s="1195">
        <v>0</v>
      </c>
      <c r="Q65" s="1195">
        <v>1543770</v>
      </c>
      <c r="R65" s="1195">
        <v>643689</v>
      </c>
      <c r="S65" s="897"/>
      <c r="T65" s="897"/>
    </row>
    <row r="66" spans="1:20" s="760" customFormat="1" ht="11.25" customHeight="1" x14ac:dyDescent="0.2">
      <c r="A66" s="1410" t="s">
        <v>1404</v>
      </c>
      <c r="B66" s="1808" t="s">
        <v>559</v>
      </c>
      <c r="C66" s="1810">
        <v>2124180</v>
      </c>
      <c r="D66" s="1311">
        <v>3833454</v>
      </c>
      <c r="E66" s="1311">
        <v>11473110</v>
      </c>
      <c r="F66" s="1311">
        <f t="shared" si="4"/>
        <v>15306564</v>
      </c>
      <c r="G66" s="1311">
        <v>1630725</v>
      </c>
      <c r="H66" s="1311">
        <v>1085230</v>
      </c>
      <c r="I66" s="1311">
        <v>9740214</v>
      </c>
      <c r="J66" s="1311">
        <v>2719245</v>
      </c>
      <c r="K66" s="1311">
        <f t="shared" si="5"/>
        <v>15175414</v>
      </c>
      <c r="L66" s="1311">
        <v>11080</v>
      </c>
      <c r="M66" s="1311">
        <v>22002</v>
      </c>
      <c r="N66" s="1311">
        <v>1136</v>
      </c>
      <c r="O66" s="1311">
        <v>0</v>
      </c>
      <c r="P66" s="1311">
        <v>0</v>
      </c>
      <c r="Q66" s="1311">
        <v>1529704</v>
      </c>
      <c r="R66" s="1311">
        <v>691408</v>
      </c>
      <c r="S66" s="897"/>
      <c r="T66" s="897"/>
    </row>
    <row r="67" spans="1:20" s="760" customFormat="1" ht="11.25" customHeight="1" x14ac:dyDescent="0.2">
      <c r="A67" s="1410" t="s">
        <v>1404</v>
      </c>
      <c r="B67" s="1807" t="s">
        <v>550</v>
      </c>
      <c r="C67" s="1809">
        <v>2204910</v>
      </c>
      <c r="D67" s="1195">
        <v>3865828</v>
      </c>
      <c r="E67" s="1195">
        <v>11531970</v>
      </c>
      <c r="F67" s="1195">
        <f t="shared" si="4"/>
        <v>15397798</v>
      </c>
      <c r="G67" s="1195">
        <v>1527544</v>
      </c>
      <c r="H67" s="1195">
        <v>1182821</v>
      </c>
      <c r="I67" s="1195">
        <v>9884459</v>
      </c>
      <c r="J67" s="1195">
        <v>2750417</v>
      </c>
      <c r="K67" s="1195">
        <f t="shared" si="5"/>
        <v>15345241</v>
      </c>
      <c r="L67" s="1195">
        <v>5593</v>
      </c>
      <c r="M67" s="1195">
        <v>20742</v>
      </c>
      <c r="N67" s="1195">
        <v>2159</v>
      </c>
      <c r="O67" s="1195">
        <v>0</v>
      </c>
      <c r="P67" s="1195">
        <v>0</v>
      </c>
      <c r="Q67" s="1195">
        <v>1535595</v>
      </c>
      <c r="R67" s="1195">
        <v>693378</v>
      </c>
      <c r="S67" s="897"/>
      <c r="T67" s="897"/>
    </row>
    <row r="68" spans="1:20" s="760" customFormat="1" ht="11.25" customHeight="1" x14ac:dyDescent="0.2">
      <c r="A68" s="1410" t="s">
        <v>1484</v>
      </c>
      <c r="B68" s="758" t="s">
        <v>552</v>
      </c>
      <c r="C68" s="898">
        <v>255656.8</v>
      </c>
      <c r="D68" s="898">
        <v>7038.2</v>
      </c>
      <c r="E68" s="898">
        <v>32088.6</v>
      </c>
      <c r="F68" s="898">
        <v>12312.1</v>
      </c>
      <c r="G68" s="898">
        <f t="shared" ref="G68:G102" si="6">E68-F68</f>
        <v>19776.5</v>
      </c>
      <c r="H68" s="898">
        <v>5540.2</v>
      </c>
      <c r="I68" s="898">
        <v>170895.7</v>
      </c>
      <c r="J68" s="898">
        <v>71101.100000000006</v>
      </c>
      <c r="K68" s="898">
        <v>24.3</v>
      </c>
      <c r="L68" s="898">
        <v>0</v>
      </c>
      <c r="M68" s="898">
        <f t="shared" ref="M68:M113" si="7">I68+J68+K68+L68</f>
        <v>242021.1</v>
      </c>
      <c r="N68" s="898">
        <v>435.1</v>
      </c>
      <c r="O68" s="898">
        <v>0</v>
      </c>
      <c r="P68" s="898">
        <v>0</v>
      </c>
      <c r="Q68" s="898">
        <v>0</v>
      </c>
      <c r="R68" s="898">
        <v>0</v>
      </c>
      <c r="S68" s="898">
        <v>33153.5</v>
      </c>
      <c r="T68" s="898">
        <v>12402</v>
      </c>
    </row>
    <row r="69" spans="1:20" s="760" customFormat="1" ht="11.25" customHeight="1" x14ac:dyDescent="0.2">
      <c r="A69" s="1410" t="s">
        <v>1484</v>
      </c>
      <c r="B69" s="759" t="s">
        <v>553</v>
      </c>
      <c r="C69" s="899">
        <v>257548.9</v>
      </c>
      <c r="D69" s="899">
        <v>10078.6</v>
      </c>
      <c r="E69" s="899">
        <v>37130.1</v>
      </c>
      <c r="F69" s="899">
        <v>17023.8</v>
      </c>
      <c r="G69" s="899">
        <f t="shared" si="6"/>
        <v>20106.3</v>
      </c>
      <c r="H69" s="899">
        <v>5557.5</v>
      </c>
      <c r="I69" s="899">
        <v>178627.1</v>
      </c>
      <c r="J69" s="899">
        <v>71218.5</v>
      </c>
      <c r="K69" s="899">
        <v>8</v>
      </c>
      <c r="L69" s="899">
        <v>0</v>
      </c>
      <c r="M69" s="899">
        <f t="shared" si="7"/>
        <v>249853.6</v>
      </c>
      <c r="N69" s="899">
        <v>409.6</v>
      </c>
      <c r="O69" s="899">
        <v>0</v>
      </c>
      <c r="P69" s="899">
        <v>0</v>
      </c>
      <c r="Q69" s="899">
        <v>0</v>
      </c>
      <c r="R69" s="899">
        <v>0</v>
      </c>
      <c r="S69" s="899">
        <v>33716.199999999997</v>
      </c>
      <c r="T69" s="899">
        <v>9311.9</v>
      </c>
    </row>
    <row r="70" spans="1:20" s="760" customFormat="1" ht="11.25" customHeight="1" x14ac:dyDescent="0.2">
      <c r="A70" s="1410" t="s">
        <v>1484</v>
      </c>
      <c r="B70" s="758" t="s">
        <v>547</v>
      </c>
      <c r="C70" s="898">
        <v>254611.20000000001</v>
      </c>
      <c r="D70" s="898">
        <v>8044.6</v>
      </c>
      <c r="E70" s="898">
        <v>34438.800000000003</v>
      </c>
      <c r="F70" s="898">
        <v>15085.9</v>
      </c>
      <c r="G70" s="898">
        <f t="shared" si="6"/>
        <v>19352.900000000001</v>
      </c>
      <c r="H70" s="898">
        <v>5567.1</v>
      </c>
      <c r="I70" s="898">
        <v>172411.3</v>
      </c>
      <c r="J70" s="898">
        <v>73233.8</v>
      </c>
      <c r="K70" s="898">
        <v>7.4</v>
      </c>
      <c r="L70" s="898">
        <v>0</v>
      </c>
      <c r="M70" s="898">
        <f t="shared" si="7"/>
        <v>245652.49999999997</v>
      </c>
      <c r="N70" s="898">
        <v>394.7</v>
      </c>
      <c r="O70" s="898">
        <v>0</v>
      </c>
      <c r="P70" s="898">
        <v>0</v>
      </c>
      <c r="Q70" s="898">
        <v>0</v>
      </c>
      <c r="R70" s="898">
        <v>0</v>
      </c>
      <c r="S70" s="898">
        <v>34442.6</v>
      </c>
      <c r="T70" s="898">
        <v>7086</v>
      </c>
    </row>
    <row r="71" spans="1:20" s="760" customFormat="1" ht="11.25" customHeight="1" x14ac:dyDescent="0.2">
      <c r="A71" s="1410" t="s">
        <v>1484</v>
      </c>
      <c r="B71" s="759" t="s">
        <v>554</v>
      </c>
      <c r="C71" s="899">
        <v>256011.8</v>
      </c>
      <c r="D71" s="899">
        <v>7412.3</v>
      </c>
      <c r="E71" s="899">
        <v>40318.199999999997</v>
      </c>
      <c r="F71" s="899">
        <v>15473.9</v>
      </c>
      <c r="G71" s="899">
        <f t="shared" si="6"/>
        <v>24844.299999999996</v>
      </c>
      <c r="H71" s="899">
        <v>5589.1</v>
      </c>
      <c r="I71" s="899">
        <v>167210.1</v>
      </c>
      <c r="J71" s="899">
        <v>82283.899999999994</v>
      </c>
      <c r="K71" s="899">
        <v>8.9</v>
      </c>
      <c r="L71" s="899">
        <v>0</v>
      </c>
      <c r="M71" s="899">
        <f t="shared" si="7"/>
        <v>249502.9</v>
      </c>
      <c r="N71" s="899">
        <v>577.70000000000005</v>
      </c>
      <c r="O71" s="899">
        <v>0</v>
      </c>
      <c r="P71" s="899">
        <v>0</v>
      </c>
      <c r="Q71" s="899">
        <v>0</v>
      </c>
      <c r="R71" s="899">
        <v>0</v>
      </c>
      <c r="S71" s="899">
        <v>36379.1</v>
      </c>
      <c r="T71" s="899">
        <v>7397.8</v>
      </c>
    </row>
    <row r="72" spans="1:20" s="760" customFormat="1" ht="11.25" customHeight="1" x14ac:dyDescent="0.2">
      <c r="A72" s="1410" t="s">
        <v>1484</v>
      </c>
      <c r="B72" s="758" t="s">
        <v>555</v>
      </c>
      <c r="C72" s="898">
        <v>255454.4</v>
      </c>
      <c r="D72" s="898">
        <v>7478.8</v>
      </c>
      <c r="E72" s="898">
        <v>38097.1</v>
      </c>
      <c r="F72" s="898">
        <v>17268.400000000001</v>
      </c>
      <c r="G72" s="898">
        <f t="shared" si="6"/>
        <v>20828.699999999997</v>
      </c>
      <c r="H72" s="898">
        <v>5599.3</v>
      </c>
      <c r="I72" s="898">
        <v>167464.6</v>
      </c>
      <c r="J72" s="898">
        <v>77169.899999999994</v>
      </c>
      <c r="K72" s="898">
        <v>16.7</v>
      </c>
      <c r="L72" s="898">
        <v>0</v>
      </c>
      <c r="M72" s="898">
        <f t="shared" si="7"/>
        <v>244651.2</v>
      </c>
      <c r="N72" s="898">
        <v>398.1</v>
      </c>
      <c r="O72" s="898">
        <v>0</v>
      </c>
      <c r="P72" s="898">
        <v>0</v>
      </c>
      <c r="Q72" s="898">
        <v>0</v>
      </c>
      <c r="R72" s="898">
        <v>0</v>
      </c>
      <c r="S72" s="898">
        <v>36901.1</v>
      </c>
      <c r="T72" s="898">
        <v>7410.8</v>
      </c>
    </row>
    <row r="73" spans="1:20" s="760" customFormat="1" ht="11.25" customHeight="1" x14ac:dyDescent="0.2">
      <c r="A73" s="1410" t="s">
        <v>1484</v>
      </c>
      <c r="B73" s="759" t="s">
        <v>548</v>
      </c>
      <c r="C73" s="899">
        <v>259113.4</v>
      </c>
      <c r="D73" s="899">
        <v>7642.9</v>
      </c>
      <c r="E73" s="899">
        <v>42562.5</v>
      </c>
      <c r="F73" s="899">
        <v>18109.5</v>
      </c>
      <c r="G73" s="899">
        <f t="shared" si="6"/>
        <v>24453</v>
      </c>
      <c r="H73" s="899">
        <v>5681.4</v>
      </c>
      <c r="I73" s="899">
        <v>170395.7</v>
      </c>
      <c r="J73" s="899">
        <v>78948.800000000003</v>
      </c>
      <c r="K73" s="899">
        <v>31.6</v>
      </c>
      <c r="L73" s="899">
        <v>0</v>
      </c>
      <c r="M73" s="899">
        <f t="shared" si="7"/>
        <v>249376.1</v>
      </c>
      <c r="N73" s="899">
        <v>364.5</v>
      </c>
      <c r="O73" s="899">
        <v>0</v>
      </c>
      <c r="P73" s="899">
        <v>0</v>
      </c>
      <c r="Q73" s="899">
        <v>0</v>
      </c>
      <c r="R73" s="899">
        <v>0</v>
      </c>
      <c r="S73" s="899">
        <v>38414.199999999997</v>
      </c>
      <c r="T73" s="899">
        <v>8735.9</v>
      </c>
    </row>
    <row r="74" spans="1:20" s="760" customFormat="1" ht="11.25" customHeight="1" x14ac:dyDescent="0.2">
      <c r="A74" s="1410" t="s">
        <v>1484</v>
      </c>
      <c r="B74" s="758" t="s">
        <v>556</v>
      </c>
      <c r="C74" s="898">
        <v>259739.8</v>
      </c>
      <c r="D74" s="898">
        <v>7829.8</v>
      </c>
      <c r="E74" s="898">
        <v>41505.9</v>
      </c>
      <c r="F74" s="898">
        <v>18548.400000000001</v>
      </c>
      <c r="G74" s="898">
        <f t="shared" si="6"/>
        <v>22957.5</v>
      </c>
      <c r="H74" s="898">
        <v>5649.6</v>
      </c>
      <c r="I74" s="898">
        <v>171815.6</v>
      </c>
      <c r="J74" s="898">
        <v>75818.2</v>
      </c>
      <c r="K74" s="898">
        <v>31.1</v>
      </c>
      <c r="L74" s="898">
        <v>0</v>
      </c>
      <c r="M74" s="898">
        <f t="shared" si="7"/>
        <v>247664.9</v>
      </c>
      <c r="N74" s="898">
        <v>625.1</v>
      </c>
      <c r="O74" s="898">
        <v>0</v>
      </c>
      <c r="P74" s="898">
        <v>0</v>
      </c>
      <c r="Q74" s="898">
        <v>0</v>
      </c>
      <c r="R74" s="898">
        <v>0</v>
      </c>
      <c r="S74" s="898">
        <v>38396.699999999997</v>
      </c>
      <c r="T74" s="898">
        <v>9490</v>
      </c>
    </row>
    <row r="75" spans="1:20" s="760" customFormat="1" ht="11.25" customHeight="1" x14ac:dyDescent="0.2">
      <c r="A75" s="1410" t="s">
        <v>1484</v>
      </c>
      <c r="B75" s="759" t="s">
        <v>557</v>
      </c>
      <c r="C75" s="899">
        <v>260345.5</v>
      </c>
      <c r="D75" s="899">
        <v>16243.1</v>
      </c>
      <c r="E75" s="899">
        <v>34911.300000000003</v>
      </c>
      <c r="F75" s="899">
        <v>18351.5</v>
      </c>
      <c r="G75" s="899">
        <f t="shared" si="6"/>
        <v>16559.800000000003</v>
      </c>
      <c r="H75" s="899">
        <v>5664.4</v>
      </c>
      <c r="I75" s="899">
        <v>173683.4</v>
      </c>
      <c r="J75" s="899">
        <v>75736.899999999994</v>
      </c>
      <c r="K75" s="899">
        <v>29.1</v>
      </c>
      <c r="L75" s="899">
        <v>0</v>
      </c>
      <c r="M75" s="899">
        <f t="shared" si="7"/>
        <v>249449.4</v>
      </c>
      <c r="N75" s="899">
        <v>552.9</v>
      </c>
      <c r="O75" s="899">
        <v>0</v>
      </c>
      <c r="P75" s="899">
        <v>0</v>
      </c>
      <c r="Q75" s="899">
        <v>0</v>
      </c>
      <c r="R75" s="899">
        <v>0</v>
      </c>
      <c r="S75" s="899">
        <v>39004.6</v>
      </c>
      <c r="T75" s="899">
        <v>9805.9</v>
      </c>
    </row>
    <row r="76" spans="1:20" s="760" customFormat="1" ht="11.25" customHeight="1" x14ac:dyDescent="0.2">
      <c r="A76" s="1410" t="s">
        <v>1484</v>
      </c>
      <c r="B76" s="758" t="s">
        <v>549</v>
      </c>
      <c r="C76" s="898">
        <v>263117.40000000002</v>
      </c>
      <c r="D76" s="898">
        <v>38985.4</v>
      </c>
      <c r="E76" s="898">
        <v>30364.5</v>
      </c>
      <c r="F76" s="898">
        <v>18421</v>
      </c>
      <c r="G76" s="898">
        <f t="shared" si="6"/>
        <v>11943.5</v>
      </c>
      <c r="H76" s="898">
        <v>5673.6</v>
      </c>
      <c r="I76" s="898">
        <v>190365.7</v>
      </c>
      <c r="J76" s="898">
        <v>80985.100000000006</v>
      </c>
      <c r="K76" s="898">
        <v>25.6</v>
      </c>
      <c r="L76" s="898">
        <v>0</v>
      </c>
      <c r="M76" s="898">
        <f t="shared" si="7"/>
        <v>271376.40000000002</v>
      </c>
      <c r="N76" s="898">
        <v>551.6</v>
      </c>
      <c r="O76" s="898">
        <v>0</v>
      </c>
      <c r="P76" s="898">
        <v>0</v>
      </c>
      <c r="Q76" s="898">
        <v>0</v>
      </c>
      <c r="R76" s="898">
        <v>0</v>
      </c>
      <c r="S76" s="898">
        <v>37158</v>
      </c>
      <c r="T76" s="898">
        <v>10633.9</v>
      </c>
    </row>
    <row r="77" spans="1:20" s="760" customFormat="1" ht="11.25" customHeight="1" x14ac:dyDescent="0.2">
      <c r="A77" s="1410" t="s">
        <v>1484</v>
      </c>
      <c r="B77" s="759" t="s">
        <v>558</v>
      </c>
      <c r="C77" s="899">
        <v>265603.7</v>
      </c>
      <c r="D77" s="899">
        <v>12299.2</v>
      </c>
      <c r="E77" s="899">
        <v>40903.9</v>
      </c>
      <c r="F77" s="899">
        <v>16572.5</v>
      </c>
      <c r="G77" s="899">
        <f t="shared" si="6"/>
        <v>24331.4</v>
      </c>
      <c r="H77" s="899">
        <v>5674.9</v>
      </c>
      <c r="I77" s="899">
        <v>192164.7</v>
      </c>
      <c r="J77" s="899">
        <v>62599.199999999997</v>
      </c>
      <c r="K77" s="899">
        <v>26.3</v>
      </c>
      <c r="L77" s="899">
        <v>0</v>
      </c>
      <c r="M77" s="899">
        <f t="shared" si="7"/>
        <v>254790.2</v>
      </c>
      <c r="N77" s="899">
        <v>756</v>
      </c>
      <c r="O77" s="899">
        <v>0</v>
      </c>
      <c r="P77" s="899">
        <v>0</v>
      </c>
      <c r="Q77" s="899">
        <v>0</v>
      </c>
      <c r="R77" s="899">
        <v>0</v>
      </c>
      <c r="S77" s="899">
        <v>39458.1</v>
      </c>
      <c r="T77" s="899">
        <v>12904.9</v>
      </c>
    </row>
    <row r="78" spans="1:20" s="760" customFormat="1" ht="11.25" customHeight="1" x14ac:dyDescent="0.2">
      <c r="A78" s="1410" t="s">
        <v>1484</v>
      </c>
      <c r="B78" s="758" t="s">
        <v>559</v>
      </c>
      <c r="C78" s="898">
        <v>271811.20000000001</v>
      </c>
      <c r="D78" s="898">
        <v>25817.5</v>
      </c>
      <c r="E78" s="898">
        <v>37317.699999999997</v>
      </c>
      <c r="F78" s="898">
        <v>16240.3</v>
      </c>
      <c r="G78" s="898">
        <f t="shared" si="6"/>
        <v>21077.399999999998</v>
      </c>
      <c r="H78" s="898">
        <v>5694.5</v>
      </c>
      <c r="I78" s="898">
        <v>209565.8</v>
      </c>
      <c r="J78" s="898">
        <v>59118</v>
      </c>
      <c r="K78" s="898">
        <v>12.9</v>
      </c>
      <c r="L78" s="898">
        <v>0</v>
      </c>
      <c r="M78" s="898">
        <f t="shared" si="7"/>
        <v>268696.7</v>
      </c>
      <c r="N78" s="898">
        <v>960.9</v>
      </c>
      <c r="O78" s="898">
        <v>0</v>
      </c>
      <c r="P78" s="898">
        <v>0</v>
      </c>
      <c r="Q78" s="898">
        <v>0</v>
      </c>
      <c r="R78" s="898">
        <v>0</v>
      </c>
      <c r="S78" s="898">
        <v>40107.5</v>
      </c>
      <c r="T78" s="898">
        <v>14635.5</v>
      </c>
    </row>
    <row r="79" spans="1:20" s="760" customFormat="1" ht="11.25" customHeight="1" x14ac:dyDescent="0.2">
      <c r="A79" s="1410" t="s">
        <v>1484</v>
      </c>
      <c r="B79" s="759" t="s">
        <v>550</v>
      </c>
      <c r="C79" s="899">
        <v>286040.90000000002</v>
      </c>
      <c r="D79" s="899">
        <v>15922.6</v>
      </c>
      <c r="E79" s="899">
        <v>47201.9</v>
      </c>
      <c r="F79" s="899">
        <v>14955.8</v>
      </c>
      <c r="G79" s="899">
        <f t="shared" si="6"/>
        <v>32246.100000000002</v>
      </c>
      <c r="H79" s="899">
        <v>5752</v>
      </c>
      <c r="I79" s="899">
        <v>206552.2</v>
      </c>
      <c r="J79" s="899">
        <v>76360.399999999994</v>
      </c>
      <c r="K79" s="899">
        <v>28.9</v>
      </c>
      <c r="L79" s="899">
        <v>0</v>
      </c>
      <c r="M79" s="899">
        <f t="shared" si="7"/>
        <v>282941.5</v>
      </c>
      <c r="N79" s="899">
        <v>1272.5</v>
      </c>
      <c r="O79" s="899">
        <v>0</v>
      </c>
      <c r="P79" s="899">
        <v>0</v>
      </c>
      <c r="Q79" s="899">
        <v>0</v>
      </c>
      <c r="R79" s="899">
        <v>0</v>
      </c>
      <c r="S79" s="899">
        <v>36493.599999999999</v>
      </c>
      <c r="T79" s="899">
        <v>19254</v>
      </c>
    </row>
    <row r="80" spans="1:20" s="760" customFormat="1" ht="11.25" customHeight="1" x14ac:dyDescent="0.2">
      <c r="A80" s="1410" t="s">
        <v>1536</v>
      </c>
      <c r="B80" s="758" t="s">
        <v>552</v>
      </c>
      <c r="C80" s="899">
        <v>297267.3</v>
      </c>
      <c r="D80" s="899">
        <v>15894.6</v>
      </c>
      <c r="E80" s="899">
        <v>44884.800000000003</v>
      </c>
      <c r="F80" s="899">
        <v>15935.8</v>
      </c>
      <c r="G80" s="899">
        <f t="shared" si="6"/>
        <v>28949.000000000004</v>
      </c>
      <c r="H80" s="899">
        <v>5741.8</v>
      </c>
      <c r="I80" s="899">
        <v>223127.4</v>
      </c>
      <c r="J80" s="899">
        <v>67214.7</v>
      </c>
      <c r="K80" s="899">
        <v>29.5</v>
      </c>
      <c r="L80" s="899">
        <v>0</v>
      </c>
      <c r="M80" s="899">
        <f t="shared" si="7"/>
        <v>290371.59999999998</v>
      </c>
      <c r="N80" s="899">
        <v>829.2</v>
      </c>
      <c r="O80" s="899">
        <v>0</v>
      </c>
      <c r="P80" s="899">
        <v>0</v>
      </c>
      <c r="Q80" s="899">
        <v>0</v>
      </c>
      <c r="R80" s="899">
        <v>0</v>
      </c>
      <c r="S80" s="899">
        <v>38672.9</v>
      </c>
      <c r="T80" s="899">
        <v>17979</v>
      </c>
    </row>
    <row r="81" spans="1:20" s="760" customFormat="1" ht="11.25" customHeight="1" x14ac:dyDescent="0.2">
      <c r="A81" s="1410" t="s">
        <v>1536</v>
      </c>
      <c r="B81" s="759" t="s">
        <v>553</v>
      </c>
      <c r="C81" s="898">
        <v>307682.09999999998</v>
      </c>
      <c r="D81" s="898">
        <v>11207</v>
      </c>
      <c r="E81" s="898">
        <v>36664.400000000001</v>
      </c>
      <c r="F81" s="898">
        <v>23318.7</v>
      </c>
      <c r="G81" s="898">
        <f t="shared" si="6"/>
        <v>13345.7</v>
      </c>
      <c r="H81" s="898">
        <v>5754</v>
      </c>
      <c r="I81" s="898">
        <v>210318.5</v>
      </c>
      <c r="J81" s="898">
        <v>70109</v>
      </c>
      <c r="K81" s="898">
        <v>52.6</v>
      </c>
      <c r="L81" s="898">
        <v>0</v>
      </c>
      <c r="M81" s="898">
        <f t="shared" si="7"/>
        <v>280480.09999999998</v>
      </c>
      <c r="N81" s="898">
        <v>3895.1</v>
      </c>
      <c r="O81" s="898">
        <v>0</v>
      </c>
      <c r="P81" s="898">
        <v>0</v>
      </c>
      <c r="Q81" s="898">
        <v>0</v>
      </c>
      <c r="R81" s="898">
        <v>0</v>
      </c>
      <c r="S81" s="898">
        <v>40088.1</v>
      </c>
      <c r="T81" s="898">
        <v>13525.5</v>
      </c>
    </row>
    <row r="82" spans="1:20" s="760" customFormat="1" ht="11.25" customHeight="1" x14ac:dyDescent="0.2">
      <c r="A82" s="1410" t="s">
        <v>1536</v>
      </c>
      <c r="B82" s="758" t="s">
        <v>547</v>
      </c>
      <c r="C82" s="899">
        <v>313615.5</v>
      </c>
      <c r="D82" s="899">
        <v>11994.1</v>
      </c>
      <c r="E82" s="899">
        <v>34017.1</v>
      </c>
      <c r="F82" s="899">
        <v>30769.599999999999</v>
      </c>
      <c r="G82" s="899">
        <f t="shared" si="6"/>
        <v>3247.5</v>
      </c>
      <c r="H82" s="899">
        <v>5782.9</v>
      </c>
      <c r="I82" s="899">
        <v>204033.4</v>
      </c>
      <c r="J82" s="899">
        <v>75239.3</v>
      </c>
      <c r="K82" s="899">
        <v>5.9</v>
      </c>
      <c r="L82" s="899">
        <v>0</v>
      </c>
      <c r="M82" s="899">
        <f t="shared" si="7"/>
        <v>279278.60000000003</v>
      </c>
      <c r="N82" s="899">
        <v>1447.3</v>
      </c>
      <c r="O82" s="899">
        <v>0</v>
      </c>
      <c r="P82" s="899">
        <v>0</v>
      </c>
      <c r="Q82" s="899">
        <v>0</v>
      </c>
      <c r="R82" s="899">
        <v>0</v>
      </c>
      <c r="S82" s="899">
        <v>39175.1</v>
      </c>
      <c r="T82" s="899">
        <v>14739</v>
      </c>
    </row>
    <row r="83" spans="1:20" s="760" customFormat="1" ht="11.25" customHeight="1" x14ac:dyDescent="0.2">
      <c r="A83" s="1410" t="s">
        <v>1536</v>
      </c>
      <c r="B83" s="759" t="s">
        <v>554</v>
      </c>
      <c r="C83" s="898">
        <v>322386.3</v>
      </c>
      <c r="D83" s="898">
        <v>13399</v>
      </c>
      <c r="E83" s="898">
        <v>34965.9</v>
      </c>
      <c r="F83" s="898">
        <v>32311.4</v>
      </c>
      <c r="G83" s="898">
        <f t="shared" si="6"/>
        <v>2654.5</v>
      </c>
      <c r="H83" s="898">
        <v>5798.4</v>
      </c>
      <c r="I83" s="898">
        <v>202262.3</v>
      </c>
      <c r="J83" s="898">
        <v>85343.4</v>
      </c>
      <c r="K83" s="898">
        <v>21.4</v>
      </c>
      <c r="L83" s="898">
        <v>0</v>
      </c>
      <c r="M83" s="898">
        <f t="shared" si="7"/>
        <v>287627.09999999998</v>
      </c>
      <c r="N83" s="898">
        <v>1487</v>
      </c>
      <c r="O83" s="898">
        <v>0</v>
      </c>
      <c r="P83" s="898">
        <v>0</v>
      </c>
      <c r="Q83" s="898">
        <v>0</v>
      </c>
      <c r="R83" s="898">
        <v>0</v>
      </c>
      <c r="S83" s="898">
        <v>39371.300000000003</v>
      </c>
      <c r="T83" s="898">
        <v>15752.8</v>
      </c>
    </row>
    <row r="84" spans="1:20" s="760" customFormat="1" ht="11.25" customHeight="1" x14ac:dyDescent="0.2">
      <c r="A84" s="1410" t="s">
        <v>1536</v>
      </c>
      <c r="B84" s="758" t="s">
        <v>555</v>
      </c>
      <c r="C84" s="899">
        <v>330896.2</v>
      </c>
      <c r="D84" s="899">
        <v>15693.6</v>
      </c>
      <c r="E84" s="899">
        <v>33655.800000000003</v>
      </c>
      <c r="F84" s="899">
        <v>32404.400000000001</v>
      </c>
      <c r="G84" s="899">
        <f t="shared" si="6"/>
        <v>1251.4000000000015</v>
      </c>
      <c r="H84" s="899">
        <v>5788.6</v>
      </c>
      <c r="I84" s="899">
        <v>200463.5</v>
      </c>
      <c r="J84" s="899">
        <v>95072.7</v>
      </c>
      <c r="K84" s="899">
        <v>14.9</v>
      </c>
      <c r="L84" s="899">
        <v>0</v>
      </c>
      <c r="M84" s="899">
        <f t="shared" si="7"/>
        <v>295551.10000000003</v>
      </c>
      <c r="N84" s="899">
        <v>769.7</v>
      </c>
      <c r="O84" s="899">
        <v>0</v>
      </c>
      <c r="P84" s="899">
        <v>0</v>
      </c>
      <c r="Q84" s="899">
        <v>0</v>
      </c>
      <c r="R84" s="899">
        <v>0</v>
      </c>
      <c r="S84" s="899">
        <v>40161.599999999999</v>
      </c>
      <c r="T84" s="899">
        <v>17147.400000000001</v>
      </c>
    </row>
    <row r="85" spans="1:20" s="760" customFormat="1" ht="11.25" customHeight="1" x14ac:dyDescent="0.2">
      <c r="A85" s="1410" t="s">
        <v>1536</v>
      </c>
      <c r="B85" s="759" t="s">
        <v>548</v>
      </c>
      <c r="C85" s="898">
        <v>341180.7</v>
      </c>
      <c r="D85" s="898">
        <v>18437.2</v>
      </c>
      <c r="E85" s="898">
        <v>31637.1</v>
      </c>
      <c r="F85" s="898">
        <v>39284.699999999997</v>
      </c>
      <c r="G85" s="898">
        <f t="shared" si="6"/>
        <v>-7647.5999999999985</v>
      </c>
      <c r="H85" s="898">
        <v>5877.2</v>
      </c>
      <c r="I85" s="898">
        <v>201526</v>
      </c>
      <c r="J85" s="898">
        <v>100941.8</v>
      </c>
      <c r="K85" s="898">
        <v>42.4</v>
      </c>
      <c r="L85" s="898">
        <v>0</v>
      </c>
      <c r="M85" s="898">
        <f t="shared" si="7"/>
        <v>302510.2</v>
      </c>
      <c r="N85" s="898">
        <v>1239</v>
      </c>
      <c r="O85" s="898">
        <v>0</v>
      </c>
      <c r="P85" s="898">
        <v>0</v>
      </c>
      <c r="Q85" s="898">
        <v>0</v>
      </c>
      <c r="R85" s="898">
        <v>0</v>
      </c>
      <c r="S85" s="898">
        <v>41550.9</v>
      </c>
      <c r="T85" s="898">
        <v>12547.4</v>
      </c>
    </row>
    <row r="86" spans="1:20" s="760" customFormat="1" ht="11.25" customHeight="1" x14ac:dyDescent="0.2">
      <c r="A86" s="1410" t="s">
        <v>1536</v>
      </c>
      <c r="B86" s="758" t="s">
        <v>556</v>
      </c>
      <c r="C86" s="899">
        <v>343477.5</v>
      </c>
      <c r="D86" s="899">
        <v>20816.099999999999</v>
      </c>
      <c r="E86" s="899">
        <v>36939.1</v>
      </c>
      <c r="F86" s="899">
        <v>45763.1</v>
      </c>
      <c r="G86" s="899">
        <f t="shared" si="6"/>
        <v>-8824</v>
      </c>
      <c r="H86" s="899">
        <v>5856.8</v>
      </c>
      <c r="I86" s="899">
        <v>201812.7</v>
      </c>
      <c r="J86" s="899">
        <v>97824.1</v>
      </c>
      <c r="K86" s="899">
        <v>41.9</v>
      </c>
      <c r="L86" s="899">
        <v>0</v>
      </c>
      <c r="M86" s="899">
        <f t="shared" si="7"/>
        <v>299678.70000000007</v>
      </c>
      <c r="N86" s="899">
        <v>1395.7</v>
      </c>
      <c r="O86" s="899">
        <v>0</v>
      </c>
      <c r="P86" s="899">
        <v>0</v>
      </c>
      <c r="Q86" s="899">
        <v>0</v>
      </c>
      <c r="R86" s="899">
        <v>0</v>
      </c>
      <c r="S86" s="899">
        <v>41967.9</v>
      </c>
      <c r="T86" s="899">
        <v>18284.099999999999</v>
      </c>
    </row>
    <row r="87" spans="1:20" s="760" customFormat="1" ht="11.25" customHeight="1" x14ac:dyDescent="0.2">
      <c r="A87" s="1410" t="s">
        <v>1536</v>
      </c>
      <c r="B87" s="759" t="s">
        <v>557</v>
      </c>
      <c r="C87" s="898">
        <v>347149.8</v>
      </c>
      <c r="D87" s="898">
        <v>21548</v>
      </c>
      <c r="E87" s="898">
        <v>31175.5</v>
      </c>
      <c r="F87" s="898">
        <v>51185.5</v>
      </c>
      <c r="G87" s="898">
        <f t="shared" si="6"/>
        <v>-20010</v>
      </c>
      <c r="H87" s="898">
        <v>5863.4</v>
      </c>
      <c r="I87" s="898">
        <v>201832.9</v>
      </c>
      <c r="J87" s="898">
        <v>97064.5</v>
      </c>
      <c r="K87" s="898">
        <v>47.1</v>
      </c>
      <c r="L87" s="898">
        <v>0</v>
      </c>
      <c r="M87" s="898">
        <f t="shared" si="7"/>
        <v>298944.5</v>
      </c>
      <c r="N87" s="898">
        <v>1047.3</v>
      </c>
      <c r="O87" s="898">
        <v>0</v>
      </c>
      <c r="P87" s="898">
        <v>0</v>
      </c>
      <c r="Q87" s="898">
        <v>0</v>
      </c>
      <c r="R87" s="898">
        <v>0</v>
      </c>
      <c r="S87" s="898">
        <v>41762.400000000001</v>
      </c>
      <c r="T87" s="898">
        <v>12797</v>
      </c>
    </row>
    <row r="88" spans="1:20" s="760" customFormat="1" ht="11.25" customHeight="1" x14ac:dyDescent="0.2">
      <c r="A88" s="1410" t="s">
        <v>1536</v>
      </c>
      <c r="B88" s="758" t="s">
        <v>549</v>
      </c>
      <c r="C88" s="899">
        <v>346842.8</v>
      </c>
      <c r="D88" s="899">
        <v>21945.7</v>
      </c>
      <c r="E88" s="899">
        <v>29538.1</v>
      </c>
      <c r="F88" s="899">
        <v>48283.7</v>
      </c>
      <c r="G88" s="899">
        <f t="shared" si="6"/>
        <v>-18745.599999999999</v>
      </c>
      <c r="H88" s="899">
        <v>5867.5</v>
      </c>
      <c r="I88" s="899">
        <v>200324.2</v>
      </c>
      <c r="J88" s="899">
        <v>101716.6</v>
      </c>
      <c r="K88" s="899">
        <v>64.8</v>
      </c>
      <c r="L88" s="899">
        <v>0</v>
      </c>
      <c r="M88" s="899">
        <f t="shared" si="7"/>
        <v>302105.60000000003</v>
      </c>
      <c r="N88" s="899">
        <v>1438.2</v>
      </c>
      <c r="O88" s="899">
        <v>0</v>
      </c>
      <c r="P88" s="899">
        <v>0</v>
      </c>
      <c r="Q88" s="899">
        <v>0</v>
      </c>
      <c r="R88" s="899">
        <v>0</v>
      </c>
      <c r="S88" s="899">
        <v>40998.400000000001</v>
      </c>
      <c r="T88" s="899">
        <v>11368.2</v>
      </c>
    </row>
    <row r="89" spans="1:20" s="760" customFormat="1" ht="11.25" customHeight="1" x14ac:dyDescent="0.2">
      <c r="A89" s="1410" t="s">
        <v>1536</v>
      </c>
      <c r="B89" s="759" t="s">
        <v>558</v>
      </c>
      <c r="C89" s="898">
        <v>352525.9</v>
      </c>
      <c r="D89" s="898">
        <v>22174.400000000001</v>
      </c>
      <c r="E89" s="898">
        <v>29640.1</v>
      </c>
      <c r="F89" s="898">
        <v>40914.6</v>
      </c>
      <c r="G89" s="898">
        <f t="shared" si="6"/>
        <v>-11274.5</v>
      </c>
      <c r="H89" s="898">
        <v>5879.9</v>
      </c>
      <c r="I89" s="898">
        <v>208632.6</v>
      </c>
      <c r="J89" s="898">
        <v>105840.7</v>
      </c>
      <c r="K89" s="898">
        <v>29.6</v>
      </c>
      <c r="L89" s="898">
        <v>0</v>
      </c>
      <c r="M89" s="898">
        <f t="shared" si="7"/>
        <v>314502.89999999997</v>
      </c>
      <c r="N89" s="898">
        <v>1404.1</v>
      </c>
      <c r="O89" s="898">
        <v>0</v>
      </c>
      <c r="P89" s="898">
        <v>0</v>
      </c>
      <c r="Q89" s="898">
        <v>0</v>
      </c>
      <c r="R89" s="898">
        <v>0</v>
      </c>
      <c r="S89" s="898">
        <v>42367.4</v>
      </c>
      <c r="T89" s="898">
        <v>11031.3</v>
      </c>
    </row>
    <row r="90" spans="1:20" s="760" customFormat="1" ht="11.25" customHeight="1" x14ac:dyDescent="0.2">
      <c r="A90" s="1410" t="s">
        <v>1536</v>
      </c>
      <c r="B90" s="758" t="s">
        <v>559</v>
      </c>
      <c r="C90" s="899">
        <v>361530.8</v>
      </c>
      <c r="D90" s="899">
        <v>22921.5</v>
      </c>
      <c r="E90" s="899">
        <v>29707.9</v>
      </c>
      <c r="F90" s="899">
        <v>39225.9</v>
      </c>
      <c r="G90" s="899">
        <f t="shared" si="6"/>
        <v>-9518</v>
      </c>
      <c r="H90" s="899">
        <v>5871.5</v>
      </c>
      <c r="I90" s="899">
        <v>219292.79999999999</v>
      </c>
      <c r="J90" s="899">
        <v>106984.2</v>
      </c>
      <c r="K90" s="899">
        <v>13.5</v>
      </c>
      <c r="L90" s="899">
        <v>0</v>
      </c>
      <c r="M90" s="899">
        <f t="shared" si="7"/>
        <v>326290.5</v>
      </c>
      <c r="N90" s="899">
        <v>1211.9000000000001</v>
      </c>
      <c r="O90" s="899">
        <v>0</v>
      </c>
      <c r="P90" s="899">
        <v>0</v>
      </c>
      <c r="Q90" s="899">
        <v>0</v>
      </c>
      <c r="R90" s="899">
        <v>0</v>
      </c>
      <c r="S90" s="899">
        <v>42897.1</v>
      </c>
      <c r="T90" s="899">
        <v>10406.299999999999</v>
      </c>
    </row>
    <row r="91" spans="1:20" s="760" customFormat="1" ht="11.25" customHeight="1" x14ac:dyDescent="0.2">
      <c r="A91" s="1410" t="s">
        <v>1536</v>
      </c>
      <c r="B91" s="759" t="s">
        <v>550</v>
      </c>
      <c r="C91" s="898">
        <v>366917.3</v>
      </c>
      <c r="D91" s="898">
        <v>22091.200000000001</v>
      </c>
      <c r="E91" s="898">
        <v>33870.800000000003</v>
      </c>
      <c r="F91" s="898">
        <v>25244.5</v>
      </c>
      <c r="G91" s="898">
        <f t="shared" si="6"/>
        <v>8626.3000000000029</v>
      </c>
      <c r="H91" s="898">
        <v>5935.6</v>
      </c>
      <c r="I91" s="898">
        <v>225322.2</v>
      </c>
      <c r="J91" s="898">
        <v>121126</v>
      </c>
      <c r="K91" s="898">
        <v>57.5</v>
      </c>
      <c r="L91" s="898">
        <v>0</v>
      </c>
      <c r="M91" s="898">
        <f t="shared" si="7"/>
        <v>346505.7</v>
      </c>
      <c r="N91" s="898">
        <v>1529.9</v>
      </c>
      <c r="O91" s="898">
        <v>0</v>
      </c>
      <c r="P91" s="898">
        <v>0</v>
      </c>
      <c r="Q91" s="898">
        <v>0</v>
      </c>
      <c r="R91" s="898">
        <v>0</v>
      </c>
      <c r="S91" s="898">
        <v>43524.7</v>
      </c>
      <c r="T91" s="898">
        <v>12010.1</v>
      </c>
    </row>
    <row r="92" spans="1:20" s="760" customFormat="1" ht="11.25" customHeight="1" x14ac:dyDescent="0.2">
      <c r="A92" s="1410" t="s">
        <v>1817</v>
      </c>
      <c r="B92" s="758" t="s">
        <v>552</v>
      </c>
      <c r="C92" s="898">
        <v>369407.4</v>
      </c>
      <c r="D92" s="898">
        <v>22153.5</v>
      </c>
      <c r="E92" s="898">
        <v>30308.7</v>
      </c>
      <c r="F92" s="898">
        <v>26352</v>
      </c>
      <c r="G92" s="898">
        <f t="shared" si="6"/>
        <v>3956.7000000000007</v>
      </c>
      <c r="H92" s="898">
        <v>5924.5</v>
      </c>
      <c r="I92" s="898">
        <v>244502.5</v>
      </c>
      <c r="J92" s="898">
        <v>103422.8</v>
      </c>
      <c r="K92" s="898">
        <v>56.6</v>
      </c>
      <c r="L92" s="898">
        <v>0</v>
      </c>
      <c r="M92" s="898">
        <f t="shared" si="7"/>
        <v>347981.89999999997</v>
      </c>
      <c r="N92" s="898">
        <v>912.2</v>
      </c>
      <c r="O92" s="898">
        <v>0</v>
      </c>
      <c r="P92" s="898">
        <v>0</v>
      </c>
      <c r="Q92" s="898">
        <v>0</v>
      </c>
      <c r="R92" s="898">
        <v>0</v>
      </c>
      <c r="S92" s="898">
        <v>43678.400000000001</v>
      </c>
      <c r="T92" s="898">
        <v>8869.6</v>
      </c>
    </row>
    <row r="93" spans="1:20" s="760" customFormat="1" ht="11.25" customHeight="1" x14ac:dyDescent="0.2">
      <c r="A93" s="1410" t="s">
        <v>1817</v>
      </c>
      <c r="B93" s="759" t="s">
        <v>553</v>
      </c>
      <c r="C93" s="899">
        <v>370194</v>
      </c>
      <c r="D93" s="899">
        <v>22049.5</v>
      </c>
      <c r="E93" s="899">
        <v>29387.5</v>
      </c>
      <c r="F93" s="899">
        <v>35565.9</v>
      </c>
      <c r="G93" s="899">
        <f t="shared" si="6"/>
        <v>-6178.4000000000015</v>
      </c>
      <c r="H93" s="899">
        <v>5901.7</v>
      </c>
      <c r="I93" s="899">
        <v>232100.9</v>
      </c>
      <c r="J93" s="899">
        <v>92156.4</v>
      </c>
      <c r="K93" s="899">
        <v>29</v>
      </c>
      <c r="L93" s="899">
        <v>0</v>
      </c>
      <c r="M93" s="899">
        <f t="shared" si="7"/>
        <v>324286.3</v>
      </c>
      <c r="N93" s="899">
        <v>1276.4000000000001</v>
      </c>
      <c r="O93" s="899">
        <v>0</v>
      </c>
      <c r="P93" s="899">
        <v>0</v>
      </c>
      <c r="Q93" s="899">
        <v>0</v>
      </c>
      <c r="R93" s="899">
        <v>0</v>
      </c>
      <c r="S93" s="899">
        <v>45470.5</v>
      </c>
      <c r="T93" s="899">
        <v>20933.599999999999</v>
      </c>
    </row>
    <row r="94" spans="1:20" s="760" customFormat="1" ht="11.25" customHeight="1" x14ac:dyDescent="0.2">
      <c r="A94" s="1410" t="s">
        <v>1817</v>
      </c>
      <c r="B94" s="758" t="s">
        <v>547</v>
      </c>
      <c r="C94" s="898">
        <v>361731.1</v>
      </c>
      <c r="D94" s="898">
        <v>21647.1</v>
      </c>
      <c r="E94" s="898">
        <v>32563</v>
      </c>
      <c r="F94" s="898">
        <v>35409.300000000003</v>
      </c>
      <c r="G94" s="898">
        <f t="shared" si="6"/>
        <v>-2846.3000000000029</v>
      </c>
      <c r="H94" s="898">
        <v>5877.3</v>
      </c>
      <c r="I94" s="898">
        <v>226089.4</v>
      </c>
      <c r="J94" s="898">
        <v>95654.399999999994</v>
      </c>
      <c r="K94" s="898">
        <v>8.1999999999999993</v>
      </c>
      <c r="L94" s="898">
        <v>0</v>
      </c>
      <c r="M94" s="898">
        <f t="shared" si="7"/>
        <v>321752</v>
      </c>
      <c r="N94" s="898">
        <v>1283.3</v>
      </c>
      <c r="O94" s="898">
        <v>0</v>
      </c>
      <c r="P94" s="898">
        <v>0</v>
      </c>
      <c r="Q94" s="898">
        <v>0</v>
      </c>
      <c r="R94" s="898">
        <v>0</v>
      </c>
      <c r="S94" s="898">
        <v>45638.400000000001</v>
      </c>
      <c r="T94" s="898">
        <v>17735.5</v>
      </c>
    </row>
    <row r="95" spans="1:20" s="760" customFormat="1" ht="11.25" customHeight="1" x14ac:dyDescent="0.2">
      <c r="A95" s="1410" t="s">
        <v>1817</v>
      </c>
      <c r="B95" s="759" t="s">
        <v>554</v>
      </c>
      <c r="C95" s="899">
        <v>358587</v>
      </c>
      <c r="D95" s="899">
        <v>20697.099999999999</v>
      </c>
      <c r="E95" s="899">
        <v>32655.5</v>
      </c>
      <c r="F95" s="899">
        <v>34229</v>
      </c>
      <c r="G95" s="899">
        <f t="shared" si="6"/>
        <v>-1573.5</v>
      </c>
      <c r="H95" s="899">
        <v>5877.8</v>
      </c>
      <c r="I95" s="899">
        <v>224139.1</v>
      </c>
      <c r="J95" s="899">
        <v>94219.5</v>
      </c>
      <c r="K95" s="899">
        <v>11</v>
      </c>
      <c r="L95" s="899">
        <v>0</v>
      </c>
      <c r="M95" s="899">
        <f t="shared" si="7"/>
        <v>318369.59999999998</v>
      </c>
      <c r="N95" s="899">
        <v>1211.9000000000001</v>
      </c>
      <c r="O95" s="899">
        <v>0</v>
      </c>
      <c r="P95" s="899">
        <v>0</v>
      </c>
      <c r="Q95" s="899">
        <v>0</v>
      </c>
      <c r="R95" s="899">
        <v>0</v>
      </c>
      <c r="S95" s="899">
        <v>47011.4</v>
      </c>
      <c r="T95" s="899">
        <v>16995.5</v>
      </c>
    </row>
    <row r="96" spans="1:20" s="760" customFormat="1" ht="11.25" customHeight="1" x14ac:dyDescent="0.2">
      <c r="A96" s="1410" t="s">
        <v>1817</v>
      </c>
      <c r="B96" s="758" t="s">
        <v>555</v>
      </c>
      <c r="C96" s="898">
        <v>352220</v>
      </c>
      <c r="D96" s="898">
        <v>20523</v>
      </c>
      <c r="E96" s="898">
        <v>32464.5</v>
      </c>
      <c r="F96" s="898">
        <v>24929.8</v>
      </c>
      <c r="G96" s="898">
        <f t="shared" si="6"/>
        <v>7534.7000000000007</v>
      </c>
      <c r="H96" s="898">
        <v>5862.5</v>
      </c>
      <c r="I96" s="898">
        <v>225421.6</v>
      </c>
      <c r="J96" s="898">
        <v>105450.5</v>
      </c>
      <c r="K96" s="898">
        <v>21.2</v>
      </c>
      <c r="L96" s="898">
        <v>0</v>
      </c>
      <c r="M96" s="898">
        <f t="shared" si="7"/>
        <v>330893.3</v>
      </c>
      <c r="N96" s="898">
        <v>1361.8</v>
      </c>
      <c r="O96" s="898">
        <v>0</v>
      </c>
      <c r="P96" s="898">
        <v>0</v>
      </c>
      <c r="Q96" s="898">
        <v>0</v>
      </c>
      <c r="R96" s="898">
        <v>0</v>
      </c>
      <c r="S96" s="898">
        <v>46727.3</v>
      </c>
      <c r="T96" s="898">
        <v>7157.8</v>
      </c>
    </row>
    <row r="97" spans="1:20" s="760" customFormat="1" ht="11.25" customHeight="1" x14ac:dyDescent="0.2">
      <c r="A97" s="1410" t="s">
        <v>1817</v>
      </c>
      <c r="B97" s="759" t="s">
        <v>548</v>
      </c>
      <c r="C97" s="899">
        <v>354607.3</v>
      </c>
      <c r="D97" s="899">
        <v>19514</v>
      </c>
      <c r="E97" s="899">
        <v>32245.1</v>
      </c>
      <c r="F97" s="899">
        <v>36917.699999999997</v>
      </c>
      <c r="G97" s="899">
        <f t="shared" si="6"/>
        <v>-4672.5999999999985</v>
      </c>
      <c r="H97" s="899">
        <v>5944</v>
      </c>
      <c r="I97" s="899">
        <v>227883.1</v>
      </c>
      <c r="J97" s="899">
        <v>94124.4</v>
      </c>
      <c r="K97" s="899">
        <v>53.7</v>
      </c>
      <c r="L97" s="899">
        <v>0</v>
      </c>
      <c r="M97" s="899">
        <f t="shared" si="7"/>
        <v>322061.2</v>
      </c>
      <c r="N97" s="899">
        <v>1170.9000000000001</v>
      </c>
      <c r="O97" s="899">
        <v>0</v>
      </c>
      <c r="P97" s="899">
        <v>0</v>
      </c>
      <c r="Q97" s="899">
        <v>0</v>
      </c>
      <c r="R97" s="899">
        <v>0</v>
      </c>
      <c r="S97" s="899">
        <v>47147.3</v>
      </c>
      <c r="T97" s="899">
        <v>5013.3</v>
      </c>
    </row>
    <row r="98" spans="1:20" s="760" customFormat="1" ht="11.25" customHeight="1" x14ac:dyDescent="0.2">
      <c r="A98" s="1410" t="s">
        <v>1817</v>
      </c>
      <c r="B98" s="758" t="s">
        <v>556</v>
      </c>
      <c r="C98" s="898">
        <v>351964.2</v>
      </c>
      <c r="D98" s="898">
        <v>19282</v>
      </c>
      <c r="E98" s="898">
        <v>32210.9</v>
      </c>
      <c r="F98" s="898">
        <v>33232.800000000003</v>
      </c>
      <c r="G98" s="898">
        <f t="shared" si="6"/>
        <v>-1021.9000000000015</v>
      </c>
      <c r="H98" s="898">
        <v>5932.2</v>
      </c>
      <c r="I98" s="898">
        <v>229783.9</v>
      </c>
      <c r="J98" s="898">
        <v>91827.1</v>
      </c>
      <c r="K98" s="898">
        <v>73.8</v>
      </c>
      <c r="L98" s="898">
        <v>0</v>
      </c>
      <c r="M98" s="898">
        <f t="shared" si="7"/>
        <v>321684.8</v>
      </c>
      <c r="N98" s="898">
        <v>1552.8</v>
      </c>
      <c r="O98" s="898">
        <v>0</v>
      </c>
      <c r="P98" s="898">
        <v>0</v>
      </c>
      <c r="Q98" s="898">
        <v>0</v>
      </c>
      <c r="R98" s="898">
        <v>0</v>
      </c>
      <c r="S98" s="898">
        <v>46965.599999999999</v>
      </c>
      <c r="T98" s="898">
        <v>5953.3</v>
      </c>
    </row>
    <row r="99" spans="1:20" s="760" customFormat="1" ht="11.25" customHeight="1" x14ac:dyDescent="0.2">
      <c r="A99" s="1410" t="s">
        <v>1817</v>
      </c>
      <c r="B99" s="759" t="s">
        <v>557</v>
      </c>
      <c r="C99" s="899">
        <v>351813.7</v>
      </c>
      <c r="D99" s="899">
        <v>18911.2</v>
      </c>
      <c r="E99" s="899">
        <v>32318.3</v>
      </c>
      <c r="F99" s="899">
        <v>34254.800000000003</v>
      </c>
      <c r="G99" s="899">
        <f t="shared" si="6"/>
        <v>-1936.5000000000036</v>
      </c>
      <c r="H99" s="899">
        <v>5940.9</v>
      </c>
      <c r="I99" s="899">
        <v>231253.1</v>
      </c>
      <c r="J99" s="899">
        <v>89403.3</v>
      </c>
      <c r="K99" s="899">
        <v>7.2</v>
      </c>
      <c r="L99" s="899">
        <v>0</v>
      </c>
      <c r="M99" s="899">
        <f t="shared" si="7"/>
        <v>320663.60000000003</v>
      </c>
      <c r="N99" s="899">
        <v>1414.8</v>
      </c>
      <c r="O99" s="899">
        <v>0</v>
      </c>
      <c r="P99" s="899">
        <v>0</v>
      </c>
      <c r="Q99" s="899">
        <v>0</v>
      </c>
      <c r="R99" s="899">
        <v>0</v>
      </c>
      <c r="S99" s="899">
        <v>47406.6</v>
      </c>
      <c r="T99" s="899">
        <v>5244.3</v>
      </c>
    </row>
    <row r="100" spans="1:20" s="760" customFormat="1" ht="11.25" customHeight="1" x14ac:dyDescent="0.2">
      <c r="A100" s="1410" t="s">
        <v>1817</v>
      </c>
      <c r="B100" s="758" t="s">
        <v>549</v>
      </c>
      <c r="C100" s="898">
        <v>344757</v>
      </c>
      <c r="D100" s="898">
        <v>19482.3</v>
      </c>
      <c r="E100" s="898">
        <v>32001.1</v>
      </c>
      <c r="F100" s="898">
        <v>28912.799999999999</v>
      </c>
      <c r="G100" s="898">
        <f t="shared" si="6"/>
        <v>3088.2999999999993</v>
      </c>
      <c r="H100" s="898">
        <v>5946.5</v>
      </c>
      <c r="I100" s="898">
        <v>230291.6</v>
      </c>
      <c r="J100" s="898">
        <v>89215</v>
      </c>
      <c r="K100" s="898">
        <v>17.399999999999999</v>
      </c>
      <c r="L100" s="898">
        <v>0</v>
      </c>
      <c r="M100" s="898">
        <f t="shared" si="7"/>
        <v>319524</v>
      </c>
      <c r="N100" s="898">
        <v>987.5</v>
      </c>
      <c r="O100" s="898">
        <v>0</v>
      </c>
      <c r="P100" s="898">
        <v>0</v>
      </c>
      <c r="Q100" s="898">
        <v>0</v>
      </c>
      <c r="R100" s="898">
        <v>0</v>
      </c>
      <c r="S100" s="898">
        <v>47080.1</v>
      </c>
      <c r="T100" s="898">
        <v>5682.5</v>
      </c>
    </row>
    <row r="101" spans="1:20" s="760" customFormat="1" ht="11.25" customHeight="1" x14ac:dyDescent="0.2">
      <c r="A101" s="1410" t="s">
        <v>1817</v>
      </c>
      <c r="B101" s="759" t="s">
        <v>558</v>
      </c>
      <c r="C101" s="899">
        <v>337432.5</v>
      </c>
      <c r="D101" s="899">
        <v>24310.7</v>
      </c>
      <c r="E101" s="899">
        <v>38110.800000000003</v>
      </c>
      <c r="F101" s="899">
        <v>15883</v>
      </c>
      <c r="G101" s="899">
        <f t="shared" si="6"/>
        <v>22227.800000000003</v>
      </c>
      <c r="H101" s="899">
        <v>5981.8</v>
      </c>
      <c r="I101" s="899">
        <v>254121.9</v>
      </c>
      <c r="J101" s="899">
        <v>84014.399999999994</v>
      </c>
      <c r="K101" s="899">
        <v>9.6</v>
      </c>
      <c r="L101" s="899">
        <v>0</v>
      </c>
      <c r="M101" s="899">
        <f t="shared" si="7"/>
        <v>338145.89999999997</v>
      </c>
      <c r="N101" s="899">
        <v>1125.0999999999999</v>
      </c>
      <c r="O101" s="899">
        <v>0</v>
      </c>
      <c r="P101" s="899">
        <v>0</v>
      </c>
      <c r="Q101" s="899">
        <v>0</v>
      </c>
      <c r="R101" s="899">
        <v>0</v>
      </c>
      <c r="S101" s="899">
        <v>44841.8</v>
      </c>
      <c r="T101" s="899">
        <v>5840</v>
      </c>
    </row>
    <row r="102" spans="1:20" s="760" customFormat="1" ht="11.25" customHeight="1" x14ac:dyDescent="0.2">
      <c r="A102" s="1410" t="s">
        <v>1817</v>
      </c>
      <c r="B102" s="758" t="s">
        <v>559</v>
      </c>
      <c r="C102" s="898">
        <v>343399.6</v>
      </c>
      <c r="D102" s="898">
        <v>25846.799999999999</v>
      </c>
      <c r="E102" s="898">
        <v>46116</v>
      </c>
      <c r="F102" s="898">
        <v>28513.9</v>
      </c>
      <c r="G102" s="898">
        <f t="shared" si="6"/>
        <v>17602.099999999999</v>
      </c>
      <c r="H102" s="898">
        <v>6002.7</v>
      </c>
      <c r="I102" s="898">
        <v>243684</v>
      </c>
      <c r="J102" s="898">
        <v>85473.5</v>
      </c>
      <c r="K102" s="898">
        <v>20.5</v>
      </c>
      <c r="L102" s="898">
        <v>0</v>
      </c>
      <c r="M102" s="898">
        <f t="shared" si="7"/>
        <v>329178</v>
      </c>
      <c r="N102" s="898">
        <v>1722.6</v>
      </c>
      <c r="O102" s="898">
        <v>0</v>
      </c>
      <c r="P102" s="898">
        <v>0</v>
      </c>
      <c r="Q102" s="898">
        <v>0</v>
      </c>
      <c r="R102" s="898">
        <v>0</v>
      </c>
      <c r="S102" s="898">
        <v>56082.2</v>
      </c>
      <c r="T102" s="898">
        <v>5868.4</v>
      </c>
    </row>
    <row r="103" spans="1:20" s="760" customFormat="1" ht="11.25" customHeight="1" x14ac:dyDescent="0.2">
      <c r="A103" s="1410" t="s">
        <v>1817</v>
      </c>
      <c r="B103" s="759" t="s">
        <v>550</v>
      </c>
      <c r="C103" s="899">
        <v>347746.8</v>
      </c>
      <c r="D103" s="899">
        <v>19369.2</v>
      </c>
      <c r="E103" s="899">
        <v>58719.3</v>
      </c>
      <c r="F103" s="899">
        <v>13785.7</v>
      </c>
      <c r="G103" s="899">
        <f>E103-F103</f>
        <v>44933.600000000006</v>
      </c>
      <c r="H103" s="899">
        <v>6093.7</v>
      </c>
      <c r="I103" s="899">
        <v>254519.5</v>
      </c>
      <c r="J103" s="899">
        <v>90931.1</v>
      </c>
      <c r="K103" s="899">
        <v>48.2</v>
      </c>
      <c r="L103" s="899">
        <v>0</v>
      </c>
      <c r="M103" s="899">
        <f t="shared" si="7"/>
        <v>345498.8</v>
      </c>
      <c r="N103" s="899">
        <v>1321.7</v>
      </c>
      <c r="O103" s="899">
        <v>0</v>
      </c>
      <c r="P103" s="899">
        <v>0</v>
      </c>
      <c r="Q103" s="899">
        <v>0</v>
      </c>
      <c r="R103" s="899">
        <v>0</v>
      </c>
      <c r="S103" s="899">
        <v>62830.400000000001</v>
      </c>
      <c r="T103" s="899">
        <v>8492.4</v>
      </c>
    </row>
    <row r="104" spans="1:20" s="760" customFormat="1" ht="11.25" customHeight="1" x14ac:dyDescent="0.2">
      <c r="A104" s="1410" t="s">
        <v>2105</v>
      </c>
      <c r="B104" s="758" t="s">
        <v>552</v>
      </c>
      <c r="C104" s="899">
        <v>341807.6</v>
      </c>
      <c r="D104" s="899">
        <v>29619.200000000001</v>
      </c>
      <c r="E104" s="899">
        <v>67405.899999999994</v>
      </c>
      <c r="F104" s="899">
        <v>23212.3</v>
      </c>
      <c r="G104" s="899">
        <f t="shared" ref="G104:G115" si="8">E104-F104</f>
        <v>44193.599999999991</v>
      </c>
      <c r="H104" s="899">
        <v>6067.6</v>
      </c>
      <c r="I104" s="899">
        <v>262931.09999999998</v>
      </c>
      <c r="J104" s="899">
        <v>80205.899999999994</v>
      </c>
      <c r="K104" s="899">
        <v>121.6</v>
      </c>
      <c r="L104" s="899">
        <v>0</v>
      </c>
      <c r="M104" s="899">
        <f t="shared" si="7"/>
        <v>343258.6</v>
      </c>
      <c r="N104" s="899">
        <v>1946.2</v>
      </c>
      <c r="O104" s="899">
        <v>0</v>
      </c>
      <c r="P104" s="899">
        <v>0</v>
      </c>
      <c r="Q104" s="899">
        <v>0</v>
      </c>
      <c r="R104" s="899">
        <v>0</v>
      </c>
      <c r="S104" s="899">
        <v>67892.5</v>
      </c>
      <c r="T104" s="899">
        <v>8590.7000000000007</v>
      </c>
    </row>
    <row r="105" spans="1:20" s="760" customFormat="1" ht="11.25" customHeight="1" x14ac:dyDescent="0.2">
      <c r="A105" s="1410" t="s">
        <v>2105</v>
      </c>
      <c r="B105" s="759" t="s">
        <v>553</v>
      </c>
      <c r="C105" s="898">
        <v>323766.59999999998</v>
      </c>
      <c r="D105" s="898">
        <v>33219</v>
      </c>
      <c r="E105" s="898">
        <v>69696.600000000006</v>
      </c>
      <c r="F105" s="898">
        <v>16551.900000000001</v>
      </c>
      <c r="G105" s="898">
        <f t="shared" si="8"/>
        <v>53144.700000000004</v>
      </c>
      <c r="H105" s="898">
        <v>6082.3</v>
      </c>
      <c r="I105" s="898">
        <v>261231</v>
      </c>
      <c r="J105" s="898">
        <v>78318.7</v>
      </c>
      <c r="K105" s="898">
        <v>104.8</v>
      </c>
      <c r="L105" s="898">
        <v>0</v>
      </c>
      <c r="M105" s="898">
        <f t="shared" si="7"/>
        <v>339654.5</v>
      </c>
      <c r="N105" s="898">
        <v>1597.2</v>
      </c>
      <c r="O105" s="898">
        <v>0</v>
      </c>
      <c r="P105" s="898">
        <v>0</v>
      </c>
      <c r="Q105" s="898">
        <v>0</v>
      </c>
      <c r="R105" s="898">
        <v>0</v>
      </c>
      <c r="S105" s="898">
        <v>67820.600000000006</v>
      </c>
      <c r="T105" s="898">
        <v>7140.3</v>
      </c>
    </row>
    <row r="106" spans="1:20" s="760" customFormat="1" ht="11.25" customHeight="1" x14ac:dyDescent="0.2">
      <c r="A106" s="1410" t="s">
        <v>2105</v>
      </c>
      <c r="B106" s="758" t="s">
        <v>547</v>
      </c>
      <c r="C106" s="899">
        <v>319038.2</v>
      </c>
      <c r="D106" s="899">
        <v>30920.1</v>
      </c>
      <c r="E106" s="899">
        <v>75773.600000000006</v>
      </c>
      <c r="F106" s="899">
        <v>12718.9</v>
      </c>
      <c r="G106" s="899">
        <f t="shared" si="8"/>
        <v>63054.700000000004</v>
      </c>
      <c r="H106" s="899">
        <v>6098.4</v>
      </c>
      <c r="I106" s="899">
        <v>259946.1</v>
      </c>
      <c r="J106" s="899">
        <v>78316.100000000006</v>
      </c>
      <c r="K106" s="899">
        <v>127.6</v>
      </c>
      <c r="L106" s="899">
        <v>0</v>
      </c>
      <c r="M106" s="899">
        <f t="shared" si="7"/>
        <v>338389.8</v>
      </c>
      <c r="N106" s="899">
        <v>1770.2</v>
      </c>
      <c r="O106" s="899">
        <v>0</v>
      </c>
      <c r="P106" s="899">
        <v>0</v>
      </c>
      <c r="Q106" s="899">
        <v>0</v>
      </c>
      <c r="R106" s="899">
        <v>0</v>
      </c>
      <c r="S106" s="899">
        <v>68004.800000000003</v>
      </c>
      <c r="T106" s="899">
        <v>10946.6</v>
      </c>
    </row>
    <row r="107" spans="1:20" s="760" customFormat="1" ht="11.25" customHeight="1" x14ac:dyDescent="0.2">
      <c r="A107" s="1410" t="s">
        <v>2105</v>
      </c>
      <c r="B107" s="759" t="s">
        <v>554</v>
      </c>
      <c r="C107" s="898">
        <v>309741.7</v>
      </c>
      <c r="D107" s="898">
        <v>27583.599999999999</v>
      </c>
      <c r="E107" s="898">
        <v>86383</v>
      </c>
      <c r="F107" s="898">
        <v>11896.1</v>
      </c>
      <c r="G107" s="898">
        <f t="shared" si="8"/>
        <v>74486.899999999994</v>
      </c>
      <c r="H107" s="898">
        <v>6128.4</v>
      </c>
      <c r="I107" s="898">
        <v>256374.7</v>
      </c>
      <c r="J107" s="898">
        <v>77266.899999999994</v>
      </c>
      <c r="K107" s="898">
        <v>136.5</v>
      </c>
      <c r="L107" s="898">
        <v>0</v>
      </c>
      <c r="M107" s="898">
        <f t="shared" si="7"/>
        <v>333778.09999999998</v>
      </c>
      <c r="N107" s="898">
        <v>1872.7</v>
      </c>
      <c r="O107" s="898">
        <v>0</v>
      </c>
      <c r="P107" s="898">
        <v>0</v>
      </c>
      <c r="Q107" s="898">
        <v>0</v>
      </c>
      <c r="R107" s="898">
        <v>0</v>
      </c>
      <c r="S107" s="898">
        <v>72132.5</v>
      </c>
      <c r="T107" s="898">
        <v>10157.299999999999</v>
      </c>
    </row>
    <row r="108" spans="1:20" s="760" customFormat="1" ht="11.25" customHeight="1" x14ac:dyDescent="0.2">
      <c r="A108" s="1410" t="s">
        <v>2105</v>
      </c>
      <c r="B108" s="758" t="s">
        <v>555</v>
      </c>
      <c r="C108" s="899">
        <v>300467.3</v>
      </c>
      <c r="D108" s="899">
        <v>40434.300000000003</v>
      </c>
      <c r="E108" s="899">
        <v>91010</v>
      </c>
      <c r="F108" s="899">
        <v>8362</v>
      </c>
      <c r="G108" s="899">
        <f t="shared" si="8"/>
        <v>82648</v>
      </c>
      <c r="H108" s="899">
        <v>6152.1</v>
      </c>
      <c r="I108" s="899">
        <v>272891.59999999998</v>
      </c>
      <c r="J108" s="899">
        <v>71651.600000000006</v>
      </c>
      <c r="K108" s="899">
        <v>114.7</v>
      </c>
      <c r="L108" s="899">
        <v>0</v>
      </c>
      <c r="M108" s="899">
        <f t="shared" si="7"/>
        <v>344657.89999999997</v>
      </c>
      <c r="N108" s="899">
        <v>1517.4</v>
      </c>
      <c r="O108" s="899">
        <v>0</v>
      </c>
      <c r="P108" s="899">
        <v>0</v>
      </c>
      <c r="Q108" s="899">
        <v>0</v>
      </c>
      <c r="R108" s="899">
        <v>0</v>
      </c>
      <c r="S108" s="899">
        <v>77967.5</v>
      </c>
      <c r="T108" s="899">
        <v>5558.9</v>
      </c>
    </row>
    <row r="109" spans="1:20" s="760" customFormat="1" ht="11.25" customHeight="1" x14ac:dyDescent="0.2">
      <c r="A109" s="1410" t="s">
        <v>2105</v>
      </c>
      <c r="B109" s="759" t="s">
        <v>548</v>
      </c>
      <c r="C109" s="898">
        <v>297498.09999999998</v>
      </c>
      <c r="D109" s="898">
        <v>70326.399999999994</v>
      </c>
      <c r="E109" s="898">
        <v>104438.3</v>
      </c>
      <c r="F109" s="898">
        <v>8240.7999999999993</v>
      </c>
      <c r="G109" s="898">
        <f t="shared" si="8"/>
        <v>96197.5</v>
      </c>
      <c r="H109" s="898">
        <v>6203</v>
      </c>
      <c r="I109" s="898">
        <v>290646.3</v>
      </c>
      <c r="J109" s="898">
        <v>87532.9</v>
      </c>
      <c r="K109" s="898">
        <v>115.3</v>
      </c>
      <c r="L109" s="898">
        <v>0</v>
      </c>
      <c r="M109" s="898">
        <f t="shared" si="7"/>
        <v>378294.49999999994</v>
      </c>
      <c r="N109" s="898">
        <v>1640.2</v>
      </c>
      <c r="O109" s="898">
        <v>0</v>
      </c>
      <c r="P109" s="898">
        <v>0</v>
      </c>
      <c r="Q109" s="898">
        <v>0</v>
      </c>
      <c r="R109" s="898">
        <v>0</v>
      </c>
      <c r="S109" s="898">
        <v>84157.9</v>
      </c>
      <c r="T109" s="898">
        <v>6132.4</v>
      </c>
    </row>
    <row r="110" spans="1:20" s="760" customFormat="1" ht="11.25" customHeight="1" x14ac:dyDescent="0.2">
      <c r="A110" s="1410" t="s">
        <v>2105</v>
      </c>
      <c r="B110" s="758" t="s">
        <v>556</v>
      </c>
      <c r="C110" s="899">
        <v>290993.2</v>
      </c>
      <c r="D110" s="899">
        <v>53575</v>
      </c>
      <c r="E110" s="899">
        <v>107240.6</v>
      </c>
      <c r="F110" s="899">
        <v>9000.4</v>
      </c>
      <c r="G110" s="899">
        <f t="shared" si="8"/>
        <v>98240.200000000012</v>
      </c>
      <c r="H110" s="899">
        <v>6210.4</v>
      </c>
      <c r="I110" s="899">
        <v>285416.2</v>
      </c>
      <c r="J110" s="899">
        <v>65463.4</v>
      </c>
      <c r="K110" s="899">
        <v>183.6</v>
      </c>
      <c r="L110" s="899">
        <v>0</v>
      </c>
      <c r="M110" s="899">
        <f t="shared" si="7"/>
        <v>351063.2</v>
      </c>
      <c r="N110" s="899">
        <v>1311.3</v>
      </c>
      <c r="O110" s="899">
        <v>0</v>
      </c>
      <c r="P110" s="899">
        <v>0</v>
      </c>
      <c r="Q110" s="899">
        <v>0</v>
      </c>
      <c r="R110" s="899">
        <v>0</v>
      </c>
      <c r="S110" s="899">
        <v>90665.1</v>
      </c>
      <c r="T110" s="899">
        <v>5979.2</v>
      </c>
    </row>
    <row r="111" spans="1:20" s="760" customFormat="1" ht="11.25" customHeight="1" x14ac:dyDescent="0.2">
      <c r="A111" s="1410" t="s">
        <v>2105</v>
      </c>
      <c r="B111" s="759" t="s">
        <v>557</v>
      </c>
      <c r="C111" s="898">
        <v>285064.40000000002</v>
      </c>
      <c r="D111" s="898">
        <v>60596.3</v>
      </c>
      <c r="E111" s="898">
        <v>114387.9</v>
      </c>
      <c r="F111" s="898">
        <v>15179.8</v>
      </c>
      <c r="G111" s="898">
        <f t="shared" si="8"/>
        <v>99208.099999999991</v>
      </c>
      <c r="H111" s="898">
        <v>6240.5</v>
      </c>
      <c r="I111" s="898">
        <v>280759.2</v>
      </c>
      <c r="J111" s="898">
        <v>67766.100000000006</v>
      </c>
      <c r="K111" s="898">
        <v>86</v>
      </c>
      <c r="L111" s="898">
        <v>0</v>
      </c>
      <c r="M111" s="898">
        <f t="shared" si="7"/>
        <v>348611.30000000005</v>
      </c>
      <c r="N111" s="898">
        <v>1988.4</v>
      </c>
      <c r="O111" s="898">
        <v>0</v>
      </c>
      <c r="P111" s="898">
        <v>0</v>
      </c>
      <c r="Q111" s="898">
        <v>0</v>
      </c>
      <c r="R111" s="898">
        <v>0</v>
      </c>
      <c r="S111" s="898">
        <v>92048.9</v>
      </c>
      <c r="T111" s="898">
        <v>8460.7000000000007</v>
      </c>
    </row>
    <row r="112" spans="1:20" s="760" customFormat="1" ht="11.25" customHeight="1" x14ac:dyDescent="0.2">
      <c r="A112" s="1410" t="s">
        <v>2105</v>
      </c>
      <c r="B112" s="758" t="s">
        <v>549</v>
      </c>
      <c r="C112" s="899">
        <v>280533</v>
      </c>
      <c r="D112" s="899">
        <v>62689.1</v>
      </c>
      <c r="E112" s="899">
        <v>117157.2</v>
      </c>
      <c r="F112" s="899">
        <v>14875.5</v>
      </c>
      <c r="G112" s="899">
        <f t="shared" si="8"/>
        <v>102281.7</v>
      </c>
      <c r="H112" s="899">
        <v>6268.7</v>
      </c>
      <c r="I112" s="899">
        <v>277214.3</v>
      </c>
      <c r="J112" s="899">
        <v>66530.7</v>
      </c>
      <c r="K112" s="899">
        <v>109.8</v>
      </c>
      <c r="L112" s="899">
        <v>0</v>
      </c>
      <c r="M112" s="899">
        <f t="shared" si="7"/>
        <v>343854.8</v>
      </c>
      <c r="N112" s="899">
        <v>1638.3</v>
      </c>
      <c r="O112" s="899">
        <v>0</v>
      </c>
      <c r="P112" s="899">
        <v>0</v>
      </c>
      <c r="Q112" s="899">
        <v>0</v>
      </c>
      <c r="R112" s="899">
        <v>0</v>
      </c>
      <c r="S112" s="899">
        <v>98818.3</v>
      </c>
      <c r="T112" s="899">
        <v>7461.1</v>
      </c>
    </row>
    <row r="113" spans="1:20" s="760" customFormat="1" ht="11.25" customHeight="1" x14ac:dyDescent="0.2">
      <c r="A113" s="1410" t="s">
        <v>2105</v>
      </c>
      <c r="B113" s="759" t="s">
        <v>558</v>
      </c>
      <c r="C113" s="898">
        <v>275846</v>
      </c>
      <c r="D113" s="898">
        <v>60203</v>
      </c>
      <c r="E113" s="898">
        <v>135283.20000000001</v>
      </c>
      <c r="F113" s="898">
        <v>9256.9</v>
      </c>
      <c r="G113" s="898">
        <f t="shared" si="8"/>
        <v>126026.30000000002</v>
      </c>
      <c r="H113" s="898">
        <v>6303.3</v>
      </c>
      <c r="I113" s="898">
        <v>289874.7</v>
      </c>
      <c r="J113" s="898">
        <v>65838.600000000006</v>
      </c>
      <c r="K113" s="898">
        <v>125.4</v>
      </c>
      <c r="L113" s="898">
        <v>0</v>
      </c>
      <c r="M113" s="898">
        <f t="shared" si="7"/>
        <v>355838.70000000007</v>
      </c>
      <c r="N113" s="898">
        <v>2741.5</v>
      </c>
      <c r="O113" s="898">
        <v>0</v>
      </c>
      <c r="P113" s="898">
        <v>0</v>
      </c>
      <c r="Q113" s="898">
        <v>0</v>
      </c>
      <c r="R113" s="898">
        <v>0</v>
      </c>
      <c r="S113" s="898">
        <v>103317.8</v>
      </c>
      <c r="T113" s="898">
        <v>6480.6</v>
      </c>
    </row>
    <row r="114" spans="1:20" s="760" customFormat="1" ht="11.25" customHeight="1" x14ac:dyDescent="0.2">
      <c r="A114" s="1410" t="s">
        <v>2066</v>
      </c>
      <c r="B114" s="758" t="s">
        <v>559</v>
      </c>
      <c r="C114" s="899">
        <v>275078.7</v>
      </c>
      <c r="D114" s="899">
        <v>60715.5</v>
      </c>
      <c r="E114" s="899">
        <v>132652.20000000001</v>
      </c>
      <c r="F114" s="899">
        <v>13179.2</v>
      </c>
      <c r="G114" s="899">
        <f t="shared" si="8"/>
        <v>119473.00000000001</v>
      </c>
      <c r="H114" s="899">
        <v>6324.8</v>
      </c>
      <c r="I114" s="899">
        <v>278217.09999999998</v>
      </c>
      <c r="J114" s="899">
        <v>68169.2</v>
      </c>
      <c r="K114" s="899">
        <v>98</v>
      </c>
      <c r="L114" s="899">
        <v>0</v>
      </c>
      <c r="M114" s="899">
        <f>I114+J114+K114+L114</f>
        <v>346484.3</v>
      </c>
      <c r="N114" s="899">
        <v>2466.5</v>
      </c>
      <c r="O114" s="899">
        <v>0</v>
      </c>
      <c r="P114" s="899">
        <v>0</v>
      </c>
      <c r="Q114" s="899">
        <v>0</v>
      </c>
      <c r="R114" s="899">
        <v>0</v>
      </c>
      <c r="S114" s="899">
        <v>106997.7</v>
      </c>
      <c r="T114" s="899">
        <v>5643.5</v>
      </c>
    </row>
    <row r="115" spans="1:20" s="760" customFormat="1" ht="11.25" customHeight="1" x14ac:dyDescent="0.2">
      <c r="A115" s="1410" t="s">
        <v>2105</v>
      </c>
      <c r="B115" s="759" t="s">
        <v>550</v>
      </c>
      <c r="C115" s="898">
        <v>287497.5</v>
      </c>
      <c r="D115" s="898">
        <v>66711.3</v>
      </c>
      <c r="E115" s="898">
        <v>156819.70000000001</v>
      </c>
      <c r="F115" s="898">
        <v>12866.8</v>
      </c>
      <c r="G115" s="898">
        <f t="shared" si="8"/>
        <v>143952.90000000002</v>
      </c>
      <c r="H115" s="898">
        <v>6413.1</v>
      </c>
      <c r="I115" s="898">
        <v>310153.40000000002</v>
      </c>
      <c r="J115" s="898">
        <v>71488.899999999994</v>
      </c>
      <c r="K115" s="898">
        <v>148.5</v>
      </c>
      <c r="L115" s="898">
        <v>0</v>
      </c>
      <c r="M115" s="898">
        <f>I115+J115+K115+L115</f>
        <v>381790.80000000005</v>
      </c>
      <c r="N115" s="898">
        <v>2173.5</v>
      </c>
      <c r="O115" s="898">
        <v>0</v>
      </c>
      <c r="P115" s="898">
        <v>0</v>
      </c>
      <c r="Q115" s="898">
        <v>0</v>
      </c>
      <c r="R115" s="898">
        <v>0</v>
      </c>
      <c r="S115" s="898">
        <v>102034.3</v>
      </c>
      <c r="T115" s="898">
        <v>18557.599999999999</v>
      </c>
    </row>
    <row r="116" spans="1:20" s="760" customFormat="1" ht="11.25" customHeight="1" x14ac:dyDescent="0.2">
      <c r="A116" s="1410" t="s">
        <v>2213</v>
      </c>
      <c r="B116" s="758" t="s">
        <v>552</v>
      </c>
      <c r="C116" s="898">
        <v>284092.3</v>
      </c>
      <c r="D116" s="898">
        <v>68543.199999999997</v>
      </c>
      <c r="E116" s="898">
        <v>147168.79999999999</v>
      </c>
      <c r="F116" s="898">
        <v>13015.6</v>
      </c>
      <c r="G116" s="898">
        <f t="shared" ref="G116:G136" si="9">E116-F116</f>
        <v>134153.19999999998</v>
      </c>
      <c r="H116" s="898">
        <v>6371.7</v>
      </c>
      <c r="I116" s="898">
        <v>290730.8</v>
      </c>
      <c r="J116" s="898">
        <v>72729.8</v>
      </c>
      <c r="K116" s="898">
        <v>395.8</v>
      </c>
      <c r="L116" s="898">
        <v>0</v>
      </c>
      <c r="M116" s="898">
        <f t="shared" ref="M116:M136" si="10">I116+J116+K116+L116</f>
        <v>363856.39999999997</v>
      </c>
      <c r="N116" s="898">
        <v>1995.5</v>
      </c>
      <c r="O116" s="898">
        <v>0</v>
      </c>
      <c r="P116" s="898">
        <v>0</v>
      </c>
      <c r="Q116" s="898">
        <v>0</v>
      </c>
      <c r="R116" s="898">
        <v>0</v>
      </c>
      <c r="S116" s="898">
        <v>112124.2</v>
      </c>
      <c r="T116" s="898">
        <v>15184.3</v>
      </c>
    </row>
    <row r="117" spans="1:20" s="760" customFormat="1" ht="11.25" customHeight="1" x14ac:dyDescent="0.2">
      <c r="A117" s="1410" t="s">
        <v>2213</v>
      </c>
      <c r="B117" s="759" t="s">
        <v>553</v>
      </c>
      <c r="C117" s="899">
        <v>272944.3</v>
      </c>
      <c r="D117" s="899">
        <v>67766.7</v>
      </c>
      <c r="E117" s="899">
        <v>145873.4</v>
      </c>
      <c r="F117" s="899">
        <v>23547.7</v>
      </c>
      <c r="G117" s="899">
        <f t="shared" si="9"/>
        <v>122325.7</v>
      </c>
      <c r="H117" s="899">
        <v>6371.6</v>
      </c>
      <c r="I117" s="899">
        <v>280673.90000000002</v>
      </c>
      <c r="J117" s="899">
        <v>68362.7</v>
      </c>
      <c r="K117" s="899">
        <v>358.9</v>
      </c>
      <c r="L117" s="899">
        <v>0</v>
      </c>
      <c r="M117" s="899">
        <f t="shared" si="10"/>
        <v>349395.50000000006</v>
      </c>
      <c r="N117" s="899">
        <v>1387.8</v>
      </c>
      <c r="O117" s="899">
        <v>0</v>
      </c>
      <c r="P117" s="899">
        <v>0</v>
      </c>
      <c r="Q117" s="899">
        <v>0</v>
      </c>
      <c r="R117" s="899">
        <v>0</v>
      </c>
      <c r="S117" s="899">
        <v>114177.60000000001</v>
      </c>
      <c r="T117" s="899">
        <v>4447.3999999999996</v>
      </c>
    </row>
    <row r="118" spans="1:20" s="760" customFormat="1" ht="11.25" customHeight="1" x14ac:dyDescent="0.2">
      <c r="A118" s="1410" t="s">
        <v>2213</v>
      </c>
      <c r="B118" s="758" t="s">
        <v>547</v>
      </c>
      <c r="C118" s="898">
        <v>258981.4</v>
      </c>
      <c r="D118" s="898">
        <v>80732.399999999994</v>
      </c>
      <c r="E118" s="898">
        <v>137889.4</v>
      </c>
      <c r="F118" s="898">
        <v>22906.1</v>
      </c>
      <c r="G118" s="898">
        <f t="shared" si="9"/>
        <v>114983.29999999999</v>
      </c>
      <c r="H118" s="898">
        <v>6370.6</v>
      </c>
      <c r="I118" s="898">
        <v>275491.90000000002</v>
      </c>
      <c r="J118" s="898">
        <v>66906</v>
      </c>
      <c r="K118" s="898">
        <v>15.1</v>
      </c>
      <c r="L118" s="898">
        <v>0</v>
      </c>
      <c r="M118" s="898">
        <f t="shared" si="10"/>
        <v>342413</v>
      </c>
      <c r="N118" s="898">
        <v>2256.3000000000002</v>
      </c>
      <c r="O118" s="898">
        <v>0</v>
      </c>
      <c r="P118" s="898">
        <v>0</v>
      </c>
      <c r="Q118" s="898">
        <v>0</v>
      </c>
      <c r="R118" s="898">
        <v>0</v>
      </c>
      <c r="S118" s="898">
        <v>115288.2</v>
      </c>
      <c r="T118" s="898">
        <v>1110.2</v>
      </c>
    </row>
    <row r="119" spans="1:20" s="760" customFormat="1" ht="11.25" customHeight="1" x14ac:dyDescent="0.2">
      <c r="A119" s="1410" t="s">
        <v>2213</v>
      </c>
      <c r="B119" s="759" t="s">
        <v>554</v>
      </c>
      <c r="C119" s="899">
        <v>248079.8</v>
      </c>
      <c r="D119" s="899">
        <v>91983.4</v>
      </c>
      <c r="E119" s="899">
        <v>126729</v>
      </c>
      <c r="F119" s="899">
        <v>14717.7</v>
      </c>
      <c r="G119" s="899">
        <f t="shared" si="9"/>
        <v>112011.3</v>
      </c>
      <c r="H119" s="899">
        <v>6395</v>
      </c>
      <c r="I119" s="899">
        <v>271207.09999999998</v>
      </c>
      <c r="J119" s="899">
        <v>66886.5</v>
      </c>
      <c r="K119" s="899">
        <v>34.700000000000003</v>
      </c>
      <c r="L119" s="899">
        <v>0</v>
      </c>
      <c r="M119" s="899">
        <f t="shared" si="10"/>
        <v>338128.3</v>
      </c>
      <c r="N119" s="899">
        <v>2202.8000000000002</v>
      </c>
      <c r="O119" s="899">
        <v>0</v>
      </c>
      <c r="P119" s="899">
        <v>0</v>
      </c>
      <c r="Q119" s="899">
        <v>0</v>
      </c>
      <c r="R119" s="899">
        <v>0</v>
      </c>
      <c r="S119" s="899">
        <v>118015.5</v>
      </c>
      <c r="T119" s="899">
        <v>122.9</v>
      </c>
    </row>
    <row r="120" spans="1:20" s="760" customFormat="1" ht="11.25" customHeight="1" x14ac:dyDescent="0.2">
      <c r="A120" s="1410" t="s">
        <v>2213</v>
      </c>
      <c r="B120" s="758" t="s">
        <v>555</v>
      </c>
      <c r="C120" s="898">
        <v>235600.5</v>
      </c>
      <c r="D120" s="898">
        <v>101294.1</v>
      </c>
      <c r="E120" s="898">
        <v>131598.9</v>
      </c>
      <c r="F120" s="898">
        <v>14762.6</v>
      </c>
      <c r="G120" s="898">
        <f t="shared" si="9"/>
        <v>116836.29999999999</v>
      </c>
      <c r="H120" s="898">
        <v>6435.5</v>
      </c>
      <c r="I120" s="898">
        <v>272673.3</v>
      </c>
      <c r="J120" s="898">
        <v>65830.3</v>
      </c>
      <c r="K120" s="898">
        <v>28.7</v>
      </c>
      <c r="L120" s="898">
        <v>0</v>
      </c>
      <c r="M120" s="898">
        <f t="shared" si="10"/>
        <v>338532.3</v>
      </c>
      <c r="N120" s="898">
        <v>1532.6</v>
      </c>
      <c r="O120" s="898">
        <v>0</v>
      </c>
      <c r="P120" s="898">
        <v>0</v>
      </c>
      <c r="Q120" s="898">
        <v>0</v>
      </c>
      <c r="R120" s="898">
        <v>0</v>
      </c>
      <c r="S120" s="898">
        <v>121389.2</v>
      </c>
      <c r="T120" s="898">
        <v>-1287.7</v>
      </c>
    </row>
    <row r="121" spans="1:20" s="760" customFormat="1" ht="11.25" customHeight="1" x14ac:dyDescent="0.2">
      <c r="A121" s="1410" t="s">
        <v>2213</v>
      </c>
      <c r="B121" s="759" t="s">
        <v>548</v>
      </c>
      <c r="C121" s="899">
        <v>248198.9</v>
      </c>
      <c r="D121" s="899">
        <v>130735.4</v>
      </c>
      <c r="E121" s="899">
        <v>125678.39999999999</v>
      </c>
      <c r="F121" s="899">
        <v>15718.1</v>
      </c>
      <c r="G121" s="899">
        <f t="shared" si="9"/>
        <v>109960.29999999999</v>
      </c>
      <c r="H121" s="899">
        <v>6525.5</v>
      </c>
      <c r="I121" s="899">
        <v>277805.09999999998</v>
      </c>
      <c r="J121" s="899">
        <v>92627.8</v>
      </c>
      <c r="K121" s="899">
        <v>37.5</v>
      </c>
      <c r="L121" s="899">
        <v>0</v>
      </c>
      <c r="M121" s="899">
        <f t="shared" si="10"/>
        <v>370470.39999999997</v>
      </c>
      <c r="N121" s="899">
        <v>2687</v>
      </c>
      <c r="O121" s="899">
        <v>0</v>
      </c>
      <c r="P121" s="899">
        <v>0</v>
      </c>
      <c r="Q121" s="899">
        <v>0</v>
      </c>
      <c r="R121" s="899">
        <v>0</v>
      </c>
      <c r="S121" s="899">
        <v>123799.8</v>
      </c>
      <c r="T121" s="899">
        <v>-1537.1</v>
      </c>
    </row>
    <row r="122" spans="1:20" s="760" customFormat="1" ht="11.25" customHeight="1" x14ac:dyDescent="0.2">
      <c r="A122" s="1410" t="s">
        <v>2213</v>
      </c>
      <c r="B122" s="758" t="s">
        <v>556</v>
      </c>
      <c r="C122" s="898">
        <v>232550.2</v>
      </c>
      <c r="D122" s="898">
        <v>115609.7</v>
      </c>
      <c r="E122" s="898">
        <v>124560.7</v>
      </c>
      <c r="F122" s="898">
        <v>14978.4</v>
      </c>
      <c r="G122" s="898">
        <f t="shared" si="9"/>
        <v>109582.3</v>
      </c>
      <c r="H122" s="898">
        <v>6512.3</v>
      </c>
      <c r="I122" s="898">
        <v>280636.5</v>
      </c>
      <c r="J122" s="898">
        <v>64843.3</v>
      </c>
      <c r="K122" s="898">
        <v>32.299999999999997</v>
      </c>
      <c r="L122" s="898">
        <v>0</v>
      </c>
      <c r="M122" s="898">
        <f t="shared" si="10"/>
        <v>345512.1</v>
      </c>
      <c r="N122" s="898">
        <v>1917.2</v>
      </c>
      <c r="O122" s="898">
        <v>0</v>
      </c>
      <c r="P122" s="898">
        <v>0</v>
      </c>
      <c r="Q122" s="898">
        <v>0</v>
      </c>
      <c r="R122" s="898">
        <v>0</v>
      </c>
      <c r="S122" s="898">
        <v>123916.9</v>
      </c>
      <c r="T122" s="898">
        <v>-7091.7</v>
      </c>
    </row>
    <row r="123" spans="1:20" s="760" customFormat="1" ht="11.25" customHeight="1" x14ac:dyDescent="0.2">
      <c r="A123" s="1410" t="s">
        <v>2213</v>
      </c>
      <c r="B123" s="759" t="s">
        <v>557</v>
      </c>
      <c r="C123" s="899">
        <v>229743.6</v>
      </c>
      <c r="D123" s="899">
        <v>123690.4</v>
      </c>
      <c r="E123" s="899">
        <v>122255.6</v>
      </c>
      <c r="F123" s="899">
        <v>10202.700000000001</v>
      </c>
      <c r="G123" s="899">
        <f t="shared" si="9"/>
        <v>112052.90000000001</v>
      </c>
      <c r="H123" s="899">
        <v>6531</v>
      </c>
      <c r="I123" s="899">
        <v>282559.59999999998</v>
      </c>
      <c r="J123" s="899">
        <v>68393.2</v>
      </c>
      <c r="K123" s="899">
        <v>44.2</v>
      </c>
      <c r="L123" s="899">
        <v>0</v>
      </c>
      <c r="M123" s="899">
        <f t="shared" si="10"/>
        <v>350997</v>
      </c>
      <c r="N123" s="899">
        <v>1399.8</v>
      </c>
      <c r="O123" s="899">
        <v>0</v>
      </c>
      <c r="P123" s="899">
        <v>0</v>
      </c>
      <c r="Q123" s="899">
        <v>0</v>
      </c>
      <c r="R123" s="899">
        <v>0</v>
      </c>
      <c r="S123" s="899">
        <v>125036.3</v>
      </c>
      <c r="T123" s="899">
        <v>-5415.2</v>
      </c>
    </row>
    <row r="124" spans="1:20" s="760" customFormat="1" ht="11.25" customHeight="1" x14ac:dyDescent="0.2">
      <c r="A124" s="1410" t="s">
        <v>2213</v>
      </c>
      <c r="B124" s="758" t="s">
        <v>549</v>
      </c>
      <c r="C124" s="898">
        <v>226890.9</v>
      </c>
      <c r="D124" s="898">
        <v>125740.9</v>
      </c>
      <c r="E124" s="898">
        <v>126602.8</v>
      </c>
      <c r="F124" s="898">
        <v>10033</v>
      </c>
      <c r="G124" s="898">
        <f t="shared" si="9"/>
        <v>116569.8</v>
      </c>
      <c r="H124" s="898">
        <v>6556.8</v>
      </c>
      <c r="I124" s="898">
        <v>289310.8</v>
      </c>
      <c r="J124" s="898">
        <v>65551.399999999994</v>
      </c>
      <c r="K124" s="898">
        <v>48.5</v>
      </c>
      <c r="L124" s="898">
        <v>0</v>
      </c>
      <c r="M124" s="898">
        <f t="shared" si="10"/>
        <v>354910.69999999995</v>
      </c>
      <c r="N124" s="898">
        <v>1577.3</v>
      </c>
      <c r="O124" s="898">
        <v>0</v>
      </c>
      <c r="P124" s="898">
        <v>0</v>
      </c>
      <c r="Q124" s="898">
        <v>0</v>
      </c>
      <c r="R124" s="898">
        <v>0</v>
      </c>
      <c r="S124" s="898">
        <v>127482.7</v>
      </c>
      <c r="T124" s="898">
        <v>-8212.2999999999993</v>
      </c>
    </row>
    <row r="125" spans="1:20" s="760" customFormat="1" ht="11.25" customHeight="1" x14ac:dyDescent="0.2">
      <c r="A125" s="1410" t="s">
        <v>2213</v>
      </c>
      <c r="B125" s="759" t="s">
        <v>558</v>
      </c>
      <c r="C125" s="899">
        <v>219734.5</v>
      </c>
      <c r="D125" s="899">
        <v>123333.5</v>
      </c>
      <c r="E125" s="899">
        <v>136106.4</v>
      </c>
      <c r="F125" s="899">
        <v>9534.6</v>
      </c>
      <c r="G125" s="899">
        <f t="shared" si="9"/>
        <v>126571.79999999999</v>
      </c>
      <c r="H125" s="899">
        <v>6583.6</v>
      </c>
      <c r="I125" s="899">
        <v>288919.09999999998</v>
      </c>
      <c r="J125" s="899">
        <v>65855.199999999997</v>
      </c>
      <c r="K125" s="899">
        <v>45.6</v>
      </c>
      <c r="L125" s="899">
        <v>0</v>
      </c>
      <c r="M125" s="899">
        <f t="shared" si="10"/>
        <v>354819.89999999997</v>
      </c>
      <c r="N125" s="899">
        <v>1573.7</v>
      </c>
      <c r="O125" s="899">
        <v>0</v>
      </c>
      <c r="P125" s="899">
        <v>0</v>
      </c>
      <c r="Q125" s="899">
        <v>0</v>
      </c>
      <c r="R125" s="899">
        <v>0</v>
      </c>
      <c r="S125" s="899">
        <v>129342.6</v>
      </c>
      <c r="T125" s="899">
        <v>-9512.7999999999993</v>
      </c>
    </row>
    <row r="126" spans="1:20" s="760" customFormat="1" ht="11.25" customHeight="1" x14ac:dyDescent="0.2">
      <c r="A126" s="1410" t="s">
        <v>2213</v>
      </c>
      <c r="B126" s="758" t="s">
        <v>559</v>
      </c>
      <c r="C126" s="898">
        <v>231124.4</v>
      </c>
      <c r="D126" s="898">
        <v>124473</v>
      </c>
      <c r="E126" s="898">
        <v>141441.70000000001</v>
      </c>
      <c r="F126" s="898">
        <v>10999.9</v>
      </c>
      <c r="G126" s="898">
        <f t="shared" si="9"/>
        <v>130441.80000000002</v>
      </c>
      <c r="H126" s="898">
        <v>6633.7</v>
      </c>
      <c r="I126" s="898">
        <v>292185.59999999998</v>
      </c>
      <c r="J126" s="898">
        <v>66635.899999999994</v>
      </c>
      <c r="K126" s="898">
        <v>32.799999999999997</v>
      </c>
      <c r="L126" s="898">
        <v>0</v>
      </c>
      <c r="M126" s="898">
        <f t="shared" si="10"/>
        <v>358854.3</v>
      </c>
      <c r="N126" s="898">
        <v>1572.7</v>
      </c>
      <c r="O126" s="898">
        <v>0</v>
      </c>
      <c r="P126" s="898">
        <v>0</v>
      </c>
      <c r="Q126" s="898">
        <v>0</v>
      </c>
      <c r="R126" s="898">
        <v>0</v>
      </c>
      <c r="S126" s="898">
        <v>146392.6</v>
      </c>
      <c r="T126" s="898">
        <v>-14146.7</v>
      </c>
    </row>
    <row r="127" spans="1:20" s="747" customFormat="1" ht="11.25" customHeight="1" x14ac:dyDescent="0.2">
      <c r="A127" s="1410" t="s">
        <v>2213</v>
      </c>
      <c r="B127" s="759" t="s">
        <v>550</v>
      </c>
      <c r="C127" s="899">
        <v>245780.7</v>
      </c>
      <c r="D127" s="899">
        <v>176941.7</v>
      </c>
      <c r="E127" s="899">
        <v>144599.29999999999</v>
      </c>
      <c r="F127" s="899">
        <v>10034.1</v>
      </c>
      <c r="G127" s="899">
        <f t="shared" si="9"/>
        <v>134565.19999999998</v>
      </c>
      <c r="H127" s="899">
        <v>6717.3</v>
      </c>
      <c r="I127" s="899">
        <v>318403</v>
      </c>
      <c r="J127" s="899">
        <v>93283.3</v>
      </c>
      <c r="K127" s="899">
        <v>54.8</v>
      </c>
      <c r="L127" s="899">
        <v>0</v>
      </c>
      <c r="M127" s="899">
        <f t="shared" si="10"/>
        <v>411741.1</v>
      </c>
      <c r="N127" s="899">
        <v>2090.1999999999998</v>
      </c>
      <c r="O127" s="899">
        <v>0</v>
      </c>
      <c r="P127" s="899">
        <v>0</v>
      </c>
      <c r="Q127" s="899">
        <v>0</v>
      </c>
      <c r="R127" s="899">
        <v>0</v>
      </c>
      <c r="S127" s="899">
        <v>122311.9</v>
      </c>
      <c r="T127" s="899">
        <v>27861.599999999999</v>
      </c>
    </row>
    <row r="128" spans="1:20" s="760" customFormat="1" ht="11.25" customHeight="1" x14ac:dyDescent="0.2">
      <c r="A128" s="1411" t="s">
        <v>2505</v>
      </c>
      <c r="B128" s="759" t="s">
        <v>552</v>
      </c>
      <c r="C128" s="899">
        <v>238927.1</v>
      </c>
      <c r="D128" s="899">
        <v>145518.70000000001</v>
      </c>
      <c r="E128" s="899">
        <v>145592.4</v>
      </c>
      <c r="F128" s="899">
        <v>9985.2999999999993</v>
      </c>
      <c r="G128" s="899">
        <f t="shared" si="9"/>
        <v>135607.1</v>
      </c>
      <c r="H128" s="899">
        <v>6679.3</v>
      </c>
      <c r="I128" s="899">
        <v>313988.3</v>
      </c>
      <c r="J128" s="899">
        <v>73376.399999999994</v>
      </c>
      <c r="K128" s="899">
        <v>41.2</v>
      </c>
      <c r="L128" s="899">
        <v>0</v>
      </c>
      <c r="M128" s="899">
        <f t="shared" si="10"/>
        <v>387405.89999999997</v>
      </c>
      <c r="N128" s="899">
        <v>2027.6</v>
      </c>
      <c r="O128" s="899">
        <v>0</v>
      </c>
      <c r="P128" s="899">
        <v>0</v>
      </c>
      <c r="Q128" s="899">
        <v>0</v>
      </c>
      <c r="R128" s="899">
        <v>0</v>
      </c>
      <c r="S128" s="899">
        <v>122447.6</v>
      </c>
      <c r="T128" s="899">
        <v>14851.1</v>
      </c>
    </row>
    <row r="129" spans="1:23" s="760" customFormat="1" ht="11.25" customHeight="1" x14ac:dyDescent="0.2">
      <c r="A129" s="1411" t="s">
        <v>2505</v>
      </c>
      <c r="B129" s="758" t="s">
        <v>553</v>
      </c>
      <c r="C129" s="898">
        <v>231618.7</v>
      </c>
      <c r="D129" s="898">
        <v>153507.1</v>
      </c>
      <c r="E129" s="898">
        <v>126401.60000000001</v>
      </c>
      <c r="F129" s="898">
        <v>10180.4</v>
      </c>
      <c r="G129" s="898">
        <f t="shared" si="9"/>
        <v>116221.20000000001</v>
      </c>
      <c r="H129" s="898">
        <v>6691.2</v>
      </c>
      <c r="I129" s="898">
        <v>316798.7</v>
      </c>
      <c r="J129" s="898">
        <v>67070.3</v>
      </c>
      <c r="K129" s="898">
        <v>13.4</v>
      </c>
      <c r="L129" s="898">
        <v>0</v>
      </c>
      <c r="M129" s="898">
        <f t="shared" si="10"/>
        <v>383882.4</v>
      </c>
      <c r="N129" s="898">
        <v>2231.5</v>
      </c>
      <c r="O129" s="898">
        <v>0</v>
      </c>
      <c r="P129" s="898">
        <v>0</v>
      </c>
      <c r="Q129" s="898">
        <v>0</v>
      </c>
      <c r="R129" s="898">
        <v>0</v>
      </c>
      <c r="S129" s="898">
        <v>130035.7</v>
      </c>
      <c r="T129" s="898">
        <v>-8111.4</v>
      </c>
    </row>
    <row r="130" spans="1:23" s="760" customFormat="1" ht="11.25" customHeight="1" x14ac:dyDescent="0.2">
      <c r="A130" s="1411" t="s">
        <v>2505</v>
      </c>
      <c r="B130" s="759" t="s">
        <v>547</v>
      </c>
      <c r="C130" s="899">
        <v>231666.3</v>
      </c>
      <c r="D130" s="899">
        <v>170625.3</v>
      </c>
      <c r="E130" s="899">
        <v>102740.3</v>
      </c>
      <c r="F130" s="899">
        <v>10557.3</v>
      </c>
      <c r="G130" s="899">
        <f t="shared" si="9"/>
        <v>92183</v>
      </c>
      <c r="H130" s="899">
        <v>6713.2</v>
      </c>
      <c r="I130" s="899">
        <v>309094.2</v>
      </c>
      <c r="J130" s="899">
        <v>64247.3</v>
      </c>
      <c r="K130" s="899">
        <v>12.2</v>
      </c>
      <c r="L130" s="899">
        <v>0</v>
      </c>
      <c r="M130" s="899">
        <f t="shared" si="10"/>
        <v>373353.7</v>
      </c>
      <c r="N130" s="899">
        <v>3252.3</v>
      </c>
      <c r="O130" s="899">
        <v>0</v>
      </c>
      <c r="P130" s="899">
        <v>0</v>
      </c>
      <c r="Q130" s="899">
        <v>0</v>
      </c>
      <c r="R130" s="899">
        <v>0</v>
      </c>
      <c r="S130" s="899">
        <v>134426.20000000001</v>
      </c>
      <c r="T130" s="899">
        <v>-9844.4</v>
      </c>
    </row>
    <row r="131" spans="1:23" s="760" customFormat="1" ht="11.25" customHeight="1" x14ac:dyDescent="0.2">
      <c r="A131" s="1411" t="s">
        <v>2505</v>
      </c>
      <c r="B131" s="758" t="s">
        <v>554</v>
      </c>
      <c r="C131" s="898">
        <v>228522.6</v>
      </c>
      <c r="D131" s="898">
        <v>165334.20000000001</v>
      </c>
      <c r="E131" s="898">
        <v>105438.6</v>
      </c>
      <c r="F131" s="898">
        <v>11706.3</v>
      </c>
      <c r="G131" s="898">
        <f t="shared" si="9"/>
        <v>93732.3</v>
      </c>
      <c r="H131" s="898">
        <v>6745.9</v>
      </c>
      <c r="I131" s="898">
        <v>301078.3</v>
      </c>
      <c r="J131" s="898">
        <v>66242.3</v>
      </c>
      <c r="K131" s="898">
        <v>10.6</v>
      </c>
      <c r="L131" s="898">
        <v>0</v>
      </c>
      <c r="M131" s="898">
        <f t="shared" si="10"/>
        <v>367331.19999999995</v>
      </c>
      <c r="N131" s="898">
        <v>1101.4000000000001</v>
      </c>
      <c r="O131" s="898">
        <v>0</v>
      </c>
      <c r="P131" s="898">
        <v>0</v>
      </c>
      <c r="Q131" s="898">
        <v>0</v>
      </c>
      <c r="R131" s="898">
        <v>0</v>
      </c>
      <c r="S131" s="898">
        <v>135190.39999999999</v>
      </c>
      <c r="T131" s="898">
        <v>-9288</v>
      </c>
    </row>
    <row r="132" spans="1:23" s="760" customFormat="1" ht="11.25" customHeight="1" x14ac:dyDescent="0.2">
      <c r="A132" s="1411" t="s">
        <v>2505</v>
      </c>
      <c r="B132" s="759" t="s">
        <v>555</v>
      </c>
      <c r="C132" s="899">
        <v>223881.5</v>
      </c>
      <c r="D132" s="899">
        <v>187209.1</v>
      </c>
      <c r="E132" s="899">
        <v>108131.3</v>
      </c>
      <c r="F132" s="899">
        <v>12019.5</v>
      </c>
      <c r="G132" s="899">
        <f t="shared" si="9"/>
        <v>96111.8</v>
      </c>
      <c r="H132" s="899">
        <v>6769.9</v>
      </c>
      <c r="I132" s="899">
        <v>299845.8</v>
      </c>
      <c r="J132" s="899">
        <v>86662.1</v>
      </c>
      <c r="K132" s="899">
        <v>19.2</v>
      </c>
      <c r="L132" s="899">
        <v>0</v>
      </c>
      <c r="M132" s="899">
        <f t="shared" si="10"/>
        <v>386527.10000000003</v>
      </c>
      <c r="N132" s="899">
        <v>1657</v>
      </c>
      <c r="O132" s="899">
        <v>0</v>
      </c>
      <c r="P132" s="899">
        <v>0</v>
      </c>
      <c r="Q132" s="899">
        <v>0</v>
      </c>
      <c r="R132" s="899">
        <v>0</v>
      </c>
      <c r="S132" s="899">
        <v>135260.9</v>
      </c>
      <c r="T132" s="899">
        <v>-9472.7000000000007</v>
      </c>
    </row>
    <row r="133" spans="1:23" s="760" customFormat="1" ht="11.25" customHeight="1" x14ac:dyDescent="0.2">
      <c r="A133" s="1411" t="s">
        <v>2505</v>
      </c>
      <c r="B133" s="758" t="s">
        <v>548</v>
      </c>
      <c r="C133" s="898">
        <v>235750.8</v>
      </c>
      <c r="D133" s="898">
        <v>207730.4</v>
      </c>
      <c r="E133" s="898">
        <v>90346.4</v>
      </c>
      <c r="F133" s="898">
        <v>12988.9</v>
      </c>
      <c r="G133" s="898">
        <f t="shared" si="9"/>
        <v>77357.5</v>
      </c>
      <c r="H133" s="898">
        <v>6860.2</v>
      </c>
      <c r="I133" s="898">
        <v>302994.59999999998</v>
      </c>
      <c r="J133" s="898">
        <v>94507.9</v>
      </c>
      <c r="K133" s="898">
        <v>63.1</v>
      </c>
      <c r="L133" s="898">
        <v>0</v>
      </c>
      <c r="M133" s="898">
        <f t="shared" si="10"/>
        <v>397565.6</v>
      </c>
      <c r="N133" s="898">
        <v>1861.6</v>
      </c>
      <c r="O133" s="898">
        <v>0</v>
      </c>
      <c r="P133" s="898">
        <v>0</v>
      </c>
      <c r="Q133" s="898">
        <v>0</v>
      </c>
      <c r="R133" s="898">
        <v>0</v>
      </c>
      <c r="S133" s="898">
        <v>136787.1</v>
      </c>
      <c r="T133" s="898">
        <v>-8515.4</v>
      </c>
    </row>
    <row r="134" spans="1:23" s="760" customFormat="1" ht="11.25" customHeight="1" x14ac:dyDescent="0.2">
      <c r="A134" s="1411" t="s">
        <v>2505</v>
      </c>
      <c r="B134" s="759" t="s">
        <v>556</v>
      </c>
      <c r="C134" s="899">
        <v>238082.6</v>
      </c>
      <c r="D134" s="899">
        <v>194805.8</v>
      </c>
      <c r="E134" s="899">
        <v>89284.3</v>
      </c>
      <c r="F134" s="899">
        <v>13306.7</v>
      </c>
      <c r="G134" s="899">
        <f t="shared" si="9"/>
        <v>75977.600000000006</v>
      </c>
      <c r="H134" s="899">
        <v>6837.6</v>
      </c>
      <c r="I134" s="899">
        <v>297571.3</v>
      </c>
      <c r="J134" s="899">
        <v>79180</v>
      </c>
      <c r="K134" s="899">
        <v>17.399999999999999</v>
      </c>
      <c r="L134" s="899">
        <v>0</v>
      </c>
      <c r="M134" s="899">
        <f t="shared" si="10"/>
        <v>376768.7</v>
      </c>
      <c r="N134" s="899">
        <v>1812.3</v>
      </c>
      <c r="O134" s="899">
        <v>0</v>
      </c>
      <c r="P134" s="899">
        <v>0</v>
      </c>
      <c r="Q134" s="899">
        <v>0</v>
      </c>
      <c r="R134" s="899">
        <v>0</v>
      </c>
      <c r="S134" s="899">
        <v>143284.1</v>
      </c>
      <c r="T134" s="899">
        <v>-6161.5</v>
      </c>
    </row>
    <row r="135" spans="1:23" s="760" customFormat="1" ht="11.25" customHeight="1" x14ac:dyDescent="0.2">
      <c r="A135" s="1411" t="s">
        <v>2505</v>
      </c>
      <c r="B135" s="758" t="s">
        <v>557</v>
      </c>
      <c r="C135" s="898">
        <v>238118.39999999999</v>
      </c>
      <c r="D135" s="898">
        <v>199668.8</v>
      </c>
      <c r="E135" s="898">
        <v>84572.5</v>
      </c>
      <c r="F135" s="898">
        <v>12847.1</v>
      </c>
      <c r="G135" s="898">
        <f t="shared" si="9"/>
        <v>71725.399999999994</v>
      </c>
      <c r="H135" s="898">
        <v>6858.3</v>
      </c>
      <c r="I135" s="898">
        <v>296437.09999999998</v>
      </c>
      <c r="J135" s="898">
        <v>76210.5</v>
      </c>
      <c r="K135" s="898">
        <v>10</v>
      </c>
      <c r="L135" s="898">
        <v>0</v>
      </c>
      <c r="M135" s="898">
        <f t="shared" si="10"/>
        <v>372657.6</v>
      </c>
      <c r="N135" s="898">
        <v>1754.2</v>
      </c>
      <c r="O135" s="898">
        <v>0</v>
      </c>
      <c r="P135" s="898">
        <v>0</v>
      </c>
      <c r="Q135" s="898">
        <v>0</v>
      </c>
      <c r="R135" s="898">
        <v>0</v>
      </c>
      <c r="S135" s="898">
        <v>147951.6</v>
      </c>
      <c r="T135" s="898">
        <v>-5992.5</v>
      </c>
    </row>
    <row r="136" spans="1:23" s="760" customFormat="1" ht="11.25" customHeight="1" x14ac:dyDescent="0.2">
      <c r="A136" s="1411" t="s">
        <v>2505</v>
      </c>
      <c r="B136" s="759" t="s">
        <v>549</v>
      </c>
      <c r="C136" s="899">
        <v>240271.7</v>
      </c>
      <c r="D136" s="899">
        <v>208427.7</v>
      </c>
      <c r="E136" s="899">
        <v>102584.1</v>
      </c>
      <c r="F136" s="899">
        <v>13490.1</v>
      </c>
      <c r="G136" s="899">
        <f t="shared" si="9"/>
        <v>89094</v>
      </c>
      <c r="H136" s="899">
        <v>6882.9</v>
      </c>
      <c r="I136" s="899">
        <v>319205.59999999998</v>
      </c>
      <c r="J136" s="899">
        <v>81560.100000000006</v>
      </c>
      <c r="K136" s="899">
        <v>12.7</v>
      </c>
      <c r="L136" s="899">
        <v>0</v>
      </c>
      <c r="M136" s="899">
        <f t="shared" si="10"/>
        <v>400778.39999999997</v>
      </c>
      <c r="N136" s="899">
        <v>1875.6</v>
      </c>
      <c r="O136" s="899">
        <v>0</v>
      </c>
      <c r="P136" s="899">
        <v>0</v>
      </c>
      <c r="Q136" s="899">
        <v>0</v>
      </c>
      <c r="R136" s="899">
        <v>0</v>
      </c>
      <c r="S136" s="899">
        <v>151960.29999999999</v>
      </c>
      <c r="T136" s="899">
        <v>-9938</v>
      </c>
    </row>
    <row r="137" spans="1:23" s="760" customFormat="1" ht="11.25" customHeight="1" x14ac:dyDescent="0.2">
      <c r="A137" s="1411" t="s">
        <v>2505</v>
      </c>
      <c r="B137" s="758" t="s">
        <v>558</v>
      </c>
      <c r="C137" s="898">
        <v>251508.2</v>
      </c>
      <c r="D137" s="898">
        <v>197153.5</v>
      </c>
      <c r="E137" s="898">
        <v>91819.8</v>
      </c>
      <c r="F137" s="898">
        <v>13986</v>
      </c>
      <c r="G137" s="898">
        <f>E137-F137</f>
        <v>77833.8</v>
      </c>
      <c r="H137" s="898">
        <v>6870.5</v>
      </c>
      <c r="I137" s="898">
        <v>300725.8</v>
      </c>
      <c r="J137" s="898">
        <v>77931.600000000006</v>
      </c>
      <c r="K137" s="898">
        <v>29.7</v>
      </c>
      <c r="L137" s="898">
        <v>0</v>
      </c>
      <c r="M137" s="898">
        <f>I137+J137+K137+L137</f>
        <v>378687.10000000003</v>
      </c>
      <c r="N137" s="898">
        <v>1830.5</v>
      </c>
      <c r="O137" s="898">
        <v>0</v>
      </c>
      <c r="P137" s="898">
        <v>0</v>
      </c>
      <c r="Q137" s="898">
        <v>0</v>
      </c>
      <c r="R137" s="898">
        <v>0</v>
      </c>
      <c r="S137" s="898">
        <v>158308.4</v>
      </c>
      <c r="T137" s="898">
        <v>-5460</v>
      </c>
    </row>
    <row r="138" spans="1:23" s="760" customFormat="1" ht="11.25" customHeight="1" x14ac:dyDescent="0.2">
      <c r="A138" s="1411" t="s">
        <v>2505</v>
      </c>
      <c r="B138" s="759" t="s">
        <v>559</v>
      </c>
      <c r="C138" s="899">
        <v>243726.7</v>
      </c>
      <c r="D138" s="899">
        <v>215312.9</v>
      </c>
      <c r="E138" s="899">
        <v>94456.9</v>
      </c>
      <c r="F138" s="899">
        <v>13418.8</v>
      </c>
      <c r="G138" s="899">
        <f>E138-F138</f>
        <v>81038.099999999991</v>
      </c>
      <c r="H138" s="899">
        <v>6921</v>
      </c>
      <c r="I138" s="899">
        <v>317986.2</v>
      </c>
      <c r="J138" s="899">
        <v>78870.600000000006</v>
      </c>
      <c r="K138" s="899">
        <v>28.8</v>
      </c>
      <c r="L138" s="899">
        <v>0</v>
      </c>
      <c r="M138" s="899">
        <f>I138+J138+K138+L138</f>
        <v>396885.60000000003</v>
      </c>
      <c r="N138" s="899">
        <v>2092.6</v>
      </c>
      <c r="O138" s="899">
        <v>0</v>
      </c>
      <c r="P138" s="899">
        <v>0</v>
      </c>
      <c r="Q138" s="899">
        <v>0</v>
      </c>
      <c r="R138" s="899">
        <v>0</v>
      </c>
      <c r="S138" s="899">
        <v>160202.29999999999</v>
      </c>
      <c r="T138" s="899">
        <v>-12181.8</v>
      </c>
    </row>
    <row r="139" spans="1:23" s="760" customFormat="1" ht="11.25" customHeight="1" x14ac:dyDescent="0.2">
      <c r="A139" s="1411" t="s">
        <v>2505</v>
      </c>
      <c r="B139" s="758" t="s">
        <v>550</v>
      </c>
      <c r="C139" s="898">
        <v>293991.7</v>
      </c>
      <c r="D139" s="898">
        <v>226621</v>
      </c>
      <c r="E139" s="898">
        <v>87500.4</v>
      </c>
      <c r="F139" s="898">
        <v>13151.9</v>
      </c>
      <c r="G139" s="898">
        <f>E139-F139</f>
        <v>74348.5</v>
      </c>
      <c r="H139" s="898">
        <v>6959.6</v>
      </c>
      <c r="I139" s="898">
        <v>324728.5</v>
      </c>
      <c r="J139" s="898">
        <v>86435.5</v>
      </c>
      <c r="K139" s="898">
        <v>46.9</v>
      </c>
      <c r="L139" s="898">
        <v>0</v>
      </c>
      <c r="M139" s="898">
        <f>I139+J139+K139+L139</f>
        <v>411210.9</v>
      </c>
      <c r="N139" s="898">
        <v>2324.4</v>
      </c>
      <c r="O139" s="898">
        <v>0</v>
      </c>
      <c r="P139" s="898">
        <v>0</v>
      </c>
      <c r="Q139" s="898">
        <v>0</v>
      </c>
      <c r="R139" s="898">
        <v>0</v>
      </c>
      <c r="S139" s="898">
        <v>145048.70000000001</v>
      </c>
      <c r="T139" s="898">
        <v>43336.800000000003</v>
      </c>
    </row>
    <row r="140" spans="1:23" s="760" customFormat="1" ht="11.25" customHeight="1" x14ac:dyDescent="0.2">
      <c r="A140" s="1410" t="s">
        <v>2737</v>
      </c>
      <c r="B140" s="758" t="s">
        <v>552</v>
      </c>
      <c r="C140" s="898">
        <v>284285.5</v>
      </c>
      <c r="D140" s="898">
        <v>211391.5</v>
      </c>
      <c r="E140" s="898">
        <v>88808.6</v>
      </c>
      <c r="F140" s="898">
        <v>13223.4</v>
      </c>
      <c r="G140" s="898">
        <f t="shared" ref="G140:G145" si="11">E140-F140</f>
        <v>75585.200000000012</v>
      </c>
      <c r="H140" s="898">
        <v>7237.4</v>
      </c>
      <c r="I140" s="898">
        <v>313334.5</v>
      </c>
      <c r="J140" s="898">
        <v>83709.5</v>
      </c>
      <c r="K140" s="898">
        <v>26.8</v>
      </c>
      <c r="L140" s="898">
        <v>0</v>
      </c>
      <c r="M140" s="898">
        <f t="shared" ref="M140:M145" si="12">I140+J140+K140+L140</f>
        <v>397070.8</v>
      </c>
      <c r="N140" s="898">
        <v>2278</v>
      </c>
      <c r="O140" s="898">
        <v>0</v>
      </c>
      <c r="P140" s="898">
        <v>0</v>
      </c>
      <c r="Q140" s="898">
        <v>0</v>
      </c>
      <c r="R140" s="898">
        <v>0</v>
      </c>
      <c r="S140" s="898">
        <v>144310.39999999999</v>
      </c>
      <c r="T140" s="898">
        <v>34840.400000000001</v>
      </c>
      <c r="W140" s="1582"/>
    </row>
    <row r="141" spans="1:23" s="760" customFormat="1" ht="11.25" customHeight="1" x14ac:dyDescent="0.2">
      <c r="A141" s="1410" t="s">
        <v>2737</v>
      </c>
      <c r="B141" s="759" t="s">
        <v>553</v>
      </c>
      <c r="C141" s="899">
        <v>289617.3</v>
      </c>
      <c r="D141" s="899">
        <v>196242.4</v>
      </c>
      <c r="E141" s="899">
        <v>78516.3</v>
      </c>
      <c r="F141" s="899">
        <v>14418.3</v>
      </c>
      <c r="G141" s="899">
        <f t="shared" si="11"/>
        <v>64098</v>
      </c>
      <c r="H141" s="899">
        <v>6962.8</v>
      </c>
      <c r="I141" s="899">
        <v>305011.8</v>
      </c>
      <c r="J141" s="899">
        <v>83479.399999999994</v>
      </c>
      <c r="K141" s="899">
        <v>33.299999999999997</v>
      </c>
      <c r="L141" s="899">
        <v>0</v>
      </c>
      <c r="M141" s="899">
        <f t="shared" si="12"/>
        <v>388524.49999999994</v>
      </c>
      <c r="N141" s="899">
        <v>1869.5</v>
      </c>
      <c r="O141" s="899">
        <v>0</v>
      </c>
      <c r="P141" s="899">
        <v>0</v>
      </c>
      <c r="Q141" s="899">
        <v>0</v>
      </c>
      <c r="R141" s="899">
        <v>0</v>
      </c>
      <c r="S141" s="899">
        <v>146309.70000000001</v>
      </c>
      <c r="T141" s="899">
        <v>20216.8</v>
      </c>
      <c r="W141" s="1582"/>
    </row>
    <row r="142" spans="1:23" s="747" customFormat="1" ht="11.25" customHeight="1" x14ac:dyDescent="0.2">
      <c r="A142" s="1410" t="s">
        <v>2737</v>
      </c>
      <c r="B142" s="758" t="s">
        <v>547</v>
      </c>
      <c r="C142" s="898">
        <v>302125.59999999998</v>
      </c>
      <c r="D142" s="898">
        <v>183101.9</v>
      </c>
      <c r="E142" s="898">
        <v>85386.9</v>
      </c>
      <c r="F142" s="898">
        <v>17085.900000000001</v>
      </c>
      <c r="G142" s="898">
        <f t="shared" si="11"/>
        <v>68301</v>
      </c>
      <c r="H142" s="898">
        <v>6969.5</v>
      </c>
      <c r="I142" s="898">
        <v>301494.40000000002</v>
      </c>
      <c r="J142" s="898">
        <v>84691.8</v>
      </c>
      <c r="K142" s="898">
        <v>18.7</v>
      </c>
      <c r="L142" s="898">
        <v>0</v>
      </c>
      <c r="M142" s="898">
        <f t="shared" si="12"/>
        <v>386204.9</v>
      </c>
      <c r="N142" s="898">
        <v>1788.6</v>
      </c>
      <c r="O142" s="898">
        <v>0</v>
      </c>
      <c r="P142" s="898">
        <v>0</v>
      </c>
      <c r="Q142" s="898">
        <v>0</v>
      </c>
      <c r="R142" s="898">
        <v>0</v>
      </c>
      <c r="S142" s="898">
        <v>150933.9</v>
      </c>
      <c r="T142" s="898">
        <v>21570.6</v>
      </c>
      <c r="V142" s="760"/>
      <c r="W142" s="1582"/>
    </row>
    <row r="143" spans="1:23" s="747" customFormat="1" ht="11.25" customHeight="1" x14ac:dyDescent="0.2">
      <c r="A143" s="1410" t="s">
        <v>2737</v>
      </c>
      <c r="B143" s="759" t="s">
        <v>554</v>
      </c>
      <c r="C143" s="899">
        <v>305459.59999999998</v>
      </c>
      <c r="D143" s="899">
        <v>176701.7</v>
      </c>
      <c r="E143" s="899">
        <v>87268.800000000003</v>
      </c>
      <c r="F143" s="899">
        <v>19020</v>
      </c>
      <c r="G143" s="899">
        <f t="shared" si="11"/>
        <v>68248.800000000003</v>
      </c>
      <c r="H143" s="899">
        <v>6984.6</v>
      </c>
      <c r="I143" s="899">
        <v>296761.40000000002</v>
      </c>
      <c r="J143" s="899">
        <v>82112.399999999994</v>
      </c>
      <c r="K143" s="899">
        <v>14.6</v>
      </c>
      <c r="L143" s="899">
        <v>0</v>
      </c>
      <c r="M143" s="899">
        <f t="shared" si="12"/>
        <v>378888.4</v>
      </c>
      <c r="N143" s="899">
        <v>1527.6</v>
      </c>
      <c r="O143" s="899">
        <v>0</v>
      </c>
      <c r="P143" s="899">
        <v>0</v>
      </c>
      <c r="Q143" s="899">
        <v>0</v>
      </c>
      <c r="R143" s="899">
        <v>0</v>
      </c>
      <c r="S143" s="899">
        <v>154608.6</v>
      </c>
      <c r="T143" s="899">
        <v>22370.1</v>
      </c>
      <c r="V143" s="760"/>
      <c r="W143" s="1582"/>
    </row>
    <row r="144" spans="1:23" ht="11.25" customHeight="1" x14ac:dyDescent="0.25">
      <c r="A144" s="1410" t="s">
        <v>2737</v>
      </c>
      <c r="B144" s="758" t="s">
        <v>555</v>
      </c>
      <c r="C144" s="898">
        <v>301884.2</v>
      </c>
      <c r="D144" s="898">
        <v>188546.3</v>
      </c>
      <c r="E144" s="898">
        <v>106122.4</v>
      </c>
      <c r="F144" s="898">
        <v>19802.2</v>
      </c>
      <c r="G144" s="898">
        <f t="shared" si="11"/>
        <v>86320.2</v>
      </c>
      <c r="H144" s="898">
        <v>7001.5</v>
      </c>
      <c r="I144" s="898">
        <v>297779</v>
      </c>
      <c r="J144" s="898">
        <v>105548.1</v>
      </c>
      <c r="K144" s="898">
        <v>18.399999999999999</v>
      </c>
      <c r="L144" s="898">
        <v>0</v>
      </c>
      <c r="M144" s="898">
        <f t="shared" si="12"/>
        <v>403345.5</v>
      </c>
      <c r="N144" s="898">
        <v>2009.8</v>
      </c>
      <c r="O144" s="898">
        <v>0</v>
      </c>
      <c r="P144" s="898">
        <v>0</v>
      </c>
      <c r="Q144" s="898">
        <v>0</v>
      </c>
      <c r="R144" s="898">
        <v>0</v>
      </c>
      <c r="S144" s="898">
        <v>157588.1</v>
      </c>
      <c r="T144" s="898">
        <v>20808.8</v>
      </c>
      <c r="V144" s="760"/>
      <c r="W144" s="1582"/>
    </row>
    <row r="145" spans="1:23" s="1034" customFormat="1" ht="11.25" customHeight="1" x14ac:dyDescent="0.25">
      <c r="A145" s="1410" t="s">
        <v>2737</v>
      </c>
      <c r="B145" s="759" t="s">
        <v>548</v>
      </c>
      <c r="C145" s="899">
        <v>317802.09999999998</v>
      </c>
      <c r="D145" s="899">
        <v>214761.3</v>
      </c>
      <c r="E145" s="899">
        <v>102792.8</v>
      </c>
      <c r="F145" s="899">
        <v>20480.599999999999</v>
      </c>
      <c r="G145" s="899">
        <f t="shared" si="11"/>
        <v>82312.200000000012</v>
      </c>
      <c r="H145" s="899">
        <v>7067</v>
      </c>
      <c r="I145" s="899">
        <v>303257.40000000002</v>
      </c>
      <c r="J145" s="899">
        <v>131038.1</v>
      </c>
      <c r="K145" s="899">
        <v>18</v>
      </c>
      <c r="L145" s="899">
        <v>0</v>
      </c>
      <c r="M145" s="899">
        <f t="shared" si="12"/>
        <v>434313.5</v>
      </c>
      <c r="N145" s="899">
        <v>1693.8</v>
      </c>
      <c r="O145" s="899">
        <v>0</v>
      </c>
      <c r="P145" s="899">
        <v>0</v>
      </c>
      <c r="Q145" s="899">
        <v>0</v>
      </c>
      <c r="R145" s="899">
        <v>0</v>
      </c>
      <c r="S145" s="899">
        <v>162064.9</v>
      </c>
      <c r="T145" s="899">
        <v>23870.400000000001</v>
      </c>
      <c r="V145" s="760"/>
      <c r="W145" s="1582"/>
    </row>
    <row r="146" spans="1:23" ht="11.25" customHeight="1" x14ac:dyDescent="0.25">
      <c r="A146" s="1410" t="s">
        <v>2737</v>
      </c>
      <c r="B146" s="758" t="s">
        <v>556</v>
      </c>
      <c r="C146" s="898">
        <v>327284</v>
      </c>
      <c r="D146" s="898">
        <v>201976.4</v>
      </c>
      <c r="E146" s="898">
        <v>95131.3</v>
      </c>
      <c r="F146" s="898">
        <v>21127.8</v>
      </c>
      <c r="G146" s="898">
        <v>74003.5</v>
      </c>
      <c r="H146" s="898">
        <v>7054.6</v>
      </c>
      <c r="I146" s="898">
        <v>310150.8</v>
      </c>
      <c r="J146" s="898">
        <v>105751.8</v>
      </c>
      <c r="K146" s="898">
        <v>37.4</v>
      </c>
      <c r="L146" s="898">
        <v>0</v>
      </c>
      <c r="M146" s="898">
        <v>415940</v>
      </c>
      <c r="N146" s="898">
        <v>3680.7</v>
      </c>
      <c r="O146" s="898">
        <v>0</v>
      </c>
      <c r="P146" s="898">
        <v>0</v>
      </c>
      <c r="Q146" s="898">
        <v>0</v>
      </c>
      <c r="R146" s="898">
        <v>0</v>
      </c>
      <c r="S146" s="898">
        <v>171897.60000000001</v>
      </c>
      <c r="T146" s="898">
        <v>188002</v>
      </c>
      <c r="V146" s="760"/>
      <c r="W146" s="1582"/>
    </row>
    <row r="147" spans="1:23" ht="11.25" customHeight="1" thickBot="1" x14ac:dyDescent="0.3">
      <c r="A147" s="1410" t="s">
        <v>2737</v>
      </c>
      <c r="B147" s="1628" t="s">
        <v>557</v>
      </c>
      <c r="C147" s="1629">
        <v>342571.3</v>
      </c>
      <c r="D147" s="1629">
        <v>198545.2</v>
      </c>
      <c r="E147" s="1629">
        <v>91318.2</v>
      </c>
      <c r="F147" s="1629">
        <v>22724.1</v>
      </c>
      <c r="G147" s="1629">
        <v>6859.4100000000008</v>
      </c>
      <c r="H147" s="1629">
        <v>7074.2</v>
      </c>
      <c r="I147" s="1629">
        <v>315910.7</v>
      </c>
      <c r="J147" s="1629">
        <v>106653.6</v>
      </c>
      <c r="K147" s="1629">
        <v>35.700000000000003</v>
      </c>
      <c r="L147" s="1629">
        <v>0</v>
      </c>
      <c r="M147" s="1629">
        <v>422600</v>
      </c>
      <c r="N147" s="1629">
        <v>2625.7</v>
      </c>
      <c r="O147" s="1629">
        <v>0</v>
      </c>
      <c r="P147" s="1629">
        <v>0</v>
      </c>
      <c r="Q147" s="1629">
        <v>0</v>
      </c>
      <c r="R147" s="1629">
        <v>0</v>
      </c>
      <c r="S147" s="1629">
        <v>173110.9</v>
      </c>
      <c r="T147" s="1629">
        <v>18448.2</v>
      </c>
    </row>
    <row r="148" spans="1:23" x14ac:dyDescent="0.25">
      <c r="A148" s="632" t="s">
        <v>16</v>
      </c>
      <c r="B148" s="632"/>
      <c r="C148" s="633" t="s">
        <v>1206</v>
      </c>
      <c r="D148" s="633"/>
      <c r="H148" s="636" t="s">
        <v>1294</v>
      </c>
      <c r="I148" s="747"/>
      <c r="J148" s="420"/>
      <c r="K148" s="747"/>
      <c r="L148" s="747"/>
      <c r="M148" s="747"/>
      <c r="N148" s="747"/>
      <c r="O148" s="747"/>
      <c r="P148" s="747"/>
      <c r="Q148" s="747"/>
      <c r="R148" s="747"/>
      <c r="S148" s="747"/>
      <c r="T148" s="747"/>
    </row>
    <row r="149" spans="1:23" ht="13.5" customHeight="1" x14ac:dyDescent="0.25">
      <c r="A149" s="1034"/>
      <c r="B149" s="1034"/>
      <c r="C149" s="1299"/>
      <c r="D149" s="729"/>
      <c r="E149" s="729"/>
      <c r="F149" s="729"/>
      <c r="G149" s="1031"/>
      <c r="H149" s="1031"/>
      <c r="I149" s="1031"/>
      <c r="J149" s="1031"/>
      <c r="K149" s="1031"/>
      <c r="L149" s="1480"/>
      <c r="M149" s="1034"/>
      <c r="N149" s="729"/>
      <c r="O149" s="522"/>
      <c r="P149" s="729"/>
      <c r="Q149" s="522"/>
      <c r="R149" s="522"/>
      <c r="S149" s="729"/>
      <c r="T149" s="729"/>
    </row>
    <row r="150" spans="1:23" hidden="1" x14ac:dyDescent="0.25">
      <c r="C150" s="902"/>
      <c r="D150" s="902"/>
      <c r="E150" s="902"/>
      <c r="F150" s="902"/>
      <c r="G150" s="902"/>
      <c r="H150" s="902"/>
      <c r="I150" s="902"/>
      <c r="J150" s="902"/>
      <c r="K150" s="902"/>
      <c r="L150" s="902"/>
      <c r="M150" s="902"/>
      <c r="N150" s="902"/>
      <c r="O150" s="902"/>
      <c r="P150" s="902"/>
      <c r="Q150" s="902"/>
      <c r="R150" s="902"/>
      <c r="S150" s="902"/>
      <c r="T150" s="902"/>
    </row>
    <row r="151" spans="1:23" x14ac:dyDescent="0.25">
      <c r="C151" s="902"/>
      <c r="D151" s="902"/>
      <c r="E151" s="902"/>
      <c r="F151" s="902"/>
      <c r="G151" s="902"/>
      <c r="H151" s="902"/>
      <c r="I151" s="902"/>
      <c r="J151" s="902"/>
      <c r="K151" s="902"/>
      <c r="L151" s="902"/>
      <c r="M151" s="902"/>
      <c r="N151" s="902"/>
      <c r="O151" s="902"/>
      <c r="P151" s="902"/>
      <c r="Q151" s="902"/>
      <c r="R151" s="902"/>
      <c r="S151" s="902"/>
      <c r="T151" s="902"/>
    </row>
    <row r="152" spans="1:23" x14ac:dyDescent="0.25">
      <c r="C152" s="957"/>
      <c r="D152" s="957"/>
      <c r="E152" s="957"/>
      <c r="F152" s="957"/>
      <c r="G152" s="957"/>
      <c r="H152" s="957"/>
      <c r="I152" s="902"/>
      <c r="J152" s="957"/>
      <c r="K152" s="957"/>
      <c r="L152" s="957"/>
      <c r="N152" s="957"/>
      <c r="O152" s="957"/>
      <c r="P152" s="957"/>
      <c r="Q152" s="957"/>
      <c r="R152" s="957"/>
      <c r="S152" s="957"/>
      <c r="T152" s="957"/>
      <c r="U152" s="1374"/>
    </row>
    <row r="153" spans="1:23" x14ac:dyDescent="0.25">
      <c r="C153" s="957"/>
      <c r="D153" s="957"/>
      <c r="E153" s="957"/>
      <c r="F153" s="957"/>
      <c r="G153" s="957"/>
      <c r="H153" s="957"/>
      <c r="I153" s="957"/>
      <c r="J153" s="957"/>
      <c r="K153" s="957"/>
      <c r="L153" s="957"/>
      <c r="N153" s="957"/>
      <c r="O153" s="957"/>
      <c r="P153" s="957"/>
      <c r="Q153" s="957"/>
      <c r="R153" s="957"/>
      <c r="S153" s="957"/>
      <c r="T153" s="957"/>
      <c r="U153" s="1374"/>
    </row>
    <row r="154" spans="1:23" x14ac:dyDescent="0.25">
      <c r="C154" s="1374"/>
      <c r="D154" s="1374"/>
      <c r="E154" s="1374"/>
      <c r="F154" s="1374"/>
      <c r="G154" s="1374"/>
      <c r="H154" s="1374"/>
      <c r="I154" s="1374"/>
      <c r="J154" s="1374"/>
      <c r="K154" s="1374"/>
      <c r="L154" s="1374"/>
      <c r="M154" s="1374"/>
      <c r="N154" s="1374"/>
      <c r="O154" s="1374"/>
      <c r="P154" s="1374"/>
      <c r="Q154" s="1374"/>
      <c r="R154" s="1374"/>
      <c r="S154" s="1374"/>
      <c r="T154" s="1374"/>
    </row>
    <row r="155" spans="1:23" x14ac:dyDescent="0.25">
      <c r="C155" s="1374"/>
      <c r="D155" s="1374"/>
      <c r="E155" s="1374"/>
      <c r="F155" s="1374"/>
      <c r="G155" s="1374"/>
      <c r="H155" s="1374"/>
      <c r="I155" s="1374"/>
      <c r="J155" s="1374"/>
      <c r="K155" s="1374"/>
      <c r="L155" s="1374"/>
      <c r="N155" s="1374"/>
      <c r="O155" s="1374"/>
      <c r="P155" s="1374"/>
      <c r="Q155" s="1374"/>
      <c r="R155" s="1374"/>
      <c r="S155" s="1374"/>
      <c r="T155" s="1374"/>
    </row>
    <row r="156" spans="1:23" x14ac:dyDescent="0.25">
      <c r="C156" s="1374"/>
      <c r="D156" s="1374"/>
      <c r="E156" s="1374"/>
      <c r="F156" s="1374"/>
      <c r="G156" s="1374"/>
      <c r="H156" s="1374"/>
      <c r="I156" s="1374"/>
      <c r="J156" s="1374"/>
      <c r="K156" s="1374"/>
      <c r="L156" s="1374"/>
      <c r="N156" s="1374"/>
      <c r="O156" s="1374"/>
      <c r="P156" s="1374"/>
      <c r="Q156" s="1374"/>
      <c r="R156" s="1374"/>
      <c r="S156" s="1374"/>
      <c r="T156" s="1374"/>
    </row>
    <row r="157" spans="1:23" x14ac:dyDescent="0.25">
      <c r="C157" s="902"/>
      <c r="D157" s="902"/>
      <c r="E157" s="902"/>
      <c r="F157" s="902"/>
      <c r="G157" s="902"/>
      <c r="H157" s="902"/>
      <c r="I157" s="902"/>
      <c r="J157" s="902"/>
      <c r="K157" s="902"/>
      <c r="L157" s="902"/>
      <c r="M157" s="902"/>
      <c r="N157" s="902"/>
      <c r="O157" s="902"/>
      <c r="P157" s="902"/>
      <c r="Q157" s="902"/>
      <c r="R157" s="902"/>
      <c r="S157" s="902"/>
      <c r="T157" s="902"/>
    </row>
    <row r="158" spans="1:23" x14ac:dyDescent="0.25">
      <c r="C158" s="902"/>
      <c r="D158" s="902"/>
      <c r="E158" s="902"/>
      <c r="F158" s="902"/>
      <c r="G158" s="902"/>
      <c r="H158" s="902"/>
      <c r="I158" s="902"/>
      <c r="J158" s="902"/>
      <c r="K158" s="902"/>
      <c r="L158" s="902"/>
      <c r="M158" s="902"/>
      <c r="N158" s="902"/>
      <c r="O158" s="902"/>
      <c r="P158" s="902"/>
      <c r="Q158" s="902"/>
      <c r="R158" s="902"/>
      <c r="T158" s="1521"/>
    </row>
    <row r="159" spans="1:23" x14ac:dyDescent="0.25">
      <c r="E159" s="988"/>
      <c r="F159" s="902"/>
      <c r="G159" s="988"/>
      <c r="H159" s="988"/>
      <c r="I159" s="988"/>
      <c r="J159" s="988"/>
      <c r="K159" s="988"/>
      <c r="L159" s="902"/>
      <c r="N159" s="636"/>
      <c r="O159" s="636"/>
      <c r="P159" s="636"/>
      <c r="Q159" s="636"/>
    </row>
    <row r="160" spans="1:23" x14ac:dyDescent="0.25">
      <c r="E160" s="988"/>
      <c r="F160" s="902"/>
      <c r="G160" s="988"/>
      <c r="H160" s="988"/>
      <c r="I160" s="988"/>
      <c r="J160" s="988"/>
      <c r="K160" s="988"/>
      <c r="L160" s="902"/>
      <c r="N160" s="636"/>
      <c r="O160" s="636"/>
      <c r="P160" s="636"/>
      <c r="Q160" s="636"/>
    </row>
    <row r="161" spans="5:17" x14ac:dyDescent="0.25">
      <c r="E161" s="988"/>
      <c r="F161" s="902"/>
      <c r="G161" s="988"/>
      <c r="H161" s="988"/>
      <c r="I161" s="988"/>
      <c r="J161" s="988"/>
      <c r="K161" s="988"/>
      <c r="L161" s="902"/>
      <c r="N161" s="636"/>
      <c r="O161" s="636"/>
      <c r="P161" s="636"/>
      <c r="Q161" s="636"/>
    </row>
    <row r="162" spans="5:17" x14ac:dyDescent="0.25">
      <c r="E162" s="988"/>
      <c r="F162" s="902"/>
      <c r="G162" s="988"/>
      <c r="H162" s="988"/>
      <c r="I162" s="988"/>
      <c r="J162" s="988"/>
      <c r="K162" s="988"/>
      <c r="L162" s="902"/>
      <c r="N162" s="636"/>
      <c r="O162" s="636"/>
      <c r="P162" s="636"/>
      <c r="Q162" s="636"/>
    </row>
    <row r="163" spans="5:17" x14ac:dyDescent="0.25">
      <c r="E163" s="988"/>
      <c r="F163" s="902"/>
      <c r="G163" s="988"/>
      <c r="H163" s="988"/>
      <c r="I163" s="988"/>
      <c r="J163" s="988"/>
      <c r="K163" s="988"/>
      <c r="L163" s="902"/>
      <c r="N163" s="636"/>
      <c r="O163" s="636"/>
      <c r="P163" s="636"/>
      <c r="Q163" s="636"/>
    </row>
    <row r="164" spans="5:17" x14ac:dyDescent="0.25">
      <c r="E164" s="988"/>
      <c r="F164" s="902"/>
      <c r="G164" s="988"/>
      <c r="H164" s="988"/>
      <c r="I164" s="988"/>
      <c r="J164" s="988"/>
      <c r="K164" s="988"/>
      <c r="L164" s="902"/>
      <c r="N164" s="636"/>
      <c r="O164" s="636"/>
      <c r="P164" s="636"/>
      <c r="Q164" s="636"/>
    </row>
    <row r="165" spans="5:17" x14ac:dyDescent="0.25">
      <c r="E165" s="988"/>
      <c r="F165" s="902"/>
      <c r="G165" s="988"/>
      <c r="H165" s="988"/>
      <c r="I165" s="988"/>
      <c r="J165" s="988"/>
      <c r="K165" s="988"/>
      <c r="L165" s="902"/>
      <c r="N165" s="636"/>
      <c r="O165" s="636"/>
      <c r="P165" s="636"/>
      <c r="Q165" s="636"/>
    </row>
    <row r="166" spans="5:17" x14ac:dyDescent="0.25">
      <c r="E166" s="988"/>
      <c r="F166" s="902"/>
      <c r="G166" s="988"/>
      <c r="H166" s="988"/>
      <c r="I166" s="988"/>
      <c r="J166" s="988"/>
      <c r="K166" s="988"/>
      <c r="L166" s="902"/>
      <c r="N166" s="636"/>
      <c r="O166" s="636"/>
      <c r="P166" s="636"/>
      <c r="Q166" s="636"/>
    </row>
    <row r="167" spans="5:17" x14ac:dyDescent="0.25">
      <c r="E167" s="988"/>
      <c r="F167" s="902"/>
      <c r="G167" s="988"/>
      <c r="H167" s="988"/>
      <c r="I167" s="988"/>
      <c r="J167" s="988"/>
      <c r="K167" s="988"/>
      <c r="L167" s="902"/>
      <c r="N167" s="636"/>
      <c r="O167" s="636"/>
      <c r="P167" s="636"/>
      <c r="Q167" s="636"/>
    </row>
    <row r="168" spans="5:17" x14ac:dyDescent="0.25">
      <c r="E168" s="988"/>
      <c r="F168" s="902"/>
      <c r="G168" s="988"/>
      <c r="H168" s="988"/>
      <c r="I168" s="988"/>
      <c r="J168" s="988"/>
      <c r="K168" s="988"/>
      <c r="L168" s="902"/>
      <c r="N168" s="636"/>
      <c r="O168" s="636"/>
      <c r="P168" s="636"/>
      <c r="Q168" s="636"/>
    </row>
  </sheetData>
  <customSheetViews>
    <customSheetView guid="{A374FC54-96E3-45F0-9C12-8450400C12DF}" scale="120">
      <pane xSplit="1" ySplit="5" topLeftCell="E33" activePane="bottomRight" state="frozen"/>
      <selection pane="bottomRight" activeCell="H40" sqref="H40"/>
      <pageMargins left="0.45" right="0.45" top="0.75" bottom="0.75" header="0.3" footer="0.3"/>
      <pageSetup paperSize="132" firstPageNumber="104" orientation="portrait" useFirstPageNumber="1" r:id="rId1"/>
      <headerFooter>
        <oddFooter>&amp;C&amp;"Times New Roman,Regular"&amp;8&amp;P</oddFooter>
      </headerFooter>
    </customSheetView>
  </customSheetViews>
  <mergeCells count="16">
    <mergeCell ref="F1:J1"/>
    <mergeCell ref="K1:L1"/>
    <mergeCell ref="C3:C4"/>
    <mergeCell ref="D3:D4"/>
    <mergeCell ref="E3:G3"/>
    <mergeCell ref="I3:M3"/>
    <mergeCell ref="H3:H4"/>
    <mergeCell ref="N3:N4"/>
    <mergeCell ref="O3:O4"/>
    <mergeCell ref="P3:P4"/>
    <mergeCell ref="T3:T4"/>
    <mergeCell ref="S1:T1"/>
    <mergeCell ref="S2:T2"/>
    <mergeCell ref="S3:S4"/>
    <mergeCell ref="Q3:Q4"/>
    <mergeCell ref="R3:R4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R274"/>
  <sheetViews>
    <sheetView zoomScale="130" zoomScaleNormal="130" workbookViewId="0">
      <pane xSplit="1" ySplit="6" topLeftCell="D7" activePane="bottomRight" state="frozen"/>
      <selection pane="topRight" activeCell="B1" sqref="B1"/>
      <selection pane="bottomLeft" activeCell="A7" sqref="A7"/>
      <selection pane="bottomRight" activeCell="R4" sqref="R4:R5"/>
    </sheetView>
  </sheetViews>
  <sheetFormatPr defaultRowHeight="15" x14ac:dyDescent="0.25"/>
  <cols>
    <col min="1" max="1" width="6.85546875" style="630" customWidth="1"/>
    <col min="2" max="2" width="8.28515625" style="630" bestFit="1" customWidth="1"/>
    <col min="3" max="3" width="8.140625" style="630" customWidth="1"/>
    <col min="4" max="4" width="9.7109375" style="630" customWidth="1"/>
    <col min="5" max="5" width="8" style="630" customWidth="1"/>
    <col min="6" max="6" width="9.42578125" style="630" customWidth="1"/>
    <col min="7" max="7" width="9.85546875" style="630" customWidth="1"/>
    <col min="8" max="8" width="7.5703125" style="630" customWidth="1"/>
    <col min="9" max="9" width="7.85546875" style="630" customWidth="1"/>
    <col min="10" max="11" width="10.140625" style="630" customWidth="1"/>
    <col min="12" max="12" width="11" style="630" customWidth="1"/>
    <col min="13" max="13" width="10.5703125" style="630" customWidth="1"/>
    <col min="14" max="14" width="8.140625" style="630" customWidth="1"/>
    <col min="15" max="16" width="7.42578125" style="630" customWidth="1"/>
    <col min="17" max="17" width="9" style="630" customWidth="1"/>
    <col min="18" max="18" width="9.140625" style="630" customWidth="1"/>
    <col min="19" max="16384" width="9.140625" style="630"/>
  </cols>
  <sheetData>
    <row r="1" spans="1:18" ht="1.5" customHeight="1" x14ac:dyDescent="0.25"/>
    <row r="2" spans="1:18" s="1275" customFormat="1" ht="15.75" customHeight="1" x14ac:dyDescent="0.2">
      <c r="A2" s="1372"/>
      <c r="B2" s="1372"/>
      <c r="C2" s="1373"/>
      <c r="D2" s="1373"/>
      <c r="E2" s="963"/>
      <c r="F2" s="963"/>
      <c r="G2" s="963"/>
      <c r="H2" s="2918" t="s">
        <v>2001</v>
      </c>
      <c r="I2" s="2918"/>
      <c r="J2" s="2918"/>
      <c r="K2" s="2925" t="s">
        <v>2000</v>
      </c>
      <c r="L2" s="2925"/>
      <c r="M2" s="2925"/>
      <c r="N2" s="2925"/>
      <c r="O2" s="1373"/>
      <c r="P2" s="1373"/>
      <c r="Q2" s="2919" t="s">
        <v>1852</v>
      </c>
      <c r="R2" s="2919"/>
    </row>
    <row r="3" spans="1:18" ht="12" customHeight="1" x14ac:dyDescent="0.25">
      <c r="Q3" s="2920" t="s">
        <v>24</v>
      </c>
      <c r="R3" s="2920"/>
    </row>
    <row r="4" spans="1:18" s="864" customFormat="1" ht="15" customHeight="1" x14ac:dyDescent="0.2">
      <c r="A4" s="2921" t="s">
        <v>468</v>
      </c>
      <c r="B4" s="1705"/>
      <c r="C4" s="2912" t="s">
        <v>475</v>
      </c>
      <c r="D4" s="2924" t="s">
        <v>1372</v>
      </c>
      <c r="E4" s="2924"/>
      <c r="F4" s="2924"/>
      <c r="G4" s="2924" t="s">
        <v>1999</v>
      </c>
      <c r="H4" s="2924"/>
      <c r="I4" s="2924"/>
      <c r="J4" s="2924"/>
      <c r="K4" s="2924"/>
      <c r="L4" s="2912" t="s">
        <v>1399</v>
      </c>
      <c r="M4" s="2352" t="s">
        <v>1400</v>
      </c>
      <c r="N4" s="2352" t="s">
        <v>1367</v>
      </c>
      <c r="O4" s="2907" t="s">
        <v>1368</v>
      </c>
      <c r="P4" s="2352" t="s">
        <v>1388</v>
      </c>
      <c r="Q4" s="2352" t="s">
        <v>1370</v>
      </c>
      <c r="R4" s="2352" t="s">
        <v>1377</v>
      </c>
    </row>
    <row r="5" spans="1:18" s="864" customFormat="1" ht="58.5" customHeight="1" x14ac:dyDescent="0.2">
      <c r="A5" s="2922"/>
      <c r="B5" s="1706" t="s">
        <v>3067</v>
      </c>
      <c r="C5" s="2913"/>
      <c r="D5" s="1242" t="s">
        <v>1373</v>
      </c>
      <c r="E5" s="1478" t="s">
        <v>1374</v>
      </c>
      <c r="F5" s="1478" t="s">
        <v>1382</v>
      </c>
      <c r="G5" s="1478" t="s">
        <v>1375</v>
      </c>
      <c r="H5" s="1478" t="s">
        <v>1397</v>
      </c>
      <c r="I5" s="1478" t="s">
        <v>1376</v>
      </c>
      <c r="J5" s="1478" t="s">
        <v>1398</v>
      </c>
      <c r="K5" s="1478" t="s">
        <v>1381</v>
      </c>
      <c r="L5" s="2913"/>
      <c r="M5" s="2352"/>
      <c r="N5" s="2352"/>
      <c r="O5" s="2907"/>
      <c r="P5" s="2352"/>
      <c r="Q5" s="2352"/>
      <c r="R5" s="2352"/>
    </row>
    <row r="6" spans="1:18" s="864" customFormat="1" x14ac:dyDescent="0.2">
      <c r="A6" s="2923"/>
      <c r="B6" s="1717"/>
      <c r="C6" s="1242">
        <v>1</v>
      </c>
      <c r="D6" s="1478">
        <v>2</v>
      </c>
      <c r="E6" s="1478">
        <v>3</v>
      </c>
      <c r="F6" s="1478">
        <v>4</v>
      </c>
      <c r="G6" s="1478">
        <v>5</v>
      </c>
      <c r="H6" s="1478">
        <v>6</v>
      </c>
      <c r="I6" s="1478">
        <v>7</v>
      </c>
      <c r="J6" s="1478">
        <v>8</v>
      </c>
      <c r="K6" s="1478">
        <v>9</v>
      </c>
      <c r="L6" s="1478">
        <v>10</v>
      </c>
      <c r="M6" s="1478">
        <v>11</v>
      </c>
      <c r="N6" s="1478">
        <v>12</v>
      </c>
      <c r="O6" s="1478">
        <v>13</v>
      </c>
      <c r="P6" s="1478">
        <v>14</v>
      </c>
      <c r="Q6" s="1478">
        <v>15</v>
      </c>
      <c r="R6" s="1478">
        <v>16</v>
      </c>
    </row>
    <row r="7" spans="1:18" s="864" customFormat="1" ht="13.5" customHeight="1" x14ac:dyDescent="0.2">
      <c r="A7" s="1269" t="s">
        <v>1296</v>
      </c>
      <c r="B7" s="1269"/>
      <c r="C7" s="1045">
        <v>219839.3</v>
      </c>
      <c r="D7" s="1045">
        <v>317375.09999999998</v>
      </c>
      <c r="E7" s="1045">
        <v>1038405.3</v>
      </c>
      <c r="F7" s="1045">
        <v>1355780.4</v>
      </c>
      <c r="G7" s="1045">
        <v>139383</v>
      </c>
      <c r="H7" s="1045">
        <v>113589.4</v>
      </c>
      <c r="I7" s="1045">
        <v>894292.2</v>
      </c>
      <c r="J7" s="1045">
        <v>226328.5</v>
      </c>
      <c r="K7" s="1045">
        <v>1373593.1</v>
      </c>
      <c r="L7" s="1045">
        <v>466.8</v>
      </c>
      <c r="M7" s="1045">
        <v>1708</v>
      </c>
      <c r="N7" s="1045">
        <v>162.19999999999999</v>
      </c>
      <c r="O7" s="1045">
        <v>0</v>
      </c>
      <c r="P7" s="1045">
        <v>0</v>
      </c>
      <c r="Q7" s="1045">
        <v>149063.6</v>
      </c>
      <c r="R7" s="1045">
        <v>50626</v>
      </c>
    </row>
    <row r="8" spans="1:18" s="864" customFormat="1" ht="13.5" customHeight="1" x14ac:dyDescent="0.2">
      <c r="A8" s="1270" t="s">
        <v>1404</v>
      </c>
      <c r="B8" s="1270"/>
      <c r="C8" s="431">
        <v>220491</v>
      </c>
      <c r="D8" s="431">
        <v>386582.8</v>
      </c>
      <c r="E8" s="431">
        <v>1153197</v>
      </c>
      <c r="F8" s="431">
        <v>1539779.8</v>
      </c>
      <c r="G8" s="431">
        <v>152754.4</v>
      </c>
      <c r="H8" s="431">
        <v>118282.1</v>
      </c>
      <c r="I8" s="431">
        <v>988445.9</v>
      </c>
      <c r="J8" s="431">
        <v>275041.7</v>
      </c>
      <c r="K8" s="431">
        <v>1534524.1</v>
      </c>
      <c r="L8" s="431">
        <v>559.29999999999995</v>
      </c>
      <c r="M8" s="431">
        <v>2074.1999999999998</v>
      </c>
      <c r="N8" s="431">
        <v>215.9</v>
      </c>
      <c r="O8" s="431">
        <v>0</v>
      </c>
      <c r="P8" s="431">
        <v>0</v>
      </c>
      <c r="Q8" s="431">
        <v>153559.5</v>
      </c>
      <c r="R8" s="431">
        <v>69337.8</v>
      </c>
    </row>
    <row r="9" spans="1:18" s="636" customFormat="1" ht="13.5" customHeight="1" x14ac:dyDescent="0.2">
      <c r="A9" s="1269" t="s">
        <v>1484</v>
      </c>
      <c r="B9" s="1269"/>
      <c r="C9" s="419">
        <v>250287.4</v>
      </c>
      <c r="D9" s="419">
        <v>465640.7</v>
      </c>
      <c r="E9" s="419">
        <v>1247986.8999999999</v>
      </c>
      <c r="F9" s="419">
        <v>1713627.5999999999</v>
      </c>
      <c r="G9" s="419">
        <v>190570.5</v>
      </c>
      <c r="H9" s="419">
        <v>135586.20000000001</v>
      </c>
      <c r="I9" s="419">
        <v>1090287</v>
      </c>
      <c r="J9" s="419">
        <v>288223.59999999998</v>
      </c>
      <c r="K9" s="419">
        <v>1704667.2999999998</v>
      </c>
      <c r="L9" s="419">
        <v>1431.1</v>
      </c>
      <c r="M9" s="419">
        <v>2131</v>
      </c>
      <c r="N9" s="419">
        <v>127.3</v>
      </c>
      <c r="O9" s="419">
        <v>0</v>
      </c>
      <c r="P9" s="419">
        <v>0</v>
      </c>
      <c r="Q9" s="419">
        <v>162648.1</v>
      </c>
      <c r="R9" s="419">
        <v>92910.2</v>
      </c>
    </row>
    <row r="10" spans="1:18" s="636" customFormat="1" ht="13.5" customHeight="1" x14ac:dyDescent="0.2">
      <c r="A10" s="1272" t="s">
        <v>1536</v>
      </c>
      <c r="B10" s="1272"/>
      <c r="C10" s="432">
        <v>334673.7</v>
      </c>
      <c r="D10" s="432">
        <v>548617.69999999995</v>
      </c>
      <c r="E10" s="432">
        <v>1349330.6</v>
      </c>
      <c r="F10" s="432">
        <v>1897948.3</v>
      </c>
      <c r="G10" s="432">
        <v>207949.2</v>
      </c>
      <c r="H10" s="432">
        <v>165171.20000000001</v>
      </c>
      <c r="I10" s="432">
        <v>1226821.1000000001</v>
      </c>
      <c r="J10" s="432">
        <v>329302.40000000002</v>
      </c>
      <c r="K10" s="432">
        <v>1929243.9</v>
      </c>
      <c r="L10" s="432">
        <v>1821.9</v>
      </c>
      <c r="M10" s="432">
        <v>2833.2</v>
      </c>
      <c r="N10" s="432">
        <v>147.80000000000001</v>
      </c>
      <c r="O10" s="432">
        <v>0</v>
      </c>
      <c r="P10" s="432">
        <v>0</v>
      </c>
      <c r="Q10" s="432">
        <v>186910.6</v>
      </c>
      <c r="R10" s="432">
        <v>111664.6</v>
      </c>
    </row>
    <row r="11" spans="1:18" s="636" customFormat="1" ht="13.5" customHeight="1" x14ac:dyDescent="0.2">
      <c r="A11" s="1273" t="s">
        <v>1817</v>
      </c>
      <c r="B11" s="1273"/>
      <c r="C11" s="419">
        <v>304447.5</v>
      </c>
      <c r="D11" s="419">
        <v>631729.80000000005</v>
      </c>
      <c r="E11" s="419">
        <v>1539232.5</v>
      </c>
      <c r="F11" s="419">
        <v>2170962.2999999998</v>
      </c>
      <c r="G11" s="419">
        <v>234783</v>
      </c>
      <c r="H11" s="419">
        <v>189735</v>
      </c>
      <c r="I11" s="419">
        <v>1324229.7</v>
      </c>
      <c r="J11" s="419">
        <v>350604.9</v>
      </c>
      <c r="K11" s="419">
        <v>2099352.6</v>
      </c>
      <c r="L11" s="419">
        <v>1590.4</v>
      </c>
      <c r="M11" s="419">
        <v>3021</v>
      </c>
      <c r="N11" s="419">
        <v>350.8</v>
      </c>
      <c r="O11" s="419">
        <v>0</v>
      </c>
      <c r="P11" s="419">
        <v>0</v>
      </c>
      <c r="Q11" s="419">
        <v>206528.8</v>
      </c>
      <c r="R11" s="419">
        <v>164566.1</v>
      </c>
    </row>
    <row r="12" spans="1:18" s="636" customFormat="1" ht="13.5" customHeight="1" x14ac:dyDescent="0.2">
      <c r="A12" s="1271" t="s">
        <v>2066</v>
      </c>
      <c r="B12" s="1271"/>
      <c r="C12" s="1040">
        <v>271444.40000000002</v>
      </c>
      <c r="D12" s="1040">
        <v>730616.1</v>
      </c>
      <c r="E12" s="1040">
        <v>1682224.7</v>
      </c>
      <c r="F12" s="1040">
        <v>2412840.7999999998</v>
      </c>
      <c r="G12" s="1040">
        <v>290116.90000000002</v>
      </c>
      <c r="H12" s="1040">
        <v>199986.1</v>
      </c>
      <c r="I12" s="1040">
        <v>1436739.1</v>
      </c>
      <c r="J12" s="1040">
        <v>349315.4</v>
      </c>
      <c r="K12" s="1040">
        <v>2276157.5</v>
      </c>
      <c r="L12" s="1040">
        <v>2551</v>
      </c>
      <c r="M12" s="1040">
        <v>3001.4</v>
      </c>
      <c r="N12" s="1040">
        <v>212.8</v>
      </c>
      <c r="O12" s="1040">
        <v>0</v>
      </c>
      <c r="P12" s="1040">
        <v>0</v>
      </c>
      <c r="Q12" s="1040">
        <v>236062.3</v>
      </c>
      <c r="R12" s="1040">
        <v>166300.20000000001</v>
      </c>
    </row>
    <row r="13" spans="1:18" s="636" customFormat="1" ht="13.5" customHeight="1" x14ac:dyDescent="0.2">
      <c r="A13" s="1293" t="s">
        <v>2206</v>
      </c>
      <c r="B13" s="1293"/>
      <c r="C13" s="1039">
        <f t="shared" ref="C13:R13" si="0">C220</f>
        <v>250909.5</v>
      </c>
      <c r="D13" s="1039">
        <f t="shared" si="0"/>
        <v>750141.4</v>
      </c>
      <c r="E13" s="1039">
        <f t="shared" si="0"/>
        <v>1833194.8</v>
      </c>
      <c r="F13" s="1039">
        <f t="shared" si="0"/>
        <v>2583336.2000000002</v>
      </c>
      <c r="G13" s="1039">
        <f t="shared" si="0"/>
        <v>288527.2</v>
      </c>
      <c r="H13" s="1039">
        <f t="shared" si="0"/>
        <v>211533.3</v>
      </c>
      <c r="I13" s="1039">
        <f t="shared" si="0"/>
        <v>1581093.5</v>
      </c>
      <c r="J13" s="1039">
        <f t="shared" si="0"/>
        <v>330104</v>
      </c>
      <c r="K13" s="1039">
        <f t="shared" si="0"/>
        <v>2411258</v>
      </c>
      <c r="L13" s="1039">
        <f t="shared" si="0"/>
        <v>2610.1999999999998</v>
      </c>
      <c r="M13" s="1039">
        <f t="shared" si="0"/>
        <v>3869.3</v>
      </c>
      <c r="N13" s="1039">
        <f t="shared" si="0"/>
        <v>160.4</v>
      </c>
      <c r="O13" s="1039">
        <f t="shared" si="0"/>
        <v>0</v>
      </c>
      <c r="P13" s="1039">
        <f t="shared" si="0"/>
        <v>0</v>
      </c>
      <c r="Q13" s="1039">
        <f t="shared" si="0"/>
        <v>249606.39999999999</v>
      </c>
      <c r="R13" s="1039">
        <f t="shared" si="0"/>
        <v>166741.4</v>
      </c>
    </row>
    <row r="14" spans="1:18" s="636" customFormat="1" ht="13.5" customHeight="1" x14ac:dyDescent="0.2">
      <c r="A14" s="1419" t="s">
        <v>2527</v>
      </c>
      <c r="B14" s="1419"/>
      <c r="C14" s="1040">
        <f t="shared" ref="C14:R14" si="1">C232</f>
        <v>286266.3</v>
      </c>
      <c r="D14" s="1040">
        <f t="shared" si="1"/>
        <v>815408.5</v>
      </c>
      <c r="E14" s="1040">
        <f t="shared" si="1"/>
        <v>1927650.2</v>
      </c>
      <c r="F14" s="1040">
        <f t="shared" si="1"/>
        <v>2743058.7</v>
      </c>
      <c r="G14" s="1040">
        <f t="shared" si="1"/>
        <v>294479.5</v>
      </c>
      <c r="H14" s="1040">
        <f t="shared" si="1"/>
        <v>215476.2</v>
      </c>
      <c r="I14" s="1040">
        <f t="shared" si="1"/>
        <v>1720101.7</v>
      </c>
      <c r="J14" s="1040">
        <f t="shared" si="1"/>
        <v>326473</v>
      </c>
      <c r="K14" s="1040">
        <f t="shared" si="1"/>
        <v>2556530.4</v>
      </c>
      <c r="L14" s="1040">
        <f t="shared" si="1"/>
        <v>15577</v>
      </c>
      <c r="M14" s="1040">
        <f t="shared" si="1"/>
        <v>6165.7</v>
      </c>
      <c r="N14" s="1040">
        <f t="shared" si="1"/>
        <v>246.2</v>
      </c>
      <c r="O14" s="1040">
        <f t="shared" si="1"/>
        <v>0</v>
      </c>
      <c r="P14" s="1040">
        <f t="shared" si="1"/>
        <v>0</v>
      </c>
      <c r="Q14" s="1040">
        <f t="shared" si="1"/>
        <v>195293.4</v>
      </c>
      <c r="R14" s="1040">
        <f t="shared" si="1"/>
        <v>255512.3</v>
      </c>
    </row>
    <row r="15" spans="1:18" s="636" customFormat="1" ht="13.5" customHeight="1" x14ac:dyDescent="0.2">
      <c r="A15" s="1293"/>
      <c r="B15" s="1293"/>
      <c r="C15" s="1039"/>
      <c r="D15" s="1039"/>
      <c r="E15" s="1039"/>
      <c r="F15" s="1039"/>
      <c r="G15" s="1039"/>
      <c r="H15" s="1039"/>
      <c r="I15" s="1039"/>
      <c r="J15" s="1039"/>
      <c r="K15" s="1039"/>
      <c r="L15" s="1039"/>
      <c r="M15" s="1039"/>
      <c r="N15" s="1039"/>
      <c r="O15" s="1039"/>
      <c r="P15" s="1039"/>
      <c r="Q15" s="1039"/>
      <c r="R15" s="1039"/>
    </row>
    <row r="16" spans="1:18" s="636" customFormat="1" ht="13.5" customHeight="1" x14ac:dyDescent="0.2">
      <c r="A16" s="1293"/>
      <c r="B16" s="1293"/>
      <c r="C16" s="1039"/>
      <c r="D16" s="1039"/>
      <c r="E16" s="1039"/>
      <c r="F16" s="1039"/>
      <c r="G16" s="1039"/>
      <c r="H16" s="1039"/>
      <c r="I16" s="1039"/>
      <c r="J16" s="1039"/>
      <c r="K16" s="1039"/>
      <c r="L16" s="1039"/>
      <c r="M16" s="1039"/>
      <c r="N16" s="1039"/>
      <c r="O16" s="1039"/>
      <c r="P16" s="1039"/>
      <c r="Q16" s="1039"/>
      <c r="R16" s="1039"/>
    </row>
    <row r="17" spans="1:18" s="636" customFormat="1" ht="13.5" customHeight="1" x14ac:dyDescent="0.2">
      <c r="A17" s="1293" t="s">
        <v>325</v>
      </c>
      <c r="B17" s="1807" t="s">
        <v>552</v>
      </c>
      <c r="C17" s="1039"/>
      <c r="D17" s="1039"/>
      <c r="E17" s="1039"/>
      <c r="F17" s="1039"/>
      <c r="G17" s="1039"/>
      <c r="H17" s="1039"/>
      <c r="I17" s="1039"/>
      <c r="J17" s="1039"/>
      <c r="K17" s="1039"/>
      <c r="L17" s="1039"/>
      <c r="M17" s="1039"/>
      <c r="N17" s="1039"/>
      <c r="O17" s="1039"/>
      <c r="P17" s="1039"/>
      <c r="Q17" s="1039"/>
      <c r="R17" s="1039"/>
    </row>
    <row r="18" spans="1:18" s="636" customFormat="1" ht="13.5" customHeight="1" x14ac:dyDescent="0.2">
      <c r="A18" s="1293" t="s">
        <v>325</v>
      </c>
      <c r="B18" s="1808" t="s">
        <v>553</v>
      </c>
      <c r="C18" s="1039"/>
      <c r="D18" s="1039"/>
      <c r="E18" s="1039"/>
      <c r="F18" s="1039"/>
      <c r="G18" s="1039"/>
      <c r="H18" s="1039"/>
      <c r="I18" s="1039"/>
      <c r="J18" s="1039"/>
      <c r="K18" s="1039"/>
      <c r="L18" s="1039"/>
      <c r="M18" s="1039"/>
      <c r="N18" s="1039"/>
      <c r="O18" s="1039"/>
      <c r="P18" s="1039"/>
      <c r="Q18" s="1039"/>
      <c r="R18" s="1039"/>
    </row>
    <row r="19" spans="1:18" s="636" customFormat="1" ht="13.5" customHeight="1" x14ac:dyDescent="0.2">
      <c r="A19" s="1293" t="s">
        <v>325</v>
      </c>
      <c r="B19" s="1807" t="s">
        <v>547</v>
      </c>
      <c r="C19" s="1039"/>
      <c r="D19" s="1039"/>
      <c r="E19" s="1039"/>
      <c r="F19" s="1039"/>
      <c r="G19" s="1039"/>
      <c r="H19" s="1039"/>
      <c r="I19" s="1039"/>
      <c r="J19" s="1039"/>
      <c r="K19" s="1039"/>
      <c r="L19" s="1039"/>
      <c r="M19" s="1039"/>
      <c r="N19" s="1039"/>
      <c r="O19" s="1039"/>
      <c r="P19" s="1039"/>
      <c r="Q19" s="1039"/>
      <c r="R19" s="1039"/>
    </row>
    <row r="20" spans="1:18" s="636" customFormat="1" ht="13.5" customHeight="1" x14ac:dyDescent="0.2">
      <c r="A20" s="1293" t="s">
        <v>325</v>
      </c>
      <c r="B20" s="1808" t="s">
        <v>554</v>
      </c>
      <c r="C20" s="1039"/>
      <c r="D20" s="1039"/>
      <c r="E20" s="1039"/>
      <c r="F20" s="1039"/>
      <c r="G20" s="1039"/>
      <c r="H20" s="1039"/>
      <c r="I20" s="1039"/>
      <c r="J20" s="1039"/>
      <c r="K20" s="1039"/>
      <c r="L20" s="1039"/>
      <c r="M20" s="1039"/>
      <c r="N20" s="1039"/>
      <c r="O20" s="1039"/>
      <c r="P20" s="1039"/>
      <c r="Q20" s="1039"/>
      <c r="R20" s="1039"/>
    </row>
    <row r="21" spans="1:18" s="636" customFormat="1" ht="13.5" customHeight="1" x14ac:dyDescent="0.2">
      <c r="A21" s="1293" t="s">
        <v>325</v>
      </c>
      <c r="B21" s="1807" t="s">
        <v>555</v>
      </c>
      <c r="C21" s="1039"/>
      <c r="D21" s="1039"/>
      <c r="E21" s="1039"/>
      <c r="F21" s="1039"/>
      <c r="G21" s="1039"/>
      <c r="H21" s="1039"/>
      <c r="I21" s="1039"/>
      <c r="J21" s="1039"/>
      <c r="K21" s="1039"/>
      <c r="L21" s="1039"/>
      <c r="M21" s="1039"/>
      <c r="N21" s="1039"/>
      <c r="O21" s="1039"/>
      <c r="P21" s="1039"/>
      <c r="Q21" s="1039"/>
      <c r="R21" s="1039"/>
    </row>
    <row r="22" spans="1:18" s="636" customFormat="1" ht="13.5" customHeight="1" x14ac:dyDescent="0.2">
      <c r="A22" s="1293" t="s">
        <v>325</v>
      </c>
      <c r="B22" s="1808" t="s">
        <v>548</v>
      </c>
      <c r="C22" s="1039"/>
      <c r="D22" s="1039"/>
      <c r="E22" s="1039"/>
      <c r="F22" s="1039"/>
      <c r="G22" s="1039"/>
      <c r="H22" s="1039"/>
      <c r="I22" s="1039"/>
      <c r="J22" s="1039"/>
      <c r="K22" s="1039"/>
      <c r="L22" s="1039"/>
      <c r="M22" s="1039"/>
      <c r="N22" s="1039"/>
      <c r="O22" s="1039"/>
      <c r="P22" s="1039"/>
      <c r="Q22" s="1039"/>
      <c r="R22" s="1039"/>
    </row>
    <row r="23" spans="1:18" s="636" customFormat="1" ht="13.5" customHeight="1" x14ac:dyDescent="0.2">
      <c r="A23" s="1293" t="s">
        <v>325</v>
      </c>
      <c r="B23" s="1807" t="s">
        <v>556</v>
      </c>
      <c r="C23" s="1039"/>
      <c r="D23" s="1039"/>
      <c r="E23" s="1039"/>
      <c r="F23" s="1039"/>
      <c r="G23" s="1039"/>
      <c r="H23" s="1039"/>
      <c r="I23" s="1039"/>
      <c r="J23" s="1039"/>
      <c r="K23" s="1039"/>
      <c r="L23" s="1039"/>
      <c r="M23" s="1039"/>
      <c r="N23" s="1039"/>
      <c r="O23" s="1039"/>
      <c r="P23" s="1039"/>
      <c r="Q23" s="1039"/>
      <c r="R23" s="1039"/>
    </row>
    <row r="24" spans="1:18" s="636" customFormat="1" ht="13.5" customHeight="1" x14ac:dyDescent="0.2">
      <c r="A24" s="1293" t="s">
        <v>325</v>
      </c>
      <c r="B24" s="1808" t="s">
        <v>557</v>
      </c>
      <c r="C24" s="1039"/>
      <c r="D24" s="1039"/>
      <c r="E24" s="1039"/>
      <c r="F24" s="1039"/>
      <c r="G24" s="1039"/>
      <c r="H24" s="1039"/>
      <c r="I24" s="1039"/>
      <c r="J24" s="1039"/>
      <c r="K24" s="1039"/>
      <c r="L24" s="1039"/>
      <c r="M24" s="1039"/>
      <c r="N24" s="1039"/>
      <c r="O24" s="1039"/>
      <c r="P24" s="1039"/>
      <c r="Q24" s="1039"/>
      <c r="R24" s="1039"/>
    </row>
    <row r="25" spans="1:18" s="636" customFormat="1" ht="13.5" customHeight="1" x14ac:dyDescent="0.2">
      <c r="A25" s="1293" t="s">
        <v>325</v>
      </c>
      <c r="B25" s="1807" t="s">
        <v>549</v>
      </c>
      <c r="C25" s="1039"/>
      <c r="D25" s="1039"/>
      <c r="E25" s="1039"/>
      <c r="F25" s="1039"/>
      <c r="G25" s="1039"/>
      <c r="H25" s="1039"/>
      <c r="I25" s="1039"/>
      <c r="J25" s="1039"/>
      <c r="K25" s="1039"/>
      <c r="L25" s="1039"/>
      <c r="M25" s="1039"/>
      <c r="N25" s="1039"/>
      <c r="O25" s="1039"/>
      <c r="P25" s="1039"/>
      <c r="Q25" s="1039"/>
      <c r="R25" s="1039"/>
    </row>
    <row r="26" spans="1:18" s="636" customFormat="1" ht="13.5" customHeight="1" x14ac:dyDescent="0.2">
      <c r="A26" s="1293" t="s">
        <v>325</v>
      </c>
      <c r="B26" s="1808" t="s">
        <v>558</v>
      </c>
      <c r="C26" s="1039"/>
      <c r="D26" s="1039"/>
      <c r="E26" s="1039"/>
      <c r="F26" s="1039"/>
      <c r="G26" s="1039"/>
      <c r="H26" s="1039"/>
      <c r="I26" s="1039"/>
      <c r="J26" s="1039"/>
      <c r="K26" s="1039"/>
      <c r="L26" s="1039"/>
      <c r="M26" s="1039"/>
      <c r="N26" s="1039"/>
      <c r="O26" s="1039"/>
      <c r="P26" s="1039"/>
      <c r="Q26" s="1039"/>
      <c r="R26" s="1039"/>
    </row>
    <row r="27" spans="1:18" s="636" customFormat="1" ht="13.5" customHeight="1" x14ac:dyDescent="0.2">
      <c r="A27" s="1293" t="s">
        <v>325</v>
      </c>
      <c r="B27" s="1807" t="s">
        <v>559</v>
      </c>
      <c r="C27" s="1039"/>
      <c r="D27" s="1039"/>
      <c r="E27" s="1039"/>
      <c r="F27" s="1039"/>
      <c r="G27" s="1039"/>
      <c r="H27" s="1039"/>
      <c r="I27" s="1039"/>
      <c r="J27" s="1039"/>
      <c r="K27" s="1039"/>
      <c r="L27" s="1039"/>
      <c r="M27" s="1039"/>
      <c r="N27" s="1039"/>
      <c r="O27" s="1039"/>
      <c r="P27" s="1039"/>
      <c r="Q27" s="1039"/>
      <c r="R27" s="1039"/>
    </row>
    <row r="28" spans="1:18" s="636" customFormat="1" ht="13.5" customHeight="1" x14ac:dyDescent="0.2">
      <c r="A28" s="1293" t="s">
        <v>325</v>
      </c>
      <c r="B28" s="1808" t="s">
        <v>550</v>
      </c>
      <c r="C28" s="1039"/>
      <c r="D28" s="1039"/>
      <c r="E28" s="1039"/>
      <c r="F28" s="1039"/>
      <c r="G28" s="1039"/>
      <c r="H28" s="1039"/>
      <c r="I28" s="1039"/>
      <c r="J28" s="1039"/>
      <c r="K28" s="1039"/>
      <c r="L28" s="1039"/>
      <c r="M28" s="1039"/>
      <c r="N28" s="1039"/>
      <c r="O28" s="1039"/>
      <c r="P28" s="1039"/>
      <c r="Q28" s="1039"/>
      <c r="R28" s="1039"/>
    </row>
    <row r="29" spans="1:18" s="636" customFormat="1" ht="13.5" customHeight="1" x14ac:dyDescent="0.2">
      <c r="A29" s="1293" t="s">
        <v>85</v>
      </c>
      <c r="B29" s="1807" t="s">
        <v>552</v>
      </c>
      <c r="C29" s="1039"/>
      <c r="D29" s="1039"/>
      <c r="E29" s="1039"/>
      <c r="F29" s="1039"/>
      <c r="G29" s="1039"/>
      <c r="H29" s="1039"/>
      <c r="I29" s="1039"/>
      <c r="J29" s="1039"/>
      <c r="K29" s="1039"/>
      <c r="L29" s="1039"/>
      <c r="M29" s="1039"/>
      <c r="N29" s="1039"/>
      <c r="O29" s="1039"/>
      <c r="P29" s="1039"/>
      <c r="Q29" s="1039"/>
      <c r="R29" s="1039"/>
    </row>
    <row r="30" spans="1:18" s="636" customFormat="1" ht="13.5" customHeight="1" x14ac:dyDescent="0.2">
      <c r="A30" s="1293" t="s">
        <v>85</v>
      </c>
      <c r="B30" s="1808" t="s">
        <v>553</v>
      </c>
      <c r="C30" s="1039"/>
      <c r="D30" s="1039"/>
      <c r="E30" s="1039"/>
      <c r="F30" s="1039"/>
      <c r="G30" s="1039"/>
      <c r="H30" s="1039"/>
      <c r="I30" s="1039"/>
      <c r="J30" s="1039"/>
      <c r="K30" s="1039"/>
      <c r="L30" s="1039"/>
      <c r="M30" s="1039"/>
      <c r="N30" s="1039"/>
      <c r="O30" s="1039"/>
      <c r="P30" s="1039"/>
      <c r="Q30" s="1039"/>
      <c r="R30" s="1039"/>
    </row>
    <row r="31" spans="1:18" s="636" customFormat="1" ht="13.5" customHeight="1" x14ac:dyDescent="0.2">
      <c r="A31" s="1293" t="s">
        <v>85</v>
      </c>
      <c r="B31" s="1807" t="s">
        <v>547</v>
      </c>
      <c r="C31" s="1039"/>
      <c r="D31" s="1039"/>
      <c r="E31" s="1039"/>
      <c r="F31" s="1039"/>
      <c r="G31" s="1039"/>
      <c r="H31" s="1039"/>
      <c r="I31" s="1039"/>
      <c r="J31" s="1039"/>
      <c r="K31" s="1039"/>
      <c r="L31" s="1039"/>
      <c r="M31" s="1039"/>
      <c r="N31" s="1039"/>
      <c r="O31" s="1039"/>
      <c r="P31" s="1039"/>
      <c r="Q31" s="1039"/>
      <c r="R31" s="1039"/>
    </row>
    <row r="32" spans="1:18" s="636" customFormat="1" ht="13.5" customHeight="1" x14ac:dyDescent="0.2">
      <c r="A32" s="1293" t="s">
        <v>85</v>
      </c>
      <c r="B32" s="1808" t="s">
        <v>554</v>
      </c>
      <c r="C32" s="1039"/>
      <c r="D32" s="1039"/>
      <c r="E32" s="1039"/>
      <c r="F32" s="1039"/>
      <c r="G32" s="1039"/>
      <c r="H32" s="1039"/>
      <c r="I32" s="1039"/>
      <c r="J32" s="1039"/>
      <c r="K32" s="1039"/>
      <c r="L32" s="1039"/>
      <c r="M32" s="1039"/>
      <c r="N32" s="1039"/>
      <c r="O32" s="1039"/>
      <c r="P32" s="1039"/>
      <c r="Q32" s="1039"/>
      <c r="R32" s="1039"/>
    </row>
    <row r="33" spans="1:18" s="636" customFormat="1" ht="13.5" customHeight="1" x14ac:dyDescent="0.2">
      <c r="A33" s="1293" t="s">
        <v>85</v>
      </c>
      <c r="B33" s="1807" t="s">
        <v>555</v>
      </c>
      <c r="C33" s="1039"/>
      <c r="D33" s="1039"/>
      <c r="E33" s="1039"/>
      <c r="F33" s="1039"/>
      <c r="G33" s="1039"/>
      <c r="H33" s="1039"/>
      <c r="I33" s="1039"/>
      <c r="J33" s="1039"/>
      <c r="K33" s="1039"/>
      <c r="L33" s="1039"/>
      <c r="M33" s="1039"/>
      <c r="N33" s="1039"/>
      <c r="O33" s="1039"/>
      <c r="P33" s="1039"/>
      <c r="Q33" s="1039"/>
      <c r="R33" s="1039"/>
    </row>
    <row r="34" spans="1:18" s="636" customFormat="1" ht="13.5" customHeight="1" x14ac:dyDescent="0.2">
      <c r="A34" s="1293" t="s">
        <v>85</v>
      </c>
      <c r="B34" s="1808" t="s">
        <v>548</v>
      </c>
      <c r="C34" s="1039"/>
      <c r="D34" s="1039"/>
      <c r="E34" s="1039"/>
      <c r="F34" s="1039"/>
      <c r="G34" s="1039"/>
      <c r="H34" s="1039"/>
      <c r="I34" s="1039"/>
      <c r="J34" s="1039"/>
      <c r="K34" s="1039"/>
      <c r="L34" s="1039"/>
      <c r="M34" s="1039"/>
      <c r="N34" s="1039"/>
      <c r="O34" s="1039"/>
      <c r="P34" s="1039"/>
      <c r="Q34" s="1039"/>
      <c r="R34" s="1039"/>
    </row>
    <row r="35" spans="1:18" s="636" customFormat="1" ht="13.5" customHeight="1" x14ac:dyDescent="0.2">
      <c r="A35" s="1293" t="s">
        <v>85</v>
      </c>
      <c r="B35" s="1807" t="s">
        <v>556</v>
      </c>
      <c r="C35" s="1039"/>
      <c r="D35" s="1039"/>
      <c r="E35" s="1039"/>
      <c r="F35" s="1039"/>
      <c r="G35" s="1039"/>
      <c r="H35" s="1039"/>
      <c r="I35" s="1039"/>
      <c r="J35" s="1039"/>
      <c r="K35" s="1039"/>
      <c r="L35" s="1039"/>
      <c r="M35" s="1039"/>
      <c r="N35" s="1039"/>
      <c r="O35" s="1039"/>
      <c r="P35" s="1039"/>
      <c r="Q35" s="1039"/>
      <c r="R35" s="1039"/>
    </row>
    <row r="36" spans="1:18" s="636" customFormat="1" ht="13.5" customHeight="1" x14ac:dyDescent="0.2">
      <c r="A36" s="1293" t="s">
        <v>85</v>
      </c>
      <c r="B36" s="1808" t="s">
        <v>557</v>
      </c>
      <c r="C36" s="1039"/>
      <c r="D36" s="1039"/>
      <c r="E36" s="1039"/>
      <c r="F36" s="1039"/>
      <c r="G36" s="1039"/>
      <c r="H36" s="1039"/>
      <c r="I36" s="1039"/>
      <c r="J36" s="1039"/>
      <c r="K36" s="1039"/>
      <c r="L36" s="1039"/>
      <c r="M36" s="1039"/>
      <c r="N36" s="1039"/>
      <c r="O36" s="1039"/>
      <c r="P36" s="1039"/>
      <c r="Q36" s="1039"/>
      <c r="R36" s="1039"/>
    </row>
    <row r="37" spans="1:18" s="636" customFormat="1" ht="13.5" customHeight="1" x14ac:dyDescent="0.2">
      <c r="A37" s="1293" t="s">
        <v>85</v>
      </c>
      <c r="B37" s="1807" t="s">
        <v>549</v>
      </c>
      <c r="C37" s="1039"/>
      <c r="D37" s="1039"/>
      <c r="E37" s="1039"/>
      <c r="F37" s="1039"/>
      <c r="G37" s="1039"/>
      <c r="H37" s="1039"/>
      <c r="I37" s="1039"/>
      <c r="J37" s="1039"/>
      <c r="K37" s="1039"/>
      <c r="L37" s="1039"/>
      <c r="M37" s="1039"/>
      <c r="N37" s="1039"/>
      <c r="O37" s="1039"/>
      <c r="P37" s="1039"/>
      <c r="Q37" s="1039"/>
      <c r="R37" s="1039"/>
    </row>
    <row r="38" spans="1:18" s="636" customFormat="1" ht="13.5" customHeight="1" x14ac:dyDescent="0.2">
      <c r="A38" s="1293" t="s">
        <v>85</v>
      </c>
      <c r="B38" s="1808" t="s">
        <v>558</v>
      </c>
      <c r="C38" s="1039"/>
      <c r="D38" s="1039"/>
      <c r="E38" s="1039"/>
      <c r="F38" s="1039"/>
      <c r="G38" s="1039"/>
      <c r="H38" s="1039"/>
      <c r="I38" s="1039"/>
      <c r="J38" s="1039"/>
      <c r="K38" s="1039"/>
      <c r="L38" s="1039"/>
      <c r="M38" s="1039"/>
      <c r="N38" s="1039"/>
      <c r="O38" s="1039"/>
      <c r="P38" s="1039"/>
      <c r="Q38" s="1039"/>
      <c r="R38" s="1039"/>
    </row>
    <row r="39" spans="1:18" s="636" customFormat="1" ht="13.5" customHeight="1" x14ac:dyDescent="0.2">
      <c r="A39" s="1293" t="s">
        <v>85</v>
      </c>
      <c r="B39" s="1807" t="s">
        <v>559</v>
      </c>
      <c r="C39" s="1039"/>
      <c r="D39" s="1039"/>
      <c r="E39" s="1039"/>
      <c r="F39" s="1039"/>
      <c r="G39" s="1039"/>
      <c r="H39" s="1039"/>
      <c r="I39" s="1039"/>
      <c r="J39" s="1039"/>
      <c r="K39" s="1039"/>
      <c r="L39" s="1039"/>
      <c r="M39" s="1039"/>
      <c r="N39" s="1039"/>
      <c r="O39" s="1039"/>
      <c r="P39" s="1039"/>
      <c r="Q39" s="1039"/>
      <c r="R39" s="1039"/>
    </row>
    <row r="40" spans="1:18" s="636" customFormat="1" ht="13.5" customHeight="1" x14ac:dyDescent="0.2">
      <c r="A40" s="1293" t="s">
        <v>85</v>
      </c>
      <c r="B40" s="1808" t="s">
        <v>550</v>
      </c>
      <c r="C40" s="1039"/>
      <c r="D40" s="1039"/>
      <c r="E40" s="1039"/>
      <c r="F40" s="1039"/>
      <c r="G40" s="1039"/>
      <c r="H40" s="1039"/>
      <c r="I40" s="1039"/>
      <c r="J40" s="1039"/>
      <c r="K40" s="1039"/>
      <c r="L40" s="1039"/>
      <c r="M40" s="1039"/>
      <c r="N40" s="1039"/>
      <c r="O40" s="1039"/>
      <c r="P40" s="1039"/>
      <c r="Q40" s="1039"/>
      <c r="R40" s="1039"/>
    </row>
    <row r="41" spans="1:18" s="636" customFormat="1" ht="13.5" customHeight="1" x14ac:dyDescent="0.2">
      <c r="A41" s="1293" t="s">
        <v>81</v>
      </c>
      <c r="B41" s="1807" t="s">
        <v>552</v>
      </c>
      <c r="C41" s="1039"/>
      <c r="D41" s="1039"/>
      <c r="E41" s="1039"/>
      <c r="F41" s="1039"/>
      <c r="G41" s="1039"/>
      <c r="H41" s="1039"/>
      <c r="I41" s="1039"/>
      <c r="J41" s="1039"/>
      <c r="K41" s="1039"/>
      <c r="L41" s="1039"/>
      <c r="M41" s="1039"/>
      <c r="N41" s="1039"/>
      <c r="O41" s="1039"/>
      <c r="P41" s="1039"/>
      <c r="Q41" s="1039"/>
      <c r="R41" s="1039"/>
    </row>
    <row r="42" spans="1:18" s="636" customFormat="1" ht="13.5" customHeight="1" x14ac:dyDescent="0.2">
      <c r="A42" s="1293" t="s">
        <v>81</v>
      </c>
      <c r="B42" s="1808" t="s">
        <v>553</v>
      </c>
      <c r="C42" s="1039"/>
      <c r="D42" s="1039"/>
      <c r="E42" s="1039"/>
      <c r="F42" s="1039"/>
      <c r="G42" s="1039"/>
      <c r="H42" s="1039"/>
      <c r="I42" s="1039"/>
      <c r="J42" s="1039"/>
      <c r="K42" s="1039"/>
      <c r="L42" s="1039"/>
      <c r="M42" s="1039"/>
      <c r="N42" s="1039"/>
      <c r="O42" s="1039"/>
      <c r="P42" s="1039"/>
      <c r="Q42" s="1039"/>
      <c r="R42" s="1039"/>
    </row>
    <row r="43" spans="1:18" s="636" customFormat="1" ht="13.5" customHeight="1" x14ac:dyDescent="0.2">
      <c r="A43" s="1293" t="s">
        <v>81</v>
      </c>
      <c r="B43" s="1807" t="s">
        <v>547</v>
      </c>
      <c r="C43" s="1039"/>
      <c r="D43" s="1039"/>
      <c r="E43" s="1039"/>
      <c r="F43" s="1039"/>
      <c r="G43" s="1039"/>
      <c r="H43" s="1039"/>
      <c r="I43" s="1039"/>
      <c r="J43" s="1039"/>
      <c r="K43" s="1039"/>
      <c r="L43" s="1039"/>
      <c r="M43" s="1039"/>
      <c r="N43" s="1039"/>
      <c r="O43" s="1039"/>
      <c r="P43" s="1039"/>
      <c r="Q43" s="1039"/>
      <c r="R43" s="1039"/>
    </row>
    <row r="44" spans="1:18" s="636" customFormat="1" ht="13.5" customHeight="1" x14ac:dyDescent="0.2">
      <c r="A44" s="1293" t="s">
        <v>81</v>
      </c>
      <c r="B44" s="1808" t="s">
        <v>554</v>
      </c>
      <c r="C44" s="1039"/>
      <c r="D44" s="1039"/>
      <c r="E44" s="1039"/>
      <c r="F44" s="1039"/>
      <c r="G44" s="1039"/>
      <c r="H44" s="1039"/>
      <c r="I44" s="1039"/>
      <c r="J44" s="1039"/>
      <c r="K44" s="1039"/>
      <c r="L44" s="1039"/>
      <c r="M44" s="1039"/>
      <c r="N44" s="1039"/>
      <c r="O44" s="1039"/>
      <c r="P44" s="1039"/>
      <c r="Q44" s="1039"/>
      <c r="R44" s="1039"/>
    </row>
    <row r="45" spans="1:18" s="636" customFormat="1" ht="13.5" customHeight="1" x14ac:dyDescent="0.2">
      <c r="A45" s="1293" t="s">
        <v>81</v>
      </c>
      <c r="B45" s="1807" t="s">
        <v>555</v>
      </c>
      <c r="C45" s="1039"/>
      <c r="D45" s="1039"/>
      <c r="E45" s="1039"/>
      <c r="F45" s="1039"/>
      <c r="G45" s="1039"/>
      <c r="H45" s="1039"/>
      <c r="I45" s="1039"/>
      <c r="J45" s="1039"/>
      <c r="K45" s="1039"/>
      <c r="L45" s="1039"/>
      <c r="M45" s="1039"/>
      <c r="N45" s="1039"/>
      <c r="O45" s="1039"/>
      <c r="P45" s="1039"/>
      <c r="Q45" s="1039"/>
      <c r="R45" s="1039"/>
    </row>
    <row r="46" spans="1:18" s="636" customFormat="1" ht="13.5" customHeight="1" x14ac:dyDescent="0.2">
      <c r="A46" s="1293" t="s">
        <v>81</v>
      </c>
      <c r="B46" s="1808" t="s">
        <v>548</v>
      </c>
      <c r="C46" s="1039"/>
      <c r="D46" s="1039"/>
      <c r="E46" s="1039"/>
      <c r="F46" s="1039"/>
      <c r="G46" s="1039"/>
      <c r="H46" s="1039"/>
      <c r="I46" s="1039"/>
      <c r="J46" s="1039"/>
      <c r="K46" s="1039"/>
      <c r="L46" s="1039"/>
      <c r="M46" s="1039"/>
      <c r="N46" s="1039"/>
      <c r="O46" s="1039"/>
      <c r="P46" s="1039"/>
      <c r="Q46" s="1039"/>
      <c r="R46" s="1039"/>
    </row>
    <row r="47" spans="1:18" s="636" customFormat="1" ht="13.5" customHeight="1" x14ac:dyDescent="0.2">
      <c r="A47" s="1293" t="s">
        <v>81</v>
      </c>
      <c r="B47" s="1807" t="s">
        <v>556</v>
      </c>
      <c r="C47" s="1039"/>
      <c r="D47" s="1039"/>
      <c r="E47" s="1039"/>
      <c r="F47" s="1039"/>
      <c r="G47" s="1039"/>
      <c r="H47" s="1039"/>
      <c r="I47" s="1039"/>
      <c r="J47" s="1039"/>
      <c r="K47" s="1039"/>
      <c r="L47" s="1039"/>
      <c r="M47" s="1039"/>
      <c r="N47" s="1039"/>
      <c r="O47" s="1039"/>
      <c r="P47" s="1039"/>
      <c r="Q47" s="1039"/>
      <c r="R47" s="1039"/>
    </row>
    <row r="48" spans="1:18" s="636" customFormat="1" ht="13.5" customHeight="1" x14ac:dyDescent="0.2">
      <c r="A48" s="1293" t="s">
        <v>81</v>
      </c>
      <c r="B48" s="1808" t="s">
        <v>557</v>
      </c>
      <c r="C48" s="1039"/>
      <c r="D48" s="1039"/>
      <c r="E48" s="1039"/>
      <c r="F48" s="1039"/>
      <c r="G48" s="1039"/>
      <c r="H48" s="1039"/>
      <c r="I48" s="1039"/>
      <c r="J48" s="1039"/>
      <c r="K48" s="1039"/>
      <c r="L48" s="1039"/>
      <c r="M48" s="1039"/>
      <c r="N48" s="1039"/>
      <c r="O48" s="1039"/>
      <c r="P48" s="1039"/>
      <c r="Q48" s="1039"/>
      <c r="R48" s="1039"/>
    </row>
    <row r="49" spans="1:18" s="636" customFormat="1" ht="13.5" customHeight="1" x14ac:dyDescent="0.2">
      <c r="A49" s="1293" t="s">
        <v>81</v>
      </c>
      <c r="B49" s="1807" t="s">
        <v>549</v>
      </c>
      <c r="C49" s="1039"/>
      <c r="D49" s="1039"/>
      <c r="E49" s="1039"/>
      <c r="F49" s="1039"/>
      <c r="G49" s="1039"/>
      <c r="H49" s="1039"/>
      <c r="I49" s="1039"/>
      <c r="J49" s="1039"/>
      <c r="K49" s="1039"/>
      <c r="L49" s="1039"/>
      <c r="M49" s="1039"/>
      <c r="N49" s="1039"/>
      <c r="O49" s="1039"/>
      <c r="P49" s="1039"/>
      <c r="Q49" s="1039"/>
      <c r="R49" s="1039"/>
    </row>
    <row r="50" spans="1:18" s="636" customFormat="1" ht="13.5" customHeight="1" x14ac:dyDescent="0.2">
      <c r="A50" s="1293" t="s">
        <v>81</v>
      </c>
      <c r="B50" s="1808" t="s">
        <v>558</v>
      </c>
      <c r="C50" s="1039"/>
      <c r="D50" s="1039"/>
      <c r="E50" s="1039"/>
      <c r="F50" s="1039"/>
      <c r="G50" s="1039"/>
      <c r="H50" s="1039"/>
      <c r="I50" s="1039"/>
      <c r="J50" s="1039"/>
      <c r="K50" s="1039"/>
      <c r="L50" s="1039"/>
      <c r="M50" s="1039"/>
      <c r="N50" s="1039"/>
      <c r="O50" s="1039"/>
      <c r="P50" s="1039"/>
      <c r="Q50" s="1039"/>
      <c r="R50" s="1039"/>
    </row>
    <row r="51" spans="1:18" s="636" customFormat="1" ht="13.5" customHeight="1" x14ac:dyDescent="0.2">
      <c r="A51" s="1293" t="s">
        <v>81</v>
      </c>
      <c r="B51" s="1807" t="s">
        <v>559</v>
      </c>
      <c r="C51" s="1039"/>
      <c r="D51" s="1039"/>
      <c r="E51" s="1039"/>
      <c r="F51" s="1039"/>
      <c r="G51" s="1039"/>
      <c r="H51" s="1039"/>
      <c r="I51" s="1039"/>
      <c r="J51" s="1039"/>
      <c r="K51" s="1039"/>
      <c r="L51" s="1039"/>
      <c r="M51" s="1039"/>
      <c r="N51" s="1039"/>
      <c r="O51" s="1039"/>
      <c r="P51" s="1039"/>
      <c r="Q51" s="1039"/>
      <c r="R51" s="1039"/>
    </row>
    <row r="52" spans="1:18" s="636" customFormat="1" ht="13.5" customHeight="1" x14ac:dyDescent="0.2">
      <c r="A52" s="1293" t="s">
        <v>81</v>
      </c>
      <c r="B52" s="1808" t="s">
        <v>550</v>
      </c>
      <c r="C52" s="1039"/>
      <c r="D52" s="1039"/>
      <c r="E52" s="1039"/>
      <c r="F52" s="1039"/>
      <c r="G52" s="1039"/>
      <c r="H52" s="1039"/>
      <c r="I52" s="1039"/>
      <c r="J52" s="1039"/>
      <c r="K52" s="1039"/>
      <c r="L52" s="1039"/>
      <c r="M52" s="1039"/>
      <c r="N52" s="1039"/>
      <c r="O52" s="1039"/>
      <c r="P52" s="1039"/>
      <c r="Q52" s="1039"/>
      <c r="R52" s="1039"/>
    </row>
    <row r="53" spans="1:18" s="636" customFormat="1" ht="13.5" customHeight="1" x14ac:dyDescent="0.2">
      <c r="A53" s="1293" t="s">
        <v>189</v>
      </c>
      <c r="B53" s="1807" t="s">
        <v>552</v>
      </c>
      <c r="C53" s="1039"/>
      <c r="D53" s="1039"/>
      <c r="E53" s="1039"/>
      <c r="F53" s="1039"/>
      <c r="G53" s="1039"/>
      <c r="H53" s="1039"/>
      <c r="I53" s="1039"/>
      <c r="J53" s="1039"/>
      <c r="K53" s="1039"/>
      <c r="L53" s="1039"/>
      <c r="M53" s="1039"/>
      <c r="N53" s="1039"/>
      <c r="O53" s="1039"/>
      <c r="P53" s="1039"/>
      <c r="Q53" s="1039"/>
      <c r="R53" s="1039"/>
    </row>
    <row r="54" spans="1:18" s="636" customFormat="1" ht="13.5" customHeight="1" x14ac:dyDescent="0.2">
      <c r="A54" s="1293" t="s">
        <v>189</v>
      </c>
      <c r="B54" s="1808" t="s">
        <v>553</v>
      </c>
      <c r="C54" s="1039"/>
      <c r="D54" s="1039"/>
      <c r="E54" s="1039"/>
      <c r="F54" s="1039"/>
      <c r="G54" s="1039"/>
      <c r="H54" s="1039"/>
      <c r="I54" s="1039"/>
      <c r="J54" s="1039"/>
      <c r="K54" s="1039"/>
      <c r="L54" s="1039"/>
      <c r="M54" s="1039"/>
      <c r="N54" s="1039"/>
      <c r="O54" s="1039"/>
      <c r="P54" s="1039"/>
      <c r="Q54" s="1039"/>
      <c r="R54" s="1039"/>
    </row>
    <row r="55" spans="1:18" s="636" customFormat="1" ht="13.5" customHeight="1" x14ac:dyDescent="0.2">
      <c r="A55" s="1293" t="s">
        <v>189</v>
      </c>
      <c r="B55" s="1807" t="s">
        <v>547</v>
      </c>
      <c r="C55" s="1039"/>
      <c r="D55" s="1039"/>
      <c r="E55" s="1039"/>
      <c r="F55" s="1039"/>
      <c r="G55" s="1039"/>
      <c r="H55" s="1039"/>
      <c r="I55" s="1039"/>
      <c r="J55" s="1039"/>
      <c r="K55" s="1039"/>
      <c r="L55" s="1039"/>
      <c r="M55" s="1039"/>
      <c r="N55" s="1039"/>
      <c r="O55" s="1039"/>
      <c r="P55" s="1039"/>
      <c r="Q55" s="1039"/>
      <c r="R55" s="1039"/>
    </row>
    <row r="56" spans="1:18" s="636" customFormat="1" ht="13.5" customHeight="1" x14ac:dyDescent="0.2">
      <c r="A56" s="1293" t="s">
        <v>189</v>
      </c>
      <c r="B56" s="1808" t="s">
        <v>554</v>
      </c>
      <c r="C56" s="1039"/>
      <c r="D56" s="1039"/>
      <c r="E56" s="1039"/>
      <c r="F56" s="1039"/>
      <c r="G56" s="1039"/>
      <c r="H56" s="1039"/>
      <c r="I56" s="1039"/>
      <c r="J56" s="1039"/>
      <c r="K56" s="1039"/>
      <c r="L56" s="1039"/>
      <c r="M56" s="1039"/>
      <c r="N56" s="1039"/>
      <c r="O56" s="1039"/>
      <c r="P56" s="1039"/>
      <c r="Q56" s="1039"/>
      <c r="R56" s="1039"/>
    </row>
    <row r="57" spans="1:18" s="636" customFormat="1" ht="13.5" customHeight="1" x14ac:dyDescent="0.2">
      <c r="A57" s="1293" t="s">
        <v>189</v>
      </c>
      <c r="B57" s="1807" t="s">
        <v>555</v>
      </c>
      <c r="C57" s="1039"/>
      <c r="D57" s="1039"/>
      <c r="E57" s="1039"/>
      <c r="F57" s="1039"/>
      <c r="G57" s="1039"/>
      <c r="H57" s="1039"/>
      <c r="I57" s="1039"/>
      <c r="J57" s="1039"/>
      <c r="K57" s="1039"/>
      <c r="L57" s="1039"/>
      <c r="M57" s="1039"/>
      <c r="N57" s="1039"/>
      <c r="O57" s="1039"/>
      <c r="P57" s="1039"/>
      <c r="Q57" s="1039"/>
      <c r="R57" s="1039"/>
    </row>
    <row r="58" spans="1:18" s="636" customFormat="1" ht="13.5" customHeight="1" x14ac:dyDescent="0.2">
      <c r="A58" s="1293" t="s">
        <v>189</v>
      </c>
      <c r="B58" s="1808" t="s">
        <v>548</v>
      </c>
      <c r="C58" s="1039"/>
      <c r="D58" s="1039"/>
      <c r="E58" s="1039"/>
      <c r="F58" s="1039"/>
      <c r="G58" s="1039"/>
      <c r="H58" s="1039"/>
      <c r="I58" s="1039"/>
      <c r="J58" s="1039"/>
      <c r="K58" s="1039"/>
      <c r="L58" s="1039"/>
      <c r="M58" s="1039"/>
      <c r="N58" s="1039"/>
      <c r="O58" s="1039"/>
      <c r="P58" s="1039"/>
      <c r="Q58" s="1039"/>
      <c r="R58" s="1039"/>
    </row>
    <row r="59" spans="1:18" s="636" customFormat="1" ht="13.5" customHeight="1" x14ac:dyDescent="0.2">
      <c r="A59" s="1293" t="s">
        <v>189</v>
      </c>
      <c r="B59" s="1807" t="s">
        <v>556</v>
      </c>
      <c r="C59" s="1039"/>
      <c r="D59" s="1039"/>
      <c r="E59" s="1039"/>
      <c r="F59" s="1039"/>
      <c r="G59" s="1039"/>
      <c r="H59" s="1039"/>
      <c r="I59" s="1039"/>
      <c r="J59" s="1039"/>
      <c r="K59" s="1039"/>
      <c r="L59" s="1039"/>
      <c r="M59" s="1039"/>
      <c r="N59" s="1039"/>
      <c r="O59" s="1039"/>
      <c r="P59" s="1039"/>
      <c r="Q59" s="1039"/>
      <c r="R59" s="1039"/>
    </row>
    <row r="60" spans="1:18" s="636" customFormat="1" ht="13.5" customHeight="1" x14ac:dyDescent="0.2">
      <c r="A60" s="1293" t="s">
        <v>189</v>
      </c>
      <c r="B60" s="1808" t="s">
        <v>557</v>
      </c>
      <c r="C60" s="1039"/>
      <c r="D60" s="1039"/>
      <c r="E60" s="1039"/>
      <c r="F60" s="1039"/>
      <c r="G60" s="1039"/>
      <c r="H60" s="1039"/>
      <c r="I60" s="1039"/>
      <c r="J60" s="1039"/>
      <c r="K60" s="1039"/>
      <c r="L60" s="1039"/>
      <c r="M60" s="1039"/>
      <c r="N60" s="1039"/>
      <c r="O60" s="1039"/>
      <c r="P60" s="1039"/>
      <c r="Q60" s="1039"/>
      <c r="R60" s="1039"/>
    </row>
    <row r="61" spans="1:18" s="636" customFormat="1" ht="13.5" customHeight="1" x14ac:dyDescent="0.2">
      <c r="A61" s="1293" t="s">
        <v>189</v>
      </c>
      <c r="B61" s="1807" t="s">
        <v>549</v>
      </c>
      <c r="C61" s="1039"/>
      <c r="D61" s="1039"/>
      <c r="E61" s="1039"/>
      <c r="F61" s="1039"/>
      <c r="G61" s="1039"/>
      <c r="H61" s="1039"/>
      <c r="I61" s="1039"/>
      <c r="J61" s="1039"/>
      <c r="K61" s="1039"/>
      <c r="L61" s="1039"/>
      <c r="M61" s="1039"/>
      <c r="N61" s="1039"/>
      <c r="O61" s="1039"/>
      <c r="P61" s="1039"/>
      <c r="Q61" s="1039"/>
      <c r="R61" s="1039"/>
    </row>
    <row r="62" spans="1:18" s="636" customFormat="1" ht="13.5" customHeight="1" x14ac:dyDescent="0.2">
      <c r="A62" s="1293" t="s">
        <v>189</v>
      </c>
      <c r="B62" s="1808" t="s">
        <v>558</v>
      </c>
      <c r="C62" s="1039"/>
      <c r="D62" s="1039"/>
      <c r="E62" s="1039"/>
      <c r="F62" s="1039"/>
      <c r="G62" s="1039"/>
      <c r="H62" s="1039"/>
      <c r="I62" s="1039"/>
      <c r="J62" s="1039"/>
      <c r="K62" s="1039"/>
      <c r="L62" s="1039"/>
      <c r="M62" s="1039"/>
      <c r="N62" s="1039"/>
      <c r="O62" s="1039"/>
      <c r="P62" s="1039"/>
      <c r="Q62" s="1039"/>
      <c r="R62" s="1039"/>
    </row>
    <row r="63" spans="1:18" s="636" customFormat="1" ht="13.5" customHeight="1" x14ac:dyDescent="0.2">
      <c r="A63" s="1293" t="s">
        <v>189</v>
      </c>
      <c r="B63" s="1807" t="s">
        <v>559</v>
      </c>
      <c r="C63" s="1039"/>
      <c r="D63" s="1039"/>
      <c r="E63" s="1039"/>
      <c r="F63" s="1039"/>
      <c r="G63" s="1039"/>
      <c r="H63" s="1039"/>
      <c r="I63" s="1039"/>
      <c r="J63" s="1039"/>
      <c r="K63" s="1039"/>
      <c r="L63" s="1039"/>
      <c r="M63" s="1039"/>
      <c r="N63" s="1039"/>
      <c r="O63" s="1039"/>
      <c r="P63" s="1039"/>
      <c r="Q63" s="1039"/>
      <c r="R63" s="1039"/>
    </row>
    <row r="64" spans="1:18" s="636" customFormat="1" ht="13.5" customHeight="1" x14ac:dyDescent="0.2">
      <c r="A64" s="1293" t="s">
        <v>189</v>
      </c>
      <c r="B64" s="1808" t="s">
        <v>550</v>
      </c>
      <c r="C64" s="1039"/>
      <c r="D64" s="1039"/>
      <c r="E64" s="1039"/>
      <c r="F64" s="1039"/>
      <c r="G64" s="1039"/>
      <c r="H64" s="1039"/>
      <c r="I64" s="1039"/>
      <c r="J64" s="1039"/>
      <c r="K64" s="1039"/>
      <c r="L64" s="1039"/>
      <c r="M64" s="1039"/>
      <c r="N64" s="1039"/>
      <c r="O64" s="1039"/>
      <c r="P64" s="1039"/>
      <c r="Q64" s="1039"/>
      <c r="R64" s="1039"/>
    </row>
    <row r="65" spans="1:18" s="636" customFormat="1" ht="13.5" customHeight="1" x14ac:dyDescent="0.2">
      <c r="A65" s="1293" t="s">
        <v>696</v>
      </c>
      <c r="B65" s="1807" t="s">
        <v>552</v>
      </c>
      <c r="C65" s="1039"/>
      <c r="D65" s="1039"/>
      <c r="E65" s="1039"/>
      <c r="F65" s="1039"/>
      <c r="G65" s="1039"/>
      <c r="H65" s="1039"/>
      <c r="I65" s="1039"/>
      <c r="J65" s="1039"/>
      <c r="K65" s="1039"/>
      <c r="L65" s="1039"/>
      <c r="M65" s="1039"/>
      <c r="N65" s="1039"/>
      <c r="O65" s="1039"/>
      <c r="P65" s="1039"/>
      <c r="Q65" s="1039"/>
      <c r="R65" s="1039"/>
    </row>
    <row r="66" spans="1:18" s="636" customFormat="1" ht="13.5" customHeight="1" x14ac:dyDescent="0.2">
      <c r="A66" s="1293" t="s">
        <v>696</v>
      </c>
      <c r="B66" s="1808" t="s">
        <v>553</v>
      </c>
      <c r="C66" s="1039"/>
      <c r="D66" s="1039"/>
      <c r="E66" s="1039"/>
      <c r="F66" s="1039"/>
      <c r="G66" s="1039"/>
      <c r="H66" s="1039"/>
      <c r="I66" s="1039"/>
      <c r="J66" s="1039"/>
      <c r="K66" s="1039"/>
      <c r="L66" s="1039"/>
      <c r="M66" s="1039"/>
      <c r="N66" s="1039"/>
      <c r="O66" s="1039"/>
      <c r="P66" s="1039"/>
      <c r="Q66" s="1039"/>
      <c r="R66" s="1039"/>
    </row>
    <row r="67" spans="1:18" s="636" customFormat="1" ht="13.5" customHeight="1" x14ac:dyDescent="0.2">
      <c r="A67" s="1293" t="s">
        <v>696</v>
      </c>
      <c r="B67" s="1807" t="s">
        <v>547</v>
      </c>
      <c r="C67" s="1039"/>
      <c r="D67" s="1039"/>
      <c r="E67" s="1039"/>
      <c r="F67" s="1039"/>
      <c r="G67" s="1039"/>
      <c r="H67" s="1039"/>
      <c r="I67" s="1039"/>
      <c r="J67" s="1039"/>
      <c r="K67" s="1039"/>
      <c r="L67" s="1039"/>
      <c r="M67" s="1039"/>
      <c r="N67" s="1039"/>
      <c r="O67" s="1039"/>
      <c r="P67" s="1039"/>
      <c r="Q67" s="1039"/>
      <c r="R67" s="1039"/>
    </row>
    <row r="68" spans="1:18" s="636" customFormat="1" ht="13.5" customHeight="1" x14ac:dyDescent="0.2">
      <c r="A68" s="1293" t="s">
        <v>696</v>
      </c>
      <c r="B68" s="1808" t="s">
        <v>554</v>
      </c>
      <c r="C68" s="1039"/>
      <c r="D68" s="1039"/>
      <c r="E68" s="1039"/>
      <c r="F68" s="1039"/>
      <c r="G68" s="1039"/>
      <c r="H68" s="1039"/>
      <c r="I68" s="1039"/>
      <c r="J68" s="1039"/>
      <c r="K68" s="1039"/>
      <c r="L68" s="1039"/>
      <c r="M68" s="1039"/>
      <c r="N68" s="1039"/>
      <c r="O68" s="1039"/>
      <c r="P68" s="1039"/>
      <c r="Q68" s="1039"/>
      <c r="R68" s="1039"/>
    </row>
    <row r="69" spans="1:18" s="636" customFormat="1" ht="13.5" customHeight="1" x14ac:dyDescent="0.2">
      <c r="A69" s="1293" t="s">
        <v>696</v>
      </c>
      <c r="B69" s="1807" t="s">
        <v>555</v>
      </c>
      <c r="C69" s="1039"/>
      <c r="D69" s="1039"/>
      <c r="E69" s="1039"/>
      <c r="F69" s="1039"/>
      <c r="G69" s="1039"/>
      <c r="H69" s="1039"/>
      <c r="I69" s="1039"/>
      <c r="J69" s="1039"/>
      <c r="K69" s="1039"/>
      <c r="L69" s="1039"/>
      <c r="M69" s="1039"/>
      <c r="N69" s="1039"/>
      <c r="O69" s="1039"/>
      <c r="P69" s="1039"/>
      <c r="Q69" s="1039"/>
      <c r="R69" s="1039"/>
    </row>
    <row r="70" spans="1:18" s="636" customFormat="1" ht="13.5" customHeight="1" x14ac:dyDescent="0.2">
      <c r="A70" s="1293" t="s">
        <v>696</v>
      </c>
      <c r="B70" s="1808" t="s">
        <v>548</v>
      </c>
      <c r="C70" s="1039"/>
      <c r="D70" s="1039"/>
      <c r="E70" s="1039"/>
      <c r="F70" s="1039"/>
      <c r="G70" s="1039"/>
      <c r="H70" s="1039"/>
      <c r="I70" s="1039"/>
      <c r="J70" s="1039"/>
      <c r="K70" s="1039"/>
      <c r="L70" s="1039"/>
      <c r="M70" s="1039"/>
      <c r="N70" s="1039"/>
      <c r="O70" s="1039"/>
      <c r="P70" s="1039"/>
      <c r="Q70" s="1039"/>
      <c r="R70" s="1039"/>
    </row>
    <row r="71" spans="1:18" s="636" customFormat="1" ht="13.5" customHeight="1" x14ac:dyDescent="0.2">
      <c r="A71" s="1293" t="s">
        <v>696</v>
      </c>
      <c r="B71" s="1807" t="s">
        <v>556</v>
      </c>
      <c r="C71" s="1039"/>
      <c r="D71" s="1039"/>
      <c r="E71" s="1039"/>
      <c r="F71" s="1039"/>
      <c r="G71" s="1039"/>
      <c r="H71" s="1039"/>
      <c r="I71" s="1039"/>
      <c r="J71" s="1039"/>
      <c r="K71" s="1039"/>
      <c r="L71" s="1039"/>
      <c r="M71" s="1039"/>
      <c r="N71" s="1039"/>
      <c r="O71" s="1039"/>
      <c r="P71" s="1039"/>
      <c r="Q71" s="1039"/>
      <c r="R71" s="1039"/>
    </row>
    <row r="72" spans="1:18" s="636" customFormat="1" ht="13.5" customHeight="1" x14ac:dyDescent="0.2">
      <c r="A72" s="1293" t="s">
        <v>696</v>
      </c>
      <c r="B72" s="1808" t="s">
        <v>557</v>
      </c>
      <c r="C72" s="1039"/>
      <c r="D72" s="1039"/>
      <c r="E72" s="1039"/>
      <c r="F72" s="1039"/>
      <c r="G72" s="1039"/>
      <c r="H72" s="1039"/>
      <c r="I72" s="1039"/>
      <c r="J72" s="1039"/>
      <c r="K72" s="1039"/>
      <c r="L72" s="1039"/>
      <c r="M72" s="1039"/>
      <c r="N72" s="1039"/>
      <c r="O72" s="1039"/>
      <c r="P72" s="1039"/>
      <c r="Q72" s="1039"/>
      <c r="R72" s="1039"/>
    </row>
    <row r="73" spans="1:18" s="636" customFormat="1" ht="13.5" customHeight="1" x14ac:dyDescent="0.2">
      <c r="A73" s="1293" t="s">
        <v>696</v>
      </c>
      <c r="B73" s="1807" t="s">
        <v>549</v>
      </c>
      <c r="C73" s="1039"/>
      <c r="D73" s="1039"/>
      <c r="E73" s="1039"/>
      <c r="F73" s="1039"/>
      <c r="G73" s="1039"/>
      <c r="H73" s="1039"/>
      <c r="I73" s="1039"/>
      <c r="J73" s="1039"/>
      <c r="K73" s="1039"/>
      <c r="L73" s="1039"/>
      <c r="M73" s="1039"/>
      <c r="N73" s="1039"/>
      <c r="O73" s="1039"/>
      <c r="P73" s="1039"/>
      <c r="Q73" s="1039"/>
      <c r="R73" s="1039"/>
    </row>
    <row r="74" spans="1:18" s="636" customFormat="1" ht="13.5" customHeight="1" x14ac:dyDescent="0.2">
      <c r="A74" s="1293" t="s">
        <v>696</v>
      </c>
      <c r="B74" s="1808" t="s">
        <v>558</v>
      </c>
      <c r="C74" s="1039"/>
      <c r="D74" s="1039"/>
      <c r="E74" s="1039"/>
      <c r="F74" s="1039"/>
      <c r="G74" s="1039"/>
      <c r="H74" s="1039"/>
      <c r="I74" s="1039"/>
      <c r="J74" s="1039"/>
      <c r="K74" s="1039"/>
      <c r="L74" s="1039"/>
      <c r="M74" s="1039"/>
      <c r="N74" s="1039"/>
      <c r="O74" s="1039"/>
      <c r="P74" s="1039"/>
      <c r="Q74" s="1039"/>
      <c r="R74" s="1039"/>
    </row>
    <row r="75" spans="1:18" s="636" customFormat="1" ht="13.5" customHeight="1" x14ac:dyDescent="0.2">
      <c r="A75" s="1293" t="s">
        <v>696</v>
      </c>
      <c r="B75" s="1807" t="s">
        <v>559</v>
      </c>
      <c r="C75" s="1039"/>
      <c r="D75" s="1039"/>
      <c r="E75" s="1039"/>
      <c r="F75" s="1039"/>
      <c r="G75" s="1039"/>
      <c r="H75" s="1039"/>
      <c r="I75" s="1039"/>
      <c r="J75" s="1039"/>
      <c r="K75" s="1039"/>
      <c r="L75" s="1039"/>
      <c r="M75" s="1039"/>
      <c r="N75" s="1039"/>
      <c r="O75" s="1039"/>
      <c r="P75" s="1039"/>
      <c r="Q75" s="1039"/>
      <c r="R75" s="1039"/>
    </row>
    <row r="76" spans="1:18" s="636" customFormat="1" ht="13.5" customHeight="1" x14ac:dyDescent="0.2">
      <c r="A76" s="1293" t="s">
        <v>696</v>
      </c>
      <c r="B76" s="1808" t="s">
        <v>550</v>
      </c>
      <c r="C76" s="1039"/>
      <c r="D76" s="1039"/>
      <c r="E76" s="1039"/>
      <c r="F76" s="1039"/>
      <c r="G76" s="1039"/>
      <c r="H76" s="1039"/>
      <c r="I76" s="1039"/>
      <c r="J76" s="1039"/>
      <c r="K76" s="1039"/>
      <c r="L76" s="1039"/>
      <c r="M76" s="1039"/>
      <c r="N76" s="1039"/>
      <c r="O76" s="1039"/>
      <c r="P76" s="1039"/>
      <c r="Q76" s="1039"/>
      <c r="R76" s="1039"/>
    </row>
    <row r="77" spans="1:18" s="636" customFormat="1" ht="13.5" customHeight="1" x14ac:dyDescent="0.2">
      <c r="A77" s="1293" t="s">
        <v>804</v>
      </c>
      <c r="B77" s="1807" t="s">
        <v>552</v>
      </c>
      <c r="C77" s="1039"/>
      <c r="D77" s="1039"/>
      <c r="E77" s="1039"/>
      <c r="F77" s="1039"/>
      <c r="G77" s="1039"/>
      <c r="H77" s="1039"/>
      <c r="I77" s="1039"/>
      <c r="J77" s="1039"/>
      <c r="K77" s="1039"/>
      <c r="L77" s="1039"/>
      <c r="M77" s="1039"/>
      <c r="N77" s="1039"/>
      <c r="O77" s="1039"/>
      <c r="P77" s="1039"/>
      <c r="Q77" s="1039"/>
      <c r="R77" s="1039"/>
    </row>
    <row r="78" spans="1:18" s="636" customFormat="1" ht="13.5" customHeight="1" x14ac:dyDescent="0.2">
      <c r="A78" s="1293" t="s">
        <v>804</v>
      </c>
      <c r="B78" s="1808" t="s">
        <v>553</v>
      </c>
      <c r="C78" s="1039"/>
      <c r="D78" s="1039"/>
      <c r="E78" s="1039"/>
      <c r="F78" s="1039"/>
      <c r="G78" s="1039"/>
      <c r="H78" s="1039"/>
      <c r="I78" s="1039"/>
      <c r="J78" s="1039"/>
      <c r="K78" s="1039"/>
      <c r="L78" s="1039"/>
      <c r="M78" s="1039"/>
      <c r="N78" s="1039"/>
      <c r="O78" s="1039"/>
      <c r="P78" s="1039"/>
      <c r="Q78" s="1039"/>
      <c r="R78" s="1039"/>
    </row>
    <row r="79" spans="1:18" s="636" customFormat="1" ht="13.5" customHeight="1" x14ac:dyDescent="0.2">
      <c r="A79" s="1293" t="s">
        <v>804</v>
      </c>
      <c r="B79" s="1807" t="s">
        <v>547</v>
      </c>
      <c r="C79" s="1039"/>
      <c r="D79" s="1039"/>
      <c r="E79" s="1039"/>
      <c r="F79" s="1039"/>
      <c r="G79" s="1039"/>
      <c r="H79" s="1039"/>
      <c r="I79" s="1039"/>
      <c r="J79" s="1039"/>
      <c r="K79" s="1039"/>
      <c r="L79" s="1039"/>
      <c r="M79" s="1039"/>
      <c r="N79" s="1039"/>
      <c r="O79" s="1039"/>
      <c r="P79" s="1039"/>
      <c r="Q79" s="1039"/>
      <c r="R79" s="1039"/>
    </row>
    <row r="80" spans="1:18" s="636" customFormat="1" ht="13.5" customHeight="1" x14ac:dyDescent="0.2">
      <c r="A80" s="1293" t="s">
        <v>804</v>
      </c>
      <c r="B80" s="1808" t="s">
        <v>554</v>
      </c>
      <c r="C80" s="1039"/>
      <c r="D80" s="1039"/>
      <c r="E80" s="1039"/>
      <c r="F80" s="1039"/>
      <c r="G80" s="1039"/>
      <c r="H80" s="1039"/>
      <c r="I80" s="1039"/>
      <c r="J80" s="1039"/>
      <c r="K80" s="1039"/>
      <c r="L80" s="1039"/>
      <c r="M80" s="1039"/>
      <c r="N80" s="1039"/>
      <c r="O80" s="1039"/>
      <c r="P80" s="1039"/>
      <c r="Q80" s="1039"/>
      <c r="R80" s="1039"/>
    </row>
    <row r="81" spans="1:18" s="636" customFormat="1" ht="13.5" customHeight="1" x14ac:dyDescent="0.2">
      <c r="A81" s="1293" t="s">
        <v>804</v>
      </c>
      <c r="B81" s="1807" t="s">
        <v>555</v>
      </c>
      <c r="C81" s="1039"/>
      <c r="D81" s="1039"/>
      <c r="E81" s="1039"/>
      <c r="F81" s="1039"/>
      <c r="G81" s="1039"/>
      <c r="H81" s="1039"/>
      <c r="I81" s="1039"/>
      <c r="J81" s="1039"/>
      <c r="K81" s="1039"/>
      <c r="L81" s="1039"/>
      <c r="M81" s="1039"/>
      <c r="N81" s="1039"/>
      <c r="O81" s="1039"/>
      <c r="P81" s="1039"/>
      <c r="Q81" s="1039"/>
      <c r="R81" s="1039"/>
    </row>
    <row r="82" spans="1:18" s="636" customFormat="1" ht="13.5" customHeight="1" x14ac:dyDescent="0.2">
      <c r="A82" s="1293" t="s">
        <v>804</v>
      </c>
      <c r="B82" s="1808" t="s">
        <v>548</v>
      </c>
      <c r="C82" s="1039"/>
      <c r="D82" s="1039"/>
      <c r="E82" s="1039"/>
      <c r="F82" s="1039"/>
      <c r="G82" s="1039"/>
      <c r="H82" s="1039"/>
      <c r="I82" s="1039"/>
      <c r="J82" s="1039"/>
      <c r="K82" s="1039"/>
      <c r="L82" s="1039"/>
      <c r="M82" s="1039"/>
      <c r="N82" s="1039"/>
      <c r="O82" s="1039"/>
      <c r="P82" s="1039"/>
      <c r="Q82" s="1039"/>
      <c r="R82" s="1039"/>
    </row>
    <row r="83" spans="1:18" s="636" customFormat="1" ht="13.5" customHeight="1" x14ac:dyDescent="0.2">
      <c r="A83" s="1293" t="s">
        <v>804</v>
      </c>
      <c r="B83" s="1807" t="s">
        <v>556</v>
      </c>
      <c r="C83" s="1039"/>
      <c r="D83" s="1039"/>
      <c r="E83" s="1039"/>
      <c r="F83" s="1039"/>
      <c r="G83" s="1039"/>
      <c r="H83" s="1039"/>
      <c r="I83" s="1039"/>
      <c r="J83" s="1039"/>
      <c r="K83" s="1039"/>
      <c r="L83" s="1039"/>
      <c r="M83" s="1039"/>
      <c r="N83" s="1039"/>
      <c r="O83" s="1039"/>
      <c r="P83" s="1039"/>
      <c r="Q83" s="1039"/>
      <c r="R83" s="1039"/>
    </row>
    <row r="84" spans="1:18" s="636" customFormat="1" ht="13.5" customHeight="1" x14ac:dyDescent="0.2">
      <c r="A84" s="1293" t="s">
        <v>804</v>
      </c>
      <c r="B84" s="1808" t="s">
        <v>557</v>
      </c>
      <c r="C84" s="1039"/>
      <c r="D84" s="1039"/>
      <c r="E84" s="1039"/>
      <c r="F84" s="1039"/>
      <c r="G84" s="1039"/>
      <c r="H84" s="1039"/>
      <c r="I84" s="1039"/>
      <c r="J84" s="1039"/>
      <c r="K84" s="1039"/>
      <c r="L84" s="1039"/>
      <c r="M84" s="1039"/>
      <c r="N84" s="1039"/>
      <c r="O84" s="1039"/>
      <c r="P84" s="1039"/>
      <c r="Q84" s="1039"/>
      <c r="R84" s="1039"/>
    </row>
    <row r="85" spans="1:18" s="636" customFormat="1" ht="13.5" customHeight="1" x14ac:dyDescent="0.2">
      <c r="A85" s="1293" t="s">
        <v>804</v>
      </c>
      <c r="B85" s="1807" t="s">
        <v>549</v>
      </c>
      <c r="C85" s="1039"/>
      <c r="D85" s="1039"/>
      <c r="E85" s="1039"/>
      <c r="F85" s="1039"/>
      <c r="G85" s="1039"/>
      <c r="H85" s="1039"/>
      <c r="I85" s="1039"/>
      <c r="J85" s="1039"/>
      <c r="K85" s="1039"/>
      <c r="L85" s="1039"/>
      <c r="M85" s="1039"/>
      <c r="N85" s="1039"/>
      <c r="O85" s="1039"/>
      <c r="P85" s="1039"/>
      <c r="Q85" s="1039"/>
      <c r="R85" s="1039"/>
    </row>
    <row r="86" spans="1:18" s="636" customFormat="1" ht="13.5" customHeight="1" x14ac:dyDescent="0.2">
      <c r="A86" s="1293" t="s">
        <v>804</v>
      </c>
      <c r="B86" s="1808" t="s">
        <v>558</v>
      </c>
      <c r="C86" s="1039"/>
      <c r="D86" s="1039"/>
      <c r="E86" s="1039"/>
      <c r="F86" s="1039"/>
      <c r="G86" s="1039"/>
      <c r="H86" s="1039"/>
      <c r="I86" s="1039"/>
      <c r="J86" s="1039"/>
      <c r="K86" s="1039"/>
      <c r="L86" s="1039"/>
      <c r="M86" s="1039"/>
      <c r="N86" s="1039"/>
      <c r="O86" s="1039"/>
      <c r="P86" s="1039"/>
      <c r="Q86" s="1039"/>
      <c r="R86" s="1039"/>
    </row>
    <row r="87" spans="1:18" s="636" customFormat="1" ht="13.5" customHeight="1" x14ac:dyDescent="0.2">
      <c r="A87" s="1293" t="s">
        <v>804</v>
      </c>
      <c r="B87" s="1807" t="s">
        <v>559</v>
      </c>
      <c r="C87" s="1039"/>
      <c r="D87" s="1039"/>
      <c r="E87" s="1039"/>
      <c r="F87" s="1039"/>
      <c r="G87" s="1039"/>
      <c r="H87" s="1039"/>
      <c r="I87" s="1039"/>
      <c r="J87" s="1039"/>
      <c r="K87" s="1039"/>
      <c r="L87" s="1039"/>
      <c r="M87" s="1039"/>
      <c r="N87" s="1039"/>
      <c r="O87" s="1039"/>
      <c r="P87" s="1039"/>
      <c r="Q87" s="1039"/>
      <c r="R87" s="1039"/>
    </row>
    <row r="88" spans="1:18" s="636" customFormat="1" ht="13.5" customHeight="1" x14ac:dyDescent="0.2">
      <c r="A88" s="1293" t="s">
        <v>804</v>
      </c>
      <c r="B88" s="1808" t="s">
        <v>550</v>
      </c>
      <c r="C88" s="1039"/>
      <c r="D88" s="1039"/>
      <c r="E88" s="1039"/>
      <c r="F88" s="1039"/>
      <c r="G88" s="1039"/>
      <c r="H88" s="1039"/>
      <c r="I88" s="1039"/>
      <c r="J88" s="1039"/>
      <c r="K88" s="1039"/>
      <c r="L88" s="1039"/>
      <c r="M88" s="1039"/>
      <c r="N88" s="1039"/>
      <c r="O88" s="1039"/>
      <c r="P88" s="1039"/>
      <c r="Q88" s="1039"/>
      <c r="R88" s="1039"/>
    </row>
    <row r="89" spans="1:18" s="636" customFormat="1" ht="13.5" customHeight="1" x14ac:dyDescent="0.2">
      <c r="A89" s="1293" t="s">
        <v>978</v>
      </c>
      <c r="B89" s="1807" t="s">
        <v>552</v>
      </c>
      <c r="C89" s="1039"/>
      <c r="D89" s="1039"/>
      <c r="E89" s="1039"/>
      <c r="F89" s="1039"/>
      <c r="G89" s="1039"/>
      <c r="H89" s="1039"/>
      <c r="I89" s="1039"/>
      <c r="J89" s="1039"/>
      <c r="K89" s="1039"/>
      <c r="L89" s="1039"/>
      <c r="M89" s="1039"/>
      <c r="N89" s="1039"/>
      <c r="O89" s="1039"/>
      <c r="P89" s="1039"/>
      <c r="Q89" s="1039"/>
      <c r="R89" s="1039"/>
    </row>
    <row r="90" spans="1:18" s="636" customFormat="1" ht="13.5" customHeight="1" x14ac:dyDescent="0.2">
      <c r="A90" s="1293" t="s">
        <v>978</v>
      </c>
      <c r="B90" s="1808" t="s">
        <v>553</v>
      </c>
      <c r="C90" s="1039"/>
      <c r="D90" s="1039"/>
      <c r="E90" s="1039"/>
      <c r="F90" s="1039"/>
      <c r="G90" s="1039"/>
      <c r="H90" s="1039"/>
      <c r="I90" s="1039"/>
      <c r="J90" s="1039"/>
      <c r="K90" s="1039"/>
      <c r="L90" s="1039"/>
      <c r="M90" s="1039"/>
      <c r="N90" s="1039"/>
      <c r="O90" s="1039"/>
      <c r="P90" s="1039"/>
      <c r="Q90" s="1039"/>
      <c r="R90" s="1039"/>
    </row>
    <row r="91" spans="1:18" s="636" customFormat="1" ht="13.5" customHeight="1" x14ac:dyDescent="0.2">
      <c r="A91" s="1293" t="s">
        <v>978</v>
      </c>
      <c r="B91" s="1807" t="s">
        <v>547</v>
      </c>
      <c r="C91" s="1039"/>
      <c r="D91" s="1039"/>
      <c r="E91" s="1039"/>
      <c r="F91" s="1039"/>
      <c r="G91" s="1039"/>
      <c r="H91" s="1039"/>
      <c r="I91" s="1039"/>
      <c r="J91" s="1039"/>
      <c r="K91" s="1039"/>
      <c r="L91" s="1039"/>
      <c r="M91" s="1039"/>
      <c r="N91" s="1039"/>
      <c r="O91" s="1039"/>
      <c r="P91" s="1039"/>
      <c r="Q91" s="1039"/>
      <c r="R91" s="1039"/>
    </row>
    <row r="92" spans="1:18" s="636" customFormat="1" ht="13.5" customHeight="1" x14ac:dyDescent="0.2">
      <c r="A92" s="1293" t="s">
        <v>978</v>
      </c>
      <c r="B92" s="1808" t="s">
        <v>554</v>
      </c>
      <c r="C92" s="1039"/>
      <c r="D92" s="1039"/>
      <c r="E92" s="1039"/>
      <c r="F92" s="1039"/>
      <c r="G92" s="1039"/>
      <c r="H92" s="1039"/>
      <c r="I92" s="1039"/>
      <c r="J92" s="1039"/>
      <c r="K92" s="1039"/>
      <c r="L92" s="1039"/>
      <c r="M92" s="1039"/>
      <c r="N92" s="1039"/>
      <c r="O92" s="1039"/>
      <c r="P92" s="1039"/>
      <c r="Q92" s="1039"/>
      <c r="R92" s="1039"/>
    </row>
    <row r="93" spans="1:18" s="636" customFormat="1" ht="13.5" customHeight="1" x14ac:dyDescent="0.2">
      <c r="A93" s="1293" t="s">
        <v>978</v>
      </c>
      <c r="B93" s="1807" t="s">
        <v>555</v>
      </c>
      <c r="C93" s="1039"/>
      <c r="D93" s="1039"/>
      <c r="E93" s="1039"/>
      <c r="F93" s="1039"/>
      <c r="G93" s="1039"/>
      <c r="H93" s="1039"/>
      <c r="I93" s="1039"/>
      <c r="J93" s="1039"/>
      <c r="K93" s="1039"/>
      <c r="L93" s="1039"/>
      <c r="M93" s="1039"/>
      <c r="N93" s="1039"/>
      <c r="O93" s="1039"/>
      <c r="P93" s="1039"/>
      <c r="Q93" s="1039"/>
      <c r="R93" s="1039"/>
    </row>
    <row r="94" spans="1:18" s="636" customFormat="1" ht="13.5" customHeight="1" x14ac:dyDescent="0.2">
      <c r="A94" s="1293" t="s">
        <v>978</v>
      </c>
      <c r="B94" s="1808" t="s">
        <v>548</v>
      </c>
      <c r="C94" s="1039"/>
      <c r="D94" s="1039"/>
      <c r="E94" s="1039"/>
      <c r="F94" s="1039"/>
      <c r="G94" s="1039"/>
      <c r="H94" s="1039"/>
      <c r="I94" s="1039"/>
      <c r="J94" s="1039"/>
      <c r="K94" s="1039"/>
      <c r="L94" s="1039"/>
      <c r="M94" s="1039"/>
      <c r="N94" s="1039"/>
      <c r="O94" s="1039"/>
      <c r="P94" s="1039"/>
      <c r="Q94" s="1039"/>
      <c r="R94" s="1039"/>
    </row>
    <row r="95" spans="1:18" s="636" customFormat="1" ht="13.5" customHeight="1" x14ac:dyDescent="0.2">
      <c r="A95" s="1293" t="s">
        <v>978</v>
      </c>
      <c r="B95" s="1807" t="s">
        <v>556</v>
      </c>
      <c r="C95" s="1039"/>
      <c r="D95" s="1039"/>
      <c r="E95" s="1039"/>
      <c r="F95" s="1039"/>
      <c r="G95" s="1039"/>
      <c r="H95" s="1039"/>
      <c r="I95" s="1039"/>
      <c r="J95" s="1039"/>
      <c r="K95" s="1039"/>
      <c r="L95" s="1039"/>
      <c r="M95" s="1039"/>
      <c r="N95" s="1039"/>
      <c r="O95" s="1039"/>
      <c r="P95" s="1039"/>
      <c r="Q95" s="1039"/>
      <c r="R95" s="1039"/>
    </row>
    <row r="96" spans="1:18" s="636" customFormat="1" ht="13.5" customHeight="1" x14ac:dyDescent="0.2">
      <c r="A96" s="1293" t="s">
        <v>978</v>
      </c>
      <c r="B96" s="1808" t="s">
        <v>557</v>
      </c>
      <c r="C96" s="1039"/>
      <c r="D96" s="1039"/>
      <c r="E96" s="1039"/>
      <c r="F96" s="1039"/>
      <c r="G96" s="1039"/>
      <c r="H96" s="1039"/>
      <c r="I96" s="1039"/>
      <c r="J96" s="1039"/>
      <c r="K96" s="1039"/>
      <c r="L96" s="1039"/>
      <c r="M96" s="1039"/>
      <c r="N96" s="1039"/>
      <c r="O96" s="1039"/>
      <c r="P96" s="1039"/>
      <c r="Q96" s="1039"/>
      <c r="R96" s="1039"/>
    </row>
    <row r="97" spans="1:18" s="636" customFormat="1" ht="13.5" customHeight="1" x14ac:dyDescent="0.2">
      <c r="A97" s="1293" t="s">
        <v>978</v>
      </c>
      <c r="B97" s="1807" t="s">
        <v>549</v>
      </c>
      <c r="C97" s="1039"/>
      <c r="D97" s="1039"/>
      <c r="E97" s="1039"/>
      <c r="F97" s="1039"/>
      <c r="G97" s="1039"/>
      <c r="H97" s="1039"/>
      <c r="I97" s="1039"/>
      <c r="J97" s="1039"/>
      <c r="K97" s="1039"/>
      <c r="L97" s="1039"/>
      <c r="M97" s="1039"/>
      <c r="N97" s="1039"/>
      <c r="O97" s="1039"/>
      <c r="P97" s="1039"/>
      <c r="Q97" s="1039"/>
      <c r="R97" s="1039"/>
    </row>
    <row r="98" spans="1:18" s="636" customFormat="1" ht="13.5" customHeight="1" x14ac:dyDescent="0.2">
      <c r="A98" s="1293" t="s">
        <v>978</v>
      </c>
      <c r="B98" s="1808" t="s">
        <v>558</v>
      </c>
      <c r="C98" s="1039"/>
      <c r="D98" s="1039"/>
      <c r="E98" s="1039"/>
      <c r="F98" s="1039"/>
      <c r="G98" s="1039"/>
      <c r="H98" s="1039"/>
      <c r="I98" s="1039"/>
      <c r="J98" s="1039"/>
      <c r="K98" s="1039"/>
      <c r="L98" s="1039"/>
      <c r="M98" s="1039"/>
      <c r="N98" s="1039"/>
      <c r="O98" s="1039"/>
      <c r="P98" s="1039"/>
      <c r="Q98" s="1039"/>
      <c r="R98" s="1039"/>
    </row>
    <row r="99" spans="1:18" s="636" customFormat="1" ht="13.5" customHeight="1" x14ac:dyDescent="0.2">
      <c r="A99" s="1293" t="s">
        <v>978</v>
      </c>
      <c r="B99" s="1807" t="s">
        <v>559</v>
      </c>
      <c r="C99" s="1039"/>
      <c r="D99" s="1039"/>
      <c r="E99" s="1039"/>
      <c r="F99" s="1039"/>
      <c r="G99" s="1039"/>
      <c r="H99" s="1039"/>
      <c r="I99" s="1039"/>
      <c r="J99" s="1039"/>
      <c r="K99" s="1039"/>
      <c r="L99" s="1039"/>
      <c r="M99" s="1039"/>
      <c r="N99" s="1039"/>
      <c r="O99" s="1039"/>
      <c r="P99" s="1039"/>
      <c r="Q99" s="1039"/>
      <c r="R99" s="1039"/>
    </row>
    <row r="100" spans="1:18" s="636" customFormat="1" ht="13.5" customHeight="1" x14ac:dyDescent="0.2">
      <c r="A100" s="1293" t="s">
        <v>978</v>
      </c>
      <c r="B100" s="1808" t="s">
        <v>550</v>
      </c>
      <c r="C100" s="1039"/>
      <c r="D100" s="1039"/>
      <c r="E100" s="1039"/>
      <c r="F100" s="1039"/>
      <c r="G100" s="1039"/>
      <c r="H100" s="1039"/>
      <c r="I100" s="1039"/>
      <c r="J100" s="1039"/>
      <c r="K100" s="1039"/>
      <c r="L100" s="1039"/>
      <c r="M100" s="1039"/>
      <c r="N100" s="1039"/>
      <c r="O100" s="1039"/>
      <c r="P100" s="1039"/>
      <c r="Q100" s="1039"/>
      <c r="R100" s="1039"/>
    </row>
    <row r="101" spans="1:18" s="636" customFormat="1" ht="13.5" customHeight="1" x14ac:dyDescent="0.2">
      <c r="A101" s="1293" t="s">
        <v>1029</v>
      </c>
      <c r="B101" s="1807" t="s">
        <v>552</v>
      </c>
      <c r="C101" s="1039"/>
      <c r="D101" s="1039"/>
      <c r="E101" s="1039"/>
      <c r="F101" s="1039"/>
      <c r="G101" s="1039"/>
      <c r="H101" s="1039"/>
      <c r="I101" s="1039"/>
      <c r="J101" s="1039"/>
      <c r="K101" s="1039"/>
      <c r="L101" s="1039"/>
      <c r="M101" s="1039"/>
      <c r="N101" s="1039"/>
      <c r="O101" s="1039"/>
      <c r="P101" s="1039"/>
      <c r="Q101" s="1039"/>
      <c r="R101" s="1039"/>
    </row>
    <row r="102" spans="1:18" s="636" customFormat="1" ht="13.5" customHeight="1" x14ac:dyDescent="0.2">
      <c r="A102" s="1293" t="s">
        <v>1029</v>
      </c>
      <c r="B102" s="1808" t="s">
        <v>553</v>
      </c>
      <c r="C102" s="1039"/>
      <c r="D102" s="1039"/>
      <c r="E102" s="1039"/>
      <c r="F102" s="1039"/>
      <c r="G102" s="1039"/>
      <c r="H102" s="1039"/>
      <c r="I102" s="1039"/>
      <c r="J102" s="1039"/>
      <c r="K102" s="1039"/>
      <c r="L102" s="1039"/>
      <c r="M102" s="1039"/>
      <c r="N102" s="1039"/>
      <c r="O102" s="1039"/>
      <c r="P102" s="1039"/>
      <c r="Q102" s="1039"/>
      <c r="R102" s="1039"/>
    </row>
    <row r="103" spans="1:18" s="636" customFormat="1" ht="13.5" customHeight="1" x14ac:dyDescent="0.2">
      <c r="A103" s="1293" t="s">
        <v>1029</v>
      </c>
      <c r="B103" s="1807" t="s">
        <v>547</v>
      </c>
      <c r="C103" s="1039"/>
      <c r="D103" s="1039"/>
      <c r="E103" s="1039"/>
      <c r="F103" s="1039"/>
      <c r="G103" s="1039"/>
      <c r="H103" s="1039"/>
      <c r="I103" s="1039"/>
      <c r="J103" s="1039"/>
      <c r="K103" s="1039"/>
      <c r="L103" s="1039"/>
      <c r="M103" s="1039"/>
      <c r="N103" s="1039"/>
      <c r="O103" s="1039"/>
      <c r="P103" s="1039"/>
      <c r="Q103" s="1039"/>
      <c r="R103" s="1039"/>
    </row>
    <row r="104" spans="1:18" s="636" customFormat="1" ht="13.5" customHeight="1" x14ac:dyDescent="0.2">
      <c r="A104" s="1293" t="s">
        <v>1029</v>
      </c>
      <c r="B104" s="1808" t="s">
        <v>554</v>
      </c>
      <c r="C104" s="1039"/>
      <c r="D104" s="1039"/>
      <c r="E104" s="1039"/>
      <c r="F104" s="1039"/>
      <c r="G104" s="1039"/>
      <c r="H104" s="1039"/>
      <c r="I104" s="1039"/>
      <c r="J104" s="1039"/>
      <c r="K104" s="1039"/>
      <c r="L104" s="1039"/>
      <c r="M104" s="1039"/>
      <c r="N104" s="1039"/>
      <c r="O104" s="1039"/>
      <c r="P104" s="1039"/>
      <c r="Q104" s="1039"/>
      <c r="R104" s="1039"/>
    </row>
    <row r="105" spans="1:18" s="636" customFormat="1" ht="13.5" customHeight="1" x14ac:dyDescent="0.2">
      <c r="A105" s="1293" t="s">
        <v>1029</v>
      </c>
      <c r="B105" s="1807" t="s">
        <v>555</v>
      </c>
      <c r="C105" s="1039"/>
      <c r="D105" s="1039"/>
      <c r="E105" s="1039"/>
      <c r="F105" s="1039"/>
      <c r="G105" s="1039"/>
      <c r="H105" s="1039"/>
      <c r="I105" s="1039"/>
      <c r="J105" s="1039"/>
      <c r="K105" s="1039"/>
      <c r="L105" s="1039"/>
      <c r="M105" s="1039"/>
      <c r="N105" s="1039"/>
      <c r="O105" s="1039"/>
      <c r="P105" s="1039"/>
      <c r="Q105" s="1039"/>
      <c r="R105" s="1039"/>
    </row>
    <row r="106" spans="1:18" s="636" customFormat="1" ht="13.5" customHeight="1" x14ac:dyDescent="0.2">
      <c r="A106" s="1293" t="s">
        <v>1029</v>
      </c>
      <c r="B106" s="1808" t="s">
        <v>548</v>
      </c>
      <c r="C106" s="1039"/>
      <c r="D106" s="1039"/>
      <c r="E106" s="1039"/>
      <c r="F106" s="1039"/>
      <c r="G106" s="1039"/>
      <c r="H106" s="1039"/>
      <c r="I106" s="1039"/>
      <c r="J106" s="1039"/>
      <c r="K106" s="1039"/>
      <c r="L106" s="1039"/>
      <c r="M106" s="1039"/>
      <c r="N106" s="1039"/>
      <c r="O106" s="1039"/>
      <c r="P106" s="1039"/>
      <c r="Q106" s="1039"/>
      <c r="R106" s="1039"/>
    </row>
    <row r="107" spans="1:18" s="636" customFormat="1" ht="13.5" customHeight="1" x14ac:dyDescent="0.2">
      <c r="A107" s="1293" t="s">
        <v>1029</v>
      </c>
      <c r="B107" s="1807" t="s">
        <v>556</v>
      </c>
      <c r="C107" s="1039"/>
      <c r="D107" s="1039"/>
      <c r="E107" s="1039"/>
      <c r="F107" s="1039"/>
      <c r="G107" s="1039"/>
      <c r="H107" s="1039"/>
      <c r="I107" s="1039"/>
      <c r="J107" s="1039"/>
      <c r="K107" s="1039"/>
      <c r="L107" s="1039"/>
      <c r="M107" s="1039"/>
      <c r="N107" s="1039"/>
      <c r="O107" s="1039"/>
      <c r="P107" s="1039"/>
      <c r="Q107" s="1039"/>
      <c r="R107" s="1039"/>
    </row>
    <row r="108" spans="1:18" s="636" customFormat="1" ht="13.5" customHeight="1" x14ac:dyDescent="0.2">
      <c r="A108" s="1293" t="s">
        <v>1029</v>
      </c>
      <c r="B108" s="1808" t="s">
        <v>557</v>
      </c>
      <c r="C108" s="1039"/>
      <c r="D108" s="1039"/>
      <c r="E108" s="1039"/>
      <c r="F108" s="1039"/>
      <c r="G108" s="1039"/>
      <c r="H108" s="1039"/>
      <c r="I108" s="1039"/>
      <c r="J108" s="1039"/>
      <c r="K108" s="1039"/>
      <c r="L108" s="1039"/>
      <c r="M108" s="1039"/>
      <c r="N108" s="1039"/>
      <c r="O108" s="1039"/>
      <c r="P108" s="1039"/>
      <c r="Q108" s="1039"/>
      <c r="R108" s="1039"/>
    </row>
    <row r="109" spans="1:18" s="636" customFormat="1" ht="13.5" customHeight="1" x14ac:dyDescent="0.2">
      <c r="A109" s="1293" t="s">
        <v>1029</v>
      </c>
      <c r="B109" s="1807" t="s">
        <v>549</v>
      </c>
      <c r="C109" s="1039"/>
      <c r="D109" s="1039"/>
      <c r="E109" s="1039"/>
      <c r="F109" s="1039"/>
      <c r="G109" s="1039"/>
      <c r="H109" s="1039"/>
      <c r="I109" s="1039"/>
      <c r="J109" s="1039"/>
      <c r="K109" s="1039"/>
      <c r="L109" s="1039"/>
      <c r="M109" s="1039"/>
      <c r="N109" s="1039"/>
      <c r="O109" s="1039"/>
      <c r="P109" s="1039"/>
      <c r="Q109" s="1039"/>
      <c r="R109" s="1039"/>
    </row>
    <row r="110" spans="1:18" s="636" customFormat="1" ht="13.5" customHeight="1" x14ac:dyDescent="0.2">
      <c r="A110" s="1293" t="s">
        <v>1029</v>
      </c>
      <c r="B110" s="1808" t="s">
        <v>558</v>
      </c>
      <c r="C110" s="1039"/>
      <c r="D110" s="1039"/>
      <c r="E110" s="1039"/>
      <c r="F110" s="1039"/>
      <c r="G110" s="1039"/>
      <c r="H110" s="1039"/>
      <c r="I110" s="1039"/>
      <c r="J110" s="1039"/>
      <c r="K110" s="1039"/>
      <c r="L110" s="1039"/>
      <c r="M110" s="1039"/>
      <c r="N110" s="1039"/>
      <c r="O110" s="1039"/>
      <c r="P110" s="1039"/>
      <c r="Q110" s="1039"/>
      <c r="R110" s="1039"/>
    </row>
    <row r="111" spans="1:18" s="636" customFormat="1" ht="13.5" customHeight="1" x14ac:dyDescent="0.2">
      <c r="A111" s="1293" t="s">
        <v>1029</v>
      </c>
      <c r="B111" s="1807" t="s">
        <v>559</v>
      </c>
      <c r="C111" s="1039"/>
      <c r="D111" s="1039"/>
      <c r="E111" s="1039"/>
      <c r="F111" s="1039"/>
      <c r="G111" s="1039"/>
      <c r="H111" s="1039"/>
      <c r="I111" s="1039"/>
      <c r="J111" s="1039"/>
      <c r="K111" s="1039"/>
      <c r="L111" s="1039"/>
      <c r="M111" s="1039"/>
      <c r="N111" s="1039"/>
      <c r="O111" s="1039"/>
      <c r="P111" s="1039"/>
      <c r="Q111" s="1039"/>
      <c r="R111" s="1039"/>
    </row>
    <row r="112" spans="1:18" s="636" customFormat="1" ht="13.5" customHeight="1" x14ac:dyDescent="0.2">
      <c r="A112" s="1293" t="s">
        <v>1029</v>
      </c>
      <c r="B112" s="1808" t="s">
        <v>550</v>
      </c>
      <c r="C112" s="1039"/>
      <c r="D112" s="1039"/>
      <c r="E112" s="1039"/>
      <c r="F112" s="1039"/>
      <c r="G112" s="1039"/>
      <c r="H112" s="1039"/>
      <c r="I112" s="1039"/>
      <c r="J112" s="1039"/>
      <c r="K112" s="1039"/>
      <c r="L112" s="1039"/>
      <c r="M112" s="1039"/>
      <c r="N112" s="1039"/>
      <c r="O112" s="1039"/>
      <c r="P112" s="1039"/>
      <c r="Q112" s="1039"/>
      <c r="R112" s="1039"/>
    </row>
    <row r="113" spans="1:18" s="636" customFormat="1" ht="13.5" customHeight="1" x14ac:dyDescent="0.2">
      <c r="A113" s="1293" t="s">
        <v>1150</v>
      </c>
      <c r="B113" s="1807" t="s">
        <v>552</v>
      </c>
      <c r="C113" s="1039"/>
      <c r="D113" s="1039"/>
      <c r="E113" s="1039"/>
      <c r="F113" s="1039"/>
      <c r="G113" s="1039"/>
      <c r="H113" s="1039"/>
      <c r="I113" s="1039"/>
      <c r="J113" s="1039"/>
      <c r="K113" s="1039"/>
      <c r="L113" s="1039"/>
      <c r="M113" s="1039"/>
      <c r="N113" s="1039"/>
      <c r="O113" s="1039"/>
      <c r="P113" s="1039"/>
      <c r="Q113" s="1039"/>
      <c r="R113" s="1039"/>
    </row>
    <row r="114" spans="1:18" s="636" customFormat="1" ht="13.5" customHeight="1" x14ac:dyDescent="0.2">
      <c r="A114" s="1293" t="s">
        <v>1150</v>
      </c>
      <c r="B114" s="1808" t="s">
        <v>553</v>
      </c>
      <c r="C114" s="1039"/>
      <c r="D114" s="1039"/>
      <c r="E114" s="1039"/>
      <c r="F114" s="1039"/>
      <c r="G114" s="1039"/>
      <c r="H114" s="1039"/>
      <c r="I114" s="1039"/>
      <c r="J114" s="1039"/>
      <c r="K114" s="1039"/>
      <c r="L114" s="1039"/>
      <c r="M114" s="1039"/>
      <c r="N114" s="1039"/>
      <c r="O114" s="1039"/>
      <c r="P114" s="1039"/>
      <c r="Q114" s="1039"/>
      <c r="R114" s="1039"/>
    </row>
    <row r="115" spans="1:18" s="636" customFormat="1" ht="13.5" customHeight="1" x14ac:dyDescent="0.2">
      <c r="A115" s="1293" t="s">
        <v>1150</v>
      </c>
      <c r="B115" s="1807" t="s">
        <v>547</v>
      </c>
      <c r="C115" s="1039"/>
      <c r="D115" s="1039"/>
      <c r="E115" s="1039"/>
      <c r="F115" s="1039"/>
      <c r="G115" s="1039"/>
      <c r="H115" s="1039"/>
      <c r="I115" s="1039"/>
      <c r="J115" s="1039"/>
      <c r="K115" s="1039"/>
      <c r="L115" s="1039"/>
      <c r="M115" s="1039"/>
      <c r="N115" s="1039"/>
      <c r="O115" s="1039"/>
      <c r="P115" s="1039"/>
      <c r="Q115" s="1039"/>
      <c r="R115" s="1039"/>
    </row>
    <row r="116" spans="1:18" s="636" customFormat="1" ht="13.5" customHeight="1" x14ac:dyDescent="0.2">
      <c r="A116" s="1293" t="s">
        <v>1150</v>
      </c>
      <c r="B116" s="1808" t="s">
        <v>554</v>
      </c>
      <c r="C116" s="1039"/>
      <c r="D116" s="1039"/>
      <c r="E116" s="1039"/>
      <c r="F116" s="1039"/>
      <c r="G116" s="1039"/>
      <c r="H116" s="1039"/>
      <c r="I116" s="1039"/>
      <c r="J116" s="1039"/>
      <c r="K116" s="1039"/>
      <c r="L116" s="1039"/>
      <c r="M116" s="1039"/>
      <c r="N116" s="1039"/>
      <c r="O116" s="1039"/>
      <c r="P116" s="1039"/>
      <c r="Q116" s="1039"/>
      <c r="R116" s="1039"/>
    </row>
    <row r="117" spans="1:18" s="636" customFormat="1" ht="13.5" customHeight="1" x14ac:dyDescent="0.2">
      <c r="A117" s="1293" t="s">
        <v>1150</v>
      </c>
      <c r="B117" s="1807" t="s">
        <v>555</v>
      </c>
      <c r="C117" s="1039"/>
      <c r="D117" s="1039"/>
      <c r="E117" s="1039"/>
      <c r="F117" s="1039"/>
      <c r="G117" s="1039"/>
      <c r="H117" s="1039"/>
      <c r="I117" s="1039"/>
      <c r="J117" s="1039"/>
      <c r="K117" s="1039"/>
      <c r="L117" s="1039"/>
      <c r="M117" s="1039"/>
      <c r="N117" s="1039"/>
      <c r="O117" s="1039"/>
      <c r="P117" s="1039"/>
      <c r="Q117" s="1039"/>
      <c r="R117" s="1039"/>
    </row>
    <row r="118" spans="1:18" s="636" customFormat="1" ht="13.5" customHeight="1" x14ac:dyDescent="0.2">
      <c r="A118" s="1293" t="s">
        <v>1150</v>
      </c>
      <c r="B118" s="1808" t="s">
        <v>548</v>
      </c>
      <c r="C118" s="1039"/>
      <c r="D118" s="1039"/>
      <c r="E118" s="1039"/>
      <c r="F118" s="1039"/>
      <c r="G118" s="1039"/>
      <c r="H118" s="1039"/>
      <c r="I118" s="1039"/>
      <c r="J118" s="1039"/>
      <c r="K118" s="1039"/>
      <c r="L118" s="1039"/>
      <c r="M118" s="1039"/>
      <c r="N118" s="1039"/>
      <c r="O118" s="1039"/>
      <c r="P118" s="1039"/>
      <c r="Q118" s="1039"/>
      <c r="R118" s="1039"/>
    </row>
    <row r="119" spans="1:18" s="636" customFormat="1" ht="13.5" customHeight="1" x14ac:dyDescent="0.2">
      <c r="A119" s="1293" t="s">
        <v>1150</v>
      </c>
      <c r="B119" s="1807" t="s">
        <v>556</v>
      </c>
      <c r="C119" s="1039"/>
      <c r="D119" s="1039"/>
      <c r="E119" s="1039"/>
      <c r="F119" s="1039"/>
      <c r="G119" s="1039"/>
      <c r="H119" s="1039"/>
      <c r="I119" s="1039"/>
      <c r="J119" s="1039"/>
      <c r="K119" s="1039"/>
      <c r="L119" s="1039"/>
      <c r="M119" s="1039"/>
      <c r="N119" s="1039"/>
      <c r="O119" s="1039"/>
      <c r="P119" s="1039"/>
      <c r="Q119" s="1039"/>
      <c r="R119" s="1039"/>
    </row>
    <row r="120" spans="1:18" s="636" customFormat="1" ht="13.5" customHeight="1" x14ac:dyDescent="0.2">
      <c r="A120" s="1293" t="s">
        <v>1150</v>
      </c>
      <c r="B120" s="1808" t="s">
        <v>557</v>
      </c>
      <c r="C120" s="1039"/>
      <c r="D120" s="1039"/>
      <c r="E120" s="1039"/>
      <c r="F120" s="1039"/>
      <c r="G120" s="1039"/>
      <c r="H120" s="1039"/>
      <c r="I120" s="1039"/>
      <c r="J120" s="1039"/>
      <c r="K120" s="1039"/>
      <c r="L120" s="1039"/>
      <c r="M120" s="1039"/>
      <c r="N120" s="1039"/>
      <c r="O120" s="1039"/>
      <c r="P120" s="1039"/>
      <c r="Q120" s="1039"/>
      <c r="R120" s="1039"/>
    </row>
    <row r="121" spans="1:18" s="636" customFormat="1" ht="13.5" customHeight="1" x14ac:dyDescent="0.2">
      <c r="A121" s="1293" t="s">
        <v>1150</v>
      </c>
      <c r="B121" s="1807" t="s">
        <v>549</v>
      </c>
      <c r="C121" s="1039"/>
      <c r="D121" s="1039"/>
      <c r="E121" s="1039"/>
      <c r="F121" s="1039"/>
      <c r="G121" s="1039"/>
      <c r="H121" s="1039"/>
      <c r="I121" s="1039"/>
      <c r="J121" s="1039"/>
      <c r="K121" s="1039"/>
      <c r="L121" s="1039"/>
      <c r="M121" s="1039"/>
      <c r="N121" s="1039"/>
      <c r="O121" s="1039"/>
      <c r="P121" s="1039"/>
      <c r="Q121" s="1039"/>
      <c r="R121" s="1039"/>
    </row>
    <row r="122" spans="1:18" s="636" customFormat="1" ht="13.5" customHeight="1" x14ac:dyDescent="0.2">
      <c r="A122" s="1293" t="s">
        <v>1150</v>
      </c>
      <c r="B122" s="1808" t="s">
        <v>558</v>
      </c>
      <c r="C122" s="1039"/>
      <c r="D122" s="1039"/>
      <c r="E122" s="1039"/>
      <c r="F122" s="1039"/>
      <c r="G122" s="1039"/>
      <c r="H122" s="1039"/>
      <c r="I122" s="1039"/>
      <c r="J122" s="1039"/>
      <c r="K122" s="1039"/>
      <c r="L122" s="1039"/>
      <c r="M122" s="1039"/>
      <c r="N122" s="1039"/>
      <c r="O122" s="1039"/>
      <c r="P122" s="1039"/>
      <c r="Q122" s="1039"/>
      <c r="R122" s="1039"/>
    </row>
    <row r="123" spans="1:18" s="636" customFormat="1" ht="13.5" customHeight="1" x14ac:dyDescent="0.2">
      <c r="A123" s="1293" t="s">
        <v>1150</v>
      </c>
      <c r="B123" s="1807" t="s">
        <v>559</v>
      </c>
      <c r="C123" s="1039"/>
      <c r="D123" s="1039"/>
      <c r="E123" s="1039"/>
      <c r="F123" s="1039"/>
      <c r="G123" s="1039"/>
      <c r="H123" s="1039"/>
      <c r="I123" s="1039"/>
      <c r="J123" s="1039"/>
      <c r="K123" s="1039"/>
      <c r="L123" s="1039"/>
      <c r="M123" s="1039"/>
      <c r="N123" s="1039"/>
      <c r="O123" s="1039"/>
      <c r="P123" s="1039"/>
      <c r="Q123" s="1039"/>
      <c r="R123" s="1039"/>
    </row>
    <row r="124" spans="1:18" s="636" customFormat="1" ht="13.5" customHeight="1" x14ac:dyDescent="0.2">
      <c r="A124" s="1293" t="s">
        <v>1150</v>
      </c>
      <c r="B124" s="1808" t="s">
        <v>550</v>
      </c>
      <c r="C124" s="1039"/>
      <c r="D124" s="1039"/>
      <c r="E124" s="1039"/>
      <c r="F124" s="1039"/>
      <c r="G124" s="1039"/>
      <c r="H124" s="1039"/>
      <c r="I124" s="1039"/>
      <c r="J124" s="1039"/>
      <c r="K124" s="1039"/>
      <c r="L124" s="1039"/>
      <c r="M124" s="1039"/>
      <c r="N124" s="1039"/>
      <c r="O124" s="1039"/>
      <c r="P124" s="1039"/>
      <c r="Q124" s="1039"/>
      <c r="R124" s="1039"/>
    </row>
    <row r="125" spans="1:18" s="636" customFormat="1" ht="13.5" customHeight="1" x14ac:dyDescent="0.2">
      <c r="A125" s="1293" t="s">
        <v>1174</v>
      </c>
      <c r="B125" s="1807" t="s">
        <v>552</v>
      </c>
      <c r="C125" s="1039"/>
      <c r="D125" s="1039"/>
      <c r="E125" s="1039"/>
      <c r="F125" s="1039"/>
      <c r="G125" s="1039"/>
      <c r="H125" s="1039"/>
      <c r="I125" s="1039"/>
      <c r="J125" s="1039"/>
      <c r="K125" s="1039"/>
      <c r="L125" s="1039"/>
      <c r="M125" s="1039"/>
      <c r="N125" s="1039"/>
      <c r="O125" s="1039"/>
      <c r="P125" s="1039"/>
      <c r="Q125" s="1039"/>
      <c r="R125" s="1039"/>
    </row>
    <row r="126" spans="1:18" s="636" customFormat="1" ht="13.5" customHeight="1" x14ac:dyDescent="0.2">
      <c r="A126" s="1293" t="s">
        <v>1174</v>
      </c>
      <c r="B126" s="1808" t="s">
        <v>553</v>
      </c>
      <c r="C126" s="1039"/>
      <c r="D126" s="1039"/>
      <c r="E126" s="1039"/>
      <c r="F126" s="1039"/>
      <c r="G126" s="1039"/>
      <c r="H126" s="1039"/>
      <c r="I126" s="1039"/>
      <c r="J126" s="1039"/>
      <c r="K126" s="1039"/>
      <c r="L126" s="1039"/>
      <c r="M126" s="1039"/>
      <c r="N126" s="1039"/>
      <c r="O126" s="1039"/>
      <c r="P126" s="1039"/>
      <c r="Q126" s="1039"/>
      <c r="R126" s="1039"/>
    </row>
    <row r="127" spans="1:18" s="636" customFormat="1" ht="13.5" customHeight="1" x14ac:dyDescent="0.2">
      <c r="A127" s="1293" t="s">
        <v>1174</v>
      </c>
      <c r="B127" s="1807" t="s">
        <v>547</v>
      </c>
      <c r="C127" s="1039"/>
      <c r="D127" s="1039"/>
      <c r="E127" s="1039"/>
      <c r="F127" s="1039"/>
      <c r="G127" s="1039"/>
      <c r="H127" s="1039"/>
      <c r="I127" s="1039"/>
      <c r="J127" s="1039"/>
      <c r="K127" s="1039"/>
      <c r="L127" s="1039"/>
      <c r="M127" s="1039"/>
      <c r="N127" s="1039"/>
      <c r="O127" s="1039"/>
      <c r="P127" s="1039"/>
      <c r="Q127" s="1039"/>
      <c r="R127" s="1039"/>
    </row>
    <row r="128" spans="1:18" s="636" customFormat="1" ht="13.5" customHeight="1" x14ac:dyDescent="0.2">
      <c r="A128" s="1293" t="s">
        <v>1174</v>
      </c>
      <c r="B128" s="1808" t="s">
        <v>554</v>
      </c>
      <c r="C128" s="1039"/>
      <c r="D128" s="1039"/>
      <c r="E128" s="1039"/>
      <c r="F128" s="1039"/>
      <c r="G128" s="1039"/>
      <c r="H128" s="1039"/>
      <c r="I128" s="1039"/>
      <c r="J128" s="1039"/>
      <c r="K128" s="1039"/>
      <c r="L128" s="1039"/>
      <c r="M128" s="1039"/>
      <c r="N128" s="1039"/>
      <c r="O128" s="1039"/>
      <c r="P128" s="1039"/>
      <c r="Q128" s="1039"/>
      <c r="R128" s="1039"/>
    </row>
    <row r="129" spans="1:18" s="636" customFormat="1" ht="13.5" customHeight="1" x14ac:dyDescent="0.2">
      <c r="A129" s="1293" t="s">
        <v>1174</v>
      </c>
      <c r="B129" s="1807" t="s">
        <v>555</v>
      </c>
      <c r="C129" s="1039"/>
      <c r="D129" s="1039"/>
      <c r="E129" s="1039"/>
      <c r="F129" s="1039"/>
      <c r="G129" s="1039"/>
      <c r="H129" s="1039"/>
      <c r="I129" s="1039"/>
      <c r="J129" s="1039"/>
      <c r="K129" s="1039"/>
      <c r="L129" s="1039"/>
      <c r="M129" s="1039"/>
      <c r="N129" s="1039"/>
      <c r="O129" s="1039"/>
      <c r="P129" s="1039"/>
      <c r="Q129" s="1039"/>
      <c r="R129" s="1039"/>
    </row>
    <row r="130" spans="1:18" s="636" customFormat="1" ht="13.5" customHeight="1" x14ac:dyDescent="0.2">
      <c r="A130" s="1293" t="s">
        <v>1174</v>
      </c>
      <c r="B130" s="1808" t="s">
        <v>548</v>
      </c>
      <c r="C130" s="1039"/>
      <c r="D130" s="1039"/>
      <c r="E130" s="1039"/>
      <c r="F130" s="1039"/>
      <c r="G130" s="1039"/>
      <c r="H130" s="1039"/>
      <c r="I130" s="1039"/>
      <c r="J130" s="1039"/>
      <c r="K130" s="1039"/>
      <c r="L130" s="1039"/>
      <c r="M130" s="1039"/>
      <c r="N130" s="1039"/>
      <c r="O130" s="1039"/>
      <c r="P130" s="1039"/>
      <c r="Q130" s="1039"/>
      <c r="R130" s="1039"/>
    </row>
    <row r="131" spans="1:18" s="636" customFormat="1" ht="13.5" customHeight="1" x14ac:dyDescent="0.2">
      <c r="A131" s="1293" t="s">
        <v>1174</v>
      </c>
      <c r="B131" s="1807" t="s">
        <v>556</v>
      </c>
      <c r="C131" s="1039"/>
      <c r="D131" s="1039"/>
      <c r="E131" s="1039"/>
      <c r="F131" s="1039"/>
      <c r="G131" s="1039"/>
      <c r="H131" s="1039"/>
      <c r="I131" s="1039"/>
      <c r="J131" s="1039"/>
      <c r="K131" s="1039"/>
      <c r="L131" s="1039"/>
      <c r="M131" s="1039"/>
      <c r="N131" s="1039"/>
      <c r="O131" s="1039"/>
      <c r="P131" s="1039"/>
      <c r="Q131" s="1039"/>
      <c r="R131" s="1039"/>
    </row>
    <row r="132" spans="1:18" s="636" customFormat="1" ht="13.5" customHeight="1" x14ac:dyDescent="0.2">
      <c r="A132" s="1293" t="s">
        <v>1174</v>
      </c>
      <c r="B132" s="1808" t="s">
        <v>557</v>
      </c>
      <c r="C132" s="1039"/>
      <c r="D132" s="1039"/>
      <c r="E132" s="1039"/>
      <c r="F132" s="1039"/>
      <c r="G132" s="1039"/>
      <c r="H132" s="1039"/>
      <c r="I132" s="1039"/>
      <c r="J132" s="1039"/>
      <c r="K132" s="1039"/>
      <c r="L132" s="1039"/>
      <c r="M132" s="1039"/>
      <c r="N132" s="1039"/>
      <c r="O132" s="1039"/>
      <c r="P132" s="1039"/>
      <c r="Q132" s="1039"/>
      <c r="R132" s="1039"/>
    </row>
    <row r="133" spans="1:18" s="636" customFormat="1" ht="13.5" customHeight="1" x14ac:dyDescent="0.2">
      <c r="A133" s="1293" t="s">
        <v>1174</v>
      </c>
      <c r="B133" s="1807" t="s">
        <v>549</v>
      </c>
      <c r="C133" s="1039"/>
      <c r="D133" s="1039"/>
      <c r="E133" s="1039"/>
      <c r="F133" s="1039"/>
      <c r="G133" s="1039"/>
      <c r="H133" s="1039"/>
      <c r="I133" s="1039"/>
      <c r="J133" s="1039"/>
      <c r="K133" s="1039"/>
      <c r="L133" s="1039"/>
      <c r="M133" s="1039"/>
      <c r="N133" s="1039"/>
      <c r="O133" s="1039"/>
      <c r="P133" s="1039"/>
      <c r="Q133" s="1039"/>
      <c r="R133" s="1039"/>
    </row>
    <row r="134" spans="1:18" s="636" customFormat="1" ht="13.5" customHeight="1" x14ac:dyDescent="0.2">
      <c r="A134" s="1293" t="s">
        <v>1174</v>
      </c>
      <c r="B134" s="1808" t="s">
        <v>558</v>
      </c>
      <c r="C134" s="1039"/>
      <c r="D134" s="1039"/>
      <c r="E134" s="1039"/>
      <c r="F134" s="1039"/>
      <c r="G134" s="1039"/>
      <c r="H134" s="1039"/>
      <c r="I134" s="1039"/>
      <c r="J134" s="1039"/>
      <c r="K134" s="1039"/>
      <c r="L134" s="1039"/>
      <c r="M134" s="1039"/>
      <c r="N134" s="1039"/>
      <c r="O134" s="1039"/>
      <c r="P134" s="1039"/>
      <c r="Q134" s="1039"/>
      <c r="R134" s="1039"/>
    </row>
    <row r="135" spans="1:18" s="636" customFormat="1" ht="13.5" customHeight="1" x14ac:dyDescent="0.2">
      <c r="A135" s="1293" t="s">
        <v>1174</v>
      </c>
      <c r="B135" s="1807" t="s">
        <v>559</v>
      </c>
      <c r="C135" s="1039"/>
      <c r="D135" s="1039"/>
      <c r="E135" s="1039"/>
      <c r="F135" s="1039"/>
      <c r="G135" s="1039"/>
      <c r="H135" s="1039"/>
      <c r="I135" s="1039"/>
      <c r="J135" s="1039"/>
      <c r="K135" s="1039"/>
      <c r="L135" s="1039"/>
      <c r="M135" s="1039"/>
      <c r="N135" s="1039"/>
      <c r="O135" s="1039"/>
      <c r="P135" s="1039"/>
      <c r="Q135" s="1039"/>
      <c r="R135" s="1039"/>
    </row>
    <row r="136" spans="1:18" s="636" customFormat="1" ht="13.5" customHeight="1" x14ac:dyDescent="0.2">
      <c r="A136" s="1293" t="s">
        <v>1174</v>
      </c>
      <c r="B136" s="1808" t="s">
        <v>550</v>
      </c>
      <c r="C136" s="1039"/>
      <c r="D136" s="1039"/>
      <c r="E136" s="1039"/>
      <c r="F136" s="1039"/>
      <c r="G136" s="1039"/>
      <c r="H136" s="1039"/>
      <c r="I136" s="1039"/>
      <c r="J136" s="1039"/>
      <c r="K136" s="1039"/>
      <c r="L136" s="1039"/>
      <c r="M136" s="1039"/>
      <c r="N136" s="1039"/>
      <c r="O136" s="1039"/>
      <c r="P136" s="1039"/>
      <c r="Q136" s="1039"/>
      <c r="R136" s="1039"/>
    </row>
    <row r="137" spans="1:18" s="636" customFormat="1" ht="13.5" customHeight="1" x14ac:dyDescent="0.2">
      <c r="A137" s="1293" t="s">
        <v>1296</v>
      </c>
      <c r="B137" s="1807" t="s">
        <v>552</v>
      </c>
      <c r="C137" s="1195">
        <v>2311568</v>
      </c>
      <c r="D137" s="1195">
        <v>2778726</v>
      </c>
      <c r="E137" s="1195">
        <v>8943837</v>
      </c>
      <c r="F137" s="1195">
        <f>D137+E137</f>
        <v>11722563</v>
      </c>
      <c r="G137" s="1195">
        <v>1247121</v>
      </c>
      <c r="H137" s="1195">
        <v>999629</v>
      </c>
      <c r="I137" s="1195">
        <v>8212851</v>
      </c>
      <c r="J137" s="1195">
        <v>1865916</v>
      </c>
      <c r="K137" s="1195">
        <f>G137+H137+I137+J137</f>
        <v>12325517</v>
      </c>
      <c r="L137" s="1195">
        <v>9285</v>
      </c>
      <c r="M137" s="1195">
        <v>19745</v>
      </c>
      <c r="N137" s="1195">
        <v>4802</v>
      </c>
      <c r="O137" s="1195">
        <v>0</v>
      </c>
      <c r="P137" s="1195">
        <v>0</v>
      </c>
      <c r="Q137" s="1195">
        <v>1374975</v>
      </c>
      <c r="R137" s="1195">
        <v>299807</v>
      </c>
    </row>
    <row r="138" spans="1:18" s="636" customFormat="1" ht="13.5" customHeight="1" x14ac:dyDescent="0.2">
      <c r="A138" s="1293" t="s">
        <v>1296</v>
      </c>
      <c r="B138" s="1808" t="s">
        <v>553</v>
      </c>
      <c r="C138" s="1311">
        <v>2317212</v>
      </c>
      <c r="D138" s="1311">
        <v>2884509</v>
      </c>
      <c r="E138" s="1311">
        <v>9078326</v>
      </c>
      <c r="F138" s="1311">
        <f t="shared" ref="F138:F148" si="2">D138+E138</f>
        <v>11962835</v>
      </c>
      <c r="G138" s="1311">
        <v>1462749</v>
      </c>
      <c r="H138" s="1311">
        <v>955154</v>
      </c>
      <c r="I138" s="1311">
        <v>8245481</v>
      </c>
      <c r="J138" s="1311">
        <v>1903654</v>
      </c>
      <c r="K138" s="1311">
        <f t="shared" ref="K138:K148" si="3">G138+H138+I138+J138</f>
        <v>12567038</v>
      </c>
      <c r="L138" s="1311">
        <v>10180</v>
      </c>
      <c r="M138" s="1311">
        <v>20145</v>
      </c>
      <c r="N138" s="1311">
        <v>4836</v>
      </c>
      <c r="O138" s="1311">
        <v>0</v>
      </c>
      <c r="P138" s="1311">
        <v>0</v>
      </c>
      <c r="Q138" s="1311">
        <v>1381320</v>
      </c>
      <c r="R138" s="1311">
        <v>296528</v>
      </c>
    </row>
    <row r="139" spans="1:18" s="636" customFormat="1" ht="13.5" customHeight="1" x14ac:dyDescent="0.2">
      <c r="A139" s="1293" t="s">
        <v>1296</v>
      </c>
      <c r="B139" s="1807" t="s">
        <v>547</v>
      </c>
      <c r="C139" s="1195">
        <v>2278149</v>
      </c>
      <c r="D139" s="1195">
        <v>2855089</v>
      </c>
      <c r="E139" s="1195">
        <v>9181871</v>
      </c>
      <c r="F139" s="1195">
        <f t="shared" si="2"/>
        <v>12036960</v>
      </c>
      <c r="G139" s="1195">
        <v>1312735</v>
      </c>
      <c r="H139" s="1195">
        <v>984463</v>
      </c>
      <c r="I139" s="1195">
        <v>8337010</v>
      </c>
      <c r="J139" s="1195">
        <v>1938554</v>
      </c>
      <c r="K139" s="1195">
        <f t="shared" si="3"/>
        <v>12572762</v>
      </c>
      <c r="L139" s="1195">
        <v>11160</v>
      </c>
      <c r="M139" s="1195">
        <v>17931</v>
      </c>
      <c r="N139" s="1195">
        <v>4147</v>
      </c>
      <c r="O139" s="1195">
        <v>0</v>
      </c>
      <c r="P139" s="1195">
        <v>0</v>
      </c>
      <c r="Q139" s="1195">
        <v>1426822</v>
      </c>
      <c r="R139" s="1195">
        <v>282287</v>
      </c>
    </row>
    <row r="140" spans="1:18" s="636" customFormat="1" ht="13.5" customHeight="1" x14ac:dyDescent="0.2">
      <c r="A140" s="1293" t="s">
        <v>1296</v>
      </c>
      <c r="B140" s="1808" t="s">
        <v>554</v>
      </c>
      <c r="C140" s="1311">
        <v>2256442</v>
      </c>
      <c r="D140" s="1311">
        <v>2879294</v>
      </c>
      <c r="E140" s="1311">
        <v>9314419</v>
      </c>
      <c r="F140" s="1311">
        <f t="shared" si="2"/>
        <v>12193713</v>
      </c>
      <c r="G140" s="1311">
        <v>1252172</v>
      </c>
      <c r="H140" s="1311">
        <v>998240</v>
      </c>
      <c r="I140" s="1311">
        <v>8424669</v>
      </c>
      <c r="J140" s="1311">
        <v>1983427</v>
      </c>
      <c r="K140" s="1311">
        <f t="shared" si="3"/>
        <v>12658508</v>
      </c>
      <c r="L140" s="1311">
        <v>10994</v>
      </c>
      <c r="M140" s="1311">
        <v>18229</v>
      </c>
      <c r="N140" s="1311">
        <v>3811</v>
      </c>
      <c r="O140" s="1311">
        <v>0</v>
      </c>
      <c r="P140" s="1311">
        <v>0</v>
      </c>
      <c r="Q140" s="1311">
        <v>1444339</v>
      </c>
      <c r="R140" s="1311">
        <v>314274</v>
      </c>
    </row>
    <row r="141" spans="1:18" s="636" customFormat="1" ht="13.5" customHeight="1" x14ac:dyDescent="0.2">
      <c r="A141" s="1293" t="s">
        <v>1296</v>
      </c>
      <c r="B141" s="1807" t="s">
        <v>555</v>
      </c>
      <c r="C141" s="1195">
        <v>2239213</v>
      </c>
      <c r="D141" s="1195">
        <v>2921573</v>
      </c>
      <c r="E141" s="1195">
        <v>9481552</v>
      </c>
      <c r="F141" s="1195">
        <f t="shared" si="2"/>
        <v>12403125</v>
      </c>
      <c r="G141" s="1195">
        <v>1253388</v>
      </c>
      <c r="H141" s="1195">
        <v>1002058</v>
      </c>
      <c r="I141" s="1195">
        <v>8494533</v>
      </c>
      <c r="J141" s="1195">
        <v>2020215</v>
      </c>
      <c r="K141" s="1195">
        <f t="shared" si="3"/>
        <v>12770194</v>
      </c>
      <c r="L141" s="1195">
        <v>8830</v>
      </c>
      <c r="M141" s="1195">
        <v>18601</v>
      </c>
      <c r="N141" s="1195">
        <v>4567</v>
      </c>
      <c r="O141" s="1195">
        <v>0</v>
      </c>
      <c r="P141" s="1195">
        <v>0</v>
      </c>
      <c r="Q141" s="1195">
        <v>1510500</v>
      </c>
      <c r="R141" s="1195">
        <v>329646</v>
      </c>
    </row>
    <row r="142" spans="1:18" s="636" customFormat="1" ht="13.5" customHeight="1" x14ac:dyDescent="0.2">
      <c r="A142" s="1293" t="s">
        <v>1296</v>
      </c>
      <c r="B142" s="1808" t="s">
        <v>548</v>
      </c>
      <c r="C142" s="1311">
        <v>2253419</v>
      </c>
      <c r="D142" s="1311">
        <v>2890628</v>
      </c>
      <c r="E142" s="1311">
        <v>9689251</v>
      </c>
      <c r="F142" s="1311">
        <f t="shared" si="2"/>
        <v>12579879</v>
      </c>
      <c r="G142" s="1311">
        <v>1276080</v>
      </c>
      <c r="H142" s="1311">
        <v>1043619</v>
      </c>
      <c r="I142" s="1311">
        <v>8597602</v>
      </c>
      <c r="J142" s="1311">
        <v>2045703</v>
      </c>
      <c r="K142" s="1311">
        <f t="shared" si="3"/>
        <v>12963004</v>
      </c>
      <c r="L142" s="1311">
        <v>9109</v>
      </c>
      <c r="M142" s="1311">
        <v>18269</v>
      </c>
      <c r="N142" s="1311">
        <v>4969</v>
      </c>
      <c r="O142" s="1311">
        <v>0</v>
      </c>
      <c r="P142" s="1311">
        <v>0</v>
      </c>
      <c r="Q142" s="1311">
        <v>1555791</v>
      </c>
      <c r="R142" s="1311">
        <v>282156</v>
      </c>
    </row>
    <row r="143" spans="1:18" s="636" customFormat="1" ht="13.5" customHeight="1" x14ac:dyDescent="0.2">
      <c r="A143" s="1293" t="s">
        <v>1296</v>
      </c>
      <c r="B143" s="1807" t="s">
        <v>556</v>
      </c>
      <c r="C143" s="1195">
        <v>2214052</v>
      </c>
      <c r="D143" s="1195">
        <v>2882997</v>
      </c>
      <c r="E143" s="1195">
        <v>9764938</v>
      </c>
      <c r="F143" s="1195">
        <f t="shared" si="2"/>
        <v>12647935</v>
      </c>
      <c r="G143" s="1195">
        <v>1267080</v>
      </c>
      <c r="H143" s="1195">
        <v>980150</v>
      </c>
      <c r="I143" s="1195">
        <v>8588428</v>
      </c>
      <c r="J143" s="1195">
        <v>2093598</v>
      </c>
      <c r="K143" s="1195">
        <f t="shared" si="3"/>
        <v>12929256</v>
      </c>
      <c r="L143" s="1195">
        <v>9488</v>
      </c>
      <c r="M143" s="1195">
        <v>16974</v>
      </c>
      <c r="N143" s="1195">
        <v>5286</v>
      </c>
      <c r="O143" s="1195">
        <v>0</v>
      </c>
      <c r="P143" s="1195">
        <v>0</v>
      </c>
      <c r="Q143" s="1195">
        <v>1443860</v>
      </c>
      <c r="R143" s="1195">
        <v>457123</v>
      </c>
    </row>
    <row r="144" spans="1:18" s="636" customFormat="1" ht="13.5" customHeight="1" x14ac:dyDescent="0.2">
      <c r="A144" s="1293" t="s">
        <v>1296</v>
      </c>
      <c r="B144" s="1808" t="s">
        <v>557</v>
      </c>
      <c r="C144" s="1311">
        <v>2197552</v>
      </c>
      <c r="D144" s="1311">
        <v>2861309</v>
      </c>
      <c r="E144" s="1311">
        <v>9891771</v>
      </c>
      <c r="F144" s="1311">
        <f t="shared" si="2"/>
        <v>12753080</v>
      </c>
      <c r="G144" s="1311">
        <v>1267621</v>
      </c>
      <c r="H144" s="1311">
        <v>979380</v>
      </c>
      <c r="I144" s="1311">
        <v>8618372</v>
      </c>
      <c r="J144" s="1311">
        <v>2133363</v>
      </c>
      <c r="K144" s="1311">
        <f t="shared" si="3"/>
        <v>12998736</v>
      </c>
      <c r="L144" s="1311">
        <v>10653</v>
      </c>
      <c r="M144" s="1311">
        <v>19668</v>
      </c>
      <c r="N144" s="1311">
        <v>7934</v>
      </c>
      <c r="O144" s="1311">
        <v>0</v>
      </c>
      <c r="P144" s="1311">
        <v>0</v>
      </c>
      <c r="Q144" s="1311">
        <v>1449544</v>
      </c>
      <c r="R144" s="1311">
        <v>464097</v>
      </c>
    </row>
    <row r="145" spans="1:18" s="636" customFormat="1" ht="13.5" customHeight="1" x14ac:dyDescent="0.2">
      <c r="A145" s="1293" t="s">
        <v>1296</v>
      </c>
      <c r="B145" s="1807" t="s">
        <v>549</v>
      </c>
      <c r="C145" s="1195">
        <v>2202492</v>
      </c>
      <c r="D145" s="1195">
        <v>2887262</v>
      </c>
      <c r="E145" s="1195">
        <v>9989702</v>
      </c>
      <c r="F145" s="1195">
        <f t="shared" si="2"/>
        <v>12876964</v>
      </c>
      <c r="G145" s="1195">
        <v>1265988</v>
      </c>
      <c r="H145" s="1195">
        <v>970707</v>
      </c>
      <c r="I145" s="1195">
        <v>8676906</v>
      </c>
      <c r="J145" s="1195">
        <v>2168746</v>
      </c>
      <c r="K145" s="1195">
        <f t="shared" si="3"/>
        <v>13082347</v>
      </c>
      <c r="L145" s="1195">
        <v>5994</v>
      </c>
      <c r="M145" s="1195">
        <v>19839</v>
      </c>
      <c r="N145" s="1195">
        <v>4896</v>
      </c>
      <c r="O145" s="1195">
        <v>0</v>
      </c>
      <c r="P145" s="1195">
        <v>0</v>
      </c>
      <c r="Q145" s="1195">
        <v>1469779</v>
      </c>
      <c r="R145" s="1195">
        <v>496601</v>
      </c>
    </row>
    <row r="146" spans="1:18" s="636" customFormat="1" ht="13.5" customHeight="1" x14ac:dyDescent="0.2">
      <c r="A146" s="1293" t="s">
        <v>1296</v>
      </c>
      <c r="B146" s="1808" t="s">
        <v>558</v>
      </c>
      <c r="C146" s="1311">
        <v>2156282</v>
      </c>
      <c r="D146" s="1311">
        <v>2891119</v>
      </c>
      <c r="E146" s="1311">
        <v>10099375</v>
      </c>
      <c r="F146" s="1311">
        <f t="shared" si="2"/>
        <v>12990494</v>
      </c>
      <c r="G146" s="1311">
        <v>1268102</v>
      </c>
      <c r="H146" s="1311">
        <v>984899</v>
      </c>
      <c r="I146" s="1311">
        <v>8714195</v>
      </c>
      <c r="J146" s="1311">
        <v>2200865</v>
      </c>
      <c r="K146" s="1311">
        <f t="shared" si="3"/>
        <v>13168061</v>
      </c>
      <c r="L146" s="1311">
        <v>6534</v>
      </c>
      <c r="M146" s="1311">
        <v>19412</v>
      </c>
      <c r="N146" s="1311">
        <v>1482</v>
      </c>
      <c r="O146" s="1311">
        <v>0</v>
      </c>
      <c r="P146" s="1311">
        <v>0</v>
      </c>
      <c r="Q146" s="1311">
        <v>1484725</v>
      </c>
      <c r="R146" s="1311">
        <v>466562</v>
      </c>
    </row>
    <row r="147" spans="1:18" s="636" customFormat="1" ht="13.5" customHeight="1" x14ac:dyDescent="0.2">
      <c r="A147" s="1293" t="s">
        <v>1296</v>
      </c>
      <c r="B147" s="1807" t="s">
        <v>559</v>
      </c>
      <c r="C147" s="1195">
        <v>2161373</v>
      </c>
      <c r="D147" s="1195">
        <v>2962285</v>
      </c>
      <c r="E147" s="1195">
        <v>10234635</v>
      </c>
      <c r="F147" s="1195">
        <f t="shared" si="2"/>
        <v>13196920</v>
      </c>
      <c r="G147" s="1195">
        <v>1319098</v>
      </c>
      <c r="H147" s="1195">
        <v>1002552</v>
      </c>
      <c r="I147" s="1195">
        <v>8840055</v>
      </c>
      <c r="J147" s="1195">
        <v>2232495</v>
      </c>
      <c r="K147" s="1195">
        <f t="shared" si="3"/>
        <v>13394200</v>
      </c>
      <c r="L147" s="1195">
        <v>5318</v>
      </c>
      <c r="M147" s="1195">
        <v>16916</v>
      </c>
      <c r="N147" s="1195">
        <v>2452</v>
      </c>
      <c r="O147" s="1195">
        <v>0</v>
      </c>
      <c r="P147" s="1195">
        <v>0</v>
      </c>
      <c r="Q147" s="1195">
        <v>1503149</v>
      </c>
      <c r="R147" s="1195">
        <v>436258</v>
      </c>
    </row>
    <row r="148" spans="1:18" s="636" customFormat="1" ht="13.5" customHeight="1" x14ac:dyDescent="0.2">
      <c r="A148" s="1293" t="s">
        <v>1296</v>
      </c>
      <c r="B148" s="1808" t="s">
        <v>550</v>
      </c>
      <c r="C148" s="1311">
        <v>2198393</v>
      </c>
      <c r="D148" s="1311">
        <v>3173751</v>
      </c>
      <c r="E148" s="1311">
        <v>10384053</v>
      </c>
      <c r="F148" s="1311">
        <f t="shared" si="2"/>
        <v>13557804</v>
      </c>
      <c r="G148" s="1311">
        <v>1393830</v>
      </c>
      <c r="H148" s="1311">
        <v>1135894</v>
      </c>
      <c r="I148" s="1311">
        <v>8942922</v>
      </c>
      <c r="J148" s="1311">
        <v>2263285</v>
      </c>
      <c r="K148" s="1311">
        <f t="shared" si="3"/>
        <v>13735931</v>
      </c>
      <c r="L148" s="1311">
        <v>4668</v>
      </c>
      <c r="M148" s="1311">
        <v>17080</v>
      </c>
      <c r="N148" s="1311">
        <v>1622</v>
      </c>
      <c r="O148" s="1311">
        <v>0</v>
      </c>
      <c r="P148" s="1311">
        <v>0</v>
      </c>
      <c r="Q148" s="1311">
        <v>1490636</v>
      </c>
      <c r="R148" s="1311">
        <v>506260</v>
      </c>
    </row>
    <row r="149" spans="1:18" s="636" customFormat="1" ht="13.5" customHeight="1" x14ac:dyDescent="0.2">
      <c r="A149" s="1293" t="s">
        <v>1404</v>
      </c>
      <c r="B149" s="1805" t="s">
        <v>552</v>
      </c>
      <c r="C149" s="420">
        <v>2183749</v>
      </c>
      <c r="D149" s="420">
        <v>3246226</v>
      </c>
      <c r="E149" s="420">
        <v>10323050</v>
      </c>
      <c r="F149" s="420">
        <f t="shared" ref="F149:F170" si="4">D149+E149</f>
        <v>13569276</v>
      </c>
      <c r="G149" s="420">
        <v>1361691</v>
      </c>
      <c r="H149" s="420">
        <v>1076629</v>
      </c>
      <c r="I149" s="420">
        <v>8997518</v>
      </c>
      <c r="J149" s="420">
        <v>2311773</v>
      </c>
      <c r="K149" s="420">
        <f t="shared" ref="K149:K172" si="5">G149+H149+I149+J149</f>
        <v>13747611</v>
      </c>
      <c r="L149" s="420">
        <v>4933</v>
      </c>
      <c r="M149" s="420">
        <v>16848</v>
      </c>
      <c r="N149" s="420">
        <v>1620</v>
      </c>
      <c r="O149" s="420">
        <v>0</v>
      </c>
      <c r="P149" s="420">
        <v>0</v>
      </c>
      <c r="Q149" s="420">
        <v>1522055</v>
      </c>
      <c r="R149" s="420">
        <v>459958</v>
      </c>
    </row>
    <row r="150" spans="1:18" s="636" customFormat="1" ht="13.5" customHeight="1" x14ac:dyDescent="0.2">
      <c r="A150" s="1293" t="s">
        <v>1404</v>
      </c>
      <c r="B150" s="1806" t="s">
        <v>553</v>
      </c>
      <c r="C150" s="1202">
        <v>2227007</v>
      </c>
      <c r="D150" s="1202">
        <v>3329853</v>
      </c>
      <c r="E150" s="1202">
        <v>10416887</v>
      </c>
      <c r="F150" s="1202">
        <f t="shared" si="4"/>
        <v>13746740</v>
      </c>
      <c r="G150" s="1202">
        <v>1518517</v>
      </c>
      <c r="H150" s="1202">
        <v>1036595</v>
      </c>
      <c r="I150" s="1202">
        <v>9062669</v>
      </c>
      <c r="J150" s="1202">
        <v>2351098</v>
      </c>
      <c r="K150" s="1202">
        <f t="shared" si="5"/>
        <v>13968879</v>
      </c>
      <c r="L150" s="1202">
        <v>5293</v>
      </c>
      <c r="M150" s="1202">
        <v>18017</v>
      </c>
      <c r="N150" s="1202">
        <v>1342</v>
      </c>
      <c r="O150" s="1202">
        <v>0</v>
      </c>
      <c r="P150" s="1202">
        <v>0</v>
      </c>
      <c r="Q150" s="1202">
        <v>1549845</v>
      </c>
      <c r="R150" s="1202">
        <v>430371</v>
      </c>
    </row>
    <row r="151" spans="1:18" s="636" customFormat="1" ht="13.5" customHeight="1" x14ac:dyDescent="0.2">
      <c r="A151" s="1293" t="s">
        <v>1404</v>
      </c>
      <c r="B151" s="1805" t="s">
        <v>547</v>
      </c>
      <c r="C151" s="420">
        <v>2206712</v>
      </c>
      <c r="D151" s="420">
        <v>3314238</v>
      </c>
      <c r="E151" s="420">
        <v>10505532</v>
      </c>
      <c r="F151" s="420">
        <f t="shared" si="4"/>
        <v>13819770</v>
      </c>
      <c r="G151" s="420">
        <v>1394865</v>
      </c>
      <c r="H151" s="420">
        <v>1039992</v>
      </c>
      <c r="I151" s="420">
        <v>9141082</v>
      </c>
      <c r="J151" s="420">
        <v>2393694</v>
      </c>
      <c r="K151" s="420">
        <f t="shared" si="5"/>
        <v>13969633</v>
      </c>
      <c r="L151" s="420">
        <v>7293</v>
      </c>
      <c r="M151" s="420">
        <v>17926</v>
      </c>
      <c r="N151" s="420">
        <v>1420</v>
      </c>
      <c r="O151" s="420">
        <v>0</v>
      </c>
      <c r="P151" s="420">
        <v>0</v>
      </c>
      <c r="Q151" s="420">
        <v>1535919</v>
      </c>
      <c r="R151" s="420">
        <v>494291</v>
      </c>
    </row>
    <row r="152" spans="1:18" s="636" customFormat="1" ht="13.5" customHeight="1" x14ac:dyDescent="0.2">
      <c r="A152" s="1293" t="s">
        <v>1404</v>
      </c>
      <c r="B152" s="1806" t="s">
        <v>554</v>
      </c>
      <c r="C152" s="1202">
        <v>2134210</v>
      </c>
      <c r="D152" s="1202">
        <v>3359739</v>
      </c>
      <c r="E152" s="1202">
        <v>10655080</v>
      </c>
      <c r="F152" s="1202">
        <f t="shared" si="4"/>
        <v>14014819</v>
      </c>
      <c r="G152" s="1202">
        <v>1375482</v>
      </c>
      <c r="H152" s="1202">
        <v>1055825</v>
      </c>
      <c r="I152" s="1202">
        <v>9210843</v>
      </c>
      <c r="J152" s="1202">
        <v>2436837</v>
      </c>
      <c r="K152" s="1202">
        <f t="shared" si="5"/>
        <v>14078987</v>
      </c>
      <c r="L152" s="1202">
        <v>8778</v>
      </c>
      <c r="M152" s="1202">
        <v>17501</v>
      </c>
      <c r="N152" s="1202">
        <v>1434</v>
      </c>
      <c r="O152" s="1202">
        <v>0</v>
      </c>
      <c r="P152" s="1202">
        <v>0</v>
      </c>
      <c r="Q152" s="1202">
        <v>1557906</v>
      </c>
      <c r="R152" s="1202">
        <v>484423</v>
      </c>
    </row>
    <row r="153" spans="1:18" s="636" customFormat="1" ht="13.5" customHeight="1" x14ac:dyDescent="0.2">
      <c r="A153" s="1293" t="s">
        <v>1404</v>
      </c>
      <c r="B153" s="1805" t="s">
        <v>555</v>
      </c>
      <c r="C153" s="420">
        <v>2110407</v>
      </c>
      <c r="D153" s="420">
        <v>3416463</v>
      </c>
      <c r="E153" s="420">
        <v>10775986</v>
      </c>
      <c r="F153" s="420">
        <f t="shared" si="4"/>
        <v>14192449</v>
      </c>
      <c r="G153" s="420">
        <v>1375822</v>
      </c>
      <c r="H153" s="420">
        <v>1052515</v>
      </c>
      <c r="I153" s="420">
        <v>9275843</v>
      </c>
      <c r="J153" s="420">
        <v>2473984</v>
      </c>
      <c r="K153" s="420">
        <f t="shared" si="5"/>
        <v>14178164</v>
      </c>
      <c r="L153" s="420">
        <v>7177</v>
      </c>
      <c r="M153" s="420">
        <v>17894</v>
      </c>
      <c r="N153" s="420">
        <v>1378</v>
      </c>
      <c r="O153" s="420">
        <v>0</v>
      </c>
      <c r="P153" s="420">
        <v>0</v>
      </c>
      <c r="Q153" s="420">
        <v>1591493</v>
      </c>
      <c r="R153" s="420">
        <v>506750</v>
      </c>
    </row>
    <row r="154" spans="1:18" s="636" customFormat="1" ht="13.5" customHeight="1" x14ac:dyDescent="0.2">
      <c r="A154" s="1293" t="s">
        <v>1404</v>
      </c>
      <c r="B154" s="1806" t="s">
        <v>548</v>
      </c>
      <c r="C154" s="1202">
        <v>2179902</v>
      </c>
      <c r="D154" s="1202">
        <v>3457006</v>
      </c>
      <c r="E154" s="1202">
        <v>10959902</v>
      </c>
      <c r="F154" s="1202">
        <f t="shared" si="4"/>
        <v>14416908</v>
      </c>
      <c r="G154" s="1202">
        <v>1431478</v>
      </c>
      <c r="H154" s="1202">
        <v>1110055</v>
      </c>
      <c r="I154" s="1202">
        <v>9407231</v>
      </c>
      <c r="J154" s="1202">
        <v>2507628</v>
      </c>
      <c r="K154" s="1202">
        <f t="shared" si="5"/>
        <v>14456392</v>
      </c>
      <c r="L154" s="1202">
        <v>12230</v>
      </c>
      <c r="M154" s="1202">
        <v>19262</v>
      </c>
      <c r="N154" s="1202">
        <v>1408</v>
      </c>
      <c r="O154" s="1202">
        <v>0</v>
      </c>
      <c r="P154" s="1202">
        <v>0</v>
      </c>
      <c r="Q154" s="1202">
        <v>1640728</v>
      </c>
      <c r="R154" s="1202">
        <v>466790</v>
      </c>
    </row>
    <row r="155" spans="1:18" s="636" customFormat="1" ht="13.5" customHeight="1" x14ac:dyDescent="0.2">
      <c r="A155" s="1293" t="s">
        <v>1404</v>
      </c>
      <c r="B155" s="1805" t="s">
        <v>556</v>
      </c>
      <c r="C155" s="420">
        <v>2089244</v>
      </c>
      <c r="D155" s="420">
        <v>3524537</v>
      </c>
      <c r="E155" s="420">
        <v>11041739</v>
      </c>
      <c r="F155" s="420">
        <f t="shared" si="4"/>
        <v>14566276</v>
      </c>
      <c r="G155" s="420">
        <v>1431482</v>
      </c>
      <c r="H155" s="420">
        <v>1069698</v>
      </c>
      <c r="I155" s="420">
        <v>9443636</v>
      </c>
      <c r="J155" s="420">
        <v>2566565</v>
      </c>
      <c r="K155" s="420">
        <f t="shared" si="5"/>
        <v>14511381</v>
      </c>
      <c r="L155" s="420">
        <v>10656</v>
      </c>
      <c r="M155" s="420">
        <v>19175</v>
      </c>
      <c r="N155" s="420">
        <v>1622</v>
      </c>
      <c r="O155" s="420">
        <v>0</v>
      </c>
      <c r="P155" s="420">
        <v>0</v>
      </c>
      <c r="Q155" s="420">
        <v>1452536</v>
      </c>
      <c r="R155" s="420">
        <v>660150</v>
      </c>
    </row>
    <row r="156" spans="1:18" s="636" customFormat="1" ht="13.5" customHeight="1" x14ac:dyDescent="0.2">
      <c r="A156" s="1293" t="s">
        <v>1404</v>
      </c>
      <c r="B156" s="1806" t="s">
        <v>557</v>
      </c>
      <c r="C156" s="1202">
        <v>2144728</v>
      </c>
      <c r="D156" s="1202">
        <v>3514948</v>
      </c>
      <c r="E156" s="1202">
        <v>11122658</v>
      </c>
      <c r="F156" s="1202">
        <f t="shared" si="4"/>
        <v>14637606</v>
      </c>
      <c r="G156" s="1202">
        <v>1444290</v>
      </c>
      <c r="H156" s="1202">
        <v>1064771</v>
      </c>
      <c r="I156" s="1202">
        <v>9507149</v>
      </c>
      <c r="J156" s="1202">
        <v>2611699</v>
      </c>
      <c r="K156" s="1202">
        <f t="shared" si="5"/>
        <v>14627909</v>
      </c>
      <c r="L156" s="1202">
        <v>10288</v>
      </c>
      <c r="M156" s="1202">
        <v>19162</v>
      </c>
      <c r="N156" s="1202">
        <v>1298</v>
      </c>
      <c r="O156" s="1202">
        <v>0</v>
      </c>
      <c r="P156" s="1202">
        <v>0</v>
      </c>
      <c r="Q156" s="1202">
        <v>1476239</v>
      </c>
      <c r="R156" s="1202">
        <v>647438</v>
      </c>
    </row>
    <row r="157" spans="1:18" s="636" customFormat="1" ht="13.5" customHeight="1" x14ac:dyDescent="0.2">
      <c r="A157" s="1293" t="s">
        <v>1404</v>
      </c>
      <c r="B157" s="1805" t="s">
        <v>549</v>
      </c>
      <c r="C157" s="420">
        <v>2187129</v>
      </c>
      <c r="D157" s="420">
        <v>3552363</v>
      </c>
      <c r="E157" s="420">
        <v>11216529</v>
      </c>
      <c r="F157" s="420">
        <f t="shared" si="4"/>
        <v>14768892</v>
      </c>
      <c r="G157" s="420">
        <v>1431119</v>
      </c>
      <c r="H157" s="420">
        <v>1070671</v>
      </c>
      <c r="I157" s="420">
        <v>9597024</v>
      </c>
      <c r="J157" s="420">
        <v>2651671</v>
      </c>
      <c r="K157" s="420">
        <f t="shared" si="5"/>
        <v>14750485</v>
      </c>
      <c r="L157" s="420">
        <v>10278</v>
      </c>
      <c r="M157" s="420">
        <v>19498</v>
      </c>
      <c r="N157" s="420">
        <v>1269</v>
      </c>
      <c r="O157" s="420">
        <v>0</v>
      </c>
      <c r="P157" s="420">
        <v>0</v>
      </c>
      <c r="Q157" s="420">
        <v>1481667</v>
      </c>
      <c r="R157" s="420">
        <v>692824</v>
      </c>
    </row>
    <row r="158" spans="1:18" s="636" customFormat="1" ht="13.5" customHeight="1" x14ac:dyDescent="0.2">
      <c r="A158" s="1293" t="s">
        <v>1404</v>
      </c>
      <c r="B158" s="1806" t="s">
        <v>558</v>
      </c>
      <c r="C158" s="1202">
        <v>2129324</v>
      </c>
      <c r="D158" s="1202">
        <v>3595375</v>
      </c>
      <c r="E158" s="1202">
        <v>11308943</v>
      </c>
      <c r="F158" s="1202">
        <f t="shared" si="4"/>
        <v>14904318</v>
      </c>
      <c r="G158" s="1202">
        <v>1432259</v>
      </c>
      <c r="H158" s="1202">
        <v>1085797</v>
      </c>
      <c r="I158" s="1202">
        <v>9606751</v>
      </c>
      <c r="J158" s="1202">
        <v>2688045</v>
      </c>
      <c r="K158" s="1202">
        <f t="shared" si="5"/>
        <v>14812852</v>
      </c>
      <c r="L158" s="1202">
        <v>12567</v>
      </c>
      <c r="M158" s="1202">
        <v>19513</v>
      </c>
      <c r="N158" s="1202">
        <v>1251</v>
      </c>
      <c r="O158" s="1202">
        <v>0</v>
      </c>
      <c r="P158" s="1202">
        <v>0</v>
      </c>
      <c r="Q158" s="1202">
        <v>1543770</v>
      </c>
      <c r="R158" s="1202">
        <v>643689</v>
      </c>
    </row>
    <row r="159" spans="1:18" s="636" customFormat="1" ht="13.5" customHeight="1" x14ac:dyDescent="0.2">
      <c r="A159" s="1293" t="s">
        <v>1404</v>
      </c>
      <c r="B159" s="1805" t="s">
        <v>559</v>
      </c>
      <c r="C159" s="420">
        <v>2124180</v>
      </c>
      <c r="D159" s="420">
        <v>3833454</v>
      </c>
      <c r="E159" s="420">
        <v>11473110</v>
      </c>
      <c r="F159" s="420">
        <f t="shared" si="4"/>
        <v>15306564</v>
      </c>
      <c r="G159" s="420">
        <v>1630725</v>
      </c>
      <c r="H159" s="420">
        <v>1085230</v>
      </c>
      <c r="I159" s="420">
        <v>9740214</v>
      </c>
      <c r="J159" s="420">
        <v>2719245</v>
      </c>
      <c r="K159" s="420">
        <f t="shared" si="5"/>
        <v>15175414</v>
      </c>
      <c r="L159" s="420">
        <v>11080</v>
      </c>
      <c r="M159" s="420">
        <v>22002</v>
      </c>
      <c r="N159" s="420">
        <v>1136</v>
      </c>
      <c r="O159" s="420">
        <v>0</v>
      </c>
      <c r="P159" s="420">
        <v>0</v>
      </c>
      <c r="Q159" s="420">
        <v>1529704</v>
      </c>
      <c r="R159" s="420">
        <v>691408</v>
      </c>
    </row>
    <row r="160" spans="1:18" s="636" customFormat="1" ht="13.5" customHeight="1" x14ac:dyDescent="0.2">
      <c r="A160" s="1293" t="s">
        <v>1404</v>
      </c>
      <c r="B160" s="1806" t="s">
        <v>550</v>
      </c>
      <c r="C160" s="1202">
        <v>2204910</v>
      </c>
      <c r="D160" s="1202">
        <v>3865828</v>
      </c>
      <c r="E160" s="1202">
        <v>11531970</v>
      </c>
      <c r="F160" s="1202">
        <f t="shared" si="4"/>
        <v>15397798</v>
      </c>
      <c r="G160" s="1202">
        <v>1527544</v>
      </c>
      <c r="H160" s="1202">
        <v>1182821</v>
      </c>
      <c r="I160" s="1202">
        <v>9884459</v>
      </c>
      <c r="J160" s="1202">
        <v>2750417</v>
      </c>
      <c r="K160" s="1202">
        <f t="shared" si="5"/>
        <v>15345241</v>
      </c>
      <c r="L160" s="1202">
        <v>5593</v>
      </c>
      <c r="M160" s="1202">
        <v>20742</v>
      </c>
      <c r="N160" s="1202">
        <v>2159</v>
      </c>
      <c r="O160" s="1202">
        <v>0</v>
      </c>
      <c r="P160" s="1202">
        <v>0</v>
      </c>
      <c r="Q160" s="1202">
        <v>1535595</v>
      </c>
      <c r="R160" s="1202">
        <v>693378</v>
      </c>
    </row>
    <row r="161" spans="1:18" s="636" customFormat="1" ht="13.5" customHeight="1" x14ac:dyDescent="0.2">
      <c r="A161" s="1293" t="s">
        <v>1484</v>
      </c>
      <c r="B161" s="1806" t="s">
        <v>552</v>
      </c>
      <c r="C161" s="1202">
        <v>2215871</v>
      </c>
      <c r="D161" s="1202">
        <v>4054241</v>
      </c>
      <c r="E161" s="1202">
        <v>11461585</v>
      </c>
      <c r="F161" s="1202">
        <f t="shared" si="4"/>
        <v>15515826</v>
      </c>
      <c r="G161" s="1202">
        <v>1562933</v>
      </c>
      <c r="H161" s="1202">
        <v>1147602</v>
      </c>
      <c r="I161" s="1202">
        <v>9984723</v>
      </c>
      <c r="J161" s="1202">
        <v>2770900</v>
      </c>
      <c r="K161" s="1202">
        <f t="shared" si="5"/>
        <v>15466158</v>
      </c>
      <c r="L161" s="1202">
        <v>5912</v>
      </c>
      <c r="M161" s="1202">
        <v>20528</v>
      </c>
      <c r="N161" s="1202">
        <v>1149</v>
      </c>
      <c r="O161" s="1202">
        <v>0</v>
      </c>
      <c r="P161" s="1202">
        <v>0</v>
      </c>
      <c r="Q161" s="1202">
        <v>1576465</v>
      </c>
      <c r="R161" s="1202">
        <v>661485</v>
      </c>
    </row>
    <row r="162" spans="1:18" s="636" customFormat="1" ht="13.5" customHeight="1" x14ac:dyDescent="0.2">
      <c r="A162" s="1293" t="s">
        <v>1484</v>
      </c>
      <c r="B162" s="1805" t="s">
        <v>553</v>
      </c>
      <c r="C162" s="420">
        <v>2243823</v>
      </c>
      <c r="D162" s="420">
        <v>4152372</v>
      </c>
      <c r="E162" s="420">
        <v>11505520</v>
      </c>
      <c r="F162" s="420">
        <f t="shared" si="4"/>
        <v>15657892</v>
      </c>
      <c r="G162" s="420">
        <v>1636307</v>
      </c>
      <c r="H162" s="420">
        <v>1106805</v>
      </c>
      <c r="I162" s="420">
        <v>10125983</v>
      </c>
      <c r="J162" s="420">
        <v>2784789</v>
      </c>
      <c r="K162" s="420">
        <f t="shared" si="5"/>
        <v>15653884</v>
      </c>
      <c r="L162" s="420">
        <v>5587</v>
      </c>
      <c r="M162" s="420">
        <v>20409</v>
      </c>
      <c r="N162" s="420">
        <v>929</v>
      </c>
      <c r="O162" s="420">
        <v>0</v>
      </c>
      <c r="P162" s="420">
        <v>0</v>
      </c>
      <c r="Q162" s="420">
        <v>1589665</v>
      </c>
      <c r="R162" s="420">
        <v>631241</v>
      </c>
    </row>
    <row r="163" spans="1:18" s="636" customFormat="1" ht="13.5" customHeight="1" x14ac:dyDescent="0.2">
      <c r="A163" s="1293" t="s">
        <v>1484</v>
      </c>
      <c r="B163" s="1806" t="s">
        <v>547</v>
      </c>
      <c r="C163" s="1202">
        <v>2216436</v>
      </c>
      <c r="D163" s="1202">
        <v>4189359</v>
      </c>
      <c r="E163" s="1202">
        <v>11588843</v>
      </c>
      <c r="F163" s="1202">
        <f t="shared" si="4"/>
        <v>15778202</v>
      </c>
      <c r="G163" s="1202">
        <v>1563662</v>
      </c>
      <c r="H163" s="1202">
        <v>1126914</v>
      </c>
      <c r="I163" s="1202">
        <v>10238149</v>
      </c>
      <c r="J163" s="1202">
        <v>2793305</v>
      </c>
      <c r="K163" s="1202">
        <f t="shared" si="5"/>
        <v>15722030</v>
      </c>
      <c r="L163" s="1202">
        <v>5384</v>
      </c>
      <c r="M163" s="1202">
        <v>20373</v>
      </c>
      <c r="N163" s="1202">
        <v>2307</v>
      </c>
      <c r="O163" s="1202">
        <v>0</v>
      </c>
      <c r="P163" s="1202">
        <v>0</v>
      </c>
      <c r="Q163" s="1202">
        <v>1632216</v>
      </c>
      <c r="R163" s="1202">
        <v>612328</v>
      </c>
    </row>
    <row r="164" spans="1:18" s="636" customFormat="1" ht="13.5" customHeight="1" x14ac:dyDescent="0.2">
      <c r="A164" s="1293" t="s">
        <v>1484</v>
      </c>
      <c r="B164" s="1805" t="s">
        <v>554</v>
      </c>
      <c r="C164" s="420">
        <v>2211691</v>
      </c>
      <c r="D164" s="420">
        <v>4266353</v>
      </c>
      <c r="E164" s="420">
        <v>11679702</v>
      </c>
      <c r="F164" s="420">
        <f t="shared" si="4"/>
        <v>15946055</v>
      </c>
      <c r="G164" s="420">
        <v>1532872</v>
      </c>
      <c r="H164" s="420">
        <v>1135834</v>
      </c>
      <c r="I164" s="420">
        <v>10358501</v>
      </c>
      <c r="J164" s="420">
        <v>2800447</v>
      </c>
      <c r="K164" s="420">
        <f t="shared" si="5"/>
        <v>15827654</v>
      </c>
      <c r="L164" s="420">
        <v>7291</v>
      </c>
      <c r="M164" s="420">
        <v>20071</v>
      </c>
      <c r="N164" s="420">
        <v>1433</v>
      </c>
      <c r="O164" s="420">
        <v>0</v>
      </c>
      <c r="P164" s="420">
        <v>0</v>
      </c>
      <c r="Q164" s="420">
        <v>1662610</v>
      </c>
      <c r="R164" s="420">
        <v>638687</v>
      </c>
    </row>
    <row r="165" spans="1:18" s="636" customFormat="1" ht="13.5" customHeight="1" x14ac:dyDescent="0.2">
      <c r="A165" s="1293" t="s">
        <v>1484</v>
      </c>
      <c r="B165" s="1806" t="s">
        <v>555</v>
      </c>
      <c r="C165" s="1202">
        <v>2220354</v>
      </c>
      <c r="D165" s="1202">
        <v>4341198</v>
      </c>
      <c r="E165" s="1202">
        <v>11787401</v>
      </c>
      <c r="F165" s="1202">
        <f t="shared" si="4"/>
        <v>16128599</v>
      </c>
      <c r="G165" s="1202">
        <v>1537119</v>
      </c>
      <c r="H165" s="1202">
        <v>1143564</v>
      </c>
      <c r="I165" s="1202">
        <v>10495637</v>
      </c>
      <c r="J165" s="1202">
        <v>2802939</v>
      </c>
      <c r="K165" s="1202">
        <f t="shared" si="5"/>
        <v>15979259</v>
      </c>
      <c r="L165" s="1202">
        <v>5714</v>
      </c>
      <c r="M165" s="1202">
        <v>19824</v>
      </c>
      <c r="N165" s="1202">
        <v>1528</v>
      </c>
      <c r="O165" s="1202">
        <v>0</v>
      </c>
      <c r="P165" s="1202">
        <v>0</v>
      </c>
      <c r="Q165" s="1202">
        <v>1687057</v>
      </c>
      <c r="R165" s="1202">
        <v>655571</v>
      </c>
    </row>
    <row r="166" spans="1:18" s="636" customFormat="1" ht="13.5" customHeight="1" x14ac:dyDescent="0.2">
      <c r="A166" s="1293" t="s">
        <v>1484</v>
      </c>
      <c r="B166" s="1805" t="s">
        <v>548</v>
      </c>
      <c r="C166" s="420">
        <v>2258569</v>
      </c>
      <c r="D166" s="420">
        <v>4365679</v>
      </c>
      <c r="E166" s="420">
        <v>12023337</v>
      </c>
      <c r="F166" s="420">
        <f t="shared" si="4"/>
        <v>16389016</v>
      </c>
      <c r="G166" s="420">
        <v>1550424</v>
      </c>
      <c r="H166" s="420">
        <v>1190380</v>
      </c>
      <c r="I166" s="420">
        <v>10640200</v>
      </c>
      <c r="J166" s="420">
        <v>2798201</v>
      </c>
      <c r="K166" s="420">
        <f t="shared" si="5"/>
        <v>16179205</v>
      </c>
      <c r="L166" s="420">
        <v>5479</v>
      </c>
      <c r="M166" s="420">
        <v>20643</v>
      </c>
      <c r="N166" s="420">
        <v>1322</v>
      </c>
      <c r="O166" s="420">
        <v>0</v>
      </c>
      <c r="P166" s="420">
        <v>0</v>
      </c>
      <c r="Q166" s="420">
        <v>1780875</v>
      </c>
      <c r="R166" s="420">
        <v>660061</v>
      </c>
    </row>
    <row r="167" spans="1:18" s="636" customFormat="1" ht="13.5" customHeight="1" x14ac:dyDescent="0.2">
      <c r="A167" s="1293" t="s">
        <v>1484</v>
      </c>
      <c r="B167" s="1806" t="s">
        <v>556</v>
      </c>
      <c r="C167" s="1202">
        <v>2260234</v>
      </c>
      <c r="D167" s="1202">
        <v>4454357</v>
      </c>
      <c r="E167" s="1202">
        <v>11996461</v>
      </c>
      <c r="F167" s="1202">
        <f t="shared" si="4"/>
        <v>16450818</v>
      </c>
      <c r="G167" s="1202">
        <v>1573756</v>
      </c>
      <c r="H167" s="1202">
        <v>1135410</v>
      </c>
      <c r="I167" s="1202">
        <v>10696232</v>
      </c>
      <c r="J167" s="1202">
        <v>2819366</v>
      </c>
      <c r="K167" s="1202">
        <f t="shared" si="5"/>
        <v>16224764</v>
      </c>
      <c r="L167" s="1202">
        <v>7942</v>
      </c>
      <c r="M167" s="1202">
        <v>20487</v>
      </c>
      <c r="N167" s="1202">
        <v>3234</v>
      </c>
      <c r="O167" s="1202">
        <v>0</v>
      </c>
      <c r="P167" s="1202">
        <v>0</v>
      </c>
      <c r="Q167" s="1202">
        <v>1575644</v>
      </c>
      <c r="R167" s="1202">
        <v>878981</v>
      </c>
    </row>
    <row r="168" spans="1:18" s="636" customFormat="1" ht="13.5" customHeight="1" x14ac:dyDescent="0.2">
      <c r="A168" s="1293" t="s">
        <v>1484</v>
      </c>
      <c r="B168" s="1805" t="s">
        <v>557</v>
      </c>
      <c r="C168" s="420">
        <v>2291830</v>
      </c>
      <c r="D168" s="420">
        <v>4467797</v>
      </c>
      <c r="E168" s="420">
        <v>12066013</v>
      </c>
      <c r="F168" s="420">
        <f t="shared" si="4"/>
        <v>16533810</v>
      </c>
      <c r="G168" s="420">
        <v>1602758</v>
      </c>
      <c r="H168" s="420">
        <v>1152703</v>
      </c>
      <c r="I168" s="420">
        <v>10747352</v>
      </c>
      <c r="J168" s="420">
        <v>2836812</v>
      </c>
      <c r="K168" s="420">
        <f t="shared" si="5"/>
        <v>16339625</v>
      </c>
      <c r="L168" s="420">
        <v>7327</v>
      </c>
      <c r="M168" s="420">
        <v>22428</v>
      </c>
      <c r="N168" s="420">
        <v>934</v>
      </c>
      <c r="O168" s="420">
        <v>0</v>
      </c>
      <c r="P168" s="420">
        <v>0</v>
      </c>
      <c r="Q168" s="420">
        <v>1605901</v>
      </c>
      <c r="R168" s="420">
        <v>849425</v>
      </c>
    </row>
    <row r="169" spans="1:18" s="636" customFormat="1" ht="13.5" customHeight="1" x14ac:dyDescent="0.2">
      <c r="A169" s="1293" t="s">
        <v>1484</v>
      </c>
      <c r="B169" s="1806" t="s">
        <v>549</v>
      </c>
      <c r="C169" s="1202">
        <v>2308430</v>
      </c>
      <c r="D169" s="1202">
        <v>4193786</v>
      </c>
      <c r="E169" s="1202">
        <v>12148699</v>
      </c>
      <c r="F169" s="1202">
        <f t="shared" si="4"/>
        <v>16342485</v>
      </c>
      <c r="G169" s="1202">
        <v>1718039</v>
      </c>
      <c r="H169" s="1202">
        <v>1175359</v>
      </c>
      <c r="I169" s="1202">
        <v>10659088</v>
      </c>
      <c r="J169" s="1202">
        <v>2850997</v>
      </c>
      <c r="K169" s="1202">
        <f t="shared" si="5"/>
        <v>16403483</v>
      </c>
      <c r="L169" s="1202">
        <v>7126</v>
      </c>
      <c r="M169" s="1202">
        <v>22594</v>
      </c>
      <c r="N169" s="1202">
        <v>1028</v>
      </c>
      <c r="O169" s="1202">
        <v>0</v>
      </c>
      <c r="P169" s="1202">
        <v>0</v>
      </c>
      <c r="Q169" s="1202">
        <v>1605260</v>
      </c>
      <c r="R169" s="1202">
        <v>611424</v>
      </c>
    </row>
    <row r="170" spans="1:18" s="636" customFormat="1" ht="13.5" customHeight="1" x14ac:dyDescent="0.2">
      <c r="A170" s="1293" t="s">
        <v>1484</v>
      </c>
      <c r="B170" s="1805" t="s">
        <v>558</v>
      </c>
      <c r="C170" s="420">
        <v>2343736</v>
      </c>
      <c r="D170" s="420">
        <v>4528827</v>
      </c>
      <c r="E170" s="420">
        <v>12244780</v>
      </c>
      <c r="F170" s="420">
        <f t="shared" si="4"/>
        <v>16773607</v>
      </c>
      <c r="G170" s="420">
        <v>1760779</v>
      </c>
      <c r="H170" s="420">
        <v>1191413</v>
      </c>
      <c r="I170" s="420">
        <v>10752329</v>
      </c>
      <c r="J170" s="420">
        <v>2844779</v>
      </c>
      <c r="K170" s="420">
        <f t="shared" si="5"/>
        <v>16549300</v>
      </c>
      <c r="L170" s="420">
        <v>9119</v>
      </c>
      <c r="M170" s="420">
        <v>22406</v>
      </c>
      <c r="N170" s="420">
        <v>1009</v>
      </c>
      <c r="O170" s="420">
        <v>0</v>
      </c>
      <c r="P170" s="420">
        <v>0</v>
      </c>
      <c r="Q170" s="420">
        <v>1629605</v>
      </c>
      <c r="R170" s="420">
        <v>905904</v>
      </c>
    </row>
    <row r="171" spans="1:18" s="636" customFormat="1" ht="13.5" customHeight="1" x14ac:dyDescent="0.2">
      <c r="A171" s="1293" t="s">
        <v>1484</v>
      </c>
      <c r="B171" s="1806" t="s">
        <v>559</v>
      </c>
      <c r="C171" s="1202">
        <v>2376176</v>
      </c>
      <c r="D171" s="1202">
        <v>4449630</v>
      </c>
      <c r="E171" s="1202">
        <v>12410554</v>
      </c>
      <c r="F171" s="1202">
        <f>D171+E171</f>
        <v>16860184</v>
      </c>
      <c r="G171" s="1202">
        <v>1922067</v>
      </c>
      <c r="H171" s="1202">
        <v>1227309</v>
      </c>
      <c r="I171" s="1202">
        <v>10809782</v>
      </c>
      <c r="J171" s="1202">
        <v>2848805</v>
      </c>
      <c r="K171" s="1202">
        <f t="shared" si="5"/>
        <v>16807963</v>
      </c>
      <c r="L171" s="1202">
        <v>11348</v>
      </c>
      <c r="M171" s="1202">
        <v>21493</v>
      </c>
      <c r="N171" s="1202">
        <v>831</v>
      </c>
      <c r="O171" s="1202">
        <v>0</v>
      </c>
      <c r="P171" s="1202">
        <v>0</v>
      </c>
      <c r="Q171" s="1202">
        <v>1633906</v>
      </c>
      <c r="R171" s="1202">
        <v>760819</v>
      </c>
    </row>
    <row r="172" spans="1:18" s="636" customFormat="1" ht="13.5" customHeight="1" x14ac:dyDescent="0.2">
      <c r="A172" s="1293" t="s">
        <v>1484</v>
      </c>
      <c r="B172" s="1805" t="s">
        <v>550</v>
      </c>
      <c r="C172" s="420">
        <v>2502874</v>
      </c>
      <c r="D172" s="420">
        <v>4656407</v>
      </c>
      <c r="E172" s="420">
        <v>12479869</v>
      </c>
      <c r="F172" s="420">
        <f>D172+E172</f>
        <v>17136276</v>
      </c>
      <c r="G172" s="420">
        <v>1905705</v>
      </c>
      <c r="H172" s="420">
        <v>1355862</v>
      </c>
      <c r="I172" s="420">
        <v>10902870</v>
      </c>
      <c r="J172" s="420">
        <v>2882236</v>
      </c>
      <c r="K172" s="420">
        <f t="shared" si="5"/>
        <v>17046673</v>
      </c>
      <c r="L172" s="420">
        <v>14311</v>
      </c>
      <c r="M172" s="420">
        <v>21310</v>
      </c>
      <c r="N172" s="420">
        <v>1273</v>
      </c>
      <c r="O172" s="420">
        <v>0</v>
      </c>
      <c r="P172" s="420">
        <v>0</v>
      </c>
      <c r="Q172" s="420">
        <v>1626481</v>
      </c>
      <c r="R172" s="420">
        <v>929102</v>
      </c>
    </row>
    <row r="173" spans="1:18" s="636" customFormat="1" ht="13.5" customHeight="1" x14ac:dyDescent="0.2">
      <c r="A173" s="1293" t="s">
        <v>1536</v>
      </c>
      <c r="B173" s="1272" t="s">
        <v>552</v>
      </c>
      <c r="C173" s="419">
        <v>263960.90000000002</v>
      </c>
      <c r="D173" s="419">
        <v>484604.8</v>
      </c>
      <c r="E173" s="419">
        <v>1245470.5</v>
      </c>
      <c r="F173" s="419">
        <f t="shared" ref="F173:F196" si="6">D173+E173</f>
        <v>1730075.3</v>
      </c>
      <c r="G173" s="419">
        <v>209439.6</v>
      </c>
      <c r="H173" s="419">
        <v>127923.2</v>
      </c>
      <c r="I173" s="419">
        <v>1109741.7</v>
      </c>
      <c r="J173" s="419">
        <v>291773.5</v>
      </c>
      <c r="K173" s="419">
        <f t="shared" ref="K173:K195" si="7">G173+H173+I173+J173</f>
        <v>1738878</v>
      </c>
      <c r="L173" s="419">
        <v>987.5</v>
      </c>
      <c r="M173" s="419">
        <v>2140.1</v>
      </c>
      <c r="N173" s="419">
        <v>133.5</v>
      </c>
      <c r="O173" s="419">
        <v>0</v>
      </c>
      <c r="P173" s="419">
        <v>0</v>
      </c>
      <c r="Q173" s="419">
        <v>165009.70000000001</v>
      </c>
      <c r="R173" s="419">
        <v>86887.4</v>
      </c>
    </row>
    <row r="174" spans="1:18" s="636" customFormat="1" ht="13.5" customHeight="1" x14ac:dyDescent="0.2">
      <c r="A174" s="1293" t="s">
        <v>1536</v>
      </c>
      <c r="B174" s="1273" t="s">
        <v>553</v>
      </c>
      <c r="C174" s="432">
        <v>277787.40000000002</v>
      </c>
      <c r="D174" s="432">
        <v>487765.3</v>
      </c>
      <c r="E174" s="432">
        <v>1250215.3999999999</v>
      </c>
      <c r="F174" s="432">
        <f t="shared" si="6"/>
        <v>1737980.7</v>
      </c>
      <c r="G174" s="432">
        <v>192442.8</v>
      </c>
      <c r="H174" s="432">
        <v>133572.6</v>
      </c>
      <c r="I174" s="432">
        <v>1130240.8999999999</v>
      </c>
      <c r="J174" s="432">
        <v>295381.8</v>
      </c>
      <c r="K174" s="432">
        <f t="shared" si="7"/>
        <v>1751638.0999999999</v>
      </c>
      <c r="L174" s="432">
        <v>4164.8999999999996</v>
      </c>
      <c r="M174" s="432">
        <v>2170.4</v>
      </c>
      <c r="N174" s="432">
        <v>185.3</v>
      </c>
      <c r="O174" s="432">
        <v>0</v>
      </c>
      <c r="P174" s="432">
        <v>0</v>
      </c>
      <c r="Q174" s="432">
        <v>171410.7</v>
      </c>
      <c r="R174" s="432">
        <v>86198.7</v>
      </c>
    </row>
    <row r="175" spans="1:18" s="636" customFormat="1" ht="13.5" customHeight="1" x14ac:dyDescent="0.2">
      <c r="A175" s="1293" t="s">
        <v>1536</v>
      </c>
      <c r="B175" s="1272" t="s">
        <v>547</v>
      </c>
      <c r="C175" s="419">
        <v>286745</v>
      </c>
      <c r="D175" s="419">
        <v>487350.7</v>
      </c>
      <c r="E175" s="419">
        <v>1261915.8999999999</v>
      </c>
      <c r="F175" s="419">
        <f t="shared" si="6"/>
        <v>1749266.5999999999</v>
      </c>
      <c r="G175" s="419">
        <v>187650</v>
      </c>
      <c r="H175" s="419">
        <v>135578.4</v>
      </c>
      <c r="I175" s="419">
        <v>1144433.1000000001</v>
      </c>
      <c r="J175" s="419">
        <v>299445.5</v>
      </c>
      <c r="K175" s="419">
        <f t="shared" si="7"/>
        <v>1767107</v>
      </c>
      <c r="L175" s="419">
        <v>1690.4</v>
      </c>
      <c r="M175" s="419">
        <v>2266.1</v>
      </c>
      <c r="N175" s="419">
        <v>142.5</v>
      </c>
      <c r="O175" s="419">
        <v>0</v>
      </c>
      <c r="P175" s="419">
        <v>0</v>
      </c>
      <c r="Q175" s="419">
        <v>173626.4</v>
      </c>
      <c r="R175" s="419">
        <v>91179.199999999997</v>
      </c>
    </row>
    <row r="176" spans="1:18" s="636" customFormat="1" ht="13.5" customHeight="1" x14ac:dyDescent="0.2">
      <c r="A176" s="1293" t="s">
        <v>1536</v>
      </c>
      <c r="B176" s="1273" t="s">
        <v>554</v>
      </c>
      <c r="C176" s="432">
        <v>293056.8</v>
      </c>
      <c r="D176" s="432">
        <v>492905.7</v>
      </c>
      <c r="E176" s="432">
        <v>1265324.5</v>
      </c>
      <c r="F176" s="432">
        <f t="shared" si="6"/>
        <v>1758230.2</v>
      </c>
      <c r="G176" s="432">
        <v>186506.2</v>
      </c>
      <c r="H176" s="432">
        <v>134374.5</v>
      </c>
      <c r="I176" s="432">
        <v>1160252.1000000001</v>
      </c>
      <c r="J176" s="432">
        <v>303352.40000000002</v>
      </c>
      <c r="K176" s="432">
        <f t="shared" si="7"/>
        <v>1784485.2000000002</v>
      </c>
      <c r="L176" s="432">
        <v>1724.1</v>
      </c>
      <c r="M176" s="432">
        <v>2297.4</v>
      </c>
      <c r="N176" s="432">
        <v>68.400000000000006</v>
      </c>
      <c r="O176" s="432">
        <v>0</v>
      </c>
      <c r="P176" s="432">
        <v>0</v>
      </c>
      <c r="Q176" s="432">
        <v>180987.2</v>
      </c>
      <c r="R176" s="432">
        <v>81724.7</v>
      </c>
    </row>
    <row r="177" spans="1:18" s="636" customFormat="1" ht="13.5" customHeight="1" x14ac:dyDescent="0.2">
      <c r="A177" s="1293" t="s">
        <v>1536</v>
      </c>
      <c r="B177" s="1272" t="s">
        <v>555</v>
      </c>
      <c r="C177" s="419">
        <v>302477.40000000002</v>
      </c>
      <c r="D177" s="419">
        <v>497895</v>
      </c>
      <c r="E177" s="419">
        <v>1271988.5</v>
      </c>
      <c r="F177" s="419">
        <f t="shared" si="6"/>
        <v>1769883.5</v>
      </c>
      <c r="G177" s="419">
        <v>183887.6</v>
      </c>
      <c r="H177" s="419">
        <v>140333.70000000001</v>
      </c>
      <c r="I177" s="419">
        <v>1170587.2</v>
      </c>
      <c r="J177" s="419">
        <v>306589</v>
      </c>
      <c r="K177" s="419">
        <f t="shared" si="7"/>
        <v>1801397.5</v>
      </c>
      <c r="L177" s="419">
        <v>1061.5</v>
      </c>
      <c r="M177" s="419">
        <v>2292</v>
      </c>
      <c r="N177" s="419">
        <v>70.400000000000006</v>
      </c>
      <c r="O177" s="419">
        <v>0</v>
      </c>
      <c r="P177" s="419">
        <v>0</v>
      </c>
      <c r="Q177" s="419">
        <v>182447.1</v>
      </c>
      <c r="R177" s="419">
        <v>85092.4</v>
      </c>
    </row>
    <row r="178" spans="1:18" s="636" customFormat="1" ht="13.5" customHeight="1" x14ac:dyDescent="0.2">
      <c r="A178" s="1293" t="s">
        <v>1536</v>
      </c>
      <c r="B178" s="1273" t="s">
        <v>548</v>
      </c>
      <c r="C178" s="432">
        <v>314120.7</v>
      </c>
      <c r="D178" s="432">
        <v>497145.9</v>
      </c>
      <c r="E178" s="432">
        <v>1294377.8</v>
      </c>
      <c r="F178" s="432">
        <f t="shared" si="6"/>
        <v>1791523.7000000002</v>
      </c>
      <c r="G178" s="432">
        <v>185916.5</v>
      </c>
      <c r="H178" s="432">
        <v>148452.4</v>
      </c>
      <c r="I178" s="432">
        <v>1187498.1000000001</v>
      </c>
      <c r="J178" s="432">
        <v>307949.2</v>
      </c>
      <c r="K178" s="432">
        <f t="shared" si="7"/>
        <v>1829816.2</v>
      </c>
      <c r="L178" s="432">
        <v>1504.2</v>
      </c>
      <c r="M178" s="432">
        <v>2712.4</v>
      </c>
      <c r="N178" s="432">
        <v>82.2</v>
      </c>
      <c r="O178" s="432">
        <v>0</v>
      </c>
      <c r="P178" s="432">
        <v>0</v>
      </c>
      <c r="Q178" s="432">
        <v>184166.2</v>
      </c>
      <c r="R178" s="432">
        <v>87363.199999999997</v>
      </c>
    </row>
    <row r="179" spans="1:18" s="636" customFormat="1" ht="13.5" customHeight="1" x14ac:dyDescent="0.2">
      <c r="A179" s="1293" t="s">
        <v>1536</v>
      </c>
      <c r="B179" s="1272" t="s">
        <v>556</v>
      </c>
      <c r="C179" s="419">
        <v>315659.59999999998</v>
      </c>
      <c r="D179" s="419">
        <v>502535.9</v>
      </c>
      <c r="E179" s="419">
        <v>1292740.3999999999</v>
      </c>
      <c r="F179" s="419">
        <f t="shared" si="6"/>
        <v>1795276.2999999998</v>
      </c>
      <c r="G179" s="419">
        <v>184189.7</v>
      </c>
      <c r="H179" s="419">
        <v>142249.5</v>
      </c>
      <c r="I179" s="419">
        <v>1188304.8999999999</v>
      </c>
      <c r="J179" s="419">
        <v>313076.8</v>
      </c>
      <c r="K179" s="419">
        <f t="shared" si="7"/>
        <v>1827820.9</v>
      </c>
      <c r="L179" s="419">
        <v>1693</v>
      </c>
      <c r="M179" s="419">
        <v>2742.8</v>
      </c>
      <c r="N179" s="419">
        <v>81.5</v>
      </c>
      <c r="O179" s="419">
        <v>0</v>
      </c>
      <c r="P179" s="419">
        <v>0</v>
      </c>
      <c r="Q179" s="419">
        <v>172714.6</v>
      </c>
      <c r="R179" s="419">
        <v>105883.1</v>
      </c>
    </row>
    <row r="180" spans="1:18" s="636" customFormat="1" ht="13.5" customHeight="1" x14ac:dyDescent="0.2">
      <c r="A180" s="1293" t="s">
        <v>1536</v>
      </c>
      <c r="B180" s="1273" t="s">
        <v>557</v>
      </c>
      <c r="C180" s="432">
        <v>317586.8</v>
      </c>
      <c r="D180" s="432">
        <v>494398</v>
      </c>
      <c r="E180" s="432">
        <v>1307608.8999999999</v>
      </c>
      <c r="F180" s="432">
        <f t="shared" si="6"/>
        <v>1802006.9</v>
      </c>
      <c r="G180" s="432">
        <v>183777.8</v>
      </c>
      <c r="H180" s="432">
        <v>145124.9</v>
      </c>
      <c r="I180" s="432">
        <v>1194332.3</v>
      </c>
      <c r="J180" s="432">
        <v>316616.7</v>
      </c>
      <c r="K180" s="432">
        <f t="shared" si="7"/>
        <v>1839851.7</v>
      </c>
      <c r="L180" s="432">
        <v>1326.7</v>
      </c>
      <c r="M180" s="432">
        <v>2824.4</v>
      </c>
      <c r="N180" s="432">
        <v>80.099999999999994</v>
      </c>
      <c r="O180" s="432">
        <v>0</v>
      </c>
      <c r="P180" s="432">
        <v>0</v>
      </c>
      <c r="Q180" s="432">
        <v>170693.7</v>
      </c>
      <c r="R180" s="432">
        <v>104817.1</v>
      </c>
    </row>
    <row r="181" spans="1:18" s="636" customFormat="1" ht="13.5" customHeight="1" x14ac:dyDescent="0.2">
      <c r="A181" s="1293" t="s">
        <v>1536</v>
      </c>
      <c r="B181" s="1272" t="s">
        <v>549</v>
      </c>
      <c r="C181" s="419">
        <v>318367</v>
      </c>
      <c r="D181" s="419">
        <v>497289.9</v>
      </c>
      <c r="E181" s="419">
        <v>1316216.6000000001</v>
      </c>
      <c r="F181" s="419">
        <f t="shared" si="6"/>
        <v>1813506.5</v>
      </c>
      <c r="G181" s="419">
        <v>182654.9</v>
      </c>
      <c r="H181" s="419">
        <v>145248</v>
      </c>
      <c r="I181" s="419">
        <v>1198271.3</v>
      </c>
      <c r="J181" s="419">
        <v>320468.40000000002</v>
      </c>
      <c r="K181" s="419">
        <f t="shared" si="7"/>
        <v>1846642.6</v>
      </c>
      <c r="L181" s="419">
        <v>1768.3</v>
      </c>
      <c r="M181" s="419">
        <v>2816.3</v>
      </c>
      <c r="N181" s="419">
        <v>77.599999999999994</v>
      </c>
      <c r="O181" s="419">
        <v>0</v>
      </c>
      <c r="P181" s="419">
        <v>0</v>
      </c>
      <c r="Q181" s="419">
        <v>177485.2</v>
      </c>
      <c r="R181" s="419">
        <v>103083.5</v>
      </c>
    </row>
    <row r="182" spans="1:18" s="636" customFormat="1" ht="13.5" customHeight="1" x14ac:dyDescent="0.2">
      <c r="A182" s="1293" t="s">
        <v>1536</v>
      </c>
      <c r="B182" s="1273" t="s">
        <v>558</v>
      </c>
      <c r="C182" s="432">
        <v>324732.7</v>
      </c>
      <c r="D182" s="432">
        <v>506708.9</v>
      </c>
      <c r="E182" s="432">
        <v>1321297.5</v>
      </c>
      <c r="F182" s="432">
        <f t="shared" si="6"/>
        <v>1828006.4</v>
      </c>
      <c r="G182" s="432">
        <v>190849.1</v>
      </c>
      <c r="H182" s="432">
        <v>147047.4</v>
      </c>
      <c r="I182" s="432">
        <v>1203204</v>
      </c>
      <c r="J182" s="432">
        <v>321991.90000000002</v>
      </c>
      <c r="K182" s="432">
        <f t="shared" si="7"/>
        <v>1863092.4</v>
      </c>
      <c r="L182" s="432">
        <v>1744.7</v>
      </c>
      <c r="M182" s="432">
        <v>2799.6</v>
      </c>
      <c r="N182" s="432">
        <v>77.099999999999994</v>
      </c>
      <c r="O182" s="432">
        <v>0</v>
      </c>
      <c r="P182" s="432">
        <v>0</v>
      </c>
      <c r="Q182" s="432">
        <v>180551.7</v>
      </c>
      <c r="R182" s="432">
        <v>104473.60000000001</v>
      </c>
    </row>
    <row r="183" spans="1:18" s="636" customFormat="1" ht="13.5" customHeight="1" x14ac:dyDescent="0.2">
      <c r="A183" s="1293" t="s">
        <v>1536</v>
      </c>
      <c r="B183" s="1272" t="s">
        <v>559</v>
      </c>
      <c r="C183" s="419">
        <v>331765.7</v>
      </c>
      <c r="D183" s="419">
        <v>519954.1</v>
      </c>
      <c r="E183" s="419">
        <v>1331056.3</v>
      </c>
      <c r="F183" s="419">
        <f t="shared" si="6"/>
        <v>1851010.4</v>
      </c>
      <c r="G183" s="419">
        <v>199639.6</v>
      </c>
      <c r="H183" s="419">
        <v>151488.5</v>
      </c>
      <c r="I183" s="419">
        <v>1216002.6000000001</v>
      </c>
      <c r="J183" s="419">
        <v>324633.09999999998</v>
      </c>
      <c r="K183" s="419">
        <f t="shared" si="7"/>
        <v>1891763.8000000003</v>
      </c>
      <c r="L183" s="419">
        <v>1514.8</v>
      </c>
      <c r="M183" s="419">
        <v>2835.1</v>
      </c>
      <c r="N183" s="419">
        <v>92.7</v>
      </c>
      <c r="O183" s="419">
        <v>0</v>
      </c>
      <c r="P183" s="419">
        <v>0</v>
      </c>
      <c r="Q183" s="419">
        <v>182383.1</v>
      </c>
      <c r="R183" s="419">
        <v>104186.6</v>
      </c>
    </row>
    <row r="184" spans="1:18" s="636" customFormat="1" ht="13.5" customHeight="1" x14ac:dyDescent="0.2">
      <c r="A184" s="1293" t="s">
        <v>1536</v>
      </c>
      <c r="B184" s="1273" t="s">
        <v>550</v>
      </c>
      <c r="C184" s="432">
        <v>334673.7</v>
      </c>
      <c r="D184" s="432">
        <v>548617.69999999995</v>
      </c>
      <c r="E184" s="432">
        <v>1349330.6</v>
      </c>
      <c r="F184" s="432">
        <f t="shared" si="6"/>
        <v>1897948.3</v>
      </c>
      <c r="G184" s="432">
        <v>207949.2</v>
      </c>
      <c r="H184" s="432">
        <v>165171.20000000001</v>
      </c>
      <c r="I184" s="432">
        <v>1226821.1000000001</v>
      </c>
      <c r="J184" s="432">
        <v>329302.40000000002</v>
      </c>
      <c r="K184" s="432">
        <f t="shared" si="7"/>
        <v>1929243.9</v>
      </c>
      <c r="L184" s="432">
        <v>1821.9</v>
      </c>
      <c r="M184" s="432">
        <v>2833.2</v>
      </c>
      <c r="N184" s="432">
        <v>147.80000000000001</v>
      </c>
      <c r="O184" s="432">
        <v>0</v>
      </c>
      <c r="P184" s="432">
        <v>0</v>
      </c>
      <c r="Q184" s="432">
        <v>186910.6</v>
      </c>
      <c r="R184" s="432">
        <v>111664.6</v>
      </c>
    </row>
    <row r="185" spans="1:18" s="1268" customFormat="1" ht="13.5" customHeight="1" x14ac:dyDescent="0.2">
      <c r="A185" s="1419" t="s">
        <v>1817</v>
      </c>
      <c r="B185" s="1273" t="s">
        <v>552</v>
      </c>
      <c r="C185" s="432">
        <v>335464.59999999998</v>
      </c>
      <c r="D185" s="432">
        <v>558745.59999999998</v>
      </c>
      <c r="E185" s="432">
        <v>1351563.4</v>
      </c>
      <c r="F185" s="432">
        <f t="shared" si="6"/>
        <v>1910309</v>
      </c>
      <c r="G185" s="432">
        <v>225471.3</v>
      </c>
      <c r="H185" s="432">
        <v>157202.20000000001</v>
      </c>
      <c r="I185" s="432">
        <v>1235403.3999999999</v>
      </c>
      <c r="J185" s="432">
        <v>331443.09999999998</v>
      </c>
      <c r="K185" s="432">
        <f t="shared" si="7"/>
        <v>1949520</v>
      </c>
      <c r="L185" s="432">
        <v>1157.5999999999999</v>
      </c>
      <c r="M185" s="432">
        <v>2799</v>
      </c>
      <c r="N185" s="432">
        <v>158.1</v>
      </c>
      <c r="O185" s="432">
        <v>0</v>
      </c>
      <c r="P185" s="432">
        <v>0</v>
      </c>
      <c r="Q185" s="432">
        <v>184277</v>
      </c>
      <c r="R185" s="432">
        <v>107861.9</v>
      </c>
    </row>
    <row r="186" spans="1:18" s="1268" customFormat="1" ht="13.5" customHeight="1" x14ac:dyDescent="0.2">
      <c r="A186" s="1419" t="s">
        <v>1817</v>
      </c>
      <c r="B186" s="1272" t="s">
        <v>553</v>
      </c>
      <c r="C186" s="419">
        <v>337094</v>
      </c>
      <c r="D186" s="419">
        <v>553983.5</v>
      </c>
      <c r="E186" s="419">
        <v>1361418.6</v>
      </c>
      <c r="F186" s="419">
        <f t="shared" si="6"/>
        <v>1915402.1</v>
      </c>
      <c r="G186" s="419">
        <v>211940.1</v>
      </c>
      <c r="H186" s="419">
        <v>159936.1</v>
      </c>
      <c r="I186" s="419">
        <v>1244737.8</v>
      </c>
      <c r="J186" s="419">
        <v>335103.59999999998</v>
      </c>
      <c r="K186" s="419">
        <f t="shared" si="7"/>
        <v>1951717.6</v>
      </c>
      <c r="L186" s="419">
        <v>1585.4</v>
      </c>
      <c r="M186" s="419">
        <v>2741.2</v>
      </c>
      <c r="N186" s="419">
        <v>180.6</v>
      </c>
      <c r="O186" s="419">
        <v>0</v>
      </c>
      <c r="P186" s="419">
        <v>0</v>
      </c>
      <c r="Q186" s="419">
        <v>186434.2</v>
      </c>
      <c r="R186" s="419">
        <v>109837.1</v>
      </c>
    </row>
    <row r="187" spans="1:18" s="1268" customFormat="1" ht="13.5" customHeight="1" x14ac:dyDescent="0.2">
      <c r="A187" s="1419" t="s">
        <v>1817</v>
      </c>
      <c r="B187" s="1273" t="s">
        <v>547</v>
      </c>
      <c r="C187" s="432">
        <v>327692.7</v>
      </c>
      <c r="D187" s="432">
        <v>562775.19999999995</v>
      </c>
      <c r="E187" s="432">
        <v>1378515.3</v>
      </c>
      <c r="F187" s="432">
        <f t="shared" si="6"/>
        <v>1941290.5</v>
      </c>
      <c r="G187" s="432">
        <v>208030.8</v>
      </c>
      <c r="H187" s="432">
        <v>156374.29999999999</v>
      </c>
      <c r="I187" s="432">
        <v>1258399</v>
      </c>
      <c r="J187" s="432">
        <v>338034.5</v>
      </c>
      <c r="K187" s="432">
        <f t="shared" si="7"/>
        <v>1960838.6</v>
      </c>
      <c r="L187" s="432">
        <v>1664.1</v>
      </c>
      <c r="M187" s="432">
        <v>2716.1</v>
      </c>
      <c r="N187" s="432">
        <v>152.30000000000001</v>
      </c>
      <c r="O187" s="432">
        <v>0</v>
      </c>
      <c r="P187" s="432">
        <v>0</v>
      </c>
      <c r="Q187" s="432">
        <v>187607.8</v>
      </c>
      <c r="R187" s="432">
        <v>116004.3</v>
      </c>
    </row>
    <row r="188" spans="1:18" s="1268" customFormat="1" ht="13.5" customHeight="1" x14ac:dyDescent="0.2">
      <c r="A188" s="1419" t="s">
        <v>1817</v>
      </c>
      <c r="B188" s="1272" t="s">
        <v>554</v>
      </c>
      <c r="C188" s="419">
        <v>326538.5</v>
      </c>
      <c r="D188" s="419">
        <v>567473</v>
      </c>
      <c r="E188" s="419">
        <v>1387958.1</v>
      </c>
      <c r="F188" s="419">
        <f t="shared" si="6"/>
        <v>1955431.1</v>
      </c>
      <c r="G188" s="419">
        <v>204300.9</v>
      </c>
      <c r="H188" s="419">
        <v>158697.70000000001</v>
      </c>
      <c r="I188" s="419">
        <v>1267941.7</v>
      </c>
      <c r="J188" s="419">
        <v>338909.1</v>
      </c>
      <c r="K188" s="419">
        <f t="shared" si="7"/>
        <v>1969849.4</v>
      </c>
      <c r="L188" s="419">
        <v>1534.5</v>
      </c>
      <c r="M188" s="419">
        <v>3118.6</v>
      </c>
      <c r="N188" s="419">
        <v>219.5</v>
      </c>
      <c r="O188" s="419">
        <v>0</v>
      </c>
      <c r="P188" s="419">
        <v>0</v>
      </c>
      <c r="Q188" s="419">
        <v>189341.3</v>
      </c>
      <c r="R188" s="419">
        <v>117905.8</v>
      </c>
    </row>
    <row r="189" spans="1:18" s="1268" customFormat="1" ht="13.5" customHeight="1" x14ac:dyDescent="0.2">
      <c r="A189" s="1419" t="s">
        <v>1817</v>
      </c>
      <c r="B189" s="1273" t="s">
        <v>555</v>
      </c>
      <c r="C189" s="432">
        <v>314277.90000000002</v>
      </c>
      <c r="D189" s="432">
        <v>577140</v>
      </c>
      <c r="E189" s="432">
        <v>1405314</v>
      </c>
      <c r="F189" s="432">
        <f t="shared" si="6"/>
        <v>1982454</v>
      </c>
      <c r="G189" s="432">
        <v>206695.7</v>
      </c>
      <c r="H189" s="432">
        <v>159863.29999999999</v>
      </c>
      <c r="I189" s="432">
        <v>1273348.3999999999</v>
      </c>
      <c r="J189" s="432">
        <v>339683.3</v>
      </c>
      <c r="K189" s="432">
        <f t="shared" si="7"/>
        <v>1979590.7</v>
      </c>
      <c r="L189" s="432">
        <v>1667.8</v>
      </c>
      <c r="M189" s="432">
        <v>2817.6</v>
      </c>
      <c r="N189" s="432">
        <v>217.7</v>
      </c>
      <c r="O189" s="432">
        <v>0</v>
      </c>
      <c r="P189" s="432">
        <v>0</v>
      </c>
      <c r="Q189" s="432">
        <v>189875.1</v>
      </c>
      <c r="R189" s="432">
        <v>122563</v>
      </c>
    </row>
    <row r="190" spans="1:18" s="1268" customFormat="1" ht="13.5" customHeight="1" x14ac:dyDescent="0.2">
      <c r="A190" s="1419" t="s">
        <v>1817</v>
      </c>
      <c r="B190" s="1272" t="s">
        <v>548</v>
      </c>
      <c r="C190" s="419">
        <v>316672.7</v>
      </c>
      <c r="D190" s="419">
        <v>570699.69999999995</v>
      </c>
      <c r="E190" s="419">
        <v>1434086.7</v>
      </c>
      <c r="F190" s="419">
        <f t="shared" si="6"/>
        <v>2004786.4</v>
      </c>
      <c r="G190" s="419">
        <v>209115.4</v>
      </c>
      <c r="H190" s="419">
        <v>168738.7</v>
      </c>
      <c r="I190" s="419">
        <v>1280582.3</v>
      </c>
      <c r="J190" s="419">
        <v>339359.1</v>
      </c>
      <c r="K190" s="419">
        <f t="shared" si="7"/>
        <v>1997795.5</v>
      </c>
      <c r="L190" s="419">
        <v>1472</v>
      </c>
      <c r="M190" s="419">
        <v>3034.2</v>
      </c>
      <c r="N190" s="419">
        <v>281.5</v>
      </c>
      <c r="O190" s="419">
        <v>0</v>
      </c>
      <c r="P190" s="419">
        <v>0</v>
      </c>
      <c r="Q190" s="419">
        <v>198589.2</v>
      </c>
      <c r="R190" s="419">
        <v>120286.7</v>
      </c>
    </row>
    <row r="191" spans="1:18" s="1268" customFormat="1" ht="13.5" customHeight="1" x14ac:dyDescent="0.2">
      <c r="A191" s="1419" t="s">
        <v>1817</v>
      </c>
      <c r="B191" s="1273" t="s">
        <v>556</v>
      </c>
      <c r="C191" s="432">
        <v>311412</v>
      </c>
      <c r="D191" s="432">
        <v>571027.30000000005</v>
      </c>
      <c r="E191" s="432">
        <v>1440436.2</v>
      </c>
      <c r="F191" s="432">
        <f t="shared" si="6"/>
        <v>2011463.5</v>
      </c>
      <c r="G191" s="432">
        <v>210156.79999999999</v>
      </c>
      <c r="H191" s="432">
        <v>161356.5</v>
      </c>
      <c r="I191" s="432">
        <v>1280546.3999999999</v>
      </c>
      <c r="J191" s="432">
        <v>342059.7</v>
      </c>
      <c r="K191" s="432">
        <f t="shared" si="7"/>
        <v>1994119.4</v>
      </c>
      <c r="L191" s="432">
        <v>1887.4</v>
      </c>
      <c r="M191" s="432">
        <v>2995.9</v>
      </c>
      <c r="N191" s="432">
        <v>290.60000000000002</v>
      </c>
      <c r="O191" s="432">
        <v>0</v>
      </c>
      <c r="P191" s="432">
        <v>0</v>
      </c>
      <c r="Q191" s="432">
        <v>184327.5</v>
      </c>
      <c r="R191" s="432">
        <v>139254.39999999999</v>
      </c>
    </row>
    <row r="192" spans="1:18" s="1268" customFormat="1" ht="13.5" customHeight="1" x14ac:dyDescent="0.2">
      <c r="A192" s="1419" t="s">
        <v>1817</v>
      </c>
      <c r="B192" s="1272" t="s">
        <v>557</v>
      </c>
      <c r="C192" s="419">
        <v>307536.7</v>
      </c>
      <c r="D192" s="419">
        <v>573512.30000000005</v>
      </c>
      <c r="E192" s="419">
        <v>1455201.2</v>
      </c>
      <c r="F192" s="419">
        <f t="shared" si="6"/>
        <v>2028713.5</v>
      </c>
      <c r="G192" s="419">
        <v>210642.7</v>
      </c>
      <c r="H192" s="419">
        <v>159360.79999999999</v>
      </c>
      <c r="I192" s="419">
        <v>1289952.3999999999</v>
      </c>
      <c r="J192" s="419">
        <v>344654.6</v>
      </c>
      <c r="K192" s="419">
        <f t="shared" si="7"/>
        <v>2004610.5</v>
      </c>
      <c r="L192" s="419">
        <v>1766.1</v>
      </c>
      <c r="M192" s="419">
        <v>2990.7</v>
      </c>
      <c r="N192" s="419">
        <v>312.60000000000002</v>
      </c>
      <c r="O192" s="419">
        <v>0</v>
      </c>
      <c r="P192" s="419">
        <v>0</v>
      </c>
      <c r="Q192" s="419">
        <v>187083.4</v>
      </c>
      <c r="R192" s="419">
        <v>139486.6</v>
      </c>
    </row>
    <row r="193" spans="1:18" s="1268" customFormat="1" ht="13.5" customHeight="1" x14ac:dyDescent="0.2">
      <c r="A193" s="1419" t="s">
        <v>1817</v>
      </c>
      <c r="B193" s="1273" t="s">
        <v>549</v>
      </c>
      <c r="C193" s="432">
        <v>301040</v>
      </c>
      <c r="D193" s="432">
        <v>579903.80000000005</v>
      </c>
      <c r="E193" s="432">
        <v>1468552.2</v>
      </c>
      <c r="F193" s="432">
        <f t="shared" si="6"/>
        <v>2048456</v>
      </c>
      <c r="G193" s="432">
        <v>211049.2</v>
      </c>
      <c r="H193" s="432">
        <v>162818.29999999999</v>
      </c>
      <c r="I193" s="432">
        <v>1295252.3</v>
      </c>
      <c r="J193" s="432">
        <v>346631.2</v>
      </c>
      <c r="K193" s="432">
        <f t="shared" si="7"/>
        <v>2015751</v>
      </c>
      <c r="L193" s="432">
        <v>1371.4</v>
      </c>
      <c r="M193" s="432">
        <v>3027.6</v>
      </c>
      <c r="N193" s="432">
        <v>286.10000000000002</v>
      </c>
      <c r="O193" s="432">
        <v>0</v>
      </c>
      <c r="P193" s="432">
        <v>0</v>
      </c>
      <c r="Q193" s="432">
        <v>187317.4</v>
      </c>
      <c r="R193" s="432">
        <v>141742</v>
      </c>
    </row>
    <row r="194" spans="1:18" s="1268" customFormat="1" ht="13.5" customHeight="1" x14ac:dyDescent="0.2">
      <c r="A194" s="1419" t="s">
        <v>1817</v>
      </c>
      <c r="B194" s="1272" t="s">
        <v>558</v>
      </c>
      <c r="C194" s="419">
        <v>295179.59999999998</v>
      </c>
      <c r="D194" s="419">
        <v>599673.69999999995</v>
      </c>
      <c r="E194" s="419">
        <v>1490545.6</v>
      </c>
      <c r="F194" s="419">
        <f t="shared" si="6"/>
        <v>2090219.3</v>
      </c>
      <c r="G194" s="419">
        <v>235145.5</v>
      </c>
      <c r="H194" s="419">
        <v>166555.20000000001</v>
      </c>
      <c r="I194" s="419">
        <v>1302391.3999999999</v>
      </c>
      <c r="J194" s="419">
        <v>347784.8</v>
      </c>
      <c r="K194" s="419">
        <f t="shared" si="7"/>
        <v>2051876.9</v>
      </c>
      <c r="L194" s="419">
        <v>1400.7</v>
      </c>
      <c r="M194" s="419">
        <v>3015.1</v>
      </c>
      <c r="N194" s="419">
        <v>360.1</v>
      </c>
      <c r="O194" s="419">
        <v>0</v>
      </c>
      <c r="P194" s="419">
        <v>0</v>
      </c>
      <c r="Q194" s="419">
        <v>184524.4</v>
      </c>
      <c r="R194" s="419">
        <v>144221.20000000001</v>
      </c>
    </row>
    <row r="195" spans="1:18" s="1268" customFormat="1" ht="13.5" customHeight="1" x14ac:dyDescent="0.2">
      <c r="A195" s="1419" t="s">
        <v>1817</v>
      </c>
      <c r="B195" s="1273" t="s">
        <v>559</v>
      </c>
      <c r="C195" s="432">
        <v>297616</v>
      </c>
      <c r="D195" s="432">
        <v>596675.5</v>
      </c>
      <c r="E195" s="432">
        <v>1508722.2</v>
      </c>
      <c r="F195" s="432">
        <f t="shared" si="6"/>
        <v>2105397.7000000002</v>
      </c>
      <c r="G195" s="432">
        <v>223490.8</v>
      </c>
      <c r="H195" s="432">
        <v>169461.8</v>
      </c>
      <c r="I195" s="432">
        <v>1311306.6000000001</v>
      </c>
      <c r="J195" s="432">
        <v>348540.1</v>
      </c>
      <c r="K195" s="432">
        <f t="shared" si="7"/>
        <v>2052799.3000000003</v>
      </c>
      <c r="L195" s="432">
        <v>2091.6</v>
      </c>
      <c r="M195" s="432">
        <v>3000.8</v>
      </c>
      <c r="N195" s="432">
        <v>316.3</v>
      </c>
      <c r="O195" s="432">
        <v>0</v>
      </c>
      <c r="P195" s="432">
        <v>0</v>
      </c>
      <c r="Q195" s="432">
        <v>197736</v>
      </c>
      <c r="R195" s="432">
        <v>147069</v>
      </c>
    </row>
    <row r="196" spans="1:18" s="1268" customFormat="1" ht="13.5" customHeight="1" x14ac:dyDescent="0.2">
      <c r="A196" s="1419" t="s">
        <v>1817</v>
      </c>
      <c r="B196" s="1272" t="s">
        <v>550</v>
      </c>
      <c r="C196" s="419">
        <v>304447.5</v>
      </c>
      <c r="D196" s="419">
        <v>631729.80000000005</v>
      </c>
      <c r="E196" s="419">
        <v>1539232.5</v>
      </c>
      <c r="F196" s="419">
        <f t="shared" si="6"/>
        <v>2170962.2999999998</v>
      </c>
      <c r="G196" s="419">
        <v>234783</v>
      </c>
      <c r="H196" s="419">
        <v>189735</v>
      </c>
      <c r="I196" s="419">
        <v>1324229.7</v>
      </c>
      <c r="J196" s="419">
        <v>350604.9</v>
      </c>
      <c r="K196" s="419">
        <f>G196+H196+I196+J196</f>
        <v>2099352.6</v>
      </c>
      <c r="L196" s="419">
        <v>1590.4</v>
      </c>
      <c r="M196" s="419">
        <v>3021</v>
      </c>
      <c r="N196" s="419">
        <v>350.8</v>
      </c>
      <c r="O196" s="419">
        <v>0</v>
      </c>
      <c r="P196" s="419">
        <v>0</v>
      </c>
      <c r="Q196" s="419">
        <v>206528.8</v>
      </c>
      <c r="R196" s="419">
        <v>164566.1</v>
      </c>
    </row>
    <row r="197" spans="1:18" s="1268" customFormat="1" ht="13.5" customHeight="1" x14ac:dyDescent="0.2">
      <c r="A197" s="1419" t="s">
        <v>2066</v>
      </c>
      <c r="B197" s="1273" t="s">
        <v>552</v>
      </c>
      <c r="C197" s="419">
        <v>297631.3</v>
      </c>
      <c r="D197" s="419">
        <v>632451.6</v>
      </c>
      <c r="E197" s="419">
        <v>1543105.5</v>
      </c>
      <c r="F197" s="419">
        <f>D197+E197</f>
        <v>2175557.1</v>
      </c>
      <c r="G197" s="419">
        <v>240348.5</v>
      </c>
      <c r="H197" s="419">
        <v>180626.8</v>
      </c>
      <c r="I197" s="419">
        <v>1328217.7</v>
      </c>
      <c r="J197" s="419">
        <v>351039.4</v>
      </c>
      <c r="K197" s="419">
        <f>G197+H197+I197+J197</f>
        <v>2100232.4</v>
      </c>
      <c r="L197" s="419">
        <v>2255.9</v>
      </c>
      <c r="M197" s="419">
        <v>2982.4</v>
      </c>
      <c r="N197" s="419">
        <v>350</v>
      </c>
      <c r="O197" s="419">
        <v>0</v>
      </c>
      <c r="P197" s="419">
        <v>0</v>
      </c>
      <c r="Q197" s="419">
        <v>213112.9</v>
      </c>
      <c r="R197" s="419">
        <v>154254.79999999999</v>
      </c>
    </row>
    <row r="198" spans="1:18" s="1268" customFormat="1" ht="13.5" customHeight="1" x14ac:dyDescent="0.2">
      <c r="A198" s="1419" t="s">
        <v>2066</v>
      </c>
      <c r="B198" s="1272" t="s">
        <v>553</v>
      </c>
      <c r="C198" s="432">
        <v>282784.59999999998</v>
      </c>
      <c r="D198" s="432">
        <v>639377.1</v>
      </c>
      <c r="E198" s="432">
        <v>1552956.9</v>
      </c>
      <c r="F198" s="432">
        <f t="shared" ref="F198:F207" si="8">D198+E198</f>
        <v>2192334</v>
      </c>
      <c r="G198" s="432">
        <v>240188.1</v>
      </c>
      <c r="H198" s="432">
        <v>177147.4</v>
      </c>
      <c r="I198" s="432">
        <v>1335603.5</v>
      </c>
      <c r="J198" s="432">
        <v>351219.7</v>
      </c>
      <c r="K198" s="432">
        <f t="shared" ref="K198:K207" si="9">G198+H198+I198+J198</f>
        <v>2104158.7000000002</v>
      </c>
      <c r="L198" s="432">
        <v>2231.3000000000002</v>
      </c>
      <c r="M198" s="432">
        <v>2833.3</v>
      </c>
      <c r="N198" s="432">
        <v>349.9</v>
      </c>
      <c r="O198" s="432">
        <v>0</v>
      </c>
      <c r="P198" s="432">
        <v>0</v>
      </c>
      <c r="Q198" s="432">
        <v>214757.2</v>
      </c>
      <c r="R198" s="432">
        <v>150788.20000000001</v>
      </c>
    </row>
    <row r="199" spans="1:18" s="950" customFormat="1" ht="13.5" customHeight="1" x14ac:dyDescent="0.2">
      <c r="A199" s="1419" t="s">
        <v>2066</v>
      </c>
      <c r="B199" s="1273" t="s">
        <v>547</v>
      </c>
      <c r="C199" s="419">
        <v>279452.09999999998</v>
      </c>
      <c r="D199" s="419">
        <v>643380.1</v>
      </c>
      <c r="E199" s="419">
        <v>1570530.1</v>
      </c>
      <c r="F199" s="419">
        <f t="shared" si="8"/>
        <v>2213910.2000000002</v>
      </c>
      <c r="G199" s="419">
        <v>238302</v>
      </c>
      <c r="H199" s="419">
        <v>179326.6</v>
      </c>
      <c r="I199" s="419">
        <v>1347573.2</v>
      </c>
      <c r="J199" s="419">
        <v>351320.3</v>
      </c>
      <c r="K199" s="419">
        <f t="shared" si="9"/>
        <v>2116522.0999999996</v>
      </c>
      <c r="L199" s="419">
        <v>2164.1</v>
      </c>
      <c r="M199" s="419">
        <v>2790.8</v>
      </c>
      <c r="N199" s="419">
        <v>226.8</v>
      </c>
      <c r="O199" s="419">
        <v>0</v>
      </c>
      <c r="P199" s="419">
        <v>0</v>
      </c>
      <c r="Q199" s="419">
        <v>216724.7</v>
      </c>
      <c r="R199" s="419">
        <v>154933.79999999999</v>
      </c>
    </row>
    <row r="200" spans="1:18" s="950" customFormat="1" ht="13.5" customHeight="1" x14ac:dyDescent="0.2">
      <c r="A200" s="1419" t="s">
        <v>2066</v>
      </c>
      <c r="B200" s="1272" t="s">
        <v>554</v>
      </c>
      <c r="C200" s="432">
        <v>269847.2</v>
      </c>
      <c r="D200" s="432">
        <v>655002.4</v>
      </c>
      <c r="E200" s="432">
        <v>1582316.2</v>
      </c>
      <c r="F200" s="432">
        <f t="shared" si="8"/>
        <v>2237318.6</v>
      </c>
      <c r="G200" s="432">
        <v>234409.4</v>
      </c>
      <c r="H200" s="432">
        <v>179566.3</v>
      </c>
      <c r="I200" s="432">
        <v>1352534.9</v>
      </c>
      <c r="J200" s="432">
        <v>350456.3</v>
      </c>
      <c r="K200" s="432">
        <f t="shared" si="9"/>
        <v>2116966.9</v>
      </c>
      <c r="L200" s="432">
        <v>2367.3000000000002</v>
      </c>
      <c r="M200" s="432">
        <v>2712.4</v>
      </c>
      <c r="N200" s="432">
        <v>361.5</v>
      </c>
      <c r="O200" s="432">
        <v>0</v>
      </c>
      <c r="P200" s="432">
        <v>0</v>
      </c>
      <c r="Q200" s="432">
        <v>224813</v>
      </c>
      <c r="R200" s="432">
        <v>159944.70000000001</v>
      </c>
    </row>
    <row r="201" spans="1:18" s="950" customFormat="1" ht="13.5" customHeight="1" x14ac:dyDescent="0.2">
      <c r="A201" s="1419" t="s">
        <v>2066</v>
      </c>
      <c r="B201" s="1273" t="s">
        <v>555</v>
      </c>
      <c r="C201" s="419">
        <v>266772.8</v>
      </c>
      <c r="D201" s="419">
        <v>647965.9</v>
      </c>
      <c r="E201" s="419">
        <v>1594764.1</v>
      </c>
      <c r="F201" s="419">
        <f t="shared" si="8"/>
        <v>2242730</v>
      </c>
      <c r="G201" s="419">
        <v>251267.1</v>
      </c>
      <c r="H201" s="419">
        <v>180759.6</v>
      </c>
      <c r="I201" s="419">
        <v>1349103</v>
      </c>
      <c r="J201" s="419">
        <v>349646.6</v>
      </c>
      <c r="K201" s="419">
        <f t="shared" si="9"/>
        <v>2130776.2999999998</v>
      </c>
      <c r="L201" s="419">
        <v>2152</v>
      </c>
      <c r="M201" s="419">
        <v>2663.9</v>
      </c>
      <c r="N201" s="419">
        <v>413.6</v>
      </c>
      <c r="O201" s="419">
        <v>0</v>
      </c>
      <c r="P201" s="419">
        <v>0</v>
      </c>
      <c r="Q201" s="419">
        <v>230456.8</v>
      </c>
      <c r="R201" s="419">
        <v>143040.20000000001</v>
      </c>
    </row>
    <row r="202" spans="1:18" s="950" customFormat="1" ht="13.5" customHeight="1" x14ac:dyDescent="0.2">
      <c r="A202" s="1419" t="s">
        <v>2066</v>
      </c>
      <c r="B202" s="1272" t="s">
        <v>548</v>
      </c>
      <c r="C202" s="432">
        <v>269553.5</v>
      </c>
      <c r="D202" s="432">
        <v>641133.5</v>
      </c>
      <c r="E202" s="432">
        <v>1613160.8</v>
      </c>
      <c r="F202" s="432">
        <f t="shared" si="8"/>
        <v>2254294.2999999998</v>
      </c>
      <c r="G202" s="432">
        <v>266460</v>
      </c>
      <c r="H202" s="432">
        <v>184659.8</v>
      </c>
      <c r="I202" s="432">
        <v>1348157.2</v>
      </c>
      <c r="J202" s="432">
        <v>348407.6</v>
      </c>
      <c r="K202" s="432">
        <f t="shared" si="9"/>
        <v>2147684.6</v>
      </c>
      <c r="L202" s="432">
        <v>2251.8000000000002</v>
      </c>
      <c r="M202" s="432">
        <v>2904</v>
      </c>
      <c r="N202" s="432">
        <v>181.4</v>
      </c>
      <c r="O202" s="432">
        <v>0</v>
      </c>
      <c r="P202" s="432">
        <v>0</v>
      </c>
      <c r="Q202" s="432">
        <v>242961</v>
      </c>
      <c r="R202" s="432">
        <v>127865</v>
      </c>
    </row>
    <row r="203" spans="1:18" s="950" customFormat="1" ht="13.5" customHeight="1" x14ac:dyDescent="0.2">
      <c r="A203" s="1419" t="s">
        <v>2066</v>
      </c>
      <c r="B203" s="1273" t="s">
        <v>556</v>
      </c>
      <c r="C203" s="419">
        <v>264791.3</v>
      </c>
      <c r="D203" s="419">
        <v>651154.80000000005</v>
      </c>
      <c r="E203" s="419">
        <v>1611838.4</v>
      </c>
      <c r="F203" s="419">
        <f t="shared" si="8"/>
        <v>2262993.2000000002</v>
      </c>
      <c r="G203" s="419">
        <v>261259.9</v>
      </c>
      <c r="H203" s="419">
        <v>180701.2</v>
      </c>
      <c r="I203" s="419">
        <v>1351850.9</v>
      </c>
      <c r="J203" s="419">
        <v>348407.6</v>
      </c>
      <c r="K203" s="419">
        <f t="shared" si="9"/>
        <v>2142219.6</v>
      </c>
      <c r="L203" s="419">
        <v>1782.8</v>
      </c>
      <c r="M203" s="419">
        <v>2882</v>
      </c>
      <c r="N203" s="419">
        <v>354.6</v>
      </c>
      <c r="O203" s="419">
        <v>0</v>
      </c>
      <c r="P203" s="419">
        <v>0</v>
      </c>
      <c r="Q203" s="419">
        <v>231213.8</v>
      </c>
      <c r="R203" s="419">
        <v>149331.70000000001</v>
      </c>
    </row>
    <row r="204" spans="1:18" s="950" customFormat="1" ht="13.5" customHeight="1" x14ac:dyDescent="0.2">
      <c r="A204" s="1419" t="s">
        <v>2066</v>
      </c>
      <c r="B204" s="1272" t="s">
        <v>557</v>
      </c>
      <c r="C204" s="432">
        <v>265788.90000000002</v>
      </c>
      <c r="D204" s="432">
        <v>656952.80000000005</v>
      </c>
      <c r="E204" s="432">
        <v>1618433.7</v>
      </c>
      <c r="F204" s="432">
        <f t="shared" si="8"/>
        <v>2275386.5</v>
      </c>
      <c r="G204" s="432">
        <v>255924.9</v>
      </c>
      <c r="H204" s="432">
        <v>180185.4</v>
      </c>
      <c r="I204" s="432">
        <v>1367824.9</v>
      </c>
      <c r="J204" s="432">
        <v>348275.7</v>
      </c>
      <c r="K204" s="432">
        <f t="shared" si="9"/>
        <v>2152210.9</v>
      </c>
      <c r="L204" s="432">
        <v>2414.8000000000002</v>
      </c>
      <c r="M204" s="432">
        <v>2872.2</v>
      </c>
      <c r="N204" s="432">
        <v>306.8</v>
      </c>
      <c r="O204" s="432">
        <v>0</v>
      </c>
      <c r="P204" s="432">
        <v>0</v>
      </c>
      <c r="Q204" s="432">
        <v>221862.8</v>
      </c>
      <c r="R204" s="432">
        <v>161507.9</v>
      </c>
    </row>
    <row r="205" spans="1:18" s="950" customFormat="1" ht="13.5" customHeight="1" x14ac:dyDescent="0.2">
      <c r="A205" s="1419" t="s">
        <v>2066</v>
      </c>
      <c r="B205" s="1273" t="s">
        <v>549</v>
      </c>
      <c r="C205" s="419">
        <v>261554</v>
      </c>
      <c r="D205" s="419">
        <v>671213.8</v>
      </c>
      <c r="E205" s="419">
        <v>1632436.9</v>
      </c>
      <c r="F205" s="419">
        <f t="shared" si="8"/>
        <v>2303650.7000000002</v>
      </c>
      <c r="G205" s="419">
        <v>252913.9</v>
      </c>
      <c r="H205" s="419">
        <v>181040.4</v>
      </c>
      <c r="I205" s="419">
        <v>1384482.7</v>
      </c>
      <c r="J205" s="419">
        <v>347843</v>
      </c>
      <c r="K205" s="419">
        <f t="shared" si="9"/>
        <v>2166280</v>
      </c>
      <c r="L205" s="419">
        <v>2208.3000000000002</v>
      </c>
      <c r="M205" s="419">
        <v>3028.3</v>
      </c>
      <c r="N205" s="419">
        <v>225</v>
      </c>
      <c r="O205" s="419">
        <v>0</v>
      </c>
      <c r="P205" s="419">
        <v>0</v>
      </c>
      <c r="Q205" s="419">
        <v>230398.6</v>
      </c>
      <c r="R205" s="419">
        <v>163064.5</v>
      </c>
    </row>
    <row r="206" spans="1:18" s="950" customFormat="1" ht="13.5" customHeight="1" x14ac:dyDescent="0.2">
      <c r="A206" s="1419" t="s">
        <v>2066</v>
      </c>
      <c r="B206" s="1272" t="s">
        <v>558</v>
      </c>
      <c r="C206" s="432">
        <v>259233.8</v>
      </c>
      <c r="D206" s="432">
        <v>701748.6</v>
      </c>
      <c r="E206" s="432">
        <v>1642236</v>
      </c>
      <c r="F206" s="432">
        <f t="shared" si="8"/>
        <v>2343984.6</v>
      </c>
      <c r="G206" s="432">
        <v>261593.3</v>
      </c>
      <c r="H206" s="432">
        <v>185702.1</v>
      </c>
      <c r="I206" s="432">
        <v>1403404.4</v>
      </c>
      <c r="J206" s="432">
        <v>348590.5</v>
      </c>
      <c r="K206" s="432">
        <f t="shared" si="9"/>
        <v>2199290.2999999998</v>
      </c>
      <c r="L206" s="432">
        <v>3354.8</v>
      </c>
      <c r="M206" s="432">
        <v>3129.8</v>
      </c>
      <c r="N206" s="432">
        <v>338.2</v>
      </c>
      <c r="O206" s="432">
        <v>0</v>
      </c>
      <c r="P206" s="432">
        <v>0</v>
      </c>
      <c r="Q206" s="432">
        <v>234145.1</v>
      </c>
      <c r="R206" s="432">
        <v>162960.20000000001</v>
      </c>
    </row>
    <row r="207" spans="1:18" s="950" customFormat="1" ht="13.5" customHeight="1" x14ac:dyDescent="0.2">
      <c r="A207" s="1419" t="s">
        <v>2066</v>
      </c>
      <c r="B207" s="1273" t="s">
        <v>559</v>
      </c>
      <c r="C207" s="419">
        <v>255029</v>
      </c>
      <c r="D207" s="419">
        <v>705007.7</v>
      </c>
      <c r="E207" s="419">
        <v>1656067.6</v>
      </c>
      <c r="F207" s="419">
        <f t="shared" si="8"/>
        <v>2361075.2999999998</v>
      </c>
      <c r="G207" s="419">
        <v>254038.1</v>
      </c>
      <c r="H207" s="419">
        <v>185153.2</v>
      </c>
      <c r="I207" s="419">
        <v>1418362.7</v>
      </c>
      <c r="J207" s="419">
        <v>349301.1</v>
      </c>
      <c r="K207" s="419">
        <f t="shared" si="9"/>
        <v>2206855.1</v>
      </c>
      <c r="L207" s="419">
        <v>2835.8</v>
      </c>
      <c r="M207" s="419">
        <v>3020</v>
      </c>
      <c r="N207" s="419">
        <v>221.9</v>
      </c>
      <c r="O207" s="419">
        <v>0</v>
      </c>
      <c r="P207" s="419">
        <v>0</v>
      </c>
      <c r="Q207" s="419">
        <v>237211.7</v>
      </c>
      <c r="R207" s="419">
        <v>165959.79999999999</v>
      </c>
    </row>
    <row r="208" spans="1:18" s="950" customFormat="1" ht="13.5" customHeight="1" x14ac:dyDescent="0.2">
      <c r="A208" s="1419" t="s">
        <v>2066</v>
      </c>
      <c r="B208" s="1272" t="s">
        <v>550</v>
      </c>
      <c r="C208" s="432">
        <v>271444.40000000002</v>
      </c>
      <c r="D208" s="432">
        <v>730616.1</v>
      </c>
      <c r="E208" s="432">
        <v>1682224.7</v>
      </c>
      <c r="F208" s="432">
        <f t="shared" ref="F208:F232" si="10">D208+E208</f>
        <v>2412840.7999999998</v>
      </c>
      <c r="G208" s="432">
        <v>290116.90000000002</v>
      </c>
      <c r="H208" s="432">
        <v>199986.1</v>
      </c>
      <c r="I208" s="432">
        <v>1436739.1</v>
      </c>
      <c r="J208" s="432">
        <v>349315.4</v>
      </c>
      <c r="K208" s="432">
        <f t="shared" ref="K208:K232" si="11">G208+H208+I208+J208</f>
        <v>2276157.5</v>
      </c>
      <c r="L208" s="432">
        <v>2551</v>
      </c>
      <c r="M208" s="432">
        <v>3001.4</v>
      </c>
      <c r="N208" s="432">
        <v>212.8</v>
      </c>
      <c r="O208" s="432">
        <v>0</v>
      </c>
      <c r="P208" s="432">
        <v>0</v>
      </c>
      <c r="Q208" s="432">
        <v>236062.3</v>
      </c>
      <c r="R208" s="432">
        <v>166300.20000000001</v>
      </c>
    </row>
    <row r="209" spans="1:18" s="950" customFormat="1" ht="13.5" customHeight="1" x14ac:dyDescent="0.2">
      <c r="A209" s="1293" t="s">
        <v>2206</v>
      </c>
      <c r="B209" s="1272" t="s">
        <v>552</v>
      </c>
      <c r="C209" s="432">
        <v>274298.8</v>
      </c>
      <c r="D209" s="432">
        <v>732794.6</v>
      </c>
      <c r="E209" s="432">
        <v>1675780.3</v>
      </c>
      <c r="F209" s="432">
        <f t="shared" si="10"/>
        <v>2408574.9</v>
      </c>
      <c r="G209" s="432">
        <v>264545.7</v>
      </c>
      <c r="H209" s="432">
        <v>193117.3</v>
      </c>
      <c r="I209" s="432">
        <v>1457685</v>
      </c>
      <c r="J209" s="432">
        <v>349129.2</v>
      </c>
      <c r="K209" s="432">
        <f t="shared" si="11"/>
        <v>2264477.2000000002</v>
      </c>
      <c r="L209" s="432">
        <v>2367.9</v>
      </c>
      <c r="M209" s="432">
        <v>2971.3</v>
      </c>
      <c r="N209" s="432">
        <v>374.3</v>
      </c>
      <c r="O209" s="432">
        <v>0</v>
      </c>
      <c r="P209" s="432">
        <v>0</v>
      </c>
      <c r="Q209" s="432">
        <v>243056.3</v>
      </c>
      <c r="R209" s="432">
        <v>169626.7</v>
      </c>
    </row>
    <row r="210" spans="1:18" s="950" customFormat="1" ht="13.5" customHeight="1" x14ac:dyDescent="0.2">
      <c r="A210" s="1293" t="s">
        <v>2206</v>
      </c>
      <c r="B210" s="1273" t="s">
        <v>553</v>
      </c>
      <c r="C210" s="419">
        <v>263685.59999999998</v>
      </c>
      <c r="D210" s="419">
        <v>724057.2</v>
      </c>
      <c r="E210" s="419">
        <v>1686202.1</v>
      </c>
      <c r="F210" s="419">
        <f t="shared" si="10"/>
        <v>2410259.2999999998</v>
      </c>
      <c r="G210" s="419">
        <v>256537</v>
      </c>
      <c r="H210" s="419">
        <v>187721.8</v>
      </c>
      <c r="I210" s="419">
        <v>1475250.5</v>
      </c>
      <c r="J210" s="419">
        <v>348448.8</v>
      </c>
      <c r="K210" s="419">
        <f t="shared" si="11"/>
        <v>2267958.1</v>
      </c>
      <c r="L210" s="419">
        <v>1774.4</v>
      </c>
      <c r="M210" s="419">
        <v>2911.8</v>
      </c>
      <c r="N210" s="419">
        <v>321.89999999999998</v>
      </c>
      <c r="O210" s="419">
        <v>0</v>
      </c>
      <c r="P210" s="419">
        <v>0</v>
      </c>
      <c r="Q210" s="419">
        <v>247771.8</v>
      </c>
      <c r="R210" s="419">
        <v>153206.9</v>
      </c>
    </row>
    <row r="211" spans="1:18" s="950" customFormat="1" ht="13.5" customHeight="1" x14ac:dyDescent="0.2">
      <c r="A211" s="1293" t="s">
        <v>2206</v>
      </c>
      <c r="B211" s="1272" t="s">
        <v>547</v>
      </c>
      <c r="C211" s="432">
        <v>251186.7</v>
      </c>
      <c r="D211" s="432">
        <v>712650.4</v>
      </c>
      <c r="E211" s="432">
        <v>1706448.5</v>
      </c>
      <c r="F211" s="432">
        <f t="shared" si="10"/>
        <v>2419098.9</v>
      </c>
      <c r="G211" s="432">
        <v>251677.7</v>
      </c>
      <c r="H211" s="432">
        <v>187933.2</v>
      </c>
      <c r="I211" s="432">
        <v>1479825.7</v>
      </c>
      <c r="J211" s="432">
        <v>348369</v>
      </c>
      <c r="K211" s="432">
        <f t="shared" si="11"/>
        <v>2267805.6</v>
      </c>
      <c r="L211" s="432">
        <v>2838.2</v>
      </c>
      <c r="M211" s="432">
        <v>3016.1</v>
      </c>
      <c r="N211" s="432">
        <v>210.5</v>
      </c>
      <c r="O211" s="432">
        <v>0</v>
      </c>
      <c r="P211" s="432">
        <v>0</v>
      </c>
      <c r="Q211" s="432">
        <v>251682.1</v>
      </c>
      <c r="R211" s="432">
        <v>144733.1</v>
      </c>
    </row>
    <row r="212" spans="1:18" s="950" customFormat="1" ht="13.5" customHeight="1" x14ac:dyDescent="0.2">
      <c r="A212" s="1293" t="s">
        <v>2206</v>
      </c>
      <c r="B212" s="1273" t="s">
        <v>554</v>
      </c>
      <c r="C212" s="419">
        <v>242178.7</v>
      </c>
      <c r="D212" s="419">
        <v>707899.4</v>
      </c>
      <c r="E212" s="419">
        <v>1721393.7</v>
      </c>
      <c r="F212" s="419">
        <f t="shared" si="10"/>
        <v>2429293.1</v>
      </c>
      <c r="G212" s="419">
        <v>244105.7</v>
      </c>
      <c r="H212" s="419">
        <v>194822.5</v>
      </c>
      <c r="I212" s="419">
        <v>1486765.1</v>
      </c>
      <c r="J212" s="419">
        <v>347525.6</v>
      </c>
      <c r="K212" s="419">
        <f t="shared" si="11"/>
        <v>2273218.9</v>
      </c>
      <c r="L212" s="419">
        <v>2555.5</v>
      </c>
      <c r="M212" s="419">
        <v>2998.4</v>
      </c>
      <c r="N212" s="419">
        <v>181.4</v>
      </c>
      <c r="O212" s="419">
        <v>0</v>
      </c>
      <c r="P212" s="419">
        <v>0</v>
      </c>
      <c r="Q212" s="419">
        <v>253994.4</v>
      </c>
      <c r="R212" s="419">
        <v>138523.20000000001</v>
      </c>
    </row>
    <row r="213" spans="1:18" s="950" customFormat="1" ht="13.5" customHeight="1" x14ac:dyDescent="0.2">
      <c r="A213" s="1293" t="s">
        <v>2206</v>
      </c>
      <c r="B213" s="1272" t="s">
        <v>555</v>
      </c>
      <c r="C213" s="432">
        <v>227888.8</v>
      </c>
      <c r="D213" s="432">
        <v>702218.6</v>
      </c>
      <c r="E213" s="432">
        <v>1741306.4</v>
      </c>
      <c r="F213" s="432">
        <f t="shared" si="10"/>
        <v>2443525</v>
      </c>
      <c r="G213" s="432">
        <v>246597.1</v>
      </c>
      <c r="H213" s="432">
        <v>192534.7</v>
      </c>
      <c r="I213" s="432">
        <v>1494585.4</v>
      </c>
      <c r="J213" s="432">
        <v>346172.1</v>
      </c>
      <c r="K213" s="432">
        <f t="shared" si="11"/>
        <v>2279889.2999999998</v>
      </c>
      <c r="L213" s="432">
        <v>1923</v>
      </c>
      <c r="M213" s="432">
        <v>3144</v>
      </c>
      <c r="N213" s="432">
        <v>243</v>
      </c>
      <c r="O213" s="432">
        <v>0</v>
      </c>
      <c r="P213" s="432">
        <v>0</v>
      </c>
      <c r="Q213" s="432">
        <v>259688.2</v>
      </c>
      <c r="R213" s="432">
        <v>126526.3</v>
      </c>
    </row>
    <row r="214" spans="1:18" s="950" customFormat="1" ht="13.5" customHeight="1" x14ac:dyDescent="0.2">
      <c r="A214" s="1293" t="s">
        <v>2206</v>
      </c>
      <c r="B214" s="1273" t="s">
        <v>548</v>
      </c>
      <c r="C214" s="419">
        <v>240084.7</v>
      </c>
      <c r="D214" s="419">
        <v>686862</v>
      </c>
      <c r="E214" s="419">
        <v>1764046.1</v>
      </c>
      <c r="F214" s="419">
        <f t="shared" si="10"/>
        <v>2450908.1</v>
      </c>
      <c r="G214" s="419">
        <v>253010.6</v>
      </c>
      <c r="H214" s="419">
        <v>198613.6</v>
      </c>
      <c r="I214" s="419">
        <v>1502510.7</v>
      </c>
      <c r="J214" s="419">
        <v>344164.5</v>
      </c>
      <c r="K214" s="419">
        <f t="shared" si="11"/>
        <v>2298299.4</v>
      </c>
      <c r="L214" s="419">
        <v>3147.4</v>
      </c>
      <c r="M214" s="419">
        <v>3785.7</v>
      </c>
      <c r="N214" s="419">
        <v>221.5</v>
      </c>
      <c r="O214" s="419">
        <v>0</v>
      </c>
      <c r="P214" s="419">
        <v>0</v>
      </c>
      <c r="Q214" s="419">
        <v>269969.2</v>
      </c>
      <c r="R214" s="419">
        <v>115569.60000000001</v>
      </c>
    </row>
    <row r="215" spans="1:18" s="950" customFormat="1" ht="13.5" customHeight="1" x14ac:dyDescent="0.2">
      <c r="A215" s="1293" t="s">
        <v>2206</v>
      </c>
      <c r="B215" s="1272" t="s">
        <v>556</v>
      </c>
      <c r="C215" s="432">
        <v>230584.5</v>
      </c>
      <c r="D215" s="432">
        <v>701985.6</v>
      </c>
      <c r="E215" s="432">
        <v>1759248.1</v>
      </c>
      <c r="F215" s="432">
        <f t="shared" si="10"/>
        <v>2461233.7000000002</v>
      </c>
      <c r="G215" s="432">
        <v>255434.5</v>
      </c>
      <c r="H215" s="432">
        <v>188247.9</v>
      </c>
      <c r="I215" s="432">
        <v>1504989.2</v>
      </c>
      <c r="J215" s="432">
        <v>343111.9</v>
      </c>
      <c r="K215" s="432">
        <f t="shared" si="11"/>
        <v>2291783.5</v>
      </c>
      <c r="L215" s="432">
        <v>2419.6999999999998</v>
      </c>
      <c r="M215" s="432">
        <v>3768.2</v>
      </c>
      <c r="N215" s="432">
        <v>271.3</v>
      </c>
      <c r="O215" s="432">
        <v>0</v>
      </c>
      <c r="P215" s="432">
        <v>0</v>
      </c>
      <c r="Q215" s="432">
        <v>251396.9</v>
      </c>
      <c r="R215" s="432">
        <v>142178.6</v>
      </c>
    </row>
    <row r="216" spans="1:18" s="950" customFormat="1" ht="13.5" customHeight="1" x14ac:dyDescent="0.2">
      <c r="A216" s="1293" t="s">
        <v>2206</v>
      </c>
      <c r="B216" s="1273" t="s">
        <v>557</v>
      </c>
      <c r="C216" s="419">
        <v>226211.6</v>
      </c>
      <c r="D216" s="419">
        <v>717356.9</v>
      </c>
      <c r="E216" s="419">
        <v>1765826.5</v>
      </c>
      <c r="F216" s="419">
        <f t="shared" si="10"/>
        <v>2483183.4</v>
      </c>
      <c r="G216" s="419">
        <v>255706</v>
      </c>
      <c r="H216" s="419">
        <v>192021.1</v>
      </c>
      <c r="I216" s="419">
        <v>1517884.2</v>
      </c>
      <c r="J216" s="419">
        <v>341752</v>
      </c>
      <c r="K216" s="419">
        <f t="shared" si="11"/>
        <v>2307363.2999999998</v>
      </c>
      <c r="L216" s="419">
        <v>1838.6</v>
      </c>
      <c r="M216" s="419">
        <v>3737.8</v>
      </c>
      <c r="N216" s="419">
        <v>478.5</v>
      </c>
      <c r="O216" s="419">
        <v>0</v>
      </c>
      <c r="P216" s="419">
        <v>0</v>
      </c>
      <c r="Q216" s="419">
        <v>254609.3</v>
      </c>
      <c r="R216" s="419">
        <v>141367.5</v>
      </c>
    </row>
    <row r="217" spans="1:18" s="950" customFormat="1" ht="13.5" customHeight="1" x14ac:dyDescent="0.2">
      <c r="A217" s="1293" t="s">
        <v>2206</v>
      </c>
      <c r="B217" s="1272" t="s">
        <v>549</v>
      </c>
      <c r="C217" s="432">
        <v>224145.5</v>
      </c>
      <c r="D217" s="432">
        <v>724562.3</v>
      </c>
      <c r="E217" s="432">
        <v>1786113.5</v>
      </c>
      <c r="F217" s="432">
        <f t="shared" si="10"/>
        <v>2510675.7999999998</v>
      </c>
      <c r="G217" s="432">
        <v>259309.4</v>
      </c>
      <c r="H217" s="432">
        <v>196041.60000000001</v>
      </c>
      <c r="I217" s="432">
        <v>1529874.8</v>
      </c>
      <c r="J217" s="432">
        <v>338197</v>
      </c>
      <c r="K217" s="432">
        <f t="shared" si="11"/>
        <v>2323422.7999999998</v>
      </c>
      <c r="L217" s="432">
        <v>2020</v>
      </c>
      <c r="M217" s="432">
        <v>3821.4</v>
      </c>
      <c r="N217" s="432">
        <v>282.7</v>
      </c>
      <c r="O217" s="432">
        <v>0</v>
      </c>
      <c r="P217" s="432">
        <v>0</v>
      </c>
      <c r="Q217" s="432">
        <v>258225.8</v>
      </c>
      <c r="R217" s="432">
        <v>147048.6</v>
      </c>
    </row>
    <row r="218" spans="1:18" s="950" customFormat="1" ht="13.5" customHeight="1" x14ac:dyDescent="0.2">
      <c r="A218" s="1293" t="s">
        <v>2206</v>
      </c>
      <c r="B218" s="1273" t="s">
        <v>558</v>
      </c>
      <c r="C218" s="419">
        <v>211011.1</v>
      </c>
      <c r="D218" s="419">
        <v>747654.9</v>
      </c>
      <c r="E218" s="419">
        <v>1788140.5</v>
      </c>
      <c r="F218" s="419">
        <f t="shared" si="10"/>
        <v>2535795.4</v>
      </c>
      <c r="G218" s="419">
        <v>262451.59999999998</v>
      </c>
      <c r="H218" s="419">
        <v>192388.3</v>
      </c>
      <c r="I218" s="419">
        <v>1539263.3</v>
      </c>
      <c r="J218" s="419">
        <v>336201.5</v>
      </c>
      <c r="K218" s="419">
        <f t="shared" si="11"/>
        <v>2330304.7000000002</v>
      </c>
      <c r="L218" s="419">
        <v>1969.6</v>
      </c>
      <c r="M218" s="419">
        <v>3811.5</v>
      </c>
      <c r="N218" s="419">
        <v>227</v>
      </c>
      <c r="O218" s="419">
        <v>0</v>
      </c>
      <c r="P218" s="419">
        <v>0</v>
      </c>
      <c r="Q218" s="419">
        <v>260034</v>
      </c>
      <c r="R218" s="419">
        <v>150459.70000000001</v>
      </c>
    </row>
    <row r="219" spans="1:18" s="950" customFormat="1" ht="13.5" customHeight="1" x14ac:dyDescent="0.2">
      <c r="A219" s="1293" t="s">
        <v>2206</v>
      </c>
      <c r="B219" s="1272" t="s">
        <v>559</v>
      </c>
      <c r="C219" s="432">
        <v>226639.5</v>
      </c>
      <c r="D219" s="432">
        <v>753704.2</v>
      </c>
      <c r="E219" s="432">
        <v>1814230.4</v>
      </c>
      <c r="F219" s="432">
        <f t="shared" si="10"/>
        <v>2567934.5999999996</v>
      </c>
      <c r="G219" s="432">
        <v>268754.2</v>
      </c>
      <c r="H219" s="432">
        <v>188682.2</v>
      </c>
      <c r="I219" s="432">
        <v>1561129.3</v>
      </c>
      <c r="J219" s="432">
        <v>333227.59999999998</v>
      </c>
      <c r="K219" s="432">
        <f t="shared" si="11"/>
        <v>2351793.3000000003</v>
      </c>
      <c r="L219" s="432">
        <v>2092.5</v>
      </c>
      <c r="M219" s="432">
        <v>3853.4</v>
      </c>
      <c r="N219" s="432">
        <v>216.6</v>
      </c>
      <c r="O219" s="432">
        <v>0</v>
      </c>
      <c r="P219" s="432">
        <v>0</v>
      </c>
      <c r="Q219" s="432">
        <v>273297.40000000002</v>
      </c>
      <c r="R219" s="432">
        <v>163320.9</v>
      </c>
    </row>
    <row r="220" spans="1:18" s="950" customFormat="1" ht="13.5" customHeight="1" x14ac:dyDescent="0.2">
      <c r="A220" s="1293" t="s">
        <v>2206</v>
      </c>
      <c r="B220" s="1273" t="s">
        <v>550</v>
      </c>
      <c r="C220" s="419">
        <v>250909.5</v>
      </c>
      <c r="D220" s="419">
        <v>750141.4</v>
      </c>
      <c r="E220" s="419">
        <v>1833194.8</v>
      </c>
      <c r="F220" s="419">
        <f t="shared" si="10"/>
        <v>2583336.2000000002</v>
      </c>
      <c r="G220" s="419">
        <v>288527.2</v>
      </c>
      <c r="H220" s="419">
        <v>211533.3</v>
      </c>
      <c r="I220" s="419">
        <v>1581093.5</v>
      </c>
      <c r="J220" s="419">
        <v>330104</v>
      </c>
      <c r="K220" s="419">
        <f t="shared" si="11"/>
        <v>2411258</v>
      </c>
      <c r="L220" s="419">
        <v>2610.1999999999998</v>
      </c>
      <c r="M220" s="419">
        <v>3869.3</v>
      </c>
      <c r="N220" s="419">
        <v>160.4</v>
      </c>
      <c r="O220" s="419">
        <v>0</v>
      </c>
      <c r="P220" s="419">
        <v>0</v>
      </c>
      <c r="Q220" s="419">
        <v>249606.39999999999</v>
      </c>
      <c r="R220" s="419">
        <v>166741.4</v>
      </c>
    </row>
    <row r="221" spans="1:18" s="950" customFormat="1" ht="13.5" customHeight="1" x14ac:dyDescent="0.2">
      <c r="A221" s="1419" t="s">
        <v>2527</v>
      </c>
      <c r="B221" s="1273" t="s">
        <v>552</v>
      </c>
      <c r="C221" s="419">
        <v>244853.7</v>
      </c>
      <c r="D221" s="419">
        <v>765232.7</v>
      </c>
      <c r="E221" s="419">
        <v>1826836.7</v>
      </c>
      <c r="F221" s="419">
        <f t="shared" si="10"/>
        <v>2592069.4</v>
      </c>
      <c r="G221" s="419">
        <v>289711.90000000002</v>
      </c>
      <c r="H221" s="419">
        <v>195183</v>
      </c>
      <c r="I221" s="419">
        <v>1589440.6</v>
      </c>
      <c r="J221" s="419">
        <v>332397</v>
      </c>
      <c r="K221" s="419">
        <f t="shared" si="11"/>
        <v>2406732.5</v>
      </c>
      <c r="L221" s="419">
        <v>2630.7</v>
      </c>
      <c r="M221" s="419">
        <v>3903.4</v>
      </c>
      <c r="N221" s="419">
        <v>157.1</v>
      </c>
      <c r="O221" s="419">
        <v>0</v>
      </c>
      <c r="P221" s="419">
        <v>0</v>
      </c>
      <c r="Q221" s="419">
        <v>253901.9</v>
      </c>
      <c r="R221" s="419">
        <v>169597.5</v>
      </c>
    </row>
    <row r="222" spans="1:18" s="950" customFormat="1" ht="13.5" customHeight="1" x14ac:dyDescent="0.2">
      <c r="A222" s="1419" t="s">
        <v>2527</v>
      </c>
      <c r="B222" s="1272" t="s">
        <v>553</v>
      </c>
      <c r="C222" s="432">
        <v>236048</v>
      </c>
      <c r="D222" s="432">
        <v>756287.5</v>
      </c>
      <c r="E222" s="432">
        <v>1830065.5</v>
      </c>
      <c r="F222" s="432">
        <f t="shared" si="10"/>
        <v>2586353</v>
      </c>
      <c r="G222" s="432">
        <v>290513.90000000002</v>
      </c>
      <c r="H222" s="432">
        <v>196055.5</v>
      </c>
      <c r="I222" s="432">
        <v>1587336</v>
      </c>
      <c r="J222" s="432">
        <v>334590</v>
      </c>
      <c r="K222" s="432">
        <f t="shared" si="11"/>
        <v>2408495.4</v>
      </c>
      <c r="L222" s="432">
        <v>3046.4</v>
      </c>
      <c r="M222" s="432">
        <v>4029.4</v>
      </c>
      <c r="N222" s="432">
        <v>233.3</v>
      </c>
      <c r="O222" s="432">
        <v>0</v>
      </c>
      <c r="P222" s="432">
        <v>0</v>
      </c>
      <c r="Q222" s="432">
        <v>265106.2</v>
      </c>
      <c r="R222" s="432">
        <v>141490.29999999999</v>
      </c>
    </row>
    <row r="223" spans="1:18" s="950" customFormat="1" ht="13.5" customHeight="1" x14ac:dyDescent="0.2">
      <c r="A223" s="1419" t="s">
        <v>2527</v>
      </c>
      <c r="B223" s="1273" t="s">
        <v>547</v>
      </c>
      <c r="C223" s="419">
        <v>233454.2</v>
      </c>
      <c r="D223" s="419">
        <v>740993.2</v>
      </c>
      <c r="E223" s="419">
        <v>1832073.4</v>
      </c>
      <c r="F223" s="419">
        <f t="shared" si="10"/>
        <v>2573066.5999999996</v>
      </c>
      <c r="G223" s="419">
        <v>281627.2</v>
      </c>
      <c r="H223" s="419">
        <v>195013</v>
      </c>
      <c r="I223" s="419">
        <v>1601033.3</v>
      </c>
      <c r="J223" s="419">
        <v>338964</v>
      </c>
      <c r="K223" s="419">
        <f t="shared" si="11"/>
        <v>2416637.5</v>
      </c>
      <c r="L223" s="419">
        <v>3876</v>
      </c>
      <c r="M223" s="419">
        <v>4539.5</v>
      </c>
      <c r="N223" s="419">
        <v>290.39999999999998</v>
      </c>
      <c r="O223" s="419">
        <v>0</v>
      </c>
      <c r="P223" s="419">
        <v>0</v>
      </c>
      <c r="Q223" s="419">
        <v>258155</v>
      </c>
      <c r="R223" s="419">
        <v>123022.39999999999</v>
      </c>
    </row>
    <row r="224" spans="1:18" s="950" customFormat="1" ht="13.5" customHeight="1" x14ac:dyDescent="0.2">
      <c r="A224" s="1419" t="s">
        <v>2527</v>
      </c>
      <c r="B224" s="1272" t="s">
        <v>554</v>
      </c>
      <c r="C224" s="432">
        <v>220004.2</v>
      </c>
      <c r="D224" s="432">
        <v>757358.1</v>
      </c>
      <c r="E224" s="432">
        <v>1832548.1</v>
      </c>
      <c r="F224" s="432">
        <f t="shared" si="10"/>
        <v>2589906.2000000002</v>
      </c>
      <c r="G224" s="432">
        <v>275879.8</v>
      </c>
      <c r="H224" s="432">
        <v>197072.6</v>
      </c>
      <c r="I224" s="432">
        <v>1613745.4</v>
      </c>
      <c r="J224" s="432">
        <v>336008.6</v>
      </c>
      <c r="K224" s="432">
        <f t="shared" si="11"/>
        <v>2422706.4</v>
      </c>
      <c r="L224" s="432">
        <v>1698.6</v>
      </c>
      <c r="M224" s="432">
        <v>4572.3999999999996</v>
      </c>
      <c r="N224" s="432">
        <v>279.39999999999998</v>
      </c>
      <c r="O224" s="432">
        <v>0</v>
      </c>
      <c r="P224" s="432">
        <v>0</v>
      </c>
      <c r="Q224" s="432">
        <v>259926</v>
      </c>
      <c r="R224" s="432">
        <v>120727.6</v>
      </c>
    </row>
    <row r="225" spans="1:18" s="950" customFormat="1" ht="13.5" customHeight="1" x14ac:dyDescent="0.2">
      <c r="A225" s="1419" t="s">
        <v>2527</v>
      </c>
      <c r="B225" s="1273" t="s">
        <v>555</v>
      </c>
      <c r="C225" s="419">
        <v>221141.4</v>
      </c>
      <c r="D225" s="419">
        <v>763940.6</v>
      </c>
      <c r="E225" s="419">
        <v>1839660.6</v>
      </c>
      <c r="F225" s="419">
        <f t="shared" si="10"/>
        <v>2603601.2000000002</v>
      </c>
      <c r="G225" s="419">
        <v>276753.5</v>
      </c>
      <c r="H225" s="419">
        <v>193524.3</v>
      </c>
      <c r="I225" s="419">
        <v>1625433.2</v>
      </c>
      <c r="J225" s="419">
        <v>332775.59999999998</v>
      </c>
      <c r="K225" s="419">
        <f t="shared" si="11"/>
        <v>2428486.6</v>
      </c>
      <c r="L225" s="419">
        <v>1769.4</v>
      </c>
      <c r="M225" s="419">
        <v>4566.3999999999996</v>
      </c>
      <c r="N225" s="419">
        <v>267.3</v>
      </c>
      <c r="O225" s="419">
        <v>0</v>
      </c>
      <c r="P225" s="419">
        <v>0</v>
      </c>
      <c r="Q225" s="419">
        <v>259353.60000000001</v>
      </c>
      <c r="R225" s="419">
        <v>130299.3</v>
      </c>
    </row>
    <row r="226" spans="1:18" s="950" customFormat="1" ht="13.5" customHeight="1" x14ac:dyDescent="0.2">
      <c r="A226" s="1419" t="s">
        <v>2527</v>
      </c>
      <c r="B226" s="1272" t="s">
        <v>548</v>
      </c>
      <c r="C226" s="432">
        <v>217392.5</v>
      </c>
      <c r="D226" s="432">
        <v>754395.2</v>
      </c>
      <c r="E226" s="432">
        <v>1864784</v>
      </c>
      <c r="F226" s="432">
        <f t="shared" si="10"/>
        <v>2619179.2000000002</v>
      </c>
      <c r="G226" s="432">
        <v>272517.90000000002</v>
      </c>
      <c r="H226" s="432">
        <v>201020</v>
      </c>
      <c r="I226" s="432">
        <v>1634602.6</v>
      </c>
      <c r="J226" s="432">
        <v>329123.20000000001</v>
      </c>
      <c r="K226" s="432">
        <f t="shared" si="11"/>
        <v>2437263.7000000002</v>
      </c>
      <c r="L226" s="432">
        <v>1682.9</v>
      </c>
      <c r="M226" s="432">
        <v>5593.3</v>
      </c>
      <c r="N226" s="432">
        <v>169.6</v>
      </c>
      <c r="O226" s="432">
        <v>0</v>
      </c>
      <c r="P226" s="432">
        <v>0</v>
      </c>
      <c r="Q226" s="432">
        <v>258716.1</v>
      </c>
      <c r="R226" s="432">
        <v>133146.1</v>
      </c>
    </row>
    <row r="227" spans="1:18" s="950" customFormat="1" ht="13.5" customHeight="1" x14ac:dyDescent="0.2">
      <c r="A227" s="1419" t="s">
        <v>2527</v>
      </c>
      <c r="B227" s="1273" t="s">
        <v>556</v>
      </c>
      <c r="C227" s="419">
        <v>230488.6</v>
      </c>
      <c r="D227" s="419">
        <v>752076.80000000005</v>
      </c>
      <c r="E227" s="419">
        <v>1861480.3</v>
      </c>
      <c r="F227" s="419">
        <f t="shared" si="10"/>
        <v>2613557.1</v>
      </c>
      <c r="G227" s="419">
        <v>272284.3</v>
      </c>
      <c r="H227" s="419">
        <v>192459.7</v>
      </c>
      <c r="I227" s="419">
        <v>1647190</v>
      </c>
      <c r="J227" s="419">
        <v>324521.59999999998</v>
      </c>
      <c r="K227" s="419">
        <f t="shared" si="11"/>
        <v>2436455.6</v>
      </c>
      <c r="L227" s="419">
        <v>2352.9</v>
      </c>
      <c r="M227" s="419">
        <v>5713.8</v>
      </c>
      <c r="N227" s="419">
        <v>256.8</v>
      </c>
      <c r="O227" s="419">
        <v>0</v>
      </c>
      <c r="P227" s="419">
        <v>0</v>
      </c>
      <c r="Q227" s="419">
        <v>257473.7</v>
      </c>
      <c r="R227" s="419">
        <v>141792.9</v>
      </c>
    </row>
    <row r="228" spans="1:18" s="950" customFormat="1" ht="13.5" customHeight="1" x14ac:dyDescent="0.2">
      <c r="A228" s="1419" t="s">
        <v>2527</v>
      </c>
      <c r="B228" s="1272" t="s">
        <v>557</v>
      </c>
      <c r="C228" s="432">
        <v>236082.3</v>
      </c>
      <c r="D228" s="432">
        <v>750811.3</v>
      </c>
      <c r="E228" s="432">
        <v>1865510.3</v>
      </c>
      <c r="F228" s="432">
        <f t="shared" si="10"/>
        <v>2616321.6</v>
      </c>
      <c r="G228" s="432">
        <v>269543.09999999998</v>
      </c>
      <c r="H228" s="432">
        <v>193138.5</v>
      </c>
      <c r="I228" s="432">
        <v>1657750.8</v>
      </c>
      <c r="J228" s="432">
        <v>322975.7</v>
      </c>
      <c r="K228" s="432">
        <f t="shared" si="11"/>
        <v>2443408.1</v>
      </c>
      <c r="L228" s="432">
        <v>2179</v>
      </c>
      <c r="M228" s="432">
        <v>5937.6</v>
      </c>
      <c r="N228" s="432">
        <v>200</v>
      </c>
      <c r="O228" s="432">
        <v>0</v>
      </c>
      <c r="P228" s="432">
        <v>0</v>
      </c>
      <c r="Q228" s="432">
        <v>266564.5</v>
      </c>
      <c r="R228" s="432">
        <v>134114.70000000001</v>
      </c>
    </row>
    <row r="229" spans="1:18" s="950" customFormat="1" ht="13.5" customHeight="1" x14ac:dyDescent="0.2">
      <c r="A229" s="1419" t="s">
        <v>2527</v>
      </c>
      <c r="B229" s="1273" t="s">
        <v>549</v>
      </c>
      <c r="C229" s="419">
        <v>238917.9</v>
      </c>
      <c r="D229" s="419">
        <v>776608.2</v>
      </c>
      <c r="E229" s="419">
        <v>1900308.3</v>
      </c>
      <c r="F229" s="419">
        <f t="shared" si="10"/>
        <v>2676916.5</v>
      </c>
      <c r="G229" s="419">
        <v>294472.5</v>
      </c>
      <c r="H229" s="419">
        <v>195256.5</v>
      </c>
      <c r="I229" s="419">
        <v>1679806.5</v>
      </c>
      <c r="J229" s="419">
        <v>323324.40000000002</v>
      </c>
      <c r="K229" s="419">
        <f t="shared" si="11"/>
        <v>2492859.9</v>
      </c>
      <c r="L229" s="419">
        <v>4470.8999999999996</v>
      </c>
      <c r="M229" s="419">
        <v>6132.9</v>
      </c>
      <c r="N229" s="419">
        <v>342.4</v>
      </c>
      <c r="O229" s="419">
        <v>0</v>
      </c>
      <c r="P229" s="419">
        <v>0</v>
      </c>
      <c r="Q229" s="419">
        <v>262487</v>
      </c>
      <c r="R229" s="419">
        <v>149541.29999999999</v>
      </c>
    </row>
    <row r="230" spans="1:18" s="950" customFormat="1" ht="13.5" customHeight="1" x14ac:dyDescent="0.2">
      <c r="A230" s="1419" t="s">
        <v>2527</v>
      </c>
      <c r="B230" s="1272" t="s">
        <v>558</v>
      </c>
      <c r="C230" s="432">
        <v>249806.5</v>
      </c>
      <c r="D230" s="432">
        <v>781445.3</v>
      </c>
      <c r="E230" s="432">
        <v>1902920.8</v>
      </c>
      <c r="F230" s="432">
        <f t="shared" si="10"/>
        <v>2684366.1</v>
      </c>
      <c r="G230" s="432">
        <v>275400.7</v>
      </c>
      <c r="H230" s="432">
        <v>196477.7</v>
      </c>
      <c r="I230" s="432">
        <v>1681352.2</v>
      </c>
      <c r="J230" s="432">
        <v>324729</v>
      </c>
      <c r="K230" s="432">
        <f t="shared" si="11"/>
        <v>2477959.6</v>
      </c>
      <c r="L230" s="432">
        <v>14043.2</v>
      </c>
      <c r="M230" s="432">
        <v>6126.9</v>
      </c>
      <c r="N230" s="432">
        <v>627.9</v>
      </c>
      <c r="O230" s="432">
        <v>0</v>
      </c>
      <c r="P230" s="432">
        <v>0</v>
      </c>
      <c r="Q230" s="432">
        <v>263468.2</v>
      </c>
      <c r="R230" s="432">
        <v>171946.8</v>
      </c>
    </row>
    <row r="231" spans="1:18" s="950" customFormat="1" ht="13.5" customHeight="1" x14ac:dyDescent="0.2">
      <c r="A231" s="1419" t="s">
        <v>2527</v>
      </c>
      <c r="B231" s="1273" t="s">
        <v>559</v>
      </c>
      <c r="C231" s="419">
        <v>246235.1</v>
      </c>
      <c r="D231" s="419">
        <v>797102.7</v>
      </c>
      <c r="E231" s="419">
        <v>1922265.4</v>
      </c>
      <c r="F231" s="419">
        <f t="shared" si="10"/>
        <v>2719368.0999999996</v>
      </c>
      <c r="G231" s="419">
        <v>291806.8</v>
      </c>
      <c r="H231" s="419">
        <v>198072.3</v>
      </c>
      <c r="I231" s="419">
        <v>1692498.8</v>
      </c>
      <c r="J231" s="419">
        <v>326477.90000000002</v>
      </c>
      <c r="K231" s="419">
        <f t="shared" si="11"/>
        <v>2508855.7999999998</v>
      </c>
      <c r="L231" s="419">
        <v>14755.3</v>
      </c>
      <c r="M231" s="419">
        <v>6080.5</v>
      </c>
      <c r="N231" s="419">
        <v>298.5</v>
      </c>
      <c r="O231" s="419">
        <v>0</v>
      </c>
      <c r="P231" s="419">
        <v>0</v>
      </c>
      <c r="Q231" s="419">
        <v>256983.6</v>
      </c>
      <c r="R231" s="419">
        <v>178629.5</v>
      </c>
    </row>
    <row r="232" spans="1:18" s="950" customFormat="1" ht="13.5" customHeight="1" x14ac:dyDescent="0.2">
      <c r="A232" s="1419" t="s">
        <v>2527</v>
      </c>
      <c r="B232" s="1272" t="s">
        <v>550</v>
      </c>
      <c r="C232" s="432">
        <v>286266.3</v>
      </c>
      <c r="D232" s="432">
        <v>815408.5</v>
      </c>
      <c r="E232" s="432">
        <v>1927650.2</v>
      </c>
      <c r="F232" s="432">
        <f t="shared" si="10"/>
        <v>2743058.7</v>
      </c>
      <c r="G232" s="432">
        <v>294479.5</v>
      </c>
      <c r="H232" s="432">
        <v>215476.2</v>
      </c>
      <c r="I232" s="432">
        <v>1720101.7</v>
      </c>
      <c r="J232" s="432">
        <v>326473</v>
      </c>
      <c r="K232" s="432">
        <f t="shared" si="11"/>
        <v>2556530.4</v>
      </c>
      <c r="L232" s="432">
        <v>15577</v>
      </c>
      <c r="M232" s="432">
        <v>6165.7</v>
      </c>
      <c r="N232" s="432">
        <v>246.2</v>
      </c>
      <c r="O232" s="432">
        <v>0</v>
      </c>
      <c r="P232" s="432">
        <v>0</v>
      </c>
      <c r="Q232" s="432">
        <v>195293.4</v>
      </c>
      <c r="R232" s="432">
        <v>255512.3</v>
      </c>
    </row>
    <row r="233" spans="1:18" s="950" customFormat="1" ht="13.5" customHeight="1" x14ac:dyDescent="0.2">
      <c r="A233" s="1293" t="s">
        <v>2744</v>
      </c>
      <c r="B233" s="1272" t="s">
        <v>552</v>
      </c>
      <c r="C233" s="432">
        <v>276030.40000000002</v>
      </c>
      <c r="D233" s="432">
        <v>829006.9</v>
      </c>
      <c r="E233" s="432">
        <v>1926003</v>
      </c>
      <c r="F233" s="432">
        <f t="shared" ref="F233:F234" si="12">D233+E233</f>
        <v>2755009.9</v>
      </c>
      <c r="G233" s="432">
        <v>285311.40000000002</v>
      </c>
      <c r="H233" s="432">
        <v>200392.5</v>
      </c>
      <c r="I233" s="432">
        <v>1736531.4</v>
      </c>
      <c r="J233" s="432">
        <v>327856.2</v>
      </c>
      <c r="K233" s="432">
        <f t="shared" ref="K233:K236" si="13">G233+H233+I233+J233</f>
        <v>2550091.5</v>
      </c>
      <c r="L233" s="432">
        <v>15772</v>
      </c>
      <c r="M233" s="432">
        <v>6209.1</v>
      </c>
      <c r="N233" s="432">
        <v>240.6</v>
      </c>
      <c r="O233" s="432">
        <v>0</v>
      </c>
      <c r="P233" s="432">
        <v>0</v>
      </c>
      <c r="Q233" s="432">
        <v>245662.2</v>
      </c>
      <c r="R233" s="432">
        <v>213064.9</v>
      </c>
    </row>
    <row r="234" spans="1:18" s="950" customFormat="1" ht="13.5" customHeight="1" x14ac:dyDescent="0.2">
      <c r="A234" s="1293" t="s">
        <v>2744</v>
      </c>
      <c r="B234" s="1273" t="s">
        <v>553</v>
      </c>
      <c r="C234" s="419">
        <v>282657.3</v>
      </c>
      <c r="D234" s="419">
        <v>825540</v>
      </c>
      <c r="E234" s="419">
        <v>1931981</v>
      </c>
      <c r="F234" s="419">
        <f t="shared" si="12"/>
        <v>2757521</v>
      </c>
      <c r="G234" s="419">
        <v>274502.7</v>
      </c>
      <c r="H234" s="419">
        <v>203505.9</v>
      </c>
      <c r="I234" s="419">
        <v>1758472.2</v>
      </c>
      <c r="J234" s="419">
        <v>328324.8</v>
      </c>
      <c r="K234" s="419">
        <f t="shared" si="13"/>
        <v>2564805.5999999996</v>
      </c>
      <c r="L234" s="419">
        <v>15829.4</v>
      </c>
      <c r="M234" s="419">
        <v>6148.4</v>
      </c>
      <c r="N234" s="419">
        <v>372.7</v>
      </c>
      <c r="O234" s="419">
        <v>0</v>
      </c>
      <c r="P234" s="419">
        <v>0</v>
      </c>
      <c r="Q234" s="419">
        <v>246450.1</v>
      </c>
      <c r="R234" s="419">
        <v>206572.1</v>
      </c>
    </row>
    <row r="235" spans="1:18" s="950" customFormat="1" ht="13.5" customHeight="1" x14ac:dyDescent="0.2">
      <c r="A235" s="1293" t="s">
        <v>2744</v>
      </c>
      <c r="B235" s="1272" t="s">
        <v>547</v>
      </c>
      <c r="C235" s="432">
        <v>280500</v>
      </c>
      <c r="D235" s="432">
        <v>844821.5</v>
      </c>
      <c r="E235" s="432">
        <v>1943942.5</v>
      </c>
      <c r="F235" s="432">
        <f>D235+E235</f>
        <v>2788764</v>
      </c>
      <c r="G235" s="432">
        <v>272725.3</v>
      </c>
      <c r="H235" s="432">
        <v>199283.6</v>
      </c>
      <c r="I235" s="432">
        <v>1772112</v>
      </c>
      <c r="J235" s="432">
        <v>328931.40000000002</v>
      </c>
      <c r="K235" s="432">
        <f t="shared" si="13"/>
        <v>2573052.2999999998</v>
      </c>
      <c r="L235" s="432">
        <v>15636.6</v>
      </c>
      <c r="M235" s="432">
        <v>6341.7</v>
      </c>
      <c r="N235" s="432">
        <v>297.8</v>
      </c>
      <c r="O235" s="432">
        <v>0</v>
      </c>
      <c r="P235" s="432">
        <v>0</v>
      </c>
      <c r="Q235" s="432">
        <v>251677.8</v>
      </c>
      <c r="R235" s="432">
        <v>222257.8</v>
      </c>
    </row>
    <row r="236" spans="1:18" s="1516" customFormat="1" ht="13.5" customHeight="1" x14ac:dyDescent="0.2">
      <c r="A236" s="1293" t="s">
        <v>2744</v>
      </c>
      <c r="B236" s="1514" t="s">
        <v>554</v>
      </c>
      <c r="C236" s="1515">
        <v>279657.59999999998</v>
      </c>
      <c r="D236" s="1515">
        <v>858811.2</v>
      </c>
      <c r="E236" s="1515">
        <v>1950030.5</v>
      </c>
      <c r="F236" s="1515">
        <f>D236+E236</f>
        <v>2808841.7</v>
      </c>
      <c r="G236" s="1515">
        <v>268442</v>
      </c>
      <c r="H236" s="1515">
        <v>198434.6</v>
      </c>
      <c r="I236" s="1515">
        <v>1783557.5</v>
      </c>
      <c r="J236" s="1515">
        <v>329499.09999999998</v>
      </c>
      <c r="K236" s="1515">
        <f t="shared" si="13"/>
        <v>2579933.2000000002</v>
      </c>
      <c r="L236" s="1515">
        <v>16011.5</v>
      </c>
      <c r="M236" s="1515">
        <v>6062.1</v>
      </c>
      <c r="N236" s="1515">
        <v>442</v>
      </c>
      <c r="O236" s="1515">
        <v>0</v>
      </c>
      <c r="P236" s="1515">
        <v>0</v>
      </c>
      <c r="Q236" s="1515">
        <v>251287.5</v>
      </c>
      <c r="R236" s="1515">
        <v>234763</v>
      </c>
    </row>
    <row r="237" spans="1:18" s="1516" customFormat="1" ht="13.5" customHeight="1" x14ac:dyDescent="0.2">
      <c r="A237" s="1293" t="s">
        <v>2744</v>
      </c>
      <c r="B237" s="1272" t="s">
        <v>555</v>
      </c>
      <c r="C237" s="432">
        <v>283202.5</v>
      </c>
      <c r="D237" s="432">
        <v>881477.4</v>
      </c>
      <c r="E237" s="432">
        <v>1966343.3</v>
      </c>
      <c r="F237" s="432">
        <v>2847820.7</v>
      </c>
      <c r="G237" s="432">
        <v>267003</v>
      </c>
      <c r="H237" s="432">
        <v>204883.6</v>
      </c>
      <c r="I237" s="432">
        <v>1805269.8</v>
      </c>
      <c r="J237" s="432">
        <v>329359.5</v>
      </c>
      <c r="K237" s="432">
        <v>2606515.9</v>
      </c>
      <c r="L237" s="432">
        <v>16331</v>
      </c>
      <c r="M237" s="432">
        <v>6153.4</v>
      </c>
      <c r="N237" s="432">
        <v>509.9</v>
      </c>
      <c r="O237" s="432">
        <v>0</v>
      </c>
      <c r="P237" s="432">
        <v>0</v>
      </c>
      <c r="Q237" s="432">
        <v>225010.3</v>
      </c>
      <c r="R237" s="432">
        <v>276502.59999999998</v>
      </c>
    </row>
    <row r="238" spans="1:18" ht="13.5" customHeight="1" x14ac:dyDescent="0.25">
      <c r="A238" s="1293" t="s">
        <v>2744</v>
      </c>
      <c r="B238" s="1273" t="s">
        <v>548</v>
      </c>
      <c r="C238" s="419">
        <v>290448</v>
      </c>
      <c r="D238" s="419">
        <v>877036.7</v>
      </c>
      <c r="E238" s="419">
        <v>1975579.6</v>
      </c>
      <c r="F238" s="419">
        <v>2852616.3</v>
      </c>
      <c r="G238" s="419">
        <v>273327.59999999998</v>
      </c>
      <c r="H238" s="419">
        <v>214000.9</v>
      </c>
      <c r="I238" s="419">
        <v>1820011.2</v>
      </c>
      <c r="J238" s="419">
        <v>329837</v>
      </c>
      <c r="K238" s="419">
        <v>2637176.7000000002</v>
      </c>
      <c r="L238" s="419">
        <v>16521.3</v>
      </c>
      <c r="M238" s="419">
        <v>6518.9</v>
      </c>
      <c r="N238" s="419">
        <v>352.9</v>
      </c>
      <c r="O238" s="419">
        <v>0</v>
      </c>
      <c r="P238" s="419">
        <v>0</v>
      </c>
      <c r="Q238" s="419">
        <v>110513.60000000001</v>
      </c>
      <c r="R238" s="419">
        <v>371980.9</v>
      </c>
    </row>
    <row r="239" spans="1:18" ht="21" x14ac:dyDescent="0.25">
      <c r="A239" s="1293" t="s">
        <v>2744</v>
      </c>
      <c r="B239" s="1272" t="s">
        <v>556</v>
      </c>
      <c r="C239" s="432">
        <v>301242.2</v>
      </c>
      <c r="D239" s="432">
        <v>891289.1</v>
      </c>
      <c r="E239" s="432">
        <v>1968409</v>
      </c>
      <c r="F239" s="432">
        <v>2859698.1</v>
      </c>
      <c r="G239" s="432">
        <v>280602.7</v>
      </c>
      <c r="H239" s="432">
        <v>202126.6</v>
      </c>
      <c r="I239" s="432">
        <v>1824565.1</v>
      </c>
      <c r="J239" s="432">
        <v>329837</v>
      </c>
      <c r="K239" s="432">
        <v>2637131.4</v>
      </c>
      <c r="L239" s="432">
        <v>20382.3</v>
      </c>
      <c r="M239" s="432">
        <v>6659.9</v>
      </c>
      <c r="N239" s="432">
        <v>302.10000000000002</v>
      </c>
      <c r="O239" s="432">
        <v>0</v>
      </c>
      <c r="P239" s="432">
        <v>0</v>
      </c>
      <c r="Q239" s="432">
        <v>109658.7</v>
      </c>
      <c r="R239" s="432">
        <v>386805.9</v>
      </c>
    </row>
    <row r="240" spans="1:18" ht="13.5" customHeight="1" thickBot="1" x14ac:dyDescent="0.3">
      <c r="A240" s="1293" t="s">
        <v>2744</v>
      </c>
      <c r="B240" s="1630" t="s">
        <v>557</v>
      </c>
      <c r="C240" s="1631">
        <v>314846.2</v>
      </c>
      <c r="D240" s="1631">
        <v>905806.2</v>
      </c>
      <c r="E240" s="1631">
        <v>1974128.5</v>
      </c>
      <c r="F240" s="1631">
        <v>287993.47000000003</v>
      </c>
      <c r="G240" s="1631">
        <v>284376.5</v>
      </c>
      <c r="H240" s="1631">
        <v>206426.7</v>
      </c>
      <c r="I240" s="1631">
        <v>1847399.6</v>
      </c>
      <c r="J240" s="1631">
        <v>328163.7</v>
      </c>
      <c r="K240" s="1631">
        <v>266636.65000000002</v>
      </c>
      <c r="L240" s="1631">
        <v>17264.2</v>
      </c>
      <c r="M240" s="1631">
        <v>6815.8</v>
      </c>
      <c r="N240" s="1631">
        <v>434.6</v>
      </c>
      <c r="O240" s="1631">
        <v>0</v>
      </c>
      <c r="P240" s="1631">
        <v>0</v>
      </c>
      <c r="Q240" s="1631">
        <v>109633.3</v>
      </c>
      <c r="R240" s="1631">
        <v>394266.5</v>
      </c>
    </row>
    <row r="241" spans="1:18" x14ac:dyDescent="0.25">
      <c r="A241" s="1483" t="s">
        <v>16</v>
      </c>
      <c r="B241" s="1483"/>
      <c r="C241" s="1274" t="s">
        <v>1206</v>
      </c>
      <c r="D241" s="1275"/>
      <c r="E241" s="1275"/>
      <c r="F241" s="1275"/>
      <c r="G241" s="1276"/>
      <c r="H241" s="1276"/>
      <c r="I241" s="1276"/>
      <c r="J241" s="1135"/>
      <c r="K241" s="1277"/>
      <c r="L241" s="1277"/>
      <c r="M241" s="1278"/>
      <c r="N241" s="1278"/>
      <c r="O241" s="1277"/>
      <c r="P241" s="1278"/>
      <c r="Q241" s="1277"/>
      <c r="R241" s="1279"/>
    </row>
    <row r="242" spans="1:18" x14ac:dyDescent="0.25">
      <c r="A242" s="988"/>
      <c r="B242" s="988"/>
      <c r="C242" s="988"/>
      <c r="D242" s="1021"/>
      <c r="E242" s="988"/>
      <c r="F242" s="902"/>
      <c r="G242" s="1030"/>
      <c r="H242" s="1030"/>
      <c r="I242" s="1030"/>
      <c r="J242" s="1030"/>
      <c r="K242" s="1031"/>
      <c r="L242" s="957"/>
      <c r="M242" s="957"/>
      <c r="N242" s="957"/>
      <c r="O242" s="957"/>
      <c r="P242" s="989"/>
      <c r="Q242" s="1033"/>
      <c r="R242" s="1033"/>
    </row>
    <row r="243" spans="1:18" x14ac:dyDescent="0.25">
      <c r="A243" s="988"/>
      <c r="B243" s="988"/>
      <c r="C243" s="988"/>
      <c r="D243" s="1021"/>
      <c r="E243" s="988"/>
      <c r="F243" s="902"/>
      <c r="G243" s="1030"/>
      <c r="H243" s="1030"/>
      <c r="I243" s="1030"/>
      <c r="J243" s="1030"/>
      <c r="K243" s="1031"/>
      <c r="L243" s="957"/>
      <c r="M243" s="957"/>
      <c r="N243" s="957"/>
      <c r="O243" s="957"/>
      <c r="P243" s="989"/>
      <c r="Q243" s="1033"/>
      <c r="R243" s="1033"/>
    </row>
    <row r="244" spans="1:18" x14ac:dyDescent="0.25">
      <c r="A244" s="988"/>
      <c r="B244" s="988"/>
      <c r="C244" s="1021"/>
      <c r="D244" s="902"/>
      <c r="E244" s="1030"/>
      <c r="F244" s="988"/>
      <c r="G244" s="1030"/>
      <c r="H244" s="1030"/>
      <c r="I244" s="1031"/>
      <c r="K244" s="1030"/>
      <c r="N244" s="957"/>
      <c r="O244" s="957"/>
      <c r="P244" s="989"/>
      <c r="Q244" s="1033"/>
      <c r="R244" s="1033"/>
    </row>
    <row r="245" spans="1:18" x14ac:dyDescent="0.25">
      <c r="A245" s="988"/>
      <c r="B245" s="988"/>
      <c r="C245" s="1021"/>
      <c r="D245" s="902"/>
      <c r="E245" s="1030"/>
      <c r="F245" s="988"/>
      <c r="G245" s="1030"/>
      <c r="H245" s="1030"/>
      <c r="I245" s="1031"/>
      <c r="K245" s="1030"/>
      <c r="N245" s="957"/>
      <c r="O245" s="957"/>
      <c r="P245" s="989"/>
      <c r="Q245" s="1033"/>
      <c r="R245" s="1033"/>
    </row>
    <row r="246" spans="1:18" x14ac:dyDescent="0.25">
      <c r="A246" s="988"/>
      <c r="B246" s="988"/>
      <c r="C246" s="988"/>
      <c r="D246" s="988"/>
      <c r="E246" s="988"/>
      <c r="F246" s="988"/>
      <c r="G246" s="988"/>
      <c r="H246" s="988"/>
      <c r="I246" s="988"/>
      <c r="K246" s="988"/>
      <c r="N246" s="988"/>
      <c r="O246" s="988"/>
      <c r="P246" s="988"/>
      <c r="Q246" s="988"/>
      <c r="R246" s="988"/>
    </row>
    <row r="247" spans="1:18" x14ac:dyDescent="0.25">
      <c r="A247" s="988"/>
      <c r="B247" s="988"/>
      <c r="C247" s="988"/>
      <c r="D247" s="988"/>
      <c r="E247" s="988"/>
      <c r="F247" s="988"/>
      <c r="G247" s="988"/>
      <c r="H247" s="988"/>
      <c r="I247" s="988"/>
      <c r="J247" s="988"/>
      <c r="L247" s="988"/>
      <c r="M247" s="988"/>
      <c r="N247" s="988"/>
      <c r="O247" s="988"/>
      <c r="P247" s="988"/>
      <c r="Q247" s="988"/>
      <c r="R247" s="988"/>
    </row>
    <row r="248" spans="1:18" x14ac:dyDescent="0.25">
      <c r="A248" s="988"/>
      <c r="B248" s="988"/>
      <c r="C248" s="988"/>
      <c r="D248" s="988"/>
      <c r="E248" s="988"/>
      <c r="F248" s="988"/>
      <c r="G248" s="988"/>
      <c r="H248" s="988"/>
      <c r="I248" s="988"/>
      <c r="J248" s="988"/>
      <c r="L248" s="988"/>
      <c r="M248" s="988"/>
      <c r="N248" s="988"/>
      <c r="O248" s="988"/>
      <c r="P248" s="988"/>
      <c r="Q248" s="988"/>
      <c r="R248" s="988"/>
    </row>
    <row r="249" spans="1:18" x14ac:dyDescent="0.25">
      <c r="A249" s="988"/>
      <c r="B249" s="988"/>
      <c r="C249" s="988"/>
      <c r="D249" s="988"/>
      <c r="E249" s="988"/>
      <c r="F249" s="988"/>
      <c r="G249" s="988"/>
      <c r="H249" s="988"/>
      <c r="I249" s="988"/>
      <c r="J249" s="988"/>
      <c r="K249" s="988"/>
      <c r="L249" s="988"/>
      <c r="M249" s="988"/>
      <c r="N249" s="988"/>
      <c r="O249" s="988"/>
      <c r="P249" s="988"/>
      <c r="Q249" s="988"/>
      <c r="R249" s="988"/>
    </row>
    <row r="250" spans="1:18" x14ac:dyDescent="0.25">
      <c r="A250" s="988"/>
      <c r="B250" s="988"/>
      <c r="C250" s="988"/>
      <c r="D250" s="988"/>
      <c r="E250" s="988"/>
      <c r="F250" s="988"/>
      <c r="G250" s="988"/>
      <c r="H250" s="988"/>
      <c r="I250" s="988"/>
      <c r="J250" s="988"/>
      <c r="K250" s="988"/>
      <c r="L250" s="988"/>
      <c r="M250" s="988"/>
      <c r="N250" s="988"/>
      <c r="O250" s="988"/>
      <c r="P250" s="988"/>
      <c r="Q250" s="988"/>
      <c r="R250" s="988"/>
    </row>
    <row r="251" spans="1:18" x14ac:dyDescent="0.25">
      <c r="A251" s="988"/>
      <c r="B251" s="988"/>
      <c r="C251" s="988"/>
      <c r="D251" s="988"/>
      <c r="E251" s="988"/>
      <c r="F251" s="988"/>
      <c r="G251" s="988"/>
      <c r="H251" s="988"/>
      <c r="I251" s="988"/>
      <c r="J251" s="988"/>
      <c r="K251" s="988"/>
      <c r="L251" s="988"/>
      <c r="M251" s="988"/>
      <c r="N251" s="988"/>
      <c r="O251" s="988"/>
      <c r="P251" s="988"/>
      <c r="Q251" s="988"/>
      <c r="R251" s="988"/>
    </row>
    <row r="252" spans="1:18" x14ac:dyDescent="0.25">
      <c r="A252" s="988"/>
      <c r="B252" s="988"/>
      <c r="C252" s="988"/>
      <c r="D252" s="988"/>
      <c r="E252" s="988"/>
      <c r="F252" s="988"/>
      <c r="G252" s="988"/>
      <c r="H252" s="988"/>
      <c r="I252" s="988"/>
      <c r="J252" s="988"/>
      <c r="K252" s="988"/>
      <c r="L252" s="988"/>
      <c r="M252" s="988"/>
      <c r="N252" s="988"/>
      <c r="O252" s="988"/>
      <c r="P252" s="988"/>
      <c r="Q252" s="988"/>
      <c r="R252" s="988"/>
    </row>
    <row r="253" spans="1:18" x14ac:dyDescent="0.25">
      <c r="A253" s="988"/>
      <c r="B253" s="988"/>
      <c r="C253" s="988"/>
      <c r="D253" s="988"/>
      <c r="E253" s="988"/>
      <c r="F253" s="988"/>
      <c r="G253" s="988"/>
      <c r="H253" s="988"/>
      <c r="I253" s="988"/>
      <c r="J253" s="988"/>
      <c r="K253" s="988"/>
      <c r="L253" s="988"/>
      <c r="M253" s="988"/>
      <c r="N253" s="988"/>
      <c r="O253" s="988"/>
      <c r="P253" s="988"/>
      <c r="Q253" s="988"/>
      <c r="R253" s="988"/>
    </row>
    <row r="254" spans="1:18" x14ac:dyDescent="0.25">
      <c r="A254" s="988"/>
      <c r="B254" s="988"/>
      <c r="C254" s="988"/>
      <c r="D254" s="988"/>
      <c r="E254" s="988"/>
      <c r="F254" s="988"/>
      <c r="G254" s="988"/>
      <c r="H254" s="988"/>
      <c r="I254" s="988"/>
      <c r="J254" s="988"/>
      <c r="K254" s="988"/>
      <c r="L254" s="988"/>
      <c r="M254" s="988"/>
      <c r="N254" s="988"/>
      <c r="O254" s="988"/>
      <c r="P254" s="988"/>
      <c r="Q254" s="988"/>
      <c r="R254" s="988"/>
    </row>
    <row r="255" spans="1:18" x14ac:dyDescent="0.25">
      <c r="A255" s="988"/>
      <c r="B255" s="988"/>
      <c r="C255" s="988"/>
      <c r="D255" s="988"/>
      <c r="E255" s="988"/>
      <c r="F255" s="988"/>
      <c r="G255" s="988"/>
      <c r="H255" s="988"/>
      <c r="I255" s="988"/>
      <c r="J255" s="988"/>
      <c r="K255" s="988"/>
      <c r="L255" s="957"/>
      <c r="M255" s="957"/>
      <c r="N255" s="957"/>
      <c r="O255" s="957"/>
      <c r="P255" s="989"/>
      <c r="Q255" s="1033"/>
      <c r="R255" s="1033"/>
    </row>
    <row r="256" spans="1:18" x14ac:dyDescent="0.25">
      <c r="A256" s="988"/>
      <c r="B256" s="988"/>
      <c r="C256" s="988"/>
      <c r="D256" s="1021"/>
      <c r="E256" s="988"/>
      <c r="F256" s="902"/>
      <c r="G256" s="1030"/>
      <c r="H256" s="1030"/>
      <c r="I256" s="1030"/>
      <c r="J256" s="1030"/>
      <c r="K256" s="1031"/>
      <c r="L256" s="957"/>
      <c r="M256" s="957"/>
      <c r="N256" s="957"/>
      <c r="O256" s="957"/>
      <c r="P256" s="989"/>
      <c r="Q256" s="1033"/>
      <c r="R256" s="1033"/>
    </row>
    <row r="257" spans="1:18" x14ac:dyDescent="0.25">
      <c r="A257" s="988"/>
      <c r="B257" s="988"/>
      <c r="C257" s="988"/>
      <c r="D257" s="1021"/>
      <c r="E257" s="988"/>
      <c r="F257" s="902"/>
      <c r="G257" s="1030"/>
      <c r="H257" s="1030"/>
      <c r="I257" s="1030"/>
      <c r="J257" s="1030"/>
      <c r="K257" s="1031"/>
      <c r="L257" s="957"/>
      <c r="M257" s="957"/>
      <c r="N257" s="957"/>
      <c r="O257" s="957"/>
      <c r="P257" s="989"/>
      <c r="Q257" s="1033"/>
      <c r="R257" s="1033"/>
    </row>
    <row r="258" spans="1:18" x14ac:dyDescent="0.25">
      <c r="A258" s="988"/>
      <c r="B258" s="988"/>
      <c r="C258" s="988"/>
      <c r="D258" s="1021"/>
      <c r="E258" s="988"/>
      <c r="F258" s="902"/>
      <c r="G258" s="1030"/>
      <c r="H258" s="1030"/>
      <c r="I258" s="1030"/>
      <c r="J258" s="1030"/>
      <c r="K258" s="1031"/>
      <c r="L258" s="957"/>
      <c r="M258" s="957"/>
      <c r="N258" s="957"/>
      <c r="O258" s="957"/>
      <c r="P258" s="989"/>
      <c r="Q258" s="1033"/>
      <c r="R258" s="1033"/>
    </row>
    <row r="259" spans="1:18" x14ac:dyDescent="0.25">
      <c r="A259" s="988"/>
      <c r="B259" s="988"/>
      <c r="C259" s="988"/>
      <c r="D259" s="1021"/>
      <c r="E259" s="988"/>
      <c r="F259" s="902"/>
      <c r="G259" s="1030"/>
      <c r="H259" s="1030"/>
      <c r="I259" s="1030"/>
      <c r="J259" s="1030"/>
      <c r="K259" s="1031"/>
      <c r="L259" s="957"/>
      <c r="M259" s="957"/>
      <c r="N259" s="957"/>
      <c r="O259" s="957"/>
      <c r="P259" s="989"/>
      <c r="Q259" s="1033"/>
      <c r="R259" s="1033"/>
    </row>
    <row r="260" spans="1:18" x14ac:dyDescent="0.25">
      <c r="A260" s="988"/>
      <c r="B260" s="988"/>
      <c r="C260" s="988"/>
      <c r="D260" s="1021"/>
      <c r="E260" s="988"/>
      <c r="F260" s="902"/>
      <c r="G260" s="1030"/>
      <c r="H260" s="1030"/>
      <c r="I260" s="1030"/>
      <c r="J260" s="1030"/>
      <c r="K260" s="1031"/>
      <c r="L260" s="957"/>
      <c r="M260" s="957"/>
      <c r="N260" s="957"/>
      <c r="O260" s="957"/>
      <c r="P260" s="989"/>
      <c r="Q260" s="1033"/>
      <c r="R260" s="1033"/>
    </row>
    <row r="261" spans="1:18" x14ac:dyDescent="0.25">
      <c r="A261" s="988"/>
      <c r="B261" s="988"/>
      <c r="C261" s="988"/>
      <c r="D261" s="1021"/>
      <c r="E261" s="988"/>
      <c r="F261" s="902"/>
      <c r="G261" s="1030"/>
      <c r="H261" s="1030"/>
      <c r="I261" s="1030"/>
      <c r="J261" s="1030"/>
      <c r="K261" s="1031"/>
      <c r="L261" s="957"/>
      <c r="M261" s="957"/>
      <c r="N261" s="957"/>
      <c r="O261" s="957"/>
      <c r="P261" s="989"/>
      <c r="Q261" s="1033"/>
      <c r="R261" s="1033"/>
    </row>
    <row r="262" spans="1:18" x14ac:dyDescent="0.25">
      <c r="A262" s="988"/>
      <c r="B262" s="988"/>
      <c r="C262" s="988"/>
      <c r="D262" s="1021"/>
      <c r="E262" s="988"/>
      <c r="F262" s="902"/>
      <c r="G262" s="1030"/>
      <c r="H262" s="1030"/>
      <c r="I262" s="1030"/>
      <c r="J262" s="1030"/>
      <c r="K262" s="1031"/>
      <c r="L262" s="957"/>
      <c r="M262" s="957"/>
      <c r="N262" s="957"/>
      <c r="O262" s="957"/>
      <c r="P262" s="989"/>
      <c r="Q262" s="1033"/>
      <c r="R262" s="1033"/>
    </row>
    <row r="263" spans="1:18" x14ac:dyDescent="0.25">
      <c r="A263" s="988"/>
      <c r="B263" s="988"/>
      <c r="C263" s="988"/>
      <c r="D263" s="1021"/>
      <c r="E263" s="988"/>
      <c r="F263" s="902"/>
      <c r="G263" s="1030"/>
      <c r="H263" s="1030"/>
      <c r="I263" s="1030"/>
      <c r="J263" s="1030"/>
      <c r="K263" s="1031"/>
      <c r="L263" s="957"/>
      <c r="M263" s="957"/>
      <c r="N263" s="957"/>
      <c r="O263" s="957"/>
      <c r="P263" s="989"/>
      <c r="Q263" s="1033"/>
      <c r="R263" s="1033"/>
    </row>
    <row r="264" spans="1:18" x14ac:dyDescent="0.25">
      <c r="A264" s="988"/>
      <c r="B264" s="988"/>
      <c r="C264" s="988"/>
      <c r="D264" s="1021"/>
      <c r="E264" s="988"/>
      <c r="F264" s="902"/>
      <c r="G264" s="1030"/>
      <c r="H264" s="1030"/>
      <c r="I264" s="1030"/>
      <c r="J264" s="1030"/>
      <c r="K264" s="1031"/>
      <c r="L264" s="957"/>
      <c r="M264" s="957"/>
      <c r="N264" s="957"/>
      <c r="O264" s="957"/>
      <c r="P264" s="989"/>
      <c r="Q264" s="1033"/>
      <c r="R264" s="1033"/>
    </row>
    <row r="265" spans="1:18" x14ac:dyDescent="0.25">
      <c r="A265" s="988"/>
      <c r="B265" s="988"/>
      <c r="C265" s="988"/>
      <c r="D265" s="1021"/>
      <c r="E265" s="988"/>
      <c r="F265" s="902"/>
      <c r="G265" s="1030"/>
      <c r="H265" s="1030"/>
      <c r="I265" s="1030"/>
      <c r="J265" s="1030"/>
      <c r="K265" s="1031"/>
      <c r="L265" s="957"/>
      <c r="M265" s="957"/>
      <c r="N265" s="957"/>
      <c r="O265" s="957"/>
      <c r="P265" s="989"/>
      <c r="Q265" s="1033"/>
      <c r="R265" s="1033"/>
    </row>
    <row r="266" spans="1:18" x14ac:dyDescent="0.25">
      <c r="A266" s="988"/>
      <c r="B266" s="988"/>
      <c r="C266" s="988"/>
      <c r="D266" s="1021"/>
      <c r="E266" s="988"/>
      <c r="F266" s="902"/>
      <c r="G266" s="1030"/>
      <c r="H266" s="1030"/>
      <c r="I266" s="1030"/>
      <c r="J266" s="1030"/>
      <c r="K266" s="1031"/>
      <c r="L266" s="957"/>
      <c r="M266" s="957"/>
      <c r="N266" s="957"/>
      <c r="O266" s="957"/>
      <c r="P266" s="989"/>
      <c r="Q266" s="1033"/>
      <c r="R266" s="1033"/>
    </row>
    <row r="267" spans="1:18" x14ac:dyDescent="0.25">
      <c r="A267" s="988"/>
      <c r="B267" s="988"/>
      <c r="C267" s="988"/>
      <c r="D267" s="1021"/>
      <c r="E267" s="988"/>
      <c r="F267" s="902"/>
      <c r="G267" s="1030"/>
      <c r="H267" s="1030"/>
      <c r="I267" s="1030"/>
      <c r="J267" s="1030"/>
      <c r="K267" s="1031"/>
      <c r="L267" s="957"/>
      <c r="M267" s="957"/>
      <c r="N267" s="957"/>
      <c r="O267" s="957"/>
      <c r="P267" s="989"/>
      <c r="Q267" s="1033"/>
      <c r="R267" s="1033"/>
    </row>
    <row r="268" spans="1:18" x14ac:dyDescent="0.25">
      <c r="A268" s="988"/>
      <c r="B268" s="988"/>
      <c r="C268" s="988"/>
      <c r="D268" s="1021"/>
      <c r="E268" s="988"/>
      <c r="F268" s="902"/>
      <c r="G268" s="1030"/>
      <c r="H268" s="1030"/>
      <c r="I268" s="1030"/>
      <c r="J268" s="1030"/>
      <c r="K268" s="1031"/>
      <c r="L268" s="957"/>
      <c r="M268" s="957"/>
      <c r="N268" s="957"/>
      <c r="O268" s="957"/>
      <c r="P268" s="989"/>
      <c r="Q268" s="1033"/>
      <c r="R268" s="1033"/>
    </row>
    <row r="269" spans="1:18" x14ac:dyDescent="0.25">
      <c r="A269" s="988"/>
      <c r="B269" s="988"/>
      <c r="C269" s="988"/>
      <c r="D269" s="1021"/>
      <c r="E269" s="988"/>
      <c r="F269" s="902"/>
      <c r="G269" s="1030"/>
      <c r="H269" s="1030"/>
      <c r="I269" s="1030"/>
      <c r="J269" s="1030"/>
      <c r="K269" s="1031"/>
      <c r="L269" s="957"/>
      <c r="M269" s="957"/>
      <c r="N269" s="957"/>
      <c r="O269" s="957"/>
      <c r="P269" s="989"/>
      <c r="Q269" s="1033"/>
      <c r="R269" s="1033"/>
    </row>
    <row r="270" spans="1:18" x14ac:dyDescent="0.25">
      <c r="A270" s="988"/>
      <c r="B270" s="988"/>
      <c r="C270" s="988"/>
      <c r="D270" s="1021"/>
      <c r="E270" s="988"/>
      <c r="F270" s="902"/>
      <c r="G270" s="1030"/>
      <c r="H270" s="1030"/>
      <c r="I270" s="1030"/>
      <c r="J270" s="1030"/>
      <c r="K270" s="1031"/>
      <c r="L270" s="957"/>
      <c r="M270" s="957"/>
      <c r="N270" s="957"/>
      <c r="O270" s="957"/>
      <c r="P270" s="989"/>
      <c r="Q270" s="1033"/>
      <c r="R270" s="1033"/>
    </row>
    <row r="271" spans="1:18" x14ac:dyDescent="0.25">
      <c r="A271" s="988"/>
      <c r="B271" s="988"/>
      <c r="C271" s="988"/>
      <c r="D271" s="1021"/>
      <c r="E271" s="988"/>
      <c r="F271" s="902"/>
      <c r="G271" s="1030"/>
      <c r="H271" s="1030"/>
      <c r="I271" s="1030"/>
      <c r="J271" s="1030"/>
      <c r="K271" s="1031"/>
      <c r="L271" s="957"/>
      <c r="M271" s="957"/>
      <c r="N271" s="957"/>
      <c r="O271" s="957"/>
      <c r="P271" s="989"/>
      <c r="Q271" s="1033"/>
      <c r="R271" s="1033"/>
    </row>
    <row r="272" spans="1:18" x14ac:dyDescent="0.25">
      <c r="A272" s="988"/>
      <c r="B272" s="988"/>
      <c r="C272" s="988"/>
      <c r="D272" s="1021"/>
      <c r="E272" s="988"/>
      <c r="F272" s="902"/>
      <c r="G272" s="1030"/>
      <c r="H272" s="1030"/>
      <c r="I272" s="1030"/>
      <c r="J272" s="1030"/>
      <c r="K272" s="1031"/>
      <c r="L272" s="957"/>
      <c r="M272" s="957"/>
      <c r="N272" s="957"/>
      <c r="O272" s="957"/>
      <c r="P272" s="989"/>
      <c r="Q272" s="1033"/>
      <c r="R272" s="1033"/>
    </row>
    <row r="273" spans="1:18" x14ac:dyDescent="0.25">
      <c r="A273" s="988"/>
      <c r="B273" s="988"/>
      <c r="C273" s="988"/>
      <c r="E273" s="988"/>
      <c r="F273" s="902"/>
      <c r="G273" s="1030"/>
      <c r="H273" s="1030"/>
      <c r="I273" s="1030"/>
      <c r="J273" s="1030"/>
      <c r="K273" s="1031"/>
      <c r="L273" s="1031"/>
      <c r="M273" s="1028"/>
      <c r="N273" s="1028"/>
      <c r="O273" s="1031"/>
      <c r="P273" s="1029"/>
      <c r="Q273" s="1033"/>
      <c r="R273" s="1033"/>
    </row>
    <row r="274" spans="1:18" x14ac:dyDescent="0.25">
      <c r="G274" s="1034"/>
      <c r="H274" s="1034"/>
      <c r="I274" s="1034"/>
      <c r="J274" s="1034"/>
      <c r="K274" s="1034"/>
      <c r="L274" s="1034"/>
      <c r="M274" s="1034"/>
      <c r="N274" s="1034"/>
      <c r="O274" s="1034"/>
      <c r="P274" s="1034"/>
      <c r="Q274" s="1034"/>
      <c r="R274" s="1034"/>
    </row>
  </sheetData>
  <customSheetViews>
    <customSheetView guid="{A374FC54-96E3-45F0-9C12-8450400C12DF}" scale="120" topLeftCell="A22">
      <selection activeCell="H44" sqref="H44"/>
      <pageMargins left="0.75" right="0.45" top="0.75" bottom="0.75" header="0.3" footer="0.3"/>
      <pageSetup paperSize="132" firstPageNumber="106" orientation="portrait" useFirstPageNumber="1" r:id="rId1"/>
      <headerFooter>
        <oddFooter>&amp;C&amp;"Times New Roman,Regular"&amp;8&amp;P</oddFooter>
      </headerFooter>
    </customSheetView>
  </customSheetViews>
  <mergeCells count="15">
    <mergeCell ref="H2:J2"/>
    <mergeCell ref="Q2:R2"/>
    <mergeCell ref="Q3:R3"/>
    <mergeCell ref="A4:A6"/>
    <mergeCell ref="C4:C5"/>
    <mergeCell ref="D4:F4"/>
    <mergeCell ref="G4:K4"/>
    <mergeCell ref="L4:L5"/>
    <mergeCell ref="M4:M5"/>
    <mergeCell ref="N4:N5"/>
    <mergeCell ref="O4:O5"/>
    <mergeCell ref="P4:P5"/>
    <mergeCell ref="Q4:Q5"/>
    <mergeCell ref="R4:R5"/>
    <mergeCell ref="K2:N2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1"/>
  <sheetViews>
    <sheetView workbookViewId="0">
      <pane xSplit="3" ySplit="4" topLeftCell="D52" activePane="bottomRight" state="frozen"/>
      <selection pane="topRight" activeCell="C1" sqref="C1"/>
      <selection pane="bottomLeft" activeCell="A5" sqref="A5"/>
      <selection pane="bottomRight" activeCell="L67" sqref="L67"/>
    </sheetView>
  </sheetViews>
  <sheetFormatPr defaultColWidth="9.140625" defaultRowHeight="11.25" x14ac:dyDescent="0.2"/>
  <cols>
    <col min="1" max="1" width="9.140625" style="8"/>
    <col min="2" max="2" width="8.5703125" style="8" customWidth="1"/>
    <col min="3" max="3" width="7.7109375" style="8" customWidth="1"/>
    <col min="4" max="4" width="8.7109375" style="23" customWidth="1"/>
    <col min="5" max="5" width="9.7109375" style="23" customWidth="1"/>
    <col min="6" max="6" width="9.140625" style="23" customWidth="1"/>
    <col min="7" max="7" width="9" style="23" bestFit="1" customWidth="1"/>
    <col min="8" max="8" width="10.140625" style="23" customWidth="1"/>
    <col min="9" max="9" width="9" style="8" customWidth="1"/>
    <col min="10" max="10" width="9.7109375" style="8" customWidth="1"/>
    <col min="11" max="11" width="10.42578125" style="8" bestFit="1" customWidth="1"/>
    <col min="12" max="12" width="11.5703125" style="8" bestFit="1" customWidth="1"/>
    <col min="13" max="15" width="9.42578125" style="8" bestFit="1" customWidth="1"/>
    <col min="16" max="16384" width="9.140625" style="8"/>
  </cols>
  <sheetData>
    <row r="1" spans="1:20" ht="21" x14ac:dyDescent="0.2">
      <c r="B1" s="2928" t="s">
        <v>1504</v>
      </c>
      <c r="C1" s="2928"/>
      <c r="D1" s="2928"/>
      <c r="E1" s="2928"/>
      <c r="F1" s="2928"/>
      <c r="G1" s="2928"/>
      <c r="H1" s="2928"/>
      <c r="I1" s="2928"/>
      <c r="J1" s="716" t="s">
        <v>1505</v>
      </c>
    </row>
    <row r="2" spans="1:20" x14ac:dyDescent="0.2">
      <c r="I2" s="2927" t="s">
        <v>2846</v>
      </c>
      <c r="J2" s="2927"/>
    </row>
    <row r="3" spans="1:20" ht="33.75" customHeight="1" x14ac:dyDescent="0.2">
      <c r="A3" s="1780" t="s">
        <v>3070</v>
      </c>
      <c r="B3" s="1784" t="s">
        <v>21</v>
      </c>
      <c r="C3" s="1784" t="s">
        <v>3072</v>
      </c>
      <c r="D3" s="1781" t="s">
        <v>3071</v>
      </c>
      <c r="E3" s="1781" t="s">
        <v>1408</v>
      </c>
      <c r="F3" s="1781" t="s">
        <v>1828</v>
      </c>
      <c r="G3" s="1781" t="s">
        <v>1829</v>
      </c>
      <c r="H3" s="1781" t="s">
        <v>1419</v>
      </c>
      <c r="I3" s="1781" t="s">
        <v>1485</v>
      </c>
      <c r="J3" s="1781" t="s">
        <v>1420</v>
      </c>
    </row>
    <row r="4" spans="1:20" ht="12.75" customHeight="1" x14ac:dyDescent="0.2">
      <c r="A4" s="1785" t="s">
        <v>2206</v>
      </c>
      <c r="C4" s="1785"/>
      <c r="D4" s="1772">
        <f>SUM(D146:D173)</f>
        <v>195107.05999999997</v>
      </c>
      <c r="E4" s="1772">
        <f>SUM(E146:E173)</f>
        <v>1099998.1300000001</v>
      </c>
      <c r="F4" s="1772">
        <f t="shared" ref="F4" si="0">SUM(F146:F173)</f>
        <v>58722.724000000017</v>
      </c>
      <c r="G4" s="1772">
        <f>SUM(G146:G173)</f>
        <v>198585.297276</v>
      </c>
      <c r="H4" s="1772">
        <f>SUM(H146:H173)</f>
        <v>9314.3692062091141</v>
      </c>
      <c r="I4" s="1772">
        <f>SUM(I146:I173)</f>
        <v>47633.521278079977</v>
      </c>
      <c r="J4" s="1773">
        <f>SUM(J146:J173)</f>
        <v>0</v>
      </c>
      <c r="K4" s="82"/>
      <c r="L4" s="82"/>
      <c r="M4" s="82"/>
      <c r="N4" s="82"/>
      <c r="O4" s="82"/>
      <c r="P4" s="1769"/>
      <c r="Q4" s="1769"/>
      <c r="R4" s="1769"/>
      <c r="S4" s="1769"/>
      <c r="T4" s="1769"/>
    </row>
    <row r="5" spans="1:20" ht="12.75" customHeight="1" x14ac:dyDescent="0.2">
      <c r="A5" s="1771"/>
      <c r="B5" s="1774"/>
      <c r="C5" s="1774"/>
      <c r="D5" s="1772"/>
      <c r="E5" s="1772"/>
      <c r="F5" s="1772"/>
      <c r="G5" s="1772"/>
      <c r="H5" s="1772"/>
      <c r="I5" s="1772"/>
      <c r="J5" s="1773"/>
      <c r="K5" s="82"/>
      <c r="L5" s="82"/>
      <c r="M5" s="82"/>
      <c r="N5" s="82"/>
      <c r="O5" s="82"/>
      <c r="P5" s="1769"/>
      <c r="Q5" s="1769"/>
      <c r="R5" s="1769"/>
      <c r="S5" s="1769"/>
      <c r="T5" s="1769"/>
    </row>
    <row r="6" spans="1:20" ht="12.75" customHeight="1" x14ac:dyDescent="0.2">
      <c r="A6" s="1780" t="s">
        <v>1404</v>
      </c>
      <c r="B6" s="1782" t="s">
        <v>3063</v>
      </c>
      <c r="C6" s="717" t="s">
        <v>1409</v>
      </c>
      <c r="D6" s="1788">
        <v>129.66929024147998</v>
      </c>
      <c r="E6" s="1788">
        <v>83.796869999999998</v>
      </c>
      <c r="F6" s="1788">
        <v>13.58</v>
      </c>
      <c r="G6" s="1789">
        <v>9.08</v>
      </c>
      <c r="H6" s="1790">
        <v>10</v>
      </c>
      <c r="I6" s="1791">
        <v>0</v>
      </c>
      <c r="J6" s="1791">
        <v>0</v>
      </c>
      <c r="K6" s="82"/>
      <c r="L6" s="82"/>
      <c r="M6" s="82"/>
      <c r="N6" s="82"/>
      <c r="O6" s="82"/>
      <c r="P6" s="1769"/>
      <c r="Q6" s="1769"/>
      <c r="R6" s="1769"/>
      <c r="S6" s="1769"/>
      <c r="T6" s="1769"/>
    </row>
    <row r="7" spans="1:20" ht="12.75" customHeight="1" x14ac:dyDescent="0.2">
      <c r="A7" s="1780" t="s">
        <v>1404</v>
      </c>
      <c r="B7" s="1782" t="s">
        <v>3063</v>
      </c>
      <c r="C7" s="718" t="s">
        <v>1410</v>
      </c>
      <c r="D7" s="1792">
        <v>193.62399634407998</v>
      </c>
      <c r="E7" s="1792">
        <v>1108.8546899999999</v>
      </c>
      <c r="F7" s="1792">
        <v>15.79</v>
      </c>
      <c r="G7" s="1793">
        <v>409.92</v>
      </c>
      <c r="H7" s="1794">
        <v>0.8</v>
      </c>
      <c r="I7" s="1795">
        <v>0</v>
      </c>
      <c r="J7" s="1795">
        <v>0</v>
      </c>
      <c r="K7" s="82"/>
      <c r="L7" s="82"/>
      <c r="M7" s="82"/>
      <c r="N7" s="82"/>
      <c r="O7" s="82"/>
      <c r="P7" s="1769"/>
      <c r="Q7" s="1769"/>
      <c r="R7" s="1769"/>
      <c r="S7" s="1769"/>
      <c r="T7" s="1769"/>
    </row>
    <row r="8" spans="1:20" ht="12.75" customHeight="1" x14ac:dyDescent="0.2">
      <c r="A8" s="1780" t="s">
        <v>1404</v>
      </c>
      <c r="B8" s="1782" t="s">
        <v>3063</v>
      </c>
      <c r="C8" s="719" t="s">
        <v>1411</v>
      </c>
      <c r="D8" s="1796">
        <v>31399.231979070595</v>
      </c>
      <c r="E8" s="1796">
        <v>167897.44834</v>
      </c>
      <c r="F8" s="1796">
        <v>8289.41</v>
      </c>
      <c r="G8" s="1796">
        <v>14450.02</v>
      </c>
      <c r="H8" s="1789">
        <v>100.5</v>
      </c>
      <c r="I8" s="699">
        <v>4095.3309899999999</v>
      </c>
      <c r="J8" s="1797">
        <v>0</v>
      </c>
      <c r="K8" s="82"/>
      <c r="L8" s="82"/>
      <c r="M8" s="82"/>
      <c r="N8" s="82"/>
      <c r="O8" s="82"/>
      <c r="P8" s="1769"/>
      <c r="Q8" s="1769"/>
      <c r="R8" s="1769"/>
      <c r="S8" s="1769"/>
      <c r="T8" s="1769"/>
    </row>
    <row r="9" spans="1:20" ht="12.75" customHeight="1" x14ac:dyDescent="0.2">
      <c r="A9" s="1780" t="s">
        <v>1404</v>
      </c>
      <c r="B9" s="1782" t="s">
        <v>3063</v>
      </c>
      <c r="C9" s="718" t="s">
        <v>1412</v>
      </c>
      <c r="D9" s="1792">
        <v>169.86372667717998</v>
      </c>
      <c r="E9" s="1792">
        <v>1555.11195</v>
      </c>
      <c r="F9" s="1792">
        <v>43.31</v>
      </c>
      <c r="G9" s="1792">
        <v>97.5</v>
      </c>
      <c r="H9" s="1793">
        <v>347.6</v>
      </c>
      <c r="I9" s="664">
        <v>-8.3749099999999999</v>
      </c>
      <c r="J9" s="1795">
        <v>0</v>
      </c>
      <c r="K9" s="82"/>
      <c r="L9" s="82"/>
      <c r="M9" s="82"/>
      <c r="N9" s="82"/>
      <c r="O9" s="82"/>
      <c r="P9" s="1769"/>
      <c r="Q9" s="1769"/>
      <c r="R9" s="1769"/>
      <c r="S9" s="1769"/>
      <c r="T9" s="1769"/>
    </row>
    <row r="10" spans="1:20" ht="12.75" customHeight="1" x14ac:dyDescent="0.2">
      <c r="A10" s="1780" t="s">
        <v>1404</v>
      </c>
      <c r="B10" s="1782" t="s">
        <v>3063</v>
      </c>
      <c r="C10" s="719" t="s">
        <v>1413</v>
      </c>
      <c r="D10" s="1796">
        <v>823.13530415139996</v>
      </c>
      <c r="E10" s="1796">
        <v>287.16525999999999</v>
      </c>
      <c r="F10" s="1796">
        <v>93.14</v>
      </c>
      <c r="G10" s="1796">
        <v>83.62</v>
      </c>
      <c r="H10" s="1798">
        <v>8.4</v>
      </c>
      <c r="I10" s="663">
        <v>1.674982</v>
      </c>
      <c r="J10" s="1791">
        <v>0</v>
      </c>
      <c r="K10" s="82"/>
      <c r="L10" s="82"/>
      <c r="M10" s="82"/>
      <c r="N10" s="82"/>
      <c r="O10" s="82"/>
      <c r="P10" s="1769"/>
      <c r="Q10" s="1769"/>
      <c r="R10" s="1769"/>
      <c r="S10" s="1769"/>
      <c r="T10" s="1769"/>
    </row>
    <row r="11" spans="1:20" ht="12.75" customHeight="1" x14ac:dyDescent="0.2">
      <c r="A11" s="1780" t="s">
        <v>1404</v>
      </c>
      <c r="B11" s="1782" t="s">
        <v>3063</v>
      </c>
      <c r="C11" s="718" t="s">
        <v>1414</v>
      </c>
      <c r="D11" s="1792">
        <v>1669.18179208316</v>
      </c>
      <c r="E11" s="1792">
        <v>15212.920550000001</v>
      </c>
      <c r="F11" s="1792">
        <v>80.239999999999995</v>
      </c>
      <c r="G11" s="1792">
        <v>335.86</v>
      </c>
      <c r="H11" s="1793">
        <v>15.9</v>
      </c>
      <c r="I11" s="664">
        <v>107.198848</v>
      </c>
      <c r="J11" s="1795">
        <v>0</v>
      </c>
      <c r="K11" s="82"/>
      <c r="L11" s="82"/>
      <c r="M11" s="82"/>
      <c r="N11" s="82"/>
      <c r="O11" s="82"/>
      <c r="P11" s="1769"/>
      <c r="Q11" s="1769"/>
      <c r="R11" s="1769"/>
      <c r="S11" s="1769"/>
      <c r="T11" s="1769"/>
    </row>
    <row r="12" spans="1:20" ht="12.75" customHeight="1" x14ac:dyDescent="0.2">
      <c r="A12" s="1780" t="s">
        <v>1404</v>
      </c>
      <c r="B12" s="1782" t="s">
        <v>3063</v>
      </c>
      <c r="C12" s="719" t="s">
        <v>1415</v>
      </c>
      <c r="D12" s="1796">
        <v>1623.0082725028499</v>
      </c>
      <c r="E12" s="1796">
        <v>2050.12255</v>
      </c>
      <c r="F12" s="1796">
        <v>280.10000000000002</v>
      </c>
      <c r="G12" s="1796">
        <v>606.12</v>
      </c>
      <c r="H12" s="1798">
        <v>26.8</v>
      </c>
      <c r="I12" s="663">
        <v>2798.894922</v>
      </c>
      <c r="J12" s="1791">
        <v>0</v>
      </c>
      <c r="K12" s="82"/>
      <c r="L12" s="82"/>
      <c r="M12" s="82"/>
      <c r="N12" s="82"/>
      <c r="O12" s="82"/>
      <c r="P12" s="1769"/>
      <c r="Q12" s="1769"/>
      <c r="R12" s="1769"/>
      <c r="S12" s="1769"/>
      <c r="T12" s="1769"/>
    </row>
    <row r="13" spans="1:20" ht="12.75" customHeight="1" x14ac:dyDescent="0.2">
      <c r="A13" s="1780" t="s">
        <v>1404</v>
      </c>
      <c r="B13" s="1782" t="s">
        <v>1274</v>
      </c>
      <c r="C13" s="720" t="s">
        <v>1409</v>
      </c>
      <c r="D13" s="1792">
        <v>226.87004751752704</v>
      </c>
      <c r="E13" s="1792">
        <v>162.50452999999999</v>
      </c>
      <c r="F13" s="1792">
        <v>4.84</v>
      </c>
      <c r="G13" s="1792">
        <v>8.86</v>
      </c>
      <c r="H13" s="1793">
        <v>20.100000000000001</v>
      </c>
      <c r="I13" s="1795">
        <v>0</v>
      </c>
      <c r="J13" s="1795">
        <v>0</v>
      </c>
      <c r="K13" s="82"/>
      <c r="L13" s="82"/>
      <c r="M13" s="82"/>
      <c r="N13" s="82"/>
      <c r="O13" s="82"/>
      <c r="P13" s="1769"/>
      <c r="Q13" s="1769"/>
      <c r="R13" s="1769"/>
      <c r="S13" s="1769"/>
      <c r="T13" s="1769"/>
    </row>
    <row r="14" spans="1:20" ht="12.75" customHeight="1" x14ac:dyDescent="0.2">
      <c r="A14" s="1780" t="s">
        <v>1404</v>
      </c>
      <c r="B14" s="1782" t="s">
        <v>1274</v>
      </c>
      <c r="C14" s="721" t="s">
        <v>1410</v>
      </c>
      <c r="D14" s="1799">
        <v>118.095032969244</v>
      </c>
      <c r="E14" s="1799">
        <v>1502.5912499999999</v>
      </c>
      <c r="F14" s="1799">
        <v>17.350000000000001</v>
      </c>
      <c r="G14" s="1799">
        <v>437.02</v>
      </c>
      <c r="H14" s="1800">
        <v>2.5</v>
      </c>
      <c r="I14" s="685">
        <v>0</v>
      </c>
      <c r="J14" s="685">
        <v>0</v>
      </c>
      <c r="K14" s="82"/>
      <c r="L14" s="82"/>
      <c r="M14" s="82"/>
      <c r="N14" s="82"/>
      <c r="O14" s="82"/>
      <c r="P14" s="1769"/>
      <c r="Q14" s="1769"/>
      <c r="R14" s="1769"/>
      <c r="S14" s="1769"/>
      <c r="T14" s="1769"/>
    </row>
    <row r="15" spans="1:20" ht="12.75" customHeight="1" x14ac:dyDescent="0.2">
      <c r="A15" s="1780" t="s">
        <v>1404</v>
      </c>
      <c r="B15" s="1782" t="s">
        <v>1274</v>
      </c>
      <c r="C15" s="720" t="s">
        <v>1411</v>
      </c>
      <c r="D15" s="1792">
        <v>24388.914722082849</v>
      </c>
      <c r="E15" s="1792">
        <v>169125.15202000001</v>
      </c>
      <c r="F15" s="1792">
        <v>11691.47</v>
      </c>
      <c r="G15" s="1792">
        <v>18014.57</v>
      </c>
      <c r="H15" s="1793">
        <v>110.7</v>
      </c>
      <c r="I15" s="664">
        <v>867.13626471999999</v>
      </c>
      <c r="J15" s="664">
        <v>0</v>
      </c>
      <c r="K15" s="82"/>
      <c r="L15" s="82"/>
      <c r="M15" s="82"/>
      <c r="N15" s="82"/>
      <c r="O15" s="82"/>
      <c r="P15" s="1769"/>
      <c r="Q15" s="1769"/>
      <c r="R15" s="1769"/>
      <c r="S15" s="1769"/>
      <c r="T15" s="1769"/>
    </row>
    <row r="16" spans="1:20" ht="12.75" customHeight="1" x14ac:dyDescent="0.2">
      <c r="A16" s="1780" t="s">
        <v>1404</v>
      </c>
      <c r="B16" s="1782" t="s">
        <v>1274</v>
      </c>
      <c r="C16" s="721" t="s">
        <v>1412</v>
      </c>
      <c r="D16" s="1799">
        <v>83.128454037027012</v>
      </c>
      <c r="E16" s="1799">
        <v>702.13027</v>
      </c>
      <c r="F16" s="1799">
        <v>44.53</v>
      </c>
      <c r="G16" s="1799">
        <v>110.04</v>
      </c>
      <c r="H16" s="1800">
        <v>344.7</v>
      </c>
      <c r="I16" s="686">
        <v>0</v>
      </c>
      <c r="J16" s="685">
        <v>0</v>
      </c>
      <c r="K16" s="82"/>
      <c r="L16" s="82"/>
      <c r="M16" s="82"/>
      <c r="N16" s="82"/>
      <c r="O16" s="82"/>
      <c r="P16" s="1769"/>
      <c r="Q16" s="1769"/>
      <c r="R16" s="1769"/>
      <c r="S16" s="1769"/>
      <c r="T16" s="1769"/>
    </row>
    <row r="17" spans="1:20" ht="12.75" customHeight="1" x14ac:dyDescent="0.2">
      <c r="A17" s="1780" t="s">
        <v>1404</v>
      </c>
      <c r="B17" s="1782" t="s">
        <v>1274</v>
      </c>
      <c r="C17" s="720" t="s">
        <v>1413</v>
      </c>
      <c r="D17" s="1792">
        <v>766.6909617705661</v>
      </c>
      <c r="E17" s="1792">
        <v>313.68084000000005</v>
      </c>
      <c r="F17" s="1792">
        <v>280.12</v>
      </c>
      <c r="G17" s="1792">
        <v>90.25</v>
      </c>
      <c r="H17" s="1793">
        <v>16.8</v>
      </c>
      <c r="I17" s="664">
        <v>2.5158692399999998</v>
      </c>
      <c r="J17" s="1795">
        <v>0</v>
      </c>
      <c r="K17" s="82"/>
      <c r="L17" s="82"/>
      <c r="M17" s="82"/>
      <c r="N17" s="82"/>
      <c r="O17" s="82"/>
      <c r="P17" s="1769"/>
      <c r="Q17" s="1769"/>
      <c r="R17" s="1769"/>
      <c r="S17" s="1769"/>
      <c r="T17" s="1769"/>
    </row>
    <row r="18" spans="1:20" ht="12.75" customHeight="1" x14ac:dyDescent="0.2">
      <c r="A18" s="1780" t="s">
        <v>1404</v>
      </c>
      <c r="B18" s="1782" t="s">
        <v>1274</v>
      </c>
      <c r="C18" s="721" t="s">
        <v>1414</v>
      </c>
      <c r="D18" s="1799">
        <v>1505.3433058378166</v>
      </c>
      <c r="E18" s="1799">
        <v>18286.456149999998</v>
      </c>
      <c r="F18" s="1799">
        <v>100.67</v>
      </c>
      <c r="G18" s="1799">
        <v>445.38</v>
      </c>
      <c r="H18" s="1800">
        <v>12.6</v>
      </c>
      <c r="I18" s="686">
        <v>83.862307999999999</v>
      </c>
      <c r="J18" s="686">
        <v>7.5476077199999994</v>
      </c>
      <c r="K18" s="82"/>
      <c r="L18" s="82"/>
      <c r="M18" s="82"/>
      <c r="N18" s="82"/>
      <c r="O18" s="82"/>
      <c r="P18" s="1769"/>
      <c r="Q18" s="1769"/>
      <c r="R18" s="1769"/>
      <c r="S18" s="1769"/>
      <c r="T18" s="1769"/>
    </row>
    <row r="19" spans="1:20" ht="12.75" customHeight="1" x14ac:dyDescent="0.2">
      <c r="A19" s="1780" t="s">
        <v>1404</v>
      </c>
      <c r="B19" s="1782" t="s">
        <v>1274</v>
      </c>
      <c r="C19" s="720" t="s">
        <v>1415</v>
      </c>
      <c r="D19" s="1792">
        <v>731.0608258817972</v>
      </c>
      <c r="E19" s="1792">
        <v>1631.5438700000002</v>
      </c>
      <c r="F19" s="1792">
        <v>269.55</v>
      </c>
      <c r="G19" s="1792">
        <v>997.99</v>
      </c>
      <c r="H19" s="1793">
        <v>43.6</v>
      </c>
      <c r="I19" s="664">
        <v>716.18411031999995</v>
      </c>
      <c r="J19" s="1795">
        <v>0</v>
      </c>
      <c r="K19" s="82"/>
      <c r="L19" s="82"/>
      <c r="M19" s="82"/>
      <c r="N19" s="82"/>
      <c r="O19" s="82"/>
      <c r="P19" s="1769"/>
      <c r="Q19" s="1769"/>
      <c r="R19" s="1769"/>
      <c r="S19" s="1769"/>
      <c r="T19" s="1769"/>
    </row>
    <row r="20" spans="1:20" ht="12.75" customHeight="1" x14ac:dyDescent="0.2">
      <c r="A20" s="1780" t="s">
        <v>1404</v>
      </c>
      <c r="B20" s="1782" t="s">
        <v>1159</v>
      </c>
      <c r="C20" s="721" t="s">
        <v>1409</v>
      </c>
      <c r="D20" s="1799">
        <v>88.837692103700007</v>
      </c>
      <c r="E20" s="1799">
        <v>198.89928</v>
      </c>
      <c r="F20" s="1799">
        <v>17.440000000000001</v>
      </c>
      <c r="G20" s="1799">
        <v>7.28</v>
      </c>
      <c r="H20" s="1800">
        <v>48.8</v>
      </c>
      <c r="I20" s="685">
        <v>0</v>
      </c>
      <c r="J20" s="685">
        <v>0</v>
      </c>
      <c r="K20" s="82"/>
      <c r="L20" s="82"/>
      <c r="M20" s="82"/>
      <c r="N20" s="82"/>
      <c r="O20" s="82"/>
      <c r="P20" s="1769"/>
      <c r="Q20" s="1769"/>
      <c r="R20" s="1769"/>
      <c r="S20" s="1769"/>
      <c r="T20" s="1769"/>
    </row>
    <row r="21" spans="1:20" ht="12.75" customHeight="1" x14ac:dyDescent="0.2">
      <c r="A21" s="1780" t="s">
        <v>1404</v>
      </c>
      <c r="B21" s="1782" t="s">
        <v>1159</v>
      </c>
      <c r="C21" s="720" t="s">
        <v>1410</v>
      </c>
      <c r="D21" s="1792">
        <v>89.169800030200022</v>
      </c>
      <c r="E21" s="1792">
        <v>2271.4460199999999</v>
      </c>
      <c r="F21" s="1792">
        <v>21.01</v>
      </c>
      <c r="G21" s="1792">
        <v>667.23</v>
      </c>
      <c r="H21" s="1793">
        <v>3.4</v>
      </c>
      <c r="I21" s="1795">
        <v>0</v>
      </c>
      <c r="J21" s="1795">
        <v>0</v>
      </c>
      <c r="K21" s="82"/>
      <c r="L21" s="82"/>
      <c r="M21" s="82"/>
      <c r="N21" s="82"/>
      <c r="O21" s="82"/>
      <c r="P21" s="1769"/>
      <c r="Q21" s="1769"/>
      <c r="R21" s="1769"/>
      <c r="S21" s="1769"/>
      <c r="T21" s="1769"/>
    </row>
    <row r="22" spans="1:20" ht="12.75" customHeight="1" x14ac:dyDescent="0.2">
      <c r="A22" s="1780" t="s">
        <v>1404</v>
      </c>
      <c r="B22" s="1782" t="s">
        <v>1159</v>
      </c>
      <c r="C22" s="721" t="s">
        <v>1411</v>
      </c>
      <c r="D22" s="1799">
        <v>26793.450405848602</v>
      </c>
      <c r="E22" s="1799">
        <v>188818.56834999999</v>
      </c>
      <c r="F22" s="1799">
        <v>12279.54</v>
      </c>
      <c r="G22" s="1799">
        <v>14833.9</v>
      </c>
      <c r="H22" s="1800">
        <v>141.19999999999999</v>
      </c>
      <c r="I22" s="686">
        <v>1999.0131937600001</v>
      </c>
      <c r="J22" s="686">
        <v>0.84062792000000008</v>
      </c>
      <c r="K22" s="82"/>
      <c r="L22" s="82"/>
      <c r="M22" s="82"/>
      <c r="N22" s="82"/>
      <c r="O22" s="82"/>
      <c r="P22" s="1769"/>
      <c r="Q22" s="1769"/>
      <c r="R22" s="1769"/>
      <c r="S22" s="1769"/>
      <c r="T22" s="1769"/>
    </row>
    <row r="23" spans="1:20" ht="12.75" customHeight="1" x14ac:dyDescent="0.2">
      <c r="A23" s="1780" t="s">
        <v>1404</v>
      </c>
      <c r="B23" s="1782" t="s">
        <v>1159</v>
      </c>
      <c r="C23" s="720" t="s">
        <v>1412</v>
      </c>
      <c r="D23" s="1792">
        <v>122.96709032050002</v>
      </c>
      <c r="E23" s="1792">
        <v>55.968290000000003</v>
      </c>
      <c r="F23" s="1792">
        <v>34</v>
      </c>
      <c r="G23" s="1792">
        <v>77.69</v>
      </c>
      <c r="H23" s="1793">
        <v>470.8</v>
      </c>
      <c r="I23" s="664">
        <v>-10.92816296</v>
      </c>
      <c r="J23" s="1795">
        <v>0</v>
      </c>
      <c r="K23" s="82"/>
      <c r="L23" s="82"/>
      <c r="M23" s="82"/>
      <c r="N23" s="82"/>
      <c r="O23" s="82"/>
      <c r="P23" s="1769"/>
      <c r="Q23" s="1769"/>
      <c r="R23" s="1769"/>
      <c r="S23" s="1769"/>
      <c r="T23" s="1769"/>
    </row>
    <row r="24" spans="1:20" ht="12.75" customHeight="1" x14ac:dyDescent="0.2">
      <c r="A24" s="1780" t="s">
        <v>1404</v>
      </c>
      <c r="B24" s="1782" t="s">
        <v>1159</v>
      </c>
      <c r="C24" s="721" t="s">
        <v>1413</v>
      </c>
      <c r="D24" s="1799">
        <v>902.59781709629988</v>
      </c>
      <c r="E24" s="1799">
        <v>160.95348999999999</v>
      </c>
      <c r="F24" s="1799">
        <v>331.76</v>
      </c>
      <c r="G24" s="1799">
        <v>72.48</v>
      </c>
      <c r="H24" s="1800">
        <v>14.3</v>
      </c>
      <c r="I24" s="686">
        <v>2.5218837600000001</v>
      </c>
      <c r="J24" s="685">
        <v>0</v>
      </c>
      <c r="K24" s="82"/>
      <c r="L24" s="82"/>
      <c r="M24" s="82"/>
      <c r="N24" s="82"/>
      <c r="O24" s="82"/>
      <c r="P24" s="1769"/>
      <c r="Q24" s="1769"/>
      <c r="R24" s="1769"/>
      <c r="S24" s="1769"/>
      <c r="T24" s="1769"/>
    </row>
    <row r="25" spans="1:20" ht="12.75" customHeight="1" x14ac:dyDescent="0.2">
      <c r="A25" s="1780" t="s">
        <v>1404</v>
      </c>
      <c r="B25" s="1782" t="s">
        <v>1159</v>
      </c>
      <c r="C25" s="720" t="s">
        <v>1414</v>
      </c>
      <c r="D25" s="1792">
        <v>1128.4508558321002</v>
      </c>
      <c r="E25" s="1792">
        <v>18510.300890000002</v>
      </c>
      <c r="F25" s="1792">
        <v>61.29</v>
      </c>
      <c r="G25" s="1792">
        <v>482.66</v>
      </c>
      <c r="H25" s="1793">
        <v>17.7</v>
      </c>
      <c r="I25" s="664">
        <v>232.01330591999999</v>
      </c>
      <c r="J25" s="664">
        <v>1.6812558400000002</v>
      </c>
      <c r="K25" s="82"/>
      <c r="L25" s="82"/>
      <c r="M25" s="82"/>
      <c r="N25" s="82"/>
      <c r="O25" s="82"/>
      <c r="P25" s="1769"/>
      <c r="Q25" s="1769"/>
      <c r="R25" s="1769"/>
      <c r="S25" s="1769"/>
      <c r="T25" s="1769"/>
    </row>
    <row r="26" spans="1:20" ht="12.75" customHeight="1" x14ac:dyDescent="0.2">
      <c r="A26" s="1780" t="s">
        <v>1404</v>
      </c>
      <c r="B26" s="1782" t="s">
        <v>1159</v>
      </c>
      <c r="C26" s="721" t="s">
        <v>1415</v>
      </c>
      <c r="D26" s="1799">
        <v>781.7468151142001</v>
      </c>
      <c r="E26" s="1799">
        <v>1782.4796399999998</v>
      </c>
      <c r="F26" s="1799">
        <v>275.04000000000002</v>
      </c>
      <c r="G26" s="1799">
        <v>1247.73</v>
      </c>
      <c r="H26" s="1800">
        <v>12.6</v>
      </c>
      <c r="I26" s="686">
        <v>6.7250233600000007</v>
      </c>
      <c r="J26" s="686">
        <v>0</v>
      </c>
      <c r="K26" s="82"/>
      <c r="L26" s="82"/>
      <c r="M26" s="82"/>
      <c r="N26" s="82"/>
      <c r="O26" s="82"/>
      <c r="P26" s="1769"/>
      <c r="Q26" s="1769"/>
      <c r="R26" s="1769"/>
      <c r="S26" s="1769"/>
      <c r="T26" s="1769"/>
    </row>
    <row r="27" spans="1:20" ht="12.75" customHeight="1" x14ac:dyDescent="0.2">
      <c r="A27" s="1780" t="s">
        <v>1404</v>
      </c>
      <c r="B27" s="1783" t="s">
        <v>1160</v>
      </c>
      <c r="C27" s="720" t="s">
        <v>1409</v>
      </c>
      <c r="D27" s="1792">
        <v>79.671216030736957</v>
      </c>
      <c r="E27" s="1792">
        <v>256.49608999999998</v>
      </c>
      <c r="F27" s="1792">
        <v>11.91</v>
      </c>
      <c r="G27" s="1792">
        <v>1.81</v>
      </c>
      <c r="H27" s="1793">
        <v>15.2</v>
      </c>
      <c r="I27" s="1795">
        <v>0</v>
      </c>
      <c r="J27" s="1795">
        <v>0</v>
      </c>
      <c r="K27" s="82"/>
      <c r="L27" s="82"/>
      <c r="M27" s="82"/>
      <c r="N27" s="82"/>
      <c r="O27" s="82"/>
      <c r="P27" s="1769"/>
      <c r="Q27" s="1769"/>
      <c r="R27" s="1769"/>
      <c r="S27" s="1769"/>
      <c r="T27" s="1769"/>
    </row>
    <row r="28" spans="1:20" ht="12.75" customHeight="1" x14ac:dyDescent="0.2">
      <c r="A28" s="1780" t="s">
        <v>1404</v>
      </c>
      <c r="B28" s="1783" t="s">
        <v>1160</v>
      </c>
      <c r="C28" s="721" t="s">
        <v>1410</v>
      </c>
      <c r="D28" s="1799">
        <v>233.564745880857</v>
      </c>
      <c r="E28" s="1799">
        <v>1571.3355300000001</v>
      </c>
      <c r="F28" s="1799">
        <v>16.68</v>
      </c>
      <c r="G28" s="1799">
        <v>667.71</v>
      </c>
      <c r="H28" s="1800">
        <v>2.5</v>
      </c>
      <c r="I28" s="685">
        <v>0</v>
      </c>
      <c r="J28" s="685">
        <v>0</v>
      </c>
      <c r="K28" s="82"/>
      <c r="L28" s="82"/>
      <c r="M28" s="82"/>
      <c r="N28" s="82"/>
      <c r="O28" s="82"/>
      <c r="P28" s="1769"/>
      <c r="Q28" s="1769"/>
      <c r="R28" s="1769"/>
      <c r="S28" s="1769"/>
      <c r="T28" s="1769"/>
    </row>
    <row r="29" spans="1:20" ht="12.75" customHeight="1" x14ac:dyDescent="0.2">
      <c r="A29" s="1780" t="s">
        <v>1404</v>
      </c>
      <c r="B29" s="1783" t="s">
        <v>1160</v>
      </c>
      <c r="C29" s="720" t="s">
        <v>1411</v>
      </c>
      <c r="D29" s="1792">
        <v>22075.632561906441</v>
      </c>
      <c r="E29" s="1792">
        <v>166679.11286000002</v>
      </c>
      <c r="F29" s="1792">
        <v>10642.33</v>
      </c>
      <c r="G29" s="1792">
        <v>16927.93</v>
      </c>
      <c r="H29" s="1793">
        <v>143.5</v>
      </c>
      <c r="I29" s="664">
        <v>2590.629171</v>
      </c>
      <c r="J29" s="664">
        <v>2.5332097500000001</v>
      </c>
      <c r="K29" s="82"/>
      <c r="L29" s="82"/>
      <c r="M29" s="82"/>
      <c r="N29" s="82"/>
      <c r="O29" s="82"/>
      <c r="P29" s="1769"/>
      <c r="Q29" s="1769"/>
      <c r="R29" s="1769"/>
      <c r="S29" s="1769"/>
      <c r="T29" s="1769"/>
    </row>
    <row r="30" spans="1:20" ht="12.75" customHeight="1" x14ac:dyDescent="0.2">
      <c r="A30" s="1780" t="s">
        <v>1404</v>
      </c>
      <c r="B30" s="1783" t="s">
        <v>1160</v>
      </c>
      <c r="C30" s="721" t="s">
        <v>1412</v>
      </c>
      <c r="D30" s="1799">
        <v>159.325923414313</v>
      </c>
      <c r="E30" s="1799">
        <v>64.866709999999998</v>
      </c>
      <c r="F30" s="1799">
        <v>26.3</v>
      </c>
      <c r="G30" s="1799">
        <v>80.849999999999994</v>
      </c>
      <c r="H30" s="1800">
        <v>688.3</v>
      </c>
      <c r="I30" s="1801">
        <v>-1.6888065000000001</v>
      </c>
      <c r="J30" s="685">
        <v>0</v>
      </c>
      <c r="K30" s="82"/>
      <c r="L30" s="82"/>
      <c r="M30" s="82"/>
      <c r="N30" s="82"/>
      <c r="O30" s="82"/>
      <c r="P30" s="1769"/>
      <c r="Q30" s="1769"/>
      <c r="R30" s="1769"/>
      <c r="S30" s="1769"/>
      <c r="T30" s="1769"/>
    </row>
    <row r="31" spans="1:20" ht="12.75" customHeight="1" x14ac:dyDescent="0.2">
      <c r="A31" s="1780" t="s">
        <v>1404</v>
      </c>
      <c r="B31" s="1783" t="s">
        <v>1160</v>
      </c>
      <c r="C31" s="720" t="s">
        <v>1413</v>
      </c>
      <c r="D31" s="1792">
        <v>698.2113966001773</v>
      </c>
      <c r="E31" s="1792">
        <v>234.97286</v>
      </c>
      <c r="F31" s="1792">
        <v>165.63</v>
      </c>
      <c r="G31" s="1792">
        <v>59.96</v>
      </c>
      <c r="H31" s="1793">
        <v>12.7</v>
      </c>
      <c r="I31" s="664">
        <v>1.6888065000000001</v>
      </c>
      <c r="J31" s="1795">
        <v>0</v>
      </c>
      <c r="K31" s="82"/>
      <c r="L31" s="82"/>
      <c r="M31" s="82"/>
      <c r="N31" s="82"/>
      <c r="O31" s="82"/>
      <c r="P31" s="1769"/>
      <c r="Q31" s="1769"/>
      <c r="R31" s="1769"/>
      <c r="S31" s="1769"/>
      <c r="T31" s="1769"/>
    </row>
    <row r="32" spans="1:20" ht="12.75" customHeight="1" x14ac:dyDescent="0.2">
      <c r="A32" s="1780" t="s">
        <v>1404</v>
      </c>
      <c r="B32" s="1783" t="s">
        <v>1160</v>
      </c>
      <c r="C32" s="721" t="s">
        <v>1414</v>
      </c>
      <c r="D32" s="1799">
        <v>425.34926854715513</v>
      </c>
      <c r="E32" s="1799">
        <v>14736.58223</v>
      </c>
      <c r="F32" s="1799">
        <v>57.94</v>
      </c>
      <c r="G32" s="1799">
        <v>399.16</v>
      </c>
      <c r="H32" s="1800">
        <v>16.899999999999999</v>
      </c>
      <c r="I32" s="686">
        <v>1124.7451290000001</v>
      </c>
      <c r="J32" s="685">
        <v>0</v>
      </c>
      <c r="K32" s="82"/>
      <c r="L32" s="82"/>
      <c r="M32" s="82"/>
      <c r="N32" s="82"/>
      <c r="O32" s="82"/>
      <c r="P32" s="1769"/>
      <c r="Q32" s="1769"/>
      <c r="R32" s="1769"/>
      <c r="S32" s="1769"/>
      <c r="T32" s="1769"/>
    </row>
    <row r="33" spans="1:20" ht="12.75" customHeight="1" x14ac:dyDescent="0.2">
      <c r="A33" s="1780" t="s">
        <v>1404</v>
      </c>
      <c r="B33" s="1783" t="s">
        <v>1160</v>
      </c>
      <c r="C33" s="722" t="s">
        <v>1415</v>
      </c>
      <c r="D33" s="1802">
        <v>683.3814797971462</v>
      </c>
      <c r="E33" s="1802">
        <v>1857.7778899999998</v>
      </c>
      <c r="F33" s="1803">
        <v>587.64</v>
      </c>
      <c r="G33" s="1803">
        <v>1382.93</v>
      </c>
      <c r="H33" s="1804">
        <v>18.600000000000001</v>
      </c>
      <c r="I33" s="664">
        <v>4120.68786</v>
      </c>
      <c r="J33" s="1795">
        <v>0</v>
      </c>
      <c r="K33" s="82"/>
      <c r="L33" s="82"/>
      <c r="M33" s="82"/>
      <c r="N33" s="82"/>
      <c r="O33" s="82"/>
      <c r="P33" s="1769"/>
      <c r="Q33" s="1769"/>
      <c r="R33" s="1769"/>
      <c r="S33" s="1769"/>
      <c r="T33" s="1769"/>
    </row>
    <row r="34" spans="1:20" ht="12.75" customHeight="1" x14ac:dyDescent="0.2">
      <c r="A34" s="1780" t="s">
        <v>1484</v>
      </c>
      <c r="B34" s="1782" t="s">
        <v>3063</v>
      </c>
      <c r="C34" s="1786"/>
      <c r="D34" s="1787"/>
      <c r="E34" s="1787"/>
      <c r="F34" s="1787"/>
      <c r="G34" s="1787"/>
      <c r="H34" s="1772"/>
      <c r="I34" s="1772"/>
      <c r="J34" s="1773"/>
      <c r="K34" s="82"/>
      <c r="L34" s="82"/>
      <c r="M34" s="82"/>
      <c r="N34" s="82"/>
      <c r="O34" s="82"/>
      <c r="P34" s="1769"/>
      <c r="Q34" s="1769"/>
      <c r="R34" s="1769"/>
      <c r="S34" s="1769"/>
      <c r="T34" s="1769"/>
    </row>
    <row r="35" spans="1:20" ht="12.75" customHeight="1" x14ac:dyDescent="0.2">
      <c r="A35" s="1780" t="s">
        <v>1484</v>
      </c>
      <c r="B35" s="1782" t="s">
        <v>3063</v>
      </c>
      <c r="C35" s="1786"/>
      <c r="D35" s="1787"/>
      <c r="E35" s="1787"/>
      <c r="F35" s="1787"/>
      <c r="G35" s="1787"/>
      <c r="H35" s="1772"/>
      <c r="I35" s="1772"/>
      <c r="J35" s="1773"/>
      <c r="K35" s="82"/>
      <c r="L35" s="82"/>
      <c r="M35" s="82"/>
      <c r="N35" s="82"/>
      <c r="O35" s="82"/>
      <c r="P35" s="1769"/>
      <c r="Q35" s="1769"/>
      <c r="R35" s="1769"/>
      <c r="S35" s="1769"/>
      <c r="T35" s="1769"/>
    </row>
    <row r="36" spans="1:20" ht="12.75" customHeight="1" x14ac:dyDescent="0.2">
      <c r="A36" s="1780" t="s">
        <v>1484</v>
      </c>
      <c r="B36" s="1782" t="s">
        <v>3063</v>
      </c>
      <c r="C36" s="1786"/>
      <c r="D36" s="1787"/>
      <c r="E36" s="1787"/>
      <c r="F36" s="1787"/>
      <c r="G36" s="1787"/>
      <c r="H36" s="1772"/>
      <c r="I36" s="1772"/>
      <c r="J36" s="1773"/>
      <c r="K36" s="82"/>
      <c r="L36" s="82"/>
      <c r="M36" s="82"/>
      <c r="N36" s="82"/>
      <c r="O36" s="82"/>
      <c r="P36" s="1769"/>
      <c r="Q36" s="1769"/>
      <c r="R36" s="1769"/>
      <c r="S36" s="1769"/>
      <c r="T36" s="1769"/>
    </row>
    <row r="37" spans="1:20" ht="12.75" customHeight="1" x14ac:dyDescent="0.2">
      <c r="A37" s="1780" t="s">
        <v>1484</v>
      </c>
      <c r="B37" s="1782" t="s">
        <v>3063</v>
      </c>
      <c r="C37" s="1786"/>
      <c r="D37" s="1787"/>
      <c r="E37" s="1787"/>
      <c r="F37" s="1787"/>
      <c r="G37" s="1787"/>
      <c r="H37" s="1772"/>
      <c r="I37" s="1772"/>
      <c r="J37" s="1773"/>
      <c r="K37" s="82"/>
      <c r="L37" s="82"/>
      <c r="M37" s="82"/>
      <c r="N37" s="82"/>
      <c r="O37" s="82"/>
      <c r="P37" s="1769"/>
      <c r="Q37" s="1769"/>
      <c r="R37" s="1769"/>
      <c r="S37" s="1769"/>
      <c r="T37" s="1769"/>
    </row>
    <row r="38" spans="1:20" ht="12.75" customHeight="1" x14ac:dyDescent="0.2">
      <c r="A38" s="1780" t="s">
        <v>1484</v>
      </c>
      <c r="B38" s="1782" t="s">
        <v>3063</v>
      </c>
      <c r="C38" s="1786"/>
      <c r="D38" s="1787"/>
      <c r="E38" s="1787"/>
      <c r="F38" s="1787"/>
      <c r="G38" s="1787"/>
      <c r="H38" s="1772"/>
      <c r="I38" s="1772"/>
      <c r="J38" s="1773"/>
      <c r="K38" s="82"/>
      <c r="L38" s="82"/>
      <c r="M38" s="82"/>
      <c r="N38" s="82"/>
      <c r="O38" s="82"/>
      <c r="P38" s="1769"/>
      <c r="Q38" s="1769"/>
      <c r="R38" s="1769"/>
      <c r="S38" s="1769"/>
      <c r="T38" s="1769"/>
    </row>
    <row r="39" spans="1:20" ht="12.75" customHeight="1" x14ac:dyDescent="0.2">
      <c r="A39" s="1780" t="s">
        <v>1484</v>
      </c>
      <c r="B39" s="1782" t="s">
        <v>3063</v>
      </c>
      <c r="C39" s="1786"/>
      <c r="D39" s="1787"/>
      <c r="E39" s="1787"/>
      <c r="F39" s="1787"/>
      <c r="G39" s="1787"/>
      <c r="H39" s="1772"/>
      <c r="I39" s="1772"/>
      <c r="J39" s="1773"/>
      <c r="K39" s="82"/>
      <c r="L39" s="82"/>
      <c r="M39" s="82"/>
      <c r="N39" s="82"/>
      <c r="O39" s="82"/>
      <c r="P39" s="1769"/>
      <c r="Q39" s="1769"/>
      <c r="R39" s="1769"/>
      <c r="S39" s="1769"/>
      <c r="T39" s="1769"/>
    </row>
    <row r="40" spans="1:20" ht="12.75" customHeight="1" x14ac:dyDescent="0.2">
      <c r="A40" s="1780" t="s">
        <v>1484</v>
      </c>
      <c r="B40" s="1782" t="s">
        <v>3063</v>
      </c>
      <c r="C40" s="1786"/>
      <c r="D40" s="1787"/>
      <c r="E40" s="1787"/>
      <c r="F40" s="1787"/>
      <c r="G40" s="1787"/>
      <c r="H40" s="1772"/>
      <c r="I40" s="1772"/>
      <c r="J40" s="1773"/>
      <c r="K40" s="82"/>
      <c r="L40" s="82"/>
      <c r="M40" s="82"/>
      <c r="N40" s="82"/>
      <c r="O40" s="82"/>
      <c r="P40" s="1769"/>
      <c r="Q40" s="1769"/>
      <c r="R40" s="1769"/>
      <c r="S40" s="1769"/>
      <c r="T40" s="1769"/>
    </row>
    <row r="41" spans="1:20" ht="12.75" customHeight="1" x14ac:dyDescent="0.2">
      <c r="A41" s="1780" t="s">
        <v>1484</v>
      </c>
      <c r="B41" s="1782" t="s">
        <v>1274</v>
      </c>
      <c r="C41" s="1786"/>
      <c r="D41" s="1787"/>
      <c r="E41" s="1787"/>
      <c r="F41" s="1787"/>
      <c r="G41" s="1787"/>
      <c r="H41" s="1772"/>
      <c r="I41" s="1772"/>
      <c r="J41" s="1773"/>
      <c r="K41" s="82"/>
      <c r="L41" s="82"/>
      <c r="M41" s="82"/>
      <c r="N41" s="82"/>
      <c r="O41" s="82"/>
      <c r="P41" s="1769"/>
      <c r="Q41" s="1769"/>
      <c r="R41" s="1769"/>
      <c r="S41" s="1769"/>
      <c r="T41" s="1769"/>
    </row>
    <row r="42" spans="1:20" ht="12.75" customHeight="1" x14ac:dyDescent="0.2">
      <c r="A42" s="1780" t="s">
        <v>1484</v>
      </c>
      <c r="B42" s="1782" t="s">
        <v>1274</v>
      </c>
      <c r="C42" s="1786"/>
      <c r="D42" s="1787"/>
      <c r="E42" s="1787"/>
      <c r="F42" s="1787"/>
      <c r="G42" s="1787"/>
      <c r="H42" s="1772"/>
      <c r="I42" s="1772"/>
      <c r="J42" s="1773"/>
      <c r="K42" s="82"/>
      <c r="L42" s="82"/>
      <c r="M42" s="82"/>
      <c r="N42" s="82"/>
      <c r="O42" s="82"/>
      <c r="P42" s="1769"/>
      <c r="Q42" s="1769"/>
      <c r="R42" s="1769"/>
      <c r="S42" s="1769"/>
      <c r="T42" s="1769"/>
    </row>
    <row r="43" spans="1:20" ht="12.75" customHeight="1" x14ac:dyDescent="0.2">
      <c r="A43" s="1780" t="s">
        <v>1484</v>
      </c>
      <c r="B43" s="1782" t="s">
        <v>1274</v>
      </c>
      <c r="C43" s="1786"/>
      <c r="D43" s="1787"/>
      <c r="E43" s="1787"/>
      <c r="F43" s="1787"/>
      <c r="G43" s="1787"/>
      <c r="H43" s="1772"/>
      <c r="I43" s="1772"/>
      <c r="J43" s="1773"/>
      <c r="K43" s="82"/>
      <c r="L43" s="82"/>
      <c r="M43" s="82"/>
      <c r="N43" s="82"/>
      <c r="O43" s="82"/>
      <c r="P43" s="1769"/>
      <c r="Q43" s="1769"/>
      <c r="R43" s="1769"/>
      <c r="S43" s="1769"/>
      <c r="T43" s="1769"/>
    </row>
    <row r="44" spans="1:20" ht="12.75" customHeight="1" x14ac:dyDescent="0.2">
      <c r="A44" s="1780" t="s">
        <v>1484</v>
      </c>
      <c r="B44" s="1782" t="s">
        <v>1274</v>
      </c>
      <c r="C44" s="1786"/>
      <c r="D44" s="1787"/>
      <c r="E44" s="1787"/>
      <c r="F44" s="1787"/>
      <c r="G44" s="1787"/>
      <c r="H44" s="1772"/>
      <c r="I44" s="1772"/>
      <c r="J44" s="1773"/>
      <c r="K44" s="82"/>
      <c r="L44" s="82"/>
      <c r="M44" s="82"/>
      <c r="N44" s="82"/>
      <c r="O44" s="82"/>
      <c r="P44" s="1769"/>
      <c r="Q44" s="1769"/>
      <c r="R44" s="1769"/>
      <c r="S44" s="1769"/>
      <c r="T44" s="1769"/>
    </row>
    <row r="45" spans="1:20" ht="12.75" customHeight="1" x14ac:dyDescent="0.2">
      <c r="A45" s="1780" t="s">
        <v>1484</v>
      </c>
      <c r="B45" s="1782" t="s">
        <v>1274</v>
      </c>
      <c r="C45" s="1786"/>
      <c r="D45" s="1787"/>
      <c r="E45" s="1787"/>
      <c r="F45" s="1787"/>
      <c r="G45" s="1787"/>
      <c r="H45" s="1772"/>
      <c r="I45" s="1772"/>
      <c r="J45" s="1773"/>
      <c r="K45" s="82"/>
      <c r="L45" s="82"/>
      <c r="M45" s="82"/>
      <c r="N45" s="82"/>
      <c r="O45" s="82"/>
      <c r="P45" s="1769"/>
      <c r="Q45" s="1769"/>
      <c r="R45" s="1769"/>
      <c r="S45" s="1769"/>
      <c r="T45" s="1769"/>
    </row>
    <row r="46" spans="1:20" ht="12.75" customHeight="1" x14ac:dyDescent="0.2">
      <c r="A46" s="1780" t="s">
        <v>1484</v>
      </c>
      <c r="B46" s="1782" t="s">
        <v>1274</v>
      </c>
      <c r="C46" s="1786"/>
      <c r="D46" s="1787"/>
      <c r="E46" s="1787"/>
      <c r="F46" s="1787"/>
      <c r="G46" s="1787"/>
      <c r="H46" s="1772"/>
      <c r="I46" s="1772"/>
      <c r="J46" s="1773"/>
      <c r="K46" s="82"/>
      <c r="L46" s="82"/>
      <c r="M46" s="82"/>
      <c r="N46" s="82"/>
      <c r="O46" s="82"/>
      <c r="P46" s="1769"/>
      <c r="Q46" s="1769"/>
      <c r="R46" s="1769"/>
      <c r="S46" s="1769"/>
      <c r="T46" s="1769"/>
    </row>
    <row r="47" spans="1:20" ht="12.75" customHeight="1" x14ac:dyDescent="0.2">
      <c r="A47" s="1780" t="s">
        <v>1484</v>
      </c>
      <c r="B47" s="1782" t="s">
        <v>1274</v>
      </c>
      <c r="C47" s="1786"/>
      <c r="D47" s="1787"/>
      <c r="E47" s="1787"/>
      <c r="F47" s="1787"/>
      <c r="G47" s="1787"/>
      <c r="H47" s="1772"/>
      <c r="I47" s="1772"/>
      <c r="J47" s="1773"/>
      <c r="K47" s="82"/>
      <c r="L47" s="82"/>
      <c r="M47" s="82"/>
      <c r="N47" s="82"/>
      <c r="O47" s="82"/>
      <c r="P47" s="1769"/>
      <c r="Q47" s="1769"/>
      <c r="R47" s="1769"/>
      <c r="S47" s="1769"/>
      <c r="T47" s="1769"/>
    </row>
    <row r="48" spans="1:20" ht="12.75" customHeight="1" x14ac:dyDescent="0.2">
      <c r="A48" s="1780" t="s">
        <v>1484</v>
      </c>
      <c r="B48" s="1782" t="s">
        <v>1159</v>
      </c>
      <c r="C48" s="1786"/>
      <c r="D48" s="1787"/>
      <c r="E48" s="1787"/>
      <c r="F48" s="1787"/>
      <c r="G48" s="1787"/>
      <c r="H48" s="1772"/>
      <c r="I48" s="1772"/>
      <c r="J48" s="1773"/>
      <c r="K48" s="82"/>
      <c r="L48" s="82"/>
      <c r="M48" s="82"/>
      <c r="N48" s="82"/>
      <c r="O48" s="82"/>
      <c r="P48" s="1769"/>
      <c r="Q48" s="1769"/>
      <c r="R48" s="1769"/>
      <c r="S48" s="1769"/>
      <c r="T48" s="1769"/>
    </row>
    <row r="49" spans="1:20" ht="12.75" customHeight="1" x14ac:dyDescent="0.2">
      <c r="A49" s="1780" t="s">
        <v>1484</v>
      </c>
      <c r="B49" s="1782" t="s">
        <v>1159</v>
      </c>
      <c r="C49" s="1786"/>
      <c r="D49" s="1787"/>
      <c r="E49" s="1787"/>
      <c r="F49" s="1787"/>
      <c r="G49" s="1787"/>
      <c r="H49" s="1772"/>
      <c r="I49" s="1772"/>
      <c r="J49" s="1773"/>
      <c r="K49" s="82"/>
      <c r="L49" s="82"/>
      <c r="M49" s="82"/>
      <c r="N49" s="82"/>
      <c r="O49" s="82"/>
      <c r="P49" s="1769"/>
      <c r="Q49" s="1769"/>
      <c r="R49" s="1769"/>
      <c r="S49" s="1769"/>
      <c r="T49" s="1769"/>
    </row>
    <row r="50" spans="1:20" ht="12.75" customHeight="1" x14ac:dyDescent="0.2">
      <c r="A50" s="1780" t="s">
        <v>1484</v>
      </c>
      <c r="B50" s="1782" t="s">
        <v>1159</v>
      </c>
      <c r="C50" s="1786"/>
      <c r="D50" s="1787"/>
      <c r="E50" s="1787"/>
      <c r="F50" s="1787"/>
      <c r="G50" s="1787"/>
      <c r="H50" s="1772"/>
      <c r="I50" s="1772"/>
      <c r="J50" s="1773"/>
      <c r="K50" s="82"/>
      <c r="L50" s="82"/>
      <c r="M50" s="82"/>
      <c r="N50" s="82"/>
      <c r="O50" s="82"/>
      <c r="P50" s="1769"/>
      <c r="Q50" s="1769"/>
      <c r="R50" s="1769"/>
      <c r="S50" s="1769"/>
      <c r="T50" s="1769"/>
    </row>
    <row r="51" spans="1:20" ht="12.75" customHeight="1" x14ac:dyDescent="0.2">
      <c r="A51" s="1780" t="s">
        <v>1484</v>
      </c>
      <c r="B51" s="1782" t="s">
        <v>1159</v>
      </c>
      <c r="C51" s="1786"/>
      <c r="D51" s="1787"/>
      <c r="E51" s="1787"/>
      <c r="F51" s="1787"/>
      <c r="G51" s="1787"/>
      <c r="H51" s="1772"/>
      <c r="I51" s="1772"/>
      <c r="J51" s="1773"/>
      <c r="K51" s="82"/>
      <c r="L51" s="82"/>
      <c r="M51" s="82"/>
      <c r="N51" s="82"/>
      <c r="O51" s="82"/>
      <c r="P51" s="1769"/>
      <c r="Q51" s="1769"/>
      <c r="R51" s="1769"/>
      <c r="S51" s="1769"/>
      <c r="T51" s="1769"/>
    </row>
    <row r="52" spans="1:20" ht="12.75" customHeight="1" x14ac:dyDescent="0.2">
      <c r="A52" s="1780" t="s">
        <v>1484</v>
      </c>
      <c r="B52" s="1782" t="s">
        <v>1159</v>
      </c>
      <c r="C52" s="1786"/>
      <c r="D52" s="1787"/>
      <c r="E52" s="1787"/>
      <c r="F52" s="1787"/>
      <c r="G52" s="1787"/>
      <c r="H52" s="1772"/>
      <c r="I52" s="1772"/>
      <c r="J52" s="1773"/>
      <c r="K52" s="82"/>
      <c r="L52" s="82"/>
      <c r="M52" s="82"/>
      <c r="N52" s="82"/>
      <c r="O52" s="82"/>
      <c r="P52" s="1769"/>
      <c r="Q52" s="1769"/>
      <c r="R52" s="1769"/>
      <c r="S52" s="1769"/>
      <c r="T52" s="1769"/>
    </row>
    <row r="53" spans="1:20" ht="12.75" customHeight="1" x14ac:dyDescent="0.2">
      <c r="A53" s="1780" t="s">
        <v>1484</v>
      </c>
      <c r="B53" s="1782" t="s">
        <v>1159</v>
      </c>
      <c r="C53" s="1786"/>
      <c r="D53" s="1787"/>
      <c r="E53" s="1787"/>
      <c r="F53" s="1787"/>
      <c r="G53" s="1787"/>
      <c r="H53" s="1772"/>
      <c r="I53" s="1772"/>
      <c r="J53" s="1773"/>
      <c r="K53" s="82"/>
      <c r="L53" s="82"/>
      <c r="M53" s="82"/>
      <c r="N53" s="82"/>
      <c r="O53" s="82"/>
      <c r="P53" s="1769"/>
      <c r="Q53" s="1769"/>
      <c r="R53" s="1769"/>
      <c r="S53" s="1769"/>
      <c r="T53" s="1769"/>
    </row>
    <row r="54" spans="1:20" ht="12.75" customHeight="1" x14ac:dyDescent="0.2">
      <c r="A54" s="1780" t="s">
        <v>1484</v>
      </c>
      <c r="B54" s="1782" t="s">
        <v>1159</v>
      </c>
      <c r="C54" s="1786"/>
      <c r="D54" s="1787"/>
      <c r="E54" s="1787"/>
      <c r="F54" s="1787"/>
      <c r="G54" s="1787"/>
      <c r="H54" s="1772"/>
      <c r="I54" s="1772"/>
      <c r="J54" s="1773"/>
      <c r="K54" s="82"/>
      <c r="L54" s="82"/>
      <c r="M54" s="82"/>
      <c r="N54" s="82"/>
      <c r="O54" s="82"/>
      <c r="P54" s="1769"/>
      <c r="Q54" s="1769"/>
      <c r="R54" s="1769"/>
      <c r="S54" s="1769"/>
      <c r="T54" s="1769"/>
    </row>
    <row r="55" spans="1:20" ht="12.75" customHeight="1" x14ac:dyDescent="0.2">
      <c r="A55" s="1780" t="s">
        <v>1484</v>
      </c>
      <c r="B55" s="1783" t="s">
        <v>1160</v>
      </c>
      <c r="C55" s="1786"/>
      <c r="D55" s="1787"/>
      <c r="E55" s="1787"/>
      <c r="F55" s="1787"/>
      <c r="G55" s="1787"/>
      <c r="H55" s="1772"/>
      <c r="I55" s="1772"/>
      <c r="J55" s="1773"/>
      <c r="K55" s="82"/>
      <c r="L55" s="82"/>
      <c r="M55" s="82"/>
      <c r="N55" s="82"/>
      <c r="O55" s="82"/>
      <c r="P55" s="1769"/>
      <c r="Q55" s="1769"/>
      <c r="R55" s="1769"/>
      <c r="S55" s="1769"/>
      <c r="T55" s="1769"/>
    </row>
    <row r="56" spans="1:20" ht="12.75" customHeight="1" x14ac:dyDescent="0.2">
      <c r="A56" s="1780" t="s">
        <v>1484</v>
      </c>
      <c r="B56" s="1783" t="s">
        <v>1160</v>
      </c>
      <c r="C56" s="1786"/>
      <c r="D56" s="1787"/>
      <c r="E56" s="1787"/>
      <c r="F56" s="1787"/>
      <c r="G56" s="1787"/>
      <c r="H56" s="1772"/>
      <c r="I56" s="1772"/>
      <c r="J56" s="1773"/>
      <c r="K56" s="82"/>
      <c r="L56" s="82"/>
      <c r="M56" s="82"/>
      <c r="N56" s="82"/>
      <c r="O56" s="82"/>
      <c r="P56" s="1769"/>
      <c r="Q56" s="1769"/>
      <c r="R56" s="1769"/>
      <c r="S56" s="1769"/>
      <c r="T56" s="1769"/>
    </row>
    <row r="57" spans="1:20" ht="12.75" customHeight="1" x14ac:dyDescent="0.2">
      <c r="A57" s="1780" t="s">
        <v>1484</v>
      </c>
      <c r="B57" s="1783" t="s">
        <v>1160</v>
      </c>
      <c r="C57" s="1786"/>
      <c r="D57" s="1787"/>
      <c r="E57" s="1787"/>
      <c r="F57" s="1787"/>
      <c r="G57" s="1787"/>
      <c r="H57" s="1772"/>
      <c r="I57" s="1772"/>
      <c r="J57" s="1773"/>
      <c r="K57" s="82"/>
      <c r="L57" s="82"/>
      <c r="M57" s="82"/>
      <c r="N57" s="82"/>
      <c r="O57" s="82"/>
      <c r="P57" s="1769"/>
      <c r="Q57" s="1769"/>
      <c r="R57" s="1769"/>
      <c r="S57" s="1769"/>
      <c r="T57" s="1769"/>
    </row>
    <row r="58" spans="1:20" ht="12.75" customHeight="1" x14ac:dyDescent="0.2">
      <c r="A58" s="1780" t="s">
        <v>1484</v>
      </c>
      <c r="B58" s="1783" t="s">
        <v>1160</v>
      </c>
      <c r="C58" s="1786"/>
      <c r="D58" s="1787"/>
      <c r="E58" s="1787"/>
      <c r="F58" s="1787"/>
      <c r="G58" s="1787"/>
      <c r="H58" s="1772"/>
      <c r="I58" s="1772"/>
      <c r="J58" s="1773"/>
      <c r="K58" s="82"/>
      <c r="L58" s="82"/>
      <c r="M58" s="82"/>
      <c r="N58" s="82"/>
      <c r="O58" s="82"/>
      <c r="P58" s="1769"/>
      <c r="Q58" s="1769"/>
      <c r="R58" s="1769"/>
      <c r="S58" s="1769"/>
      <c r="T58" s="1769"/>
    </row>
    <row r="59" spans="1:20" ht="12.75" customHeight="1" x14ac:dyDescent="0.2">
      <c r="A59" s="1780" t="s">
        <v>1484</v>
      </c>
      <c r="B59" s="1783" t="s">
        <v>1160</v>
      </c>
      <c r="C59" s="1786"/>
      <c r="D59" s="1787"/>
      <c r="E59" s="1787"/>
      <c r="F59" s="1787"/>
      <c r="G59" s="1787"/>
      <c r="H59" s="1772"/>
      <c r="I59" s="1772"/>
      <c r="J59" s="1773"/>
      <c r="K59" s="82"/>
      <c r="L59" s="82"/>
      <c r="M59" s="82"/>
      <c r="N59" s="82"/>
      <c r="O59" s="82"/>
      <c r="P59" s="1769"/>
      <c r="Q59" s="1769"/>
      <c r="R59" s="1769"/>
      <c r="S59" s="1769"/>
      <c r="T59" s="1769"/>
    </row>
    <row r="60" spans="1:20" ht="12.75" customHeight="1" x14ac:dyDescent="0.2">
      <c r="A60" s="1780" t="s">
        <v>1484</v>
      </c>
      <c r="B60" s="1783" t="s">
        <v>1160</v>
      </c>
      <c r="C60" s="1786"/>
      <c r="D60" s="1787"/>
      <c r="E60" s="1787"/>
      <c r="F60" s="1787"/>
      <c r="G60" s="1787"/>
      <c r="H60" s="1772"/>
      <c r="I60" s="1772"/>
      <c r="J60" s="1773"/>
      <c r="K60" s="82"/>
      <c r="L60" s="82"/>
      <c r="M60" s="82"/>
      <c r="N60" s="82"/>
      <c r="O60" s="82"/>
      <c r="P60" s="1769"/>
      <c r="Q60" s="1769"/>
      <c r="R60" s="1769"/>
      <c r="S60" s="1769"/>
      <c r="T60" s="1769"/>
    </row>
    <row r="61" spans="1:20" ht="12.75" customHeight="1" x14ac:dyDescent="0.2">
      <c r="A61" s="1780" t="s">
        <v>1484</v>
      </c>
      <c r="B61" s="1783" t="s">
        <v>1160</v>
      </c>
      <c r="C61" s="1786"/>
      <c r="D61" s="1787"/>
      <c r="E61" s="1787"/>
      <c r="F61" s="1787"/>
      <c r="G61" s="1787"/>
      <c r="H61" s="1772"/>
      <c r="I61" s="1772"/>
      <c r="J61" s="1773"/>
      <c r="K61" s="82"/>
      <c r="L61" s="82"/>
      <c r="M61" s="82"/>
      <c r="N61" s="82"/>
      <c r="O61" s="82"/>
      <c r="P61" s="1769"/>
      <c r="Q61" s="1769"/>
      <c r="R61" s="1769"/>
      <c r="S61" s="1769"/>
      <c r="T61" s="1769"/>
    </row>
    <row r="62" spans="1:20" ht="12.75" customHeight="1" x14ac:dyDescent="0.2">
      <c r="A62" s="1780" t="s">
        <v>1536</v>
      </c>
      <c r="B62" s="1782" t="s">
        <v>3063</v>
      </c>
      <c r="C62" s="717" t="s">
        <v>1409</v>
      </c>
      <c r="D62" s="848">
        <v>171.72</v>
      </c>
      <c r="E62" s="848">
        <v>379.89182543999999</v>
      </c>
      <c r="F62" s="848">
        <v>2.0099999999999998</v>
      </c>
      <c r="G62" s="849">
        <v>6.89</v>
      </c>
      <c r="H62" s="850">
        <v>11.9</v>
      </c>
      <c r="I62" s="663">
        <v>0</v>
      </c>
      <c r="J62" s="663">
        <v>0</v>
      </c>
      <c r="K62" s="82"/>
      <c r="L62" s="82"/>
      <c r="M62" s="82"/>
      <c r="N62" s="82"/>
      <c r="O62" s="82"/>
      <c r="P62" s="1769"/>
      <c r="Q62" s="1769"/>
      <c r="R62" s="1769"/>
      <c r="S62" s="1769"/>
      <c r="T62" s="1769"/>
    </row>
    <row r="63" spans="1:20" ht="12.75" customHeight="1" x14ac:dyDescent="0.2">
      <c r="A63" s="1780" t="s">
        <v>1536</v>
      </c>
      <c r="B63" s="1782" t="s">
        <v>3063</v>
      </c>
      <c r="C63" s="718" t="s">
        <v>1410</v>
      </c>
      <c r="D63" s="851">
        <v>108.32</v>
      </c>
      <c r="E63" s="851">
        <v>653.53571490000002</v>
      </c>
      <c r="F63" s="851">
        <v>76.760000000000005</v>
      </c>
      <c r="G63" s="852">
        <v>105.79</v>
      </c>
      <c r="H63" s="853">
        <v>16.100000000000001</v>
      </c>
      <c r="I63" s="664">
        <v>0</v>
      </c>
      <c r="J63" s="664">
        <v>0</v>
      </c>
      <c r="K63" s="82"/>
      <c r="L63" s="82"/>
      <c r="M63" s="82"/>
      <c r="N63" s="82"/>
      <c r="O63" s="82"/>
      <c r="P63" s="1769"/>
      <c r="Q63" s="1769"/>
      <c r="R63" s="1769"/>
      <c r="S63" s="1769"/>
      <c r="T63" s="1769"/>
    </row>
    <row r="64" spans="1:20" ht="12.75" customHeight="1" x14ac:dyDescent="0.2">
      <c r="A64" s="1780" t="s">
        <v>1536</v>
      </c>
      <c r="B64" s="1782" t="s">
        <v>3063</v>
      </c>
      <c r="C64" s="719" t="s">
        <v>1411</v>
      </c>
      <c r="D64" s="847">
        <v>25112.400000000001</v>
      </c>
      <c r="E64" s="847">
        <v>171667.5628251</v>
      </c>
      <c r="F64" s="847">
        <v>7273.01</v>
      </c>
      <c r="G64" s="847">
        <v>26631.05</v>
      </c>
      <c r="H64" s="849">
        <v>124.7</v>
      </c>
      <c r="I64" s="699">
        <v>3455.48</v>
      </c>
      <c r="J64" s="699">
        <v>10.18</v>
      </c>
      <c r="K64" s="82"/>
      <c r="L64" s="82"/>
      <c r="M64" s="82"/>
      <c r="N64" s="82"/>
      <c r="O64" s="82"/>
      <c r="P64" s="1769"/>
      <c r="Q64" s="1769"/>
      <c r="R64" s="1769"/>
      <c r="S64" s="1769"/>
      <c r="T64" s="1769"/>
    </row>
    <row r="65" spans="1:20" ht="12.75" customHeight="1" x14ac:dyDescent="0.2">
      <c r="A65" s="1780" t="s">
        <v>1536</v>
      </c>
      <c r="B65" s="1782" t="s">
        <v>3063</v>
      </c>
      <c r="C65" s="718" t="s">
        <v>1412</v>
      </c>
      <c r="D65" s="851">
        <v>177.72</v>
      </c>
      <c r="E65" s="851">
        <v>56.956420550000004</v>
      </c>
      <c r="F65" s="851">
        <v>20.7</v>
      </c>
      <c r="G65" s="851">
        <v>21.18</v>
      </c>
      <c r="H65" s="852">
        <v>1133.2</v>
      </c>
      <c r="I65" s="664">
        <v>4.24</v>
      </c>
      <c r="J65" s="664">
        <v>0</v>
      </c>
      <c r="K65" s="82"/>
      <c r="L65" s="82"/>
      <c r="M65" s="82"/>
      <c r="N65" s="82"/>
      <c r="O65" s="82"/>
      <c r="P65" s="1769"/>
      <c r="Q65" s="1769"/>
      <c r="R65" s="1769"/>
      <c r="S65" s="1769"/>
      <c r="T65" s="1769"/>
    </row>
    <row r="66" spans="1:20" ht="12.75" customHeight="1" x14ac:dyDescent="0.2">
      <c r="A66" s="1780" t="s">
        <v>1536</v>
      </c>
      <c r="B66" s="1782" t="s">
        <v>3063</v>
      </c>
      <c r="C66" s="719" t="s">
        <v>1413</v>
      </c>
      <c r="D66" s="847">
        <v>1118.6600000000001</v>
      </c>
      <c r="E66" s="847">
        <v>81.243777860000009</v>
      </c>
      <c r="F66" s="847">
        <v>44.22</v>
      </c>
      <c r="G66" s="847">
        <v>78.489999999999995</v>
      </c>
      <c r="H66" s="854">
        <v>9.3000000000000007</v>
      </c>
      <c r="I66" s="663">
        <v>0</v>
      </c>
      <c r="J66" s="663">
        <v>0</v>
      </c>
      <c r="K66" s="82"/>
      <c r="L66" s="82"/>
      <c r="M66" s="82"/>
      <c r="N66" s="82"/>
      <c r="O66" s="82"/>
      <c r="P66" s="1769"/>
      <c r="Q66" s="1769"/>
      <c r="R66" s="1769"/>
      <c r="S66" s="1769"/>
      <c r="T66" s="1769"/>
    </row>
    <row r="67" spans="1:20" ht="12.75" customHeight="1" x14ac:dyDescent="0.2">
      <c r="A67" s="1780" t="s">
        <v>1536</v>
      </c>
      <c r="B67" s="1782" t="s">
        <v>3063</v>
      </c>
      <c r="C67" s="718" t="s">
        <v>1414</v>
      </c>
      <c r="D67" s="851">
        <v>1494.98</v>
      </c>
      <c r="E67" s="851">
        <v>12619.6080404</v>
      </c>
      <c r="F67" s="851">
        <v>39.840000000000003</v>
      </c>
      <c r="G67" s="851">
        <v>855.57</v>
      </c>
      <c r="H67" s="852">
        <v>22.1</v>
      </c>
      <c r="I67" s="664">
        <v>281.60000000000002</v>
      </c>
      <c r="J67" s="664">
        <v>0</v>
      </c>
      <c r="K67" s="82"/>
      <c r="L67" s="82"/>
      <c r="M67" s="82"/>
      <c r="N67" s="82"/>
      <c r="O67" s="82"/>
      <c r="P67" s="1769"/>
      <c r="Q67" s="1769"/>
      <c r="R67" s="1769"/>
      <c r="S67" s="1769"/>
      <c r="T67" s="1769"/>
    </row>
    <row r="68" spans="1:20" ht="12.75" customHeight="1" x14ac:dyDescent="0.2">
      <c r="A68" s="1780" t="s">
        <v>1536</v>
      </c>
      <c r="B68" s="1782" t="s">
        <v>3063</v>
      </c>
      <c r="C68" s="719" t="s">
        <v>1415</v>
      </c>
      <c r="D68" s="847">
        <v>801.72</v>
      </c>
      <c r="E68" s="847">
        <v>1766.35659244</v>
      </c>
      <c r="F68" s="847">
        <v>307.89</v>
      </c>
      <c r="G68" s="847">
        <v>325.45999999999998</v>
      </c>
      <c r="H68" s="854">
        <v>31.4</v>
      </c>
      <c r="I68" s="663">
        <v>564.89</v>
      </c>
      <c r="J68" s="663">
        <v>0</v>
      </c>
      <c r="K68" s="82"/>
      <c r="L68" s="82"/>
      <c r="M68" s="82"/>
      <c r="N68" s="82"/>
      <c r="O68" s="82"/>
      <c r="P68" s="1769"/>
      <c r="Q68" s="1769"/>
      <c r="R68" s="1769"/>
      <c r="S68" s="1769"/>
      <c r="T68" s="1769"/>
    </row>
    <row r="69" spans="1:20" ht="12.75" customHeight="1" x14ac:dyDescent="0.2">
      <c r="A69" s="1780" t="s">
        <v>1536</v>
      </c>
      <c r="B69" s="1782" t="s">
        <v>1274</v>
      </c>
      <c r="C69" s="720" t="s">
        <v>1409</v>
      </c>
      <c r="D69" s="851">
        <v>257.94</v>
      </c>
      <c r="E69" s="851">
        <v>441.26307793000001</v>
      </c>
      <c r="F69" s="851">
        <v>3.99</v>
      </c>
      <c r="G69" s="851">
        <v>0.69</v>
      </c>
      <c r="H69" s="852">
        <v>16.100000000000001</v>
      </c>
      <c r="I69" s="664">
        <v>0</v>
      </c>
      <c r="J69" s="664">
        <v>0</v>
      </c>
      <c r="K69" s="82"/>
      <c r="L69" s="82"/>
      <c r="M69" s="82"/>
      <c r="N69" s="82"/>
      <c r="O69" s="82"/>
      <c r="P69" s="1769"/>
      <c r="Q69" s="1769"/>
      <c r="R69" s="1769"/>
      <c r="S69" s="1769"/>
      <c r="T69" s="1769"/>
    </row>
    <row r="70" spans="1:20" ht="12.75" customHeight="1" x14ac:dyDescent="0.2">
      <c r="A70" s="1780" t="s">
        <v>1536</v>
      </c>
      <c r="B70" s="1782" t="s">
        <v>1274</v>
      </c>
      <c r="C70" s="721" t="s">
        <v>1410</v>
      </c>
      <c r="D70" s="855">
        <v>167.06</v>
      </c>
      <c r="E70" s="855">
        <v>1438.5494559599999</v>
      </c>
      <c r="F70" s="855">
        <v>52.66</v>
      </c>
      <c r="G70" s="855">
        <v>521.59</v>
      </c>
      <c r="H70" s="856">
        <v>13.6</v>
      </c>
      <c r="I70" s="686">
        <v>0</v>
      </c>
      <c r="J70" s="686">
        <v>0</v>
      </c>
      <c r="K70" s="82"/>
      <c r="L70" s="82"/>
      <c r="M70" s="82"/>
      <c r="N70" s="82"/>
      <c r="O70" s="82"/>
      <c r="P70" s="1769"/>
      <c r="Q70" s="1769"/>
      <c r="R70" s="1769"/>
      <c r="S70" s="1769"/>
      <c r="T70" s="1769"/>
    </row>
    <row r="71" spans="1:20" ht="12.75" customHeight="1" x14ac:dyDescent="0.2">
      <c r="A71" s="1780" t="s">
        <v>1536</v>
      </c>
      <c r="B71" s="1782" t="s">
        <v>1274</v>
      </c>
      <c r="C71" s="720" t="s">
        <v>1411</v>
      </c>
      <c r="D71" s="851">
        <v>30469.360000000001</v>
      </c>
      <c r="E71" s="851">
        <v>223802.40092100599</v>
      </c>
      <c r="F71" s="851">
        <v>9027.7199999999993</v>
      </c>
      <c r="G71" s="851">
        <v>20041.669999999998</v>
      </c>
      <c r="H71" s="852">
        <v>175.5</v>
      </c>
      <c r="I71" s="664">
        <v>2731.44</v>
      </c>
      <c r="J71" s="664">
        <v>21.2</v>
      </c>
      <c r="K71" s="82"/>
      <c r="L71" s="82"/>
      <c r="M71" s="82"/>
      <c r="N71" s="82"/>
      <c r="O71" s="82"/>
      <c r="P71" s="1769"/>
      <c r="Q71" s="1769"/>
      <c r="R71" s="1769"/>
      <c r="S71" s="1769"/>
      <c r="T71" s="1769"/>
    </row>
    <row r="72" spans="1:20" ht="12.75" customHeight="1" x14ac:dyDescent="0.2">
      <c r="A72" s="1780" t="s">
        <v>1536</v>
      </c>
      <c r="B72" s="1782" t="s">
        <v>1274</v>
      </c>
      <c r="C72" s="721" t="s">
        <v>1412</v>
      </c>
      <c r="D72" s="855">
        <v>85.04</v>
      </c>
      <c r="E72" s="855">
        <v>52.72007619</v>
      </c>
      <c r="F72" s="855">
        <v>9.2200000000000006</v>
      </c>
      <c r="G72" s="855">
        <v>27.73</v>
      </c>
      <c r="H72" s="856">
        <v>932.8</v>
      </c>
      <c r="I72" s="686">
        <v>-2.54</v>
      </c>
      <c r="J72" s="686">
        <v>0</v>
      </c>
      <c r="K72" s="82"/>
      <c r="L72" s="82"/>
      <c r="M72" s="82"/>
      <c r="N72" s="82"/>
      <c r="O72" s="82"/>
      <c r="P72" s="1769"/>
      <c r="Q72" s="1769"/>
      <c r="R72" s="1769"/>
      <c r="S72" s="1769"/>
      <c r="T72" s="1769"/>
    </row>
    <row r="73" spans="1:20" ht="12.75" customHeight="1" x14ac:dyDescent="0.2">
      <c r="A73" s="1780" t="s">
        <v>1536</v>
      </c>
      <c r="B73" s="1782" t="s">
        <v>1274</v>
      </c>
      <c r="C73" s="720" t="s">
        <v>1413</v>
      </c>
      <c r="D73" s="851">
        <v>999.47</v>
      </c>
      <c r="E73" s="851">
        <v>117.93172113</v>
      </c>
      <c r="F73" s="851">
        <v>125.98</v>
      </c>
      <c r="G73" s="851">
        <v>53.28</v>
      </c>
      <c r="H73" s="852">
        <v>6.8</v>
      </c>
      <c r="I73" s="664">
        <v>16.11</v>
      </c>
      <c r="J73" s="664">
        <v>0</v>
      </c>
      <c r="K73" s="82"/>
      <c r="L73" s="82"/>
      <c r="M73" s="82"/>
      <c r="N73" s="82"/>
      <c r="O73" s="82"/>
      <c r="P73" s="1769"/>
      <c r="Q73" s="1769"/>
      <c r="R73" s="1769"/>
      <c r="S73" s="1769"/>
      <c r="T73" s="1769"/>
    </row>
    <row r="74" spans="1:20" ht="12.75" customHeight="1" x14ac:dyDescent="0.2">
      <c r="A74" s="1780" t="s">
        <v>1536</v>
      </c>
      <c r="B74" s="1782" t="s">
        <v>1274</v>
      </c>
      <c r="C74" s="721" t="s">
        <v>1414</v>
      </c>
      <c r="D74" s="855">
        <v>2308.87</v>
      </c>
      <c r="E74" s="855">
        <v>15835.76561235</v>
      </c>
      <c r="F74" s="855">
        <v>87.95</v>
      </c>
      <c r="G74" s="855">
        <v>447.49</v>
      </c>
      <c r="H74" s="856">
        <v>30.5</v>
      </c>
      <c r="I74" s="686">
        <v>225.57</v>
      </c>
      <c r="J74" s="686">
        <v>0</v>
      </c>
      <c r="K74" s="82"/>
      <c r="L74" s="82"/>
      <c r="M74" s="82"/>
      <c r="N74" s="82"/>
      <c r="O74" s="82"/>
      <c r="P74" s="1769"/>
      <c r="Q74" s="1769"/>
      <c r="R74" s="1769"/>
      <c r="S74" s="1769"/>
      <c r="T74" s="1769"/>
    </row>
    <row r="75" spans="1:20" ht="12.75" customHeight="1" x14ac:dyDescent="0.2">
      <c r="A75" s="1780" t="s">
        <v>1536</v>
      </c>
      <c r="B75" s="1782" t="s">
        <v>1274</v>
      </c>
      <c r="C75" s="720" t="s">
        <v>1415</v>
      </c>
      <c r="D75" s="851">
        <v>1050.8699999999999</v>
      </c>
      <c r="E75" s="851">
        <v>2151.9214146199997</v>
      </c>
      <c r="F75" s="851">
        <v>1149.8399999999999</v>
      </c>
      <c r="G75" s="851">
        <v>1275.54</v>
      </c>
      <c r="H75" s="852">
        <v>24.6</v>
      </c>
      <c r="I75" s="664">
        <v>3994.13</v>
      </c>
      <c r="J75" s="664">
        <v>0</v>
      </c>
      <c r="K75" s="82"/>
      <c r="L75" s="82"/>
      <c r="M75" s="82"/>
      <c r="N75" s="82"/>
      <c r="O75" s="82"/>
      <c r="P75" s="1769"/>
      <c r="Q75" s="1769"/>
      <c r="R75" s="1769"/>
      <c r="S75" s="1769"/>
      <c r="T75" s="1769"/>
    </row>
    <row r="76" spans="1:20" ht="12.75" customHeight="1" x14ac:dyDescent="0.2">
      <c r="A76" s="1780" t="s">
        <v>1536</v>
      </c>
      <c r="B76" s="1782" t="s">
        <v>1159</v>
      </c>
      <c r="C76" s="721" t="s">
        <v>1409</v>
      </c>
      <c r="D76" s="855">
        <v>104.14</v>
      </c>
      <c r="E76" s="855">
        <v>504.46941612000001</v>
      </c>
      <c r="F76" s="855">
        <v>7.98</v>
      </c>
      <c r="G76" s="855">
        <v>0.28999999999999998</v>
      </c>
      <c r="H76" s="856">
        <v>17</v>
      </c>
      <c r="I76" s="686">
        <v>0</v>
      </c>
      <c r="J76" s="686">
        <v>0</v>
      </c>
      <c r="K76" s="82"/>
      <c r="L76" s="82"/>
      <c r="M76" s="82"/>
      <c r="N76" s="82"/>
      <c r="O76" s="82"/>
      <c r="P76" s="1769"/>
      <c r="Q76" s="1769"/>
      <c r="R76" s="1769"/>
      <c r="S76" s="1769"/>
      <c r="T76" s="1769"/>
    </row>
    <row r="77" spans="1:20" ht="12.75" customHeight="1" x14ac:dyDescent="0.2">
      <c r="A77" s="1780" t="s">
        <v>1536</v>
      </c>
      <c r="B77" s="1782" t="s">
        <v>1159</v>
      </c>
      <c r="C77" s="720" t="s">
        <v>1410</v>
      </c>
      <c r="D77" s="851">
        <v>124.2</v>
      </c>
      <c r="E77" s="851">
        <v>2365.9899769799999</v>
      </c>
      <c r="F77" s="851">
        <v>14.36</v>
      </c>
      <c r="G77" s="851">
        <v>999.56</v>
      </c>
      <c r="H77" s="852">
        <v>31.4</v>
      </c>
      <c r="I77" s="664">
        <v>0</v>
      </c>
      <c r="J77" s="664">
        <v>0</v>
      </c>
      <c r="K77" s="82"/>
      <c r="L77" s="82"/>
      <c r="M77" s="82"/>
      <c r="N77" s="82"/>
      <c r="O77" s="82"/>
      <c r="P77" s="1769"/>
      <c r="Q77" s="1769"/>
      <c r="R77" s="1769"/>
      <c r="S77" s="1769"/>
      <c r="T77" s="1769"/>
    </row>
    <row r="78" spans="1:20" ht="12.75" customHeight="1" x14ac:dyDescent="0.2">
      <c r="A78" s="1780" t="s">
        <v>1536</v>
      </c>
      <c r="B78" s="1782" t="s">
        <v>1159</v>
      </c>
      <c r="C78" s="721" t="s">
        <v>1411</v>
      </c>
      <c r="D78" s="855">
        <v>26180.61</v>
      </c>
      <c r="E78" s="855">
        <v>236123.77427576701</v>
      </c>
      <c r="F78" s="855">
        <v>10993.47</v>
      </c>
      <c r="G78" s="855">
        <v>18470.78</v>
      </c>
      <c r="H78" s="856">
        <v>204.4</v>
      </c>
      <c r="I78" s="686">
        <v>1716.37</v>
      </c>
      <c r="J78" s="686">
        <v>12.72</v>
      </c>
      <c r="K78" s="82"/>
      <c r="L78" s="82"/>
      <c r="M78" s="82"/>
      <c r="N78" s="82"/>
      <c r="O78" s="82"/>
      <c r="P78" s="1769"/>
      <c r="Q78" s="1769"/>
      <c r="R78" s="1769"/>
      <c r="S78" s="1769"/>
      <c r="T78" s="1769"/>
    </row>
    <row r="79" spans="1:20" ht="12.75" customHeight="1" x14ac:dyDescent="0.2">
      <c r="A79" s="1780" t="s">
        <v>1536</v>
      </c>
      <c r="B79" s="1782" t="s">
        <v>1159</v>
      </c>
      <c r="C79" s="720" t="s">
        <v>1412</v>
      </c>
      <c r="D79" s="851">
        <v>115.58</v>
      </c>
      <c r="E79" s="851">
        <v>49.59536035</v>
      </c>
      <c r="F79" s="851">
        <v>27.54</v>
      </c>
      <c r="G79" s="851">
        <v>26.05</v>
      </c>
      <c r="H79" s="852">
        <v>983.7</v>
      </c>
      <c r="I79" s="664">
        <v>6.78</v>
      </c>
      <c r="J79" s="664">
        <v>0</v>
      </c>
      <c r="K79" s="82"/>
      <c r="L79" s="82"/>
      <c r="M79" s="82"/>
      <c r="N79" s="82"/>
      <c r="O79" s="82"/>
      <c r="P79" s="1769"/>
      <c r="Q79" s="1769"/>
      <c r="R79" s="1769"/>
      <c r="S79" s="1769"/>
      <c r="T79" s="1769"/>
    </row>
    <row r="80" spans="1:20" ht="12.75" customHeight="1" x14ac:dyDescent="0.2">
      <c r="A80" s="1780" t="s">
        <v>1536</v>
      </c>
      <c r="B80" s="1782" t="s">
        <v>1159</v>
      </c>
      <c r="C80" s="721" t="s">
        <v>1413</v>
      </c>
      <c r="D80" s="855">
        <v>1276.0899999999999</v>
      </c>
      <c r="E80" s="855">
        <v>110.88153612999999</v>
      </c>
      <c r="F80" s="855">
        <v>299.94</v>
      </c>
      <c r="G80" s="855">
        <v>40.5</v>
      </c>
      <c r="H80" s="856">
        <v>12.7</v>
      </c>
      <c r="I80" s="686">
        <v>50.03</v>
      </c>
      <c r="J80" s="686">
        <v>0</v>
      </c>
      <c r="K80" s="82"/>
      <c r="L80" s="82"/>
      <c r="M80" s="82"/>
      <c r="N80" s="82"/>
      <c r="O80" s="82"/>
      <c r="P80" s="1769"/>
      <c r="Q80" s="1769"/>
      <c r="R80" s="1769"/>
      <c r="S80" s="1769"/>
      <c r="T80" s="1769"/>
    </row>
    <row r="81" spans="1:20" ht="12.75" customHeight="1" x14ac:dyDescent="0.2">
      <c r="A81" s="1780" t="s">
        <v>1536</v>
      </c>
      <c r="B81" s="1782" t="s">
        <v>1159</v>
      </c>
      <c r="C81" s="720" t="s">
        <v>1414</v>
      </c>
      <c r="D81" s="851">
        <v>2083.25</v>
      </c>
      <c r="E81" s="851">
        <v>11805.189987415999</v>
      </c>
      <c r="F81" s="851">
        <v>55.24</v>
      </c>
      <c r="G81" s="851">
        <v>463.15</v>
      </c>
      <c r="H81" s="852">
        <v>17.8</v>
      </c>
      <c r="I81" s="664">
        <v>373.12</v>
      </c>
      <c r="J81" s="664">
        <v>0</v>
      </c>
      <c r="K81" s="82"/>
      <c r="L81" s="82"/>
      <c r="M81" s="82"/>
      <c r="N81" s="82"/>
      <c r="O81" s="82"/>
      <c r="P81" s="1769"/>
      <c r="Q81" s="1769"/>
      <c r="R81" s="1769"/>
      <c r="S81" s="1769"/>
      <c r="T81" s="1769"/>
    </row>
    <row r="82" spans="1:20" ht="12.75" customHeight="1" x14ac:dyDescent="0.2">
      <c r="A82" s="1780" t="s">
        <v>1536</v>
      </c>
      <c r="B82" s="1782" t="s">
        <v>1159</v>
      </c>
      <c r="C82" s="721" t="s">
        <v>1415</v>
      </c>
      <c r="D82" s="855">
        <v>1111.2</v>
      </c>
      <c r="E82" s="855">
        <v>1827.0161116500001</v>
      </c>
      <c r="F82" s="855">
        <v>844.15</v>
      </c>
      <c r="G82" s="855">
        <v>678.97</v>
      </c>
      <c r="H82" s="856">
        <v>21.2</v>
      </c>
      <c r="I82" s="686">
        <v>-2835.74</v>
      </c>
      <c r="J82" s="686">
        <v>0</v>
      </c>
      <c r="K82" s="82"/>
      <c r="L82" s="82"/>
      <c r="M82" s="82"/>
      <c r="N82" s="82"/>
      <c r="O82" s="82"/>
      <c r="P82" s="1769"/>
      <c r="Q82" s="1769"/>
      <c r="R82" s="1769"/>
      <c r="S82" s="1769"/>
      <c r="T82" s="1769"/>
    </row>
    <row r="83" spans="1:20" ht="12.75" customHeight="1" x14ac:dyDescent="0.2">
      <c r="A83" s="1780" t="s">
        <v>1536</v>
      </c>
      <c r="B83" s="1783" t="s">
        <v>1160</v>
      </c>
      <c r="C83" s="720" t="s">
        <v>1409</v>
      </c>
      <c r="D83" s="851">
        <v>199.23</v>
      </c>
      <c r="E83" s="851">
        <v>499.05093529999999</v>
      </c>
      <c r="F83" s="851">
        <v>20.87</v>
      </c>
      <c r="G83" s="851">
        <v>3.28</v>
      </c>
      <c r="H83" s="852">
        <v>28</v>
      </c>
      <c r="I83" s="664">
        <v>0</v>
      </c>
      <c r="J83" s="664">
        <v>0</v>
      </c>
      <c r="K83" s="82"/>
      <c r="L83" s="82"/>
      <c r="M83" s="82"/>
      <c r="N83" s="82"/>
      <c r="O83" s="82"/>
      <c r="P83" s="1769"/>
      <c r="Q83" s="1769"/>
      <c r="R83" s="1769"/>
      <c r="S83" s="1769"/>
      <c r="T83" s="1769"/>
    </row>
    <row r="84" spans="1:20" ht="12.75" customHeight="1" x14ac:dyDescent="0.2">
      <c r="A84" s="1780" t="s">
        <v>1536</v>
      </c>
      <c r="B84" s="1783" t="s">
        <v>1160</v>
      </c>
      <c r="C84" s="721" t="s">
        <v>1410</v>
      </c>
      <c r="D84" s="855">
        <v>184.66</v>
      </c>
      <c r="E84" s="855">
        <v>1651.7307104899999</v>
      </c>
      <c r="F84" s="855">
        <v>8.5299999999999994</v>
      </c>
      <c r="G84" s="855">
        <v>633.16999999999996</v>
      </c>
      <c r="H84" s="856">
        <v>37.299999999999997</v>
      </c>
      <c r="I84" s="686">
        <v>0</v>
      </c>
      <c r="J84" s="686">
        <v>0</v>
      </c>
      <c r="K84" s="82"/>
      <c r="L84" s="82"/>
      <c r="M84" s="82"/>
      <c r="N84" s="82"/>
      <c r="O84" s="82"/>
      <c r="P84" s="1769"/>
      <c r="Q84" s="1769"/>
      <c r="R84" s="1769"/>
      <c r="S84" s="1769"/>
      <c r="T84" s="1769"/>
    </row>
    <row r="85" spans="1:20" ht="12.75" customHeight="1" x14ac:dyDescent="0.2">
      <c r="A85" s="1780" t="s">
        <v>1536</v>
      </c>
      <c r="B85" s="1783" t="s">
        <v>1160</v>
      </c>
      <c r="C85" s="720" t="s">
        <v>1411</v>
      </c>
      <c r="D85" s="851">
        <v>26761.25</v>
      </c>
      <c r="E85" s="851">
        <v>244781.15796510602</v>
      </c>
      <c r="F85" s="851">
        <v>12685.24</v>
      </c>
      <c r="G85" s="851">
        <v>17311.09</v>
      </c>
      <c r="H85" s="852">
        <v>181.5</v>
      </c>
      <c r="I85" s="664">
        <v>3220.91</v>
      </c>
      <c r="J85" s="664">
        <v>0</v>
      </c>
      <c r="K85" s="82"/>
      <c r="L85" s="82"/>
      <c r="M85" s="82"/>
      <c r="N85" s="82"/>
      <c r="O85" s="82"/>
      <c r="P85" s="1769"/>
      <c r="Q85" s="1769"/>
      <c r="R85" s="1769"/>
      <c r="S85" s="1769"/>
      <c r="T85" s="1769"/>
    </row>
    <row r="86" spans="1:20" ht="12.75" customHeight="1" x14ac:dyDescent="0.2">
      <c r="A86" s="1780" t="s">
        <v>1536</v>
      </c>
      <c r="B86" s="1783" t="s">
        <v>1160</v>
      </c>
      <c r="C86" s="721" t="s">
        <v>1412</v>
      </c>
      <c r="D86" s="855">
        <v>132.07</v>
      </c>
      <c r="E86" s="855">
        <v>65.081271309999991</v>
      </c>
      <c r="F86" s="855">
        <v>17.510000000000002</v>
      </c>
      <c r="G86" s="855">
        <v>9.83</v>
      </c>
      <c r="H86" s="856">
        <v>854</v>
      </c>
      <c r="I86" s="686">
        <v>0</v>
      </c>
      <c r="J86" s="686">
        <v>0</v>
      </c>
      <c r="K86" s="82"/>
      <c r="L86" s="82"/>
      <c r="M86" s="82"/>
      <c r="N86" s="82"/>
      <c r="O86" s="82"/>
      <c r="P86" s="1769"/>
      <c r="Q86" s="1769"/>
      <c r="R86" s="1769"/>
      <c r="S86" s="1769"/>
      <c r="T86" s="1769"/>
    </row>
    <row r="87" spans="1:20" ht="12.75" customHeight="1" x14ac:dyDescent="0.2">
      <c r="A87" s="1780" t="s">
        <v>1536</v>
      </c>
      <c r="B87" s="1783" t="s">
        <v>1160</v>
      </c>
      <c r="C87" s="720" t="s">
        <v>1413</v>
      </c>
      <c r="D87" s="851">
        <v>2428.56</v>
      </c>
      <c r="E87" s="851">
        <v>117.65919472</v>
      </c>
      <c r="F87" s="851">
        <v>44.12</v>
      </c>
      <c r="G87" s="851">
        <v>35.32</v>
      </c>
      <c r="H87" s="852">
        <v>15.3</v>
      </c>
      <c r="I87" s="664">
        <v>16.96</v>
      </c>
      <c r="J87" s="664">
        <v>0</v>
      </c>
      <c r="K87" s="82"/>
      <c r="L87" s="82"/>
      <c r="M87" s="82"/>
      <c r="N87" s="82"/>
      <c r="O87" s="82"/>
      <c r="P87" s="1769"/>
      <c r="Q87" s="1769"/>
      <c r="R87" s="1769"/>
      <c r="S87" s="1769"/>
      <c r="T87" s="1769"/>
    </row>
    <row r="88" spans="1:20" ht="12.75" customHeight="1" x14ac:dyDescent="0.2">
      <c r="A88" s="1780" t="s">
        <v>1536</v>
      </c>
      <c r="B88" s="1783" t="s">
        <v>1160</v>
      </c>
      <c r="C88" s="721" t="s">
        <v>1414</v>
      </c>
      <c r="D88" s="855">
        <v>1127.28</v>
      </c>
      <c r="E88" s="855">
        <v>17965.304259009998</v>
      </c>
      <c r="F88" s="855">
        <v>53.98</v>
      </c>
      <c r="G88" s="855">
        <v>598.16</v>
      </c>
      <c r="H88" s="856">
        <v>11</v>
      </c>
      <c r="I88" s="686">
        <v>362.12</v>
      </c>
      <c r="J88" s="686">
        <v>0</v>
      </c>
      <c r="K88" s="82"/>
      <c r="L88" s="82"/>
      <c r="M88" s="82"/>
      <c r="N88" s="82"/>
      <c r="O88" s="82"/>
      <c r="P88" s="1769"/>
      <c r="Q88" s="1769"/>
      <c r="R88" s="1769"/>
      <c r="S88" s="1769"/>
      <c r="T88" s="1769"/>
    </row>
    <row r="89" spans="1:20" ht="12.75" customHeight="1" x14ac:dyDescent="0.2">
      <c r="A89" s="1780" t="s">
        <v>1536</v>
      </c>
      <c r="B89" s="1783" t="s">
        <v>1160</v>
      </c>
      <c r="C89" s="722" t="s">
        <v>1415</v>
      </c>
      <c r="D89" s="857">
        <v>1049.45</v>
      </c>
      <c r="E89" s="857">
        <v>2152.7284749800001</v>
      </c>
      <c r="F89" s="858">
        <v>1122.95</v>
      </c>
      <c r="G89" s="858">
        <v>1117.03</v>
      </c>
      <c r="H89" s="859">
        <v>28</v>
      </c>
      <c r="I89" s="664">
        <v>482.54</v>
      </c>
      <c r="J89" s="664">
        <v>0</v>
      </c>
      <c r="K89" s="82"/>
      <c r="L89" s="82"/>
      <c r="M89" s="82"/>
      <c r="N89" s="82"/>
      <c r="O89" s="82"/>
      <c r="P89" s="1769"/>
      <c r="Q89" s="1769"/>
      <c r="R89" s="1769"/>
      <c r="S89" s="1769"/>
      <c r="T89" s="1769"/>
    </row>
    <row r="90" spans="1:20" ht="12.75" customHeight="1" x14ac:dyDescent="0.2">
      <c r="A90" s="1780" t="s">
        <v>1817</v>
      </c>
      <c r="B90" s="1782" t="s">
        <v>3063</v>
      </c>
      <c r="C90" s="717" t="s">
        <v>1409</v>
      </c>
      <c r="D90" s="848">
        <v>81.06</v>
      </c>
      <c r="E90" s="848">
        <v>67.599999999999994</v>
      </c>
      <c r="F90" s="848">
        <v>26.713000000000001</v>
      </c>
      <c r="G90" s="849">
        <v>0.67</v>
      </c>
      <c r="H90" s="850">
        <v>17.8</v>
      </c>
      <c r="I90" s="663">
        <v>0</v>
      </c>
      <c r="J90" s="663">
        <v>0</v>
      </c>
      <c r="K90" s="82"/>
      <c r="L90" s="82"/>
      <c r="M90" s="82"/>
      <c r="N90" s="82"/>
      <c r="O90" s="82"/>
      <c r="P90" s="1769"/>
      <c r="Q90" s="1769"/>
      <c r="R90" s="1769"/>
      <c r="S90" s="1769"/>
      <c r="T90" s="1769"/>
    </row>
    <row r="91" spans="1:20" ht="12.75" customHeight="1" x14ac:dyDescent="0.2">
      <c r="A91" s="1780" t="s">
        <v>1817</v>
      </c>
      <c r="B91" s="1782" t="s">
        <v>3063</v>
      </c>
      <c r="C91" s="718" t="s">
        <v>1410</v>
      </c>
      <c r="D91" s="851">
        <v>217.48</v>
      </c>
      <c r="E91" s="851">
        <v>940.4</v>
      </c>
      <c r="F91" s="851">
        <v>16.210999999999999</v>
      </c>
      <c r="G91" s="852">
        <v>433.46800000000002</v>
      </c>
      <c r="H91" s="853">
        <v>29.7</v>
      </c>
      <c r="I91" s="664">
        <v>0</v>
      </c>
      <c r="J91" s="664">
        <v>0</v>
      </c>
      <c r="K91" s="82"/>
      <c r="L91" s="82"/>
      <c r="M91" s="82"/>
      <c r="N91" s="82"/>
      <c r="O91" s="82"/>
      <c r="P91" s="1769"/>
      <c r="Q91" s="1769"/>
      <c r="R91" s="1769"/>
      <c r="S91" s="1769"/>
      <c r="T91" s="1769"/>
    </row>
    <row r="92" spans="1:20" ht="12.75" customHeight="1" x14ac:dyDescent="0.2">
      <c r="A92" s="1780" t="s">
        <v>1817</v>
      </c>
      <c r="B92" s="1782" t="s">
        <v>3063</v>
      </c>
      <c r="C92" s="719" t="s">
        <v>1411</v>
      </c>
      <c r="D92" s="847">
        <v>42380.41</v>
      </c>
      <c r="E92" s="847">
        <v>269156.59999999998</v>
      </c>
      <c r="F92" s="847">
        <v>9896.4650000000001</v>
      </c>
      <c r="G92" s="847">
        <v>16479.178</v>
      </c>
      <c r="H92" s="849">
        <v>172.6</v>
      </c>
      <c r="I92" s="699">
        <v>1620.1800519999999</v>
      </c>
      <c r="J92" s="699">
        <v>0</v>
      </c>
      <c r="K92" s="82"/>
      <c r="L92" s="82"/>
      <c r="M92" s="82"/>
      <c r="N92" s="82"/>
      <c r="O92" s="82"/>
      <c r="P92" s="1769"/>
      <c r="Q92" s="1769"/>
      <c r="R92" s="1769"/>
      <c r="S92" s="1769"/>
      <c r="T92" s="1769"/>
    </row>
    <row r="93" spans="1:20" ht="12.75" customHeight="1" x14ac:dyDescent="0.2">
      <c r="A93" s="1780" t="s">
        <v>1817</v>
      </c>
      <c r="B93" s="1782" t="s">
        <v>3063</v>
      </c>
      <c r="C93" s="718" t="s">
        <v>1412</v>
      </c>
      <c r="D93" s="851">
        <v>174.28</v>
      </c>
      <c r="E93" s="851">
        <v>62.7</v>
      </c>
      <c r="F93" s="851">
        <v>8.8879999999999999</v>
      </c>
      <c r="G93" s="851">
        <v>70.953999999999994</v>
      </c>
      <c r="H93" s="852">
        <v>466.6</v>
      </c>
      <c r="I93" s="664">
        <v>-15.300756</v>
      </c>
      <c r="J93" s="664">
        <v>0</v>
      </c>
      <c r="K93" s="82"/>
      <c r="L93" s="82"/>
      <c r="M93" s="82"/>
      <c r="N93" s="82"/>
      <c r="O93" s="82"/>
      <c r="P93" s="1769"/>
      <c r="Q93" s="1769"/>
      <c r="R93" s="1769"/>
      <c r="S93" s="1769"/>
      <c r="T93" s="1769"/>
    </row>
    <row r="94" spans="1:20" ht="12.75" customHeight="1" x14ac:dyDescent="0.2">
      <c r="A94" s="1780" t="s">
        <v>1817</v>
      </c>
      <c r="B94" s="1782" t="s">
        <v>3063</v>
      </c>
      <c r="C94" s="719" t="s">
        <v>1413</v>
      </c>
      <c r="D94" s="847">
        <v>3807.34</v>
      </c>
      <c r="E94" s="847">
        <v>127.8</v>
      </c>
      <c r="F94" s="847">
        <v>140.94300000000001</v>
      </c>
      <c r="G94" s="847">
        <v>28.341000000000001</v>
      </c>
      <c r="H94" s="854">
        <v>13.6</v>
      </c>
      <c r="I94" s="663">
        <v>-14.450714000000001</v>
      </c>
      <c r="J94" s="663">
        <v>0</v>
      </c>
      <c r="K94" s="82"/>
      <c r="L94" s="82"/>
      <c r="M94" s="82"/>
      <c r="N94" s="82"/>
      <c r="O94" s="82"/>
      <c r="P94" s="1769"/>
      <c r="Q94" s="1769"/>
      <c r="R94" s="1769"/>
      <c r="S94" s="1769"/>
      <c r="T94" s="1769"/>
    </row>
    <row r="95" spans="1:20" ht="12.75" customHeight="1" x14ac:dyDescent="0.2">
      <c r="A95" s="1780" t="s">
        <v>1817</v>
      </c>
      <c r="B95" s="1782" t="s">
        <v>3063</v>
      </c>
      <c r="C95" s="718" t="s">
        <v>1414</v>
      </c>
      <c r="D95" s="851">
        <v>2015.4</v>
      </c>
      <c r="E95" s="851">
        <v>16384.3</v>
      </c>
      <c r="F95" s="851">
        <v>44.988999999999997</v>
      </c>
      <c r="G95" s="851">
        <v>539.85400000000004</v>
      </c>
      <c r="H95" s="852">
        <v>9.4</v>
      </c>
      <c r="I95" s="664">
        <v>182.75903</v>
      </c>
      <c r="J95" s="664">
        <v>0</v>
      </c>
      <c r="K95" s="82"/>
      <c r="L95" s="82"/>
      <c r="M95" s="82"/>
      <c r="N95" s="82"/>
      <c r="O95" s="82"/>
      <c r="P95" s="1769"/>
      <c r="Q95" s="1769"/>
      <c r="R95" s="1769"/>
      <c r="S95" s="1769"/>
      <c r="T95" s="1769"/>
    </row>
    <row r="96" spans="1:20" ht="12.75" customHeight="1" x14ac:dyDescent="0.2">
      <c r="A96" s="1780" t="s">
        <v>1817</v>
      </c>
      <c r="B96" s="1782" t="s">
        <v>3063</v>
      </c>
      <c r="C96" s="719" t="s">
        <v>1415</v>
      </c>
      <c r="D96" s="847">
        <v>1180.68</v>
      </c>
      <c r="E96" s="847">
        <v>2171.8000000000002</v>
      </c>
      <c r="F96" s="847">
        <v>1742.787</v>
      </c>
      <c r="G96" s="847">
        <v>1765.087</v>
      </c>
      <c r="H96" s="854">
        <v>23.8</v>
      </c>
      <c r="I96" s="663">
        <v>495.57448599999998</v>
      </c>
      <c r="J96" s="663">
        <v>0</v>
      </c>
      <c r="K96" s="82"/>
      <c r="L96" s="82"/>
      <c r="M96" s="82"/>
      <c r="N96" s="82"/>
      <c r="O96" s="82"/>
      <c r="P96" s="1769"/>
      <c r="Q96" s="1769"/>
      <c r="R96" s="1769"/>
      <c r="S96" s="1769"/>
      <c r="T96" s="1769"/>
    </row>
    <row r="97" spans="1:20" ht="12.75" customHeight="1" x14ac:dyDescent="0.2">
      <c r="A97" s="1780" t="s">
        <v>1817</v>
      </c>
      <c r="B97" s="1782" t="s">
        <v>1274</v>
      </c>
      <c r="C97" s="720" t="s">
        <v>1409</v>
      </c>
      <c r="D97" s="851">
        <v>22.17</v>
      </c>
      <c r="E97" s="851">
        <v>207</v>
      </c>
      <c r="F97" s="851">
        <v>2.726</v>
      </c>
      <c r="G97" s="851">
        <v>0.90500000000000003</v>
      </c>
      <c r="H97" s="852">
        <v>12</v>
      </c>
      <c r="I97" s="664">
        <v>0</v>
      </c>
      <c r="J97" s="664">
        <v>0</v>
      </c>
      <c r="K97" s="82"/>
      <c r="L97" s="82"/>
      <c r="M97" s="82"/>
      <c r="N97" s="82"/>
      <c r="O97" s="82"/>
      <c r="P97" s="1769"/>
      <c r="Q97" s="1769"/>
      <c r="R97" s="1769"/>
      <c r="S97" s="1769"/>
      <c r="T97" s="1769"/>
    </row>
    <row r="98" spans="1:20" ht="12.75" customHeight="1" x14ac:dyDescent="0.2">
      <c r="A98" s="1780" t="s">
        <v>1817</v>
      </c>
      <c r="B98" s="1782" t="s">
        <v>1274</v>
      </c>
      <c r="C98" s="721" t="s">
        <v>1410</v>
      </c>
      <c r="D98" s="855">
        <v>208.87</v>
      </c>
      <c r="E98" s="855">
        <v>1358.9</v>
      </c>
      <c r="F98" s="855">
        <v>14.122</v>
      </c>
      <c r="G98" s="855">
        <v>432.54599999999999</v>
      </c>
      <c r="H98" s="856">
        <v>32.6</v>
      </c>
      <c r="I98" s="686">
        <v>0</v>
      </c>
      <c r="J98" s="686">
        <v>0</v>
      </c>
      <c r="K98" s="82"/>
      <c r="L98" s="82"/>
      <c r="M98" s="82"/>
      <c r="N98" s="82"/>
      <c r="O98" s="82"/>
      <c r="P98" s="1769"/>
      <c r="Q98" s="1769"/>
      <c r="R98" s="1769"/>
      <c r="S98" s="1769"/>
      <c r="T98" s="1769"/>
    </row>
    <row r="99" spans="1:20" ht="12.75" customHeight="1" x14ac:dyDescent="0.2">
      <c r="A99" s="1780" t="s">
        <v>1817</v>
      </c>
      <c r="B99" s="1782" t="s">
        <v>1274</v>
      </c>
      <c r="C99" s="720" t="s">
        <v>1411</v>
      </c>
      <c r="D99" s="851">
        <v>48210.3</v>
      </c>
      <c r="E99" s="851">
        <v>327522</v>
      </c>
      <c r="F99" s="851">
        <v>10602.415000000001</v>
      </c>
      <c r="G99" s="851">
        <v>19962.973000000002</v>
      </c>
      <c r="H99" s="852">
        <v>235</v>
      </c>
      <c r="I99" s="664">
        <v>2045.3006740000001</v>
      </c>
      <c r="J99" s="664">
        <v>0</v>
      </c>
      <c r="K99" s="82"/>
      <c r="L99" s="82"/>
      <c r="M99" s="82"/>
      <c r="N99" s="82"/>
      <c r="O99" s="82"/>
      <c r="P99" s="1769"/>
      <c r="Q99" s="1769"/>
      <c r="R99" s="1769"/>
      <c r="S99" s="1769"/>
      <c r="T99" s="1769"/>
    </row>
    <row r="100" spans="1:20" ht="12.75" customHeight="1" x14ac:dyDescent="0.2">
      <c r="A100" s="1780" t="s">
        <v>1817</v>
      </c>
      <c r="B100" s="1782" t="s">
        <v>1274</v>
      </c>
      <c r="C100" s="721" t="s">
        <v>1412</v>
      </c>
      <c r="D100" s="855">
        <v>77.989999999999995</v>
      </c>
      <c r="E100" s="855">
        <v>187.2</v>
      </c>
      <c r="F100" s="855">
        <v>23.317</v>
      </c>
      <c r="G100" s="855">
        <v>76.709000000000003</v>
      </c>
      <c r="H100" s="856">
        <v>335.2</v>
      </c>
      <c r="I100" s="686">
        <v>-5.1432539999999998</v>
      </c>
      <c r="J100" s="686">
        <v>0</v>
      </c>
      <c r="K100" s="82"/>
      <c r="L100" s="82"/>
      <c r="M100" s="82"/>
      <c r="N100" s="82"/>
      <c r="O100" s="82"/>
      <c r="P100" s="1769"/>
      <c r="Q100" s="1769"/>
      <c r="R100" s="1769"/>
      <c r="S100" s="1769"/>
      <c r="T100" s="1769"/>
    </row>
    <row r="101" spans="1:20" ht="12.75" customHeight="1" x14ac:dyDescent="0.2">
      <c r="A101" s="1780" t="s">
        <v>1817</v>
      </c>
      <c r="B101" s="1782" t="s">
        <v>1274</v>
      </c>
      <c r="C101" s="720" t="s">
        <v>1413</v>
      </c>
      <c r="D101" s="851">
        <v>2251.13</v>
      </c>
      <c r="E101" s="851">
        <v>144.80000000000001</v>
      </c>
      <c r="F101" s="851">
        <v>194.56399999999999</v>
      </c>
      <c r="G101" s="851">
        <v>96.262</v>
      </c>
      <c r="H101" s="852">
        <v>19.7</v>
      </c>
      <c r="I101" s="664">
        <v>-18.858598000000001</v>
      </c>
      <c r="J101" s="664">
        <v>0</v>
      </c>
      <c r="K101" s="82"/>
      <c r="L101" s="82"/>
      <c r="M101" s="82"/>
      <c r="N101" s="82"/>
      <c r="O101" s="82"/>
      <c r="P101" s="1769"/>
      <c r="Q101" s="1769"/>
      <c r="R101" s="1769"/>
      <c r="S101" s="1769"/>
      <c r="T101" s="1769"/>
    </row>
    <row r="102" spans="1:20" ht="12.75" customHeight="1" x14ac:dyDescent="0.2">
      <c r="A102" s="1780" t="s">
        <v>1817</v>
      </c>
      <c r="B102" s="1782" t="s">
        <v>1274</v>
      </c>
      <c r="C102" s="721" t="s">
        <v>1414</v>
      </c>
      <c r="D102" s="855">
        <v>2847.1</v>
      </c>
      <c r="E102" s="855">
        <v>22556.2</v>
      </c>
      <c r="F102" s="855">
        <v>58.804000000000002</v>
      </c>
      <c r="G102" s="855">
        <v>791.66399999999999</v>
      </c>
      <c r="H102" s="856">
        <v>7.7</v>
      </c>
      <c r="I102" s="686">
        <v>228.017594</v>
      </c>
      <c r="J102" s="686">
        <v>1.714418</v>
      </c>
      <c r="K102" s="82"/>
      <c r="L102" s="82"/>
      <c r="M102" s="82"/>
      <c r="N102" s="82"/>
      <c r="O102" s="82"/>
      <c r="P102" s="1769"/>
      <c r="Q102" s="1769"/>
      <c r="R102" s="1769"/>
      <c r="S102" s="1769"/>
      <c r="T102" s="1769"/>
    </row>
    <row r="103" spans="1:20" ht="12.75" customHeight="1" x14ac:dyDescent="0.2">
      <c r="A103" s="1780" t="s">
        <v>1817</v>
      </c>
      <c r="B103" s="1782" t="s">
        <v>1274</v>
      </c>
      <c r="C103" s="720" t="s">
        <v>1415</v>
      </c>
      <c r="D103" s="851">
        <v>1267.43</v>
      </c>
      <c r="E103" s="851">
        <v>2605.6999999999998</v>
      </c>
      <c r="F103" s="851">
        <v>1844.5550000000001</v>
      </c>
      <c r="G103" s="851">
        <v>1514.789</v>
      </c>
      <c r="H103" s="852">
        <v>35.1</v>
      </c>
      <c r="I103" s="664">
        <v>7353.9960110000002</v>
      </c>
      <c r="J103" s="664">
        <v>0</v>
      </c>
      <c r="K103" s="82"/>
      <c r="L103" s="82"/>
      <c r="M103" s="82"/>
      <c r="N103" s="82"/>
      <c r="O103" s="82"/>
      <c r="P103" s="1769"/>
      <c r="Q103" s="1769"/>
      <c r="R103" s="1769"/>
      <c r="S103" s="1769"/>
      <c r="T103" s="1769"/>
    </row>
    <row r="104" spans="1:20" ht="12.75" customHeight="1" x14ac:dyDescent="0.2">
      <c r="A104" s="1780" t="s">
        <v>1817</v>
      </c>
      <c r="B104" s="1782" t="s">
        <v>1159</v>
      </c>
      <c r="C104" s="721" t="s">
        <v>1409</v>
      </c>
      <c r="D104" s="855">
        <v>126.74</v>
      </c>
      <c r="E104" s="855">
        <v>557.20000000000005</v>
      </c>
      <c r="F104" s="855">
        <v>3.9630000000000001</v>
      </c>
      <c r="G104" s="855">
        <v>2.117</v>
      </c>
      <c r="H104" s="856">
        <v>4.3</v>
      </c>
      <c r="I104" s="686">
        <v>0</v>
      </c>
      <c r="J104" s="686">
        <v>0</v>
      </c>
      <c r="K104" s="82"/>
      <c r="L104" s="82"/>
      <c r="M104" s="82"/>
      <c r="N104" s="82"/>
      <c r="O104" s="82"/>
      <c r="P104" s="1769"/>
      <c r="Q104" s="1769"/>
      <c r="R104" s="1769"/>
      <c r="S104" s="1769"/>
      <c r="T104" s="1769"/>
    </row>
    <row r="105" spans="1:20" ht="12.75" customHeight="1" x14ac:dyDescent="0.2">
      <c r="A105" s="1780" t="s">
        <v>1817</v>
      </c>
      <c r="B105" s="1782" t="s">
        <v>1159</v>
      </c>
      <c r="C105" s="720" t="s">
        <v>1410</v>
      </c>
      <c r="D105" s="851">
        <v>159.55000000000001</v>
      </c>
      <c r="E105" s="851">
        <v>1440.1</v>
      </c>
      <c r="F105" s="851">
        <v>7.6920000000000002</v>
      </c>
      <c r="G105" s="851">
        <v>392.745</v>
      </c>
      <c r="H105" s="852">
        <v>13.8</v>
      </c>
      <c r="I105" s="664">
        <v>0</v>
      </c>
      <c r="J105" s="664">
        <v>0</v>
      </c>
      <c r="K105" s="82"/>
      <c r="L105" s="82"/>
      <c r="M105" s="82"/>
      <c r="N105" s="82"/>
      <c r="O105" s="82"/>
      <c r="P105" s="1769"/>
      <c r="Q105" s="1769"/>
      <c r="R105" s="1769"/>
      <c r="S105" s="1769"/>
      <c r="T105" s="1769"/>
    </row>
    <row r="106" spans="1:20" ht="12.75" customHeight="1" x14ac:dyDescent="0.2">
      <c r="A106" s="1780" t="s">
        <v>1817</v>
      </c>
      <c r="B106" s="1782" t="s">
        <v>1159</v>
      </c>
      <c r="C106" s="721" t="s">
        <v>1411</v>
      </c>
      <c r="D106" s="855">
        <v>40423.379999999997</v>
      </c>
      <c r="E106" s="855">
        <v>386766.9</v>
      </c>
      <c r="F106" s="855">
        <v>12984.97</v>
      </c>
      <c r="G106" s="855">
        <v>21196.638999999999</v>
      </c>
      <c r="H106" s="856">
        <v>292.39999999999998</v>
      </c>
      <c r="I106" s="686">
        <v>1380.38346</v>
      </c>
      <c r="J106" s="686">
        <v>0</v>
      </c>
      <c r="K106" s="82"/>
      <c r="L106" s="82"/>
      <c r="M106" s="82"/>
      <c r="N106" s="82"/>
      <c r="O106" s="82"/>
      <c r="P106" s="1769"/>
      <c r="Q106" s="1769"/>
      <c r="R106" s="1769"/>
      <c r="S106" s="1769"/>
      <c r="T106" s="1769"/>
    </row>
    <row r="107" spans="1:20" ht="12.75" customHeight="1" x14ac:dyDescent="0.2">
      <c r="A107" s="1780" t="s">
        <v>1817</v>
      </c>
      <c r="B107" s="1782" t="s">
        <v>1159</v>
      </c>
      <c r="C107" s="720" t="s">
        <v>1412</v>
      </c>
      <c r="D107" s="851">
        <v>130.47999999999999</v>
      </c>
      <c r="E107" s="851">
        <v>73.099999999999994</v>
      </c>
      <c r="F107" s="851">
        <v>46.281999999999996</v>
      </c>
      <c r="G107" s="851">
        <v>57.216000000000001</v>
      </c>
      <c r="H107" s="852">
        <v>395.6</v>
      </c>
      <c r="I107" s="664">
        <v>0</v>
      </c>
      <c r="J107" s="664">
        <v>0</v>
      </c>
      <c r="K107" s="82"/>
      <c r="L107" s="82"/>
      <c r="M107" s="82"/>
      <c r="N107" s="82"/>
      <c r="O107" s="82"/>
      <c r="P107" s="1769"/>
      <c r="Q107" s="1769"/>
      <c r="R107" s="1769"/>
      <c r="S107" s="1769"/>
      <c r="T107" s="1769"/>
    </row>
    <row r="108" spans="1:20" ht="12.75" customHeight="1" x14ac:dyDescent="0.2">
      <c r="A108" s="1780" t="s">
        <v>1817</v>
      </c>
      <c r="B108" s="1782" t="s">
        <v>1159</v>
      </c>
      <c r="C108" s="721" t="s">
        <v>1413</v>
      </c>
      <c r="D108" s="855">
        <v>1585.77</v>
      </c>
      <c r="E108" s="855">
        <v>129.80000000000001</v>
      </c>
      <c r="F108" s="855">
        <v>179.678</v>
      </c>
      <c r="G108" s="855">
        <v>295.05200000000002</v>
      </c>
      <c r="H108" s="856">
        <v>10.3</v>
      </c>
      <c r="I108" s="686">
        <v>16.340987999999999</v>
      </c>
      <c r="J108" s="686">
        <v>0</v>
      </c>
      <c r="K108" s="82"/>
      <c r="L108" s="82"/>
      <c r="M108" s="82"/>
      <c r="N108" s="82"/>
      <c r="O108" s="82"/>
      <c r="P108" s="1769"/>
      <c r="Q108" s="1769"/>
      <c r="R108" s="1769"/>
      <c r="S108" s="1769"/>
      <c r="T108" s="1769"/>
    </row>
    <row r="109" spans="1:20" ht="12.75" customHeight="1" x14ac:dyDescent="0.2">
      <c r="A109" s="1780" t="s">
        <v>1817</v>
      </c>
      <c r="B109" s="1782" t="s">
        <v>1159</v>
      </c>
      <c r="C109" s="720" t="s">
        <v>1414</v>
      </c>
      <c r="D109" s="851">
        <v>1946.7</v>
      </c>
      <c r="E109" s="851">
        <v>22679.200000000001</v>
      </c>
      <c r="F109" s="851">
        <v>56.783999999999999</v>
      </c>
      <c r="G109" s="851">
        <v>989.43100000000004</v>
      </c>
      <c r="H109" s="852">
        <v>20.6</v>
      </c>
      <c r="I109" s="664">
        <v>372.40251599999999</v>
      </c>
      <c r="J109" s="664">
        <v>0</v>
      </c>
      <c r="K109" s="82"/>
      <c r="L109" s="82"/>
      <c r="M109" s="82"/>
      <c r="N109" s="82"/>
      <c r="O109" s="82"/>
      <c r="P109" s="1769"/>
      <c r="Q109" s="1769"/>
      <c r="R109" s="1769"/>
      <c r="S109" s="1769"/>
      <c r="T109" s="1769"/>
    </row>
    <row r="110" spans="1:20" ht="12.75" customHeight="1" x14ac:dyDescent="0.2">
      <c r="A110" s="1780" t="s">
        <v>1817</v>
      </c>
      <c r="B110" s="1782" t="s">
        <v>1159</v>
      </c>
      <c r="C110" s="721" t="s">
        <v>1415</v>
      </c>
      <c r="D110" s="855">
        <v>1450.25</v>
      </c>
      <c r="E110" s="855">
        <v>3098.2</v>
      </c>
      <c r="F110" s="855">
        <v>1706.41</v>
      </c>
      <c r="G110" s="855">
        <v>2346.413</v>
      </c>
      <c r="H110" s="856">
        <v>16.3</v>
      </c>
      <c r="I110" s="686">
        <v>-2840.7517560000001</v>
      </c>
      <c r="J110" s="686">
        <v>0</v>
      </c>
      <c r="K110" s="82"/>
      <c r="L110" s="82"/>
      <c r="M110" s="82"/>
      <c r="N110" s="82"/>
      <c r="O110" s="82"/>
      <c r="P110" s="1769"/>
      <c r="Q110" s="1769"/>
      <c r="R110" s="1769"/>
      <c r="S110" s="1769"/>
      <c r="T110" s="1769"/>
    </row>
    <row r="111" spans="1:20" ht="12.75" customHeight="1" x14ac:dyDescent="0.2">
      <c r="A111" s="1780" t="s">
        <v>1817</v>
      </c>
      <c r="B111" s="1783" t="s">
        <v>1160</v>
      </c>
      <c r="C111" s="720" t="s">
        <v>1409</v>
      </c>
      <c r="D111" s="851">
        <v>216.29</v>
      </c>
      <c r="E111" s="851">
        <v>359.9</v>
      </c>
      <c r="F111" s="851">
        <v>9.0060000000000002</v>
      </c>
      <c r="G111" s="851">
        <v>1.833</v>
      </c>
      <c r="H111" s="852">
        <v>18</v>
      </c>
      <c r="I111" s="664">
        <v>0</v>
      </c>
      <c r="J111" s="664">
        <v>0</v>
      </c>
      <c r="K111" s="82"/>
      <c r="L111" s="82"/>
      <c r="M111" s="82"/>
      <c r="N111" s="82"/>
      <c r="O111" s="82"/>
      <c r="P111" s="1769"/>
      <c r="Q111" s="1769"/>
      <c r="R111" s="1769"/>
      <c r="S111" s="1769"/>
      <c r="T111" s="1769"/>
    </row>
    <row r="112" spans="1:20" ht="12.75" customHeight="1" x14ac:dyDescent="0.2">
      <c r="A112" s="1780" t="s">
        <v>1817</v>
      </c>
      <c r="B112" s="1783" t="s">
        <v>1160</v>
      </c>
      <c r="C112" s="721" t="s">
        <v>1410</v>
      </c>
      <c r="D112" s="855">
        <v>239.46</v>
      </c>
      <c r="E112" s="855">
        <v>1231.5</v>
      </c>
      <c r="F112" s="855">
        <v>14.302</v>
      </c>
      <c r="G112" s="855">
        <v>495.08800000000002</v>
      </c>
      <c r="H112" s="856">
        <v>23.9</v>
      </c>
      <c r="I112" s="686">
        <v>0</v>
      </c>
      <c r="J112" s="686">
        <v>0</v>
      </c>
      <c r="K112" s="82"/>
      <c r="L112" s="82"/>
      <c r="M112" s="82"/>
      <c r="N112" s="82"/>
      <c r="O112" s="82"/>
      <c r="P112" s="1769"/>
      <c r="Q112" s="1769"/>
      <c r="R112" s="1769"/>
      <c r="S112" s="1769"/>
      <c r="T112" s="1769"/>
    </row>
    <row r="113" spans="1:20" ht="12.75" customHeight="1" x14ac:dyDescent="0.2">
      <c r="A113" s="1780" t="s">
        <v>1817</v>
      </c>
      <c r="B113" s="1783" t="s">
        <v>1160</v>
      </c>
      <c r="C113" s="720" t="s">
        <v>1411</v>
      </c>
      <c r="D113" s="851">
        <v>40756.1</v>
      </c>
      <c r="E113" s="851">
        <v>326287</v>
      </c>
      <c r="F113" s="851">
        <v>13236.558999999999</v>
      </c>
      <c r="G113" s="851">
        <v>22687.867999999999</v>
      </c>
      <c r="H113" s="852">
        <v>265.3</v>
      </c>
      <c r="I113" s="664">
        <v>4236.1674254199997</v>
      </c>
      <c r="J113" s="664">
        <v>0</v>
      </c>
      <c r="K113" s="82"/>
      <c r="L113" s="82"/>
      <c r="M113" s="82"/>
      <c r="N113" s="82"/>
      <c r="O113" s="82"/>
      <c r="P113" s="1769"/>
      <c r="Q113" s="1769"/>
      <c r="R113" s="1769"/>
      <c r="S113" s="1769"/>
      <c r="T113" s="1769"/>
    </row>
    <row r="114" spans="1:20" ht="12.75" customHeight="1" x14ac:dyDescent="0.2">
      <c r="A114" s="1780" t="s">
        <v>1817</v>
      </c>
      <c r="B114" s="1783" t="s">
        <v>1160</v>
      </c>
      <c r="C114" s="721" t="s">
        <v>1412</v>
      </c>
      <c r="D114" s="855">
        <v>120.38</v>
      </c>
      <c r="E114" s="855">
        <v>62.8</v>
      </c>
      <c r="F114" s="855">
        <v>80.408000000000001</v>
      </c>
      <c r="G114" s="855">
        <v>69.894000000000005</v>
      </c>
      <c r="H114" s="856">
        <v>671.2</v>
      </c>
      <c r="I114" s="686">
        <v>0</v>
      </c>
      <c r="J114" s="686">
        <v>0</v>
      </c>
      <c r="K114" s="82"/>
      <c r="L114" s="82"/>
      <c r="M114" s="82"/>
      <c r="N114" s="82"/>
      <c r="O114" s="82"/>
      <c r="P114" s="1769"/>
      <c r="Q114" s="1769"/>
      <c r="R114" s="1769"/>
      <c r="S114" s="1769"/>
      <c r="T114" s="1769"/>
    </row>
    <row r="115" spans="1:20" ht="12.75" customHeight="1" x14ac:dyDescent="0.2">
      <c r="A115" s="1780" t="s">
        <v>1817</v>
      </c>
      <c r="B115" s="1783" t="s">
        <v>1160</v>
      </c>
      <c r="C115" s="720" t="s">
        <v>1413</v>
      </c>
      <c r="D115" s="851">
        <v>1417.53</v>
      </c>
      <c r="E115" s="851">
        <v>149.9</v>
      </c>
      <c r="F115" s="851">
        <v>195.34700000000001</v>
      </c>
      <c r="G115" s="851">
        <v>632.19299999999998</v>
      </c>
      <c r="H115" s="852">
        <v>10.6</v>
      </c>
      <c r="I115" s="664">
        <v>4.42558235</v>
      </c>
      <c r="J115" s="664">
        <v>0</v>
      </c>
      <c r="K115" s="82"/>
      <c r="L115" s="82"/>
      <c r="M115" s="82"/>
      <c r="N115" s="82"/>
      <c r="O115" s="82"/>
      <c r="P115" s="1769"/>
      <c r="Q115" s="1769"/>
      <c r="R115" s="1769"/>
      <c r="S115" s="1769"/>
      <c r="T115" s="1769"/>
    </row>
    <row r="116" spans="1:20" ht="12.75" customHeight="1" x14ac:dyDescent="0.2">
      <c r="A116" s="1780" t="s">
        <v>1817</v>
      </c>
      <c r="B116" s="1783" t="s">
        <v>1160</v>
      </c>
      <c r="C116" s="721" t="s">
        <v>1414</v>
      </c>
      <c r="D116" s="855">
        <v>2321.94</v>
      </c>
      <c r="E116" s="855">
        <v>21318.5</v>
      </c>
      <c r="F116" s="855">
        <v>87.68</v>
      </c>
      <c r="G116" s="855">
        <v>825.47199999999998</v>
      </c>
      <c r="H116" s="856">
        <v>20.2</v>
      </c>
      <c r="I116" s="686">
        <v>200.92143869</v>
      </c>
      <c r="J116" s="686">
        <v>0</v>
      </c>
      <c r="K116" s="82"/>
      <c r="L116" s="82"/>
      <c r="M116" s="82"/>
      <c r="N116" s="82"/>
      <c r="O116" s="82"/>
      <c r="P116" s="1769"/>
      <c r="Q116" s="1769"/>
      <c r="R116" s="1769"/>
      <c r="S116" s="1769"/>
      <c r="T116" s="1769"/>
    </row>
    <row r="117" spans="1:20" ht="12.75" customHeight="1" x14ac:dyDescent="0.2">
      <c r="A117" s="1780" t="s">
        <v>1817</v>
      </c>
      <c r="B117" s="1783" t="s">
        <v>1160</v>
      </c>
      <c r="C117" s="722" t="s">
        <v>1415</v>
      </c>
      <c r="D117" s="857">
        <v>1114.51</v>
      </c>
      <c r="E117" s="857">
        <v>3929.8</v>
      </c>
      <c r="F117" s="858">
        <v>2033.0709999999999</v>
      </c>
      <c r="G117" s="858">
        <v>2292.027</v>
      </c>
      <c r="H117" s="859">
        <v>39.9</v>
      </c>
      <c r="I117" s="664">
        <v>373.51915033999995</v>
      </c>
      <c r="J117" s="664">
        <v>0</v>
      </c>
      <c r="K117" s="82"/>
      <c r="L117" s="82"/>
      <c r="M117" s="82"/>
      <c r="N117" s="82"/>
      <c r="O117" s="82"/>
      <c r="P117" s="1769"/>
      <c r="Q117" s="1769"/>
      <c r="R117" s="1769"/>
      <c r="S117" s="1769"/>
      <c r="T117" s="1769"/>
    </row>
    <row r="118" spans="1:20" ht="12.75" customHeight="1" x14ac:dyDescent="0.2">
      <c r="A118" s="1780" t="s">
        <v>2066</v>
      </c>
      <c r="B118" s="1782" t="s">
        <v>3063</v>
      </c>
      <c r="C118" s="717" t="s">
        <v>1409</v>
      </c>
      <c r="D118" s="848">
        <v>141.09</v>
      </c>
      <c r="E118" s="848">
        <v>162.52000000000001</v>
      </c>
      <c r="F118" s="848">
        <v>26.832999999999998</v>
      </c>
      <c r="G118" s="849">
        <v>6.4827589999999997</v>
      </c>
      <c r="H118" s="850">
        <v>49.32</v>
      </c>
      <c r="I118" s="663">
        <v>0</v>
      </c>
      <c r="J118" s="663">
        <v>0</v>
      </c>
      <c r="K118" s="82"/>
      <c r="L118" s="82"/>
      <c r="M118" s="82"/>
      <c r="N118" s="82"/>
      <c r="O118" s="82"/>
      <c r="P118" s="1769"/>
      <c r="Q118" s="1769"/>
      <c r="R118" s="1769"/>
      <c r="S118" s="1769"/>
      <c r="T118" s="1769"/>
    </row>
    <row r="119" spans="1:20" ht="12.75" customHeight="1" x14ac:dyDescent="0.2">
      <c r="A119" s="1780" t="s">
        <v>2066</v>
      </c>
      <c r="B119" s="1782" t="s">
        <v>3063</v>
      </c>
      <c r="C119" s="718" t="s">
        <v>1410</v>
      </c>
      <c r="D119" s="851">
        <v>631.16999999999996</v>
      </c>
      <c r="E119" s="851">
        <v>1107.47</v>
      </c>
      <c r="F119" s="851">
        <v>23.18</v>
      </c>
      <c r="G119" s="852">
        <v>439.89064500000001</v>
      </c>
      <c r="H119" s="853">
        <v>25.53</v>
      </c>
      <c r="I119" s="664">
        <v>0</v>
      </c>
      <c r="J119" s="664">
        <v>0</v>
      </c>
      <c r="K119" s="82"/>
      <c r="L119" s="82"/>
      <c r="M119" s="82"/>
      <c r="N119" s="82"/>
      <c r="O119" s="82"/>
      <c r="P119" s="1769"/>
      <c r="Q119" s="1769"/>
      <c r="R119" s="1769"/>
      <c r="S119" s="1769"/>
      <c r="T119" s="1769"/>
    </row>
    <row r="120" spans="1:20" ht="12.75" customHeight="1" x14ac:dyDescent="0.2">
      <c r="A120" s="1780" t="s">
        <v>2066</v>
      </c>
      <c r="B120" s="1782" t="s">
        <v>3063</v>
      </c>
      <c r="C120" s="719" t="s">
        <v>1411</v>
      </c>
      <c r="D120" s="847">
        <v>58083.4</v>
      </c>
      <c r="E120" s="847">
        <v>254074.2</v>
      </c>
      <c r="F120" s="847">
        <v>12254.751</v>
      </c>
      <c r="G120" s="847">
        <v>27888.328357999999</v>
      </c>
      <c r="H120" s="849">
        <v>259.44</v>
      </c>
      <c r="I120" s="699">
        <v>2545.4900850000004</v>
      </c>
      <c r="J120" s="699">
        <v>0</v>
      </c>
      <c r="K120" s="82"/>
      <c r="L120" s="82"/>
      <c r="M120" s="82"/>
      <c r="N120" s="82"/>
      <c r="O120" s="82"/>
      <c r="P120" s="1769"/>
      <c r="Q120" s="1769"/>
      <c r="R120" s="1769"/>
      <c r="S120" s="1769"/>
      <c r="T120" s="1769"/>
    </row>
    <row r="121" spans="1:20" ht="12.75" customHeight="1" x14ac:dyDescent="0.2">
      <c r="A121" s="1780" t="s">
        <v>2066</v>
      </c>
      <c r="B121" s="1782" t="s">
        <v>3063</v>
      </c>
      <c r="C121" s="718" t="s">
        <v>1412</v>
      </c>
      <c r="D121" s="851">
        <v>56.23</v>
      </c>
      <c r="E121" s="851">
        <v>89</v>
      </c>
      <c r="F121" s="851">
        <v>71.741</v>
      </c>
      <c r="G121" s="851">
        <v>106.11881099999999</v>
      </c>
      <c r="H121" s="852">
        <v>624.62</v>
      </c>
      <c r="I121" s="664">
        <v>0</v>
      </c>
      <c r="J121" s="664">
        <v>0</v>
      </c>
      <c r="K121" s="82"/>
      <c r="L121" s="82"/>
      <c r="M121" s="82"/>
      <c r="N121" s="82"/>
      <c r="O121" s="82"/>
      <c r="P121" s="1769"/>
      <c r="Q121" s="1769"/>
      <c r="R121" s="1769"/>
      <c r="S121" s="1769"/>
      <c r="T121" s="1769"/>
    </row>
    <row r="122" spans="1:20" ht="12.75" customHeight="1" x14ac:dyDescent="0.2">
      <c r="A122" s="1780" t="s">
        <v>2066</v>
      </c>
      <c r="B122" s="1782" t="s">
        <v>3063</v>
      </c>
      <c r="C122" s="719" t="s">
        <v>1413</v>
      </c>
      <c r="D122" s="847">
        <v>1497.67</v>
      </c>
      <c r="E122" s="847">
        <v>30.55</v>
      </c>
      <c r="F122" s="847">
        <v>187.899</v>
      </c>
      <c r="G122" s="847">
        <v>142.53434999999999</v>
      </c>
      <c r="H122" s="854">
        <v>16.079999999999998</v>
      </c>
      <c r="I122" s="663">
        <v>15.168656</v>
      </c>
      <c r="J122" s="663">
        <v>0</v>
      </c>
      <c r="K122" s="82"/>
      <c r="L122" s="82"/>
      <c r="M122" s="82"/>
      <c r="N122" s="82"/>
      <c r="O122" s="82"/>
      <c r="P122" s="1769"/>
      <c r="Q122" s="1769"/>
      <c r="R122" s="1769"/>
      <c r="S122" s="1769"/>
      <c r="T122" s="1769"/>
    </row>
    <row r="123" spans="1:20" ht="12.75" customHeight="1" x14ac:dyDescent="0.2">
      <c r="A123" s="1780" t="s">
        <v>2066</v>
      </c>
      <c r="B123" s="1782" t="s">
        <v>3063</v>
      </c>
      <c r="C123" s="718" t="s">
        <v>1414</v>
      </c>
      <c r="D123" s="851">
        <v>1793.77</v>
      </c>
      <c r="E123" s="851">
        <v>21393.89</v>
      </c>
      <c r="F123" s="851">
        <v>76.87</v>
      </c>
      <c r="G123" s="851">
        <v>820.59227699999997</v>
      </c>
      <c r="H123" s="852">
        <v>13.27</v>
      </c>
      <c r="I123" s="664">
        <v>464.54009000000008</v>
      </c>
      <c r="J123" s="664">
        <v>0</v>
      </c>
      <c r="K123" s="82"/>
      <c r="L123" s="82"/>
      <c r="M123" s="82"/>
      <c r="N123" s="82"/>
      <c r="O123" s="82"/>
      <c r="P123" s="1769"/>
      <c r="Q123" s="1769"/>
      <c r="R123" s="1769"/>
      <c r="S123" s="1769"/>
      <c r="T123" s="1769"/>
    </row>
    <row r="124" spans="1:20" ht="12.75" customHeight="1" x14ac:dyDescent="0.2">
      <c r="A124" s="1780" t="s">
        <v>2066</v>
      </c>
      <c r="B124" s="1782" t="s">
        <v>3063</v>
      </c>
      <c r="C124" s="719" t="s">
        <v>1415</v>
      </c>
      <c r="D124" s="847">
        <v>1202.51</v>
      </c>
      <c r="E124" s="847">
        <v>2822.05</v>
      </c>
      <c r="F124" s="847">
        <v>2403.4290000000001</v>
      </c>
      <c r="G124" s="847">
        <v>2647.757885</v>
      </c>
      <c r="H124" s="854">
        <v>43.64</v>
      </c>
      <c r="I124" s="663">
        <v>-896.84678600000018</v>
      </c>
      <c r="J124" s="663">
        <v>0</v>
      </c>
      <c r="K124" s="82"/>
      <c r="L124" s="82"/>
      <c r="M124" s="82"/>
      <c r="N124" s="82"/>
      <c r="O124" s="82"/>
      <c r="P124" s="1769"/>
      <c r="Q124" s="1769"/>
      <c r="R124" s="1769"/>
      <c r="S124" s="1769"/>
      <c r="T124" s="1769"/>
    </row>
    <row r="125" spans="1:20" ht="12.75" customHeight="1" x14ac:dyDescent="0.2">
      <c r="A125" s="1780" t="s">
        <v>2066</v>
      </c>
      <c r="B125" s="1782" t="s">
        <v>1274</v>
      </c>
      <c r="C125" s="720" t="s">
        <v>1409</v>
      </c>
      <c r="D125" s="851">
        <v>442.75</v>
      </c>
      <c r="E125" s="851">
        <v>194.79</v>
      </c>
      <c r="F125" s="851">
        <v>27.238</v>
      </c>
      <c r="G125" s="851">
        <v>0.89262600000000003</v>
      </c>
      <c r="H125" s="852">
        <v>9.82</v>
      </c>
      <c r="I125" s="664">
        <v>0</v>
      </c>
      <c r="J125" s="664">
        <v>0</v>
      </c>
      <c r="K125" s="82"/>
      <c r="L125" s="82"/>
      <c r="M125" s="82"/>
      <c r="N125" s="82"/>
      <c r="O125" s="82"/>
      <c r="P125" s="1769"/>
      <c r="Q125" s="1769"/>
      <c r="R125" s="1769"/>
      <c r="S125" s="1769"/>
      <c r="T125" s="1769"/>
    </row>
    <row r="126" spans="1:20" ht="12.75" customHeight="1" x14ac:dyDescent="0.2">
      <c r="A126" s="1780" t="s">
        <v>2066</v>
      </c>
      <c r="B126" s="1782" t="s">
        <v>1274</v>
      </c>
      <c r="C126" s="721" t="s">
        <v>1410</v>
      </c>
      <c r="D126" s="855">
        <v>658.58</v>
      </c>
      <c r="E126" s="855">
        <v>1488.53</v>
      </c>
      <c r="F126" s="855">
        <v>17.922000000000001</v>
      </c>
      <c r="G126" s="855">
        <v>550.29546800000003</v>
      </c>
      <c r="H126" s="856">
        <v>9.75</v>
      </c>
      <c r="I126" s="686">
        <v>0</v>
      </c>
      <c r="J126" s="686">
        <v>0</v>
      </c>
      <c r="K126" s="82"/>
      <c r="L126" s="82"/>
      <c r="M126" s="82"/>
      <c r="N126" s="82"/>
      <c r="O126" s="82"/>
      <c r="P126" s="1769"/>
      <c r="Q126" s="1769"/>
      <c r="R126" s="1769"/>
      <c r="S126" s="1769"/>
      <c r="T126" s="1769"/>
    </row>
    <row r="127" spans="1:20" ht="12.75" customHeight="1" x14ac:dyDescent="0.2">
      <c r="A127" s="1780" t="s">
        <v>2066</v>
      </c>
      <c r="B127" s="1782" t="s">
        <v>1274</v>
      </c>
      <c r="C127" s="720" t="s">
        <v>1411</v>
      </c>
      <c r="D127" s="851">
        <v>51371.41</v>
      </c>
      <c r="E127" s="851">
        <v>221341.95</v>
      </c>
      <c r="F127" s="851">
        <v>13777.376</v>
      </c>
      <c r="G127" s="851">
        <v>21255.968271999998</v>
      </c>
      <c r="H127" s="852">
        <v>171.08</v>
      </c>
      <c r="I127" s="664">
        <v>3464.1689580000002</v>
      </c>
      <c r="J127" s="664">
        <v>0</v>
      </c>
      <c r="K127" s="82"/>
      <c r="L127" s="82"/>
      <c r="M127" s="82"/>
      <c r="N127" s="82"/>
      <c r="O127" s="82"/>
      <c r="P127" s="1769"/>
      <c r="Q127" s="1769"/>
      <c r="R127" s="1769"/>
      <c r="S127" s="1769"/>
      <c r="T127" s="1769"/>
    </row>
    <row r="128" spans="1:20" ht="12.75" customHeight="1" x14ac:dyDescent="0.2">
      <c r="A128" s="1780" t="s">
        <v>2066</v>
      </c>
      <c r="B128" s="1782" t="s">
        <v>1274</v>
      </c>
      <c r="C128" s="721" t="s">
        <v>1412</v>
      </c>
      <c r="D128" s="855">
        <v>110.23</v>
      </c>
      <c r="E128" s="855">
        <v>116.37</v>
      </c>
      <c r="F128" s="855">
        <v>29.437000000000001</v>
      </c>
      <c r="G128" s="855">
        <v>121.494038</v>
      </c>
      <c r="H128" s="856">
        <v>205.19</v>
      </c>
      <c r="I128" s="686">
        <v>0</v>
      </c>
      <c r="J128" s="686">
        <v>0</v>
      </c>
      <c r="K128" s="82"/>
      <c r="L128" s="82"/>
      <c r="M128" s="82"/>
      <c r="N128" s="82"/>
      <c r="O128" s="82"/>
      <c r="P128" s="1769"/>
      <c r="Q128" s="1769"/>
      <c r="R128" s="1769"/>
      <c r="S128" s="1769"/>
      <c r="T128" s="1769"/>
    </row>
    <row r="129" spans="1:20" ht="12.75" customHeight="1" x14ac:dyDescent="0.2">
      <c r="A129" s="1780" t="s">
        <v>2066</v>
      </c>
      <c r="B129" s="1782" t="s">
        <v>1274</v>
      </c>
      <c r="C129" s="720" t="s">
        <v>1413</v>
      </c>
      <c r="D129" s="851">
        <v>1139.3699999999999</v>
      </c>
      <c r="E129" s="851">
        <v>119.93</v>
      </c>
      <c r="F129" s="851">
        <v>179.33</v>
      </c>
      <c r="G129" s="851">
        <v>215.08420899999999</v>
      </c>
      <c r="H129" s="852">
        <v>10.74</v>
      </c>
      <c r="I129" s="664">
        <v>5.8615380000000004</v>
      </c>
      <c r="J129" s="664">
        <v>0</v>
      </c>
      <c r="K129" s="82"/>
      <c r="L129" s="82"/>
      <c r="M129" s="82"/>
      <c r="N129" s="82"/>
      <c r="O129" s="82"/>
      <c r="P129" s="1769"/>
      <c r="Q129" s="1769"/>
      <c r="R129" s="1769"/>
      <c r="S129" s="1769"/>
      <c r="T129" s="1769"/>
    </row>
    <row r="130" spans="1:20" ht="12.75" customHeight="1" x14ac:dyDescent="0.2">
      <c r="A130" s="1780" t="s">
        <v>2066</v>
      </c>
      <c r="B130" s="1782" t="s">
        <v>1274</v>
      </c>
      <c r="C130" s="721" t="s">
        <v>1414</v>
      </c>
      <c r="D130" s="855">
        <v>2184.16</v>
      </c>
      <c r="E130" s="855">
        <v>18733.57</v>
      </c>
      <c r="F130" s="855">
        <v>86.325999999999993</v>
      </c>
      <c r="G130" s="855">
        <v>682.33152099999995</v>
      </c>
      <c r="H130" s="856">
        <v>8.76</v>
      </c>
      <c r="I130" s="686">
        <v>537.30764999999997</v>
      </c>
      <c r="J130" s="686">
        <v>15.630768000000002</v>
      </c>
      <c r="K130" s="82"/>
      <c r="L130" s="82"/>
      <c r="M130" s="82"/>
      <c r="N130" s="82"/>
      <c r="O130" s="82"/>
      <c r="P130" s="1769"/>
      <c r="Q130" s="1769"/>
      <c r="R130" s="1769"/>
      <c r="S130" s="1769"/>
      <c r="T130" s="1769"/>
    </row>
    <row r="131" spans="1:20" ht="12.75" customHeight="1" x14ac:dyDescent="0.2">
      <c r="A131" s="1780" t="s">
        <v>2066</v>
      </c>
      <c r="B131" s="1782" t="s">
        <v>1274</v>
      </c>
      <c r="C131" s="720" t="s">
        <v>1415</v>
      </c>
      <c r="D131" s="851">
        <v>1709.94</v>
      </c>
      <c r="E131" s="851">
        <v>2186.34</v>
      </c>
      <c r="F131" s="851">
        <v>1908.7919999999999</v>
      </c>
      <c r="G131" s="851">
        <v>1615.115556</v>
      </c>
      <c r="H131" s="852">
        <v>26.42</v>
      </c>
      <c r="I131" s="664">
        <v>1889.3690819999999</v>
      </c>
      <c r="J131" s="664">
        <v>0</v>
      </c>
      <c r="K131" s="82"/>
      <c r="L131" s="82"/>
      <c r="M131" s="82"/>
      <c r="N131" s="82"/>
      <c r="O131" s="82"/>
      <c r="P131" s="1769"/>
      <c r="Q131" s="1769"/>
      <c r="R131" s="1769"/>
      <c r="S131" s="1769"/>
      <c r="T131" s="1769"/>
    </row>
    <row r="132" spans="1:20" ht="12.75" customHeight="1" x14ac:dyDescent="0.2">
      <c r="A132" s="1780" t="s">
        <v>2066</v>
      </c>
      <c r="B132" s="1782" t="s">
        <v>1159</v>
      </c>
      <c r="C132" s="721" t="s">
        <v>1409</v>
      </c>
      <c r="D132" s="855">
        <v>291.99</v>
      </c>
      <c r="E132" s="855">
        <v>522.82000000000005</v>
      </c>
      <c r="F132" s="855">
        <v>2.383</v>
      </c>
      <c r="G132" s="855">
        <v>2.0644779999999998</v>
      </c>
      <c r="H132" s="856">
        <v>332.72</v>
      </c>
      <c r="I132" s="686">
        <v>0</v>
      </c>
      <c r="J132" s="686">
        <v>0</v>
      </c>
      <c r="K132" s="82"/>
      <c r="L132" s="82"/>
      <c r="M132" s="82"/>
      <c r="N132" s="82"/>
      <c r="O132" s="82"/>
      <c r="P132" s="1769"/>
      <c r="Q132" s="1769"/>
      <c r="R132" s="1769"/>
      <c r="S132" s="1769"/>
      <c r="T132" s="1769"/>
    </row>
    <row r="133" spans="1:20" ht="12.75" customHeight="1" x14ac:dyDescent="0.2">
      <c r="A133" s="1780" t="s">
        <v>2066</v>
      </c>
      <c r="B133" s="1782" t="s">
        <v>1159</v>
      </c>
      <c r="C133" s="720" t="s">
        <v>1410</v>
      </c>
      <c r="D133" s="851">
        <v>498.55</v>
      </c>
      <c r="E133" s="851">
        <v>1984.67</v>
      </c>
      <c r="F133" s="851">
        <v>35.975000000000001</v>
      </c>
      <c r="G133" s="851">
        <v>647.71292500000004</v>
      </c>
      <c r="H133" s="852">
        <v>12.15</v>
      </c>
      <c r="I133" s="664">
        <v>0</v>
      </c>
      <c r="J133" s="664">
        <v>0</v>
      </c>
      <c r="K133" s="82"/>
      <c r="L133" s="82"/>
      <c r="M133" s="82"/>
      <c r="N133" s="82"/>
      <c r="O133" s="82"/>
      <c r="P133" s="1769"/>
      <c r="Q133" s="1769"/>
      <c r="R133" s="1769"/>
      <c r="S133" s="1769"/>
      <c r="T133" s="1769"/>
    </row>
    <row r="134" spans="1:20" ht="12.75" customHeight="1" x14ac:dyDescent="0.2">
      <c r="A134" s="1780" t="s">
        <v>2066</v>
      </c>
      <c r="B134" s="1782" t="s">
        <v>1159</v>
      </c>
      <c r="C134" s="721" t="s">
        <v>1411</v>
      </c>
      <c r="D134" s="855">
        <v>56243.34</v>
      </c>
      <c r="E134" s="855">
        <v>266528.31</v>
      </c>
      <c r="F134" s="855">
        <v>14182.485000000001</v>
      </c>
      <c r="G134" s="855">
        <v>24194.143076</v>
      </c>
      <c r="H134" s="856">
        <v>354.7</v>
      </c>
      <c r="I134" s="686">
        <v>3098.7321299999999</v>
      </c>
      <c r="J134" s="686">
        <v>0</v>
      </c>
      <c r="K134" s="82"/>
      <c r="L134" s="82"/>
      <c r="M134" s="82"/>
      <c r="N134" s="82"/>
      <c r="O134" s="82"/>
      <c r="P134" s="1769"/>
      <c r="Q134" s="1769"/>
      <c r="R134" s="1769"/>
      <c r="S134" s="1769"/>
      <c r="T134" s="1769"/>
    </row>
    <row r="135" spans="1:20" ht="12.75" customHeight="1" x14ac:dyDescent="0.2">
      <c r="A135" s="1780" t="s">
        <v>2066</v>
      </c>
      <c r="B135" s="1782" t="s">
        <v>1159</v>
      </c>
      <c r="C135" s="720" t="s">
        <v>1412</v>
      </c>
      <c r="D135" s="851">
        <v>120.48</v>
      </c>
      <c r="E135" s="851">
        <v>131.76</v>
      </c>
      <c r="F135" s="851">
        <v>27.827999999999999</v>
      </c>
      <c r="G135" s="851">
        <v>127.26231900000001</v>
      </c>
      <c r="H135" s="852">
        <v>363.41</v>
      </c>
      <c r="I135" s="664">
        <v>0</v>
      </c>
      <c r="J135" s="664">
        <v>0</v>
      </c>
      <c r="K135" s="82"/>
      <c r="L135" s="82"/>
      <c r="M135" s="82"/>
      <c r="N135" s="82"/>
      <c r="O135" s="82"/>
      <c r="P135" s="1769"/>
      <c r="Q135" s="1769"/>
      <c r="R135" s="1769"/>
      <c r="S135" s="1769"/>
      <c r="T135" s="1769"/>
    </row>
    <row r="136" spans="1:20" ht="12.75" customHeight="1" x14ac:dyDescent="0.2">
      <c r="A136" s="1780" t="s">
        <v>2066</v>
      </c>
      <c r="B136" s="1782" t="s">
        <v>1159</v>
      </c>
      <c r="C136" s="721" t="s">
        <v>1413</v>
      </c>
      <c r="D136" s="855">
        <v>883.5</v>
      </c>
      <c r="E136" s="855">
        <v>122.3</v>
      </c>
      <c r="F136" s="855">
        <v>203.24600000000001</v>
      </c>
      <c r="G136" s="855">
        <v>213.658784</v>
      </c>
      <c r="H136" s="856">
        <v>15.11</v>
      </c>
      <c r="I136" s="686">
        <v>-3.0280770000000001</v>
      </c>
      <c r="J136" s="686">
        <v>0</v>
      </c>
      <c r="K136" s="82"/>
      <c r="L136" s="82"/>
      <c r="M136" s="82"/>
      <c r="N136" s="82"/>
      <c r="O136" s="82"/>
      <c r="P136" s="1769"/>
      <c r="Q136" s="1769"/>
      <c r="R136" s="1769"/>
      <c r="S136" s="1769"/>
      <c r="T136" s="1769"/>
    </row>
    <row r="137" spans="1:20" ht="12.75" customHeight="1" x14ac:dyDescent="0.2">
      <c r="A137" s="1780" t="s">
        <v>2066</v>
      </c>
      <c r="B137" s="1782" t="s">
        <v>1159</v>
      </c>
      <c r="C137" s="720" t="s">
        <v>1414</v>
      </c>
      <c r="D137" s="851">
        <v>2011.02</v>
      </c>
      <c r="E137" s="851">
        <v>16733.939999999999</v>
      </c>
      <c r="F137" s="851">
        <v>79.353999999999999</v>
      </c>
      <c r="G137" s="851">
        <v>585.94272999999998</v>
      </c>
      <c r="H137" s="852">
        <v>18.2</v>
      </c>
      <c r="I137" s="664">
        <v>519.819885</v>
      </c>
      <c r="J137" s="664">
        <v>0</v>
      </c>
      <c r="K137" s="82"/>
      <c r="L137" s="82"/>
      <c r="M137" s="82"/>
      <c r="N137" s="82"/>
      <c r="O137" s="82"/>
      <c r="P137" s="1769"/>
      <c r="Q137" s="1769"/>
      <c r="R137" s="1769"/>
      <c r="S137" s="1769"/>
      <c r="T137" s="1769"/>
    </row>
    <row r="138" spans="1:20" ht="12.75" customHeight="1" x14ac:dyDescent="0.2">
      <c r="A138" s="1780" t="s">
        <v>2066</v>
      </c>
      <c r="B138" s="1782" t="s">
        <v>1159</v>
      </c>
      <c r="C138" s="721" t="s">
        <v>1415</v>
      </c>
      <c r="D138" s="855">
        <v>1808.12</v>
      </c>
      <c r="E138" s="855">
        <v>2262.6999999999998</v>
      </c>
      <c r="F138" s="855">
        <v>1590.4690000000001</v>
      </c>
      <c r="G138" s="855">
        <v>1538.3974000000001</v>
      </c>
      <c r="H138" s="856">
        <v>48.48</v>
      </c>
      <c r="I138" s="686">
        <v>1219.305672</v>
      </c>
      <c r="J138" s="686">
        <v>0</v>
      </c>
      <c r="K138" s="82"/>
      <c r="L138" s="82"/>
      <c r="M138" s="82"/>
      <c r="N138" s="82"/>
      <c r="O138" s="82"/>
      <c r="P138" s="1769"/>
      <c r="Q138" s="1769"/>
      <c r="R138" s="1769"/>
      <c r="S138" s="1769"/>
      <c r="T138" s="1769"/>
    </row>
    <row r="139" spans="1:20" ht="12.75" customHeight="1" x14ac:dyDescent="0.2">
      <c r="A139" s="1780" t="s">
        <v>2066</v>
      </c>
      <c r="B139" s="1783" t="s">
        <v>1160</v>
      </c>
      <c r="C139" s="720" t="s">
        <v>1409</v>
      </c>
      <c r="D139" s="851">
        <v>250.12</v>
      </c>
      <c r="E139" s="851">
        <v>697.81</v>
      </c>
      <c r="F139" s="851">
        <v>1.516</v>
      </c>
      <c r="G139" s="851">
        <v>3.3808029999999998</v>
      </c>
      <c r="H139" s="852">
        <v>13.62</v>
      </c>
      <c r="I139" s="664">
        <v>0</v>
      </c>
      <c r="J139" s="664">
        <v>0</v>
      </c>
      <c r="K139" s="82"/>
      <c r="L139" s="82"/>
      <c r="M139" s="82"/>
      <c r="N139" s="82"/>
      <c r="O139" s="82"/>
      <c r="P139" s="1769"/>
      <c r="Q139" s="1769"/>
      <c r="R139" s="1769"/>
      <c r="S139" s="1769"/>
      <c r="T139" s="1769"/>
    </row>
    <row r="140" spans="1:20" ht="12.75" customHeight="1" x14ac:dyDescent="0.2">
      <c r="A140" s="1780" t="s">
        <v>2066</v>
      </c>
      <c r="B140" s="1783" t="s">
        <v>1160</v>
      </c>
      <c r="C140" s="721" t="s">
        <v>1410</v>
      </c>
      <c r="D140" s="855">
        <v>394.1</v>
      </c>
      <c r="E140" s="855">
        <v>1404.64</v>
      </c>
      <c r="F140" s="855">
        <v>28.128</v>
      </c>
      <c r="G140" s="855">
        <v>572.340103</v>
      </c>
      <c r="H140" s="856">
        <v>26.23</v>
      </c>
      <c r="I140" s="686">
        <v>0</v>
      </c>
      <c r="J140" s="686">
        <v>0</v>
      </c>
      <c r="K140" s="82"/>
      <c r="L140" s="82"/>
      <c r="M140" s="82"/>
      <c r="N140" s="82"/>
      <c r="O140" s="82"/>
      <c r="P140" s="1769"/>
      <c r="Q140" s="1769"/>
      <c r="R140" s="1769"/>
      <c r="S140" s="1769"/>
      <c r="T140" s="1769"/>
    </row>
    <row r="141" spans="1:20" ht="12.75" customHeight="1" x14ac:dyDescent="0.2">
      <c r="A141" s="1780" t="s">
        <v>2066</v>
      </c>
      <c r="B141" s="1783" t="s">
        <v>1160</v>
      </c>
      <c r="C141" s="720" t="s">
        <v>1411</v>
      </c>
      <c r="D141" s="851">
        <v>45291.519999999997</v>
      </c>
      <c r="E141" s="851">
        <v>254346.39</v>
      </c>
      <c r="F141" s="851">
        <v>14767.982</v>
      </c>
      <c r="G141" s="851">
        <v>24140.255107000001</v>
      </c>
      <c r="H141" s="852">
        <v>304.24</v>
      </c>
      <c r="I141" s="664">
        <v>2805.6767290000003</v>
      </c>
      <c r="J141" s="664">
        <v>0</v>
      </c>
      <c r="K141" s="82"/>
      <c r="L141" s="82"/>
      <c r="M141" s="82"/>
      <c r="N141" s="82"/>
      <c r="O141" s="82"/>
      <c r="P141" s="1769"/>
      <c r="Q141" s="1769"/>
      <c r="R141" s="1769"/>
      <c r="S141" s="1769"/>
      <c r="T141" s="1769"/>
    </row>
    <row r="142" spans="1:20" ht="12.75" customHeight="1" x14ac:dyDescent="0.2">
      <c r="A142" s="1780" t="s">
        <v>2066</v>
      </c>
      <c r="B142" s="1783" t="s">
        <v>1160</v>
      </c>
      <c r="C142" s="721" t="s">
        <v>1412</v>
      </c>
      <c r="D142" s="855">
        <v>98.49</v>
      </c>
      <c r="E142" s="855">
        <v>132.01</v>
      </c>
      <c r="F142" s="855">
        <v>124.63800000000001</v>
      </c>
      <c r="G142" s="855">
        <v>88.15607</v>
      </c>
      <c r="H142" s="856">
        <v>1619.45</v>
      </c>
      <c r="I142" s="686">
        <v>0</v>
      </c>
      <c r="J142" s="686">
        <v>0</v>
      </c>
      <c r="K142" s="82"/>
      <c r="L142" s="82"/>
      <c r="M142" s="82"/>
      <c r="N142" s="82"/>
      <c r="O142" s="82"/>
      <c r="P142" s="1769"/>
      <c r="Q142" s="1769"/>
      <c r="R142" s="1769"/>
      <c r="S142" s="1769"/>
      <c r="T142" s="1769"/>
    </row>
    <row r="143" spans="1:20" ht="12.75" customHeight="1" x14ac:dyDescent="0.2">
      <c r="A143" s="1780" t="s">
        <v>2066</v>
      </c>
      <c r="B143" s="1783" t="s">
        <v>1160</v>
      </c>
      <c r="C143" s="720" t="s">
        <v>1413</v>
      </c>
      <c r="D143" s="851">
        <v>848.24</v>
      </c>
      <c r="E143" s="851">
        <v>118.49</v>
      </c>
      <c r="F143" s="851">
        <v>332.75</v>
      </c>
      <c r="G143" s="851">
        <v>331.73134299999998</v>
      </c>
      <c r="H143" s="852">
        <v>29.32</v>
      </c>
      <c r="I143" s="664">
        <v>11.485837</v>
      </c>
      <c r="J143" s="664">
        <v>0</v>
      </c>
      <c r="K143" s="82"/>
      <c r="L143" s="82"/>
      <c r="M143" s="82"/>
      <c r="N143" s="82"/>
      <c r="O143" s="82"/>
      <c r="P143" s="1769"/>
      <c r="Q143" s="1769"/>
      <c r="R143" s="1769"/>
      <c r="S143" s="1769"/>
      <c r="T143" s="1769"/>
    </row>
    <row r="144" spans="1:20" ht="12.75" customHeight="1" x14ac:dyDescent="0.2">
      <c r="A144" s="1780" t="s">
        <v>2066</v>
      </c>
      <c r="B144" s="1783" t="s">
        <v>1160</v>
      </c>
      <c r="C144" s="721" t="s">
        <v>1414</v>
      </c>
      <c r="D144" s="855">
        <v>2376.98</v>
      </c>
      <c r="E144" s="855">
        <v>18003.12</v>
      </c>
      <c r="F144" s="855">
        <v>49.561</v>
      </c>
      <c r="G144" s="855">
        <v>633.985321</v>
      </c>
      <c r="H144" s="856">
        <v>20.84</v>
      </c>
      <c r="I144" s="686">
        <v>44.899180999999999</v>
      </c>
      <c r="J144" s="686">
        <v>0</v>
      </c>
      <c r="K144" s="82"/>
      <c r="L144" s="82"/>
      <c r="M144" s="82"/>
      <c r="N144" s="82"/>
      <c r="O144" s="82"/>
      <c r="P144" s="1769"/>
      <c r="Q144" s="1769"/>
      <c r="R144" s="1769"/>
      <c r="S144" s="1769"/>
      <c r="T144" s="1769"/>
    </row>
    <row r="145" spans="1:22" ht="12.75" customHeight="1" x14ac:dyDescent="0.2">
      <c r="A145" s="1780" t="s">
        <v>2066</v>
      </c>
      <c r="B145" s="1783" t="s">
        <v>1160</v>
      </c>
      <c r="C145" s="722" t="s">
        <v>1415</v>
      </c>
      <c r="D145" s="857">
        <v>1981.03</v>
      </c>
      <c r="E145" s="857">
        <v>2627.92</v>
      </c>
      <c r="F145" s="858">
        <v>1529.9939999999999</v>
      </c>
      <c r="G145" s="858">
        <v>2053.3942339999999</v>
      </c>
      <c r="H145" s="859">
        <v>18.760000000000002</v>
      </c>
      <c r="I145" s="664">
        <v>1390.8304440000002</v>
      </c>
      <c r="J145" s="664">
        <v>0</v>
      </c>
      <c r="K145" s="82"/>
      <c r="L145" s="82"/>
      <c r="M145" s="82"/>
      <c r="N145" s="82"/>
      <c r="O145" s="82"/>
      <c r="P145" s="1769"/>
      <c r="Q145" s="1769"/>
      <c r="R145" s="1769"/>
      <c r="S145" s="1769"/>
      <c r="T145" s="1769"/>
    </row>
    <row r="146" spans="1:22" ht="15" customHeight="1" x14ac:dyDescent="0.2">
      <c r="A146" s="1771" t="s">
        <v>2206</v>
      </c>
      <c r="B146" s="1775" t="s">
        <v>3063</v>
      </c>
      <c r="C146" s="1776" t="s">
        <v>1409</v>
      </c>
      <c r="D146" s="1777">
        <v>195.74</v>
      </c>
      <c r="E146" s="1777">
        <v>187.81</v>
      </c>
      <c r="F146" s="1777">
        <v>1.921</v>
      </c>
      <c r="G146" s="1777">
        <v>1.8773960000000001</v>
      </c>
      <c r="H146" s="1777">
        <v>3.2834503010160132</v>
      </c>
      <c r="I146" s="1778">
        <v>-0.1470872</v>
      </c>
      <c r="J146" s="1778">
        <v>0</v>
      </c>
      <c r="P146" s="1769"/>
      <c r="Q146" s="1769"/>
      <c r="R146" s="1769"/>
      <c r="S146" s="1769"/>
      <c r="T146" s="1769"/>
      <c r="U146" s="1769"/>
      <c r="V146" s="1769"/>
    </row>
    <row r="147" spans="1:22" ht="15" customHeight="1" x14ac:dyDescent="0.2">
      <c r="A147" s="1771" t="s">
        <v>2206</v>
      </c>
      <c r="B147" s="1775" t="s">
        <v>3063</v>
      </c>
      <c r="C147" s="1776" t="s">
        <v>1410</v>
      </c>
      <c r="D147" s="1777">
        <v>221.26</v>
      </c>
      <c r="E147" s="1777">
        <v>1133.72</v>
      </c>
      <c r="F147" s="1777">
        <v>35.64</v>
      </c>
      <c r="G147" s="1777">
        <v>625.38148100000001</v>
      </c>
      <c r="H147" s="1777">
        <v>120.603594805284</v>
      </c>
      <c r="I147" s="1778">
        <v>0.33824140999999996</v>
      </c>
      <c r="J147" s="1778">
        <v>0</v>
      </c>
      <c r="P147" s="1769"/>
      <c r="Q147" s="1769"/>
      <c r="R147" s="1769"/>
      <c r="S147" s="1769"/>
      <c r="T147" s="1769"/>
    </row>
    <row r="148" spans="1:22" ht="15" customHeight="1" x14ac:dyDescent="0.2">
      <c r="A148" s="1771" t="s">
        <v>2206</v>
      </c>
      <c r="B148" s="1775" t="s">
        <v>3063</v>
      </c>
      <c r="C148" s="1776" t="s">
        <v>1411</v>
      </c>
      <c r="D148" s="1777">
        <v>48239.13</v>
      </c>
      <c r="E148" s="1777">
        <v>227772.07</v>
      </c>
      <c r="F148" s="1777">
        <v>12413.24</v>
      </c>
      <c r="G148" s="1777">
        <v>36767.810983000003</v>
      </c>
      <c r="H148" s="1777">
        <v>296.79460772231005</v>
      </c>
      <c r="I148" s="1778">
        <v>3592.8292079399998</v>
      </c>
      <c r="J148" s="1778">
        <v>0</v>
      </c>
      <c r="L148" s="82"/>
      <c r="M148" s="82"/>
      <c r="N148" s="82"/>
      <c r="O148" s="82"/>
      <c r="P148" s="82"/>
      <c r="Q148" s="1769"/>
      <c r="R148" s="1769"/>
      <c r="S148" s="1769"/>
      <c r="T148" s="1769"/>
    </row>
    <row r="149" spans="1:22" ht="15" customHeight="1" x14ac:dyDescent="0.2">
      <c r="A149" s="1771" t="s">
        <v>2206</v>
      </c>
      <c r="B149" s="1775" t="s">
        <v>3063</v>
      </c>
      <c r="C149" s="1776" t="s">
        <v>1412</v>
      </c>
      <c r="D149" s="1777">
        <v>191.98</v>
      </c>
      <c r="E149" s="1777">
        <v>98.8</v>
      </c>
      <c r="F149" s="1777">
        <v>104.268</v>
      </c>
      <c r="G149" s="1777">
        <v>116.032993</v>
      </c>
      <c r="H149" s="1777">
        <v>1103.7285731724089</v>
      </c>
      <c r="I149" s="1778">
        <v>-0.55870469</v>
      </c>
      <c r="J149" s="1778">
        <v>0</v>
      </c>
      <c r="P149" s="1769"/>
      <c r="Q149" s="1769"/>
      <c r="R149" s="1769"/>
      <c r="S149" s="1769"/>
      <c r="T149" s="1769"/>
    </row>
    <row r="150" spans="1:22" ht="15" customHeight="1" x14ac:dyDescent="0.2">
      <c r="A150" s="1771" t="s">
        <v>2206</v>
      </c>
      <c r="B150" s="1775" t="s">
        <v>3063</v>
      </c>
      <c r="C150" s="1776" t="s">
        <v>1413</v>
      </c>
      <c r="D150" s="1777">
        <v>1099.73</v>
      </c>
      <c r="E150" s="1777">
        <v>137.52000000000001</v>
      </c>
      <c r="F150" s="1777">
        <v>306.90199999999999</v>
      </c>
      <c r="G150" s="1777">
        <v>161.24250499999999</v>
      </c>
      <c r="H150" s="1777">
        <v>9.3263114738140001</v>
      </c>
      <c r="I150" s="1778">
        <v>26.922386699999997</v>
      </c>
      <c r="J150" s="1778">
        <v>0</v>
      </c>
      <c r="P150" s="1769"/>
      <c r="Q150" s="1769"/>
      <c r="R150" s="1769"/>
      <c r="S150" s="1769"/>
      <c r="T150" s="1769"/>
    </row>
    <row r="151" spans="1:22" ht="15" customHeight="1" x14ac:dyDescent="0.2">
      <c r="A151" s="1771" t="s">
        <v>2206</v>
      </c>
      <c r="B151" s="1775" t="s">
        <v>3063</v>
      </c>
      <c r="C151" s="1776" t="s">
        <v>1414</v>
      </c>
      <c r="D151" s="1777">
        <v>1722.79</v>
      </c>
      <c r="E151" s="1777">
        <v>17334.27</v>
      </c>
      <c r="F151" s="1777">
        <v>114.89700000000001</v>
      </c>
      <c r="G151" s="1777">
        <v>578.66020300000002</v>
      </c>
      <c r="H151" s="1777">
        <v>12.763382660987999</v>
      </c>
      <c r="I151" s="1778">
        <v>545.4865064999999</v>
      </c>
      <c r="J151" s="1778">
        <v>0</v>
      </c>
      <c r="P151" s="1769"/>
      <c r="Q151" s="1769"/>
      <c r="R151" s="1769"/>
      <c r="S151" s="1769"/>
      <c r="T151" s="1769"/>
    </row>
    <row r="152" spans="1:22" ht="15" customHeight="1" x14ac:dyDescent="0.2">
      <c r="A152" s="1771" t="s">
        <v>2206</v>
      </c>
      <c r="B152" s="1775" t="s">
        <v>3063</v>
      </c>
      <c r="C152" s="1776" t="s">
        <v>1415</v>
      </c>
      <c r="D152" s="1777">
        <v>1680.62</v>
      </c>
      <c r="E152" s="1777">
        <v>2399.38</v>
      </c>
      <c r="F152" s="1777">
        <v>861.95899999999995</v>
      </c>
      <c r="G152" s="1777">
        <v>1670.4610290000001</v>
      </c>
      <c r="H152" s="1777">
        <v>15.690338522771999</v>
      </c>
      <c r="I152" s="1778">
        <v>1939.1689851799999</v>
      </c>
      <c r="J152" s="1778">
        <v>0</v>
      </c>
      <c r="P152" s="1769"/>
      <c r="Q152" s="1769"/>
      <c r="R152" s="1769"/>
      <c r="S152" s="1769"/>
      <c r="T152" s="1769"/>
    </row>
    <row r="153" spans="1:22" ht="15" customHeight="1" x14ac:dyDescent="0.2">
      <c r="A153" s="1771" t="s">
        <v>2206</v>
      </c>
      <c r="B153" s="1775" t="s">
        <v>1274</v>
      </c>
      <c r="C153" s="1776" t="s">
        <v>1409</v>
      </c>
      <c r="D153" s="1777">
        <v>182.7</v>
      </c>
      <c r="E153" s="1777">
        <v>135.38999999999999</v>
      </c>
      <c r="F153" s="1777">
        <v>3.4430000000000001</v>
      </c>
      <c r="G153" s="1777">
        <v>0.888575</v>
      </c>
      <c r="H153" s="1777">
        <v>3.0089360186667315</v>
      </c>
      <c r="I153" s="1778">
        <v>-0.26681533000000002</v>
      </c>
      <c r="J153" s="1778">
        <v>0</v>
      </c>
      <c r="P153" s="1769"/>
      <c r="Q153" s="1769"/>
      <c r="R153" s="1769"/>
      <c r="S153" s="1769"/>
      <c r="T153" s="1769"/>
    </row>
    <row r="154" spans="1:22" s="154" customFormat="1" ht="15" customHeight="1" x14ac:dyDescent="0.2">
      <c r="A154" s="1771" t="s">
        <v>2206</v>
      </c>
      <c r="B154" s="1775" t="s">
        <v>1274</v>
      </c>
      <c r="C154" s="1776" t="s">
        <v>1410</v>
      </c>
      <c r="D154" s="1777">
        <v>263.55</v>
      </c>
      <c r="E154" s="1777">
        <v>2071.9299999999998</v>
      </c>
      <c r="F154" s="1777">
        <v>51.057000000000002</v>
      </c>
      <c r="G154" s="1777">
        <v>793.92974200000003</v>
      </c>
      <c r="H154" s="1777">
        <v>206.3741376385515</v>
      </c>
      <c r="I154" s="1778">
        <v>-5.33687018</v>
      </c>
      <c r="J154" s="1778">
        <v>0</v>
      </c>
      <c r="P154" s="1770"/>
      <c r="Q154" s="1770"/>
      <c r="R154" s="1770"/>
      <c r="S154" s="1770"/>
      <c r="T154" s="1770"/>
    </row>
    <row r="155" spans="1:22" ht="15" customHeight="1" x14ac:dyDescent="0.2">
      <c r="A155" s="1771" t="s">
        <v>2206</v>
      </c>
      <c r="B155" s="1775" t="s">
        <v>1274</v>
      </c>
      <c r="C155" s="1776" t="s">
        <v>1411</v>
      </c>
      <c r="D155" s="1777">
        <v>44135.44</v>
      </c>
      <c r="E155" s="1777">
        <v>256254.87</v>
      </c>
      <c r="F155" s="1777">
        <v>11844.294</v>
      </c>
      <c r="G155" s="1777">
        <v>45311.506751000001</v>
      </c>
      <c r="H155" s="1777">
        <v>452.62104524520021</v>
      </c>
      <c r="I155" s="1778">
        <v>9833.5040142599937</v>
      </c>
      <c r="J155" s="1778">
        <v>0</v>
      </c>
      <c r="P155" s="1769"/>
      <c r="Q155" s="1769"/>
      <c r="R155" s="1769"/>
      <c r="S155" s="1769"/>
      <c r="T155" s="1769"/>
    </row>
    <row r="156" spans="1:22" s="154" customFormat="1" ht="15" customHeight="1" x14ac:dyDescent="0.2">
      <c r="A156" s="1771" t="s">
        <v>2206</v>
      </c>
      <c r="B156" s="1775" t="s">
        <v>1274</v>
      </c>
      <c r="C156" s="1776" t="s">
        <v>1412</v>
      </c>
      <c r="D156" s="1777">
        <v>144.87</v>
      </c>
      <c r="E156" s="1777">
        <v>122.79</v>
      </c>
      <c r="F156" s="1777">
        <v>63.959000000000003</v>
      </c>
      <c r="G156" s="1777">
        <v>162.39434399999999</v>
      </c>
      <c r="H156" s="1777">
        <v>624.30958895367212</v>
      </c>
      <c r="I156" s="1778">
        <v>-2.757944E-2</v>
      </c>
      <c r="J156" s="1778">
        <v>0</v>
      </c>
      <c r="P156" s="1770"/>
      <c r="Q156" s="1770"/>
      <c r="R156" s="1770"/>
      <c r="S156" s="1770"/>
      <c r="T156" s="1770"/>
    </row>
    <row r="157" spans="1:22" ht="15" customHeight="1" x14ac:dyDescent="0.2">
      <c r="A157" s="1771" t="s">
        <v>2206</v>
      </c>
      <c r="B157" s="1775" t="s">
        <v>1274</v>
      </c>
      <c r="C157" s="1776" t="s">
        <v>1413</v>
      </c>
      <c r="D157" s="1777">
        <v>870.47</v>
      </c>
      <c r="E157" s="1777">
        <v>41.3</v>
      </c>
      <c r="F157" s="1777">
        <v>224.10400000000001</v>
      </c>
      <c r="G157" s="1777">
        <v>283.70236899999998</v>
      </c>
      <c r="H157" s="1777">
        <v>9.0809818657716797</v>
      </c>
      <c r="I157" s="1778">
        <v>20.969362070000003</v>
      </c>
      <c r="J157" s="1778">
        <v>0</v>
      </c>
      <c r="P157" s="1769"/>
      <c r="Q157" s="1769"/>
      <c r="R157" s="1769"/>
      <c r="S157" s="1769"/>
      <c r="T157" s="1769"/>
    </row>
    <row r="158" spans="1:22" s="154" customFormat="1" ht="15" customHeight="1" x14ac:dyDescent="0.2">
      <c r="A158" s="1771" t="s">
        <v>2206</v>
      </c>
      <c r="B158" s="1775" t="s">
        <v>1274</v>
      </c>
      <c r="C158" s="1776" t="s">
        <v>1414</v>
      </c>
      <c r="D158" s="1777">
        <v>1884.94</v>
      </c>
      <c r="E158" s="1777">
        <v>22049.119999999999</v>
      </c>
      <c r="F158" s="1777">
        <v>93.623000000000005</v>
      </c>
      <c r="G158" s="1777">
        <v>712.99123299999997</v>
      </c>
      <c r="H158" s="1777">
        <v>11.503209698356519</v>
      </c>
      <c r="I158" s="1778">
        <v>700.15458732999991</v>
      </c>
      <c r="J158" s="1778">
        <v>0</v>
      </c>
      <c r="P158" s="1770"/>
      <c r="Q158" s="1770"/>
      <c r="R158" s="1770"/>
      <c r="S158" s="1770"/>
      <c r="T158" s="1770"/>
    </row>
    <row r="159" spans="1:22" ht="15" customHeight="1" x14ac:dyDescent="0.2">
      <c r="A159" s="1771" t="s">
        <v>2206</v>
      </c>
      <c r="B159" s="1775" t="s">
        <v>1274</v>
      </c>
      <c r="C159" s="1776" t="s">
        <v>1415</v>
      </c>
      <c r="D159" s="1777">
        <v>1597.47</v>
      </c>
      <c r="E159" s="1777">
        <v>2487.12</v>
      </c>
      <c r="F159" s="1777">
        <v>962.47299999999996</v>
      </c>
      <c r="G159" s="1777">
        <v>1484.334087</v>
      </c>
      <c r="H159" s="1777">
        <v>16.217757254499929</v>
      </c>
      <c r="I159" s="1778">
        <v>1441.8359009299998</v>
      </c>
      <c r="J159" s="1778">
        <v>0</v>
      </c>
      <c r="P159" s="1769"/>
      <c r="Q159" s="1769"/>
      <c r="R159" s="1769"/>
      <c r="S159" s="1769"/>
      <c r="T159" s="1769"/>
    </row>
    <row r="160" spans="1:22" s="154" customFormat="1" ht="15" customHeight="1" x14ac:dyDescent="0.2">
      <c r="A160" s="1771" t="s">
        <v>2206</v>
      </c>
      <c r="B160" s="1782" t="s">
        <v>1159</v>
      </c>
      <c r="C160" s="1776" t="s">
        <v>1409</v>
      </c>
      <c r="D160" s="1777">
        <v>454.96</v>
      </c>
      <c r="E160" s="1777">
        <v>488.06</v>
      </c>
      <c r="F160" s="1777">
        <v>0.875</v>
      </c>
      <c r="G160" s="1777">
        <v>1.107102</v>
      </c>
      <c r="H160" s="1777">
        <v>9.9646073999999896</v>
      </c>
      <c r="I160" s="1778">
        <v>-0.25063935000000004</v>
      </c>
      <c r="J160" s="1778">
        <v>0</v>
      </c>
      <c r="P160" s="1770"/>
      <c r="Q160" s="1770"/>
      <c r="R160" s="1770"/>
      <c r="S160" s="1770"/>
      <c r="T160" s="1770"/>
    </row>
    <row r="161" spans="1:20" ht="15" customHeight="1" x14ac:dyDescent="0.2">
      <c r="A161" s="1771" t="s">
        <v>2206</v>
      </c>
      <c r="B161" s="1782" t="s">
        <v>1159</v>
      </c>
      <c r="C161" s="1776" t="s">
        <v>1410</v>
      </c>
      <c r="D161" s="1777">
        <v>230.41</v>
      </c>
      <c r="E161" s="1777">
        <v>2247.64</v>
      </c>
      <c r="F161" s="1777">
        <v>35.140999999999998</v>
      </c>
      <c r="G161" s="1777">
        <v>847.99374</v>
      </c>
      <c r="H161" s="1777">
        <v>63.908378600000006</v>
      </c>
      <c r="I161" s="1778">
        <v>5.0690255199999994</v>
      </c>
      <c r="J161" s="1778">
        <v>0</v>
      </c>
      <c r="P161" s="1769"/>
      <c r="Q161" s="1769"/>
      <c r="R161" s="1769"/>
      <c r="S161" s="1769"/>
      <c r="T161" s="1769"/>
    </row>
    <row r="162" spans="1:20" s="154" customFormat="1" ht="15" customHeight="1" x14ac:dyDescent="0.2">
      <c r="A162" s="1771" t="s">
        <v>2206</v>
      </c>
      <c r="B162" s="1782" t="s">
        <v>1159</v>
      </c>
      <c r="C162" s="1776" t="s">
        <v>1411</v>
      </c>
      <c r="D162" s="1777">
        <v>41293.33</v>
      </c>
      <c r="E162" s="1777">
        <v>256924.6</v>
      </c>
      <c r="F162" s="1777">
        <v>13418.538</v>
      </c>
      <c r="G162" s="1777">
        <v>45165.483838</v>
      </c>
      <c r="H162" s="1777">
        <v>811.32665625000004</v>
      </c>
      <c r="I162" s="1778">
        <v>6557.1094812599977</v>
      </c>
      <c r="J162" s="1778">
        <v>0</v>
      </c>
      <c r="P162" s="1770"/>
      <c r="Q162" s="1770"/>
      <c r="R162" s="1770"/>
      <c r="S162" s="1770"/>
      <c r="T162" s="1770"/>
    </row>
    <row r="163" spans="1:20" ht="15" customHeight="1" x14ac:dyDescent="0.2">
      <c r="A163" s="1771" t="s">
        <v>2206</v>
      </c>
      <c r="B163" s="1782" t="s">
        <v>1159</v>
      </c>
      <c r="C163" s="1776" t="s">
        <v>1412</v>
      </c>
      <c r="D163" s="1777">
        <v>194.3</v>
      </c>
      <c r="E163" s="1777">
        <v>100.45</v>
      </c>
      <c r="F163" s="1777">
        <v>47.930999999999997</v>
      </c>
      <c r="G163" s="1777">
        <v>107.194981</v>
      </c>
      <c r="H163" s="1777">
        <v>992.58517473500012</v>
      </c>
      <c r="I163" s="1778">
        <v>-5.8511300000000004E-3</v>
      </c>
      <c r="J163" s="1778">
        <v>0</v>
      </c>
      <c r="P163" s="1769"/>
      <c r="Q163" s="1769"/>
      <c r="R163" s="1769"/>
      <c r="S163" s="1769"/>
      <c r="T163" s="1769"/>
    </row>
    <row r="164" spans="1:20" s="154" customFormat="1" ht="15" customHeight="1" x14ac:dyDescent="0.2">
      <c r="A164" s="1771" t="s">
        <v>2206</v>
      </c>
      <c r="B164" s="1782" t="s">
        <v>1159</v>
      </c>
      <c r="C164" s="1776" t="s">
        <v>1413</v>
      </c>
      <c r="D164" s="1777">
        <v>1884.28</v>
      </c>
      <c r="E164" s="1777">
        <v>53.25</v>
      </c>
      <c r="F164" s="1777">
        <v>270.60300000000001</v>
      </c>
      <c r="G164" s="1777">
        <v>377.214878</v>
      </c>
      <c r="H164" s="1777">
        <v>11.5198578</v>
      </c>
      <c r="I164" s="1778">
        <v>232.81891714999998</v>
      </c>
      <c r="J164" s="1778">
        <v>0</v>
      </c>
      <c r="P164" s="1770"/>
      <c r="Q164" s="1770"/>
      <c r="R164" s="1770"/>
      <c r="S164" s="1770"/>
      <c r="T164" s="1770"/>
    </row>
    <row r="165" spans="1:20" ht="15" customHeight="1" x14ac:dyDescent="0.2">
      <c r="A165" s="1771" t="s">
        <v>2206</v>
      </c>
      <c r="B165" s="1782" t="s">
        <v>1159</v>
      </c>
      <c r="C165" s="1776" t="s">
        <v>1414</v>
      </c>
      <c r="D165" s="1777">
        <v>1710.74</v>
      </c>
      <c r="E165" s="1777">
        <v>20404.75</v>
      </c>
      <c r="F165" s="1777">
        <v>72.263999999999996</v>
      </c>
      <c r="G165" s="1777">
        <v>709.525803</v>
      </c>
      <c r="H165" s="1777">
        <v>13.741734600000001</v>
      </c>
      <c r="I165" s="1778">
        <v>1176.3971187799998</v>
      </c>
      <c r="J165" s="1778">
        <v>0</v>
      </c>
      <c r="P165" s="1769"/>
      <c r="Q165" s="1769"/>
      <c r="R165" s="1769"/>
      <c r="S165" s="1769"/>
      <c r="T165" s="1769"/>
    </row>
    <row r="166" spans="1:20" s="154" customFormat="1" ht="15" customHeight="1" x14ac:dyDescent="0.2">
      <c r="A166" s="1771" t="s">
        <v>2206</v>
      </c>
      <c r="B166" s="1782" t="s">
        <v>1159</v>
      </c>
      <c r="C166" s="1776" t="s">
        <v>1415</v>
      </c>
      <c r="D166" s="1777">
        <v>1952.08</v>
      </c>
      <c r="E166" s="1777">
        <v>2441.1</v>
      </c>
      <c r="F166" s="1777">
        <v>1075.83</v>
      </c>
      <c r="G166" s="1777">
        <v>1477.1377950000001</v>
      </c>
      <c r="H166" s="1777">
        <v>9.6527409000000013</v>
      </c>
      <c r="I166" s="1778">
        <v>2468.6223182199997</v>
      </c>
      <c r="J166" s="1778">
        <v>0</v>
      </c>
      <c r="P166" s="1770"/>
      <c r="Q166" s="1770"/>
      <c r="R166" s="1770"/>
      <c r="S166" s="1770"/>
      <c r="T166" s="1770"/>
    </row>
    <row r="167" spans="1:20" ht="15" customHeight="1" x14ac:dyDescent="0.2">
      <c r="A167" s="1771" t="s">
        <v>2206</v>
      </c>
      <c r="B167" s="1771" t="s">
        <v>1160</v>
      </c>
      <c r="C167" s="1776" t="s">
        <v>1409</v>
      </c>
      <c r="D167" s="1777">
        <v>295.32</v>
      </c>
      <c r="E167" s="1777">
        <v>468.25</v>
      </c>
      <c r="F167" s="1777">
        <v>1.125</v>
      </c>
      <c r="G167" s="1777">
        <v>0.95089500000000005</v>
      </c>
      <c r="H167" s="1777">
        <v>90.840359585405153</v>
      </c>
      <c r="I167" s="1778">
        <v>-0.21564526000000001</v>
      </c>
      <c r="J167" s="1778">
        <v>0</v>
      </c>
      <c r="P167" s="1769"/>
      <c r="Q167" s="1769"/>
      <c r="R167" s="1769"/>
      <c r="S167" s="1769"/>
      <c r="T167" s="1769"/>
    </row>
    <row r="168" spans="1:20" s="154" customFormat="1" ht="15" customHeight="1" x14ac:dyDescent="0.2">
      <c r="A168" s="1771" t="s">
        <v>2206</v>
      </c>
      <c r="B168" s="1771" t="s">
        <v>1160</v>
      </c>
      <c r="C168" s="1776" t="s">
        <v>1410</v>
      </c>
      <c r="D168" s="1777">
        <v>325.02999999999997</v>
      </c>
      <c r="E168" s="1777">
        <v>1794.34</v>
      </c>
      <c r="F168" s="1777">
        <v>37.408000000000001</v>
      </c>
      <c r="G168" s="1777">
        <v>805.64046599999995</v>
      </c>
      <c r="H168" s="1777">
        <v>98.756466401276342</v>
      </c>
      <c r="I168" s="1778">
        <v>0.94376126999999999</v>
      </c>
      <c r="J168" s="1778">
        <v>0</v>
      </c>
      <c r="P168" s="1770"/>
      <c r="Q168" s="1770"/>
      <c r="R168" s="1770"/>
      <c r="S168" s="1770"/>
      <c r="T168" s="1770"/>
    </row>
    <row r="169" spans="1:20" ht="15" customHeight="1" x14ac:dyDescent="0.2">
      <c r="A169" s="1771" t="s">
        <v>2206</v>
      </c>
      <c r="B169" s="1771" t="s">
        <v>1160</v>
      </c>
      <c r="C169" s="1776" t="s">
        <v>1411</v>
      </c>
      <c r="D169" s="1777">
        <v>40615.64</v>
      </c>
      <c r="E169" s="1777">
        <v>257090.59</v>
      </c>
      <c r="F169" s="1777">
        <v>14477.641</v>
      </c>
      <c r="G169" s="1777">
        <v>56278.037550000001</v>
      </c>
      <c r="H169" s="1777">
        <v>565.31811894587315</v>
      </c>
      <c r="I169" s="1778">
        <v>15674.468478819985</v>
      </c>
      <c r="J169" s="1778">
        <v>0</v>
      </c>
      <c r="P169" s="1769"/>
      <c r="Q169" s="1769"/>
      <c r="R169" s="1769"/>
      <c r="S169" s="1769"/>
      <c r="T169" s="1769"/>
    </row>
    <row r="170" spans="1:20" s="154" customFormat="1" ht="15" customHeight="1" x14ac:dyDescent="0.2">
      <c r="A170" s="1771" t="s">
        <v>2206</v>
      </c>
      <c r="B170" s="1771" t="s">
        <v>1160</v>
      </c>
      <c r="C170" s="1776" t="s">
        <v>1412</v>
      </c>
      <c r="D170" s="1777">
        <v>148.32</v>
      </c>
      <c r="E170" s="1777">
        <v>118.56</v>
      </c>
      <c r="F170" s="1777">
        <v>52.265999999999998</v>
      </c>
      <c r="G170" s="1777">
        <v>218.771164</v>
      </c>
      <c r="H170" s="1777">
        <v>3700.9767688079064</v>
      </c>
      <c r="I170" s="1778">
        <v>0.15012303000000002</v>
      </c>
      <c r="J170" s="1778">
        <v>0</v>
      </c>
      <c r="P170" s="1770"/>
      <c r="Q170" s="1770"/>
      <c r="R170" s="1770"/>
      <c r="S170" s="1770"/>
      <c r="T170" s="1770"/>
    </row>
    <row r="171" spans="1:20" ht="15" customHeight="1" x14ac:dyDescent="0.2">
      <c r="A171" s="1771" t="s">
        <v>2206</v>
      </c>
      <c r="B171" s="1771" t="s">
        <v>1160</v>
      </c>
      <c r="C171" s="1776" t="s">
        <v>1413</v>
      </c>
      <c r="D171" s="1777">
        <v>778.52</v>
      </c>
      <c r="E171" s="1777">
        <v>321.24</v>
      </c>
      <c r="F171" s="1777">
        <v>363.07</v>
      </c>
      <c r="G171" s="1777">
        <v>528.38816899999995</v>
      </c>
      <c r="H171" s="1777">
        <v>28.295556457075733</v>
      </c>
      <c r="I171" s="1778">
        <v>13.330429179999999</v>
      </c>
      <c r="J171" s="1778">
        <v>0</v>
      </c>
      <c r="P171" s="1769"/>
      <c r="Q171" s="1769"/>
      <c r="R171" s="1769"/>
      <c r="S171" s="1769"/>
      <c r="T171" s="1769"/>
    </row>
    <row r="172" spans="1:20" s="154" customFormat="1" ht="15" customHeight="1" x14ac:dyDescent="0.2">
      <c r="A172" s="1771" t="s">
        <v>2206</v>
      </c>
      <c r="B172" s="1771" t="s">
        <v>1160</v>
      </c>
      <c r="C172" s="1776" t="s">
        <v>1414</v>
      </c>
      <c r="D172" s="1777">
        <v>1563.81</v>
      </c>
      <c r="E172" s="1777">
        <v>22624.09</v>
      </c>
      <c r="F172" s="1777">
        <v>114.08499999999999</v>
      </c>
      <c r="G172" s="1777">
        <v>1196.1012969999999</v>
      </c>
      <c r="H172" s="1777">
        <v>15.538512816853583</v>
      </c>
      <c r="I172" s="1778">
        <v>151.52009222999988</v>
      </c>
      <c r="J172" s="1778">
        <v>0</v>
      </c>
      <c r="M172" s="1742"/>
      <c r="O172" s="231"/>
      <c r="P172" s="1770"/>
      <c r="Q172" s="1770"/>
      <c r="R172" s="1770"/>
      <c r="S172" s="1770"/>
      <c r="T172" s="1770"/>
    </row>
    <row r="173" spans="1:20" ht="15" customHeight="1" x14ac:dyDescent="0.2">
      <c r="A173" s="1771" t="s">
        <v>2206</v>
      </c>
      <c r="B173" s="1771" t="s">
        <v>1160</v>
      </c>
      <c r="C173" s="1776" t="s">
        <v>1415</v>
      </c>
      <c r="D173" s="1777">
        <v>1229.6300000000001</v>
      </c>
      <c r="E173" s="1777">
        <v>2695.12</v>
      </c>
      <c r="F173" s="1779">
        <v>1674.1669999999999</v>
      </c>
      <c r="G173" s="1779">
        <v>2200.535907</v>
      </c>
      <c r="H173" s="1779">
        <v>16.638357576411408</v>
      </c>
      <c r="I173" s="1778">
        <v>3258.6915328799987</v>
      </c>
      <c r="J173" s="1778">
        <v>0</v>
      </c>
      <c r="P173" s="1769"/>
      <c r="Q173" s="1769"/>
      <c r="R173" s="1769"/>
      <c r="S173" s="1769"/>
      <c r="T173" s="1769"/>
    </row>
    <row r="175" spans="1:20" x14ac:dyDescent="0.2">
      <c r="B175" s="8" t="s">
        <v>1104</v>
      </c>
      <c r="C175" s="8" t="s">
        <v>1416</v>
      </c>
      <c r="H175" s="23" t="s">
        <v>1417</v>
      </c>
    </row>
    <row r="176" spans="1:20" ht="12.75" customHeight="1" x14ac:dyDescent="0.2">
      <c r="B176" s="2926" t="s">
        <v>1831</v>
      </c>
      <c r="C176" s="2926"/>
      <c r="D176" s="2926"/>
      <c r="E176" s="2926"/>
      <c r="F176" s="2926"/>
      <c r="G176" s="2926"/>
      <c r="H176" s="2926"/>
      <c r="I176" s="2926"/>
      <c r="J176" s="2926"/>
      <c r="K176" s="1505"/>
    </row>
    <row r="177" spans="2:11" ht="12.75" customHeight="1" x14ac:dyDescent="0.2">
      <c r="B177" s="2926"/>
      <c r="C177" s="2926"/>
      <c r="D177" s="2926"/>
      <c r="E177" s="2926"/>
      <c r="F177" s="2926"/>
      <c r="G177" s="2926"/>
      <c r="H177" s="2926"/>
      <c r="I177" s="2926"/>
      <c r="J177" s="2926"/>
      <c r="K177" s="1505"/>
    </row>
    <row r="178" spans="2:11" x14ac:dyDescent="0.2">
      <c r="C178" s="8" t="s">
        <v>1830</v>
      </c>
    </row>
    <row r="179" spans="2:11" ht="13.5" customHeight="1" x14ac:dyDescent="0.2">
      <c r="B179" s="1424" t="s">
        <v>257</v>
      </c>
      <c r="C179" s="135" t="s">
        <v>1418</v>
      </c>
      <c r="D179" s="1743"/>
      <c r="E179" s="1743"/>
      <c r="F179" s="1743"/>
      <c r="G179" s="1743"/>
      <c r="H179" s="1743"/>
      <c r="I179" s="1743"/>
    </row>
    <row r="180" spans="2:11" x14ac:dyDescent="0.2">
      <c r="C180" s="222" t="s">
        <v>1782</v>
      </c>
      <c r="I180" s="52"/>
      <c r="J180" s="52"/>
    </row>
    <row r="181" spans="2:11" x14ac:dyDescent="0.2">
      <c r="C181" s="52" t="s">
        <v>1781</v>
      </c>
      <c r="H181" s="23" t="s">
        <v>2238</v>
      </c>
    </row>
  </sheetData>
  <customSheetViews>
    <customSheetView guid="{A374FC54-96E3-45F0-9C12-8450400C12DF}" scale="140">
      <selection activeCell="F20" sqref="F20"/>
      <pageMargins left="0.45" right="0" top="0.5" bottom="0.25" header="0.3" footer="0.3"/>
      <pageSetup paperSize="132" firstPageNumber="108" orientation="portrait" useFirstPageNumber="1" r:id="rId1"/>
      <headerFooter alignWithMargins="0">
        <oddFooter>&amp;C&amp;"Times New Roman,Regular"&amp;8&amp;P</oddFooter>
      </headerFooter>
    </customSheetView>
  </customSheetViews>
  <mergeCells count="3">
    <mergeCell ref="B176:J177"/>
    <mergeCell ref="I2:J2"/>
    <mergeCell ref="B1:I1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"/>
  <sheetViews>
    <sheetView zoomScale="140" zoomScaleNormal="1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" sqref="C3:I3"/>
    </sheetView>
  </sheetViews>
  <sheetFormatPr defaultRowHeight="12.75" x14ac:dyDescent="0.2"/>
  <cols>
    <col min="1" max="1" width="4.28515625" customWidth="1"/>
    <col min="2" max="2" width="7.5703125" customWidth="1"/>
    <col min="7" max="7" width="9.42578125" customWidth="1"/>
    <col min="8" max="8" width="7.5703125" customWidth="1"/>
    <col min="9" max="9" width="10.5703125" customWidth="1"/>
  </cols>
  <sheetData>
    <row r="1" spans="1:21" x14ac:dyDescent="0.2">
      <c r="A1" s="2931" t="s">
        <v>1503</v>
      </c>
      <c r="B1" s="2931"/>
      <c r="C1" s="2931"/>
      <c r="D1" s="2931"/>
      <c r="E1" s="2931"/>
      <c r="F1" s="2931"/>
      <c r="G1" s="2931"/>
      <c r="H1" s="660"/>
      <c r="I1" s="792" t="s">
        <v>1502</v>
      </c>
    </row>
    <row r="2" spans="1:21" ht="12.75" customHeight="1" x14ac:dyDescent="0.25">
      <c r="A2" s="651"/>
      <c r="B2" s="651"/>
      <c r="C2" s="652"/>
      <c r="D2" s="652"/>
      <c r="E2" s="652"/>
      <c r="F2" s="652"/>
      <c r="G2" s="2932" t="s">
        <v>1526</v>
      </c>
      <c r="H2" s="2932"/>
      <c r="I2" s="2932"/>
    </row>
    <row r="3" spans="1:21" ht="32.25" customHeight="1" x14ac:dyDescent="0.2">
      <c r="A3" s="2934" t="s">
        <v>474</v>
      </c>
      <c r="B3" s="2935"/>
      <c r="C3" s="654" t="s">
        <v>1421</v>
      </c>
      <c r="D3" s="654" t="s">
        <v>1422</v>
      </c>
      <c r="E3" s="654" t="s">
        <v>1423</v>
      </c>
      <c r="F3" s="654" t="s">
        <v>1825</v>
      </c>
      <c r="G3" s="661" t="s">
        <v>1424</v>
      </c>
      <c r="H3" s="661" t="s">
        <v>1425</v>
      </c>
      <c r="I3" s="661" t="s">
        <v>1426</v>
      </c>
    </row>
    <row r="4" spans="1:21" ht="12.75" customHeight="1" x14ac:dyDescent="0.2">
      <c r="A4" s="862" t="s">
        <v>1817</v>
      </c>
      <c r="B4" s="862"/>
      <c r="C4" s="653"/>
      <c r="D4" s="653"/>
      <c r="E4" s="653"/>
      <c r="F4" s="653"/>
      <c r="G4" s="2933"/>
      <c r="H4" s="2933"/>
      <c r="I4" s="653"/>
    </row>
    <row r="5" spans="1:21" ht="10.35" customHeight="1" x14ac:dyDescent="0.2">
      <c r="A5" s="2930" t="s">
        <v>1161</v>
      </c>
      <c r="B5" s="655" t="s">
        <v>1427</v>
      </c>
      <c r="C5" s="658" t="s">
        <v>288</v>
      </c>
      <c r="D5" s="658" t="s">
        <v>288</v>
      </c>
      <c r="E5" s="658" t="s">
        <v>288</v>
      </c>
      <c r="F5" s="658" t="s">
        <v>288</v>
      </c>
      <c r="G5" s="662" t="s">
        <v>288</v>
      </c>
      <c r="H5" s="662" t="s">
        <v>288</v>
      </c>
      <c r="I5" s="662" t="s">
        <v>288</v>
      </c>
      <c r="L5" s="552"/>
      <c r="N5" s="552"/>
      <c r="O5" s="552"/>
      <c r="P5" s="552"/>
      <c r="Q5" s="552"/>
      <c r="R5" s="552"/>
      <c r="S5" s="552"/>
      <c r="T5" s="552"/>
      <c r="U5" s="552"/>
    </row>
    <row r="6" spans="1:21" ht="10.35" customHeight="1" x14ac:dyDescent="0.2">
      <c r="A6" s="2930"/>
      <c r="B6" s="656" t="s">
        <v>1428</v>
      </c>
      <c r="C6" s="657">
        <v>11022</v>
      </c>
      <c r="D6" s="657">
        <v>16351.3</v>
      </c>
      <c r="E6" s="657">
        <v>129174.92948538013</v>
      </c>
      <c r="F6" s="657">
        <v>671.5</v>
      </c>
      <c r="G6" s="666">
        <v>46199.8</v>
      </c>
      <c r="H6" s="657">
        <v>5.52</v>
      </c>
      <c r="I6" s="657">
        <v>85.004221000000001</v>
      </c>
      <c r="L6" s="552"/>
      <c r="N6" s="552"/>
      <c r="O6" s="552"/>
      <c r="P6" s="552"/>
      <c r="Q6" s="552"/>
      <c r="R6" s="552"/>
      <c r="S6" s="552"/>
      <c r="T6" s="552"/>
      <c r="U6" s="552"/>
    </row>
    <row r="7" spans="1:21" ht="10.35" customHeight="1" x14ac:dyDescent="0.2">
      <c r="A7" s="2930"/>
      <c r="B7" s="655" t="s">
        <v>1410</v>
      </c>
      <c r="C7" s="658">
        <v>269.54196286652802</v>
      </c>
      <c r="D7" s="658">
        <v>319.318330239131</v>
      </c>
      <c r="E7" s="658">
        <v>2129.8143048055899</v>
      </c>
      <c r="F7" s="658">
        <v>0.02</v>
      </c>
      <c r="G7" s="658">
        <v>1296.7866705890301</v>
      </c>
      <c r="H7" s="658">
        <v>4.9707565320558302</v>
      </c>
      <c r="I7" s="658">
        <v>74.117643034055703</v>
      </c>
      <c r="L7" s="552"/>
      <c r="N7" s="552"/>
      <c r="O7" s="552"/>
      <c r="P7" s="552"/>
      <c r="Q7" s="552"/>
      <c r="R7" s="552"/>
      <c r="S7" s="552"/>
      <c r="T7" s="552"/>
      <c r="U7" s="552"/>
    </row>
    <row r="8" spans="1:21" ht="10.35" customHeight="1" x14ac:dyDescent="0.2">
      <c r="A8" s="2930"/>
      <c r="B8" s="656" t="s">
        <v>1411</v>
      </c>
      <c r="C8" s="657">
        <v>102719.68796516581</v>
      </c>
      <c r="D8" s="657">
        <v>147455.649471262</v>
      </c>
      <c r="E8" s="657">
        <v>1475564.2211780699</v>
      </c>
      <c r="F8" s="657">
        <v>8697.2643559999997</v>
      </c>
      <c r="G8" s="657">
        <v>635362.77</v>
      </c>
      <c r="H8" s="657">
        <v>5.0752688170000004</v>
      </c>
      <c r="I8" s="657">
        <v>74.090156451612899</v>
      </c>
      <c r="L8" s="552"/>
      <c r="N8" s="552"/>
      <c r="O8" s="552"/>
      <c r="P8" s="552"/>
      <c r="Q8" s="552"/>
      <c r="R8" s="552"/>
      <c r="S8" s="552"/>
      <c r="T8" s="552"/>
      <c r="U8" s="552"/>
    </row>
    <row r="9" spans="1:21" ht="10.35" customHeight="1" x14ac:dyDescent="0.2">
      <c r="A9" s="2930"/>
      <c r="B9" s="655" t="s">
        <v>1412</v>
      </c>
      <c r="C9" s="658">
        <v>63.01</v>
      </c>
      <c r="D9" s="658">
        <v>616.85</v>
      </c>
      <c r="E9" s="658">
        <v>205.05</v>
      </c>
      <c r="F9" s="658" t="s">
        <v>288</v>
      </c>
      <c r="G9" s="658">
        <v>1016.75</v>
      </c>
      <c r="H9" s="658">
        <v>0.23</v>
      </c>
      <c r="I9" s="658">
        <v>15.41</v>
      </c>
      <c r="L9" s="552"/>
      <c r="N9" s="552"/>
      <c r="O9" s="552"/>
      <c r="P9" s="552"/>
      <c r="Q9" s="552"/>
      <c r="R9" s="552"/>
      <c r="S9" s="552"/>
      <c r="T9" s="552"/>
      <c r="U9" s="552"/>
    </row>
    <row r="10" spans="1:21" ht="10.35" customHeight="1" x14ac:dyDescent="0.2">
      <c r="A10" s="2930"/>
      <c r="B10" s="656" t="s">
        <v>1413</v>
      </c>
      <c r="C10" s="657">
        <v>548.53939400000002</v>
      </c>
      <c r="D10" s="657">
        <v>4034.4954950000001</v>
      </c>
      <c r="E10" s="657">
        <v>6832.7091540000001</v>
      </c>
      <c r="F10" s="657" t="s">
        <v>288</v>
      </c>
      <c r="G10" s="657">
        <v>9768.5806730000004</v>
      </c>
      <c r="H10" s="657" t="s">
        <v>288</v>
      </c>
      <c r="I10" s="657">
        <v>117.59</v>
      </c>
      <c r="L10" s="552"/>
      <c r="N10" s="552"/>
      <c r="O10" s="552"/>
      <c r="P10" s="552"/>
      <c r="Q10" s="552"/>
      <c r="R10" s="552"/>
      <c r="S10" s="552"/>
      <c r="T10" s="552"/>
      <c r="U10" s="552"/>
    </row>
    <row r="11" spans="1:21" ht="10.35" customHeight="1" x14ac:dyDescent="0.2">
      <c r="A11" s="2930"/>
      <c r="B11" s="655" t="s">
        <v>1414</v>
      </c>
      <c r="C11" s="658" t="s">
        <v>288</v>
      </c>
      <c r="D11" s="658" t="s">
        <v>288</v>
      </c>
      <c r="E11" s="658" t="s">
        <v>288</v>
      </c>
      <c r="F11" s="658" t="s">
        <v>288</v>
      </c>
      <c r="G11" s="658" t="s">
        <v>288</v>
      </c>
      <c r="H11" s="658" t="s">
        <v>288</v>
      </c>
      <c r="I11" s="658" t="s">
        <v>288</v>
      </c>
      <c r="L11" s="552"/>
      <c r="N11" s="552"/>
      <c r="O11" s="552"/>
      <c r="P11" s="552"/>
      <c r="Q11" s="552"/>
      <c r="R11" s="552"/>
      <c r="S11" s="552"/>
      <c r="T11" s="552"/>
      <c r="U11" s="552"/>
    </row>
    <row r="12" spans="1:21" ht="10.35" customHeight="1" x14ac:dyDescent="0.2">
      <c r="A12" s="2930"/>
      <c r="B12" s="841" t="s">
        <v>1415</v>
      </c>
      <c r="C12" s="842" t="s">
        <v>288</v>
      </c>
      <c r="D12" s="842" t="s">
        <v>288</v>
      </c>
      <c r="E12" s="842" t="s">
        <v>288</v>
      </c>
      <c r="F12" s="842" t="s">
        <v>288</v>
      </c>
      <c r="G12" s="842" t="s">
        <v>288</v>
      </c>
      <c r="H12" s="842" t="s">
        <v>288</v>
      </c>
      <c r="I12" s="842" t="s">
        <v>288</v>
      </c>
      <c r="L12" s="552"/>
      <c r="N12" s="552"/>
      <c r="O12" s="552"/>
      <c r="P12" s="552"/>
      <c r="Q12" s="552"/>
      <c r="R12" s="552"/>
      <c r="S12" s="552"/>
      <c r="T12" s="552"/>
      <c r="U12" s="552"/>
    </row>
    <row r="13" spans="1:21" ht="10.35" customHeight="1" x14ac:dyDescent="0.2">
      <c r="A13" s="2929" t="s">
        <v>1274</v>
      </c>
      <c r="B13" s="655" t="s">
        <v>1427</v>
      </c>
      <c r="C13" s="658" t="s">
        <v>288</v>
      </c>
      <c r="D13" s="658" t="s">
        <v>288</v>
      </c>
      <c r="E13" s="658" t="s">
        <v>288</v>
      </c>
      <c r="F13" s="658" t="s">
        <v>288</v>
      </c>
      <c r="G13" s="658" t="s">
        <v>288</v>
      </c>
      <c r="H13" s="658" t="s">
        <v>288</v>
      </c>
      <c r="I13" s="658" t="s">
        <v>288</v>
      </c>
      <c r="L13" s="552"/>
      <c r="N13" s="552"/>
      <c r="O13" s="552"/>
      <c r="P13" s="552"/>
      <c r="Q13" s="552"/>
      <c r="R13" s="552"/>
      <c r="S13" s="552"/>
      <c r="T13" s="552"/>
      <c r="U13" s="552"/>
    </row>
    <row r="14" spans="1:21" ht="10.35" customHeight="1" x14ac:dyDescent="0.2">
      <c r="A14" s="2930"/>
      <c r="B14" s="656" t="s">
        <v>1428</v>
      </c>
      <c r="C14" s="657">
        <v>13676.6</v>
      </c>
      <c r="D14" s="657">
        <v>20690</v>
      </c>
      <c r="E14" s="657">
        <v>134467.74379336645</v>
      </c>
      <c r="F14" s="657">
        <v>1092.17</v>
      </c>
      <c r="G14" s="666">
        <v>46153.9</v>
      </c>
      <c r="H14" s="657">
        <v>5.49</v>
      </c>
      <c r="I14" s="657">
        <v>85.729936708860706</v>
      </c>
      <c r="L14" s="552"/>
      <c r="N14" s="552"/>
      <c r="O14" s="552"/>
      <c r="P14" s="552"/>
      <c r="Q14" s="552"/>
      <c r="R14" s="552"/>
      <c r="S14" s="552"/>
      <c r="T14" s="552"/>
      <c r="U14" s="552"/>
    </row>
    <row r="15" spans="1:21" ht="10.35" customHeight="1" x14ac:dyDescent="0.2">
      <c r="A15" s="2930"/>
      <c r="B15" s="655" t="s">
        <v>1410</v>
      </c>
      <c r="C15" s="658">
        <v>192.90185856036001</v>
      </c>
      <c r="D15" s="658">
        <v>340.27337576626297</v>
      </c>
      <c r="E15" s="658">
        <v>2114.7479595678601</v>
      </c>
      <c r="F15" s="658">
        <v>1.9771225385058301E-2</v>
      </c>
      <c r="G15" s="658">
        <v>975.24754940315302</v>
      </c>
      <c r="H15" s="658">
        <v>6.8675233383951104</v>
      </c>
      <c r="I15" s="658">
        <v>74.975264901960799</v>
      </c>
      <c r="L15" s="552"/>
      <c r="N15" s="552"/>
      <c r="O15" s="552"/>
      <c r="P15" s="552"/>
      <c r="Q15" s="552"/>
      <c r="R15" s="552"/>
      <c r="S15" s="552"/>
      <c r="T15" s="552"/>
      <c r="U15" s="552"/>
    </row>
    <row r="16" spans="1:21" ht="10.35" customHeight="1" x14ac:dyDescent="0.2">
      <c r="A16" s="2930"/>
      <c r="B16" s="656" t="s">
        <v>1411</v>
      </c>
      <c r="C16" s="657">
        <v>106795.09837421859</v>
      </c>
      <c r="D16" s="657">
        <v>166971.3563209069</v>
      </c>
      <c r="E16" s="657">
        <v>1558774.89309243</v>
      </c>
      <c r="F16" s="657">
        <v>4558.644663</v>
      </c>
      <c r="G16" s="657">
        <v>633614.31000000006</v>
      </c>
      <c r="H16" s="657">
        <v>5.0147492629999997</v>
      </c>
      <c r="I16" s="657">
        <v>74.957247540983602</v>
      </c>
      <c r="L16" s="552"/>
      <c r="N16" s="552"/>
      <c r="O16" s="552"/>
      <c r="P16" s="552"/>
      <c r="Q16" s="552"/>
      <c r="R16" s="552"/>
      <c r="S16" s="552"/>
      <c r="T16" s="552"/>
      <c r="U16" s="552"/>
    </row>
    <row r="17" spans="1:21" ht="10.35" customHeight="1" x14ac:dyDescent="0.2">
      <c r="A17" s="2930"/>
      <c r="B17" s="655" t="s">
        <v>1412</v>
      </c>
      <c r="C17" s="658">
        <v>85.77</v>
      </c>
      <c r="D17" s="658">
        <v>800.83</v>
      </c>
      <c r="E17" s="658">
        <v>199.62</v>
      </c>
      <c r="F17" s="658" t="s">
        <v>288</v>
      </c>
      <c r="G17" s="658">
        <v>805.81</v>
      </c>
      <c r="H17" s="658">
        <v>0.54</v>
      </c>
      <c r="I17" s="658">
        <v>15.4</v>
      </c>
      <c r="L17" s="552"/>
      <c r="N17" s="552"/>
      <c r="O17" s="552"/>
      <c r="P17" s="552"/>
      <c r="Q17" s="552"/>
      <c r="R17" s="552"/>
      <c r="S17" s="552"/>
      <c r="T17" s="552"/>
      <c r="U17" s="552"/>
    </row>
    <row r="18" spans="1:21" ht="10.35" customHeight="1" x14ac:dyDescent="0.2">
      <c r="A18" s="2930"/>
      <c r="B18" s="656" t="s">
        <v>1413</v>
      </c>
      <c r="C18" s="657">
        <v>449.12096700000001</v>
      </c>
      <c r="D18" s="657">
        <v>4348.2076829999996</v>
      </c>
      <c r="E18" s="657">
        <v>6960.1545260000003</v>
      </c>
      <c r="F18" s="657" t="s">
        <v>288</v>
      </c>
      <c r="G18" s="657">
        <v>8935.1370740000002</v>
      </c>
      <c r="H18" s="657" t="s">
        <v>288</v>
      </c>
      <c r="I18" s="657">
        <v>121.39</v>
      </c>
      <c r="L18" s="552"/>
      <c r="N18" s="552"/>
      <c r="O18" s="552"/>
      <c r="P18" s="552"/>
      <c r="Q18" s="552"/>
      <c r="R18" s="552"/>
      <c r="S18" s="552"/>
      <c r="T18" s="552"/>
      <c r="U18" s="552"/>
    </row>
    <row r="19" spans="1:21" ht="10.35" customHeight="1" x14ac:dyDescent="0.2">
      <c r="A19" s="2930"/>
      <c r="B19" s="655" t="s">
        <v>1414</v>
      </c>
      <c r="C19" s="658" t="s">
        <v>288</v>
      </c>
      <c r="D19" s="658" t="s">
        <v>288</v>
      </c>
      <c r="E19" s="658" t="s">
        <v>288</v>
      </c>
      <c r="F19" s="658" t="s">
        <v>288</v>
      </c>
      <c r="G19" s="658" t="s">
        <v>288</v>
      </c>
      <c r="H19" s="658" t="s">
        <v>288</v>
      </c>
      <c r="I19" s="658" t="s">
        <v>288</v>
      </c>
      <c r="L19" s="552"/>
      <c r="N19" s="552"/>
      <c r="O19" s="552"/>
      <c r="P19" s="552"/>
      <c r="Q19" s="552"/>
      <c r="R19" s="552"/>
      <c r="S19" s="552"/>
      <c r="T19" s="552"/>
      <c r="U19" s="552"/>
    </row>
    <row r="20" spans="1:21" ht="10.35" customHeight="1" x14ac:dyDescent="0.2">
      <c r="A20" s="2930"/>
      <c r="B20" s="656" t="s">
        <v>1415</v>
      </c>
      <c r="C20" s="657" t="s">
        <v>288</v>
      </c>
      <c r="D20" s="657" t="s">
        <v>288</v>
      </c>
      <c r="E20" s="657" t="s">
        <v>288</v>
      </c>
      <c r="F20" s="657" t="s">
        <v>288</v>
      </c>
      <c r="G20" s="657" t="s">
        <v>288</v>
      </c>
      <c r="H20" s="657" t="s">
        <v>288</v>
      </c>
      <c r="I20" s="657" t="s">
        <v>288</v>
      </c>
      <c r="L20" s="552"/>
      <c r="N20" s="552"/>
      <c r="O20" s="552"/>
      <c r="P20" s="552"/>
      <c r="Q20" s="552"/>
      <c r="R20" s="552"/>
      <c r="S20" s="552"/>
      <c r="T20" s="552"/>
      <c r="U20" s="552"/>
    </row>
    <row r="21" spans="1:21" ht="10.35" customHeight="1" x14ac:dyDescent="0.2">
      <c r="A21" s="2930" t="s">
        <v>1159</v>
      </c>
      <c r="B21" s="655" t="s">
        <v>1427</v>
      </c>
      <c r="C21" s="658" t="s">
        <v>288</v>
      </c>
      <c r="D21" s="658" t="s">
        <v>288</v>
      </c>
      <c r="E21" s="658" t="s">
        <v>288</v>
      </c>
      <c r="F21" s="658" t="s">
        <v>288</v>
      </c>
      <c r="G21" s="658" t="s">
        <v>288</v>
      </c>
      <c r="H21" s="658" t="s">
        <v>288</v>
      </c>
      <c r="I21" s="658" t="s">
        <v>288</v>
      </c>
      <c r="L21" s="552"/>
      <c r="N21" s="552"/>
      <c r="O21" s="552"/>
      <c r="P21" s="552"/>
      <c r="Q21" s="552"/>
      <c r="R21" s="552"/>
      <c r="S21" s="552"/>
      <c r="T21" s="552"/>
      <c r="U21" s="552"/>
    </row>
    <row r="22" spans="1:21" ht="10.35" customHeight="1" x14ac:dyDescent="0.2">
      <c r="A22" s="2930"/>
      <c r="B22" s="656" t="s">
        <v>1428</v>
      </c>
      <c r="C22" s="657">
        <v>13907.12</v>
      </c>
      <c r="D22" s="657">
        <v>20985.53</v>
      </c>
      <c r="E22" s="657">
        <v>136683.128096</v>
      </c>
      <c r="F22" s="657">
        <v>888.48</v>
      </c>
      <c r="G22" s="666">
        <v>44146.8</v>
      </c>
      <c r="H22" s="657">
        <v>5.6866666666666674</v>
      </c>
      <c r="I22" s="657">
        <v>86.005195000000001</v>
      </c>
      <c r="L22" s="552"/>
      <c r="N22" s="552"/>
      <c r="O22" s="552"/>
      <c r="P22" s="552"/>
      <c r="Q22" s="552"/>
      <c r="R22" s="552"/>
      <c r="S22" s="552"/>
      <c r="T22" s="552"/>
      <c r="U22" s="552"/>
    </row>
    <row r="23" spans="1:21" ht="10.35" customHeight="1" x14ac:dyDescent="0.2">
      <c r="A23" s="2930"/>
      <c r="B23" s="655" t="s">
        <v>1410</v>
      </c>
      <c r="C23" s="658" t="s">
        <v>288</v>
      </c>
      <c r="D23" s="658" t="s">
        <v>288</v>
      </c>
      <c r="E23" s="658" t="s">
        <v>288</v>
      </c>
      <c r="F23" s="658" t="s">
        <v>288</v>
      </c>
      <c r="G23" s="658" t="s">
        <v>288</v>
      </c>
      <c r="H23" s="658" t="s">
        <v>288</v>
      </c>
      <c r="I23" s="658">
        <v>75.241674784182706</v>
      </c>
      <c r="L23" s="552"/>
      <c r="N23" s="552"/>
      <c r="O23" s="552"/>
      <c r="P23" s="552"/>
      <c r="Q23" s="552"/>
      <c r="R23" s="552"/>
      <c r="S23" s="552"/>
      <c r="T23" s="552"/>
      <c r="U23" s="552"/>
    </row>
    <row r="24" spans="1:21" ht="10.35" customHeight="1" x14ac:dyDescent="0.2">
      <c r="A24" s="2930"/>
      <c r="B24" s="656" t="s">
        <v>1411</v>
      </c>
      <c r="C24" s="657">
        <v>117048.7230758153</v>
      </c>
      <c r="D24" s="657">
        <v>171640.4361853741</v>
      </c>
      <c r="E24" s="657">
        <v>1568628.04011761</v>
      </c>
      <c r="F24" s="657">
        <v>13776.501501999999</v>
      </c>
      <c r="G24" s="657">
        <v>607309.13</v>
      </c>
      <c r="H24" s="657">
        <v>6.34</v>
      </c>
      <c r="I24" s="657">
        <v>75.250421666666668</v>
      </c>
      <c r="L24" s="552"/>
      <c r="N24" s="552"/>
      <c r="O24" s="552"/>
      <c r="P24" s="552"/>
      <c r="Q24" s="552"/>
      <c r="R24" s="552"/>
      <c r="S24" s="552"/>
      <c r="T24" s="552"/>
      <c r="U24" s="552"/>
    </row>
    <row r="25" spans="1:21" ht="10.35" customHeight="1" x14ac:dyDescent="0.2">
      <c r="A25" s="2930"/>
      <c r="B25" s="655" t="s">
        <v>1412</v>
      </c>
      <c r="C25" s="658">
        <v>114.64</v>
      </c>
      <c r="D25" s="658">
        <v>769.19</v>
      </c>
      <c r="E25" s="658">
        <v>204.17</v>
      </c>
      <c r="F25" s="658" t="s">
        <v>288</v>
      </c>
      <c r="G25" s="658">
        <v>865.19</v>
      </c>
      <c r="H25" s="658">
        <v>0.87</v>
      </c>
      <c r="I25" s="658">
        <v>15.4</v>
      </c>
      <c r="L25" s="552"/>
      <c r="N25" s="552"/>
      <c r="O25" s="552"/>
      <c r="P25" s="552"/>
      <c r="Q25" s="552"/>
      <c r="R25" s="552"/>
      <c r="S25" s="552"/>
      <c r="T25" s="552"/>
      <c r="U25" s="552"/>
    </row>
    <row r="26" spans="1:21" ht="10.35" customHeight="1" x14ac:dyDescent="0.2">
      <c r="A26" s="2930"/>
      <c r="B26" s="656" t="s">
        <v>1413</v>
      </c>
      <c r="C26" s="657">
        <v>345.63761699999998</v>
      </c>
      <c r="D26" s="657">
        <v>3871.3336199999999</v>
      </c>
      <c r="E26" s="657">
        <v>7154.3862220000001</v>
      </c>
      <c r="F26" s="657" t="s">
        <v>288</v>
      </c>
      <c r="G26" s="657">
        <v>8307.2269269999997</v>
      </c>
      <c r="H26" s="657" t="s">
        <v>288</v>
      </c>
      <c r="I26" s="657">
        <v>122.55</v>
      </c>
      <c r="L26" s="552"/>
      <c r="N26" s="552"/>
      <c r="O26" s="552"/>
      <c r="P26" s="552"/>
      <c r="Q26" s="552"/>
      <c r="R26" s="552"/>
      <c r="S26" s="552"/>
      <c r="T26" s="552"/>
      <c r="U26" s="552"/>
    </row>
    <row r="27" spans="1:21" ht="10.35" customHeight="1" x14ac:dyDescent="0.2">
      <c r="A27" s="2930"/>
      <c r="B27" s="655" t="s">
        <v>1414</v>
      </c>
      <c r="C27" s="658" t="s">
        <v>288</v>
      </c>
      <c r="D27" s="658" t="s">
        <v>288</v>
      </c>
      <c r="E27" s="658" t="s">
        <v>288</v>
      </c>
      <c r="F27" s="658" t="s">
        <v>288</v>
      </c>
      <c r="G27" s="658" t="s">
        <v>288</v>
      </c>
      <c r="H27" s="658" t="s">
        <v>288</v>
      </c>
      <c r="I27" s="658" t="s">
        <v>288</v>
      </c>
      <c r="L27" s="552"/>
      <c r="N27" s="552"/>
      <c r="O27" s="552"/>
      <c r="P27" s="552"/>
      <c r="Q27" s="552"/>
      <c r="R27" s="552"/>
      <c r="S27" s="552"/>
      <c r="T27" s="552"/>
      <c r="U27" s="552"/>
    </row>
    <row r="28" spans="1:21" ht="10.35" customHeight="1" x14ac:dyDescent="0.2">
      <c r="A28" s="2930"/>
      <c r="B28" s="656" t="s">
        <v>1415</v>
      </c>
      <c r="C28" s="657" t="s">
        <v>288</v>
      </c>
      <c r="D28" s="657" t="s">
        <v>288</v>
      </c>
      <c r="E28" s="657" t="s">
        <v>288</v>
      </c>
      <c r="F28" s="657" t="s">
        <v>288</v>
      </c>
      <c r="G28" s="657" t="s">
        <v>288</v>
      </c>
      <c r="H28" s="657" t="s">
        <v>288</v>
      </c>
      <c r="I28" s="657" t="s">
        <v>288</v>
      </c>
      <c r="L28" s="552"/>
      <c r="N28" s="552"/>
      <c r="O28" s="552"/>
      <c r="P28" s="552"/>
      <c r="Q28" s="552"/>
      <c r="R28" s="552"/>
      <c r="S28" s="552"/>
      <c r="T28" s="552"/>
      <c r="U28" s="552"/>
    </row>
    <row r="29" spans="1:21" ht="10.35" customHeight="1" x14ac:dyDescent="0.2">
      <c r="A29" s="2930" t="s">
        <v>1160</v>
      </c>
      <c r="B29" s="655" t="s">
        <v>1427</v>
      </c>
      <c r="C29" s="658" t="s">
        <v>288</v>
      </c>
      <c r="D29" s="658" t="s">
        <v>288</v>
      </c>
      <c r="E29" s="658" t="s">
        <v>288</v>
      </c>
      <c r="F29" s="658" t="s">
        <v>288</v>
      </c>
      <c r="G29" s="658" t="s">
        <v>288</v>
      </c>
      <c r="H29" s="658" t="s">
        <v>288</v>
      </c>
      <c r="I29" s="658" t="s">
        <v>288</v>
      </c>
      <c r="L29" s="552"/>
      <c r="N29" s="552"/>
      <c r="O29" s="552"/>
      <c r="P29" s="552"/>
      <c r="Q29" s="552"/>
      <c r="R29" s="552"/>
      <c r="S29" s="552"/>
      <c r="T29" s="552"/>
      <c r="U29" s="552"/>
    </row>
    <row r="30" spans="1:21" ht="10.35" customHeight="1" x14ac:dyDescent="0.2">
      <c r="A30" s="2930"/>
      <c r="B30" s="656" t="s">
        <v>1428</v>
      </c>
      <c r="C30" s="657">
        <v>13476.99</v>
      </c>
      <c r="D30" s="657">
        <v>21546.7</v>
      </c>
      <c r="E30" s="657">
        <v>132251.76129900001</v>
      </c>
      <c r="F30" s="657">
        <v>787.48</v>
      </c>
      <c r="G30" s="666">
        <v>41826.700000000004</v>
      </c>
      <c r="H30" s="657">
        <v>5.9833333333333334</v>
      </c>
      <c r="I30" s="657">
        <v>88.511646999999996</v>
      </c>
      <c r="L30" s="659"/>
      <c r="M30" s="659"/>
      <c r="N30" s="977"/>
      <c r="O30" s="241"/>
      <c r="P30" s="659"/>
      <c r="Q30" s="552"/>
      <c r="R30" s="552"/>
      <c r="S30" s="552"/>
      <c r="T30" s="552"/>
      <c r="U30" s="552"/>
    </row>
    <row r="31" spans="1:21" ht="10.35" customHeight="1" x14ac:dyDescent="0.2">
      <c r="A31" s="2930"/>
      <c r="B31" s="655" t="s">
        <v>1410</v>
      </c>
      <c r="C31" s="658" t="s">
        <v>288</v>
      </c>
      <c r="D31" s="658" t="s">
        <v>288</v>
      </c>
      <c r="E31" s="658" t="s">
        <v>288</v>
      </c>
      <c r="F31" s="658" t="s">
        <v>288</v>
      </c>
      <c r="G31" s="658" t="s">
        <v>288</v>
      </c>
      <c r="H31" s="658" t="s">
        <v>288</v>
      </c>
      <c r="I31" s="658">
        <v>51.163637816764094</v>
      </c>
      <c r="L31" s="977"/>
      <c r="M31" s="977"/>
      <c r="N31" s="977"/>
      <c r="O31" s="977"/>
      <c r="P31" s="659"/>
      <c r="Q31" s="552"/>
      <c r="R31" s="552"/>
      <c r="S31" s="552"/>
      <c r="T31" s="552"/>
      <c r="U31" s="552"/>
    </row>
    <row r="32" spans="1:21" ht="10.35" customHeight="1" x14ac:dyDescent="0.2">
      <c r="A32" s="2930"/>
      <c r="B32" s="656" t="s">
        <v>1411</v>
      </c>
      <c r="C32" s="657">
        <v>120921.1206651789</v>
      </c>
      <c r="D32" s="657">
        <v>183558.0091525281</v>
      </c>
      <c r="E32" s="657">
        <v>1539147.47663921</v>
      </c>
      <c r="F32" s="657">
        <v>13582.065572</v>
      </c>
      <c r="G32" s="657">
        <v>589154.57000000007</v>
      </c>
      <c r="H32" s="657">
        <v>7.28</v>
      </c>
      <c r="I32" s="657">
        <v>77.250786666666656</v>
      </c>
      <c r="L32" s="552"/>
      <c r="N32" s="552"/>
      <c r="O32" s="552"/>
      <c r="P32" s="552"/>
      <c r="Q32" s="552"/>
      <c r="R32" s="552"/>
      <c r="S32" s="552"/>
      <c r="T32" s="552"/>
      <c r="U32" s="552"/>
    </row>
    <row r="33" spans="1:21" ht="10.35" customHeight="1" x14ac:dyDescent="0.2">
      <c r="A33" s="2930"/>
      <c r="B33" s="655" t="s">
        <v>1412</v>
      </c>
      <c r="C33" s="658">
        <v>89.53</v>
      </c>
      <c r="D33" s="658">
        <v>931.74</v>
      </c>
      <c r="E33" s="658">
        <v>212.53</v>
      </c>
      <c r="F33" s="658" t="s">
        <v>288</v>
      </c>
      <c r="G33" s="658">
        <v>750.44</v>
      </c>
      <c r="H33" s="658">
        <v>1.03</v>
      </c>
      <c r="I33" s="658">
        <v>15.4</v>
      </c>
      <c r="L33" s="552"/>
      <c r="N33" s="552"/>
      <c r="O33" s="552"/>
      <c r="P33" s="552"/>
      <c r="Q33" s="552"/>
      <c r="R33" s="552"/>
      <c r="S33" s="552"/>
      <c r="T33" s="552"/>
      <c r="U33" s="552"/>
    </row>
    <row r="34" spans="1:21" ht="10.35" customHeight="1" x14ac:dyDescent="0.2">
      <c r="A34" s="2930"/>
      <c r="B34" s="656" t="s">
        <v>1413</v>
      </c>
      <c r="C34" s="657">
        <v>317.38042300000001</v>
      </c>
      <c r="D34" s="657">
        <v>3649.7753929999999</v>
      </c>
      <c r="E34" s="657">
        <v>7014.7818799999995</v>
      </c>
      <c r="F34" s="657" t="s">
        <v>288</v>
      </c>
      <c r="G34" s="657">
        <v>8264.3849379999992</v>
      </c>
      <c r="H34" s="657" t="s">
        <v>288</v>
      </c>
      <c r="I34" s="657">
        <v>124.86</v>
      </c>
      <c r="L34" s="552"/>
      <c r="N34" s="552"/>
      <c r="O34" s="552"/>
      <c r="P34" s="552"/>
      <c r="Q34" s="552"/>
      <c r="R34" s="552"/>
      <c r="S34" s="552"/>
      <c r="T34" s="552"/>
      <c r="U34" s="552"/>
    </row>
    <row r="35" spans="1:21" ht="10.35" customHeight="1" x14ac:dyDescent="0.2">
      <c r="A35" s="2930"/>
      <c r="B35" s="655" t="s">
        <v>1414</v>
      </c>
      <c r="C35" s="658" t="s">
        <v>288</v>
      </c>
      <c r="D35" s="658" t="s">
        <v>288</v>
      </c>
      <c r="E35" s="658" t="s">
        <v>288</v>
      </c>
      <c r="F35" s="658" t="s">
        <v>288</v>
      </c>
      <c r="G35" s="658" t="s">
        <v>288</v>
      </c>
      <c r="H35" s="658" t="s">
        <v>288</v>
      </c>
      <c r="I35" s="658" t="s">
        <v>288</v>
      </c>
      <c r="L35" s="552"/>
      <c r="N35" s="552"/>
      <c r="O35" s="552"/>
      <c r="P35" s="552"/>
      <c r="Q35" s="552"/>
      <c r="R35" s="552"/>
      <c r="S35" s="552"/>
      <c r="T35" s="552"/>
      <c r="U35" s="552"/>
    </row>
    <row r="36" spans="1:21" ht="10.35" customHeight="1" x14ac:dyDescent="0.2">
      <c r="A36" s="2930"/>
      <c r="B36" s="656" t="s">
        <v>1415</v>
      </c>
      <c r="C36" s="657" t="s">
        <v>288</v>
      </c>
      <c r="D36" s="657" t="s">
        <v>288</v>
      </c>
      <c r="E36" s="657" t="s">
        <v>288</v>
      </c>
      <c r="F36" s="657" t="s">
        <v>288</v>
      </c>
      <c r="G36" s="657" t="s">
        <v>288</v>
      </c>
      <c r="H36" s="657" t="s">
        <v>288</v>
      </c>
      <c r="I36" s="657" t="s">
        <v>288</v>
      </c>
      <c r="L36" s="552"/>
      <c r="N36" s="552"/>
      <c r="O36" s="552"/>
      <c r="P36" s="552"/>
      <c r="Q36" s="552"/>
      <c r="R36" s="552"/>
      <c r="S36" s="552"/>
      <c r="T36" s="552"/>
      <c r="U36" s="552"/>
    </row>
    <row r="37" spans="1:21" ht="12.75" customHeight="1" x14ac:dyDescent="0.2">
      <c r="A37" s="1084" t="s">
        <v>2105</v>
      </c>
      <c r="B37" s="1084"/>
      <c r="C37" s="1085"/>
      <c r="D37" s="1085"/>
      <c r="E37" s="1085"/>
      <c r="F37" s="1085"/>
      <c r="G37" s="1085"/>
      <c r="H37" s="1085"/>
      <c r="I37" s="1086"/>
    </row>
    <row r="38" spans="1:21" ht="10.35" customHeight="1" x14ac:dyDescent="0.25">
      <c r="A38" s="2929" t="s">
        <v>1161</v>
      </c>
      <c r="B38" s="655" t="s">
        <v>1427</v>
      </c>
      <c r="C38" s="662" t="s">
        <v>288</v>
      </c>
      <c r="D38" s="662" t="s">
        <v>288</v>
      </c>
      <c r="E38" s="662" t="s">
        <v>288</v>
      </c>
      <c r="F38" s="662" t="s">
        <v>288</v>
      </c>
      <c r="G38" s="662" t="s">
        <v>288</v>
      </c>
      <c r="H38" s="662" t="s">
        <v>288</v>
      </c>
      <c r="I38" s="662" t="s">
        <v>288</v>
      </c>
      <c r="J38" s="630"/>
    </row>
    <row r="39" spans="1:21" ht="10.35" customHeight="1" x14ac:dyDescent="0.2">
      <c r="A39" s="2930"/>
      <c r="B39" s="656" t="s">
        <v>1428</v>
      </c>
      <c r="C39" s="666">
        <v>12496.9</v>
      </c>
      <c r="D39" s="666">
        <v>20849</v>
      </c>
      <c r="E39" s="666">
        <v>132040.66145799999</v>
      </c>
      <c r="F39" s="666">
        <v>1100.1600000000001</v>
      </c>
      <c r="G39" s="666">
        <v>36476.400000000001</v>
      </c>
      <c r="H39" s="666">
        <v>6.6500000000000012</v>
      </c>
      <c r="I39" s="666">
        <v>94.8</v>
      </c>
    </row>
    <row r="40" spans="1:21" ht="10.35" customHeight="1" x14ac:dyDescent="0.2">
      <c r="A40" s="2930"/>
      <c r="B40" s="655" t="s">
        <v>1410</v>
      </c>
      <c r="C40" s="662" t="s">
        <v>288</v>
      </c>
      <c r="D40" s="662" t="s">
        <v>288</v>
      </c>
      <c r="E40" s="662" t="s">
        <v>288</v>
      </c>
      <c r="F40" s="662" t="s">
        <v>288</v>
      </c>
      <c r="G40" s="662" t="s">
        <v>288</v>
      </c>
      <c r="H40" s="662" t="s">
        <v>288</v>
      </c>
      <c r="I40" s="658" t="s">
        <v>288</v>
      </c>
    </row>
    <row r="41" spans="1:21" ht="10.35" customHeight="1" x14ac:dyDescent="0.2">
      <c r="A41" s="2930"/>
      <c r="B41" s="656" t="s">
        <v>1411</v>
      </c>
      <c r="C41" s="666">
        <v>110765.8365873812</v>
      </c>
      <c r="D41" s="666">
        <v>189086.35345946072</v>
      </c>
      <c r="E41" s="666">
        <v>1548685.9687292301</v>
      </c>
      <c r="F41" s="666">
        <v>6437.0842389999998</v>
      </c>
      <c r="G41" s="666">
        <v>532663.72</v>
      </c>
      <c r="H41" s="666">
        <v>7.04</v>
      </c>
      <c r="I41" s="666">
        <v>79.810850000000002</v>
      </c>
    </row>
    <row r="42" spans="1:21" ht="10.35" customHeight="1" x14ac:dyDescent="0.2">
      <c r="A42" s="2930"/>
      <c r="B42" s="655" t="s">
        <v>1412</v>
      </c>
      <c r="C42" s="662">
        <v>79.05</v>
      </c>
      <c r="D42" s="662">
        <v>876.14</v>
      </c>
      <c r="E42" s="662">
        <v>211.64</v>
      </c>
      <c r="F42" s="662" t="s">
        <v>288</v>
      </c>
      <c r="G42" s="658">
        <v>540.28</v>
      </c>
      <c r="H42" s="658">
        <v>1.59</v>
      </c>
      <c r="I42" s="662">
        <v>15.39</v>
      </c>
    </row>
    <row r="43" spans="1:21" ht="10.35" customHeight="1" x14ac:dyDescent="0.2">
      <c r="A43" s="2930"/>
      <c r="B43" s="656" t="s">
        <v>1413</v>
      </c>
      <c r="C43" s="657">
        <v>325.92813699999999</v>
      </c>
      <c r="D43" s="657">
        <v>3124.8529239999998</v>
      </c>
      <c r="E43" s="657">
        <v>6887.5999629999997</v>
      </c>
      <c r="F43" s="657" t="s">
        <v>288</v>
      </c>
      <c r="G43" s="657">
        <v>8245.9790379999995</v>
      </c>
      <c r="H43" s="657" t="s">
        <v>288</v>
      </c>
      <c r="I43" s="657">
        <v>127.52</v>
      </c>
    </row>
    <row r="44" spans="1:21" ht="10.35" customHeight="1" x14ac:dyDescent="0.2">
      <c r="A44" s="2930"/>
      <c r="B44" s="655" t="s">
        <v>1414</v>
      </c>
      <c r="C44" s="662" t="s">
        <v>288</v>
      </c>
      <c r="D44" s="662" t="s">
        <v>288</v>
      </c>
      <c r="E44" s="662" t="s">
        <v>288</v>
      </c>
      <c r="F44" s="662" t="s">
        <v>288</v>
      </c>
      <c r="G44" s="662" t="s">
        <v>288</v>
      </c>
      <c r="H44" s="662" t="s">
        <v>288</v>
      </c>
      <c r="I44" s="658" t="s">
        <v>288</v>
      </c>
    </row>
    <row r="45" spans="1:21" ht="10.35" customHeight="1" x14ac:dyDescent="0.2">
      <c r="A45" s="2930"/>
      <c r="B45" s="656" t="s">
        <v>1415</v>
      </c>
      <c r="C45" s="657" t="s">
        <v>288</v>
      </c>
      <c r="D45" s="657" t="s">
        <v>288</v>
      </c>
      <c r="E45" s="657" t="s">
        <v>288</v>
      </c>
      <c r="F45" s="657" t="s">
        <v>288</v>
      </c>
      <c r="G45" s="657" t="s">
        <v>288</v>
      </c>
      <c r="H45" s="657" t="s">
        <v>288</v>
      </c>
      <c r="I45" s="657" t="s">
        <v>288</v>
      </c>
    </row>
    <row r="46" spans="1:21" ht="10.35" customHeight="1" x14ac:dyDescent="0.2">
      <c r="A46" s="2930" t="s">
        <v>1274</v>
      </c>
      <c r="B46" s="655" t="s">
        <v>1427</v>
      </c>
      <c r="C46" s="662" t="s">
        <v>288</v>
      </c>
      <c r="D46" s="662" t="s">
        <v>288</v>
      </c>
      <c r="E46" s="662" t="s">
        <v>288</v>
      </c>
      <c r="F46" s="662" t="s">
        <v>288</v>
      </c>
      <c r="G46" s="662" t="s">
        <v>288</v>
      </c>
      <c r="H46" s="662" t="s">
        <v>288</v>
      </c>
      <c r="I46" s="662" t="s">
        <v>288</v>
      </c>
    </row>
    <row r="47" spans="1:21" ht="10.35" customHeight="1" x14ac:dyDescent="0.2">
      <c r="A47" s="2930"/>
      <c r="B47" s="656" t="s">
        <v>1428</v>
      </c>
      <c r="C47" s="666">
        <v>14814.37</v>
      </c>
      <c r="D47" s="666">
        <v>17462.2</v>
      </c>
      <c r="E47" s="666">
        <v>133407.76</v>
      </c>
      <c r="F47" s="666">
        <v>703.83</v>
      </c>
      <c r="G47" s="666">
        <v>33747.699999999997</v>
      </c>
      <c r="H47" s="666">
        <v>7.47</v>
      </c>
      <c r="I47" s="666">
        <v>97.69</v>
      </c>
    </row>
    <row r="48" spans="1:21" ht="10.35" customHeight="1" x14ac:dyDescent="0.2">
      <c r="A48" s="2930"/>
      <c r="B48" s="655" t="s">
        <v>1410</v>
      </c>
      <c r="C48" s="662" t="s">
        <v>288</v>
      </c>
      <c r="D48" s="662" t="s">
        <v>288</v>
      </c>
      <c r="E48" s="662" t="s">
        <v>288</v>
      </c>
      <c r="F48" s="662" t="s">
        <v>288</v>
      </c>
      <c r="G48" s="662" t="s">
        <v>288</v>
      </c>
      <c r="H48" s="662" t="s">
        <v>288</v>
      </c>
      <c r="I48" s="658" t="s">
        <v>288</v>
      </c>
    </row>
    <row r="49" spans="1:9" ht="10.35" customHeight="1" x14ac:dyDescent="0.2">
      <c r="A49" s="2930"/>
      <c r="B49" s="656" t="s">
        <v>1411</v>
      </c>
      <c r="C49" s="666">
        <v>104574.57138194841</v>
      </c>
      <c r="D49" s="666">
        <v>177373.09883756709</v>
      </c>
      <c r="E49" s="666">
        <v>1607078.6181754901</v>
      </c>
      <c r="F49" s="666">
        <v>2321.669261</v>
      </c>
      <c r="G49" s="666">
        <v>562720.56000000006</v>
      </c>
      <c r="H49" s="666">
        <v>6.12</v>
      </c>
      <c r="I49" s="666">
        <v>82.19944666666666</v>
      </c>
    </row>
    <row r="50" spans="1:9" ht="10.35" customHeight="1" x14ac:dyDescent="0.2">
      <c r="A50" s="2930"/>
      <c r="B50" s="655" t="s">
        <v>1412</v>
      </c>
      <c r="C50" s="662">
        <v>116.53</v>
      </c>
      <c r="D50" s="662">
        <v>938.6</v>
      </c>
      <c r="E50" s="662">
        <v>218.01</v>
      </c>
      <c r="F50" s="662" t="s">
        <v>288</v>
      </c>
      <c r="G50" s="658">
        <v>832.09</v>
      </c>
      <c r="H50" s="658">
        <v>2.33</v>
      </c>
      <c r="I50" s="662">
        <v>15.39</v>
      </c>
    </row>
    <row r="51" spans="1:9" ht="10.35" customHeight="1" x14ac:dyDescent="0.2">
      <c r="A51" s="2930"/>
      <c r="B51" s="656" t="s">
        <v>1413</v>
      </c>
      <c r="C51" s="657">
        <v>296.28419400000001</v>
      </c>
      <c r="D51" s="657">
        <v>2976.9653039999998</v>
      </c>
      <c r="E51" s="657">
        <v>6711.4568730000001</v>
      </c>
      <c r="F51" s="657" t="s">
        <v>288</v>
      </c>
      <c r="G51" s="657">
        <v>8634.3435150000005</v>
      </c>
      <c r="H51" s="657" t="s">
        <v>288</v>
      </c>
      <c r="I51" s="657">
        <v>131.94</v>
      </c>
    </row>
    <row r="52" spans="1:9" ht="10.35" customHeight="1" x14ac:dyDescent="0.2">
      <c r="A52" s="2930"/>
      <c r="B52" s="655" t="s">
        <v>1414</v>
      </c>
      <c r="C52" s="662" t="s">
        <v>288</v>
      </c>
      <c r="D52" s="662" t="s">
        <v>288</v>
      </c>
      <c r="E52" s="662" t="s">
        <v>288</v>
      </c>
      <c r="F52" s="662" t="s">
        <v>288</v>
      </c>
      <c r="G52" s="662" t="s">
        <v>288</v>
      </c>
      <c r="H52" s="662" t="s">
        <v>288</v>
      </c>
      <c r="I52" s="662" t="s">
        <v>288</v>
      </c>
    </row>
    <row r="53" spans="1:9" ht="10.35" customHeight="1" x14ac:dyDescent="0.2">
      <c r="A53" s="2930"/>
      <c r="B53" s="656" t="s">
        <v>1415</v>
      </c>
      <c r="C53" s="657" t="s">
        <v>288</v>
      </c>
      <c r="D53" s="657" t="s">
        <v>288</v>
      </c>
      <c r="E53" s="657" t="s">
        <v>288</v>
      </c>
      <c r="F53" s="657" t="s">
        <v>288</v>
      </c>
      <c r="G53" s="657" t="s">
        <v>288</v>
      </c>
      <c r="H53" s="657" t="s">
        <v>288</v>
      </c>
      <c r="I53" s="657" t="s">
        <v>288</v>
      </c>
    </row>
    <row r="54" spans="1:9" ht="7.5" customHeight="1" x14ac:dyDescent="0.2">
      <c r="A54" s="1087"/>
      <c r="B54" s="1087"/>
      <c r="C54" s="1088"/>
      <c r="D54" s="1088"/>
      <c r="E54" s="1088"/>
      <c r="F54" s="1088"/>
      <c r="G54" s="1088"/>
      <c r="H54" s="1088"/>
      <c r="I54" s="1088"/>
    </row>
    <row r="55" spans="1:9" x14ac:dyDescent="0.2">
      <c r="A55" s="659" t="s">
        <v>16</v>
      </c>
      <c r="B55" s="659" t="s">
        <v>1206</v>
      </c>
      <c r="C55" s="977"/>
      <c r="D55" s="241"/>
      <c r="E55" s="659"/>
      <c r="F55" s="977"/>
      <c r="G55" s="659" t="s">
        <v>1294</v>
      </c>
      <c r="H55" s="977"/>
      <c r="I55" s="977"/>
    </row>
    <row r="56" spans="1:9" x14ac:dyDescent="0.2">
      <c r="A56" s="977"/>
      <c r="B56" s="977"/>
      <c r="C56" s="977"/>
      <c r="D56" s="977"/>
      <c r="E56" s="659" t="s">
        <v>361</v>
      </c>
      <c r="F56" s="977"/>
      <c r="G56" s="977"/>
      <c r="H56" s="977"/>
      <c r="I56" s="977"/>
    </row>
    <row r="57" spans="1:9" x14ac:dyDescent="0.2">
      <c r="G57" s="977"/>
    </row>
    <row r="66" spans="1:7" x14ac:dyDescent="0.2">
      <c r="A66" s="659"/>
      <c r="B66" s="659"/>
      <c r="C66" s="977"/>
      <c r="D66" s="241"/>
      <c r="E66" s="659"/>
      <c r="F66" s="977"/>
      <c r="G66" s="659"/>
    </row>
    <row r="67" spans="1:7" x14ac:dyDescent="0.2">
      <c r="A67" s="977"/>
      <c r="B67" s="977"/>
      <c r="C67" s="977"/>
      <c r="D67" s="977"/>
      <c r="E67" s="659"/>
      <c r="F67" s="977"/>
      <c r="G67" s="977"/>
    </row>
  </sheetData>
  <customSheetViews>
    <customSheetView guid="{A374FC54-96E3-45F0-9C12-8450400C12DF}" scale="140" topLeftCell="A34">
      <selection activeCell="G57" sqref="G57"/>
      <pageMargins left="0.7" right="0.7" top="0.75" bottom="0.75" header="0.3" footer="0.3"/>
      <pageSetup paperSize="132" firstPageNumber="109" orientation="portrait" useFirstPageNumber="1" r:id="rId1"/>
      <headerFooter alignWithMargins="0">
        <oddFooter>&amp;C&amp;"Times New Roman,Regular"&amp;8&amp;P</oddFooter>
      </headerFooter>
    </customSheetView>
  </customSheetViews>
  <mergeCells count="10">
    <mergeCell ref="A38:A45"/>
    <mergeCell ref="A46:A53"/>
    <mergeCell ref="A1:G1"/>
    <mergeCell ref="A29:A36"/>
    <mergeCell ref="G2:I2"/>
    <mergeCell ref="G4:H4"/>
    <mergeCell ref="A5:A12"/>
    <mergeCell ref="A13:A20"/>
    <mergeCell ref="A21:A28"/>
    <mergeCell ref="A3:B3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5"/>
  <sheetViews>
    <sheetView zoomScale="130" zoomScaleNormal="130" zoomScaleSheetLayoutView="110" workbookViewId="0">
      <pane xSplit="1" ySplit="6" topLeftCell="E7" activePane="bottomRight" state="frozen"/>
      <selection pane="topRight" activeCell="B1" sqref="B1"/>
      <selection pane="bottomLeft" activeCell="A7" sqref="A7"/>
      <selection pane="bottomRight" activeCell="Q4" sqref="Q4:T5"/>
    </sheetView>
  </sheetViews>
  <sheetFormatPr defaultRowHeight="12.75" x14ac:dyDescent="0.2"/>
  <cols>
    <col min="1" max="1" width="8.140625" style="1476" customWidth="1"/>
    <col min="2" max="2" width="8.140625" style="1692" customWidth="1"/>
    <col min="3" max="3" width="8.5703125" style="1476" customWidth="1"/>
    <col min="4" max="4" width="10.42578125" style="1476" bestFit="1" customWidth="1"/>
    <col min="5" max="5" width="9" style="1476" customWidth="1"/>
    <col min="6" max="6" width="7.5703125" style="1476" customWidth="1"/>
    <col min="7" max="8" width="7.85546875" style="1476" customWidth="1"/>
    <col min="9" max="9" width="8.42578125" style="1476" customWidth="1"/>
    <col min="10" max="10" width="8.7109375" style="1476" customWidth="1"/>
    <col min="11" max="11" width="7.140625" style="1476" customWidth="1"/>
    <col min="12" max="12" width="7" style="1476" customWidth="1"/>
    <col min="13" max="14" width="6.28515625" style="1476" customWidth="1"/>
    <col min="15" max="15" width="5.42578125" style="1476" customWidth="1"/>
    <col min="16" max="16" width="8" style="1476" customWidth="1"/>
    <col min="17" max="17" width="7.5703125" style="1476" customWidth="1"/>
    <col min="18" max="18" width="7" style="1476" customWidth="1"/>
    <col min="19" max="19" width="7.5703125" style="1476" customWidth="1"/>
    <col min="20" max="20" width="8.140625" style="1476" customWidth="1"/>
    <col min="21" max="21" width="7.5703125" style="1476" customWidth="1"/>
    <col min="22" max="16384" width="9.140625" style="1476"/>
  </cols>
  <sheetData>
    <row r="1" spans="1:21" ht="13.5" customHeight="1" x14ac:dyDescent="0.2">
      <c r="G1" s="2942" t="s">
        <v>1864</v>
      </c>
      <c r="H1" s="2942"/>
      <c r="I1" s="2942"/>
      <c r="J1" s="2942"/>
      <c r="K1" s="2947" t="s">
        <v>1865</v>
      </c>
      <c r="L1" s="2947"/>
      <c r="M1" s="2947"/>
      <c r="N1" s="2947"/>
      <c r="O1" s="2947"/>
      <c r="P1" s="2947"/>
      <c r="Q1" s="2947"/>
    </row>
    <row r="2" spans="1:21" ht="12" customHeight="1" x14ac:dyDescent="0.3">
      <c r="A2" s="627"/>
      <c r="B2" s="627"/>
      <c r="C2" s="628"/>
      <c r="D2" s="628"/>
      <c r="E2" s="634"/>
      <c r="F2" s="634"/>
      <c r="G2" s="634"/>
      <c r="H2" s="634"/>
      <c r="I2" s="634"/>
      <c r="J2" s="629"/>
      <c r="K2" s="643"/>
      <c r="L2" s="643"/>
      <c r="M2" s="643"/>
      <c r="N2" s="629"/>
      <c r="O2" s="629"/>
      <c r="P2" s="629"/>
      <c r="Q2" s="628"/>
      <c r="R2" s="628"/>
      <c r="S2" s="2943" t="s">
        <v>1998</v>
      </c>
      <c r="T2" s="2944"/>
      <c r="U2" s="2944"/>
    </row>
    <row r="3" spans="1:21" ht="10.5" customHeight="1" x14ac:dyDescent="0.25">
      <c r="A3" s="630"/>
      <c r="B3" s="630"/>
      <c r="C3" s="630"/>
      <c r="D3" s="630"/>
      <c r="E3" s="630"/>
      <c r="F3" s="630"/>
      <c r="G3" s="630"/>
      <c r="H3" s="630"/>
      <c r="I3" s="630"/>
      <c r="J3" s="630"/>
      <c r="K3" s="630"/>
      <c r="L3" s="630"/>
      <c r="M3" s="630"/>
      <c r="N3" s="630"/>
      <c r="O3" s="630"/>
      <c r="P3" s="630"/>
      <c r="Q3" s="630"/>
      <c r="R3" s="630"/>
      <c r="S3" s="2945" t="s">
        <v>24</v>
      </c>
      <c r="T3" s="2946"/>
      <c r="U3" s="2946"/>
    </row>
    <row r="4" spans="1:21" ht="14.25" customHeight="1" x14ac:dyDescent="0.2">
      <c r="A4" s="2921" t="s">
        <v>474</v>
      </c>
      <c r="B4" s="2921" t="s">
        <v>3067</v>
      </c>
      <c r="C4" s="2948" t="s">
        <v>1893</v>
      </c>
      <c r="D4" s="2949"/>
      <c r="E4" s="2949"/>
      <c r="F4" s="2949"/>
      <c r="G4" s="2950"/>
      <c r="H4" s="2951" t="s">
        <v>1866</v>
      </c>
      <c r="I4" s="2952"/>
      <c r="J4" s="2953"/>
      <c r="K4" s="2954" t="s">
        <v>1867</v>
      </c>
      <c r="L4" s="2949"/>
      <c r="M4" s="2949"/>
      <c r="N4" s="2950"/>
      <c r="O4" s="2955" t="s">
        <v>1908</v>
      </c>
      <c r="P4" s="2936" t="s">
        <v>1896</v>
      </c>
      <c r="Q4" s="2936" t="s">
        <v>1895</v>
      </c>
      <c r="R4" s="2936" t="s">
        <v>1868</v>
      </c>
      <c r="S4" s="2912" t="s">
        <v>1914</v>
      </c>
      <c r="T4" s="2936" t="s">
        <v>1897</v>
      </c>
      <c r="U4" s="2939" t="s">
        <v>474</v>
      </c>
    </row>
    <row r="5" spans="1:21" ht="39" customHeight="1" x14ac:dyDescent="0.2">
      <c r="A5" s="2922"/>
      <c r="B5" s="2922"/>
      <c r="C5" s="1432" t="s">
        <v>1869</v>
      </c>
      <c r="D5" s="1432" t="s">
        <v>1870</v>
      </c>
      <c r="E5" s="1479" t="s">
        <v>1871</v>
      </c>
      <c r="F5" s="884" t="s">
        <v>1894</v>
      </c>
      <c r="G5" s="872" t="s">
        <v>1872</v>
      </c>
      <c r="H5" s="1477" t="s">
        <v>1873</v>
      </c>
      <c r="I5" s="1477" t="s">
        <v>1874</v>
      </c>
      <c r="J5" s="1477" t="s">
        <v>1875</v>
      </c>
      <c r="K5" s="1377" t="s">
        <v>1876</v>
      </c>
      <c r="L5" s="1377" t="s">
        <v>3224</v>
      </c>
      <c r="M5" s="1377" t="s">
        <v>3225</v>
      </c>
      <c r="N5" s="1481" t="s">
        <v>1913</v>
      </c>
      <c r="O5" s="2937"/>
      <c r="P5" s="2937"/>
      <c r="Q5" s="2937"/>
      <c r="R5" s="2937"/>
      <c r="S5" s="2913"/>
      <c r="T5" s="2938"/>
      <c r="U5" s="2940"/>
    </row>
    <row r="6" spans="1:21" ht="9.75" customHeight="1" x14ac:dyDescent="0.2">
      <c r="A6" s="2923"/>
      <c r="B6" s="2923"/>
      <c r="C6" s="1229">
        <v>1</v>
      </c>
      <c r="D6" s="873">
        <v>2</v>
      </c>
      <c r="E6" s="873">
        <v>3</v>
      </c>
      <c r="F6" s="873">
        <v>4</v>
      </c>
      <c r="G6" s="873">
        <v>5</v>
      </c>
      <c r="H6" s="873">
        <v>6</v>
      </c>
      <c r="I6" s="873">
        <v>7</v>
      </c>
      <c r="J6" s="873">
        <v>8</v>
      </c>
      <c r="K6" s="873">
        <v>9</v>
      </c>
      <c r="L6" s="873">
        <v>10</v>
      </c>
      <c r="M6" s="873">
        <v>11</v>
      </c>
      <c r="N6" s="873">
        <v>12</v>
      </c>
      <c r="O6" s="873">
        <v>13</v>
      </c>
      <c r="P6" s="873">
        <v>14</v>
      </c>
      <c r="Q6" s="873">
        <v>15</v>
      </c>
      <c r="R6" s="873">
        <v>16</v>
      </c>
      <c r="S6" s="873">
        <v>17</v>
      </c>
      <c r="T6" s="873">
        <v>18</v>
      </c>
      <c r="U6" s="2941"/>
    </row>
    <row r="7" spans="1:21" ht="12.95" customHeight="1" x14ac:dyDescent="0.2">
      <c r="A7" s="1047" t="s">
        <v>1296</v>
      </c>
      <c r="B7" s="1047"/>
      <c r="C7" s="1048">
        <v>5778.93</v>
      </c>
      <c r="D7" s="1048">
        <v>25743.57</v>
      </c>
      <c r="E7" s="1048">
        <v>23651.01</v>
      </c>
      <c r="F7" s="1048">
        <v>5900.44</v>
      </c>
      <c r="G7" s="1048">
        <f>F7+E7+D7+C7</f>
        <v>61073.95</v>
      </c>
      <c r="H7" s="1048">
        <v>3372.6</v>
      </c>
      <c r="I7" s="1048">
        <v>11661.04</v>
      </c>
      <c r="J7" s="1048">
        <f>I7+H7</f>
        <v>15033.640000000001</v>
      </c>
      <c r="K7" s="1048">
        <v>1902.61</v>
      </c>
      <c r="L7" s="1048">
        <v>23.77</v>
      </c>
      <c r="M7" s="1048">
        <v>344.05</v>
      </c>
      <c r="N7" s="1048">
        <f>K7+L7+M7</f>
        <v>2270.4299999999998</v>
      </c>
      <c r="O7" s="1048">
        <f>86.61+71.78+248.27</f>
        <v>406.65999999999997</v>
      </c>
      <c r="P7" s="1048">
        <f>O7+N7+J7+G7</f>
        <v>78784.679999999993</v>
      </c>
      <c r="Q7" s="1048">
        <v>32254.38</v>
      </c>
      <c r="R7" s="1048">
        <v>20001.87</v>
      </c>
      <c r="S7" s="1048">
        <v>46530.3</v>
      </c>
      <c r="T7" s="1048">
        <v>287704.5</v>
      </c>
      <c r="U7" s="1046" t="s">
        <v>1296</v>
      </c>
    </row>
    <row r="8" spans="1:21" ht="12.95" customHeight="1" x14ac:dyDescent="0.2">
      <c r="A8" s="1077" t="s">
        <v>1404</v>
      </c>
      <c r="B8" s="1077"/>
      <c r="C8" s="875">
        <v>10372.989999999998</v>
      </c>
      <c r="D8" s="875">
        <v>26930.83</v>
      </c>
      <c r="E8" s="875">
        <v>27234.410000000003</v>
      </c>
      <c r="F8" s="875">
        <v>5043.63</v>
      </c>
      <c r="G8" s="875">
        <v>69581.86</v>
      </c>
      <c r="H8" s="875">
        <v>3202.32</v>
      </c>
      <c r="I8" s="875">
        <v>15495.210000000001</v>
      </c>
      <c r="J8" s="875">
        <v>18697.530000000002</v>
      </c>
      <c r="K8" s="875">
        <v>1366.67</v>
      </c>
      <c r="L8" s="875">
        <v>47.739999999999995</v>
      </c>
      <c r="M8" s="875">
        <v>471.64</v>
      </c>
      <c r="N8" s="875">
        <v>1886.05</v>
      </c>
      <c r="O8" s="875">
        <v>176.94</v>
      </c>
      <c r="P8" s="875">
        <v>90342.38</v>
      </c>
      <c r="Q8" s="875">
        <v>40402.92</v>
      </c>
      <c r="R8" s="875">
        <v>24896.420000000002</v>
      </c>
      <c r="S8" s="875">
        <v>49939.46</v>
      </c>
      <c r="T8" s="875">
        <v>287704.45</v>
      </c>
      <c r="U8" s="1078" t="s">
        <v>1404</v>
      </c>
    </row>
    <row r="9" spans="1:21" ht="12.95" customHeight="1" x14ac:dyDescent="0.2">
      <c r="A9" s="1056" t="s">
        <v>1484</v>
      </c>
      <c r="B9" s="1056"/>
      <c r="C9" s="874">
        <v>8491.06</v>
      </c>
      <c r="D9" s="874">
        <v>16756.449999999997</v>
      </c>
      <c r="E9" s="874">
        <v>13843.539999999999</v>
      </c>
      <c r="F9" s="874">
        <v>4590.7800000000007</v>
      </c>
      <c r="G9" s="874">
        <v>43681.829999999994</v>
      </c>
      <c r="H9" s="874">
        <v>3009.92</v>
      </c>
      <c r="I9" s="874">
        <v>18637.46</v>
      </c>
      <c r="J9" s="874">
        <v>21647.38</v>
      </c>
      <c r="K9" s="874">
        <v>1341.26</v>
      </c>
      <c r="L9" s="874">
        <v>29.64</v>
      </c>
      <c r="M9" s="874">
        <v>249.21999999999997</v>
      </c>
      <c r="N9" s="874">
        <v>1620.1200000000001</v>
      </c>
      <c r="O9" s="874">
        <v>178.43</v>
      </c>
      <c r="P9" s="874">
        <v>67127.759999999995</v>
      </c>
      <c r="Q9" s="874">
        <v>52699.41</v>
      </c>
      <c r="R9" s="874">
        <v>28105.119999999999</v>
      </c>
      <c r="S9" s="874">
        <v>14428.349999999999</v>
      </c>
      <c r="T9" s="874">
        <v>302132.96999999997</v>
      </c>
      <c r="U9" s="1183" t="s">
        <v>1484</v>
      </c>
    </row>
    <row r="10" spans="1:21" s="690" customFormat="1" ht="12.95" customHeight="1" x14ac:dyDescent="0.2">
      <c r="A10" s="878" t="s">
        <v>1536</v>
      </c>
      <c r="B10" s="878"/>
      <c r="C10" s="875">
        <v>9550.2400000000016</v>
      </c>
      <c r="D10" s="875">
        <v>42794.799999999988</v>
      </c>
      <c r="E10" s="875">
        <v>31518.37999999999</v>
      </c>
      <c r="F10" s="875">
        <v>7403.1</v>
      </c>
      <c r="G10" s="875">
        <v>91266.52</v>
      </c>
      <c r="H10" s="875">
        <v>1963.54</v>
      </c>
      <c r="I10" s="875">
        <v>16981.04</v>
      </c>
      <c r="J10" s="875">
        <v>18944.579999999998</v>
      </c>
      <c r="K10" s="875">
        <v>1566</v>
      </c>
      <c r="L10" s="875">
        <v>22.839999999999996</v>
      </c>
      <c r="M10" s="875">
        <v>180.29999999999998</v>
      </c>
      <c r="N10" s="875">
        <v>1769.1399999999999</v>
      </c>
      <c r="O10" s="875">
        <v>208.04</v>
      </c>
      <c r="P10" s="875">
        <v>112188.27999999997</v>
      </c>
      <c r="Q10" s="875">
        <v>70174.210000000006</v>
      </c>
      <c r="R10" s="875">
        <v>35087.29</v>
      </c>
      <c r="S10" s="875">
        <v>42014.069999999992</v>
      </c>
      <c r="T10" s="875">
        <v>344143.94</v>
      </c>
      <c r="U10" s="881" t="s">
        <v>1536</v>
      </c>
    </row>
    <row r="11" spans="1:21" s="690" customFormat="1" ht="12.95" customHeight="1" x14ac:dyDescent="0.2">
      <c r="A11" s="877" t="s">
        <v>1817</v>
      </c>
      <c r="B11" s="877"/>
      <c r="C11" s="494">
        <v>9366.43</v>
      </c>
      <c r="D11" s="494">
        <v>53146.05</v>
      </c>
      <c r="E11" s="494">
        <v>32999.51</v>
      </c>
      <c r="F11" s="494">
        <v>8140.11</v>
      </c>
      <c r="G11" s="494">
        <v>103652.1</v>
      </c>
      <c r="H11" s="494">
        <v>476.28000000000003</v>
      </c>
      <c r="I11" s="494">
        <v>2742.31</v>
      </c>
      <c r="J11" s="494">
        <v>3218.59</v>
      </c>
      <c r="K11" s="494">
        <v>866.29000000000008</v>
      </c>
      <c r="L11" s="494">
        <v>15.03</v>
      </c>
      <c r="M11" s="494">
        <v>101.71</v>
      </c>
      <c r="N11" s="494">
        <v>983.03000000000009</v>
      </c>
      <c r="O11" s="494">
        <v>208.49</v>
      </c>
      <c r="P11" s="494">
        <v>108062.20999999999</v>
      </c>
      <c r="Q11" s="494">
        <v>88155.1</v>
      </c>
      <c r="R11" s="494">
        <v>40008.300000000003</v>
      </c>
      <c r="S11" s="494">
        <v>19907.11</v>
      </c>
      <c r="T11" s="494">
        <v>364051.04999999993</v>
      </c>
      <c r="U11" s="880" t="s">
        <v>1817</v>
      </c>
    </row>
    <row r="12" spans="1:21" ht="12.95" customHeight="1" x14ac:dyDescent="0.2">
      <c r="A12" s="876" t="s">
        <v>2066</v>
      </c>
      <c r="B12" s="876"/>
      <c r="C12" s="1298">
        <v>4398.8500000000004</v>
      </c>
      <c r="D12" s="1298">
        <v>38117.1</v>
      </c>
      <c r="E12" s="1298">
        <v>24674.29</v>
      </c>
      <c r="F12" s="1298">
        <v>7424.8499999999995</v>
      </c>
      <c r="G12" s="1298">
        <v>74615.090000000011</v>
      </c>
      <c r="H12" s="1298">
        <v>514.68999999999994</v>
      </c>
      <c r="I12" s="1298">
        <v>4324.3</v>
      </c>
      <c r="J12" s="1298">
        <v>4838.99</v>
      </c>
      <c r="K12" s="1298">
        <v>707.97</v>
      </c>
      <c r="L12" s="1298">
        <v>91.539999999999978</v>
      </c>
      <c r="M12" s="1298">
        <v>373</v>
      </c>
      <c r="N12" s="1298">
        <v>1172.5100000000002</v>
      </c>
      <c r="O12" s="1298">
        <v>232.01999999999998</v>
      </c>
      <c r="P12" s="1298">
        <v>80858.61</v>
      </c>
      <c r="Q12" s="1298">
        <v>84154.565099999993</v>
      </c>
      <c r="R12" s="1298">
        <v>44799.746200000001</v>
      </c>
      <c r="S12" s="1298">
        <v>-3295.9550999999992</v>
      </c>
      <c r="T12" s="1298">
        <v>360755.09489999997</v>
      </c>
      <c r="U12" s="879" t="s">
        <v>2066</v>
      </c>
    </row>
    <row r="13" spans="1:21" s="172" customFormat="1" ht="12.95" customHeight="1" x14ac:dyDescent="0.2">
      <c r="A13" s="882" t="s">
        <v>2212</v>
      </c>
      <c r="B13" s="882"/>
      <c r="C13" s="1297">
        <f>SUM(C18:C29)</f>
        <v>3358.3900000000003</v>
      </c>
      <c r="D13" s="1297">
        <f t="shared" ref="D13:S13" si="0">SUM(D18:D29)</f>
        <v>34663.94</v>
      </c>
      <c r="E13" s="1297">
        <f t="shared" si="0"/>
        <v>28057.190000000002</v>
      </c>
      <c r="F13" s="1297">
        <f t="shared" si="0"/>
        <v>6662.5099999999993</v>
      </c>
      <c r="G13" s="1297">
        <f t="shared" si="0"/>
        <v>72742.029999999984</v>
      </c>
      <c r="H13" s="1297">
        <f t="shared" si="0"/>
        <v>474.17000000000007</v>
      </c>
      <c r="I13" s="1297">
        <f t="shared" si="0"/>
        <v>4286.53</v>
      </c>
      <c r="J13" s="1297">
        <f t="shared" si="0"/>
        <v>4760.7</v>
      </c>
      <c r="K13" s="1297">
        <f t="shared" si="0"/>
        <v>713.14</v>
      </c>
      <c r="L13" s="1297">
        <f t="shared" si="0"/>
        <v>59.61</v>
      </c>
      <c r="M13" s="1297">
        <f t="shared" si="0"/>
        <v>334.13000000000005</v>
      </c>
      <c r="N13" s="1297">
        <f t="shared" si="0"/>
        <v>1106.8800000000001</v>
      </c>
      <c r="O13" s="1297">
        <f t="shared" si="0"/>
        <v>238.34</v>
      </c>
      <c r="P13" s="1297">
        <f t="shared" si="0"/>
        <v>78847.95</v>
      </c>
      <c r="Q13" s="1297">
        <f t="shared" si="0"/>
        <v>99972.32</v>
      </c>
      <c r="R13" s="1297">
        <f t="shared" si="0"/>
        <v>46258.990000000005</v>
      </c>
      <c r="S13" s="1297">
        <f t="shared" si="0"/>
        <v>-21124.370000000003</v>
      </c>
      <c r="T13" s="1297">
        <f>T29</f>
        <v>339630.72000000003</v>
      </c>
      <c r="U13" s="883" t="s">
        <v>2212</v>
      </c>
    </row>
    <row r="14" spans="1:21" s="172" customFormat="1" ht="12.95" customHeight="1" x14ac:dyDescent="0.2">
      <c r="A14" s="876" t="s">
        <v>2513</v>
      </c>
      <c r="B14" s="876"/>
      <c r="C14" s="1298">
        <f t="shared" ref="C14:S14" si="1">SUM(C30:C41)</f>
        <v>2777.3799999999997</v>
      </c>
      <c r="D14" s="1298">
        <f t="shared" si="1"/>
        <v>28795.529999999995</v>
      </c>
      <c r="E14" s="1298">
        <f t="shared" si="1"/>
        <v>25057.58</v>
      </c>
      <c r="F14" s="1298">
        <f t="shared" si="1"/>
        <v>7030.2400000000007</v>
      </c>
      <c r="G14" s="1298">
        <f t="shared" si="1"/>
        <v>63660.729999999996</v>
      </c>
      <c r="H14" s="1298">
        <f t="shared" si="1"/>
        <v>351.95999999999992</v>
      </c>
      <c r="I14" s="1298">
        <f t="shared" si="1"/>
        <v>2930.74</v>
      </c>
      <c r="J14" s="1298">
        <f t="shared" si="1"/>
        <v>3282.7000000000007</v>
      </c>
      <c r="K14" s="1298">
        <f t="shared" si="1"/>
        <v>950.00999999999988</v>
      </c>
      <c r="L14" s="1298">
        <f t="shared" si="1"/>
        <v>72.75</v>
      </c>
      <c r="M14" s="1298">
        <f t="shared" si="1"/>
        <v>228.10000000000002</v>
      </c>
      <c r="N14" s="1298">
        <f t="shared" si="1"/>
        <v>1250.8599999999999</v>
      </c>
      <c r="O14" s="1298">
        <f t="shared" si="1"/>
        <v>244.91</v>
      </c>
      <c r="P14" s="1298">
        <f t="shared" si="1"/>
        <v>68439.200000000012</v>
      </c>
      <c r="Q14" s="1298">
        <f t="shared" si="1"/>
        <v>74502.540000000008</v>
      </c>
      <c r="R14" s="1298">
        <f t="shared" si="1"/>
        <v>22108.725000000002</v>
      </c>
      <c r="S14" s="1298">
        <f t="shared" si="1"/>
        <v>-6063.3399999999992</v>
      </c>
      <c r="T14" s="1298">
        <f>T41</f>
        <v>333567.38</v>
      </c>
      <c r="U14" s="879" t="s">
        <v>2513</v>
      </c>
    </row>
    <row r="15" spans="1:21" s="172" customFormat="1" ht="12.95" customHeight="1" x14ac:dyDescent="0.2">
      <c r="A15" s="882"/>
      <c r="B15" s="882"/>
      <c r="C15" s="1297"/>
      <c r="D15" s="1297"/>
      <c r="E15" s="1297"/>
      <c r="F15" s="1297"/>
      <c r="G15" s="1297"/>
      <c r="H15" s="1297"/>
      <c r="I15" s="1297"/>
      <c r="J15" s="1297"/>
      <c r="K15" s="1297"/>
      <c r="L15" s="1297"/>
      <c r="M15" s="1297"/>
      <c r="N15" s="1297"/>
      <c r="O15" s="1297"/>
      <c r="P15" s="1297"/>
      <c r="Q15" s="1297"/>
      <c r="R15" s="1297"/>
      <c r="S15" s="1297"/>
      <c r="T15" s="1297"/>
      <c r="U15" s="883"/>
    </row>
    <row r="16" spans="1:21" s="172" customFormat="1" ht="12.95" customHeight="1" x14ac:dyDescent="0.2">
      <c r="A16" s="882"/>
      <c r="B16" s="882"/>
      <c r="C16" s="1297"/>
      <c r="D16" s="1297"/>
      <c r="E16" s="1297"/>
      <c r="F16" s="1297"/>
      <c r="G16" s="1297"/>
      <c r="H16" s="1297"/>
      <c r="I16" s="1297"/>
      <c r="J16" s="1297"/>
      <c r="K16" s="1297"/>
      <c r="L16" s="1297"/>
      <c r="M16" s="1297"/>
      <c r="N16" s="1297"/>
      <c r="O16" s="1297"/>
      <c r="P16" s="1297"/>
      <c r="Q16" s="1297"/>
      <c r="R16" s="1297"/>
      <c r="S16" s="1297"/>
      <c r="T16" s="1297"/>
      <c r="U16" s="883"/>
    </row>
    <row r="17" spans="1:21" s="172" customFormat="1" ht="12.95" customHeight="1" x14ac:dyDescent="0.2">
      <c r="A17" s="882"/>
      <c r="B17" s="882"/>
      <c r="C17" s="1297"/>
      <c r="D17" s="1297"/>
      <c r="E17" s="1297"/>
      <c r="F17" s="1297"/>
      <c r="G17" s="1297"/>
      <c r="H17" s="1297"/>
      <c r="I17" s="1297"/>
      <c r="J17" s="1297"/>
      <c r="K17" s="1297"/>
      <c r="L17" s="1297"/>
      <c r="M17" s="1297"/>
      <c r="N17" s="1297"/>
      <c r="O17" s="1297"/>
      <c r="P17" s="1297"/>
      <c r="Q17" s="1297"/>
      <c r="R17" s="1297"/>
      <c r="S17" s="1297"/>
      <c r="T17" s="1297"/>
      <c r="U17" s="883"/>
    </row>
    <row r="18" spans="1:21" ht="12.95" customHeight="1" x14ac:dyDescent="0.2">
      <c r="A18" s="882" t="s">
        <v>2212</v>
      </c>
      <c r="B18" s="878" t="s">
        <v>552</v>
      </c>
      <c r="C18" s="875">
        <v>358.31</v>
      </c>
      <c r="D18" s="875">
        <v>3449.09</v>
      </c>
      <c r="E18" s="875">
        <v>2754.65</v>
      </c>
      <c r="F18" s="875">
        <v>623.54999999999995</v>
      </c>
      <c r="G18" s="875">
        <f t="shared" ref="G18:G46" si="2">F18+E18+D18+C18</f>
        <v>7185.6</v>
      </c>
      <c r="H18" s="875">
        <v>60.96</v>
      </c>
      <c r="I18" s="875">
        <v>478.23</v>
      </c>
      <c r="J18" s="875">
        <f t="shared" ref="J18:J46" si="3">H18+I18</f>
        <v>539.19000000000005</v>
      </c>
      <c r="K18" s="875">
        <v>84.83</v>
      </c>
      <c r="L18" s="875">
        <v>6.34</v>
      </c>
      <c r="M18" s="875">
        <v>21.44</v>
      </c>
      <c r="N18" s="875">
        <f t="shared" ref="N18:N46" si="4">K18+L18+M18</f>
        <v>112.61</v>
      </c>
      <c r="O18" s="875">
        <f>13.45+9.81</f>
        <v>23.259999999999998</v>
      </c>
      <c r="P18" s="875">
        <f t="shared" ref="P18:P46" si="5">G18+J18+O18+N18</f>
        <v>7860.6600000000008</v>
      </c>
      <c r="Q18" s="875">
        <v>8208.24</v>
      </c>
      <c r="R18" s="875">
        <v>3996.7</v>
      </c>
      <c r="S18" s="875">
        <f t="shared" ref="S18:S19" si="6">P18-Q18</f>
        <v>-347.57999999999902</v>
      </c>
      <c r="T18" s="875">
        <f>S18+360755.09</f>
        <v>360407.51</v>
      </c>
      <c r="U18" s="881" t="s">
        <v>552</v>
      </c>
    </row>
    <row r="19" spans="1:21" ht="12.95" customHeight="1" x14ac:dyDescent="0.2">
      <c r="A19" s="882" t="s">
        <v>2212</v>
      </c>
      <c r="B19" s="877" t="s">
        <v>553</v>
      </c>
      <c r="C19" s="874">
        <v>292.5</v>
      </c>
      <c r="D19" s="874">
        <v>3101.37</v>
      </c>
      <c r="E19" s="874">
        <v>2482.63</v>
      </c>
      <c r="F19" s="874">
        <v>585.36</v>
      </c>
      <c r="G19" s="874">
        <f t="shared" si="2"/>
        <v>6461.8600000000006</v>
      </c>
      <c r="H19" s="874">
        <v>47.04</v>
      </c>
      <c r="I19" s="874">
        <v>393.87</v>
      </c>
      <c r="J19" s="874">
        <f t="shared" si="3"/>
        <v>440.91</v>
      </c>
      <c r="K19" s="874">
        <v>70.14</v>
      </c>
      <c r="L19" s="874">
        <v>6.27</v>
      </c>
      <c r="M19" s="874">
        <v>38.869999999999997</v>
      </c>
      <c r="N19" s="874">
        <f t="shared" si="4"/>
        <v>115.28</v>
      </c>
      <c r="O19" s="874">
        <f>13.27+18.28</f>
        <v>31.55</v>
      </c>
      <c r="P19" s="874">
        <f t="shared" si="5"/>
        <v>7049.6</v>
      </c>
      <c r="Q19" s="874">
        <v>7819.11</v>
      </c>
      <c r="R19" s="874">
        <v>3496.48</v>
      </c>
      <c r="S19" s="874">
        <f t="shared" si="6"/>
        <v>-769.50999999999931</v>
      </c>
      <c r="T19" s="874">
        <f>S19+T18</f>
        <v>359638</v>
      </c>
      <c r="U19" s="880" t="s">
        <v>553</v>
      </c>
    </row>
    <row r="20" spans="1:21" ht="12.95" customHeight="1" x14ac:dyDescent="0.2">
      <c r="A20" s="882" t="s">
        <v>2212</v>
      </c>
      <c r="B20" s="878" t="s">
        <v>547</v>
      </c>
      <c r="C20" s="875">
        <v>250.49</v>
      </c>
      <c r="D20" s="875">
        <v>3019.57</v>
      </c>
      <c r="E20" s="875">
        <v>2408.44</v>
      </c>
      <c r="F20" s="875">
        <v>553.4</v>
      </c>
      <c r="G20" s="875">
        <f t="shared" si="2"/>
        <v>6231.9</v>
      </c>
      <c r="H20" s="875">
        <v>38.9</v>
      </c>
      <c r="I20" s="875">
        <v>360.96</v>
      </c>
      <c r="J20" s="875">
        <f t="shared" si="3"/>
        <v>399.85999999999996</v>
      </c>
      <c r="K20" s="875">
        <v>51.35</v>
      </c>
      <c r="L20" s="875">
        <v>0.64</v>
      </c>
      <c r="M20" s="875">
        <v>49.14</v>
      </c>
      <c r="N20" s="875">
        <f t="shared" si="4"/>
        <v>101.13</v>
      </c>
      <c r="O20" s="875">
        <f>9.6+3.3</f>
        <v>12.899999999999999</v>
      </c>
      <c r="P20" s="875">
        <f t="shared" si="5"/>
        <v>6745.7899999999991</v>
      </c>
      <c r="Q20" s="875">
        <v>6893.64</v>
      </c>
      <c r="R20" s="875">
        <v>3340.18</v>
      </c>
      <c r="S20" s="875">
        <f>P20-Q20</f>
        <v>-147.85000000000127</v>
      </c>
      <c r="T20" s="875">
        <f t="shared" ref="T20:T24" si="7">S20+T19</f>
        <v>359490.15</v>
      </c>
      <c r="U20" s="881" t="s">
        <v>547</v>
      </c>
    </row>
    <row r="21" spans="1:21" ht="12.95" customHeight="1" x14ac:dyDescent="0.2">
      <c r="A21" s="882" t="s">
        <v>2212</v>
      </c>
      <c r="B21" s="877" t="s">
        <v>554</v>
      </c>
      <c r="C21" s="874">
        <v>263.41000000000003</v>
      </c>
      <c r="D21" s="874">
        <v>3316.35</v>
      </c>
      <c r="E21" s="874">
        <v>2672.5</v>
      </c>
      <c r="F21" s="874">
        <v>610.37</v>
      </c>
      <c r="G21" s="874">
        <f t="shared" si="2"/>
        <v>6862.6299999999992</v>
      </c>
      <c r="H21" s="874">
        <v>50.93</v>
      </c>
      <c r="I21" s="874">
        <v>378.86</v>
      </c>
      <c r="J21" s="874">
        <f t="shared" si="3"/>
        <v>429.79</v>
      </c>
      <c r="K21" s="874">
        <v>68.290000000000006</v>
      </c>
      <c r="L21" s="874">
        <v>4.82</v>
      </c>
      <c r="M21" s="874">
        <v>34.67</v>
      </c>
      <c r="N21" s="874">
        <f t="shared" si="4"/>
        <v>107.78000000000002</v>
      </c>
      <c r="O21" s="874">
        <f>13.44+6.38</f>
        <v>19.82</v>
      </c>
      <c r="P21" s="874">
        <f t="shared" si="5"/>
        <v>7420.0199999999986</v>
      </c>
      <c r="Q21" s="874">
        <v>8460.18</v>
      </c>
      <c r="R21" s="874">
        <v>3952.95</v>
      </c>
      <c r="S21" s="874">
        <f t="shared" ref="S21:S29" si="8">P21-Q21</f>
        <v>-1040.1600000000017</v>
      </c>
      <c r="T21" s="874">
        <f t="shared" si="7"/>
        <v>358449.99000000005</v>
      </c>
      <c r="U21" s="880" t="s">
        <v>554</v>
      </c>
    </row>
    <row r="22" spans="1:21" ht="12.95" customHeight="1" x14ac:dyDescent="0.2">
      <c r="A22" s="882" t="s">
        <v>2212</v>
      </c>
      <c r="B22" s="878" t="s">
        <v>555</v>
      </c>
      <c r="C22" s="875">
        <v>244.8</v>
      </c>
      <c r="D22" s="875">
        <v>3060.36</v>
      </c>
      <c r="E22" s="875">
        <v>2405.65</v>
      </c>
      <c r="F22" s="875">
        <v>587.04</v>
      </c>
      <c r="G22" s="875">
        <f t="shared" si="2"/>
        <v>6297.85</v>
      </c>
      <c r="H22" s="875">
        <v>36.090000000000003</v>
      </c>
      <c r="I22" s="875">
        <v>342.53</v>
      </c>
      <c r="J22" s="875">
        <f t="shared" si="3"/>
        <v>378.62</v>
      </c>
      <c r="K22" s="875">
        <v>56.17</v>
      </c>
      <c r="L22" s="875">
        <v>1.04</v>
      </c>
      <c r="M22" s="875">
        <v>36.409999999999997</v>
      </c>
      <c r="N22" s="875">
        <f t="shared" si="4"/>
        <v>93.62</v>
      </c>
      <c r="O22" s="875">
        <f>9.17+15.14</f>
        <v>24.310000000000002</v>
      </c>
      <c r="P22" s="875">
        <f t="shared" si="5"/>
        <v>6794.4000000000005</v>
      </c>
      <c r="Q22" s="875">
        <v>8348.2000000000007</v>
      </c>
      <c r="R22" s="875">
        <v>3841.48</v>
      </c>
      <c r="S22" s="875">
        <f t="shared" si="8"/>
        <v>-1553.8000000000002</v>
      </c>
      <c r="T22" s="875">
        <f t="shared" si="7"/>
        <v>356896.19000000006</v>
      </c>
      <c r="U22" s="881" t="s">
        <v>555</v>
      </c>
    </row>
    <row r="23" spans="1:21" ht="12.95" customHeight="1" x14ac:dyDescent="0.2">
      <c r="A23" s="882" t="s">
        <v>2212</v>
      </c>
      <c r="B23" s="877" t="s">
        <v>548</v>
      </c>
      <c r="C23" s="874">
        <v>226.75</v>
      </c>
      <c r="D23" s="874">
        <v>2429.56</v>
      </c>
      <c r="E23" s="874">
        <v>1894.73</v>
      </c>
      <c r="F23" s="874">
        <v>419.66</v>
      </c>
      <c r="G23" s="874">
        <f t="shared" si="2"/>
        <v>4970.7</v>
      </c>
      <c r="H23" s="874">
        <v>39.07</v>
      </c>
      <c r="I23" s="874">
        <v>327.3</v>
      </c>
      <c r="J23" s="874">
        <f t="shared" si="3"/>
        <v>366.37</v>
      </c>
      <c r="K23" s="874">
        <v>47.77</v>
      </c>
      <c r="L23" s="874">
        <v>1.62</v>
      </c>
      <c r="M23" s="874">
        <v>20</v>
      </c>
      <c r="N23" s="874">
        <f t="shared" si="4"/>
        <v>69.39</v>
      </c>
      <c r="O23" s="874">
        <f>9.72+3.91</f>
        <v>13.63</v>
      </c>
      <c r="P23" s="874">
        <f t="shared" si="5"/>
        <v>5420.09</v>
      </c>
      <c r="Q23" s="874">
        <v>7624.41</v>
      </c>
      <c r="R23" s="874">
        <v>3839.63</v>
      </c>
      <c r="S23" s="874">
        <f t="shared" si="8"/>
        <v>-2204.3199999999997</v>
      </c>
      <c r="T23" s="874">
        <f t="shared" si="7"/>
        <v>354691.87000000005</v>
      </c>
      <c r="U23" s="880" t="s">
        <v>548</v>
      </c>
    </row>
    <row r="24" spans="1:21" s="1230" customFormat="1" ht="12.95" customHeight="1" x14ac:dyDescent="0.2">
      <c r="A24" s="882" t="s">
        <v>2212</v>
      </c>
      <c r="B24" s="878" t="s">
        <v>556</v>
      </c>
      <c r="C24" s="875">
        <v>297.42</v>
      </c>
      <c r="D24" s="875">
        <v>3546.06</v>
      </c>
      <c r="E24" s="875">
        <v>2789.87</v>
      </c>
      <c r="F24" s="875">
        <v>746.49</v>
      </c>
      <c r="G24" s="875">
        <f t="shared" si="2"/>
        <v>7379.84</v>
      </c>
      <c r="H24" s="875">
        <v>42.5</v>
      </c>
      <c r="I24" s="875">
        <v>419.77</v>
      </c>
      <c r="J24" s="875">
        <f t="shared" si="3"/>
        <v>462.27</v>
      </c>
      <c r="K24" s="875">
        <v>71.3</v>
      </c>
      <c r="L24" s="875">
        <v>5.37</v>
      </c>
      <c r="M24" s="875">
        <v>24.93</v>
      </c>
      <c r="N24" s="875">
        <f t="shared" si="4"/>
        <v>101.6</v>
      </c>
      <c r="O24" s="875">
        <v>20.190000000000001</v>
      </c>
      <c r="P24" s="875">
        <f t="shared" si="5"/>
        <v>7963.9000000000005</v>
      </c>
      <c r="Q24" s="875">
        <v>9251</v>
      </c>
      <c r="R24" s="875">
        <v>4047.53</v>
      </c>
      <c r="S24" s="875">
        <f t="shared" si="8"/>
        <v>-1287.0999999999995</v>
      </c>
      <c r="T24" s="875">
        <f t="shared" si="7"/>
        <v>353404.77000000008</v>
      </c>
      <c r="U24" s="881" t="s">
        <v>556</v>
      </c>
    </row>
    <row r="25" spans="1:21" ht="12.95" customHeight="1" x14ac:dyDescent="0.2">
      <c r="A25" s="882" t="s">
        <v>2212</v>
      </c>
      <c r="B25" s="877" t="s">
        <v>557</v>
      </c>
      <c r="C25" s="874">
        <v>226.55</v>
      </c>
      <c r="D25" s="874">
        <v>2949.43</v>
      </c>
      <c r="E25" s="874">
        <v>2385.8200000000002</v>
      </c>
      <c r="F25" s="874">
        <v>643.37</v>
      </c>
      <c r="G25" s="874">
        <f t="shared" si="2"/>
        <v>6205.17</v>
      </c>
      <c r="H25" s="874">
        <v>34.369999999999997</v>
      </c>
      <c r="I25" s="874">
        <v>359.59</v>
      </c>
      <c r="J25" s="874">
        <f t="shared" si="3"/>
        <v>393.96</v>
      </c>
      <c r="K25" s="874">
        <v>46.52</v>
      </c>
      <c r="L25" s="874">
        <v>5.25</v>
      </c>
      <c r="M25" s="874">
        <v>14.9</v>
      </c>
      <c r="N25" s="874">
        <f t="shared" si="4"/>
        <v>66.67</v>
      </c>
      <c r="O25" s="874">
        <f>9.92+16.04</f>
        <v>25.96</v>
      </c>
      <c r="P25" s="874">
        <f t="shared" si="5"/>
        <v>6691.76</v>
      </c>
      <c r="Q25" s="874">
        <v>8233.2000000000007</v>
      </c>
      <c r="R25" s="874">
        <v>3830.29</v>
      </c>
      <c r="S25" s="874">
        <f t="shared" si="8"/>
        <v>-1541.4400000000005</v>
      </c>
      <c r="T25" s="874">
        <f>S25+T24</f>
        <v>351863.33000000007</v>
      </c>
      <c r="U25" s="880" t="s">
        <v>557</v>
      </c>
    </row>
    <row r="26" spans="1:21" ht="12.95" customHeight="1" x14ac:dyDescent="0.2">
      <c r="A26" s="882" t="s">
        <v>2212</v>
      </c>
      <c r="B26" s="878" t="s">
        <v>549</v>
      </c>
      <c r="C26" s="875">
        <v>223.49</v>
      </c>
      <c r="D26" s="875">
        <v>2831.71</v>
      </c>
      <c r="E26" s="875">
        <v>2215.6</v>
      </c>
      <c r="F26" s="875">
        <v>552.85</v>
      </c>
      <c r="G26" s="875">
        <f t="shared" si="2"/>
        <v>5823.65</v>
      </c>
      <c r="H26" s="875">
        <v>31.12</v>
      </c>
      <c r="I26" s="875">
        <v>321.60000000000002</v>
      </c>
      <c r="J26" s="875">
        <f t="shared" si="3"/>
        <v>352.72</v>
      </c>
      <c r="K26" s="875">
        <v>63.79</v>
      </c>
      <c r="L26" s="875">
        <v>12.4</v>
      </c>
      <c r="M26" s="875">
        <v>25.13</v>
      </c>
      <c r="N26" s="875">
        <f t="shared" si="4"/>
        <v>101.32</v>
      </c>
      <c r="O26" s="875">
        <f>10.38+3.13</f>
        <v>13.510000000000002</v>
      </c>
      <c r="P26" s="875">
        <f t="shared" si="5"/>
        <v>6291.2</v>
      </c>
      <c r="Q26" s="875">
        <v>9944.4699999999993</v>
      </c>
      <c r="R26" s="875">
        <v>3868.82</v>
      </c>
      <c r="S26" s="875">
        <f t="shared" si="8"/>
        <v>-3653.2699999999995</v>
      </c>
      <c r="T26" s="875">
        <f>S26+T25</f>
        <v>348210.06000000006</v>
      </c>
      <c r="U26" s="881" t="s">
        <v>549</v>
      </c>
    </row>
    <row r="27" spans="1:21" ht="12.95" customHeight="1" x14ac:dyDescent="0.2">
      <c r="A27" s="882" t="s">
        <v>2212</v>
      </c>
      <c r="B27" s="877" t="s">
        <v>558</v>
      </c>
      <c r="C27" s="874">
        <v>199.16</v>
      </c>
      <c r="D27" s="874">
        <v>2339.5500000000002</v>
      </c>
      <c r="E27" s="874">
        <v>1830.57</v>
      </c>
      <c r="F27" s="874">
        <v>469.94</v>
      </c>
      <c r="G27" s="874">
        <f t="shared" si="2"/>
        <v>4839.2199999999993</v>
      </c>
      <c r="H27" s="874">
        <v>34.479999999999997</v>
      </c>
      <c r="I27" s="874">
        <v>329.82</v>
      </c>
      <c r="J27" s="874">
        <f t="shared" si="3"/>
        <v>364.3</v>
      </c>
      <c r="K27" s="874">
        <v>44.58</v>
      </c>
      <c r="L27" s="874">
        <v>3.48</v>
      </c>
      <c r="M27" s="874">
        <v>29.5</v>
      </c>
      <c r="N27" s="874">
        <f t="shared" si="4"/>
        <v>77.56</v>
      </c>
      <c r="O27" s="874">
        <f>10.21+3.84</f>
        <v>14.05</v>
      </c>
      <c r="P27" s="874">
        <f t="shared" si="5"/>
        <v>5295.13</v>
      </c>
      <c r="Q27" s="874">
        <v>7398.33</v>
      </c>
      <c r="R27" s="874">
        <v>3914.98</v>
      </c>
      <c r="S27" s="874">
        <f t="shared" si="8"/>
        <v>-2103.1999999999998</v>
      </c>
      <c r="T27" s="874">
        <f>S27+T26</f>
        <v>346106.86000000004</v>
      </c>
      <c r="U27" s="880" t="s">
        <v>558</v>
      </c>
    </row>
    <row r="28" spans="1:21" ht="12.95" customHeight="1" x14ac:dyDescent="0.2">
      <c r="A28" s="882" t="s">
        <v>2212</v>
      </c>
      <c r="B28" s="878" t="s">
        <v>559</v>
      </c>
      <c r="C28" s="875">
        <v>269.13</v>
      </c>
      <c r="D28" s="875">
        <v>2545.5300000000002</v>
      </c>
      <c r="E28" s="875">
        <v>1884.49</v>
      </c>
      <c r="F28" s="875">
        <v>470.29</v>
      </c>
      <c r="G28" s="875">
        <f t="shared" si="2"/>
        <v>5169.4400000000005</v>
      </c>
      <c r="H28" s="875">
        <v>32.6</v>
      </c>
      <c r="I28" s="875">
        <v>308.81</v>
      </c>
      <c r="J28" s="875">
        <f t="shared" si="3"/>
        <v>341.41</v>
      </c>
      <c r="K28" s="875">
        <v>65.099999999999994</v>
      </c>
      <c r="L28" s="875">
        <v>10.3</v>
      </c>
      <c r="M28" s="875">
        <v>19.54</v>
      </c>
      <c r="N28" s="875">
        <f t="shared" si="4"/>
        <v>94.94</v>
      </c>
      <c r="O28" s="875">
        <f>16.98+10.52</f>
        <v>27.5</v>
      </c>
      <c r="P28" s="875">
        <f t="shared" si="5"/>
        <v>5633.29</v>
      </c>
      <c r="Q28" s="875">
        <v>8728</v>
      </c>
      <c r="R28" s="875">
        <v>4021.93</v>
      </c>
      <c r="S28" s="875">
        <f t="shared" si="8"/>
        <v>-3094.71</v>
      </c>
      <c r="T28" s="875">
        <f>S28+T27</f>
        <v>343012.15</v>
      </c>
      <c r="U28" s="881" t="s">
        <v>559</v>
      </c>
    </row>
    <row r="29" spans="1:21" ht="12.95" customHeight="1" x14ac:dyDescent="0.2">
      <c r="A29" s="882" t="s">
        <v>2212</v>
      </c>
      <c r="B29" s="877" t="s">
        <v>550</v>
      </c>
      <c r="C29" s="874">
        <v>506.38</v>
      </c>
      <c r="D29" s="874">
        <v>2075.36</v>
      </c>
      <c r="E29" s="874">
        <v>2332.2399999999998</v>
      </c>
      <c r="F29" s="874">
        <v>400.19</v>
      </c>
      <c r="G29" s="874">
        <f t="shared" si="2"/>
        <v>5314.17</v>
      </c>
      <c r="H29" s="874">
        <v>26.11</v>
      </c>
      <c r="I29" s="874">
        <v>265.19</v>
      </c>
      <c r="J29" s="874">
        <f t="shared" si="3"/>
        <v>291.3</v>
      </c>
      <c r="K29" s="874">
        <v>43.3</v>
      </c>
      <c r="L29" s="874">
        <v>2.08</v>
      </c>
      <c r="M29" s="874">
        <v>19.600000000000001</v>
      </c>
      <c r="N29" s="874">
        <f t="shared" si="4"/>
        <v>64.97999999999999</v>
      </c>
      <c r="O29" s="874">
        <f>9.66+2</f>
        <v>11.66</v>
      </c>
      <c r="P29" s="874">
        <f t="shared" si="5"/>
        <v>5682.11</v>
      </c>
      <c r="Q29" s="874">
        <v>9063.5400000000009</v>
      </c>
      <c r="R29" s="874">
        <v>4108.0200000000004</v>
      </c>
      <c r="S29" s="874">
        <f t="shared" si="8"/>
        <v>-3381.4300000000012</v>
      </c>
      <c r="T29" s="874">
        <f>S29+T28</f>
        <v>339630.72000000003</v>
      </c>
      <c r="U29" s="880" t="s">
        <v>550</v>
      </c>
    </row>
    <row r="30" spans="1:21" ht="12.95" customHeight="1" x14ac:dyDescent="0.2">
      <c r="A30" s="876" t="s">
        <v>2513</v>
      </c>
      <c r="B30" s="877" t="s">
        <v>552</v>
      </c>
      <c r="C30" s="874">
        <v>200.56</v>
      </c>
      <c r="D30" s="874">
        <v>2071.6999999999998</v>
      </c>
      <c r="E30" s="874">
        <v>1710.27</v>
      </c>
      <c r="F30" s="874">
        <v>424.92</v>
      </c>
      <c r="G30" s="874">
        <f t="shared" si="2"/>
        <v>4407.45</v>
      </c>
      <c r="H30" s="874">
        <v>37.799999999999997</v>
      </c>
      <c r="I30" s="874">
        <v>347.24</v>
      </c>
      <c r="J30" s="874">
        <f t="shared" si="3"/>
        <v>385.04</v>
      </c>
      <c r="K30" s="874">
        <v>76.739999999999995</v>
      </c>
      <c r="L30" s="874">
        <v>6.62</v>
      </c>
      <c r="M30" s="874">
        <v>19.079999999999998</v>
      </c>
      <c r="N30" s="874">
        <f t="shared" si="4"/>
        <v>102.44</v>
      </c>
      <c r="O30" s="874">
        <f>11.84+4.8</f>
        <v>16.64</v>
      </c>
      <c r="P30" s="874">
        <f t="shared" si="5"/>
        <v>4911.57</v>
      </c>
      <c r="Q30" s="874">
        <v>2724.01</v>
      </c>
      <c r="R30" s="874">
        <v>1234.8599999999999</v>
      </c>
      <c r="S30" s="874">
        <f t="shared" ref="S30:S39" si="9">P30-Q30</f>
        <v>2187.5599999999995</v>
      </c>
      <c r="T30" s="874">
        <f>S30+339630.72</f>
        <v>341818.27999999997</v>
      </c>
      <c r="U30" s="880" t="s">
        <v>552</v>
      </c>
    </row>
    <row r="31" spans="1:21" ht="12.95" customHeight="1" x14ac:dyDescent="0.2">
      <c r="A31" s="876" t="s">
        <v>2513</v>
      </c>
      <c r="B31" s="878" t="s">
        <v>553</v>
      </c>
      <c r="C31" s="875">
        <v>134.33000000000001</v>
      </c>
      <c r="D31" s="875">
        <v>1709.39</v>
      </c>
      <c r="E31" s="875">
        <v>1510.27</v>
      </c>
      <c r="F31" s="875">
        <v>426.05</v>
      </c>
      <c r="G31" s="875">
        <f t="shared" si="2"/>
        <v>3780.04</v>
      </c>
      <c r="H31" s="875">
        <v>28.13</v>
      </c>
      <c r="I31" s="875">
        <v>198.9</v>
      </c>
      <c r="J31" s="875">
        <f t="shared" si="3"/>
        <v>227.03</v>
      </c>
      <c r="K31" s="875">
        <v>48.26</v>
      </c>
      <c r="L31" s="875">
        <v>15.25</v>
      </c>
      <c r="M31" s="875">
        <v>14.46</v>
      </c>
      <c r="N31" s="875">
        <f t="shared" si="4"/>
        <v>77.97</v>
      </c>
      <c r="O31" s="875">
        <f>11.88+15.57</f>
        <v>27.450000000000003</v>
      </c>
      <c r="P31" s="875">
        <f t="shared" si="5"/>
        <v>4112.49</v>
      </c>
      <c r="Q31" s="875">
        <v>2076.34</v>
      </c>
      <c r="R31" s="875">
        <v>900.06</v>
      </c>
      <c r="S31" s="875">
        <f t="shared" si="9"/>
        <v>2036.1499999999996</v>
      </c>
      <c r="T31" s="875">
        <f>S31+T30</f>
        <v>343854.43</v>
      </c>
      <c r="U31" s="881" t="s">
        <v>553</v>
      </c>
    </row>
    <row r="32" spans="1:21" ht="12.95" customHeight="1" x14ac:dyDescent="0.2">
      <c r="A32" s="876" t="s">
        <v>2513</v>
      </c>
      <c r="B32" s="877" t="s">
        <v>547</v>
      </c>
      <c r="C32" s="874">
        <v>189.29</v>
      </c>
      <c r="D32" s="874">
        <v>2536.94</v>
      </c>
      <c r="E32" s="874">
        <v>2261.84</v>
      </c>
      <c r="F32" s="874">
        <v>548.47</v>
      </c>
      <c r="G32" s="874">
        <f t="shared" si="2"/>
        <v>5536.54</v>
      </c>
      <c r="H32" s="874">
        <v>37.659999999999997</v>
      </c>
      <c r="I32" s="874">
        <v>292.37</v>
      </c>
      <c r="J32" s="874">
        <f t="shared" si="3"/>
        <v>330.03</v>
      </c>
      <c r="K32" s="874">
        <v>71.010000000000005</v>
      </c>
      <c r="L32" s="874">
        <v>5.27</v>
      </c>
      <c r="M32" s="874">
        <v>6.04</v>
      </c>
      <c r="N32" s="874">
        <f t="shared" si="4"/>
        <v>82.320000000000007</v>
      </c>
      <c r="O32" s="874">
        <f>14.71+4.29</f>
        <v>19</v>
      </c>
      <c r="P32" s="874">
        <f t="shared" si="5"/>
        <v>5967.8899999999994</v>
      </c>
      <c r="Q32" s="874">
        <v>1858.8</v>
      </c>
      <c r="R32" s="874">
        <v>1113.5899999999999</v>
      </c>
      <c r="S32" s="874">
        <f t="shared" si="9"/>
        <v>4109.0899999999992</v>
      </c>
      <c r="T32" s="874">
        <f>S32+T31</f>
        <v>347963.52</v>
      </c>
      <c r="U32" s="880" t="s">
        <v>547</v>
      </c>
    </row>
    <row r="33" spans="1:92" ht="12.95" customHeight="1" x14ac:dyDescent="0.2">
      <c r="A33" s="876" t="s">
        <v>2513</v>
      </c>
      <c r="B33" s="878" t="s">
        <v>554</v>
      </c>
      <c r="C33" s="875">
        <v>173.77</v>
      </c>
      <c r="D33" s="875">
        <v>2539.63</v>
      </c>
      <c r="E33" s="875">
        <v>2175.54</v>
      </c>
      <c r="F33" s="875">
        <v>574.24</v>
      </c>
      <c r="G33" s="875">
        <f t="shared" si="2"/>
        <v>5463.18</v>
      </c>
      <c r="H33" s="875">
        <v>33.58</v>
      </c>
      <c r="I33" s="875">
        <v>276.56</v>
      </c>
      <c r="J33" s="875">
        <f t="shared" si="3"/>
        <v>310.14</v>
      </c>
      <c r="K33" s="875">
        <v>48.58</v>
      </c>
      <c r="L33" s="875">
        <v>1.95</v>
      </c>
      <c r="M33" s="875">
        <v>16.38</v>
      </c>
      <c r="N33" s="875">
        <f t="shared" si="4"/>
        <v>66.91</v>
      </c>
      <c r="O33" s="875">
        <f>12.99+5.35</f>
        <v>18.34</v>
      </c>
      <c r="P33" s="875">
        <f t="shared" si="5"/>
        <v>5858.5700000000006</v>
      </c>
      <c r="Q33" s="875">
        <v>9083.5499999999993</v>
      </c>
      <c r="R33" s="875">
        <v>893.34</v>
      </c>
      <c r="S33" s="875">
        <f t="shared" si="9"/>
        <v>-3224.9799999999987</v>
      </c>
      <c r="T33" s="875">
        <f>S33+T32</f>
        <v>344738.54000000004</v>
      </c>
      <c r="U33" s="881" t="s">
        <v>554</v>
      </c>
    </row>
    <row r="34" spans="1:92" ht="12.95" customHeight="1" x14ac:dyDescent="0.2">
      <c r="A34" s="876" t="s">
        <v>2513</v>
      </c>
      <c r="B34" s="877" t="s">
        <v>555</v>
      </c>
      <c r="C34" s="874">
        <v>151.75</v>
      </c>
      <c r="D34" s="874">
        <v>2022.62</v>
      </c>
      <c r="E34" s="874">
        <v>1728.81</v>
      </c>
      <c r="F34" s="874">
        <v>457.66</v>
      </c>
      <c r="G34" s="874">
        <f t="shared" si="2"/>
        <v>4360.84</v>
      </c>
      <c r="H34" s="874">
        <v>28.6</v>
      </c>
      <c r="I34" s="874">
        <v>222.8</v>
      </c>
      <c r="J34" s="874">
        <f t="shared" si="3"/>
        <v>251.4</v>
      </c>
      <c r="K34" s="874">
        <v>65.56</v>
      </c>
      <c r="L34" s="874">
        <v>1.25</v>
      </c>
      <c r="M34" s="874">
        <v>12.7</v>
      </c>
      <c r="N34" s="874">
        <f t="shared" si="4"/>
        <v>79.510000000000005</v>
      </c>
      <c r="O34" s="874">
        <f>11.22+16.51</f>
        <v>27.730000000000004</v>
      </c>
      <c r="P34" s="874">
        <f t="shared" si="5"/>
        <v>4719.4799999999996</v>
      </c>
      <c r="Q34" s="874">
        <v>8150.38</v>
      </c>
      <c r="R34" s="874">
        <v>898.24</v>
      </c>
      <c r="S34" s="874">
        <f t="shared" si="9"/>
        <v>-3430.9000000000005</v>
      </c>
      <c r="T34" s="874">
        <f t="shared" ref="T34:T41" si="10">S34+T33</f>
        <v>341307.64</v>
      </c>
      <c r="U34" s="880" t="s">
        <v>555</v>
      </c>
    </row>
    <row r="35" spans="1:92" ht="12.95" customHeight="1" x14ac:dyDescent="0.2">
      <c r="A35" s="876" t="s">
        <v>2513</v>
      </c>
      <c r="B35" s="878" t="s">
        <v>548</v>
      </c>
      <c r="C35" s="875">
        <v>144.32</v>
      </c>
      <c r="D35" s="875">
        <v>1913.72</v>
      </c>
      <c r="E35" s="875">
        <v>1595.29</v>
      </c>
      <c r="F35" s="875">
        <v>518.30999999999995</v>
      </c>
      <c r="G35" s="875">
        <f t="shared" si="2"/>
        <v>4171.6399999999994</v>
      </c>
      <c r="H35" s="875">
        <v>28.51</v>
      </c>
      <c r="I35" s="875">
        <v>222.52</v>
      </c>
      <c r="J35" s="875">
        <f t="shared" si="3"/>
        <v>251.03</v>
      </c>
      <c r="K35" s="875">
        <v>76.44</v>
      </c>
      <c r="L35" s="875">
        <v>5.49</v>
      </c>
      <c r="M35" s="875">
        <v>20.46</v>
      </c>
      <c r="N35" s="875">
        <f t="shared" si="4"/>
        <v>102.38999999999999</v>
      </c>
      <c r="O35" s="875">
        <f>11.39+3.39</f>
        <v>14.780000000000001</v>
      </c>
      <c r="P35" s="875">
        <f t="shared" si="5"/>
        <v>4539.8399999999992</v>
      </c>
      <c r="Q35" s="875">
        <v>8461.1299999999992</v>
      </c>
      <c r="R35" s="875">
        <v>963.19</v>
      </c>
      <c r="S35" s="875">
        <f t="shared" si="9"/>
        <v>-3921.29</v>
      </c>
      <c r="T35" s="875">
        <f t="shared" si="10"/>
        <v>337386.35000000003</v>
      </c>
      <c r="U35" s="881" t="s">
        <v>548</v>
      </c>
    </row>
    <row r="36" spans="1:92" ht="12.95" customHeight="1" x14ac:dyDescent="0.2">
      <c r="A36" s="876" t="s">
        <v>2513</v>
      </c>
      <c r="B36" s="877" t="s">
        <v>556</v>
      </c>
      <c r="C36" s="874">
        <v>219.31</v>
      </c>
      <c r="D36" s="874">
        <v>2683.38</v>
      </c>
      <c r="E36" s="874">
        <v>2202.7399999999998</v>
      </c>
      <c r="F36" s="874">
        <v>781.5</v>
      </c>
      <c r="G36" s="874">
        <f t="shared" si="2"/>
        <v>5886.93</v>
      </c>
      <c r="H36" s="874">
        <v>27.64</v>
      </c>
      <c r="I36" s="874">
        <v>258.3</v>
      </c>
      <c r="J36" s="874">
        <f t="shared" si="3"/>
        <v>285.94</v>
      </c>
      <c r="K36" s="874">
        <v>125.07</v>
      </c>
      <c r="L36" s="874">
        <v>3.72</v>
      </c>
      <c r="M36" s="874">
        <v>31.99</v>
      </c>
      <c r="N36" s="874">
        <f t="shared" si="4"/>
        <v>160.78</v>
      </c>
      <c r="O36" s="874">
        <f>14.57+5.02</f>
        <v>19.59</v>
      </c>
      <c r="P36" s="874">
        <f t="shared" si="5"/>
        <v>6353.24</v>
      </c>
      <c r="Q36" s="874">
        <v>11122.13</v>
      </c>
      <c r="R36" s="874">
        <v>1066.92</v>
      </c>
      <c r="S36" s="874">
        <f t="shared" si="9"/>
        <v>-4768.8899999999994</v>
      </c>
      <c r="T36" s="874">
        <f t="shared" si="10"/>
        <v>332617.46000000002</v>
      </c>
      <c r="U36" s="880" t="s">
        <v>556</v>
      </c>
    </row>
    <row r="37" spans="1:92" ht="12.95" customHeight="1" x14ac:dyDescent="0.2">
      <c r="A37" s="876" t="s">
        <v>2513</v>
      </c>
      <c r="B37" s="878" t="s">
        <v>557</v>
      </c>
      <c r="C37" s="875">
        <v>279.70999999999998</v>
      </c>
      <c r="D37" s="875">
        <v>3274.83</v>
      </c>
      <c r="E37" s="875">
        <v>2656.02</v>
      </c>
      <c r="F37" s="875">
        <v>892.66</v>
      </c>
      <c r="G37" s="875">
        <f t="shared" si="2"/>
        <v>7103.22</v>
      </c>
      <c r="H37" s="875">
        <v>27.59</v>
      </c>
      <c r="I37" s="875">
        <v>257.72000000000003</v>
      </c>
      <c r="J37" s="875">
        <f t="shared" si="3"/>
        <v>285.31</v>
      </c>
      <c r="K37" s="875">
        <v>109.88</v>
      </c>
      <c r="L37" s="875">
        <v>9.1</v>
      </c>
      <c r="M37" s="875">
        <v>21.94</v>
      </c>
      <c r="N37" s="875">
        <f t="shared" si="4"/>
        <v>140.91999999999999</v>
      </c>
      <c r="O37" s="875">
        <f>11.5+18.98</f>
        <v>30.48</v>
      </c>
      <c r="P37" s="875">
        <f t="shared" si="5"/>
        <v>7559.93</v>
      </c>
      <c r="Q37" s="875">
        <v>9318.25</v>
      </c>
      <c r="R37" s="875">
        <v>886.42</v>
      </c>
      <c r="S37" s="875">
        <f t="shared" si="9"/>
        <v>-1758.3199999999997</v>
      </c>
      <c r="T37" s="875">
        <f t="shared" si="10"/>
        <v>330859.14</v>
      </c>
      <c r="U37" s="881" t="s">
        <v>557</v>
      </c>
    </row>
    <row r="38" spans="1:92" ht="12.95" customHeight="1" x14ac:dyDescent="0.2">
      <c r="A38" s="876" t="s">
        <v>2513</v>
      </c>
      <c r="B38" s="877" t="s">
        <v>549</v>
      </c>
      <c r="C38" s="874">
        <v>245.24</v>
      </c>
      <c r="D38" s="874">
        <v>2787.24</v>
      </c>
      <c r="E38" s="874">
        <v>2140.36</v>
      </c>
      <c r="F38" s="874">
        <v>666.83</v>
      </c>
      <c r="G38" s="874">
        <f t="shared" si="2"/>
        <v>5839.67</v>
      </c>
      <c r="H38" s="874">
        <v>26.05</v>
      </c>
      <c r="I38" s="874">
        <v>209.96</v>
      </c>
      <c r="J38" s="874">
        <f t="shared" si="3"/>
        <v>236.01000000000002</v>
      </c>
      <c r="K38" s="874">
        <v>89.76</v>
      </c>
      <c r="L38" s="874">
        <v>3.88</v>
      </c>
      <c r="M38" s="874">
        <v>17.170000000000002</v>
      </c>
      <c r="N38" s="874">
        <f t="shared" si="4"/>
        <v>110.81</v>
      </c>
      <c r="O38" s="874">
        <f>10.49+1.62</f>
        <v>12.11</v>
      </c>
      <c r="P38" s="874">
        <f t="shared" si="5"/>
        <v>6198.6</v>
      </c>
      <c r="Q38" s="874">
        <v>6118.05</v>
      </c>
      <c r="R38" s="874">
        <v>3398.15</v>
      </c>
      <c r="S38" s="874">
        <f t="shared" si="9"/>
        <v>80.550000000000182</v>
      </c>
      <c r="T38" s="874">
        <f t="shared" si="10"/>
        <v>330939.69</v>
      </c>
      <c r="U38" s="880" t="s">
        <v>549</v>
      </c>
    </row>
    <row r="39" spans="1:92" ht="12.95" customHeight="1" x14ac:dyDescent="0.2">
      <c r="A39" s="876" t="s">
        <v>2513</v>
      </c>
      <c r="B39" s="878" t="s">
        <v>558</v>
      </c>
      <c r="C39" s="875">
        <v>209.7</v>
      </c>
      <c r="D39" s="875">
        <v>2322.9299999999998</v>
      </c>
      <c r="E39" s="875">
        <v>2286.4299999999998</v>
      </c>
      <c r="F39" s="875">
        <v>556.36</v>
      </c>
      <c r="G39" s="875">
        <f t="shared" si="2"/>
        <v>5375.4199999999992</v>
      </c>
      <c r="H39" s="875">
        <v>26.7</v>
      </c>
      <c r="I39" s="875">
        <v>240.37</v>
      </c>
      <c r="J39" s="875">
        <f t="shared" si="3"/>
        <v>267.07</v>
      </c>
      <c r="K39" s="875">
        <v>89.3</v>
      </c>
      <c r="L39" s="875">
        <v>3.85</v>
      </c>
      <c r="M39" s="875">
        <v>19.87</v>
      </c>
      <c r="N39" s="875">
        <f t="shared" si="4"/>
        <v>113.02</v>
      </c>
      <c r="O39" s="875">
        <f>11.44+3.35</f>
        <v>14.79</v>
      </c>
      <c r="P39" s="875">
        <f t="shared" si="5"/>
        <v>5770.2999999999993</v>
      </c>
      <c r="Q39" s="875">
        <v>4510.55</v>
      </c>
      <c r="R39" s="875">
        <v>4429.88</v>
      </c>
      <c r="S39" s="875">
        <f t="shared" si="9"/>
        <v>1259.7499999999991</v>
      </c>
      <c r="T39" s="875">
        <f t="shared" si="10"/>
        <v>332199.44</v>
      </c>
      <c r="U39" s="881" t="s">
        <v>558</v>
      </c>
    </row>
    <row r="40" spans="1:92" ht="12.95" customHeight="1" x14ac:dyDescent="0.2">
      <c r="A40" s="876" t="s">
        <v>2513</v>
      </c>
      <c r="B40" s="877" t="s">
        <v>559</v>
      </c>
      <c r="C40" s="874">
        <v>245.72</v>
      </c>
      <c r="D40" s="874">
        <v>2348.5500000000002</v>
      </c>
      <c r="E40" s="874">
        <v>2150</v>
      </c>
      <c r="F40" s="874">
        <v>563.27</v>
      </c>
      <c r="G40" s="874">
        <f t="shared" si="2"/>
        <v>5307.54</v>
      </c>
      <c r="H40" s="874">
        <v>25.07</v>
      </c>
      <c r="I40" s="874">
        <v>205</v>
      </c>
      <c r="J40" s="874">
        <f t="shared" si="3"/>
        <v>230.07</v>
      </c>
      <c r="K40" s="874">
        <v>86.54</v>
      </c>
      <c r="L40" s="874">
        <v>10.199999999999999</v>
      </c>
      <c r="M40" s="874">
        <v>23.76</v>
      </c>
      <c r="N40" s="874">
        <f t="shared" si="4"/>
        <v>120.50000000000001</v>
      </c>
      <c r="O40" s="874">
        <f>12.93+19.22</f>
        <v>32.15</v>
      </c>
      <c r="P40" s="874">
        <f t="shared" si="5"/>
        <v>5690.2599999999993</v>
      </c>
      <c r="Q40" s="874">
        <v>4152.91</v>
      </c>
      <c r="R40" s="874">
        <v>3223.45</v>
      </c>
      <c r="S40" s="874">
        <f t="shared" ref="S40:S46" si="11">P40-Q40</f>
        <v>1537.3499999999995</v>
      </c>
      <c r="T40" s="874">
        <f t="shared" si="10"/>
        <v>333736.78999999998</v>
      </c>
      <c r="U40" s="880" t="s">
        <v>559</v>
      </c>
    </row>
    <row r="41" spans="1:92" ht="12.95" customHeight="1" x14ac:dyDescent="0.2">
      <c r="A41" s="876" t="s">
        <v>2513</v>
      </c>
      <c r="B41" s="878" t="s">
        <v>550</v>
      </c>
      <c r="C41" s="875">
        <v>583.67999999999995</v>
      </c>
      <c r="D41" s="875">
        <v>2584.6</v>
      </c>
      <c r="E41" s="875">
        <v>2640.01</v>
      </c>
      <c r="F41" s="875">
        <v>619.97</v>
      </c>
      <c r="G41" s="875">
        <f t="shared" si="2"/>
        <v>6428.26</v>
      </c>
      <c r="H41" s="875">
        <v>24.63</v>
      </c>
      <c r="I41" s="875">
        <v>199</v>
      </c>
      <c r="J41" s="875">
        <f t="shared" si="3"/>
        <v>223.63</v>
      </c>
      <c r="K41" s="875">
        <v>62.87</v>
      </c>
      <c r="L41" s="875">
        <v>6.17</v>
      </c>
      <c r="M41" s="875">
        <v>24.25</v>
      </c>
      <c r="N41" s="875">
        <f t="shared" si="4"/>
        <v>93.289999999999992</v>
      </c>
      <c r="O41" s="875">
        <f>10.7+1.15</f>
        <v>11.85</v>
      </c>
      <c r="P41" s="875">
        <f t="shared" si="5"/>
        <v>6757.0300000000007</v>
      </c>
      <c r="Q41" s="875">
        <v>6926.44</v>
      </c>
      <c r="R41" s="875">
        <v>3100.625</v>
      </c>
      <c r="S41" s="875">
        <f t="shared" si="11"/>
        <v>-169.40999999999894</v>
      </c>
      <c r="T41" s="875">
        <f t="shared" si="10"/>
        <v>333567.38</v>
      </c>
      <c r="U41" s="881" t="s">
        <v>550</v>
      </c>
    </row>
    <row r="42" spans="1:92" ht="12.95" customHeight="1" x14ac:dyDescent="0.2">
      <c r="A42" s="882" t="s">
        <v>2808</v>
      </c>
      <c r="B42" s="878" t="s">
        <v>552</v>
      </c>
      <c r="C42" s="875">
        <v>262.08</v>
      </c>
      <c r="D42" s="875">
        <v>3715.3</v>
      </c>
      <c r="E42" s="875">
        <v>2589.5300000000002</v>
      </c>
      <c r="F42" s="875">
        <v>851.05</v>
      </c>
      <c r="G42" s="875">
        <f t="shared" si="2"/>
        <v>7417.96</v>
      </c>
      <c r="H42" s="875">
        <v>39.880000000000003</v>
      </c>
      <c r="I42" s="875">
        <v>319.82</v>
      </c>
      <c r="J42" s="875">
        <f t="shared" si="3"/>
        <v>359.7</v>
      </c>
      <c r="K42" s="875">
        <v>77.239999999999995</v>
      </c>
      <c r="L42" s="875">
        <v>17.809999999999999</v>
      </c>
      <c r="M42" s="875">
        <v>25.88</v>
      </c>
      <c r="N42" s="875">
        <f t="shared" si="4"/>
        <v>120.92999999999999</v>
      </c>
      <c r="O42" s="875">
        <f>12.7+4.21</f>
        <v>16.91</v>
      </c>
      <c r="P42" s="875">
        <f t="shared" si="5"/>
        <v>7915.5</v>
      </c>
      <c r="Q42" s="875">
        <v>6622.02</v>
      </c>
      <c r="R42" s="875">
        <v>3730.26</v>
      </c>
      <c r="S42" s="875">
        <f t="shared" si="11"/>
        <v>1293.4799999999996</v>
      </c>
      <c r="T42" s="875">
        <f t="shared" ref="T42:T47" si="12">S42+T41</f>
        <v>334860.86</v>
      </c>
      <c r="U42" s="881" t="s">
        <v>552</v>
      </c>
    </row>
    <row r="43" spans="1:92" s="183" customFormat="1" ht="12.95" customHeight="1" x14ac:dyDescent="0.2">
      <c r="A43" s="882" t="s">
        <v>2808</v>
      </c>
      <c r="B43" s="877" t="s">
        <v>553</v>
      </c>
      <c r="C43" s="874">
        <v>251.63</v>
      </c>
      <c r="D43" s="874">
        <v>3847.54</v>
      </c>
      <c r="E43" s="874">
        <v>2508.44</v>
      </c>
      <c r="F43" s="874">
        <v>815.51</v>
      </c>
      <c r="G43" s="874">
        <f t="shared" si="2"/>
        <v>7423.12</v>
      </c>
      <c r="H43" s="874">
        <v>32.770000000000003</v>
      </c>
      <c r="I43" s="874">
        <v>280.18</v>
      </c>
      <c r="J43" s="874">
        <f t="shared" si="3"/>
        <v>312.95</v>
      </c>
      <c r="K43" s="874">
        <v>88.15</v>
      </c>
      <c r="L43" s="874">
        <v>0.97</v>
      </c>
      <c r="M43" s="874">
        <v>5.17</v>
      </c>
      <c r="N43" s="874">
        <f t="shared" si="4"/>
        <v>94.29</v>
      </c>
      <c r="O43" s="874">
        <f>10.7+19.52</f>
        <v>30.22</v>
      </c>
      <c r="P43" s="874">
        <f t="shared" si="5"/>
        <v>7860.58</v>
      </c>
      <c r="Q43" s="874">
        <v>7581.77</v>
      </c>
      <c r="R43" s="874">
        <v>4398.9799999999996</v>
      </c>
      <c r="S43" s="874">
        <f t="shared" si="11"/>
        <v>278.80999999999949</v>
      </c>
      <c r="T43" s="874">
        <f t="shared" si="12"/>
        <v>335139.67</v>
      </c>
      <c r="U43" s="880" t="s">
        <v>553</v>
      </c>
    </row>
    <row r="44" spans="1:92" s="183" customFormat="1" ht="12.95" customHeight="1" x14ac:dyDescent="0.2">
      <c r="A44" s="882" t="s">
        <v>2808</v>
      </c>
      <c r="B44" s="878" t="s">
        <v>547</v>
      </c>
      <c r="C44" s="875">
        <v>285.2</v>
      </c>
      <c r="D44" s="875">
        <v>4379.58</v>
      </c>
      <c r="E44" s="875">
        <v>2625.77</v>
      </c>
      <c r="F44" s="875">
        <v>911.14</v>
      </c>
      <c r="G44" s="875">
        <f t="shared" si="2"/>
        <v>8201.69</v>
      </c>
      <c r="H44" s="875">
        <v>32.86</v>
      </c>
      <c r="I44" s="875">
        <v>291.52</v>
      </c>
      <c r="J44" s="875">
        <f t="shared" si="3"/>
        <v>324.38</v>
      </c>
      <c r="K44" s="875">
        <v>80.7</v>
      </c>
      <c r="L44" s="875">
        <v>3.99</v>
      </c>
      <c r="M44" s="875">
        <v>7.07</v>
      </c>
      <c r="N44" s="875">
        <f t="shared" si="4"/>
        <v>91.759999999999991</v>
      </c>
      <c r="O44" s="875">
        <f>11.04+4.16</f>
        <v>15.2</v>
      </c>
      <c r="P44" s="875">
        <f t="shared" si="5"/>
        <v>8633.0300000000007</v>
      </c>
      <c r="Q44" s="875">
        <v>8259.73</v>
      </c>
      <c r="R44" s="875">
        <v>3816.56</v>
      </c>
      <c r="S44" s="875">
        <f t="shared" si="11"/>
        <v>373.30000000000109</v>
      </c>
      <c r="T44" s="875">
        <f t="shared" si="12"/>
        <v>335512.96999999997</v>
      </c>
      <c r="U44" s="881" t="s">
        <v>547</v>
      </c>
    </row>
    <row r="45" spans="1:92" s="1463" customFormat="1" ht="12.95" customHeight="1" x14ac:dyDescent="0.2">
      <c r="A45" s="882" t="s">
        <v>2808</v>
      </c>
      <c r="B45" s="1517" t="s">
        <v>554</v>
      </c>
      <c r="C45" s="1518">
        <v>304.02</v>
      </c>
      <c r="D45" s="1518">
        <v>4236.32</v>
      </c>
      <c r="E45" s="1518">
        <v>2461.33</v>
      </c>
      <c r="F45" s="1518">
        <v>782.91</v>
      </c>
      <c r="G45" s="1518">
        <f t="shared" si="2"/>
        <v>7784.58</v>
      </c>
      <c r="H45" s="1518">
        <v>29.84</v>
      </c>
      <c r="I45" s="1518">
        <v>265.5</v>
      </c>
      <c r="J45" s="1518">
        <f t="shared" si="3"/>
        <v>295.33999999999997</v>
      </c>
      <c r="K45" s="1518">
        <v>74.47</v>
      </c>
      <c r="L45" s="1518">
        <v>4.95</v>
      </c>
      <c r="M45" s="1518">
        <v>4.04</v>
      </c>
      <c r="N45" s="1518">
        <f t="shared" si="4"/>
        <v>83.460000000000008</v>
      </c>
      <c r="O45" s="1518">
        <f>10.83+4.57</f>
        <v>15.4</v>
      </c>
      <c r="P45" s="1518">
        <f t="shared" si="5"/>
        <v>8178.78</v>
      </c>
      <c r="Q45" s="1518">
        <v>7754.7</v>
      </c>
      <c r="R45" s="1518">
        <v>3843.02</v>
      </c>
      <c r="S45" s="1518">
        <f t="shared" si="11"/>
        <v>424.07999999999993</v>
      </c>
      <c r="T45" s="1518">
        <f t="shared" si="12"/>
        <v>335937.05</v>
      </c>
      <c r="U45" s="1519" t="s">
        <v>554</v>
      </c>
    </row>
    <row r="46" spans="1:92" ht="14.25" customHeight="1" x14ac:dyDescent="0.2">
      <c r="A46" s="882" t="s">
        <v>2808</v>
      </c>
      <c r="B46" s="878" t="s">
        <v>555</v>
      </c>
      <c r="C46" s="875">
        <v>256.52999999999997</v>
      </c>
      <c r="D46" s="875">
        <v>4113.47</v>
      </c>
      <c r="E46" s="875">
        <v>2428.63</v>
      </c>
      <c r="F46" s="875">
        <v>794.02</v>
      </c>
      <c r="G46" s="875">
        <f t="shared" si="2"/>
        <v>7592.6500000000005</v>
      </c>
      <c r="H46" s="875">
        <v>28.76</v>
      </c>
      <c r="I46" s="875">
        <v>244.42</v>
      </c>
      <c r="J46" s="875">
        <f t="shared" si="3"/>
        <v>273.18</v>
      </c>
      <c r="K46" s="875">
        <v>57.25</v>
      </c>
      <c r="L46" s="875">
        <v>3.95</v>
      </c>
      <c r="M46" s="875">
        <v>13.09</v>
      </c>
      <c r="N46" s="875">
        <f t="shared" si="4"/>
        <v>74.290000000000006</v>
      </c>
      <c r="O46" s="875">
        <f>10.25+17.19</f>
        <v>27.44</v>
      </c>
      <c r="P46" s="875">
        <f t="shared" si="5"/>
        <v>7967.56</v>
      </c>
      <c r="Q46" s="875">
        <v>8262.0400000000009</v>
      </c>
      <c r="R46" s="875">
        <v>4278.18</v>
      </c>
      <c r="S46" s="875">
        <f t="shared" si="11"/>
        <v>-294.48000000000047</v>
      </c>
      <c r="T46" s="875">
        <f t="shared" si="12"/>
        <v>335642.57</v>
      </c>
      <c r="U46" s="881" t="s">
        <v>555</v>
      </c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</row>
    <row r="47" spans="1:92" x14ac:dyDescent="0.2">
      <c r="A47" s="882" t="s">
        <v>2808</v>
      </c>
      <c r="B47" s="877" t="s">
        <v>548</v>
      </c>
      <c r="C47" s="874">
        <v>378.83</v>
      </c>
      <c r="D47" s="874">
        <v>3620.65</v>
      </c>
      <c r="E47" s="874">
        <v>2142.62</v>
      </c>
      <c r="F47" s="874">
        <v>653.92999999999995</v>
      </c>
      <c r="G47" s="874">
        <f>F47+E47+D47+C47</f>
        <v>6796.03</v>
      </c>
      <c r="H47" s="874">
        <v>27.18</v>
      </c>
      <c r="I47" s="874">
        <v>244.06</v>
      </c>
      <c r="J47" s="874">
        <f>H47+I47</f>
        <v>271.24</v>
      </c>
      <c r="K47" s="874">
        <v>75.510000000000005</v>
      </c>
      <c r="L47" s="874">
        <v>4.75</v>
      </c>
      <c r="M47" s="874">
        <v>31.28</v>
      </c>
      <c r="N47" s="874">
        <f>K47+L47+M47</f>
        <v>111.54</v>
      </c>
      <c r="O47" s="874">
        <f>10.37+0.97</f>
        <v>11.34</v>
      </c>
      <c r="P47" s="874">
        <f>G47+J47+O47+N47</f>
        <v>7190.15</v>
      </c>
      <c r="Q47" s="874">
        <v>6805.39</v>
      </c>
      <c r="R47" s="874">
        <v>2803.18</v>
      </c>
      <c r="S47" s="874">
        <f t="shared" ref="S47" si="13">P47-Q47</f>
        <v>384.75999999999931</v>
      </c>
      <c r="T47" s="874">
        <f t="shared" si="12"/>
        <v>336027.33</v>
      </c>
      <c r="U47" s="880" t="s">
        <v>548</v>
      </c>
    </row>
    <row r="48" spans="1:92" x14ac:dyDescent="0.2">
      <c r="A48" s="882" t="s">
        <v>2808</v>
      </c>
      <c r="B48" s="878" t="s">
        <v>556</v>
      </c>
      <c r="C48" s="875">
        <v>348.43</v>
      </c>
      <c r="D48" s="875">
        <v>3385.88</v>
      </c>
      <c r="E48" s="875">
        <v>2168.1799999999998</v>
      </c>
      <c r="F48" s="875">
        <v>866.99</v>
      </c>
      <c r="G48" s="875">
        <v>6769.4800000000005</v>
      </c>
      <c r="H48" s="875">
        <v>30.43</v>
      </c>
      <c r="I48" s="875">
        <v>267.7</v>
      </c>
      <c r="J48" s="875">
        <v>298.13</v>
      </c>
      <c r="K48" s="875">
        <v>79.09</v>
      </c>
      <c r="L48" s="875">
        <v>0</v>
      </c>
      <c r="M48" s="875">
        <v>0</v>
      </c>
      <c r="N48" s="875">
        <v>79.09</v>
      </c>
      <c r="O48" s="875">
        <v>14.459999999999999</v>
      </c>
      <c r="P48" s="875">
        <v>7161.1600000000008</v>
      </c>
      <c r="Q48" s="875">
        <v>9012.19</v>
      </c>
      <c r="R48" s="875">
        <v>4159.9799999999996</v>
      </c>
      <c r="S48" s="875">
        <v>-1851.0299999999997</v>
      </c>
      <c r="T48" s="875">
        <v>334176.3</v>
      </c>
      <c r="U48" s="881" t="s">
        <v>556</v>
      </c>
    </row>
    <row r="49" spans="1:21" ht="13.5" thickBot="1" x14ac:dyDescent="0.25">
      <c r="A49" s="882" t="s">
        <v>2808</v>
      </c>
      <c r="B49" s="1625" t="s">
        <v>557</v>
      </c>
      <c r="C49" s="1626">
        <v>244.64</v>
      </c>
      <c r="D49" s="1626">
        <v>3268.63</v>
      </c>
      <c r="E49" s="1626">
        <v>1886.07</v>
      </c>
      <c r="F49" s="1626">
        <v>704.48</v>
      </c>
      <c r="G49" s="1626">
        <v>6103.82</v>
      </c>
      <c r="H49" s="1626">
        <v>2.83</v>
      </c>
      <c r="I49" s="1626">
        <v>133.99</v>
      </c>
      <c r="J49" s="1626">
        <v>136.82000000000002</v>
      </c>
      <c r="K49" s="1626">
        <v>71.55</v>
      </c>
      <c r="L49" s="1626">
        <v>0</v>
      </c>
      <c r="M49" s="1626">
        <v>0</v>
      </c>
      <c r="N49" s="1626">
        <v>71.55</v>
      </c>
      <c r="O49" s="1626">
        <v>16.84</v>
      </c>
      <c r="P49" s="1626">
        <v>6329.03</v>
      </c>
      <c r="Q49" s="1626">
        <v>7571.34</v>
      </c>
      <c r="R49" s="1626">
        <v>3725.65</v>
      </c>
      <c r="S49" s="1626">
        <v>-1164.7</v>
      </c>
      <c r="T49" s="1626">
        <v>333011.59999999998</v>
      </c>
      <c r="U49" s="1627" t="s">
        <v>557</v>
      </c>
    </row>
    <row r="50" spans="1:21" ht="15" x14ac:dyDescent="0.2">
      <c r="A50" s="1462" t="s">
        <v>1877</v>
      </c>
      <c r="B50" s="1462"/>
      <c r="C50" s="1277"/>
      <c r="D50" s="1277"/>
      <c r="E50" s="1277"/>
      <c r="F50" s="1277"/>
      <c r="G50" s="1277"/>
      <c r="H50" s="1277"/>
      <c r="I50" s="1277"/>
      <c r="J50" s="1277"/>
      <c r="K50" s="1277"/>
      <c r="L50" s="1277"/>
      <c r="M50" s="1277"/>
      <c r="N50" s="1277"/>
      <c r="O50" s="1277"/>
      <c r="P50" s="1277"/>
      <c r="Q50" s="1277"/>
      <c r="R50" s="1277"/>
      <c r="S50" s="1277"/>
      <c r="T50" s="1277"/>
      <c r="U50" s="1463"/>
    </row>
    <row r="51" spans="1:21" ht="15" x14ac:dyDescent="0.25">
      <c r="A51" s="894" t="s">
        <v>1331</v>
      </c>
      <c r="B51" s="894"/>
      <c r="C51" s="633" t="s">
        <v>1915</v>
      </c>
      <c r="D51" s="630"/>
      <c r="E51" s="630"/>
      <c r="F51" s="630"/>
      <c r="G51" s="636"/>
      <c r="H51" s="630"/>
      <c r="I51" s="636" t="s">
        <v>1294</v>
      </c>
      <c r="J51" s="630"/>
      <c r="K51" s="630"/>
      <c r="L51" s="630"/>
      <c r="O51" s="630"/>
      <c r="P51" s="630"/>
      <c r="Q51" s="630"/>
      <c r="R51" s="1020"/>
      <c r="S51" s="630"/>
      <c r="T51" s="494"/>
      <c r="U51" s="552"/>
    </row>
    <row r="53" spans="1:21" x14ac:dyDescent="0.2">
      <c r="T53" s="552"/>
    </row>
    <row r="55" spans="1:21" x14ac:dyDescent="0.2">
      <c r="I55" s="1482" t="s">
        <v>621</v>
      </c>
    </row>
  </sheetData>
  <customSheetViews>
    <customSheetView guid="{A374FC54-96E3-45F0-9C12-8450400C12DF}" scale="120" topLeftCell="A22">
      <selection activeCell="O37" sqref="O37:O39"/>
      <pageMargins left="0.7" right="0.7" top="0.75" bottom="0.75" header="0.3" footer="0.3"/>
      <pageSetup paperSize="132" firstPageNumber="110" orientation="portrait" useFirstPageNumber="1" r:id="rId1"/>
      <headerFooter differentFirst="1">
        <oddFooter>&amp;C&amp;"Times New Roman,Regular"&amp;8&amp;P</oddFooter>
        <evenFooter>&amp;C&amp;"Times New Roman,Regular"&amp;8 111</evenFooter>
        <firstFooter>&amp;C&amp;"Times New Roman,Regular"&amp;8&amp;P</firstFooter>
      </headerFooter>
    </customSheetView>
  </customSheetViews>
  <mergeCells count="16">
    <mergeCell ref="A4:A6"/>
    <mergeCell ref="C4:G4"/>
    <mergeCell ref="H4:J4"/>
    <mergeCell ref="K4:N4"/>
    <mergeCell ref="O4:O5"/>
    <mergeCell ref="B4:B6"/>
    <mergeCell ref="R4:R5"/>
    <mergeCell ref="S4:S5"/>
    <mergeCell ref="T4:T5"/>
    <mergeCell ref="U4:U6"/>
    <mergeCell ref="G1:J1"/>
    <mergeCell ref="S2:U2"/>
    <mergeCell ref="S3:U3"/>
    <mergeCell ref="P4:P5"/>
    <mergeCell ref="Q4:Q5"/>
    <mergeCell ref="K1:Q1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showWhiteSpace="0" zoomScale="150" zoomScaleNormal="150" workbookViewId="0">
      <pane ySplit="6" topLeftCell="A7" activePane="bottomLeft" state="frozen"/>
      <selection activeCell="X47" sqref="X47:X50"/>
      <selection pane="bottomLeft" activeCell="A7" sqref="A7"/>
    </sheetView>
  </sheetViews>
  <sheetFormatPr defaultRowHeight="12.75" x14ac:dyDescent="0.2"/>
  <cols>
    <col min="1" max="1" width="7.140625" style="977" customWidth="1"/>
    <col min="2" max="3" width="6.140625" style="977" customWidth="1"/>
    <col min="4" max="4" width="6.28515625" style="977" customWidth="1"/>
    <col min="5" max="5" width="5.28515625" style="977" customWidth="1"/>
    <col min="6" max="6" width="6.5703125" style="977" customWidth="1"/>
    <col min="7" max="7" width="7.7109375" style="977" customWidth="1"/>
    <col min="8" max="8" width="5.28515625" style="977" customWidth="1"/>
    <col min="9" max="9" width="8.28515625" style="977" customWidth="1"/>
    <col min="10" max="10" width="6.140625" style="977" customWidth="1"/>
    <col min="11" max="11" width="5.5703125" style="977" customWidth="1"/>
    <col min="12" max="13" width="6.140625" style="977" customWidth="1"/>
    <col min="14" max="14" width="7.28515625" style="977" customWidth="1"/>
    <col min="15" max="15" width="4.85546875" style="977" customWidth="1"/>
    <col min="16" max="16" width="6.7109375" style="977" customWidth="1"/>
    <col min="17" max="17" width="4.5703125" style="977" customWidth="1"/>
    <col min="18" max="18" width="7.140625" style="977" customWidth="1"/>
    <col min="19" max="19" width="6.140625" style="977" customWidth="1"/>
    <col min="20" max="20" width="5.85546875" style="977" customWidth="1"/>
    <col min="21" max="21" width="7.140625" style="977" customWidth="1"/>
    <col min="22" max="22" width="9.5703125" style="977" customWidth="1"/>
    <col min="23" max="23" width="7.28515625" style="977" customWidth="1"/>
    <col min="24" max="16384" width="9.140625" style="977"/>
  </cols>
  <sheetData>
    <row r="1" spans="1:26" s="1227" customFormat="1" ht="18.75" customHeight="1" x14ac:dyDescent="0.2">
      <c r="A1" s="839"/>
      <c r="B1" s="839"/>
      <c r="C1" s="839"/>
      <c r="D1" s="839"/>
      <c r="E1" s="839"/>
      <c r="F1" s="839"/>
      <c r="G1" s="839"/>
      <c r="H1" s="839"/>
      <c r="I1" s="2956" t="s">
        <v>2079</v>
      </c>
      <c r="J1" s="2956"/>
      <c r="K1" s="2956"/>
      <c r="L1" s="2956"/>
      <c r="M1" s="2957" t="s">
        <v>2847</v>
      </c>
      <c r="N1" s="2957"/>
      <c r="O1" s="2957"/>
      <c r="P1" s="2957"/>
      <c r="Q1" s="2957"/>
      <c r="R1" s="2957"/>
      <c r="S1" s="839"/>
      <c r="T1" s="839"/>
      <c r="U1" s="839"/>
      <c r="V1" s="839"/>
      <c r="W1" s="839"/>
    </row>
    <row r="2" spans="1:26" s="1227" customFormat="1" ht="18.75" x14ac:dyDescent="0.3">
      <c r="A2" s="627"/>
      <c r="B2" s="628"/>
      <c r="C2" s="628"/>
      <c r="D2" s="634"/>
      <c r="E2" s="634"/>
      <c r="F2" s="634"/>
      <c r="G2" s="634"/>
      <c r="H2" s="634"/>
      <c r="I2" s="1049"/>
      <c r="J2" s="2959" t="s">
        <v>2843</v>
      </c>
      <c r="K2" s="2959"/>
      <c r="L2" s="2959"/>
      <c r="M2" s="2958" t="s">
        <v>2842</v>
      </c>
      <c r="N2" s="2958"/>
      <c r="O2" s="1049"/>
      <c r="P2" s="1049"/>
      <c r="Q2" s="1049"/>
      <c r="R2" s="1049"/>
      <c r="S2" s="628"/>
      <c r="T2" s="628"/>
      <c r="U2" s="628"/>
      <c r="V2" s="1050" t="s">
        <v>2080</v>
      </c>
      <c r="W2" s="839"/>
    </row>
    <row r="3" spans="1:26" s="1227" customFormat="1" ht="15" x14ac:dyDescent="0.25">
      <c r="A3" s="1051"/>
      <c r="B3" s="1051"/>
      <c r="C3" s="1051"/>
      <c r="D3" s="1051"/>
      <c r="E3" s="1051"/>
      <c r="F3" s="1051"/>
      <c r="G3" s="1051"/>
      <c r="H3" s="1051"/>
      <c r="I3" s="1051"/>
      <c r="J3" s="1051"/>
      <c r="K3" s="1051"/>
      <c r="L3" s="1051"/>
      <c r="M3" s="1051"/>
      <c r="N3" s="1051"/>
      <c r="O3" s="1051"/>
      <c r="P3" s="1051"/>
      <c r="Q3" s="1051"/>
      <c r="R3" s="1051"/>
      <c r="S3" s="1051"/>
      <c r="T3" s="1051"/>
      <c r="U3" s="1051"/>
      <c r="V3" s="1052" t="s">
        <v>24</v>
      </c>
      <c r="W3" s="1053"/>
    </row>
    <row r="4" spans="1:26" s="1227" customFormat="1" x14ac:dyDescent="0.2">
      <c r="A4" s="2921" t="s">
        <v>474</v>
      </c>
      <c r="B4" s="2960" t="s">
        <v>2081</v>
      </c>
      <c r="C4" s="2961"/>
      <c r="D4" s="2961"/>
      <c r="E4" s="2961"/>
      <c r="F4" s="2962"/>
      <c r="G4" s="2960" t="s">
        <v>2082</v>
      </c>
      <c r="H4" s="2963"/>
      <c r="I4" s="2963"/>
      <c r="J4" s="2963"/>
      <c r="K4" s="2963"/>
      <c r="L4" s="2963"/>
      <c r="M4" s="2963"/>
      <c r="N4" s="2963"/>
      <c r="O4" s="2963"/>
      <c r="P4" s="2963"/>
      <c r="Q4" s="2963"/>
      <c r="R4" s="2964"/>
      <c r="S4" s="2965" t="s">
        <v>2739</v>
      </c>
      <c r="T4" s="2967" t="s">
        <v>2083</v>
      </c>
      <c r="U4" s="2968"/>
      <c r="V4" s="2969"/>
      <c r="W4" s="2939" t="s">
        <v>474</v>
      </c>
    </row>
    <row r="5" spans="1:26" s="1227" customFormat="1" ht="85.5" customHeight="1" x14ac:dyDescent="0.2">
      <c r="A5" s="2922"/>
      <c r="B5" s="1433" t="s">
        <v>2084</v>
      </c>
      <c r="C5" s="1434" t="s">
        <v>2085</v>
      </c>
      <c r="D5" s="1433" t="s">
        <v>2086</v>
      </c>
      <c r="E5" s="1433" t="s">
        <v>2087</v>
      </c>
      <c r="F5" s="1433" t="s">
        <v>2088</v>
      </c>
      <c r="G5" s="1433" t="s">
        <v>2089</v>
      </c>
      <c r="H5" s="1433" t="s">
        <v>2090</v>
      </c>
      <c r="I5" s="1433" t="s">
        <v>2740</v>
      </c>
      <c r="J5" s="1433" t="s">
        <v>2091</v>
      </c>
      <c r="K5" s="1433" t="s">
        <v>2092</v>
      </c>
      <c r="L5" s="1433" t="s">
        <v>2093</v>
      </c>
      <c r="M5" s="1435" t="s">
        <v>2094</v>
      </c>
      <c r="N5" s="1435" t="s">
        <v>2095</v>
      </c>
      <c r="O5" s="1434" t="s">
        <v>2096</v>
      </c>
      <c r="P5" s="1434" t="s">
        <v>2097</v>
      </c>
      <c r="Q5" s="1434" t="s">
        <v>2098</v>
      </c>
      <c r="R5" s="1434" t="s">
        <v>2099</v>
      </c>
      <c r="S5" s="2966"/>
      <c r="T5" s="1434" t="s">
        <v>2100</v>
      </c>
      <c r="U5" s="1434" t="s">
        <v>2101</v>
      </c>
      <c r="V5" s="1434" t="s">
        <v>2102</v>
      </c>
      <c r="W5" s="2940"/>
    </row>
    <row r="6" spans="1:26" s="1227" customFormat="1" x14ac:dyDescent="0.2">
      <c r="A6" s="2923"/>
      <c r="B6" s="1133">
        <v>1</v>
      </c>
      <c r="C6" s="1054">
        <v>2</v>
      </c>
      <c r="D6" s="1054">
        <v>3</v>
      </c>
      <c r="E6" s="1054">
        <v>4</v>
      </c>
      <c r="F6" s="1054">
        <v>5</v>
      </c>
      <c r="G6" s="1054">
        <v>6</v>
      </c>
      <c r="H6" s="1054">
        <v>7</v>
      </c>
      <c r="I6" s="1054">
        <v>8</v>
      </c>
      <c r="J6" s="1054">
        <v>9</v>
      </c>
      <c r="K6" s="1054">
        <v>10</v>
      </c>
      <c r="L6" s="1054">
        <v>11</v>
      </c>
      <c r="M6" s="1054">
        <v>12</v>
      </c>
      <c r="N6" s="1054">
        <v>13</v>
      </c>
      <c r="O6" s="1054">
        <v>14</v>
      </c>
      <c r="P6" s="1054">
        <v>15</v>
      </c>
      <c r="Q6" s="1054">
        <v>16</v>
      </c>
      <c r="R6" s="1054">
        <v>17</v>
      </c>
      <c r="S6" s="1054">
        <v>18</v>
      </c>
      <c r="T6" s="1054">
        <v>19</v>
      </c>
      <c r="U6" s="1054">
        <v>20</v>
      </c>
      <c r="V6" s="1054">
        <v>21</v>
      </c>
      <c r="W6" s="2941"/>
      <c r="Z6" s="1065"/>
    </row>
    <row r="7" spans="1:26" ht="15" customHeight="1" x14ac:dyDescent="0.2">
      <c r="A7" s="1067" t="s">
        <v>541</v>
      </c>
      <c r="B7" s="1265">
        <v>17096</v>
      </c>
      <c r="C7" s="1265">
        <v>4249</v>
      </c>
      <c r="D7" s="1265">
        <v>21345</v>
      </c>
      <c r="E7" s="1265">
        <v>3609</v>
      </c>
      <c r="F7" s="1265">
        <v>24954</v>
      </c>
      <c r="G7" s="1265">
        <v>17898</v>
      </c>
      <c r="H7" s="1265">
        <v>1109</v>
      </c>
      <c r="I7" s="1265">
        <v>19007</v>
      </c>
      <c r="J7" s="1265">
        <v>16560</v>
      </c>
      <c r="K7" s="1265">
        <v>193</v>
      </c>
      <c r="L7" s="1265">
        <v>0</v>
      </c>
      <c r="M7" s="1265">
        <v>496</v>
      </c>
      <c r="N7" s="1265">
        <v>17249</v>
      </c>
      <c r="O7" s="1265">
        <v>-9</v>
      </c>
      <c r="P7" s="1265">
        <v>-249</v>
      </c>
      <c r="Q7" s="1265">
        <v>0</v>
      </c>
      <c r="R7" s="1265">
        <v>35998</v>
      </c>
      <c r="S7" s="1265">
        <v>-11044</v>
      </c>
      <c r="T7" s="1265">
        <v>3100</v>
      </c>
      <c r="U7" s="1265">
        <v>7944</v>
      </c>
      <c r="V7" s="1265">
        <v>11044</v>
      </c>
      <c r="W7" s="1069" t="s">
        <v>541</v>
      </c>
      <c r="X7" s="1227"/>
      <c r="Y7" s="1227"/>
      <c r="Z7" s="1227"/>
    </row>
    <row r="8" spans="1:26" ht="15" customHeight="1" x14ac:dyDescent="0.2">
      <c r="A8" s="1068" t="s">
        <v>542</v>
      </c>
      <c r="B8" s="1066">
        <v>19490</v>
      </c>
      <c r="C8" s="1066">
        <v>4683</v>
      </c>
      <c r="D8" s="1066">
        <v>24173</v>
      </c>
      <c r="E8" s="1066">
        <v>2929</v>
      </c>
      <c r="F8" s="1066">
        <v>27102</v>
      </c>
      <c r="G8" s="1066">
        <v>20136</v>
      </c>
      <c r="H8" s="1066">
        <v>1411</v>
      </c>
      <c r="I8" s="1066">
        <v>21547</v>
      </c>
      <c r="J8" s="1066">
        <v>17950</v>
      </c>
      <c r="K8" s="1066">
        <v>133</v>
      </c>
      <c r="L8" s="1066">
        <v>0</v>
      </c>
      <c r="M8" s="1066">
        <v>773</v>
      </c>
      <c r="N8" s="1066">
        <v>18856</v>
      </c>
      <c r="O8" s="1066">
        <v>-122</v>
      </c>
      <c r="P8" s="1066">
        <v>-422</v>
      </c>
      <c r="Q8" s="1066">
        <v>0</v>
      </c>
      <c r="R8" s="1066">
        <v>39859</v>
      </c>
      <c r="S8" s="1066">
        <v>-12757</v>
      </c>
      <c r="T8" s="1066">
        <v>3565</v>
      </c>
      <c r="U8" s="1066">
        <v>9192</v>
      </c>
      <c r="V8" s="1066">
        <v>12757</v>
      </c>
      <c r="W8" s="1070" t="s">
        <v>542</v>
      </c>
      <c r="X8" s="1227"/>
      <c r="Y8" s="1227"/>
      <c r="Z8" s="1227"/>
    </row>
    <row r="9" spans="1:26" ht="15" customHeight="1" x14ac:dyDescent="0.2">
      <c r="A9" s="1067" t="s">
        <v>543</v>
      </c>
      <c r="B9" s="1265">
        <v>21930</v>
      </c>
      <c r="C9" s="1265">
        <v>5740</v>
      </c>
      <c r="D9" s="1265">
        <v>27670</v>
      </c>
      <c r="E9" s="1265">
        <v>3482</v>
      </c>
      <c r="F9" s="1265">
        <v>31152</v>
      </c>
      <c r="G9" s="1265">
        <v>21037</v>
      </c>
      <c r="H9" s="1265">
        <v>1218</v>
      </c>
      <c r="I9" s="1265">
        <v>22255</v>
      </c>
      <c r="J9" s="1265">
        <v>15847</v>
      </c>
      <c r="K9" s="1265">
        <v>313</v>
      </c>
      <c r="L9" s="1265">
        <v>0</v>
      </c>
      <c r="M9" s="1265">
        <v>733</v>
      </c>
      <c r="N9" s="1265">
        <v>16893</v>
      </c>
      <c r="O9" s="1265">
        <v>-6</v>
      </c>
      <c r="P9" s="1265">
        <v>-385</v>
      </c>
      <c r="Q9" s="1265">
        <v>0</v>
      </c>
      <c r="R9" s="1265">
        <v>38757</v>
      </c>
      <c r="S9" s="1265">
        <v>-7605</v>
      </c>
      <c r="T9" s="1265">
        <v>2759</v>
      </c>
      <c r="U9" s="1265">
        <v>4846</v>
      </c>
      <c r="V9" s="1265">
        <v>7605</v>
      </c>
      <c r="W9" s="1069" t="s">
        <v>543</v>
      </c>
      <c r="X9" s="1227"/>
      <c r="Y9" s="1227"/>
      <c r="Z9" s="1227"/>
    </row>
    <row r="10" spans="1:26" ht="15" customHeight="1" x14ac:dyDescent="0.2">
      <c r="A10" s="1068" t="s">
        <v>544</v>
      </c>
      <c r="B10" s="1066">
        <v>24950</v>
      </c>
      <c r="C10" s="1066">
        <v>6170</v>
      </c>
      <c r="D10" s="1066">
        <v>31120</v>
      </c>
      <c r="E10" s="1066">
        <v>2447</v>
      </c>
      <c r="F10" s="1066">
        <v>33567</v>
      </c>
      <c r="G10" s="1066">
        <v>24255</v>
      </c>
      <c r="H10" s="1066">
        <v>1351</v>
      </c>
      <c r="I10" s="1066">
        <v>25606</v>
      </c>
      <c r="J10" s="1066">
        <v>17060</v>
      </c>
      <c r="K10" s="1066">
        <v>390</v>
      </c>
      <c r="L10" s="1066">
        <v>0</v>
      </c>
      <c r="M10" s="1066">
        <v>593</v>
      </c>
      <c r="N10" s="1066">
        <v>18043</v>
      </c>
      <c r="O10" s="1066">
        <v>-74</v>
      </c>
      <c r="P10" s="1066">
        <v>-1029</v>
      </c>
      <c r="Q10" s="1066">
        <v>0</v>
      </c>
      <c r="R10" s="1066">
        <v>42546</v>
      </c>
      <c r="S10" s="1066">
        <v>-8979</v>
      </c>
      <c r="T10" s="1066">
        <v>4543</v>
      </c>
      <c r="U10" s="1066">
        <v>4436</v>
      </c>
      <c r="V10" s="1066">
        <v>8979</v>
      </c>
      <c r="W10" s="1070" t="s">
        <v>544</v>
      </c>
      <c r="X10" s="1227"/>
      <c r="Y10" s="1227"/>
      <c r="Z10" s="1227"/>
    </row>
    <row r="11" spans="1:26" ht="15" customHeight="1" x14ac:dyDescent="0.2">
      <c r="A11" s="1067" t="s">
        <v>545</v>
      </c>
      <c r="B11" s="1265">
        <v>28300</v>
      </c>
      <c r="C11" s="1265">
        <v>7100</v>
      </c>
      <c r="D11" s="1265">
        <v>35400</v>
      </c>
      <c r="E11" s="1265">
        <v>2663</v>
      </c>
      <c r="F11" s="1265">
        <v>38063</v>
      </c>
      <c r="G11" s="1265">
        <v>26807</v>
      </c>
      <c r="H11" s="1265">
        <v>1766</v>
      </c>
      <c r="I11" s="1265">
        <v>28573</v>
      </c>
      <c r="J11" s="1265">
        <v>19000</v>
      </c>
      <c r="K11" s="1265">
        <v>419</v>
      </c>
      <c r="L11" s="1265">
        <v>210</v>
      </c>
      <c r="M11" s="1265">
        <v>585</v>
      </c>
      <c r="N11" s="1265">
        <v>20214</v>
      </c>
      <c r="O11" s="1265">
        <v>508</v>
      </c>
      <c r="P11" s="1265">
        <v>-928</v>
      </c>
      <c r="Q11" s="1265">
        <v>1000</v>
      </c>
      <c r="R11" s="1265">
        <v>49367</v>
      </c>
      <c r="S11" s="1265">
        <v>-11304</v>
      </c>
      <c r="T11" s="1265">
        <v>5329</v>
      </c>
      <c r="U11" s="1265">
        <v>5975</v>
      </c>
      <c r="V11" s="1265">
        <v>11304</v>
      </c>
      <c r="W11" s="1069" t="s">
        <v>545</v>
      </c>
      <c r="X11" s="1227"/>
      <c r="Y11" s="1227"/>
      <c r="Z11" s="1227"/>
    </row>
    <row r="12" spans="1:26" ht="15" customHeight="1" x14ac:dyDescent="0.2">
      <c r="A12" s="1068" t="s">
        <v>546</v>
      </c>
      <c r="B12" s="1066">
        <v>31950</v>
      </c>
      <c r="C12" s="1066">
        <v>7250</v>
      </c>
      <c r="D12" s="1066">
        <v>39200</v>
      </c>
      <c r="E12" s="1066">
        <v>2644</v>
      </c>
      <c r="F12" s="1066">
        <v>41844</v>
      </c>
      <c r="G12" s="1066">
        <v>31590</v>
      </c>
      <c r="H12" s="1066">
        <v>2080</v>
      </c>
      <c r="I12" s="1066">
        <v>33670</v>
      </c>
      <c r="J12" s="1066">
        <v>20500</v>
      </c>
      <c r="K12" s="1066">
        <v>595</v>
      </c>
      <c r="L12" s="1066">
        <v>994</v>
      </c>
      <c r="M12" s="1066">
        <v>587</v>
      </c>
      <c r="N12" s="1066">
        <v>22676</v>
      </c>
      <c r="O12" s="1066">
        <v>168</v>
      </c>
      <c r="P12" s="1066">
        <v>-1152</v>
      </c>
      <c r="Q12" s="1066">
        <v>270</v>
      </c>
      <c r="R12" s="1066">
        <v>55632</v>
      </c>
      <c r="S12" s="1066">
        <v>-13788</v>
      </c>
      <c r="T12" s="1066">
        <v>6187</v>
      </c>
      <c r="U12" s="1066">
        <v>7601</v>
      </c>
      <c r="V12" s="1066">
        <v>13788</v>
      </c>
      <c r="W12" s="1070" t="s">
        <v>546</v>
      </c>
      <c r="X12" s="1227"/>
      <c r="Y12" s="1227"/>
      <c r="Z12" s="1227"/>
    </row>
    <row r="13" spans="1:26" ht="15" customHeight="1" x14ac:dyDescent="0.2">
      <c r="A13" s="1067" t="s">
        <v>551</v>
      </c>
      <c r="B13" s="1265">
        <v>36175</v>
      </c>
      <c r="C13" s="1265">
        <v>8693</v>
      </c>
      <c r="D13" s="1265">
        <v>44868</v>
      </c>
      <c r="E13" s="1265">
        <v>2476</v>
      </c>
      <c r="F13" s="1265">
        <v>47344</v>
      </c>
      <c r="G13" s="1265">
        <v>34805</v>
      </c>
      <c r="H13" s="1265">
        <v>2252</v>
      </c>
      <c r="I13" s="1265">
        <v>37057</v>
      </c>
      <c r="J13" s="1265">
        <v>21500</v>
      </c>
      <c r="K13" s="1265">
        <v>0</v>
      </c>
      <c r="L13" s="1265">
        <v>1363</v>
      </c>
      <c r="M13" s="1265">
        <v>763</v>
      </c>
      <c r="N13" s="1265">
        <v>23626</v>
      </c>
      <c r="O13" s="1265">
        <v>207</v>
      </c>
      <c r="P13" s="1265">
        <v>-32</v>
      </c>
      <c r="Q13" s="1265">
        <v>200</v>
      </c>
      <c r="R13" s="1265">
        <v>61058</v>
      </c>
      <c r="S13" s="1265">
        <v>-13714</v>
      </c>
      <c r="T13" s="1265">
        <v>5574</v>
      </c>
      <c r="U13" s="1265">
        <v>8140</v>
      </c>
      <c r="V13" s="1265">
        <v>13714</v>
      </c>
      <c r="W13" s="1069" t="s">
        <v>551</v>
      </c>
      <c r="X13" s="1227"/>
      <c r="Y13" s="1227"/>
      <c r="Z13" s="1227"/>
    </row>
    <row r="14" spans="1:26" ht="15" customHeight="1" x14ac:dyDescent="0.2">
      <c r="A14" s="1068" t="s">
        <v>560</v>
      </c>
      <c r="B14" s="1066">
        <v>39247</v>
      </c>
      <c r="C14" s="1066">
        <v>10225</v>
      </c>
      <c r="D14" s="1066">
        <v>49472</v>
      </c>
      <c r="E14" s="1066">
        <v>2150</v>
      </c>
      <c r="F14" s="1066">
        <v>51622</v>
      </c>
      <c r="G14" s="1066">
        <v>42064</v>
      </c>
      <c r="H14" s="1066">
        <v>2348</v>
      </c>
      <c r="I14" s="1066">
        <v>44412</v>
      </c>
      <c r="J14" s="1066">
        <v>21600</v>
      </c>
      <c r="K14" s="1066">
        <v>0</v>
      </c>
      <c r="L14" s="1066">
        <v>1579</v>
      </c>
      <c r="M14" s="1066">
        <v>283</v>
      </c>
      <c r="N14" s="1066">
        <v>23462</v>
      </c>
      <c r="O14" s="1066">
        <v>388</v>
      </c>
      <c r="P14" s="1066">
        <v>-1455</v>
      </c>
      <c r="Q14" s="1066">
        <v>29</v>
      </c>
      <c r="R14" s="1066">
        <v>66836</v>
      </c>
      <c r="S14" s="1066">
        <v>-15214</v>
      </c>
      <c r="T14" s="1066">
        <v>5183</v>
      </c>
      <c r="U14" s="1066">
        <v>10031</v>
      </c>
      <c r="V14" s="1066">
        <v>15214</v>
      </c>
      <c r="W14" s="1070" t="s">
        <v>560</v>
      </c>
      <c r="X14" s="1227"/>
      <c r="Y14" s="1227"/>
      <c r="Z14" s="1227"/>
    </row>
    <row r="15" spans="1:26" ht="15" customHeight="1" x14ac:dyDescent="0.2">
      <c r="A15" s="1067" t="s">
        <v>325</v>
      </c>
      <c r="B15" s="1265">
        <v>48012</v>
      </c>
      <c r="C15" s="1265">
        <v>12527</v>
      </c>
      <c r="D15" s="1265">
        <v>60539</v>
      </c>
      <c r="E15" s="1265">
        <v>4388</v>
      </c>
      <c r="F15" s="1265">
        <v>64927</v>
      </c>
      <c r="G15" s="1265">
        <v>52255</v>
      </c>
      <c r="H15" s="1265">
        <v>4734</v>
      </c>
      <c r="I15" s="1265">
        <v>56989</v>
      </c>
      <c r="J15" s="1265">
        <v>22500</v>
      </c>
      <c r="K15" s="1265">
        <v>549</v>
      </c>
      <c r="L15" s="1265">
        <v>496</v>
      </c>
      <c r="M15" s="1265">
        <v>804</v>
      </c>
      <c r="N15" s="1265">
        <v>24349</v>
      </c>
      <c r="O15" s="1265">
        <v>809</v>
      </c>
      <c r="P15" s="1265">
        <v>9761</v>
      </c>
      <c r="Q15" s="1265">
        <v>1700</v>
      </c>
      <c r="R15" s="1265">
        <v>93608</v>
      </c>
      <c r="S15" s="1265">
        <v>-28681</v>
      </c>
      <c r="T15" s="1265">
        <v>8756</v>
      </c>
      <c r="U15" s="1265">
        <v>19925</v>
      </c>
      <c r="V15" s="1265">
        <v>28681</v>
      </c>
      <c r="W15" s="1069" t="s">
        <v>325</v>
      </c>
      <c r="X15" s="1227"/>
      <c r="Y15" s="1227"/>
      <c r="Z15" s="1227"/>
    </row>
    <row r="16" spans="1:26" ht="15" customHeight="1" x14ac:dyDescent="0.2">
      <c r="A16" s="1055" t="s">
        <v>85</v>
      </c>
      <c r="B16" s="1066">
        <v>55526</v>
      </c>
      <c r="C16" s="1066">
        <v>13654</v>
      </c>
      <c r="D16" s="1066">
        <v>69180</v>
      </c>
      <c r="E16" s="1066">
        <v>4929</v>
      </c>
      <c r="F16" s="1066">
        <v>74109</v>
      </c>
      <c r="G16" s="1066">
        <v>62676</v>
      </c>
      <c r="H16" s="1066">
        <v>4449</v>
      </c>
      <c r="I16" s="1066">
        <v>67125</v>
      </c>
      <c r="J16" s="1066">
        <v>23000</v>
      </c>
      <c r="K16" s="1066">
        <v>990</v>
      </c>
      <c r="L16" s="1066">
        <v>478</v>
      </c>
      <c r="M16" s="1066">
        <v>1234</v>
      </c>
      <c r="N16" s="1066">
        <v>25702</v>
      </c>
      <c r="O16" s="1066">
        <v>4</v>
      </c>
      <c r="P16" s="1066">
        <v>559</v>
      </c>
      <c r="Q16" s="1066">
        <v>750</v>
      </c>
      <c r="R16" s="1066">
        <v>94140</v>
      </c>
      <c r="S16" s="1066">
        <v>-20031</v>
      </c>
      <c r="T16" s="1066">
        <v>5833</v>
      </c>
      <c r="U16" s="1066">
        <v>14198</v>
      </c>
      <c r="V16" s="1066">
        <v>20031</v>
      </c>
      <c r="W16" s="1071" t="s">
        <v>85</v>
      </c>
      <c r="X16" s="1227"/>
      <c r="Y16" s="1227"/>
      <c r="Z16" s="1227"/>
    </row>
    <row r="17" spans="1:26" ht="15" customHeight="1" x14ac:dyDescent="0.2">
      <c r="A17" s="1056" t="s">
        <v>81</v>
      </c>
      <c r="B17" s="1265">
        <v>63956</v>
      </c>
      <c r="C17" s="1265">
        <v>15528</v>
      </c>
      <c r="D17" s="1265">
        <v>79484</v>
      </c>
      <c r="E17" s="1265">
        <v>3742</v>
      </c>
      <c r="F17" s="1265">
        <v>83226</v>
      </c>
      <c r="G17" s="1265">
        <v>68711</v>
      </c>
      <c r="H17" s="1265">
        <v>8417</v>
      </c>
      <c r="I17" s="1265">
        <v>77128</v>
      </c>
      <c r="J17" s="1265">
        <v>28500</v>
      </c>
      <c r="K17" s="1265">
        <v>1180</v>
      </c>
      <c r="L17" s="1265">
        <v>1009</v>
      </c>
      <c r="M17" s="1265">
        <v>1126</v>
      </c>
      <c r="N17" s="1265">
        <v>31815</v>
      </c>
      <c r="O17" s="1265">
        <v>60</v>
      </c>
      <c r="P17" s="1265">
        <v>1188</v>
      </c>
      <c r="Q17" s="1265">
        <v>332</v>
      </c>
      <c r="R17" s="1265">
        <v>110523</v>
      </c>
      <c r="S17" s="1265">
        <v>-27297</v>
      </c>
      <c r="T17" s="1265">
        <v>9972</v>
      </c>
      <c r="U17" s="1265">
        <v>17325</v>
      </c>
      <c r="V17" s="1265">
        <v>27297</v>
      </c>
      <c r="W17" s="1072" t="s">
        <v>81</v>
      </c>
      <c r="X17" s="1227"/>
      <c r="Y17" s="1227"/>
      <c r="Z17" s="1227"/>
    </row>
    <row r="18" spans="1:26" ht="15" customHeight="1" x14ac:dyDescent="0.2">
      <c r="A18" s="1063" t="s">
        <v>189</v>
      </c>
      <c r="B18" s="1066">
        <v>79052</v>
      </c>
      <c r="C18" s="1066">
        <v>16135</v>
      </c>
      <c r="D18" s="1066">
        <v>95187</v>
      </c>
      <c r="E18" s="1066">
        <v>4224</v>
      </c>
      <c r="F18" s="1066">
        <v>99411</v>
      </c>
      <c r="G18" s="1066">
        <v>77103</v>
      </c>
      <c r="H18" s="1066">
        <v>6074</v>
      </c>
      <c r="I18" s="1066">
        <v>83177</v>
      </c>
      <c r="J18" s="1066">
        <v>35880</v>
      </c>
      <c r="K18" s="1066">
        <v>1430</v>
      </c>
      <c r="L18" s="1066">
        <v>1011</v>
      </c>
      <c r="M18" s="1066">
        <v>1294</v>
      </c>
      <c r="N18" s="1066">
        <v>39615</v>
      </c>
      <c r="O18" s="1066">
        <v>351</v>
      </c>
      <c r="P18" s="1066">
        <v>6718</v>
      </c>
      <c r="Q18" s="1066">
        <v>150</v>
      </c>
      <c r="R18" s="1066">
        <v>130011</v>
      </c>
      <c r="S18" s="1066">
        <v>-30600</v>
      </c>
      <c r="T18" s="1066">
        <v>5783</v>
      </c>
      <c r="U18" s="1066">
        <v>24817</v>
      </c>
      <c r="V18" s="1066">
        <v>30600</v>
      </c>
      <c r="W18" s="1073" t="s">
        <v>189</v>
      </c>
      <c r="X18" s="1227"/>
      <c r="Y18" s="1227"/>
      <c r="Z18" s="1227"/>
    </row>
    <row r="19" spans="1:26" ht="15" customHeight="1" x14ac:dyDescent="0.2">
      <c r="A19" s="1064" t="s">
        <v>696</v>
      </c>
      <c r="B19" s="1265">
        <v>96285</v>
      </c>
      <c r="C19" s="1265">
        <v>18600</v>
      </c>
      <c r="D19" s="1265">
        <v>114885</v>
      </c>
      <c r="E19" s="1265">
        <v>4460</v>
      </c>
      <c r="F19" s="1265">
        <v>119345</v>
      </c>
      <c r="G19" s="1265">
        <v>91823</v>
      </c>
      <c r="H19" s="1265">
        <v>9162</v>
      </c>
      <c r="I19" s="1265">
        <v>100985</v>
      </c>
      <c r="J19" s="1265">
        <v>41080</v>
      </c>
      <c r="K19" s="1265">
        <v>2142</v>
      </c>
      <c r="L19" s="1265">
        <v>1144</v>
      </c>
      <c r="M19" s="1265">
        <v>1285</v>
      </c>
      <c r="N19" s="1265">
        <v>45651</v>
      </c>
      <c r="O19" s="1265">
        <v>384</v>
      </c>
      <c r="P19" s="1265">
        <v>14193</v>
      </c>
      <c r="Q19" s="1265">
        <v>0</v>
      </c>
      <c r="R19" s="1265">
        <v>161213</v>
      </c>
      <c r="S19" s="1265">
        <v>-41868</v>
      </c>
      <c r="T19" s="1265">
        <v>7399</v>
      </c>
      <c r="U19" s="1265">
        <v>34469</v>
      </c>
      <c r="V19" s="1265">
        <v>41868</v>
      </c>
      <c r="W19" s="1074" t="s">
        <v>696</v>
      </c>
      <c r="X19" s="1227"/>
      <c r="Y19" s="1227"/>
      <c r="Z19" s="1227"/>
    </row>
    <row r="20" spans="1:26" ht="15" customHeight="1" x14ac:dyDescent="0.2">
      <c r="A20" s="1063" t="s">
        <v>804</v>
      </c>
      <c r="B20" s="1066">
        <v>116824</v>
      </c>
      <c r="C20" s="1066">
        <v>22846</v>
      </c>
      <c r="D20" s="1066">
        <v>139670</v>
      </c>
      <c r="E20" s="1066">
        <v>5280</v>
      </c>
      <c r="F20" s="1066">
        <v>144950</v>
      </c>
      <c r="G20" s="1066">
        <v>102892</v>
      </c>
      <c r="H20" s="1066">
        <v>7735</v>
      </c>
      <c r="I20" s="1066">
        <v>110627</v>
      </c>
      <c r="J20" s="1066">
        <v>52366</v>
      </c>
      <c r="K20" s="1066">
        <v>3091</v>
      </c>
      <c r="L20" s="1066">
        <v>801</v>
      </c>
      <c r="M20" s="1066">
        <v>1493</v>
      </c>
      <c r="N20" s="1066">
        <v>57751</v>
      </c>
      <c r="O20" s="1066">
        <v>183</v>
      </c>
      <c r="P20" s="1066">
        <v>20765</v>
      </c>
      <c r="Q20" s="1066">
        <v>0</v>
      </c>
      <c r="R20" s="1066">
        <v>189326</v>
      </c>
      <c r="S20" s="1066">
        <v>-44376</v>
      </c>
      <c r="T20" s="1066">
        <v>11903</v>
      </c>
      <c r="U20" s="1066">
        <v>32473</v>
      </c>
      <c r="V20" s="1066">
        <v>44376</v>
      </c>
      <c r="W20" s="1073" t="s">
        <v>804</v>
      </c>
      <c r="X20" s="1227"/>
      <c r="Y20" s="1227"/>
      <c r="Z20" s="1227"/>
    </row>
    <row r="21" spans="1:26" s="172" customFormat="1" ht="15" customHeight="1" x14ac:dyDescent="0.2">
      <c r="A21" s="1064" t="s">
        <v>978</v>
      </c>
      <c r="B21" s="1265">
        <v>130178</v>
      </c>
      <c r="C21" s="1265">
        <v>26493</v>
      </c>
      <c r="D21" s="1265">
        <v>156671</v>
      </c>
      <c r="E21" s="1265">
        <v>5956</v>
      </c>
      <c r="F21" s="1265">
        <v>162627</v>
      </c>
      <c r="G21" s="1265">
        <v>115998</v>
      </c>
      <c r="H21" s="1265">
        <v>18909</v>
      </c>
      <c r="I21" s="1265">
        <v>134907</v>
      </c>
      <c r="J21" s="1265">
        <v>60000</v>
      </c>
      <c r="K21" s="1265">
        <v>3058</v>
      </c>
      <c r="L21" s="1265">
        <v>893</v>
      </c>
      <c r="M21" s="1265">
        <v>1194</v>
      </c>
      <c r="N21" s="1265">
        <v>65145</v>
      </c>
      <c r="O21" s="1265">
        <v>188</v>
      </c>
      <c r="P21" s="1265">
        <v>15982</v>
      </c>
      <c r="Q21" s="1265">
        <v>0</v>
      </c>
      <c r="R21" s="1265">
        <v>216222</v>
      </c>
      <c r="S21" s="1265">
        <v>-53595</v>
      </c>
      <c r="T21" s="1265">
        <v>12613</v>
      </c>
      <c r="U21" s="1265">
        <v>40982</v>
      </c>
      <c r="V21" s="1265">
        <v>53595</v>
      </c>
      <c r="W21" s="1074" t="s">
        <v>978</v>
      </c>
    </row>
    <row r="22" spans="1:26" ht="15" customHeight="1" x14ac:dyDescent="0.2">
      <c r="A22" s="1063" t="s">
        <v>1029</v>
      </c>
      <c r="B22" s="1066">
        <v>140676</v>
      </c>
      <c r="C22" s="1066">
        <v>22695</v>
      </c>
      <c r="D22" s="1066">
        <v>163371</v>
      </c>
      <c r="E22" s="1066">
        <v>5674</v>
      </c>
      <c r="F22" s="1066">
        <v>169045</v>
      </c>
      <c r="G22" s="1066">
        <v>127371</v>
      </c>
      <c r="H22" s="1066">
        <v>22028</v>
      </c>
      <c r="I22" s="1066">
        <v>149399</v>
      </c>
      <c r="J22" s="1066">
        <v>75000</v>
      </c>
      <c r="K22" s="1066">
        <v>3317</v>
      </c>
      <c r="L22" s="1066">
        <v>786</v>
      </c>
      <c r="M22" s="1066">
        <v>1373</v>
      </c>
      <c r="N22" s="1066">
        <v>80476</v>
      </c>
      <c r="O22" s="1066">
        <v>157</v>
      </c>
      <c r="P22" s="1066">
        <v>9636</v>
      </c>
      <c r="Q22" s="1066">
        <v>0</v>
      </c>
      <c r="R22" s="1066">
        <v>239668</v>
      </c>
      <c r="S22" s="1066">
        <v>-70623</v>
      </c>
      <c r="T22" s="1066">
        <v>15909</v>
      </c>
      <c r="U22" s="1066">
        <v>54714</v>
      </c>
      <c r="V22" s="1066">
        <v>70623</v>
      </c>
      <c r="W22" s="1073" t="s">
        <v>1029</v>
      </c>
      <c r="X22" s="1227"/>
      <c r="Y22" s="1227"/>
      <c r="Z22" s="1227"/>
    </row>
    <row r="23" spans="1:26" ht="15" customHeight="1" x14ac:dyDescent="0.2">
      <c r="A23" s="1064" t="s">
        <v>1150</v>
      </c>
      <c r="B23" s="1265">
        <v>155400</v>
      </c>
      <c r="C23" s="1265">
        <v>22000</v>
      </c>
      <c r="D23" s="1265">
        <v>177400</v>
      </c>
      <c r="E23" s="1265">
        <v>5027</v>
      </c>
      <c r="F23" s="1265">
        <v>182427</v>
      </c>
      <c r="G23" s="1265">
        <v>150379</v>
      </c>
      <c r="H23" s="1265">
        <v>13372</v>
      </c>
      <c r="I23" s="1265">
        <v>163751</v>
      </c>
      <c r="J23" s="1265">
        <v>91000</v>
      </c>
      <c r="K23" s="1265">
        <v>2687</v>
      </c>
      <c r="L23" s="1265">
        <v>585</v>
      </c>
      <c r="M23" s="1265">
        <v>1636</v>
      </c>
      <c r="N23" s="1265">
        <v>95908</v>
      </c>
      <c r="O23" s="1265">
        <v>201</v>
      </c>
      <c r="P23" s="1265">
        <v>4705</v>
      </c>
      <c r="Q23" s="1265">
        <v>0</v>
      </c>
      <c r="R23" s="1265">
        <v>264565</v>
      </c>
      <c r="S23" s="1265">
        <v>-82138</v>
      </c>
      <c r="T23" s="1265">
        <v>19963</v>
      </c>
      <c r="U23" s="1265">
        <v>62175</v>
      </c>
      <c r="V23" s="1265">
        <v>82138</v>
      </c>
      <c r="W23" s="1074" t="s">
        <v>1150</v>
      </c>
      <c r="X23" s="1227"/>
      <c r="Y23" s="1227"/>
      <c r="Z23" s="1227"/>
    </row>
    <row r="24" spans="1:26" ht="15" customHeight="1" x14ac:dyDescent="0.2">
      <c r="A24" s="1063" t="s">
        <v>1174</v>
      </c>
      <c r="B24" s="1066">
        <v>192261</v>
      </c>
      <c r="C24" s="1066">
        <v>26239</v>
      </c>
      <c r="D24" s="1066">
        <v>218500</v>
      </c>
      <c r="E24" s="1066">
        <v>4694</v>
      </c>
      <c r="F24" s="1066">
        <v>223194</v>
      </c>
      <c r="G24" s="1066">
        <v>178154</v>
      </c>
      <c r="H24" s="1066">
        <v>14778</v>
      </c>
      <c r="I24" s="1066">
        <v>192932</v>
      </c>
      <c r="J24" s="1066">
        <v>110700</v>
      </c>
      <c r="K24" s="1066">
        <v>2987</v>
      </c>
      <c r="L24" s="1066">
        <v>370</v>
      </c>
      <c r="M24" s="1066">
        <v>1933</v>
      </c>
      <c r="N24" s="1066">
        <v>115990</v>
      </c>
      <c r="O24" s="1066">
        <v>561</v>
      </c>
      <c r="P24" s="1066">
        <v>7691</v>
      </c>
      <c r="Q24" s="1066">
        <v>0</v>
      </c>
      <c r="R24" s="1066">
        <v>317174</v>
      </c>
      <c r="S24" s="1066">
        <v>-93980</v>
      </c>
      <c r="T24" s="1066">
        <v>24077</v>
      </c>
      <c r="U24" s="1066">
        <v>69903</v>
      </c>
      <c r="V24" s="1066">
        <v>93980</v>
      </c>
      <c r="W24" s="1073" t="s">
        <v>1174</v>
      </c>
      <c r="X24" s="1227"/>
      <c r="Y24" s="1227"/>
      <c r="Z24" s="1227"/>
    </row>
    <row r="25" spans="1:26" ht="15" customHeight="1" x14ac:dyDescent="0.2">
      <c r="A25" s="1064" t="s">
        <v>1296</v>
      </c>
      <c r="B25" s="1265">
        <v>232202</v>
      </c>
      <c r="C25" s="1265">
        <v>27252</v>
      </c>
      <c r="D25" s="1265">
        <v>259454</v>
      </c>
      <c r="E25" s="1265">
        <v>4457</v>
      </c>
      <c r="F25" s="1265">
        <v>263911</v>
      </c>
      <c r="G25" s="1265">
        <v>193828</v>
      </c>
      <c r="H25" s="1265">
        <v>16750</v>
      </c>
      <c r="I25" s="1265">
        <v>210578</v>
      </c>
      <c r="J25" s="1265">
        <v>148381</v>
      </c>
      <c r="K25" s="1265">
        <v>3140</v>
      </c>
      <c r="L25" s="1265">
        <v>261</v>
      </c>
      <c r="M25" s="1265">
        <v>1906</v>
      </c>
      <c r="N25" s="1265">
        <v>153688</v>
      </c>
      <c r="O25" s="1265">
        <v>3894</v>
      </c>
      <c r="P25" s="1265">
        <v>3335</v>
      </c>
      <c r="Q25" s="1265">
        <v>0</v>
      </c>
      <c r="R25" s="1265">
        <v>371495</v>
      </c>
      <c r="S25" s="1265">
        <v>-107584</v>
      </c>
      <c r="T25" s="1265">
        <v>41567</v>
      </c>
      <c r="U25" s="1265">
        <v>66017</v>
      </c>
      <c r="V25" s="1265">
        <v>107584</v>
      </c>
      <c r="W25" s="1074" t="s">
        <v>1296</v>
      </c>
      <c r="X25" s="1227"/>
      <c r="Y25" s="1227"/>
      <c r="Z25" s="1227"/>
    </row>
    <row r="26" spans="1:26" ht="15" customHeight="1" x14ac:dyDescent="0.2">
      <c r="A26" s="1063" t="s">
        <v>1404</v>
      </c>
      <c r="B26" s="1066">
        <v>289600</v>
      </c>
      <c r="C26" s="1066">
        <v>27012</v>
      </c>
      <c r="D26" s="1066">
        <v>316612</v>
      </c>
      <c r="E26" s="1066">
        <v>3787</v>
      </c>
      <c r="F26" s="1066">
        <v>320399</v>
      </c>
      <c r="G26" s="1066">
        <v>247747</v>
      </c>
      <c r="H26" s="1066">
        <v>18981</v>
      </c>
      <c r="I26" s="1066">
        <v>266728</v>
      </c>
      <c r="J26" s="1066">
        <v>167000</v>
      </c>
      <c r="K26" s="1066">
        <v>4143</v>
      </c>
      <c r="L26" s="1066">
        <v>299</v>
      </c>
      <c r="M26" s="1066">
        <v>2007</v>
      </c>
      <c r="N26" s="1066">
        <v>173449</v>
      </c>
      <c r="O26" s="1066">
        <v>282</v>
      </c>
      <c r="P26" s="1066">
        <v>2082</v>
      </c>
      <c r="Q26" s="1066">
        <v>0</v>
      </c>
      <c r="R26" s="1066">
        <v>442541</v>
      </c>
      <c r="S26" s="1066">
        <v>-122142</v>
      </c>
      <c r="T26" s="1066">
        <v>43397</v>
      </c>
      <c r="U26" s="1066">
        <v>78745</v>
      </c>
      <c r="V26" s="1066">
        <v>122142</v>
      </c>
      <c r="W26" s="1073" t="s">
        <v>1404</v>
      </c>
      <c r="X26" s="1227"/>
      <c r="Y26" s="1227"/>
      <c r="Z26" s="1227"/>
    </row>
    <row r="27" spans="1:26" ht="15" customHeight="1" x14ac:dyDescent="0.2">
      <c r="A27" s="1064" t="s">
        <v>1484</v>
      </c>
      <c r="B27" s="1265">
        <v>313068</v>
      </c>
      <c r="C27" s="1265">
        <v>35001</v>
      </c>
      <c r="D27" s="1265">
        <v>348069</v>
      </c>
      <c r="E27" s="1265">
        <v>3454</v>
      </c>
      <c r="F27" s="1265">
        <v>351523</v>
      </c>
      <c r="G27" s="1265">
        <v>274907</v>
      </c>
      <c r="H27" s="1265">
        <v>20373</v>
      </c>
      <c r="I27" s="1265">
        <v>295280</v>
      </c>
      <c r="J27" s="1265">
        <v>192921</v>
      </c>
      <c r="K27" s="1265">
        <v>4846</v>
      </c>
      <c r="L27" s="1265">
        <v>1833</v>
      </c>
      <c r="M27" s="1265">
        <v>2749</v>
      </c>
      <c r="N27" s="1265">
        <v>202349</v>
      </c>
      <c r="O27" s="1265">
        <v>654</v>
      </c>
      <c r="P27" s="1265">
        <v>3294</v>
      </c>
      <c r="Q27" s="1265">
        <v>0</v>
      </c>
      <c r="R27" s="1265">
        <v>501577</v>
      </c>
      <c r="S27" s="1265">
        <v>-150054</v>
      </c>
      <c r="T27" s="1265">
        <v>52709</v>
      </c>
      <c r="U27" s="1265">
        <v>97345</v>
      </c>
      <c r="V27" s="1265">
        <v>150054</v>
      </c>
      <c r="W27" s="1074" t="s">
        <v>1484</v>
      </c>
      <c r="X27" s="1227"/>
      <c r="Y27" s="1227"/>
      <c r="Z27" s="1227"/>
    </row>
    <row r="28" spans="1:26" ht="15" customHeight="1" x14ac:dyDescent="0.2">
      <c r="A28" s="1063" t="s">
        <v>1536</v>
      </c>
      <c r="B28" s="1066">
        <v>316000</v>
      </c>
      <c r="C28" s="1066">
        <v>35532</v>
      </c>
      <c r="D28" s="1066">
        <v>351532</v>
      </c>
      <c r="E28" s="1066">
        <v>3985</v>
      </c>
      <c r="F28" s="1066">
        <v>355517</v>
      </c>
      <c r="G28" s="1066">
        <v>302547</v>
      </c>
      <c r="H28" s="1066">
        <v>21141</v>
      </c>
      <c r="I28" s="1066">
        <v>323688</v>
      </c>
      <c r="J28" s="1066">
        <v>197643</v>
      </c>
      <c r="K28" s="1066">
        <v>4610</v>
      </c>
      <c r="L28" s="1066">
        <v>3239</v>
      </c>
      <c r="M28" s="1066">
        <v>2532</v>
      </c>
      <c r="N28" s="1066">
        <v>208024</v>
      </c>
      <c r="O28" s="1066">
        <v>2553</v>
      </c>
      <c r="P28" s="1066">
        <v>4718</v>
      </c>
      <c r="Q28" s="1066">
        <v>0</v>
      </c>
      <c r="R28" s="1066">
        <v>538983</v>
      </c>
      <c r="S28" s="1066">
        <v>-183466</v>
      </c>
      <c r="T28" s="1066">
        <v>68414</v>
      </c>
      <c r="U28" s="1066">
        <v>115052</v>
      </c>
      <c r="V28" s="1066">
        <v>183466</v>
      </c>
      <c r="W28" s="1073" t="s">
        <v>1536</v>
      </c>
      <c r="X28" s="1227"/>
      <c r="Y28" s="1227"/>
      <c r="Z28" s="1227"/>
    </row>
    <row r="29" spans="1:26" ht="15" customHeight="1" x14ac:dyDescent="0.2">
      <c r="A29" s="1064" t="s">
        <v>1817</v>
      </c>
      <c r="B29" s="1265">
        <v>346000</v>
      </c>
      <c r="C29" s="1265">
        <v>43000</v>
      </c>
      <c r="D29" s="1265">
        <v>389000</v>
      </c>
      <c r="E29" s="1265">
        <v>3192</v>
      </c>
      <c r="F29" s="1265">
        <v>392192</v>
      </c>
      <c r="G29" s="1265">
        <v>340572</v>
      </c>
      <c r="H29" s="1265">
        <v>26055</v>
      </c>
      <c r="I29" s="1265">
        <v>366627</v>
      </c>
      <c r="J29" s="1265">
        <v>209977</v>
      </c>
      <c r="K29" s="1265">
        <v>6336</v>
      </c>
      <c r="L29" s="1265">
        <v>3040</v>
      </c>
      <c r="M29" s="1265">
        <v>2595</v>
      </c>
      <c r="N29" s="1265">
        <v>221948</v>
      </c>
      <c r="O29" s="1265">
        <v>136</v>
      </c>
      <c r="P29" s="1265">
        <v>4789</v>
      </c>
      <c r="Q29" s="1265">
        <v>0</v>
      </c>
      <c r="R29" s="1265">
        <v>593500</v>
      </c>
      <c r="S29" s="1265">
        <v>-201308</v>
      </c>
      <c r="T29" s="1265">
        <v>77020</v>
      </c>
      <c r="U29" s="1265">
        <v>124288</v>
      </c>
      <c r="V29" s="1265">
        <v>201308</v>
      </c>
      <c r="W29" s="1074" t="s">
        <v>1817</v>
      </c>
      <c r="X29" s="1227"/>
      <c r="Y29" s="1227"/>
      <c r="Z29" s="1227"/>
    </row>
    <row r="30" spans="1:26" ht="15" customHeight="1" x14ac:dyDescent="0.2">
      <c r="A30" s="1063" t="s">
        <v>2066</v>
      </c>
      <c r="B30" s="1066">
        <v>388000</v>
      </c>
      <c r="C30" s="1066">
        <v>45000</v>
      </c>
      <c r="D30" s="1066">
        <v>433000</v>
      </c>
      <c r="E30" s="1066">
        <v>3263</v>
      </c>
      <c r="F30" s="1066">
        <v>436263</v>
      </c>
      <c r="G30" s="1066">
        <v>390085</v>
      </c>
      <c r="H30" s="1066">
        <v>24198</v>
      </c>
      <c r="I30" s="1066">
        <v>414283</v>
      </c>
      <c r="J30" s="1066">
        <v>227566</v>
      </c>
      <c r="K30" s="1066">
        <v>7436</v>
      </c>
      <c r="L30" s="1066">
        <v>3732</v>
      </c>
      <c r="M30" s="1066">
        <v>2873</v>
      </c>
      <c r="N30" s="1066">
        <v>241607</v>
      </c>
      <c r="O30" s="1066">
        <v>1097</v>
      </c>
      <c r="P30" s="1066">
        <v>3520</v>
      </c>
      <c r="Q30" s="1066">
        <v>0</v>
      </c>
      <c r="R30" s="1066">
        <v>660507</v>
      </c>
      <c r="S30" s="1066">
        <v>-224244</v>
      </c>
      <c r="T30" s="1066">
        <v>83819</v>
      </c>
      <c r="U30" s="1066">
        <v>140425</v>
      </c>
      <c r="V30" s="1066">
        <v>224244</v>
      </c>
      <c r="W30" s="1073" t="s">
        <v>2066</v>
      </c>
      <c r="X30" s="1227"/>
      <c r="Y30" s="1227"/>
      <c r="Z30" s="1227"/>
    </row>
    <row r="31" spans="1:26" s="1227" customFormat="1" ht="15" customHeight="1" x14ac:dyDescent="0.2">
      <c r="A31" s="1064" t="s">
        <v>2206</v>
      </c>
      <c r="B31" s="1265">
        <v>429000</v>
      </c>
      <c r="C31" s="1265">
        <v>49000</v>
      </c>
      <c r="D31" s="1265">
        <v>478000</v>
      </c>
      <c r="E31" s="1265">
        <v>3500</v>
      </c>
      <c r="F31" s="1265">
        <v>481500</v>
      </c>
      <c r="G31" s="1265">
        <v>434057</v>
      </c>
      <c r="H31" s="1265">
        <v>19170</v>
      </c>
      <c r="I31" s="1265">
        <v>453228</v>
      </c>
      <c r="J31" s="1265">
        <v>245000</v>
      </c>
      <c r="K31" s="1265">
        <v>7853</v>
      </c>
      <c r="L31" s="1265">
        <v>4378</v>
      </c>
      <c r="M31" s="1265">
        <v>2775</v>
      </c>
      <c r="N31" s="1265">
        <v>260007</v>
      </c>
      <c r="O31" s="1265">
        <v>-1234</v>
      </c>
      <c r="P31" s="1265">
        <v>2417</v>
      </c>
      <c r="Q31" s="1265">
        <v>0</v>
      </c>
      <c r="R31" s="1265">
        <v>714418</v>
      </c>
      <c r="S31" s="1265">
        <v>-232918</v>
      </c>
      <c r="T31" s="1265">
        <v>76293</v>
      </c>
      <c r="U31" s="1265">
        <v>156625</v>
      </c>
      <c r="V31" s="1265">
        <v>232918</v>
      </c>
      <c r="W31" s="1074" t="s">
        <v>2206</v>
      </c>
    </row>
    <row r="32" spans="1:26" s="1227" customFormat="1" ht="15" customHeight="1" x14ac:dyDescent="0.2">
      <c r="A32" s="1063" t="s">
        <v>2479</v>
      </c>
      <c r="B32" s="1066">
        <v>478000</v>
      </c>
      <c r="C32" s="1066">
        <v>40000</v>
      </c>
      <c r="D32" s="1066">
        <f>B32+C32</f>
        <v>518000</v>
      </c>
      <c r="E32" s="1066">
        <v>4400</v>
      </c>
      <c r="F32" s="1066">
        <f>D32+E32</f>
        <v>522400</v>
      </c>
      <c r="G32" s="1066">
        <v>482876</v>
      </c>
      <c r="H32" s="1066">
        <v>23126</v>
      </c>
      <c r="I32" s="1066">
        <f>G32+H32</f>
        <v>506002</v>
      </c>
      <c r="J32" s="1066">
        <v>216000</v>
      </c>
      <c r="K32" s="1066">
        <v>8371</v>
      </c>
      <c r="L32" s="1066">
        <v>4653</v>
      </c>
      <c r="M32" s="1066">
        <v>2575</v>
      </c>
      <c r="N32" s="1066">
        <f>J32+K32+L32+M32</f>
        <v>231599</v>
      </c>
      <c r="O32" s="1066">
        <v>1008</v>
      </c>
      <c r="P32" s="1066">
        <v>5391</v>
      </c>
      <c r="Q32" s="1066">
        <v>0</v>
      </c>
      <c r="R32" s="1066">
        <f>I32+N32+O32+P32+Q32</f>
        <v>744000</v>
      </c>
      <c r="S32" s="1066">
        <f>F32-R32</f>
        <v>-221600</v>
      </c>
      <c r="T32" s="1066">
        <v>104600</v>
      </c>
      <c r="U32" s="1066">
        <v>117000</v>
      </c>
      <c r="V32" s="1066">
        <f>T32+U32</f>
        <v>221600</v>
      </c>
      <c r="W32" s="1449" t="s">
        <v>2479</v>
      </c>
    </row>
    <row r="33" spans="1:26" s="1439" customFormat="1" ht="15" customHeight="1" thickBot="1" x14ac:dyDescent="0.25">
      <c r="A33" s="1446" t="s">
        <v>2745</v>
      </c>
      <c r="B33" s="1447">
        <v>518000</v>
      </c>
      <c r="C33" s="1447">
        <v>46000</v>
      </c>
      <c r="D33" s="1447">
        <f>B33+C33</f>
        <v>564000</v>
      </c>
      <c r="E33" s="1447">
        <v>5000</v>
      </c>
      <c r="F33" s="1447">
        <f>D33+E33</f>
        <v>569000</v>
      </c>
      <c r="G33" s="1447">
        <v>498784</v>
      </c>
      <c r="H33" s="1447">
        <v>36533</v>
      </c>
      <c r="I33" s="1447">
        <f>G33+H33</f>
        <v>535317</v>
      </c>
      <c r="J33" s="1447">
        <v>230000</v>
      </c>
      <c r="K33" s="1447">
        <v>7751</v>
      </c>
      <c r="L33" s="1447">
        <v>5303</v>
      </c>
      <c r="M33" s="1447">
        <v>2555</v>
      </c>
      <c r="N33" s="1447">
        <f>J33+K33+L33+M33</f>
        <v>245609</v>
      </c>
      <c r="O33" s="1447">
        <v>683</v>
      </c>
      <c r="P33" s="1447">
        <v>8391</v>
      </c>
      <c r="Q33" s="1447">
        <v>0</v>
      </c>
      <c r="R33" s="1447">
        <f>I33+N33+O33+P33+Q33</f>
        <v>790000</v>
      </c>
      <c r="S33" s="1447">
        <f>F33-R33</f>
        <v>-221000</v>
      </c>
      <c r="T33" s="1447">
        <v>96000</v>
      </c>
      <c r="U33" s="1447">
        <v>125000</v>
      </c>
      <c r="V33" s="1447">
        <f>T33+U33</f>
        <v>221000</v>
      </c>
      <c r="W33" s="1448" t="s">
        <v>2745</v>
      </c>
    </row>
    <row r="34" spans="1:26" s="1227" customFormat="1" ht="15" x14ac:dyDescent="0.25">
      <c r="A34" s="1057" t="s">
        <v>1331</v>
      </c>
      <c r="B34" s="1058" t="s">
        <v>2103</v>
      </c>
      <c r="C34" s="1051"/>
      <c r="D34" s="1051"/>
      <c r="E34" s="1051"/>
      <c r="F34" s="1051"/>
      <c r="G34" s="1059" t="s">
        <v>2104</v>
      </c>
      <c r="H34" s="1060"/>
      <c r="I34" s="1051"/>
      <c r="J34" s="839"/>
      <c r="K34" s="839"/>
      <c r="L34" s="1061"/>
      <c r="M34" s="1061"/>
      <c r="N34" s="1061"/>
      <c r="O34" s="1061"/>
      <c r="P34" s="1061"/>
      <c r="Q34" s="1061"/>
      <c r="R34" s="1061"/>
      <c r="S34" s="1061"/>
      <c r="T34" s="1061"/>
      <c r="U34" s="1061"/>
      <c r="V34" s="1062"/>
      <c r="W34" s="1061"/>
    </row>
    <row r="35" spans="1:26" x14ac:dyDescent="0.2">
      <c r="A35" s="1227"/>
      <c r="B35" s="1227"/>
      <c r="C35" s="1227"/>
      <c r="D35" s="1227"/>
      <c r="E35" s="1227"/>
      <c r="F35" s="1227"/>
      <c r="G35" s="1227"/>
      <c r="H35" s="1227"/>
      <c r="I35" s="1227"/>
      <c r="J35" s="1227"/>
      <c r="K35" s="1227"/>
      <c r="L35" s="1227"/>
      <c r="M35" s="1227"/>
      <c r="N35" s="970"/>
      <c r="O35" s="970"/>
      <c r="P35" s="1227"/>
      <c r="Q35" s="1227"/>
      <c r="R35" s="1227"/>
      <c r="S35" s="1227"/>
      <c r="T35" s="1227"/>
      <c r="U35" s="1227"/>
      <c r="V35" s="1227"/>
      <c r="W35" s="1227"/>
      <c r="X35" s="1227"/>
      <c r="Y35" s="1227"/>
      <c r="Z35" s="1227"/>
    </row>
    <row r="36" spans="1:26" x14ac:dyDescent="0.2">
      <c r="A36" s="1227"/>
      <c r="B36" s="1227"/>
      <c r="C36" s="1227"/>
      <c r="D36" s="1227"/>
      <c r="E36" s="1227"/>
      <c r="F36" s="1227"/>
      <c r="G36" s="1227"/>
      <c r="H36" s="1227"/>
      <c r="I36" s="1227"/>
      <c r="J36" s="1227"/>
      <c r="K36" s="1227"/>
      <c r="L36" s="970"/>
      <c r="M36" s="970"/>
      <c r="N36" s="1227"/>
      <c r="O36" s="1227"/>
      <c r="P36" s="1227"/>
      <c r="Q36" s="1227"/>
      <c r="R36" s="1227"/>
      <c r="S36" s="1227"/>
      <c r="T36" s="1227"/>
      <c r="U36" s="1227"/>
      <c r="V36" s="1227"/>
      <c r="W36" s="1227"/>
      <c r="X36" s="1227"/>
      <c r="Y36" s="1227"/>
      <c r="Z36" s="1227"/>
    </row>
    <row r="37" spans="1:26" x14ac:dyDescent="0.2">
      <c r="A37" s="1227"/>
      <c r="B37" s="1227"/>
      <c r="C37" s="1227"/>
      <c r="D37" s="1227"/>
      <c r="E37" s="1227"/>
      <c r="F37" s="1227"/>
      <c r="G37" s="1227"/>
      <c r="H37" s="1227"/>
      <c r="I37" s="1227"/>
      <c r="J37" s="1227"/>
      <c r="K37" s="1227"/>
      <c r="L37" s="1227"/>
      <c r="M37" s="1227"/>
      <c r="N37" s="1227"/>
      <c r="O37" s="1227"/>
      <c r="P37" s="1227"/>
      <c r="Q37" s="1227"/>
      <c r="R37" s="1227"/>
      <c r="S37" s="1227"/>
      <c r="T37" s="1227"/>
      <c r="U37" s="1227"/>
      <c r="V37" s="1227"/>
      <c r="W37" s="1227"/>
      <c r="X37" s="1227"/>
      <c r="Y37" s="1227"/>
      <c r="Z37" s="1227"/>
    </row>
  </sheetData>
  <customSheetViews>
    <customSheetView guid="{A374FC54-96E3-45F0-9C12-8450400C12DF}">
      <selection activeCell="Z13" sqref="Z13"/>
      <pageMargins left="0.7" right="0.7" top="0.75" bottom="0.75" header="0.3" footer="0.3"/>
      <pageSetup paperSize="132" firstPageNumber="112" orientation="portrait" useFirstPageNumber="1" r:id="rId1"/>
      <headerFooter differentFirst="1">
        <oddFooter>&amp;C&amp;"Times New Roman,Regular"&amp;8&amp;P</oddFooter>
        <evenFooter>&amp;C&amp;8&amp;P</evenFooter>
        <firstFooter>&amp;C&amp;8&amp;P</firstFooter>
      </headerFooter>
    </customSheetView>
  </customSheetViews>
  <mergeCells count="10">
    <mergeCell ref="A4:A6"/>
    <mergeCell ref="B4:F4"/>
    <mergeCell ref="G4:R4"/>
    <mergeCell ref="S4:S5"/>
    <mergeCell ref="T4:V4"/>
    <mergeCell ref="I1:L1"/>
    <mergeCell ref="M1:R1"/>
    <mergeCell ref="W4:W6"/>
    <mergeCell ref="M2:N2"/>
    <mergeCell ref="J2:L2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B1:K39"/>
  <sheetViews>
    <sheetView topLeftCell="A4" workbookViewId="0">
      <selection activeCell="N23" sqref="N23"/>
    </sheetView>
  </sheetViews>
  <sheetFormatPr defaultRowHeight="12.75" x14ac:dyDescent="0.2"/>
  <cols>
    <col min="1" max="1" width="5.140625" customWidth="1"/>
    <col min="2" max="2" width="11.85546875" customWidth="1"/>
    <col min="3" max="3" width="3.85546875" customWidth="1"/>
    <col min="4" max="4" width="15" customWidth="1"/>
    <col min="5" max="5" width="5.85546875" customWidth="1"/>
    <col min="6" max="6" width="10.42578125" customWidth="1"/>
    <col min="7" max="7" width="4" customWidth="1"/>
    <col min="8" max="8" width="19.5703125" customWidth="1"/>
  </cols>
  <sheetData>
    <row r="1" spans="2:8" ht="15.75" x14ac:dyDescent="0.25">
      <c r="B1" s="2970" t="s">
        <v>322</v>
      </c>
      <c r="C1" s="2970"/>
      <c r="D1" s="2970"/>
      <c r="E1" s="2970"/>
      <c r="F1" s="2970"/>
      <c r="G1" s="2970"/>
      <c r="H1" s="2970"/>
    </row>
    <row r="2" spans="2:8" s="4" customFormat="1" ht="12" x14ac:dyDescent="0.2">
      <c r="B2" s="2971" t="s">
        <v>1266</v>
      </c>
      <c r="C2" s="2971"/>
      <c r="D2" s="2971"/>
      <c r="E2" s="2971"/>
      <c r="F2" s="2971"/>
      <c r="G2" s="2971"/>
      <c r="H2" s="2971"/>
    </row>
    <row r="3" spans="2:8" x14ac:dyDescent="0.2">
      <c r="B3" s="167"/>
      <c r="C3" s="167"/>
      <c r="D3" s="167"/>
      <c r="E3" s="167"/>
      <c r="F3" s="167"/>
      <c r="G3" s="167"/>
      <c r="H3" s="167"/>
    </row>
    <row r="4" spans="2:8" x14ac:dyDescent="0.2">
      <c r="B4" s="893"/>
      <c r="C4" s="893"/>
      <c r="D4" s="893"/>
      <c r="E4" s="893"/>
      <c r="F4" s="893"/>
      <c r="G4" s="893"/>
      <c r="H4" s="893"/>
    </row>
    <row r="5" spans="2:8" ht="15" customHeight="1" x14ac:dyDescent="0.2">
      <c r="B5" s="168" t="s">
        <v>380</v>
      </c>
      <c r="C5" s="169" t="s">
        <v>381</v>
      </c>
      <c r="D5" s="893" t="s">
        <v>382</v>
      </c>
      <c r="E5" s="893"/>
      <c r="F5" s="893" t="s">
        <v>383</v>
      </c>
      <c r="G5" s="893" t="s">
        <v>381</v>
      </c>
      <c r="H5" s="893" t="s">
        <v>384</v>
      </c>
    </row>
    <row r="6" spans="2:8" ht="15" customHeight="1" x14ac:dyDescent="0.2">
      <c r="B6" s="893"/>
      <c r="C6" s="169" t="s">
        <v>381</v>
      </c>
      <c r="D6" s="169" t="s">
        <v>385</v>
      </c>
      <c r="E6" s="169"/>
      <c r="F6" s="169"/>
      <c r="G6" s="169" t="s">
        <v>381</v>
      </c>
      <c r="H6" s="169" t="s">
        <v>386</v>
      </c>
    </row>
    <row r="7" spans="2:8" ht="15" customHeight="1" x14ac:dyDescent="0.2">
      <c r="B7" s="893"/>
      <c r="C7" s="893"/>
      <c r="D7" s="169"/>
      <c r="E7" s="169"/>
      <c r="F7" s="169"/>
      <c r="G7" s="169"/>
      <c r="H7" s="169"/>
    </row>
    <row r="8" spans="2:8" ht="15" customHeight="1" x14ac:dyDescent="0.2">
      <c r="B8" s="169" t="s">
        <v>387</v>
      </c>
      <c r="C8" s="169" t="s">
        <v>381</v>
      </c>
      <c r="D8" s="169" t="s">
        <v>388</v>
      </c>
      <c r="E8" s="169"/>
      <c r="F8" s="169" t="s">
        <v>389</v>
      </c>
      <c r="G8" s="169" t="s">
        <v>381</v>
      </c>
      <c r="H8" s="169" t="s">
        <v>390</v>
      </c>
    </row>
    <row r="9" spans="2:8" ht="15" customHeight="1" x14ac:dyDescent="0.2">
      <c r="B9" s="893"/>
      <c r="C9" s="169"/>
      <c r="D9" s="169"/>
      <c r="E9" s="169"/>
      <c r="F9" s="169"/>
      <c r="G9" s="169" t="s">
        <v>381</v>
      </c>
      <c r="H9" s="169" t="s">
        <v>392</v>
      </c>
    </row>
    <row r="10" spans="2:8" ht="15" customHeight="1" x14ac:dyDescent="0.2">
      <c r="B10" s="893"/>
      <c r="C10" s="169"/>
      <c r="D10" s="169"/>
      <c r="E10" s="169"/>
      <c r="F10" s="169"/>
      <c r="G10" s="169"/>
      <c r="H10" s="169"/>
    </row>
    <row r="11" spans="2:8" ht="15" customHeight="1" x14ac:dyDescent="0.2">
      <c r="B11" s="169" t="s">
        <v>393</v>
      </c>
      <c r="C11" s="169" t="s">
        <v>381</v>
      </c>
      <c r="D11" s="169" t="s">
        <v>394</v>
      </c>
      <c r="E11" s="169"/>
      <c r="F11" s="169" t="s">
        <v>395</v>
      </c>
      <c r="G11" s="169" t="s">
        <v>381</v>
      </c>
      <c r="H11" s="169" t="s">
        <v>396</v>
      </c>
    </row>
    <row r="12" spans="2:8" ht="15" customHeight="1" x14ac:dyDescent="0.2">
      <c r="B12" s="169" t="s">
        <v>397</v>
      </c>
      <c r="C12" s="169" t="s">
        <v>381</v>
      </c>
      <c r="D12" s="169" t="s">
        <v>398</v>
      </c>
      <c r="E12" s="169"/>
      <c r="F12" s="169"/>
      <c r="G12" s="169" t="s">
        <v>381</v>
      </c>
      <c r="H12" s="169" t="s">
        <v>399</v>
      </c>
    </row>
    <row r="13" spans="2:8" ht="15" customHeight="1" x14ac:dyDescent="0.2">
      <c r="B13" s="169"/>
      <c r="C13" s="169"/>
      <c r="D13" s="169"/>
      <c r="E13" s="169"/>
      <c r="F13" s="169"/>
      <c r="G13" s="169"/>
      <c r="H13" s="169"/>
    </row>
    <row r="14" spans="2:8" ht="15" customHeight="1" x14ac:dyDescent="0.2">
      <c r="B14" s="169"/>
      <c r="C14" s="169"/>
      <c r="D14" s="169"/>
      <c r="E14" s="169"/>
      <c r="F14" s="169" t="s">
        <v>400</v>
      </c>
      <c r="G14" s="169" t="s">
        <v>381</v>
      </c>
      <c r="H14" s="169" t="s">
        <v>401</v>
      </c>
    </row>
    <row r="15" spans="2:8" ht="15" customHeight="1" x14ac:dyDescent="0.2">
      <c r="B15" s="169" t="s">
        <v>402</v>
      </c>
      <c r="C15" s="169" t="s">
        <v>381</v>
      </c>
      <c r="D15" s="169" t="s">
        <v>403</v>
      </c>
      <c r="E15" s="169"/>
      <c r="F15" s="169"/>
      <c r="G15" s="169" t="s">
        <v>381</v>
      </c>
      <c r="H15" s="169" t="s">
        <v>404</v>
      </c>
    </row>
    <row r="16" spans="2:8" ht="15" customHeight="1" x14ac:dyDescent="0.2">
      <c r="B16" s="169"/>
      <c r="C16" s="169" t="s">
        <v>381</v>
      </c>
      <c r="D16" s="169" t="s">
        <v>405</v>
      </c>
      <c r="E16" s="169"/>
      <c r="F16" s="169"/>
      <c r="G16" s="169"/>
      <c r="H16" s="169"/>
    </row>
    <row r="17" spans="2:11" ht="15" customHeight="1" x14ac:dyDescent="0.2">
      <c r="B17" s="169"/>
      <c r="C17" s="169"/>
      <c r="E17" s="169"/>
      <c r="F17" s="169" t="s">
        <v>406</v>
      </c>
      <c r="G17" s="169" t="s">
        <v>381</v>
      </c>
      <c r="H17" s="169" t="s">
        <v>407</v>
      </c>
    </row>
    <row r="18" spans="2:11" ht="15" customHeight="1" x14ac:dyDescent="0.2">
      <c r="B18" s="170" t="s">
        <v>408</v>
      </c>
      <c r="C18" s="169" t="s">
        <v>381</v>
      </c>
      <c r="D18" s="169" t="s">
        <v>411</v>
      </c>
      <c r="E18" s="169"/>
      <c r="F18" s="169" t="s">
        <v>409</v>
      </c>
      <c r="G18" s="169" t="s">
        <v>381</v>
      </c>
      <c r="H18" s="169" t="s">
        <v>410</v>
      </c>
    </row>
    <row r="19" spans="2:11" ht="15" customHeight="1" x14ac:dyDescent="0.2">
      <c r="B19" s="2"/>
      <c r="C19" s="169" t="s">
        <v>381</v>
      </c>
      <c r="D19" s="170" t="s">
        <v>1162</v>
      </c>
      <c r="E19" s="169"/>
      <c r="F19" s="169" t="s">
        <v>467</v>
      </c>
      <c r="G19" s="169" t="s">
        <v>381</v>
      </c>
      <c r="H19" s="169" t="s">
        <v>412</v>
      </c>
    </row>
    <row r="20" spans="2:11" ht="15" customHeight="1" x14ac:dyDescent="0.2">
      <c r="B20" s="169" t="s">
        <v>413</v>
      </c>
      <c r="C20" s="169" t="s">
        <v>381</v>
      </c>
      <c r="D20" s="169" t="s">
        <v>414</v>
      </c>
      <c r="E20" s="169"/>
      <c r="F20" s="169" t="s">
        <v>415</v>
      </c>
      <c r="G20" s="169" t="s">
        <v>381</v>
      </c>
      <c r="H20" s="169" t="s">
        <v>416</v>
      </c>
    </row>
    <row r="21" spans="2:11" ht="15" customHeight="1" x14ac:dyDescent="0.2">
      <c r="B21" s="169"/>
      <c r="C21" s="169" t="s">
        <v>381</v>
      </c>
      <c r="D21" s="169" t="s">
        <v>417</v>
      </c>
      <c r="E21" s="169"/>
      <c r="F21" s="169" t="s">
        <v>418</v>
      </c>
      <c r="G21" s="169" t="s">
        <v>381</v>
      </c>
      <c r="H21" s="169" t="s">
        <v>419</v>
      </c>
    </row>
    <row r="22" spans="2:11" ht="15" customHeight="1" x14ac:dyDescent="0.2">
      <c r="B22" s="169"/>
      <c r="C22" s="169" t="s">
        <v>381</v>
      </c>
      <c r="D22" s="169" t="s">
        <v>420</v>
      </c>
      <c r="E22" s="169"/>
      <c r="F22" s="169"/>
      <c r="G22" s="169" t="s">
        <v>381</v>
      </c>
      <c r="H22" s="169" t="s">
        <v>423</v>
      </c>
      <c r="K22" s="690"/>
    </row>
    <row r="23" spans="2:11" ht="15" customHeight="1" x14ac:dyDescent="0.2">
      <c r="B23" s="169"/>
      <c r="C23" s="169" t="s">
        <v>381</v>
      </c>
      <c r="D23" s="169" t="s">
        <v>424</v>
      </c>
      <c r="E23" s="169"/>
      <c r="F23" s="169"/>
      <c r="G23" s="169"/>
      <c r="H23" s="169"/>
    </row>
    <row r="24" spans="2:11" ht="15" customHeight="1" x14ac:dyDescent="0.2">
      <c r="B24" s="169"/>
      <c r="C24" s="169"/>
      <c r="D24" s="169"/>
      <c r="E24" s="169"/>
      <c r="F24" s="169" t="s">
        <v>465</v>
      </c>
      <c r="G24" s="169" t="s">
        <v>381</v>
      </c>
      <c r="H24" s="169" t="s">
        <v>427</v>
      </c>
    </row>
    <row r="25" spans="2:11" ht="15" customHeight="1" x14ac:dyDescent="0.2">
      <c r="B25" s="169" t="s">
        <v>428</v>
      </c>
      <c r="C25" s="169" t="s">
        <v>381</v>
      </c>
      <c r="D25" s="169" t="s">
        <v>429</v>
      </c>
      <c r="E25" s="169"/>
      <c r="F25" s="169"/>
      <c r="G25" s="169" t="s">
        <v>381</v>
      </c>
      <c r="H25" s="169" t="s">
        <v>430</v>
      </c>
    </row>
    <row r="26" spans="2:11" ht="15" customHeight="1" x14ac:dyDescent="0.2">
      <c r="B26" s="169"/>
      <c r="C26" s="169" t="s">
        <v>381</v>
      </c>
      <c r="D26" s="169" t="s">
        <v>431</v>
      </c>
      <c r="E26" s="169"/>
      <c r="F26" s="169"/>
      <c r="G26" s="169" t="s">
        <v>381</v>
      </c>
      <c r="H26" s="169" t="s">
        <v>432</v>
      </c>
    </row>
    <row r="27" spans="2:11" ht="15" customHeight="1" x14ac:dyDescent="0.2">
      <c r="B27" s="169"/>
      <c r="C27" s="171" t="s">
        <v>381</v>
      </c>
      <c r="D27" s="171" t="s">
        <v>433</v>
      </c>
      <c r="E27" s="169"/>
      <c r="F27" s="169"/>
      <c r="G27" s="169"/>
      <c r="H27" s="169"/>
    </row>
    <row r="28" spans="2:11" ht="15" customHeight="1" x14ac:dyDescent="0.2">
      <c r="B28" s="169"/>
      <c r="C28" s="169"/>
      <c r="D28" s="169"/>
      <c r="E28" s="169"/>
      <c r="F28" s="169" t="s">
        <v>434</v>
      </c>
      <c r="G28" s="169" t="s">
        <v>381</v>
      </c>
      <c r="H28" s="169" t="s">
        <v>435</v>
      </c>
    </row>
    <row r="29" spans="2:11" ht="15" customHeight="1" x14ac:dyDescent="0.2">
      <c r="B29" s="169" t="s">
        <v>436</v>
      </c>
      <c r="C29" s="169" t="s">
        <v>381</v>
      </c>
      <c r="D29" s="169" t="s">
        <v>437</v>
      </c>
      <c r="E29" s="169"/>
      <c r="F29" s="169" t="s">
        <v>438</v>
      </c>
      <c r="G29" s="169" t="s">
        <v>381</v>
      </c>
      <c r="H29" s="169" t="s">
        <v>439</v>
      </c>
    </row>
    <row r="30" spans="2:11" ht="15" customHeight="1" x14ac:dyDescent="0.2">
      <c r="B30" s="169"/>
      <c r="C30" s="169" t="s">
        <v>381</v>
      </c>
      <c r="D30" s="169" t="s">
        <v>440</v>
      </c>
      <c r="E30" s="169"/>
      <c r="F30" s="169"/>
      <c r="G30" s="169" t="s">
        <v>381</v>
      </c>
      <c r="H30" s="169" t="s">
        <v>441</v>
      </c>
    </row>
    <row r="31" spans="2:11" ht="15" customHeight="1" x14ac:dyDescent="0.2">
      <c r="B31" s="169"/>
      <c r="C31" s="169"/>
      <c r="D31" s="169"/>
      <c r="E31" s="169"/>
      <c r="F31" s="169"/>
      <c r="G31" s="169" t="s">
        <v>381</v>
      </c>
      <c r="H31" s="169" t="s">
        <v>466</v>
      </c>
    </row>
    <row r="32" spans="2:11" ht="15" customHeight="1" x14ac:dyDescent="0.2">
      <c r="B32" s="169" t="s">
        <v>442</v>
      </c>
      <c r="C32" s="169" t="s">
        <v>381</v>
      </c>
      <c r="D32" s="169" t="s">
        <v>443</v>
      </c>
      <c r="E32" s="169"/>
      <c r="F32" s="169"/>
      <c r="G32" s="169" t="s">
        <v>381</v>
      </c>
      <c r="H32" s="169" t="s">
        <v>321</v>
      </c>
    </row>
    <row r="33" spans="2:8" ht="15" customHeight="1" x14ac:dyDescent="0.2">
      <c r="B33" s="169"/>
      <c r="C33" s="169" t="s">
        <v>381</v>
      </c>
      <c r="D33" s="169" t="s">
        <v>444</v>
      </c>
      <c r="E33" s="169"/>
    </row>
    <row r="34" spans="2:8" ht="15" customHeight="1" x14ac:dyDescent="0.2">
      <c r="B34" s="169"/>
      <c r="C34" s="169" t="s">
        <v>381</v>
      </c>
      <c r="D34" s="169" t="s">
        <v>447</v>
      </c>
      <c r="E34" s="169"/>
      <c r="F34" s="169" t="s">
        <v>445</v>
      </c>
      <c r="G34" s="169" t="s">
        <v>381</v>
      </c>
      <c r="H34" s="169" t="s">
        <v>446</v>
      </c>
    </row>
    <row r="35" spans="2:8" ht="15" customHeight="1" x14ac:dyDescent="0.2">
      <c r="B35" s="169"/>
      <c r="C35" s="169"/>
      <c r="D35" s="169"/>
      <c r="E35" s="169"/>
      <c r="F35" s="169" t="s">
        <v>319</v>
      </c>
      <c r="G35" s="169" t="s">
        <v>381</v>
      </c>
      <c r="H35" s="169" t="s">
        <v>320</v>
      </c>
    </row>
    <row r="36" spans="2:8" ht="15" customHeight="1" x14ac:dyDescent="0.2">
      <c r="B36" s="169" t="s">
        <v>448</v>
      </c>
      <c r="C36" s="169" t="s">
        <v>381</v>
      </c>
      <c r="D36" s="169" t="s">
        <v>449</v>
      </c>
      <c r="E36" s="169"/>
      <c r="F36" s="169" t="s">
        <v>699</v>
      </c>
      <c r="G36" s="169" t="s">
        <v>381</v>
      </c>
      <c r="H36" s="169" t="s">
        <v>318</v>
      </c>
    </row>
    <row r="37" spans="2:8" ht="15" customHeight="1" thickBot="1" x14ac:dyDescent="0.25">
      <c r="B37" s="318"/>
      <c r="C37" s="318"/>
      <c r="D37" s="319"/>
      <c r="E37" s="319"/>
      <c r="F37" s="319"/>
      <c r="G37" s="319"/>
      <c r="H37" s="319"/>
    </row>
    <row r="38" spans="2:8" ht="15" customHeight="1" x14ac:dyDescent="0.2">
      <c r="B38" s="2972" t="s">
        <v>1267</v>
      </c>
      <c r="C38" s="2972"/>
      <c r="D38" s="2972"/>
      <c r="E38" s="2972"/>
      <c r="F38" s="2972"/>
      <c r="G38" s="2972"/>
      <c r="H38" s="2972"/>
    </row>
    <row r="39" spans="2:8" x14ac:dyDescent="0.2">
      <c r="B39" s="2"/>
      <c r="C39" s="2"/>
      <c r="D39" s="2"/>
      <c r="E39" s="2"/>
      <c r="F39" s="2"/>
      <c r="G39" s="2"/>
      <c r="H39" s="2"/>
    </row>
  </sheetData>
  <customSheetViews>
    <customSheetView guid="{A374FC54-96E3-45F0-9C12-8450400C12DF}" topLeftCell="A18">
      <selection activeCell="K40" sqref="K40"/>
      <pageMargins left="0.70866141732283505" right="0.70866141732283505" top="0.74803149606299202" bottom="0.74803149606299202" header="0.31496062992126" footer="0.31496062992126"/>
      <pageSetup paperSize="132" firstPageNumber="114" orientation="portrait" useFirstPageNumber="1" r:id="rId1"/>
      <headerFooter differentFirst="1">
        <oddFooter>&amp;C&amp;"Times New Roman,Regular"&amp;8&amp;P</oddFooter>
        <firstFooter>&amp;C&amp;"Times New Roman,Regular"&amp;8 114</firstFooter>
      </headerFooter>
    </customSheetView>
  </customSheetViews>
  <mergeCells count="3">
    <mergeCell ref="B1:H1"/>
    <mergeCell ref="B2:H2"/>
    <mergeCell ref="B38:H38"/>
  </mergeCells>
  <pageMargins left="0.62992125984252001" right="0.511811023622047" top="0.31496062992126" bottom="2.5590551E-2" header="0" footer="6.4960630000000005E-2"/>
  <pageSetup paperSize="448" orientation="portrait" r:id="rId2"/>
  <headerFooter differentFirst="1" alignWithMargins="0">
    <oddFooter>&amp;C&amp;"Times New Roman,Regular"&amp;8&amp;P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45</vt:i4>
      </vt:variant>
      <vt:variant>
        <vt:lpstr>Named Ranges</vt:lpstr>
      </vt:variant>
      <vt:variant>
        <vt:i4>8</vt:i4>
      </vt:variant>
    </vt:vector>
  </HeadingPairs>
  <TitlesOfParts>
    <vt:vector size="53" baseType="lpstr">
      <vt:lpstr>Cover Page</vt:lpstr>
      <vt:lpstr>Contents</vt:lpstr>
      <vt:lpstr>Table IA</vt:lpstr>
      <vt:lpstr>Table IB</vt:lpstr>
      <vt:lpstr>TableIIA</vt:lpstr>
      <vt:lpstr>TableIIB</vt:lpstr>
      <vt:lpstr>TableIIC </vt:lpstr>
      <vt:lpstr>Table IID</vt:lpstr>
      <vt:lpstr>Table IIE</vt:lpstr>
      <vt:lpstr>Table IIF</vt:lpstr>
      <vt:lpstr>Table IIG</vt:lpstr>
      <vt:lpstr>Table III A</vt:lpstr>
      <vt:lpstr>Table IIIB</vt:lpstr>
      <vt:lpstr>Table IV</vt:lpstr>
      <vt:lpstr>Table V</vt:lpstr>
      <vt:lpstr>Table VIA</vt:lpstr>
      <vt:lpstr>Table VIB</vt:lpstr>
      <vt:lpstr>Table VII</vt:lpstr>
      <vt:lpstr>Table VIII</vt:lpstr>
      <vt:lpstr>TableIXA</vt:lpstr>
      <vt:lpstr>TableIXB</vt:lpstr>
      <vt:lpstr>TableIXC</vt:lpstr>
      <vt:lpstr>TableIXD</vt:lpstr>
      <vt:lpstr>TableX</vt:lpstr>
      <vt:lpstr>TableXI</vt:lpstr>
      <vt:lpstr>Table XIIA</vt:lpstr>
      <vt:lpstr>Table XIIB</vt:lpstr>
      <vt:lpstr>TableXIII</vt:lpstr>
      <vt:lpstr>Table XIV</vt:lpstr>
      <vt:lpstr>TableXV</vt:lpstr>
      <vt:lpstr>TableXVI</vt:lpstr>
      <vt:lpstr>Table XVII</vt:lpstr>
      <vt:lpstr>Table XVIII</vt:lpstr>
      <vt:lpstr>TableXIX</vt:lpstr>
      <vt:lpstr>TableXX</vt:lpstr>
      <vt:lpstr>TableXXI</vt:lpstr>
      <vt:lpstr>Table XXII</vt:lpstr>
      <vt:lpstr>Table XXIII</vt:lpstr>
      <vt:lpstr>Table XXIV</vt:lpstr>
      <vt:lpstr>Table XXV</vt:lpstr>
      <vt:lpstr>Table XXVI</vt:lpstr>
      <vt:lpstr>Table XXVII</vt:lpstr>
      <vt:lpstr>Table XXVIII</vt:lpstr>
      <vt:lpstr>Table XXIX</vt:lpstr>
      <vt:lpstr>Appendix- Weights &amp; Measures</vt:lpstr>
      <vt:lpstr>'Table VIA'!Print_Area</vt:lpstr>
      <vt:lpstr>'Table VIB'!Print_Area</vt:lpstr>
      <vt:lpstr>'Table VIII'!Print_Area</vt:lpstr>
      <vt:lpstr>'Table XIIB'!Print_Area</vt:lpstr>
      <vt:lpstr>'Table XXIV'!Print_Area</vt:lpstr>
      <vt:lpstr>'Table XXIX'!Print_Area</vt:lpstr>
      <vt:lpstr>'Table XXVIII'!Print_Area</vt:lpstr>
      <vt:lpstr>TableIXC!Print_Area</vt:lpstr>
    </vt:vector>
  </TitlesOfParts>
  <Company>icsl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Pranab Kumar Sarker</cp:lastModifiedBy>
  <cp:lastPrinted>2026-04-28T05:05:14Z</cp:lastPrinted>
  <dcterms:created xsi:type="dcterms:W3CDTF">2007-04-10T13:42:14Z</dcterms:created>
  <dcterms:modified xsi:type="dcterms:W3CDTF">2026-07-16T03:11:03Z</dcterms:modified>
</cp:coreProperties>
</file>